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4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6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6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6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7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7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7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7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7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8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81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10.xml" ContentType="application/vnd.openxmlformats-officedocument.drawing+xml"/>
  <Override PartName="/xl/charts/chart9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drawings/drawing12.xml" ContentType="application/vnd.openxmlformats-officedocument.drawing+xml"/>
  <Override PartName="/xl/comments10.xml" ContentType="application/vnd.openxmlformats-officedocument.spreadsheetml.comments+xml"/>
  <Override PartName="/xl/drawings/drawing13.xml" ContentType="application/vnd.openxmlformats-officedocument.drawing+xml"/>
  <Override PartName="/xl/comments11.xml" ContentType="application/vnd.openxmlformats-officedocument.spreadsheetml.comments+xml"/>
  <Override PartName="/xl/drawings/drawing14.xml" ContentType="application/vnd.openxmlformats-officedocument.drawing+xml"/>
  <Override PartName="/xl/comments12.xml" ContentType="application/vnd.openxmlformats-officedocument.spreadsheetml.comments+xml"/>
  <Override PartName="/xl/drawings/drawing15.xml" ContentType="application/vnd.openxmlformats-officedocument.drawing+xml"/>
  <Override PartName="/xl/charts/chart9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6.xml" ContentType="application/vnd.openxmlformats-officedocument.drawing+xml"/>
  <Override PartName="/xl/charts/chart9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7.xml" ContentType="application/vnd.openxmlformats-officedocument.drawing+xml"/>
  <Override PartName="/xl/charts/chart9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9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97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98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99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100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101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102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103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104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105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106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8.xml" ContentType="application/vnd.openxmlformats-officedocument.drawing+xml"/>
  <Override PartName="/xl/charts/chart107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108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109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omments13.xml" ContentType="application/vnd.openxmlformats-officedocument.spreadsheetml.comments+xml"/>
  <Override PartName="/xl/charts/chart110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omments14.xml" ContentType="application/vnd.openxmlformats-officedocument.spreadsheetml.comments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PLAN DE TRABAJO\- DBase en Excel\LSCD\"/>
    </mc:Choice>
  </mc:AlternateContent>
  <xr:revisionPtr revIDLastSave="0" documentId="13_ncr:1_{459F9335-1D49-4237-8110-9359321B583F}" xr6:coauthVersionLast="47" xr6:coauthVersionMax="47" xr10:uidLastSave="{00000000-0000-0000-0000-000000000000}"/>
  <bookViews>
    <workbookView xWindow="-120" yWindow="-120" windowWidth="29040" windowHeight="15840" tabRatio="805" activeTab="1" xr2:uid="{00000000-000D-0000-FFFF-FFFF00000000}"/>
  </bookViews>
  <sheets>
    <sheet name="Para hallar &quot;A&quot;" sheetId="106" r:id="rId1"/>
    <sheet name="F-LSCD-002 (Dosimetría)" sheetId="1" r:id="rId2"/>
    <sheet name="F-LSCD-003" sheetId="9" r:id="rId3"/>
    <sheet name="F-LSCD-012" sheetId="14" r:id="rId4"/>
    <sheet name="Incert. Nk" sheetId="34" r:id="rId5"/>
    <sheet name="Incert. Dos." sheetId="26" r:id="rId6"/>
    <sheet name="Incert. Cal. Mon." sheetId="37" state="hidden" r:id="rId7"/>
    <sheet name="Incert. Cal. Mon. (Dos. Hp(10))" sheetId="68" state="hidden" r:id="rId8"/>
    <sheet name="Incert. Cal. Mon. (Pers Hp(10))" sheetId="64" state="hidden" r:id="rId9"/>
    <sheet name="Incert. Irrad. Dosímetros pers" sheetId="38" state="hidden" r:id="rId10"/>
    <sheet name="F-LSCD-002 (Tasa Kar-Aleph)" sheetId="35" r:id="rId11"/>
    <sheet name="F-LSCD-002 (Nk-IRD)" sheetId="36" state="hidden" r:id="rId12"/>
    <sheet name="F-LSCD-002 (homogeneidad C.I.)" sheetId="27" state="hidden" r:id="rId13"/>
    <sheet name="F-LSCD-002 (homog irrad dosím)" sheetId="41" state="hidden" r:id="rId14"/>
    <sheet name="F-LSCD-002 (Pos. fuente)" sheetId="28" state="hidden" r:id="rId15"/>
    <sheet name="F-LSCD-002 (Tiempo tránsito ob)" sheetId="39" state="hidden" r:id="rId16"/>
    <sheet name="Incert. Irrad. Dosímetros D(10)" sheetId="73" state="hidden" r:id="rId17"/>
    <sheet name="Incert. Cal. Dosímetros D(10)" sheetId="75" state="hidden" r:id="rId18"/>
    <sheet name="Incert. Cal. Dosímetros pers" sheetId="87" state="hidden" r:id="rId19"/>
    <sheet name="Incert. Cal. Cont. Sup" sheetId="44" state="hidden" r:id="rId20"/>
    <sheet name="F-LSCD-004" sheetId="10" r:id="rId21"/>
    <sheet name="F-LSCD-007" sheetId="21" state="hidden" r:id="rId22"/>
    <sheet name="F-LSCD-008" sheetId="77" state="hidden" r:id="rId23"/>
    <sheet name="F-LSCD-012 (Pers. Hp(10))" sheetId="63" state="hidden" r:id="rId24"/>
    <sheet name="C.C. Monit Rad (Digital)" sheetId="47" r:id="rId25"/>
    <sheet name="I.C. Monit Rad (Digital)" sheetId="80" state="hidden" r:id="rId26"/>
    <sheet name="I.C. Monit Rad (Analógico)" sheetId="81" state="hidden" r:id="rId27"/>
    <sheet name="Inf. Homogeneidad" sheetId="93" state="hidden" r:id="rId28"/>
    <sheet name="Inf. Homogeneidad 2" sheetId="96" state="hidden" r:id="rId29"/>
    <sheet name="C.C. Monit Rad (Digital) (2)" sheetId="90" r:id="rId30"/>
    <sheet name="C.C. Monit Rad (Digital) (cps)" sheetId="92" state="hidden" r:id="rId31"/>
    <sheet name="C.C. Monit Rad (Analógico)" sheetId="88" r:id="rId32"/>
    <sheet name="C.C. Monit Rad (Analógico) (2)" sheetId="91" r:id="rId33"/>
    <sheet name="C.C. Monit Rad (Analógico)(cpm)" sheetId="97" state="hidden" r:id="rId34"/>
    <sheet name="C.C. Dosímetro Personal" sheetId="67" state="hidden" r:id="rId35"/>
    <sheet name="C.C. Dosímetro Personal (2)" sheetId="95" state="hidden" r:id="rId36"/>
    <sheet name="Datos varios" sheetId="19" r:id="rId37"/>
    <sheet name="Informe Intercomparación-D(10)" sheetId="98" state="hidden" r:id="rId38"/>
    <sheet name="Inf. Ensayo Dosímetro-Acred." sheetId="78" state="hidden" r:id="rId39"/>
    <sheet name="Inf. Ensayo Dosím-Acred (2)" sheetId="99" state="hidden" r:id="rId40"/>
    <sheet name="Inf. Ensayo Dosím-Acred(blanco)" sheetId="100" state="hidden" r:id="rId41"/>
    <sheet name="Inf. Ensayo Dosímetro-No Acred." sheetId="84" state="hidden" r:id="rId42"/>
    <sheet name="F-LSCD-013 (Homog Fuen Planas)" sheetId="45" state="hidden" r:id="rId43"/>
    <sheet name="F-LSCD-013 (dist Fuen Planas)" sheetId="46" state="hidden" r:id="rId44"/>
    <sheet name="C.C. Monit Rad (Pers. Hp(10))" sheetId="62" state="hidden" r:id="rId45"/>
    <sheet name="Inf. Ensayo Dosím-No Acred (2)" sheetId="101" state="hidden" r:id="rId46"/>
    <sheet name="Inf. Ensayo Dosím-No Acred (3)" sheetId="103" state="hidden" r:id="rId47"/>
    <sheet name="Inf. Ensayo Dosím-No Acred(bla)" sheetId="104" state="hidden" r:id="rId48"/>
    <sheet name="Inf.EnsayoDosím-NoAcred(blanco)" sheetId="102" state="hidden" r:id="rId49"/>
    <sheet name="F-LSCD-013" sheetId="18" r:id="rId50"/>
    <sheet name="C.C. Cont. Superf. (2)" sheetId="49" r:id="rId51"/>
    <sheet name="Etiq. Mon. Rad Pers. Hp(10)(2)" sheetId="86" state="hidden" r:id="rId52"/>
    <sheet name="Etiqueta Mon. Rad (5)" sheetId="70" r:id="rId53"/>
    <sheet name="Etiqueta Mon. Rad Analog. (2)" sheetId="69" r:id="rId54"/>
    <sheet name="Etiqueta Mon. Rad (4-alarmas)" sheetId="61" state="hidden" r:id="rId55"/>
    <sheet name="Etiqueta Mon. Rad Analog. (3)" sheetId="105" r:id="rId56"/>
    <sheet name="Etiqueta Cont. Superf. (3)" sheetId="58" r:id="rId57"/>
    <sheet name="Etiqueta Cont. Superf. (3analo)" sheetId="89" r:id="rId58"/>
    <sheet name="Informe Técnico de Recepción(2)" sheetId="59" state="hidden" r:id="rId59"/>
    <sheet name="R.C. Cont. Superf." sheetId="72" state="hidden" r:id="rId60"/>
    <sheet name="I.C. Cont. Superf." sheetId="82" state="hidden" r:id="rId61"/>
    <sheet name="F-LSCD-002 (Dosimetría)(Blanco)" sheetId="83" state="hidden" r:id="rId62"/>
    <sheet name="Firma" sheetId="85" state="hidden" r:id="rId63"/>
  </sheets>
  <externalReferences>
    <externalReference r:id="rId64"/>
    <externalReference r:id="rId65"/>
    <externalReference r:id="rId66"/>
    <externalReference r:id="rId67"/>
    <externalReference r:id="rId68"/>
  </externalReferences>
  <definedNames>
    <definedName name="_xlnm._FilterDatabase" localSheetId="34" hidden="1">'C.C. Dosímetro Personal'!$C$39:$O$55</definedName>
    <definedName name="_xlnm._FilterDatabase" localSheetId="35" hidden="1">'C.C. Dosímetro Personal (2)'!$C$39:$O$55</definedName>
    <definedName name="_xlnm._FilterDatabase" localSheetId="31" hidden="1">'C.C. Monit Rad (Analógico)'!$C$42:$T$57</definedName>
    <definedName name="_xlnm._FilterDatabase" localSheetId="32" hidden="1">'C.C. Monit Rad (Analógico) (2)'!$C$48:$T$63</definedName>
    <definedName name="_xlnm._FilterDatabase" localSheetId="33" hidden="1">'C.C. Monit Rad (Analógico)(cpm)'!$C$42:$T$57</definedName>
    <definedName name="_xlnm._FilterDatabase" localSheetId="24" hidden="1">'C.C. Monit Rad (Digital)'!$C$42:$Q$61</definedName>
    <definedName name="_xlnm._FilterDatabase" localSheetId="29" hidden="1">'C.C. Monit Rad (Digital) (2)'!$C$42:$Q$62</definedName>
    <definedName name="_xlnm._FilterDatabase" localSheetId="30" hidden="1">'C.C. Monit Rad (Digital) (cps)'!$C$42:$Q$60</definedName>
    <definedName name="_xlnm._FilterDatabase" localSheetId="26" hidden="1">'I.C. Monit Rad (Analógico)'!$C$39:$P$53</definedName>
    <definedName name="_xlnm._FilterDatabase" localSheetId="25" hidden="1">'I.C. Monit Rad (Digital)'!$C$39:$O$55</definedName>
    <definedName name="_xlnm._FilterDatabase" localSheetId="39" hidden="1">'Inf. Ensayo Dosím-Acred (2)'!$A$42:$V$62</definedName>
    <definedName name="_xlnm._FilterDatabase" localSheetId="40" hidden="1">'Inf. Ensayo Dosím-Acred(blanco)'!$A$39:$V$59</definedName>
    <definedName name="_xlnm._FilterDatabase" localSheetId="38" hidden="1">'Inf. Ensayo Dosímetro-Acred.'!$A$36:$V$55</definedName>
    <definedName name="_xlnm._FilterDatabase" localSheetId="41" hidden="1">'Inf. Ensayo Dosímetro-No Acred.'!$A$36:$V$55</definedName>
    <definedName name="_xlnm._FilterDatabase" localSheetId="27" hidden="1">'Inf. Homogeneidad'!$A$36:$V$55</definedName>
    <definedName name="_xlnm._FilterDatabase" localSheetId="28" hidden="1">'Inf. Homogeneidad 2'!$C$40:$Q$44</definedName>
    <definedName name="_xlnm._FilterDatabase" localSheetId="48" hidden="1">'Inf.EnsayoDosím-NoAcred(blanco)'!$A$39:$V$57</definedName>
    <definedName name="_xlnm._FilterDatabase" localSheetId="37" hidden="1">'Informe Intercomparación-D(10)'!$C$58:$Q$103</definedName>
    <definedName name="Actividad">'[1]Inventario muestras'!$I$2:$I$1048576</definedName>
    <definedName name="Analista">'[1]Base de datos clientes'!$AA$7:$AA$123</definedName>
    <definedName name="Analista_realizó_Ensayo">'[2]Inventario muestras'!$O$2:$O$1048576</definedName>
    <definedName name="_xlnm.Print_Area" localSheetId="32">'C.C. Monit Rad (Analógico) (2)'!$A$1:$W$83</definedName>
    <definedName name="_xlnm.Print_Area" localSheetId="51">'Etiq. Mon. Rad Pers. Hp(10)(2)'!$B$1:$O$25</definedName>
    <definedName name="_xlnm.Print_Area" localSheetId="56">'Etiqueta Cont. Superf. (3)'!$B$1:$N$23</definedName>
    <definedName name="_xlnm.Print_Area" localSheetId="57">'Etiqueta Cont. Superf. (3analo)'!$B$1:$N$23</definedName>
    <definedName name="_xlnm.Print_Area" localSheetId="54">'Etiqueta Mon. Rad (4-alarmas)'!$B$1:$O$23</definedName>
    <definedName name="_xlnm.Print_Area" localSheetId="52">'Etiqueta Mon. Rad (5)'!$B$1:$O$23</definedName>
    <definedName name="_xlnm.Print_Area" localSheetId="53">'Etiqueta Mon. Rad Analog. (2)'!$B$1:$O$17</definedName>
    <definedName name="_xlnm.Print_Area" localSheetId="55">'Etiqueta Mon. Rad Analog. (3)'!$B$1:$O$21</definedName>
    <definedName name="_xlnm.Print_Area" localSheetId="61">'F-LSCD-002 (Dosimetría)(Blanco)'!$A$1:$R$166</definedName>
    <definedName name="_xlnm.Print_Area" localSheetId="3">'F-LSCD-012'!$A$1:$U$73</definedName>
    <definedName name="_xlnm.Print_Area" localSheetId="23">'F-LSCD-012 (Pers. Hp(10))'!$A$1:$U$73</definedName>
    <definedName name="_xlnm.Print_Area" localSheetId="49">'F-LSCD-013'!$A$1:$X$60</definedName>
    <definedName name="_xlnm.Print_Area" localSheetId="43">'F-LSCD-013 (dist Fuen Planas)'!$A$1:$O$117</definedName>
    <definedName name="_xlnm.Print_Area" localSheetId="42">'F-LSCD-013 (Homog Fuen Planas)'!$A$1:$O$169</definedName>
    <definedName name="_xlnm.Print_Area" localSheetId="9">'Incert. Irrad. Dosímetros pers'!$A$1:$S$34</definedName>
    <definedName name="_xlnm.Print_Area" localSheetId="40">'Inf. Ensayo Dosím-Acred(blanco)'!$A$1:$V$57</definedName>
    <definedName name="_xlnm.Print_Area" localSheetId="48">'Inf.EnsayoDosím-NoAcred(blanco)'!$A$1:$V$57</definedName>
    <definedName name="_xlnm.Print_Area" localSheetId="37">'Informe Intercomparación-D(10)'!$A$1:$T$109</definedName>
    <definedName name="_xlnm.Print_Area" localSheetId="58">'Informe Técnico de Recepción(2)'!$A$1:$R$70</definedName>
    <definedName name="_xlnm.Print_Area" localSheetId="59">'R.C. Cont. Superf.'!$A$1:$AL$63</definedName>
    <definedName name="Atendido_por" localSheetId="50">'[1]Base de datos clientes'!#REF!</definedName>
    <definedName name="Atendido_por" localSheetId="34">'[1]Base de datos clientes'!#REF!</definedName>
    <definedName name="Atendido_por" localSheetId="35">'[1]Base de datos clientes'!#REF!</definedName>
    <definedName name="Atendido_por" localSheetId="31">'[1]Base de datos clientes'!#REF!</definedName>
    <definedName name="Atendido_por" localSheetId="32">'[1]Base de datos clientes'!#REF!</definedName>
    <definedName name="Atendido_por" localSheetId="33">'[1]Base de datos clientes'!#REF!</definedName>
    <definedName name="Atendido_por" localSheetId="24">'[1]Base de datos clientes'!#REF!</definedName>
    <definedName name="Atendido_por" localSheetId="29">'[1]Base de datos clientes'!#REF!</definedName>
    <definedName name="Atendido_por" localSheetId="30">'[1]Base de datos clientes'!#REF!</definedName>
    <definedName name="Atendido_por" localSheetId="44">'[1]Base de datos clientes'!#REF!</definedName>
    <definedName name="Atendido_por" localSheetId="51">'[1]Base de datos clientes'!#REF!</definedName>
    <definedName name="Atendido_por" localSheetId="56">'[1]Base de datos clientes'!#REF!</definedName>
    <definedName name="Atendido_por" localSheetId="57">'[1]Base de datos clientes'!#REF!</definedName>
    <definedName name="Atendido_por" localSheetId="54">'[1]Base de datos clientes'!#REF!</definedName>
    <definedName name="Atendido_por" localSheetId="52">'[1]Base de datos clientes'!#REF!</definedName>
    <definedName name="Atendido_por" localSheetId="53">'[1]Base de datos clientes'!#REF!</definedName>
    <definedName name="Atendido_por" localSheetId="55">'[1]Base de datos clientes'!#REF!</definedName>
    <definedName name="Atendido_por" localSheetId="61">'[1]Base de datos clientes'!#REF!</definedName>
    <definedName name="Atendido_por" localSheetId="13">'[1]Base de datos clientes'!#REF!</definedName>
    <definedName name="Atendido_por" localSheetId="12">'[1]Base de datos clientes'!#REF!</definedName>
    <definedName name="Atendido_por" localSheetId="11">'[1]Base de datos clientes'!#REF!</definedName>
    <definedName name="Atendido_por" localSheetId="14">'[1]Base de datos clientes'!#REF!</definedName>
    <definedName name="Atendido_por" localSheetId="10">'[1]Base de datos clientes'!#REF!</definedName>
    <definedName name="Atendido_por" localSheetId="15">'[1]Base de datos clientes'!#REF!</definedName>
    <definedName name="Atendido_por" localSheetId="3">'[1]Base de datos clientes'!#REF!</definedName>
    <definedName name="Atendido_por" localSheetId="23">'[1]Base de datos clientes'!#REF!</definedName>
    <definedName name="Atendido_por" localSheetId="49">'[1]Base de datos clientes'!#REF!</definedName>
    <definedName name="Atendido_por" localSheetId="43">'[1]Base de datos clientes'!#REF!</definedName>
    <definedName name="Atendido_por" localSheetId="42">'[1]Base de datos clientes'!#REF!</definedName>
    <definedName name="Atendido_por" localSheetId="60">'[1]Base de datos clientes'!#REF!</definedName>
    <definedName name="Atendido_por" localSheetId="26">'[1]Base de datos clientes'!#REF!</definedName>
    <definedName name="Atendido_por" localSheetId="25">'[1]Base de datos clientes'!#REF!</definedName>
    <definedName name="Atendido_por" localSheetId="19">'[1]Base de datos clientes'!#REF!</definedName>
    <definedName name="Atendido_por" localSheetId="17">'[1]Base de datos clientes'!#REF!</definedName>
    <definedName name="Atendido_por" localSheetId="18">'[1]Base de datos clientes'!#REF!</definedName>
    <definedName name="Atendido_por" localSheetId="6">'[1]Base de datos clientes'!#REF!</definedName>
    <definedName name="Atendido_por" localSheetId="7">'[1]Base de datos clientes'!#REF!</definedName>
    <definedName name="Atendido_por" localSheetId="8">'[1]Base de datos clientes'!#REF!</definedName>
    <definedName name="Atendido_por" localSheetId="16">'[1]Base de datos clientes'!#REF!</definedName>
    <definedName name="Atendido_por" localSheetId="9">'[1]Base de datos clientes'!#REF!</definedName>
    <definedName name="Atendido_por" localSheetId="4">'[1]Base de datos clientes'!#REF!</definedName>
    <definedName name="Atendido_por" localSheetId="39">'[1]Base de datos clientes'!#REF!</definedName>
    <definedName name="Atendido_por" localSheetId="40">'[1]Base de datos clientes'!#REF!</definedName>
    <definedName name="Atendido_por" localSheetId="38">'[1]Base de datos clientes'!#REF!</definedName>
    <definedName name="Atendido_por" localSheetId="41">'[1]Base de datos clientes'!#REF!</definedName>
    <definedName name="Atendido_por" localSheetId="45">'[1]Base de datos clientes'!#REF!</definedName>
    <definedName name="Atendido_por" localSheetId="46">'[1]Base de datos clientes'!#REF!</definedName>
    <definedName name="Atendido_por" localSheetId="47">'[1]Base de datos clientes'!#REF!</definedName>
    <definedName name="Atendido_por" localSheetId="27">'[1]Base de datos clientes'!#REF!</definedName>
    <definedName name="Atendido_por" localSheetId="28">'[1]Base de datos clientes'!#REF!</definedName>
    <definedName name="Atendido_por" localSheetId="48">'[1]Base de datos clientes'!#REF!</definedName>
    <definedName name="Atendido_por" localSheetId="37">'[1]Base de datos clientes'!#REF!</definedName>
    <definedName name="Atendido_por" localSheetId="58">'[1]Base de datos clientes'!#REF!</definedName>
    <definedName name="Atendido_por" localSheetId="59">'[1]Base de datos clientes'!#REF!</definedName>
    <definedName name="Atendido_por">'[1]Base de datos clientes'!#REF!</definedName>
    <definedName name="Cliente">'[1]Base de datos clientes'!$B$7:$B$123</definedName>
    <definedName name="Código_Aleph">'[1]Inventario muestras'!$M$2:$M$1048576</definedName>
    <definedName name="Contacto">'[1]Base de datos clientes'!$H$7:$H$123</definedName>
    <definedName name="Cotización_N°">'[1]Base de datos clientes'!$K$7:$K$123</definedName>
    <definedName name="Cotizado_por">'[1]Base de datos clientes'!$M$7:$M$123</definedName>
    <definedName name="Departamento">'[1]Base de datos clientes'!$D$7:$D$123</definedName>
    <definedName name="Descripción_del_servicio">'[1]Base de datos clientes'!$P$7:$P$123</definedName>
    <definedName name="Dirección">'[1]Base de datos clientes'!$C$7:$C$123</definedName>
    <definedName name="Distrito">'[1]Base de datos clientes'!$F$7:$F$123</definedName>
    <definedName name="e_mail">'[1]Base de datos clientes'!$I$7:$I$7</definedName>
    <definedName name="e_mail_del_contacto">'[1]Base de datos clientes'!$I$7:$I$123</definedName>
    <definedName name="e_mail_del_personal_que_cotizó">'[1]Base de datos clientes'!$N$7:$N$123</definedName>
    <definedName name="Factor_Calibración_monitor">'[1]Inventario muestras'!$AC$2:$AC$1048576</definedName>
    <definedName name="Fecha_calibración_monitor">'[1]Inventario muestras'!$AD$2:$AD$1048576</definedName>
    <definedName name="Fecha_de_Análisis">'[1]Base de datos clientes'!$AB$7:$AB$123</definedName>
    <definedName name="Fecha_de_Análisis__Gamma_Rad">'[1]Inventario muestras'!$N$2:$N$71</definedName>
    <definedName name="Fecha_de_cotización">'[1]Base de datos clientes'!$L$7:$L$123</definedName>
    <definedName name="Fecha_de_elaboración_del_Informe">'[1]Base de datos clientes'!$AE$7:$AE$123</definedName>
    <definedName name="Fecha_de_entrega_de_resultados__por_parte_del_analista">'[1]Base de datos clientes'!$AD$7:$AD$123</definedName>
    <definedName name="Fecha_de_recepción">'[1]Base de datos clientes'!$W$7:$W$123</definedName>
    <definedName name="Fecha_envío_de_informe_al_cliente">'[1]Base de datos clientes'!$AG$7:$AG$123</definedName>
    <definedName name="Fecha_fabricación">'[1]Inventario muestras'!$J$2:$J$1048576</definedName>
    <definedName name="Fecha_monitoreo">'[1]Inventario muestras'!$BI$2:$BI$1048576</definedName>
    <definedName name="Fecha_programada_de_entrega_de_resultados__por_parte_del_analista">'[1]Base de datos clientes'!$AC$7:$AC$123</definedName>
    <definedName name="Fecha_programada_de_envío_de_Informe_al_cliente">'[1]Base de datos clientes'!$AF$7:$AF$123</definedName>
    <definedName name="Fecha_toma_de_muestra">'[1]Inventario muestras'!$K$2:$K$1048576</definedName>
    <definedName name="Forma_de_pago">'[1]Base de datos clientes'!$Q$7:$Q$123</definedName>
    <definedName name="Fuente_Marca">'[1]Inventario muestras'!$E$2:$E$1048576</definedName>
    <definedName name="Fuente_Modelo">'[1]Inventario muestras'!$F$2:$F$1048576</definedName>
    <definedName name="Hora_de_recepción">'[1]Base de datos clientes'!$X$7:$X$123</definedName>
    <definedName name="Hora_final_monitoreo">'[1]Inventario muestras'!$BK$2:$BK$1048576</definedName>
    <definedName name="Hora_inicio_monitoreo">'[1]Inventario muestras'!$BJ$2:$BJ$1048576</definedName>
    <definedName name="Hora_toma_de_muestra">'[1]Inventario muestras'!$L$2:$L$1048576</definedName>
    <definedName name="Informe_N°">'[1]Base de datos clientes'!$AH$7:$AH$123</definedName>
    <definedName name="LD">'[1]Inventario muestras'!$O$2:$O$1048576</definedName>
    <definedName name="Lugar">'[1]Inventario muestras'!$T$2:$T$71</definedName>
    <definedName name="Marca_densímetro">'[1]Inventario muestras'!$W$2:$W$1048576</definedName>
    <definedName name="Marca_monitor">'[1]Inventario muestras'!$Z$2:$Z$1048576</definedName>
    <definedName name="Modelo_densímetro">'[1]Inventario muestras'!$X$2:$X$1048576</definedName>
    <definedName name="Modelo_monitor">'[1]Inventario muestras'!$AA$2:$AA$1048576</definedName>
    <definedName name="Muestreado_por">'[1]Base de datos clientes'!$T$7:$T$123</definedName>
    <definedName name="N°_de_muestras">'[1]Base de datos clientes'!$V$7:$V$123</definedName>
    <definedName name="N°_Informe">'[1]Inventario muestras'!$P$2:$P$1048576</definedName>
    <definedName name="N°_Informe_Mantenimiento">'[1]Inventario muestras'!$S$2:$S$71</definedName>
    <definedName name="N°_Informe_tasa_de_dosis">'[1]Inventario muestras'!$R$2:$R$71</definedName>
    <definedName name="N°_ítem">'[1]Base de datos clientes'!$A$7:$A$123</definedName>
    <definedName name="N°_ORM">'[1]Base de datos clientes'!$Z$7:$Z$123</definedName>
    <definedName name="Nombre_Área">'[1]Inventario muestras'!$V$2:$V$1048576</definedName>
    <definedName name="Nombre_Instalación">'[1]Inventario muestras'!$U$2:$U$1048576</definedName>
    <definedName name="Número_TAG">'[1]Inventario muestras'!$B$2:$B$1048576</definedName>
    <definedName name="Obturador_abierto_A__1_m">'[1]Inventario muestras'!$AG$2:$AG$1048576</definedName>
    <definedName name="Obturador_abierto_A__30_cm">'[1]Inventario muestras'!$AF$2:$AF$1048576</definedName>
    <definedName name="Obturador_abierto_A__contacto">'[1]Inventario muestras'!$AE$2:$AE$1048576</definedName>
    <definedName name="Obturador_abierto_B__1_m">'[1]Inventario muestras'!$AM$2:$AM$1048576</definedName>
    <definedName name="Obturador_abierto_B__30_cm">'[1]Inventario muestras'!$AL$2:$AL$1048576</definedName>
    <definedName name="Obturador_abierto_B__contacto">'[1]Inventario muestras'!$AK$2:$AK$1048576</definedName>
    <definedName name="Obturador_cerrado_A__1_m">'[1]Inventario muestras'!$AJ$2:$AJ$1048576</definedName>
    <definedName name="Obturador_cerrado_A__30_cm">'[1]Inventario muestras'!$AI$2:$AI$1048576</definedName>
    <definedName name="Obturador_cerrado_A__contacto">'[1]Inventario muestras'!$AH$2:$AH$1048576</definedName>
    <definedName name="Obturador_cerrado_B__1_m">'[1]Inventario muestras'!$AP$2:$AP$1048576</definedName>
    <definedName name="Obturador_cerrado_B__30_cm">'[1]Inventario muestras'!$AO$2:$AO$1048576</definedName>
    <definedName name="Obturador_cerrado_B__contacto">'[1]Inventario muestras'!$AN$2:$AN$1048576</definedName>
    <definedName name="PERSONAL" localSheetId="50">#REF!</definedName>
    <definedName name="PERSONAL" localSheetId="34">#REF!</definedName>
    <definedName name="PERSONAL" localSheetId="35">#REF!</definedName>
    <definedName name="PERSONAL" localSheetId="31">#REF!</definedName>
    <definedName name="PERSONAL" localSheetId="32">#REF!</definedName>
    <definedName name="PERSONAL" localSheetId="33">#REF!</definedName>
    <definedName name="PERSONAL" localSheetId="24">#REF!</definedName>
    <definedName name="PERSONAL" localSheetId="29">#REF!</definedName>
    <definedName name="PERSONAL" localSheetId="30">#REF!</definedName>
    <definedName name="PERSONAL" localSheetId="44">#REF!</definedName>
    <definedName name="PERSONAL" localSheetId="51">#REF!</definedName>
    <definedName name="PERSONAL" localSheetId="56">#REF!</definedName>
    <definedName name="PERSONAL" localSheetId="57">#REF!</definedName>
    <definedName name="PERSONAL" localSheetId="54">#REF!</definedName>
    <definedName name="PERSONAL" localSheetId="52">#REF!</definedName>
    <definedName name="PERSONAL" localSheetId="53">#REF!</definedName>
    <definedName name="PERSONAL" localSheetId="55">#REF!</definedName>
    <definedName name="PERSONAL" localSheetId="61">#REF!</definedName>
    <definedName name="PERSONAL" localSheetId="13">#REF!</definedName>
    <definedName name="PERSONAL" localSheetId="12">#REF!</definedName>
    <definedName name="PERSONAL" localSheetId="11">#REF!</definedName>
    <definedName name="PERSONAL" localSheetId="14">#REF!</definedName>
    <definedName name="PERSONAL" localSheetId="10">#REF!</definedName>
    <definedName name="PERSONAL" localSheetId="15">#REF!</definedName>
    <definedName name="PERSONAL" localSheetId="3">#REF!</definedName>
    <definedName name="PERSONAL" localSheetId="23">#REF!</definedName>
    <definedName name="PERSONAL" localSheetId="49">#REF!</definedName>
    <definedName name="PERSONAL" localSheetId="43">#REF!</definedName>
    <definedName name="PERSONAL" localSheetId="42">#REF!</definedName>
    <definedName name="PERSONAL" localSheetId="60">#REF!</definedName>
    <definedName name="PERSONAL" localSheetId="26">#REF!</definedName>
    <definedName name="PERSONAL" localSheetId="25">#REF!</definedName>
    <definedName name="PERSONAL" localSheetId="19">#REF!</definedName>
    <definedName name="PERSONAL" localSheetId="17">#REF!</definedName>
    <definedName name="PERSONAL" localSheetId="18">#REF!</definedName>
    <definedName name="PERSONAL" localSheetId="6">#REF!</definedName>
    <definedName name="PERSONAL" localSheetId="7">#REF!</definedName>
    <definedName name="PERSONAL" localSheetId="8">#REF!</definedName>
    <definedName name="PERSONAL" localSheetId="16">#REF!</definedName>
    <definedName name="PERSONAL" localSheetId="9">#REF!</definedName>
    <definedName name="PERSONAL" localSheetId="4">#REF!</definedName>
    <definedName name="PERSONAL" localSheetId="39">#REF!</definedName>
    <definedName name="PERSONAL" localSheetId="40">#REF!</definedName>
    <definedName name="PERSONAL" localSheetId="38">#REF!</definedName>
    <definedName name="PERSONAL" localSheetId="41">#REF!</definedName>
    <definedName name="PERSONAL" localSheetId="45">#REF!</definedName>
    <definedName name="PERSONAL" localSheetId="46">#REF!</definedName>
    <definedName name="PERSONAL" localSheetId="47">#REF!</definedName>
    <definedName name="PERSONAL" localSheetId="27">#REF!</definedName>
    <definedName name="PERSONAL" localSheetId="28">#REF!</definedName>
    <definedName name="PERSONAL" localSheetId="48">#REF!</definedName>
    <definedName name="PERSONAL" localSheetId="37">#REF!</definedName>
    <definedName name="PERSONAL" localSheetId="58">#REF!</definedName>
    <definedName name="PERSONAL" localSheetId="59">#REF!</definedName>
    <definedName name="PERSONAL">#REF!</definedName>
    <definedName name="PROCEDENCIA">'[1]Inventario muestras'!$C$2:$C$1048576</definedName>
    <definedName name="Provincia">'[1]Base de datos clientes'!$E$7:$E$123</definedName>
    <definedName name="R.U.C.">'[1]Base de datos clientes'!$G$7:$G$123</definedName>
    <definedName name="Radionucleido">'[1]Inventario muestras'!$H$2:$H$1048576</definedName>
    <definedName name="Resultado_Actividad__Bq">'[1]Inventario muestras'!$Q$2:$Q$1048576</definedName>
    <definedName name="Serie">'[1]Inventario muestras'!$G$2:$G$1048576</definedName>
    <definedName name="Serie_1_fuente">'[3]Inventario muestras'!$G$2:$G$1048576</definedName>
    <definedName name="Serie_2_fuente" localSheetId="50">'[3]Inventario muestras'!#REF!</definedName>
    <definedName name="Serie_2_fuente" localSheetId="34">'[3]Inventario muestras'!#REF!</definedName>
    <definedName name="Serie_2_fuente" localSheetId="35">'[3]Inventario muestras'!#REF!</definedName>
    <definedName name="Serie_2_fuente" localSheetId="31">'[3]Inventario muestras'!#REF!</definedName>
    <definedName name="Serie_2_fuente" localSheetId="32">'[3]Inventario muestras'!#REF!</definedName>
    <definedName name="Serie_2_fuente" localSheetId="33">'[3]Inventario muestras'!#REF!</definedName>
    <definedName name="Serie_2_fuente" localSheetId="24">'[3]Inventario muestras'!#REF!</definedName>
    <definedName name="Serie_2_fuente" localSheetId="29">'[3]Inventario muestras'!#REF!</definedName>
    <definedName name="Serie_2_fuente" localSheetId="30">'[3]Inventario muestras'!#REF!</definedName>
    <definedName name="Serie_2_fuente" localSheetId="44">'[3]Inventario muestras'!#REF!</definedName>
    <definedName name="Serie_2_fuente" localSheetId="51">'[3]Inventario muestras'!#REF!</definedName>
    <definedName name="Serie_2_fuente" localSheetId="56">'[3]Inventario muestras'!#REF!</definedName>
    <definedName name="Serie_2_fuente" localSheetId="57">'[3]Inventario muestras'!#REF!</definedName>
    <definedName name="Serie_2_fuente" localSheetId="54">'[3]Inventario muestras'!#REF!</definedName>
    <definedName name="Serie_2_fuente" localSheetId="52">'[3]Inventario muestras'!#REF!</definedName>
    <definedName name="Serie_2_fuente" localSheetId="53">'[3]Inventario muestras'!#REF!</definedName>
    <definedName name="Serie_2_fuente" localSheetId="55">'[3]Inventario muestras'!#REF!</definedName>
    <definedName name="Serie_2_fuente" localSheetId="61">'[3]Inventario muestras'!#REF!</definedName>
    <definedName name="Serie_2_fuente" localSheetId="13">'[3]Inventario muestras'!#REF!</definedName>
    <definedName name="Serie_2_fuente" localSheetId="12">'[3]Inventario muestras'!#REF!</definedName>
    <definedName name="Serie_2_fuente" localSheetId="11">'[3]Inventario muestras'!#REF!</definedName>
    <definedName name="Serie_2_fuente" localSheetId="14">'[3]Inventario muestras'!#REF!</definedName>
    <definedName name="Serie_2_fuente" localSheetId="10">'[3]Inventario muestras'!#REF!</definedName>
    <definedName name="Serie_2_fuente" localSheetId="15">'[3]Inventario muestras'!#REF!</definedName>
    <definedName name="Serie_2_fuente" localSheetId="3">'[3]Inventario muestras'!#REF!</definedName>
    <definedName name="Serie_2_fuente" localSheetId="23">'[3]Inventario muestras'!#REF!</definedName>
    <definedName name="Serie_2_fuente" localSheetId="49">'[3]Inventario muestras'!#REF!</definedName>
    <definedName name="Serie_2_fuente" localSheetId="43">'[3]Inventario muestras'!#REF!</definedName>
    <definedName name="Serie_2_fuente" localSheetId="42">'[3]Inventario muestras'!#REF!</definedName>
    <definedName name="Serie_2_fuente" localSheetId="60">'[3]Inventario muestras'!#REF!</definedName>
    <definedName name="Serie_2_fuente" localSheetId="26">'[3]Inventario muestras'!#REF!</definedName>
    <definedName name="Serie_2_fuente" localSheetId="25">'[3]Inventario muestras'!#REF!</definedName>
    <definedName name="Serie_2_fuente" localSheetId="19">'[3]Inventario muestras'!#REF!</definedName>
    <definedName name="Serie_2_fuente" localSheetId="17">'[3]Inventario muestras'!#REF!</definedName>
    <definedName name="Serie_2_fuente" localSheetId="18">'[3]Inventario muestras'!#REF!</definedName>
    <definedName name="Serie_2_fuente" localSheetId="6">'[3]Inventario muestras'!#REF!</definedName>
    <definedName name="Serie_2_fuente" localSheetId="7">'[3]Inventario muestras'!#REF!</definedName>
    <definedName name="Serie_2_fuente" localSheetId="8">'[3]Inventario muestras'!#REF!</definedName>
    <definedName name="Serie_2_fuente" localSheetId="16">'[3]Inventario muestras'!#REF!</definedName>
    <definedName name="Serie_2_fuente" localSheetId="9">'[3]Inventario muestras'!#REF!</definedName>
    <definedName name="Serie_2_fuente" localSheetId="4">'[3]Inventario muestras'!#REF!</definedName>
    <definedName name="Serie_2_fuente" localSheetId="39">'[3]Inventario muestras'!#REF!</definedName>
    <definedName name="Serie_2_fuente" localSheetId="40">'[3]Inventario muestras'!#REF!</definedName>
    <definedName name="Serie_2_fuente" localSheetId="38">'[3]Inventario muestras'!#REF!</definedName>
    <definedName name="Serie_2_fuente" localSheetId="41">'[3]Inventario muestras'!#REF!</definedName>
    <definedName name="Serie_2_fuente" localSheetId="45">'[3]Inventario muestras'!#REF!</definedName>
    <definedName name="Serie_2_fuente" localSheetId="46">'[3]Inventario muestras'!#REF!</definedName>
    <definedName name="Serie_2_fuente" localSheetId="47">'[3]Inventario muestras'!#REF!</definedName>
    <definedName name="Serie_2_fuente" localSheetId="27">'[3]Inventario muestras'!#REF!</definedName>
    <definedName name="Serie_2_fuente" localSheetId="28">'[3]Inventario muestras'!#REF!</definedName>
    <definedName name="Serie_2_fuente" localSheetId="48">'[3]Inventario muestras'!#REF!</definedName>
    <definedName name="Serie_2_fuente" localSheetId="37">'[3]Inventario muestras'!#REF!</definedName>
    <definedName name="Serie_2_fuente" localSheetId="58">'[3]Inventario muestras'!#REF!</definedName>
    <definedName name="Serie_2_fuente" localSheetId="59">'[3]Inventario muestras'!#REF!</definedName>
    <definedName name="Serie_2_fuente">'[3]Inventario muestras'!#REF!</definedName>
    <definedName name="Serie_densímetro">'[1]Inventario muestras'!$Y$2:$Y$1048576</definedName>
    <definedName name="Serie_monitor">'[1]Inventario muestras'!$AB$2:$AB$1048576</definedName>
    <definedName name="Sonda_afuera_A__10_cm">'[1]Inventario muestras'!$BM$2:$BM$1048576</definedName>
    <definedName name="Sonda_afuera_A__contacto">'[1]Inventario muestras'!$BL$2:$BL$1048576</definedName>
    <definedName name="Sonda_afuera_B__10_cm">'[1]Inventario muestras'!$BO$2:$BO$1048576</definedName>
    <definedName name="Sonda_afuera_B__contacto">'[1]Inventario muestras'!$BN$2:$BN$1048576</definedName>
    <definedName name="Sonda_afuera_C__10_cm">'[1]Inventario muestras'!$BQ$2:$BQ$1048576</definedName>
    <definedName name="Sonda_afuera_C__contacto">'[1]Inventario muestras'!$BP$2:$BP$1048576</definedName>
    <definedName name="Sonda_afuera_D__10_cm">'[1]Inventario muestras'!$BS$2:$BS$1048576</definedName>
    <definedName name="Sonda_afuera_D__contacto">'[1]Inventario muestras'!$BR$2:$BR$1048576</definedName>
    <definedName name="Sonda_dentro_D__contacto">'[1]Inventario muestras'!$BT$2:$BT$1048576</definedName>
    <definedName name="sss">'[4]Inventario muestras'!$G$2:$G$1048576</definedName>
    <definedName name="ssss3">'[4]Base de datos clientes'!$D$7:$D$122</definedName>
    <definedName name="Teléfono">'[1]Base de datos clientes'!$J$7:$J$7</definedName>
    <definedName name="Teléfono_contacto">'[1]Base de datos clientes'!$J$7:$J$123</definedName>
    <definedName name="Teléfono_del_personal_que_cotizó">'[1]Base de datos clientes'!$O$7:$O$123</definedName>
    <definedName name="Tiempo_de_entrega">'[1]Base de datos clientes'!$R$7:$R$123</definedName>
    <definedName name="Tipo_de_ensayo">'[1]Base de datos clientes'!$Y$7:$Y$123</definedName>
    <definedName name="Tipo_de_envase">'[1]Base de datos clientes'!$U$7:$U$123</definedName>
    <definedName name="Ubicación">'[1]Inventario muestras'!$D$2:$D$1048576</definedName>
    <definedName name="Validez_de_la_oferta">'[1]Base de datos clientes'!$S$7:$S$123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R144" i="1" l="1"/>
  <c r="UQ144" i="1"/>
  <c r="UP144" i="1"/>
  <c r="UO144" i="1"/>
  <c r="UN144" i="1"/>
  <c r="TH144" i="1"/>
  <c r="TG144" i="1"/>
  <c r="TF144" i="1"/>
  <c r="TE144" i="1"/>
  <c r="TD144" i="1"/>
  <c r="SP144" i="1"/>
  <c r="SO144" i="1"/>
  <c r="SN144" i="1"/>
  <c r="SM144" i="1"/>
  <c r="SL144" i="1"/>
  <c r="PD144" i="1"/>
  <c r="PC144" i="1"/>
  <c r="PB144" i="1"/>
  <c r="PA144" i="1"/>
  <c r="OZ144" i="1"/>
  <c r="NT144" i="1"/>
  <c r="NS144" i="1"/>
  <c r="NR144" i="1"/>
  <c r="NQ144" i="1"/>
  <c r="NP144" i="1"/>
  <c r="ET144" i="1"/>
  <c r="ES144" i="1"/>
  <c r="ER144" i="1"/>
  <c r="EQ144" i="1"/>
  <c r="EP144" i="1"/>
  <c r="CR144" i="1"/>
  <c r="CQ144" i="1"/>
  <c r="CP144" i="1"/>
  <c r="CO144" i="1"/>
  <c r="CN144" i="1"/>
  <c r="BZ144" i="1"/>
  <c r="BY144" i="1"/>
  <c r="BX144" i="1"/>
  <c r="BW144" i="1"/>
  <c r="BV144" i="1"/>
  <c r="BH144" i="1"/>
  <c r="BG144" i="1"/>
  <c r="BF144" i="1"/>
  <c r="BE144" i="1"/>
  <c r="BD144" i="1"/>
  <c r="F144" i="1"/>
  <c r="E144" i="1"/>
  <c r="D144" i="1"/>
  <c r="C144" i="1"/>
  <c r="B144" i="1"/>
  <c r="N80" i="1"/>
  <c r="P78" i="1"/>
  <c r="P75" i="1"/>
  <c r="N75" i="1"/>
  <c r="K92" i="1"/>
  <c r="K93" i="1"/>
  <c r="K94" i="1"/>
  <c r="K95" i="1"/>
  <c r="K96" i="1"/>
  <c r="I107" i="1"/>
  <c r="N227" i="1"/>
  <c r="N229" i="1" s="1"/>
  <c r="F97" i="1"/>
  <c r="D215" i="1"/>
  <c r="D222" i="1" s="1"/>
  <c r="BH113" i="1"/>
  <c r="BG113" i="1"/>
  <c r="BF113" i="1"/>
  <c r="BE113" i="1"/>
  <c r="BD113" i="1"/>
  <c r="F113" i="1"/>
  <c r="E113" i="1"/>
  <c r="D113" i="1"/>
  <c r="C113" i="1"/>
  <c r="B113" i="1"/>
  <c r="CR112" i="1"/>
  <c r="CQ112" i="1"/>
  <c r="CP112" i="1"/>
  <c r="CO112" i="1"/>
  <c r="CN112" i="1"/>
  <c r="BZ112" i="1"/>
  <c r="BY112" i="1"/>
  <c r="BX112" i="1"/>
  <c r="BW112" i="1"/>
  <c r="BV112" i="1"/>
  <c r="BH112" i="1"/>
  <c r="BG112" i="1"/>
  <c r="BF112" i="1"/>
  <c r="BE112" i="1"/>
  <c r="BD112" i="1"/>
  <c r="F112" i="1"/>
  <c r="E112" i="1"/>
  <c r="D112" i="1"/>
  <c r="C112" i="1"/>
  <c r="B112" i="1"/>
  <c r="G102" i="1"/>
  <c r="E17" i="47"/>
  <c r="AI12" i="9"/>
  <c r="B114" i="1" l="1"/>
  <c r="AG6" i="9"/>
  <c r="H230" i="1" l="1"/>
  <c r="ES158" i="1" l="1"/>
  <c r="ES159" i="1"/>
  <c r="ES160" i="1"/>
  <c r="ES161" i="1"/>
  <c r="ES157" i="1"/>
  <c r="BG118" i="1"/>
  <c r="BG119" i="1"/>
  <c r="BG120" i="1"/>
  <c r="BG117" i="1"/>
  <c r="BG116" i="1"/>
  <c r="BY161" i="1"/>
  <c r="BY159" i="1"/>
  <c r="BY158" i="1"/>
  <c r="BY160" i="1"/>
  <c r="BY157" i="1"/>
  <c r="G13" i="69" l="1"/>
  <c r="E38" i="91"/>
  <c r="E22" i="91"/>
  <c r="M39" i="9"/>
  <c r="J19" i="105"/>
  <c r="J18" i="105"/>
  <c r="J17" i="105"/>
  <c r="J16" i="105"/>
  <c r="J13" i="105"/>
  <c r="J12" i="105"/>
  <c r="J11" i="105"/>
  <c r="J10" i="105"/>
  <c r="J9" i="105"/>
  <c r="J8" i="105"/>
  <c r="J4" i="105"/>
  <c r="J3" i="105"/>
  <c r="J5" i="105" s="1"/>
  <c r="P81" i="104" l="1"/>
  <c r="L81" i="104"/>
  <c r="H81" i="104"/>
  <c r="P80" i="104"/>
  <c r="L80" i="104"/>
  <c r="H80" i="104"/>
  <c r="P79" i="104"/>
  <c r="L79" i="104"/>
  <c r="H79" i="104"/>
  <c r="P78" i="104"/>
  <c r="L78" i="104"/>
  <c r="H78" i="104"/>
  <c r="P77" i="104"/>
  <c r="L77" i="104"/>
  <c r="H77" i="104"/>
  <c r="P76" i="104"/>
  <c r="L76" i="104"/>
  <c r="H76" i="104"/>
  <c r="P75" i="104"/>
  <c r="L75" i="104"/>
  <c r="H75" i="104"/>
  <c r="U55" i="104"/>
  <c r="U95" i="104" s="1"/>
  <c r="P81" i="103"/>
  <c r="L81" i="103"/>
  <c r="H81" i="103"/>
  <c r="P80" i="103"/>
  <c r="L80" i="103"/>
  <c r="H80" i="103"/>
  <c r="P79" i="103"/>
  <c r="L79" i="103"/>
  <c r="H79" i="103"/>
  <c r="P78" i="103"/>
  <c r="L78" i="103"/>
  <c r="H78" i="103"/>
  <c r="P77" i="103"/>
  <c r="L77" i="103"/>
  <c r="H77" i="103"/>
  <c r="P76" i="103"/>
  <c r="L76" i="103"/>
  <c r="H76" i="103"/>
  <c r="P75" i="103"/>
  <c r="L75" i="103"/>
  <c r="H75" i="103"/>
  <c r="P74" i="103"/>
  <c r="H74" i="103"/>
  <c r="P73" i="103"/>
  <c r="H73" i="103"/>
  <c r="P72" i="103"/>
  <c r="H72" i="103"/>
  <c r="P71" i="103"/>
  <c r="L71" i="103"/>
  <c r="P70" i="103"/>
  <c r="L70" i="103"/>
  <c r="P69" i="103"/>
  <c r="L69" i="103"/>
  <c r="P68" i="103"/>
  <c r="L68" i="103"/>
  <c r="P67" i="103"/>
  <c r="L67" i="103"/>
  <c r="P66" i="103"/>
  <c r="L66" i="103"/>
  <c r="P65" i="103"/>
  <c r="L65" i="103"/>
  <c r="P64" i="103"/>
  <c r="L64" i="103"/>
  <c r="P63" i="103"/>
  <c r="L63" i="103"/>
  <c r="P62" i="103"/>
  <c r="L62" i="103"/>
  <c r="E38" i="103"/>
  <c r="E36" i="103"/>
  <c r="E33" i="103"/>
  <c r="E32" i="103"/>
  <c r="E31" i="103"/>
  <c r="E30" i="103"/>
  <c r="E29" i="103"/>
  <c r="E28" i="103"/>
  <c r="E21" i="103"/>
  <c r="E19" i="103"/>
  <c r="E18" i="103"/>
  <c r="E16" i="103"/>
  <c r="E10" i="103"/>
  <c r="E9" i="103"/>
  <c r="E8" i="103"/>
  <c r="A4" i="103"/>
  <c r="U55" i="103" s="1"/>
  <c r="U95" i="103" s="1"/>
  <c r="P73" i="101" l="1"/>
  <c r="P74" i="101"/>
  <c r="P75" i="101"/>
  <c r="P76" i="101"/>
  <c r="P77" i="101"/>
  <c r="P78" i="101"/>
  <c r="P79" i="101"/>
  <c r="P80" i="101"/>
  <c r="P81" i="101"/>
  <c r="L81" i="101"/>
  <c r="L75" i="101"/>
  <c r="L76" i="101"/>
  <c r="L77" i="101"/>
  <c r="L78" i="101"/>
  <c r="L79" i="101"/>
  <c r="L80" i="101"/>
  <c r="E18" i="101"/>
  <c r="E19" i="101"/>
  <c r="E19" i="99" l="1"/>
  <c r="E18" i="99"/>
  <c r="E16" i="101"/>
  <c r="E45" i="77"/>
  <c r="F45" i="77"/>
  <c r="G45" i="77"/>
  <c r="H45" i="77"/>
  <c r="E46" i="77"/>
  <c r="F46" i="77"/>
  <c r="G46" i="77"/>
  <c r="H46" i="77"/>
  <c r="E47" i="77"/>
  <c r="F47" i="77"/>
  <c r="G47" i="77"/>
  <c r="H47" i="77"/>
  <c r="E48" i="77"/>
  <c r="F48" i="77"/>
  <c r="G48" i="77"/>
  <c r="H48" i="77"/>
  <c r="E49" i="77"/>
  <c r="F49" i="77"/>
  <c r="G49" i="77"/>
  <c r="H49" i="77"/>
  <c r="E50" i="77"/>
  <c r="F50" i="77"/>
  <c r="G50" i="77"/>
  <c r="H50" i="77"/>
  <c r="E51" i="77"/>
  <c r="F51" i="77"/>
  <c r="G51" i="77"/>
  <c r="H51" i="77"/>
  <c r="E52" i="77"/>
  <c r="F52" i="77"/>
  <c r="G52" i="77"/>
  <c r="H52" i="77"/>
  <c r="E53" i="77"/>
  <c r="F53" i="77"/>
  <c r="G53" i="77"/>
  <c r="H53" i="77"/>
  <c r="E54" i="77"/>
  <c r="F54" i="77"/>
  <c r="G54" i="77"/>
  <c r="H54" i="77"/>
  <c r="E55" i="77"/>
  <c r="F55" i="77"/>
  <c r="G55" i="77"/>
  <c r="H55" i="77"/>
  <c r="E56" i="77"/>
  <c r="F56" i="77"/>
  <c r="G56" i="77"/>
  <c r="H56" i="77"/>
  <c r="E57" i="77"/>
  <c r="F57" i="77"/>
  <c r="G57" i="77"/>
  <c r="H57" i="77"/>
  <c r="E58" i="77"/>
  <c r="F58" i="77"/>
  <c r="G58" i="77"/>
  <c r="H58" i="77"/>
  <c r="E59" i="77"/>
  <c r="F59" i="77"/>
  <c r="G59" i="77"/>
  <c r="H59" i="77"/>
  <c r="E60" i="77"/>
  <c r="F60" i="77"/>
  <c r="G60" i="77"/>
  <c r="H60" i="77"/>
  <c r="E61" i="77"/>
  <c r="F61" i="77"/>
  <c r="G61" i="77"/>
  <c r="H61" i="77"/>
  <c r="E62" i="77"/>
  <c r="F62" i="77"/>
  <c r="G62" i="77"/>
  <c r="H62" i="77"/>
  <c r="E63" i="77"/>
  <c r="F63" i="77"/>
  <c r="G63" i="77"/>
  <c r="H63" i="77"/>
  <c r="E64" i="77"/>
  <c r="F64" i="77"/>
  <c r="G64" i="77"/>
  <c r="H64" i="77"/>
  <c r="E65" i="77"/>
  <c r="F65" i="77"/>
  <c r="G65" i="77"/>
  <c r="H65" i="77"/>
  <c r="E66" i="77"/>
  <c r="F66" i="77"/>
  <c r="G66" i="77"/>
  <c r="H66" i="77"/>
  <c r="E67" i="77"/>
  <c r="F67" i="77"/>
  <c r="G67" i="77"/>
  <c r="H67" i="77"/>
  <c r="E68" i="77"/>
  <c r="F68" i="77"/>
  <c r="G68" i="77"/>
  <c r="H68" i="77"/>
  <c r="H44" i="77"/>
  <c r="G44" i="77"/>
  <c r="F44" i="77"/>
  <c r="E44" i="77"/>
  <c r="B49" i="77"/>
  <c r="B50" i="77"/>
  <c r="B51" i="77"/>
  <c r="D51" i="77" s="1"/>
  <c r="B52" i="77"/>
  <c r="D52" i="77" s="1"/>
  <c r="B53" i="77"/>
  <c r="D53" i="77" s="1"/>
  <c r="B54" i="77"/>
  <c r="D54" i="77" s="1"/>
  <c r="B55" i="77"/>
  <c r="D55" i="77" s="1"/>
  <c r="B56" i="77"/>
  <c r="D56" i="77" s="1"/>
  <c r="B57" i="77"/>
  <c r="D57" i="77" s="1"/>
  <c r="B58" i="77"/>
  <c r="D58" i="77" s="1"/>
  <c r="B59" i="77"/>
  <c r="D59" i="77" s="1"/>
  <c r="B60" i="77"/>
  <c r="D60" i="77" s="1"/>
  <c r="B61" i="77"/>
  <c r="D61" i="77" s="1"/>
  <c r="B62" i="77"/>
  <c r="D62" i="77" s="1"/>
  <c r="B63" i="77"/>
  <c r="D63" i="77" s="1"/>
  <c r="B64" i="77"/>
  <c r="D64" i="77" s="1"/>
  <c r="B65" i="77"/>
  <c r="D65" i="77" s="1"/>
  <c r="B66" i="77"/>
  <c r="C66" i="77" s="1"/>
  <c r="B67" i="77"/>
  <c r="D67" i="77" s="1"/>
  <c r="B68" i="77"/>
  <c r="D68" i="77" s="1"/>
  <c r="B46" i="77"/>
  <c r="C79" i="101" s="1"/>
  <c r="B47" i="77"/>
  <c r="D47" i="77" s="1"/>
  <c r="B48" i="77"/>
  <c r="C81" i="101" s="1"/>
  <c r="B45" i="77"/>
  <c r="C78" i="101" s="1"/>
  <c r="A45" i="77"/>
  <c r="A46" i="77"/>
  <c r="A47" i="77"/>
  <c r="A48" i="77"/>
  <c r="A49" i="77"/>
  <c r="A50" i="77"/>
  <c r="A51" i="77"/>
  <c r="A52" i="77"/>
  <c r="A53" i="77"/>
  <c r="A54" i="77"/>
  <c r="A55" i="77"/>
  <c r="A56" i="77"/>
  <c r="A57" i="77"/>
  <c r="A58" i="77"/>
  <c r="A59" i="77"/>
  <c r="A60" i="77"/>
  <c r="A61" i="77"/>
  <c r="A62" i="77"/>
  <c r="A63" i="77"/>
  <c r="A64" i="77"/>
  <c r="A65" i="77"/>
  <c r="A66" i="77"/>
  <c r="A67" i="77"/>
  <c r="A68" i="77"/>
  <c r="A44" i="77"/>
  <c r="A19" i="77"/>
  <c r="A20" i="77"/>
  <c r="A21" i="77"/>
  <c r="A22" i="77"/>
  <c r="A23" i="77"/>
  <c r="A24" i="77"/>
  <c r="A25" i="77"/>
  <c r="A26" i="77"/>
  <c r="A27" i="77"/>
  <c r="A28" i="77"/>
  <c r="A29" i="77"/>
  <c r="A30" i="77"/>
  <c r="A31" i="77"/>
  <c r="A32" i="77"/>
  <c r="A18" i="77"/>
  <c r="B44" i="77"/>
  <c r="N61" i="77"/>
  <c r="N60" i="77"/>
  <c r="N59" i="77"/>
  <c r="N58" i="77"/>
  <c r="N57" i="77"/>
  <c r="N56" i="77"/>
  <c r="N55" i="77"/>
  <c r="N54" i="77"/>
  <c r="N53" i="77"/>
  <c r="N52" i="77"/>
  <c r="N68" i="77"/>
  <c r="N67" i="77"/>
  <c r="N66" i="77"/>
  <c r="N65" i="77"/>
  <c r="N64" i="77"/>
  <c r="N63" i="77"/>
  <c r="N62" i="77"/>
  <c r="N51" i="77"/>
  <c r="N50" i="77"/>
  <c r="N49" i="77"/>
  <c r="N48" i="77"/>
  <c r="N47" i="77"/>
  <c r="N46" i="77"/>
  <c r="D46" i="77"/>
  <c r="G79" i="101" s="1"/>
  <c r="N45" i="77"/>
  <c r="N44" i="77"/>
  <c r="H72" i="101"/>
  <c r="H73" i="101"/>
  <c r="H74" i="101"/>
  <c r="H75" i="101"/>
  <c r="G80" i="103" l="1"/>
  <c r="G80" i="104"/>
  <c r="G80" i="101"/>
  <c r="C62" i="77"/>
  <c r="D44" i="77"/>
  <c r="C45" i="103"/>
  <c r="C77" i="104"/>
  <c r="C77" i="103"/>
  <c r="C45" i="101"/>
  <c r="C47" i="103"/>
  <c r="C79" i="103"/>
  <c r="C79" i="104"/>
  <c r="C47" i="101"/>
  <c r="C50" i="103"/>
  <c r="C50" i="104"/>
  <c r="C50" i="101"/>
  <c r="C65" i="77"/>
  <c r="C61" i="77"/>
  <c r="C57" i="77"/>
  <c r="C53" i="77"/>
  <c r="C49" i="77"/>
  <c r="D49" i="77"/>
  <c r="C51" i="103"/>
  <c r="C51" i="104"/>
  <c r="C51" i="101"/>
  <c r="C58" i="77"/>
  <c r="D66" i="77"/>
  <c r="D50" i="77"/>
  <c r="D45" i="77"/>
  <c r="C78" i="103"/>
  <c r="C46" i="103"/>
  <c r="C78" i="104"/>
  <c r="C46" i="101"/>
  <c r="C68" i="77"/>
  <c r="C64" i="77"/>
  <c r="C60" i="77"/>
  <c r="C56" i="77"/>
  <c r="C52" i="77"/>
  <c r="D48" i="77"/>
  <c r="G79" i="103"/>
  <c r="G79" i="104"/>
  <c r="C80" i="103"/>
  <c r="C48" i="103"/>
  <c r="C80" i="104"/>
  <c r="C48" i="101"/>
  <c r="C54" i="77"/>
  <c r="C50" i="77"/>
  <c r="C81" i="103"/>
  <c r="C81" i="104"/>
  <c r="C49" i="103"/>
  <c r="C49" i="101"/>
  <c r="C67" i="77"/>
  <c r="C63" i="77"/>
  <c r="C59" i="77"/>
  <c r="C55" i="77"/>
  <c r="C51" i="77"/>
  <c r="C80" i="101"/>
  <c r="C44" i="77"/>
  <c r="C45" i="77"/>
  <c r="C46" i="77"/>
  <c r="C47" i="77"/>
  <c r="C48" i="77"/>
  <c r="C77" i="101"/>
  <c r="G81" i="103" l="1"/>
  <c r="G81" i="104"/>
  <c r="G81" i="101"/>
  <c r="D81" i="104"/>
  <c r="D81" i="103"/>
  <c r="D81" i="101"/>
  <c r="D77" i="104"/>
  <c r="D77" i="103"/>
  <c r="D77" i="101"/>
  <c r="D79" i="104"/>
  <c r="D79" i="103"/>
  <c r="D79" i="101"/>
  <c r="D78" i="104"/>
  <c r="D78" i="103"/>
  <c r="D78" i="101"/>
  <c r="D80" i="104"/>
  <c r="D80" i="103"/>
  <c r="D80" i="101"/>
  <c r="G78" i="103"/>
  <c r="G78" i="104"/>
  <c r="G78" i="101"/>
  <c r="G77" i="103"/>
  <c r="G77" i="104"/>
  <c r="G77" i="101"/>
  <c r="C6" i="77"/>
  <c r="E12" i="103" s="1"/>
  <c r="A72" i="77" l="1"/>
  <c r="A36" i="77"/>
  <c r="H81" i="101"/>
  <c r="H80" i="101"/>
  <c r="H79" i="101"/>
  <c r="H78" i="101"/>
  <c r="H77" i="101"/>
  <c r="H76" i="101"/>
  <c r="P68" i="99" l="1"/>
  <c r="P67" i="99"/>
  <c r="P66" i="99"/>
  <c r="P65" i="99"/>
  <c r="P43" i="99"/>
  <c r="L68" i="99"/>
  <c r="L67" i="99"/>
  <c r="L66" i="99"/>
  <c r="L65" i="99"/>
  <c r="H68" i="99"/>
  <c r="H67" i="99"/>
  <c r="H66" i="99"/>
  <c r="H65" i="99"/>
  <c r="H56" i="99"/>
  <c r="H17" i="21" l="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16" i="21"/>
  <c r="C21" i="14" l="1"/>
  <c r="D21" i="58"/>
  <c r="C50" i="49"/>
  <c r="U48" i="18"/>
  <c r="V48" i="18"/>
  <c r="T56" i="18"/>
  <c r="T54" i="18"/>
  <c r="S56" i="18"/>
  <c r="S54" i="18"/>
  <c r="U56" i="18"/>
  <c r="U54" i="18"/>
  <c r="V56" i="18"/>
  <c r="V54" i="18"/>
  <c r="V52" i="18"/>
  <c r="U52" i="18"/>
  <c r="T52" i="18"/>
  <c r="S52" i="18"/>
  <c r="R56" i="18"/>
  <c r="R54" i="18"/>
  <c r="R52" i="18"/>
  <c r="Q56" i="18"/>
  <c r="Q54" i="18"/>
  <c r="Q52" i="18"/>
  <c r="Q50" i="18"/>
  <c r="P56" i="18"/>
  <c r="P55" i="18"/>
  <c r="P54" i="18"/>
  <c r="P53" i="18"/>
  <c r="P52" i="18"/>
  <c r="P51" i="18"/>
  <c r="P50" i="18"/>
  <c r="P49" i="18"/>
  <c r="O56" i="18"/>
  <c r="O55" i="18"/>
  <c r="O54" i="18"/>
  <c r="O53" i="18"/>
  <c r="O52" i="18"/>
  <c r="O51" i="18"/>
  <c r="O50" i="18"/>
  <c r="O49" i="18"/>
  <c r="Q55" i="18" l="1"/>
  <c r="Q51" i="18"/>
  <c r="Q53" i="18"/>
  <c r="Q49" i="18"/>
  <c r="U51" i="18"/>
  <c r="V51" i="18" s="1"/>
  <c r="U55" i="18"/>
  <c r="V55" i="18" s="1"/>
  <c r="U53" i="18"/>
  <c r="V53" i="18" s="1"/>
  <c r="R51" i="18"/>
  <c r="S51" i="18" s="1"/>
  <c r="R55" i="18"/>
  <c r="T55" i="18" s="1"/>
  <c r="R53" i="18"/>
  <c r="E128" i="98"/>
  <c r="K128" i="98" s="1"/>
  <c r="Y51" i="18" l="1"/>
  <c r="Y53" i="18"/>
  <c r="Y55" i="18"/>
  <c r="S55" i="18"/>
  <c r="S53" i="18"/>
  <c r="T53" i="18"/>
  <c r="T51" i="18"/>
  <c r="H128" i="98"/>
  <c r="R56" i="47"/>
  <c r="R55" i="47"/>
  <c r="R54" i="47"/>
  <c r="R53" i="47"/>
  <c r="R52" i="47"/>
  <c r="R51" i="47"/>
  <c r="R50" i="47"/>
  <c r="R49" i="47"/>
  <c r="R48" i="47"/>
  <c r="R47" i="47"/>
  <c r="R46" i="47"/>
  <c r="R45" i="47"/>
  <c r="S45" i="88"/>
  <c r="C60" i="47" l="1"/>
  <c r="H19" i="77" l="1"/>
  <c r="H20" i="77"/>
  <c r="H21" i="77"/>
  <c r="A4" i="98"/>
  <c r="H10" i="9" l="1"/>
  <c r="E28" i="98" l="1"/>
  <c r="A4" i="102" l="1"/>
  <c r="U57" i="102" s="1"/>
  <c r="L71" i="101"/>
  <c r="L70" i="101"/>
  <c r="L69" i="101"/>
  <c r="L68" i="101"/>
  <c r="L67" i="101"/>
  <c r="L66" i="101"/>
  <c r="L65" i="101"/>
  <c r="L64" i="101"/>
  <c r="L63" i="101"/>
  <c r="E38" i="101"/>
  <c r="E36" i="101"/>
  <c r="E33" i="101"/>
  <c r="E32" i="101"/>
  <c r="E31" i="101"/>
  <c r="E30" i="101"/>
  <c r="E29" i="101"/>
  <c r="E28" i="101"/>
  <c r="E21" i="101"/>
  <c r="E12" i="101"/>
  <c r="E10" i="101"/>
  <c r="E9" i="101"/>
  <c r="E8" i="101"/>
  <c r="A4" i="101"/>
  <c r="U55" i="101" s="1"/>
  <c r="U95" i="101" s="1"/>
  <c r="A4" i="100"/>
  <c r="U57" i="100" s="1"/>
  <c r="U81" i="100" s="1"/>
  <c r="H65" i="100"/>
  <c r="K65" i="100" s="1"/>
  <c r="G65" i="100"/>
  <c r="D65" i="100"/>
  <c r="C65" i="100"/>
  <c r="H64" i="100"/>
  <c r="K64" i="100" s="1"/>
  <c r="G64" i="100"/>
  <c r="D64" i="100"/>
  <c r="C64" i="100"/>
  <c r="H63" i="100"/>
  <c r="K63" i="100" s="1"/>
  <c r="G63" i="100"/>
  <c r="D63" i="100"/>
  <c r="C63" i="100"/>
  <c r="H62" i="100"/>
  <c r="K62" i="100" s="1"/>
  <c r="G62" i="100"/>
  <c r="D62" i="100"/>
  <c r="C62" i="100"/>
  <c r="C66" i="99"/>
  <c r="D66" i="99"/>
  <c r="G66" i="99"/>
  <c r="C67" i="99"/>
  <c r="D67" i="99"/>
  <c r="G67" i="99"/>
  <c r="C68" i="99"/>
  <c r="D68" i="99"/>
  <c r="G68" i="99"/>
  <c r="E38" i="99"/>
  <c r="E36" i="99"/>
  <c r="E31" i="99"/>
  <c r="E32" i="99"/>
  <c r="E30" i="99"/>
  <c r="A4" i="99"/>
  <c r="U60" i="99" s="1"/>
  <c r="U84" i="99" s="1"/>
  <c r="P56" i="99"/>
  <c r="L56" i="99"/>
  <c r="P55" i="99"/>
  <c r="H55" i="99"/>
  <c r="L52" i="99"/>
  <c r="L51" i="99"/>
  <c r="L50" i="99"/>
  <c r="L49" i="99"/>
  <c r="L48" i="99"/>
  <c r="L47" i="99"/>
  <c r="L46" i="99"/>
  <c r="L45" i="99"/>
  <c r="L44" i="99"/>
  <c r="E33" i="99"/>
  <c r="E29" i="99"/>
  <c r="E28" i="99"/>
  <c r="E21" i="99"/>
  <c r="E16" i="99"/>
  <c r="E12" i="99"/>
  <c r="E10" i="99"/>
  <c r="E9" i="99"/>
  <c r="E8" i="99"/>
  <c r="A5" i="78"/>
  <c r="I102" i="1" l="1"/>
  <c r="J102" i="1" s="1"/>
  <c r="P102" i="1"/>
  <c r="Q102" i="1" s="1"/>
  <c r="R102" i="1"/>
  <c r="Y102" i="1"/>
  <c r="AA102" i="1"/>
  <c r="AB102" i="1" s="1"/>
  <c r="AH102" i="1"/>
  <c r="AI102" i="1"/>
  <c r="AJ102" i="1"/>
  <c r="AQ102" i="1"/>
  <c r="AS102" i="1"/>
  <c r="AT102" i="1" s="1"/>
  <c r="AZ102" i="1"/>
  <c r="BA102" i="1"/>
  <c r="BB102" i="1"/>
  <c r="BI102" i="1"/>
  <c r="BK102" i="1" s="1"/>
  <c r="BR102" i="1"/>
  <c r="BS102" i="1" s="1"/>
  <c r="BT102" i="1"/>
  <c r="CA102" i="1"/>
  <c r="CC102" i="1" s="1"/>
  <c r="CD102" i="1" s="1"/>
  <c r="CJ102" i="1"/>
  <c r="CK102" i="1" s="1"/>
  <c r="CL102" i="1"/>
  <c r="CS102" i="1"/>
  <c r="CU102" i="1" s="1"/>
  <c r="CV102" i="1" s="1"/>
  <c r="DB102" i="1"/>
  <c r="DC102" i="1" s="1"/>
  <c r="DD102" i="1"/>
  <c r="DK102" i="1"/>
  <c r="DM102" i="1"/>
  <c r="DN102" i="1" s="1"/>
  <c r="DT102" i="1"/>
  <c r="DU102" i="1"/>
  <c r="DV102" i="1"/>
  <c r="EC102" i="1"/>
  <c r="EE102" i="1"/>
  <c r="EF102" i="1" s="1"/>
  <c r="EL102" i="1"/>
  <c r="EM102" i="1"/>
  <c r="EN102" i="1"/>
  <c r="EU102" i="1"/>
  <c r="EW102" i="1" s="1"/>
  <c r="EX102" i="1" s="1"/>
  <c r="FD102" i="1"/>
  <c r="FE102" i="1" s="1"/>
  <c r="FF102" i="1"/>
  <c r="FM102" i="1"/>
  <c r="FO102" i="1"/>
  <c r="FP102" i="1" s="1"/>
  <c r="FV102" i="1"/>
  <c r="FW102" i="1"/>
  <c r="FX102" i="1"/>
  <c r="GE102" i="1"/>
  <c r="GG102" i="1"/>
  <c r="GH102" i="1" s="1"/>
  <c r="GN102" i="1"/>
  <c r="GO102" i="1"/>
  <c r="GP102" i="1"/>
  <c r="GW102" i="1"/>
  <c r="GY102" i="1"/>
  <c r="GZ102" i="1" s="1"/>
  <c r="HF102" i="1"/>
  <c r="HG102" i="1"/>
  <c r="HH102" i="1"/>
  <c r="HO102" i="1"/>
  <c r="HQ102" i="1"/>
  <c r="HR102" i="1" s="1"/>
  <c r="HX102" i="1"/>
  <c r="HY102" i="1"/>
  <c r="HZ102" i="1"/>
  <c r="IG102" i="1"/>
  <c r="II102" i="1"/>
  <c r="IJ102" i="1" s="1"/>
  <c r="IP102" i="1"/>
  <c r="IQ102" i="1"/>
  <c r="IR102" i="1"/>
  <c r="IY102" i="1"/>
  <c r="JA102" i="1"/>
  <c r="JB102" i="1" s="1"/>
  <c r="JH102" i="1"/>
  <c r="JI102" i="1"/>
  <c r="JJ102" i="1"/>
  <c r="JQ102" i="1"/>
  <c r="JS102" i="1"/>
  <c r="JT102" i="1" s="1"/>
  <c r="JZ102" i="1"/>
  <c r="KA102" i="1"/>
  <c r="KB102" i="1"/>
  <c r="KI102" i="1"/>
  <c r="KK102" i="1"/>
  <c r="KL102" i="1" s="1"/>
  <c r="KR102" i="1"/>
  <c r="KS102" i="1"/>
  <c r="KT102" i="1"/>
  <c r="LA102" i="1"/>
  <c r="LC102" i="1"/>
  <c r="LD102" i="1" s="1"/>
  <c r="LJ102" i="1"/>
  <c r="LK102" i="1"/>
  <c r="LL102" i="1"/>
  <c r="LS102" i="1"/>
  <c r="LU102" i="1"/>
  <c r="LV102" i="1" s="1"/>
  <c r="MB102" i="1"/>
  <c r="MC102" i="1"/>
  <c r="MD102" i="1"/>
  <c r="MK102" i="1"/>
  <c r="MM102" i="1"/>
  <c r="MN102" i="1" s="1"/>
  <c r="MT102" i="1"/>
  <c r="MU102" i="1"/>
  <c r="MV102" i="1"/>
  <c r="NC102" i="1"/>
  <c r="NE102" i="1"/>
  <c r="NF102" i="1" s="1"/>
  <c r="NL102" i="1"/>
  <c r="NM102" i="1"/>
  <c r="NN102" i="1"/>
  <c r="NU102" i="1"/>
  <c r="NW102" i="1" s="1"/>
  <c r="NX102" i="1" s="1"/>
  <c r="OD102" i="1"/>
  <c r="OE102" i="1" s="1"/>
  <c r="OF102" i="1"/>
  <c r="OM102" i="1"/>
  <c r="OO102" i="1"/>
  <c r="OP102" i="1" s="1"/>
  <c r="OV102" i="1"/>
  <c r="OW102" i="1"/>
  <c r="OX102" i="1"/>
  <c r="PE102" i="1"/>
  <c r="PG102" i="1" s="1"/>
  <c r="PN102" i="1"/>
  <c r="PO102" i="1" s="1"/>
  <c r="PP102" i="1"/>
  <c r="PW102" i="1"/>
  <c r="PY102" i="1"/>
  <c r="PZ102" i="1" s="1"/>
  <c r="QF102" i="1"/>
  <c r="QG102" i="1"/>
  <c r="QH102" i="1"/>
  <c r="QO102" i="1"/>
  <c r="QQ102" i="1"/>
  <c r="QR102" i="1" s="1"/>
  <c r="QX102" i="1"/>
  <c r="QY102" i="1"/>
  <c r="QZ102" i="1"/>
  <c r="RG102" i="1"/>
  <c r="RI102" i="1"/>
  <c r="RJ102" i="1" s="1"/>
  <c r="RP102" i="1"/>
  <c r="RQ102" i="1"/>
  <c r="RR102" i="1"/>
  <c r="RY102" i="1"/>
  <c r="SA102" i="1"/>
  <c r="SB102" i="1" s="1"/>
  <c r="SH102" i="1"/>
  <c r="SI102" i="1"/>
  <c r="SJ102" i="1"/>
  <c r="SQ102" i="1"/>
  <c r="SS102" i="1" s="1"/>
  <c r="ST102" i="1" s="1"/>
  <c r="SZ102" i="1"/>
  <c r="TA102" i="1" s="1"/>
  <c r="TB102" i="1"/>
  <c r="TI102" i="1"/>
  <c r="TK102" i="1" s="1"/>
  <c r="TL102" i="1" s="1"/>
  <c r="TR102" i="1"/>
  <c r="TS102" i="1" s="1"/>
  <c r="TT102" i="1"/>
  <c r="UA102" i="1"/>
  <c r="UC102" i="1"/>
  <c r="UD102" i="1" s="1"/>
  <c r="UJ102" i="1"/>
  <c r="UK102" i="1"/>
  <c r="UL102" i="1"/>
  <c r="US102" i="1"/>
  <c r="UU102" i="1" s="1"/>
  <c r="UV102" i="1" s="1"/>
  <c r="VB102" i="1"/>
  <c r="VC102" i="1" s="1"/>
  <c r="VD102" i="1"/>
  <c r="G103" i="1"/>
  <c r="I103" i="1" s="1"/>
  <c r="J103" i="1" s="1"/>
  <c r="P103" i="1"/>
  <c r="Q103" i="1" s="1"/>
  <c r="R103" i="1"/>
  <c r="Y103" i="1"/>
  <c r="AA103" i="1"/>
  <c r="AB103" i="1" s="1"/>
  <c r="AH103" i="1"/>
  <c r="AI103" i="1"/>
  <c r="AJ103" i="1"/>
  <c r="AQ103" i="1"/>
  <c r="AS103" i="1"/>
  <c r="AT103" i="1" s="1"/>
  <c r="AZ103" i="1"/>
  <c r="BA103" i="1"/>
  <c r="BB103" i="1"/>
  <c r="BI103" i="1"/>
  <c r="BK103" i="1" s="1"/>
  <c r="BL103" i="1" s="1"/>
  <c r="BR103" i="1"/>
  <c r="BS103" i="1" s="1"/>
  <c r="BT103" i="1"/>
  <c r="CA103" i="1"/>
  <c r="CC103" i="1" s="1"/>
  <c r="CD103" i="1" s="1"/>
  <c r="CJ103" i="1"/>
  <c r="CK103" i="1" s="1"/>
  <c r="CL103" i="1"/>
  <c r="CS103" i="1"/>
  <c r="CU103" i="1" s="1"/>
  <c r="CV103" i="1" s="1"/>
  <c r="DB103" i="1"/>
  <c r="DC103" i="1" s="1"/>
  <c r="DD103" i="1"/>
  <c r="DK103" i="1"/>
  <c r="DM103" i="1"/>
  <c r="DN103" i="1" s="1"/>
  <c r="DT103" i="1"/>
  <c r="DU103" i="1"/>
  <c r="DV103" i="1"/>
  <c r="EC103" i="1"/>
  <c r="EE103" i="1"/>
  <c r="EF103" i="1" s="1"/>
  <c r="EL103" i="1"/>
  <c r="EM103" i="1"/>
  <c r="EN103" i="1"/>
  <c r="EU103" i="1"/>
  <c r="EW103" i="1" s="1"/>
  <c r="EX103" i="1" s="1"/>
  <c r="FD103" i="1"/>
  <c r="FE103" i="1" s="1"/>
  <c r="FF103" i="1"/>
  <c r="FM103" i="1"/>
  <c r="FO103" i="1"/>
  <c r="FP103" i="1" s="1"/>
  <c r="FV103" i="1"/>
  <c r="FW103" i="1"/>
  <c r="FX103" i="1"/>
  <c r="GE103" i="1"/>
  <c r="GG103" i="1"/>
  <c r="GH103" i="1" s="1"/>
  <c r="GN103" i="1"/>
  <c r="GO103" i="1"/>
  <c r="GP103" i="1"/>
  <c r="GW103" i="1"/>
  <c r="GY103" i="1"/>
  <c r="GZ103" i="1" s="1"/>
  <c r="HF103" i="1"/>
  <c r="HG103" i="1"/>
  <c r="HH103" i="1"/>
  <c r="HO103" i="1"/>
  <c r="HQ103" i="1"/>
  <c r="HR103" i="1" s="1"/>
  <c r="HX103" i="1"/>
  <c r="HY103" i="1"/>
  <c r="HZ103" i="1"/>
  <c r="IG103" i="1"/>
  <c r="II103" i="1"/>
  <c r="IJ103" i="1" s="1"/>
  <c r="IP103" i="1"/>
  <c r="IQ103" i="1"/>
  <c r="IR103" i="1"/>
  <c r="IY103" i="1"/>
  <c r="JA103" i="1"/>
  <c r="JB103" i="1" s="1"/>
  <c r="JH103" i="1"/>
  <c r="JI103" i="1"/>
  <c r="JJ103" i="1"/>
  <c r="JQ103" i="1"/>
  <c r="JS103" i="1"/>
  <c r="JT103" i="1" s="1"/>
  <c r="JZ103" i="1"/>
  <c r="KA103" i="1"/>
  <c r="KB103" i="1"/>
  <c r="KI103" i="1"/>
  <c r="KK103" i="1"/>
  <c r="KL103" i="1" s="1"/>
  <c r="KR103" i="1"/>
  <c r="KS103" i="1"/>
  <c r="KT103" i="1"/>
  <c r="LA103" i="1"/>
  <c r="LC103" i="1"/>
  <c r="LD103" i="1" s="1"/>
  <c r="LJ103" i="1"/>
  <c r="LK103" i="1"/>
  <c r="LL103" i="1"/>
  <c r="LS103" i="1"/>
  <c r="LU103" i="1"/>
  <c r="LV103" i="1" s="1"/>
  <c r="MB103" i="1"/>
  <c r="MC103" i="1"/>
  <c r="MD103" i="1"/>
  <c r="MK103" i="1"/>
  <c r="MM103" i="1"/>
  <c r="MN103" i="1" s="1"/>
  <c r="MT103" i="1"/>
  <c r="MU103" i="1"/>
  <c r="MV103" i="1"/>
  <c r="NC103" i="1"/>
  <c r="NE103" i="1"/>
  <c r="NF103" i="1" s="1"/>
  <c r="NL103" i="1"/>
  <c r="NM103" i="1"/>
  <c r="NN103" i="1"/>
  <c r="NU103" i="1"/>
  <c r="NW103" i="1" s="1"/>
  <c r="NX103" i="1" s="1"/>
  <c r="OD103" i="1"/>
  <c r="OE103" i="1" s="1"/>
  <c r="OF103" i="1"/>
  <c r="OM103" i="1"/>
  <c r="OO103" i="1"/>
  <c r="OP103" i="1" s="1"/>
  <c r="OV103" i="1"/>
  <c r="OW103" i="1"/>
  <c r="OX103" i="1"/>
  <c r="PE103" i="1"/>
  <c r="PG103" i="1" s="1"/>
  <c r="PH103" i="1" s="1"/>
  <c r="PN103" i="1"/>
  <c r="PO103" i="1" s="1"/>
  <c r="PP103" i="1"/>
  <c r="PW103" i="1"/>
  <c r="PY103" i="1"/>
  <c r="PZ103" i="1" s="1"/>
  <c r="QF103" i="1"/>
  <c r="QG103" i="1"/>
  <c r="QH103" i="1"/>
  <c r="QO103" i="1"/>
  <c r="QQ103" i="1"/>
  <c r="QR103" i="1" s="1"/>
  <c r="QX103" i="1"/>
  <c r="QY103" i="1"/>
  <c r="QZ103" i="1"/>
  <c r="RG103" i="1"/>
  <c r="RI103" i="1"/>
  <c r="RJ103" i="1" s="1"/>
  <c r="RP103" i="1"/>
  <c r="RQ103" i="1"/>
  <c r="RR103" i="1"/>
  <c r="RY103" i="1"/>
  <c r="SA103" i="1"/>
  <c r="SB103" i="1" s="1"/>
  <c r="SH103" i="1"/>
  <c r="SI103" i="1"/>
  <c r="SJ103" i="1"/>
  <c r="SQ103" i="1"/>
  <c r="SS103" i="1" s="1"/>
  <c r="ST103" i="1" s="1"/>
  <c r="SZ103" i="1"/>
  <c r="TA103" i="1" s="1"/>
  <c r="TB103" i="1"/>
  <c r="TI103" i="1"/>
  <c r="TK103" i="1" s="1"/>
  <c r="TL103" i="1" s="1"/>
  <c r="TR103" i="1"/>
  <c r="TS103" i="1" s="1"/>
  <c r="TT103" i="1"/>
  <c r="UA103" i="1"/>
  <c r="UC103" i="1"/>
  <c r="UD103" i="1" s="1"/>
  <c r="UJ103" i="1"/>
  <c r="UK103" i="1"/>
  <c r="UL103" i="1"/>
  <c r="US103" i="1"/>
  <c r="UU103" i="1" s="1"/>
  <c r="UV103" i="1" s="1"/>
  <c r="VB103" i="1"/>
  <c r="VC103" i="1" s="1"/>
  <c r="VD103" i="1"/>
  <c r="S102" i="1" l="1"/>
  <c r="MW102" i="1"/>
  <c r="RA102" i="1"/>
  <c r="UM103" i="1"/>
  <c r="SK103" i="1"/>
  <c r="MW103" i="1"/>
  <c r="IA103" i="1"/>
  <c r="FY103" i="1"/>
  <c r="AK103" i="1"/>
  <c r="IS102" i="1"/>
  <c r="FY102" i="1"/>
  <c r="EO102" i="1"/>
  <c r="EO103" i="1"/>
  <c r="KU102" i="1"/>
  <c r="IS103" i="1"/>
  <c r="QI103" i="1"/>
  <c r="KU103" i="1"/>
  <c r="HI103" i="1"/>
  <c r="VE102" i="1"/>
  <c r="HI102" i="1"/>
  <c r="VE103" i="1"/>
  <c r="PQ103" i="1"/>
  <c r="NO103" i="1"/>
  <c r="KC103" i="1"/>
  <c r="DE103" i="1"/>
  <c r="BU103" i="1"/>
  <c r="SK102" i="1"/>
  <c r="ME102" i="1"/>
  <c r="GQ103" i="1"/>
  <c r="CM103" i="1"/>
  <c r="BC103" i="1"/>
  <c r="TC102" i="1"/>
  <c r="RS102" i="1"/>
  <c r="OY102" i="1"/>
  <c r="KC102" i="1"/>
  <c r="TU103" i="1"/>
  <c r="ME103" i="1"/>
  <c r="LM102" i="1"/>
  <c r="FG102" i="1"/>
  <c r="CM102" i="1"/>
  <c r="TC103" i="1"/>
  <c r="RS103" i="1"/>
  <c r="RA103" i="1"/>
  <c r="OY103" i="1"/>
  <c r="LM103" i="1"/>
  <c r="JK103" i="1"/>
  <c r="FG103" i="1"/>
  <c r="DW103" i="1"/>
  <c r="S103" i="1"/>
  <c r="UM102" i="1"/>
  <c r="IA102" i="1"/>
  <c r="AK102" i="1"/>
  <c r="OG103" i="1"/>
  <c r="TU102" i="1"/>
  <c r="BL102" i="1"/>
  <c r="BU102" i="1"/>
  <c r="OG102" i="1"/>
  <c r="PH102" i="1"/>
  <c r="PQ102" i="1"/>
  <c r="DE102" i="1"/>
  <c r="QI102" i="1"/>
  <c r="NO102" i="1"/>
  <c r="JK102" i="1"/>
  <c r="GQ102" i="1"/>
  <c r="DW102" i="1"/>
  <c r="BC102" i="1"/>
  <c r="BK126" i="1" l="1"/>
  <c r="M44" i="98" l="1"/>
  <c r="S44" i="98" s="1"/>
  <c r="E33" i="98" l="1"/>
  <c r="E31" i="98"/>
  <c r="E27" i="98"/>
  <c r="E26" i="98"/>
  <c r="E25" i="98"/>
  <c r="E24" i="98"/>
  <c r="E23" i="98"/>
  <c r="E16" i="98"/>
  <c r="E14" i="98"/>
  <c r="E12" i="98"/>
  <c r="E9" i="98"/>
  <c r="E10" i="98"/>
  <c r="E8" i="98"/>
  <c r="A5" i="98"/>
  <c r="S57" i="98" l="1"/>
  <c r="S109" i="98" s="1"/>
  <c r="G120" i="98"/>
  <c r="E127" i="98"/>
  <c r="H127" i="98" s="1"/>
  <c r="K127" i="98" l="1"/>
  <c r="E123" i="98"/>
  <c r="H123" i="98" s="1"/>
  <c r="E124" i="98"/>
  <c r="K124" i="98" s="1"/>
  <c r="E125" i="98"/>
  <c r="K125" i="98" s="1"/>
  <c r="E126" i="98"/>
  <c r="K126" i="98" s="1"/>
  <c r="E122" i="98"/>
  <c r="K122" i="98" s="1"/>
  <c r="H124" i="98" l="1"/>
  <c r="H125" i="98"/>
  <c r="K123" i="98"/>
  <c r="H126" i="98"/>
  <c r="H122" i="98"/>
  <c r="H68" i="98" l="1"/>
  <c r="C57" i="97" l="1"/>
  <c r="S56" i="97"/>
  <c r="S55" i="97"/>
  <c r="S54" i="97"/>
  <c r="S53" i="97"/>
  <c r="S52" i="97"/>
  <c r="S51" i="97"/>
  <c r="S50" i="97"/>
  <c r="S49" i="97"/>
  <c r="S48" i="97"/>
  <c r="S47" i="97"/>
  <c r="S46" i="97"/>
  <c r="S45" i="97"/>
  <c r="C42" i="97"/>
  <c r="E38" i="97"/>
  <c r="E36" i="97"/>
  <c r="E34" i="97"/>
  <c r="E33" i="97"/>
  <c r="E32" i="97"/>
  <c r="E31" i="97"/>
  <c r="E30" i="97"/>
  <c r="E29" i="97"/>
  <c r="E28" i="97"/>
  <c r="E21" i="97"/>
  <c r="E19" i="97"/>
  <c r="E18" i="97"/>
  <c r="E17" i="97"/>
  <c r="E16" i="97"/>
  <c r="E12" i="97"/>
  <c r="E10" i="97"/>
  <c r="E9" i="97"/>
  <c r="E8" i="97"/>
  <c r="A4" i="97"/>
  <c r="U83" i="97" s="1"/>
  <c r="C73" i="97" l="1"/>
  <c r="U62" i="97"/>
  <c r="L18" i="89"/>
  <c r="L19" i="89"/>
  <c r="L17" i="89"/>
  <c r="E61" i="59" l="1"/>
  <c r="A4" i="96" l="1"/>
  <c r="C40" i="96" l="1"/>
  <c r="M43" i="96" l="1"/>
  <c r="E36" i="96" l="1"/>
  <c r="E34" i="96"/>
  <c r="E31" i="96"/>
  <c r="E27" i="96"/>
  <c r="E26" i="96"/>
  <c r="E19" i="96"/>
  <c r="E16" i="96"/>
  <c r="E11" i="96"/>
  <c r="E9" i="96"/>
  <c r="E8" i="96"/>
  <c r="E7" i="96"/>
  <c r="S51" i="96"/>
  <c r="E30" i="96"/>
  <c r="E29" i="96"/>
  <c r="E28" i="96"/>
  <c r="A4" i="95"/>
  <c r="C58" i="95"/>
  <c r="I52" i="95"/>
  <c r="G52" i="95"/>
  <c r="I51" i="95"/>
  <c r="G51" i="95"/>
  <c r="I50" i="95"/>
  <c r="G50" i="95"/>
  <c r="I49" i="95"/>
  <c r="G49" i="95"/>
  <c r="I48" i="95"/>
  <c r="G48" i="95"/>
  <c r="I47" i="95"/>
  <c r="G47" i="95"/>
  <c r="I46" i="95"/>
  <c r="G46" i="95"/>
  <c r="I45" i="95"/>
  <c r="G45" i="95"/>
  <c r="I44" i="95"/>
  <c r="G44" i="95"/>
  <c r="I43" i="95"/>
  <c r="G43" i="95"/>
  <c r="I42" i="95"/>
  <c r="G42" i="95"/>
  <c r="I41" i="95"/>
  <c r="G41" i="95"/>
  <c r="C39" i="95"/>
  <c r="E35" i="95"/>
  <c r="E34" i="95"/>
  <c r="E33" i="95"/>
  <c r="E32" i="95"/>
  <c r="E31" i="95"/>
  <c r="E30" i="95"/>
  <c r="E23" i="95"/>
  <c r="E21" i="95"/>
  <c r="E20" i="95"/>
  <c r="E19" i="95"/>
  <c r="E18" i="95"/>
  <c r="E13" i="95"/>
  <c r="E11" i="95"/>
  <c r="E10" i="95"/>
  <c r="E9" i="95"/>
  <c r="C55" i="95" l="1"/>
  <c r="Q64" i="95"/>
  <c r="E12" i="93"/>
  <c r="E13" i="93"/>
  <c r="E14" i="93"/>
  <c r="E18" i="93"/>
  <c r="C63" i="93"/>
  <c r="H61" i="93"/>
  <c r="K61" i="93" s="1"/>
  <c r="G61" i="93"/>
  <c r="D61" i="93"/>
  <c r="C61" i="93"/>
  <c r="H60" i="93"/>
  <c r="K60" i="93" s="1"/>
  <c r="G60" i="93"/>
  <c r="D60" i="93"/>
  <c r="C60" i="93"/>
  <c r="H59" i="93"/>
  <c r="K59" i="93" s="1"/>
  <c r="G59" i="93"/>
  <c r="D59" i="93"/>
  <c r="C59" i="93"/>
  <c r="H58" i="93"/>
  <c r="K58" i="93" s="1"/>
  <c r="G58" i="93"/>
  <c r="D58" i="93"/>
  <c r="C58" i="93"/>
  <c r="P50" i="93"/>
  <c r="L50" i="93"/>
  <c r="H50" i="93"/>
  <c r="P49" i="93"/>
  <c r="H49" i="93"/>
  <c r="L46" i="93"/>
  <c r="L45" i="93"/>
  <c r="L44" i="93"/>
  <c r="L43" i="93"/>
  <c r="L42" i="93"/>
  <c r="L41" i="93"/>
  <c r="L40" i="93"/>
  <c r="L39" i="93"/>
  <c r="L38" i="93"/>
  <c r="E32" i="93"/>
  <c r="E31" i="93"/>
  <c r="E29" i="93"/>
  <c r="E28" i="93"/>
  <c r="E27" i="93"/>
  <c r="E26" i="93"/>
  <c r="E20" i="93"/>
  <c r="E16" i="93"/>
  <c r="A5" i="93"/>
  <c r="U78" i="93" s="1"/>
  <c r="U53" i="93" l="1"/>
  <c r="C60" i="92" l="1"/>
  <c r="C42" i="92"/>
  <c r="E38" i="92"/>
  <c r="E36" i="92"/>
  <c r="E34" i="92"/>
  <c r="E33" i="92"/>
  <c r="E32" i="92"/>
  <c r="E31" i="92"/>
  <c r="E30" i="92"/>
  <c r="E29" i="92"/>
  <c r="E21" i="92"/>
  <c r="E19" i="92"/>
  <c r="E18" i="92"/>
  <c r="E17" i="92"/>
  <c r="E16" i="92"/>
  <c r="E12" i="92"/>
  <c r="E10" i="92"/>
  <c r="E9" i="92"/>
  <c r="E8" i="92"/>
  <c r="A4" i="92"/>
  <c r="S67" i="92" s="1"/>
  <c r="V57" i="14"/>
  <c r="V56" i="14"/>
  <c r="V55" i="14"/>
  <c r="V54" i="14"/>
  <c r="V53" i="14"/>
  <c r="V52" i="14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EW33" i="37" l="1"/>
  <c r="EW25" i="37"/>
  <c r="EW29" i="37"/>
  <c r="ES27" i="37"/>
  <c r="EW26" i="37"/>
  <c r="ES32" i="37"/>
  <c r="EW39" i="37"/>
  <c r="EZ27" i="37"/>
  <c r="FD33" i="37"/>
  <c r="EZ32" i="37"/>
  <c r="FD39" i="37"/>
  <c r="FD29" i="37"/>
  <c r="FD26" i="37"/>
  <c r="FD25" i="37"/>
  <c r="EI29" i="37"/>
  <c r="EE32" i="37"/>
  <c r="EI39" i="37"/>
  <c r="EI26" i="37"/>
  <c r="EI25" i="37"/>
  <c r="EI33" i="37"/>
  <c r="EE27" i="37"/>
  <c r="FK26" i="37"/>
  <c r="FG32" i="37"/>
  <c r="FK39" i="37"/>
  <c r="FK33" i="37"/>
  <c r="FK25" i="37"/>
  <c r="FK29" i="37"/>
  <c r="FG27" i="37"/>
  <c r="EP39" i="37"/>
  <c r="EP29" i="37"/>
  <c r="EP26" i="37"/>
  <c r="EP25" i="37"/>
  <c r="EL27" i="37"/>
  <c r="EP33" i="37"/>
  <c r="EL32" i="37"/>
  <c r="FR39" i="37"/>
  <c r="FR29" i="37"/>
  <c r="FR26" i="37"/>
  <c r="FR25" i="37"/>
  <c r="FN27" i="37"/>
  <c r="FR33" i="37"/>
  <c r="FN32" i="37"/>
  <c r="P27" i="37"/>
  <c r="T25" i="37"/>
  <c r="AV33" i="37"/>
  <c r="AR32" i="37"/>
  <c r="AV29" i="37"/>
  <c r="AV25" i="37"/>
  <c r="AV26" i="37"/>
  <c r="AR27" i="37"/>
  <c r="AV39" i="37"/>
  <c r="CL29" i="37"/>
  <c r="CL39" i="37"/>
  <c r="CL26" i="37"/>
  <c r="CH32" i="37"/>
  <c r="CL25" i="37"/>
  <c r="CL33" i="37"/>
  <c r="CH27" i="37"/>
  <c r="C42" i="47"/>
  <c r="E36" i="47"/>
  <c r="E38" i="90" l="1"/>
  <c r="E36" i="90"/>
  <c r="E38" i="47"/>
  <c r="N18" i="77" l="1"/>
  <c r="E32" i="47" l="1"/>
  <c r="E31" i="47"/>
  <c r="E30" i="47"/>
  <c r="E32" i="90"/>
  <c r="E31" i="90"/>
  <c r="E30" i="90"/>
  <c r="E37" i="91"/>
  <c r="E36" i="91"/>
  <c r="E35" i="91"/>
  <c r="E32" i="88"/>
  <c r="E31" i="88"/>
  <c r="E30" i="88"/>
  <c r="C63" i="91"/>
  <c r="S62" i="91"/>
  <c r="S61" i="91"/>
  <c r="S60" i="91"/>
  <c r="S59" i="91"/>
  <c r="S58" i="91"/>
  <c r="S57" i="91"/>
  <c r="S56" i="91"/>
  <c r="S55" i="91"/>
  <c r="S54" i="91"/>
  <c r="S53" i="91"/>
  <c r="S52" i="91"/>
  <c r="S51" i="91"/>
  <c r="C48" i="91"/>
  <c r="E44" i="91"/>
  <c r="E42" i="91"/>
  <c r="E40" i="91"/>
  <c r="E34" i="91"/>
  <c r="E20" i="91"/>
  <c r="E19" i="91"/>
  <c r="E18" i="91"/>
  <c r="E17" i="91"/>
  <c r="E12" i="91"/>
  <c r="E10" i="91"/>
  <c r="E9" i="91"/>
  <c r="E8" i="91"/>
  <c r="A4" i="91"/>
  <c r="U83" i="91" s="1"/>
  <c r="O42" i="14"/>
  <c r="E45" i="95" s="1"/>
  <c r="U68" i="91" l="1"/>
  <c r="C42" i="90" l="1"/>
  <c r="E34" i="90"/>
  <c r="E33" i="90"/>
  <c r="E29" i="90"/>
  <c r="E21" i="90"/>
  <c r="E19" i="90"/>
  <c r="E18" i="90"/>
  <c r="E17" i="90"/>
  <c r="E16" i="90"/>
  <c r="E12" i="90"/>
  <c r="E10" i="90"/>
  <c r="E9" i="90"/>
  <c r="E8" i="90"/>
  <c r="A4" i="90"/>
  <c r="S69" i="90" s="1"/>
  <c r="M10" i="49"/>
  <c r="A4" i="47" l="1"/>
  <c r="S69" i="47" s="1"/>
  <c r="C161" i="26" l="1"/>
  <c r="L34" i="37" l="1"/>
  <c r="S34" i="37"/>
  <c r="Z34" i="37"/>
  <c r="AG34" i="37"/>
  <c r="AN34" i="37"/>
  <c r="AU34" i="37"/>
  <c r="BB34" i="37"/>
  <c r="BI34" i="37"/>
  <c r="BP34" i="37"/>
  <c r="BW34" i="37"/>
  <c r="CD34" i="37"/>
  <c r="CK34" i="37"/>
  <c r="CR34" i="37"/>
  <c r="CY34" i="37"/>
  <c r="DF34" i="37"/>
  <c r="DM34" i="37"/>
  <c r="DT34" i="37"/>
  <c r="EA34" i="37"/>
  <c r="EH34" i="37"/>
  <c r="EO34" i="37"/>
  <c r="EV34" i="37"/>
  <c r="FC34" i="37"/>
  <c r="FJ34" i="37"/>
  <c r="FQ34" i="37"/>
  <c r="C42" i="88" l="1"/>
  <c r="D21" i="89" l="1"/>
  <c r="H16" i="89"/>
  <c r="I14" i="89"/>
  <c r="I13" i="89"/>
  <c r="I12" i="89"/>
  <c r="I11" i="89"/>
  <c r="I10" i="89"/>
  <c r="I9" i="89"/>
  <c r="I5" i="89"/>
  <c r="C57" i="88" l="1"/>
  <c r="I5" i="58"/>
  <c r="J4" i="69"/>
  <c r="J4" i="70"/>
  <c r="M38" i="49" l="1"/>
  <c r="M31" i="49"/>
  <c r="M33" i="49"/>
  <c r="M32" i="49"/>
  <c r="M27" i="49"/>
  <c r="M26" i="49"/>
  <c r="M25" i="49"/>
  <c r="M24" i="49"/>
  <c r="J15" i="69"/>
  <c r="J14" i="69"/>
  <c r="J13" i="69"/>
  <c r="E38" i="88"/>
  <c r="S46" i="88"/>
  <c r="S47" i="88"/>
  <c r="S48" i="88"/>
  <c r="S49" i="88"/>
  <c r="S50" i="88"/>
  <c r="S51" i="88"/>
  <c r="S52" i="88"/>
  <c r="S53" i="88"/>
  <c r="S54" i="88"/>
  <c r="S55" i="88"/>
  <c r="S56" i="88"/>
  <c r="C73" i="88" l="1"/>
  <c r="E36" i="88"/>
  <c r="A4" i="49"/>
  <c r="AK59" i="49" s="1"/>
  <c r="A4" i="88"/>
  <c r="E34" i="88"/>
  <c r="E33" i="88"/>
  <c r="E29" i="88"/>
  <c r="E21" i="88"/>
  <c r="E19" i="88"/>
  <c r="E18" i="88"/>
  <c r="E17" i="88"/>
  <c r="E16" i="88"/>
  <c r="E12" i="88"/>
  <c r="E10" i="88"/>
  <c r="E9" i="88"/>
  <c r="E8" i="88"/>
  <c r="U62" i="88" l="1"/>
  <c r="U83" i="88"/>
  <c r="I4" i="89" l="1"/>
  <c r="I6" i="89" s="1"/>
  <c r="M36" i="49"/>
  <c r="U20" i="26" l="1"/>
  <c r="U21" i="26"/>
  <c r="U22" i="26"/>
  <c r="U23" i="26"/>
  <c r="U25" i="26"/>
  <c r="U26" i="26"/>
  <c r="U27" i="26"/>
  <c r="U28" i="26"/>
  <c r="U29" i="26"/>
  <c r="U30" i="26"/>
  <c r="U31" i="26"/>
  <c r="U32" i="26"/>
  <c r="U33" i="26"/>
  <c r="U19" i="26"/>
  <c r="J242" i="37" l="1"/>
  <c r="C244" i="37" s="1"/>
  <c r="B232" i="37"/>
  <c r="I34" i="37" l="1"/>
  <c r="M34" i="37" s="1"/>
  <c r="P34" i="37"/>
  <c r="T34" i="37" s="1"/>
  <c r="W34" i="37"/>
  <c r="AA34" i="37" s="1"/>
  <c r="AD34" i="37"/>
  <c r="AH34" i="37" s="1"/>
  <c r="AK34" i="37"/>
  <c r="AO34" i="37" s="1"/>
  <c r="AR34" i="37"/>
  <c r="AV34" i="37" s="1"/>
  <c r="AY34" i="37"/>
  <c r="BC34" i="37" s="1"/>
  <c r="BF34" i="37"/>
  <c r="BJ34" i="37" s="1"/>
  <c r="BM34" i="37"/>
  <c r="BQ34" i="37" s="1"/>
  <c r="BT34" i="37"/>
  <c r="BX34" i="37" s="1"/>
  <c r="CA34" i="37"/>
  <c r="CE34" i="37" s="1"/>
  <c r="CH34" i="37"/>
  <c r="CL34" i="37" s="1"/>
  <c r="CO34" i="37"/>
  <c r="CS34" i="37" s="1"/>
  <c r="CV34" i="37"/>
  <c r="CZ34" i="37" s="1"/>
  <c r="DC34" i="37"/>
  <c r="DG34" i="37" s="1"/>
  <c r="DJ34" i="37"/>
  <c r="DN34" i="37" s="1"/>
  <c r="DQ34" i="37"/>
  <c r="DU34" i="37" s="1"/>
  <c r="DX34" i="37"/>
  <c r="EB34" i="37" s="1"/>
  <c r="EE34" i="37"/>
  <c r="EI34" i="37" s="1"/>
  <c r="EL34" i="37"/>
  <c r="EP34" i="37" s="1"/>
  <c r="ES34" i="37"/>
  <c r="EW34" i="37" s="1"/>
  <c r="EZ34" i="37"/>
  <c r="FD34" i="37" s="1"/>
  <c r="FG34" i="37"/>
  <c r="FK34" i="37" s="1"/>
  <c r="FN34" i="37"/>
  <c r="FR34" i="37" s="1"/>
  <c r="I140" i="26"/>
  <c r="ED29" i="87" l="1"/>
  <c r="DS29" i="87"/>
  <c r="DH29" i="87"/>
  <c r="CW29" i="87"/>
  <c r="CL29" i="87"/>
  <c r="CA29" i="87"/>
  <c r="BP29" i="87"/>
  <c r="BE29" i="87"/>
  <c r="AT29" i="87"/>
  <c r="AI29" i="87"/>
  <c r="X29" i="87"/>
  <c r="M29" i="87"/>
  <c r="C84" i="26"/>
  <c r="C112" i="26"/>
  <c r="B293" i="87" l="1"/>
  <c r="EF32" i="87"/>
  <c r="EE29" i="87"/>
  <c r="EC29" i="87"/>
  <c r="EE28" i="87"/>
  <c r="EC28" i="87"/>
  <c r="EA28" i="87"/>
  <c r="EE27" i="87"/>
  <c r="EC27" i="87"/>
  <c r="EA27" i="87"/>
  <c r="EE26" i="87"/>
  <c r="ED26" i="87"/>
  <c r="EC26" i="87"/>
  <c r="EA26" i="87"/>
  <c r="EE25" i="87"/>
  <c r="ED25" i="87"/>
  <c r="EC25" i="87"/>
  <c r="EA25" i="87"/>
  <c r="EE24" i="87"/>
  <c r="ED24" i="87"/>
  <c r="EC24" i="87"/>
  <c r="EA24" i="87"/>
  <c r="EE23" i="87"/>
  <c r="ED23" i="87"/>
  <c r="EC23" i="87"/>
  <c r="EA23" i="87"/>
  <c r="EE22" i="87"/>
  <c r="ED22" i="87"/>
  <c r="EC22" i="87"/>
  <c r="EA22" i="87"/>
  <c r="EE21" i="87"/>
  <c r="EC21" i="87"/>
  <c r="EA21" i="87"/>
  <c r="EE20" i="87"/>
  <c r="ED20" i="87"/>
  <c r="EC20" i="87"/>
  <c r="EA20" i="87"/>
  <c r="EE19" i="87"/>
  <c r="ED19" i="87"/>
  <c r="EC19" i="87"/>
  <c r="EA19" i="87"/>
  <c r="DU32" i="87"/>
  <c r="DT29" i="87"/>
  <c r="DR29" i="87"/>
  <c r="DT28" i="87"/>
  <c r="DR28" i="87"/>
  <c r="DP28" i="87"/>
  <c r="DT27" i="87"/>
  <c r="DR27" i="87"/>
  <c r="DP27" i="87"/>
  <c r="DT26" i="87"/>
  <c r="DS26" i="87"/>
  <c r="DR26" i="87"/>
  <c r="DP26" i="87"/>
  <c r="DT25" i="87"/>
  <c r="DS25" i="87"/>
  <c r="DR25" i="87"/>
  <c r="DP25" i="87"/>
  <c r="DT24" i="87"/>
  <c r="DS24" i="87"/>
  <c r="DR24" i="87"/>
  <c r="DP24" i="87"/>
  <c r="DT23" i="87"/>
  <c r="DS23" i="87"/>
  <c r="DR23" i="87"/>
  <c r="DP23" i="87"/>
  <c r="DT22" i="87"/>
  <c r="DS22" i="87"/>
  <c r="DR22" i="87"/>
  <c r="DP22" i="87"/>
  <c r="DT21" i="87"/>
  <c r="DR21" i="87"/>
  <c r="DP21" i="87"/>
  <c r="DT20" i="87"/>
  <c r="DS20" i="87"/>
  <c r="DR20" i="87"/>
  <c r="DP20" i="87"/>
  <c r="DT19" i="87"/>
  <c r="DS19" i="87"/>
  <c r="DR19" i="87"/>
  <c r="DP19" i="87"/>
  <c r="DJ32" i="87"/>
  <c r="DI29" i="87"/>
  <c r="DG29" i="87"/>
  <c r="DI28" i="87"/>
  <c r="DG28" i="87"/>
  <c r="DE28" i="87"/>
  <c r="DI27" i="87"/>
  <c r="DG27" i="87"/>
  <c r="DE27" i="87"/>
  <c r="DI26" i="87"/>
  <c r="DH26" i="87"/>
  <c r="DG26" i="87"/>
  <c r="DE26" i="87"/>
  <c r="DI25" i="87"/>
  <c r="DH25" i="87"/>
  <c r="DG25" i="87"/>
  <c r="DE25" i="87"/>
  <c r="DI24" i="87"/>
  <c r="DH24" i="87"/>
  <c r="DG24" i="87"/>
  <c r="DE24" i="87"/>
  <c r="DI23" i="87"/>
  <c r="DH23" i="87"/>
  <c r="DG23" i="87"/>
  <c r="DE23" i="87"/>
  <c r="DI22" i="87"/>
  <c r="DH22" i="87"/>
  <c r="DG22" i="87"/>
  <c r="DE22" i="87"/>
  <c r="DI21" i="87"/>
  <c r="DG21" i="87"/>
  <c r="DE21" i="87"/>
  <c r="DI20" i="87"/>
  <c r="DH20" i="87"/>
  <c r="DG20" i="87"/>
  <c r="DE20" i="87"/>
  <c r="DI19" i="87"/>
  <c r="DH19" i="87"/>
  <c r="DG19" i="87"/>
  <c r="DE19" i="87"/>
  <c r="CY32" i="87"/>
  <c r="CX29" i="87"/>
  <c r="CV29" i="87"/>
  <c r="CX28" i="87"/>
  <c r="CV28" i="87"/>
  <c r="CT28" i="87"/>
  <c r="CX27" i="87"/>
  <c r="CV27" i="87"/>
  <c r="CT27" i="87"/>
  <c r="CX26" i="87"/>
  <c r="CW26" i="87"/>
  <c r="CV26" i="87"/>
  <c r="CT26" i="87"/>
  <c r="CX25" i="87"/>
  <c r="CW25" i="87"/>
  <c r="CV25" i="87"/>
  <c r="CT25" i="87"/>
  <c r="CX24" i="87"/>
  <c r="CW24" i="87"/>
  <c r="CV24" i="87"/>
  <c r="CT24" i="87"/>
  <c r="CX23" i="87"/>
  <c r="CW23" i="87"/>
  <c r="CV23" i="87"/>
  <c r="CT23" i="87"/>
  <c r="CX22" i="87"/>
  <c r="CW22" i="87"/>
  <c r="CV22" i="87"/>
  <c r="CT22" i="87"/>
  <c r="CX21" i="87"/>
  <c r="CV21" i="87"/>
  <c r="CT21" i="87"/>
  <c r="CX20" i="87"/>
  <c r="CW20" i="87"/>
  <c r="CV20" i="87"/>
  <c r="CT20" i="87"/>
  <c r="CX19" i="87"/>
  <c r="CW19" i="87"/>
  <c r="CV19" i="87"/>
  <c r="CT19" i="87"/>
  <c r="CN32" i="87"/>
  <c r="CM29" i="87"/>
  <c r="CK29" i="87"/>
  <c r="CM28" i="87"/>
  <c r="CK28" i="87"/>
  <c r="CI28" i="87"/>
  <c r="CM27" i="87"/>
  <c r="CK27" i="87"/>
  <c r="CI27" i="87"/>
  <c r="CM26" i="87"/>
  <c r="CL26" i="87"/>
  <c r="CK26" i="87"/>
  <c r="CI26" i="87"/>
  <c r="CM25" i="87"/>
  <c r="CL25" i="87"/>
  <c r="CK25" i="87"/>
  <c r="CI25" i="87"/>
  <c r="CM24" i="87"/>
  <c r="CL24" i="87"/>
  <c r="CK24" i="87"/>
  <c r="CI24" i="87"/>
  <c r="CM23" i="87"/>
  <c r="CL23" i="87"/>
  <c r="CK23" i="87"/>
  <c r="CI23" i="87"/>
  <c r="CM22" i="87"/>
  <c r="CL22" i="87"/>
  <c r="CK22" i="87"/>
  <c r="CI22" i="87"/>
  <c r="CM21" i="87"/>
  <c r="CK21" i="87"/>
  <c r="CI21" i="87"/>
  <c r="CM20" i="87"/>
  <c r="CL20" i="87"/>
  <c r="CK20" i="87"/>
  <c r="CI20" i="87"/>
  <c r="CM19" i="87"/>
  <c r="CL19" i="87"/>
  <c r="CK19" i="87"/>
  <c r="CI19" i="87"/>
  <c r="CC32" i="87"/>
  <c r="CB29" i="87"/>
  <c r="BZ29" i="87"/>
  <c r="CB28" i="87"/>
  <c r="BZ28" i="87"/>
  <c r="BX28" i="87"/>
  <c r="CB27" i="87"/>
  <c r="BZ27" i="87"/>
  <c r="BX27" i="87"/>
  <c r="CB26" i="87"/>
  <c r="CA26" i="87"/>
  <c r="BZ26" i="87"/>
  <c r="BX26" i="87"/>
  <c r="CB25" i="87"/>
  <c r="CA25" i="87"/>
  <c r="BZ25" i="87"/>
  <c r="BX25" i="87"/>
  <c r="CB24" i="87"/>
  <c r="CA24" i="87"/>
  <c r="BZ24" i="87"/>
  <c r="BX24" i="87"/>
  <c r="CB23" i="87"/>
  <c r="CA23" i="87"/>
  <c r="BZ23" i="87"/>
  <c r="BX23" i="87"/>
  <c r="CB22" i="87"/>
  <c r="CA22" i="87"/>
  <c r="BZ22" i="87"/>
  <c r="BX22" i="87"/>
  <c r="CB21" i="87"/>
  <c r="BZ21" i="87"/>
  <c r="BX21" i="87"/>
  <c r="CB20" i="87"/>
  <c r="CA20" i="87"/>
  <c r="BZ20" i="87"/>
  <c r="BX20" i="87"/>
  <c r="CB19" i="87"/>
  <c r="CA19" i="87"/>
  <c r="BZ19" i="87"/>
  <c r="BX19" i="87"/>
  <c r="BR32" i="87"/>
  <c r="BQ29" i="87"/>
  <c r="BO29" i="87"/>
  <c r="BQ28" i="87"/>
  <c r="BO28" i="87"/>
  <c r="BM28" i="87"/>
  <c r="BQ27" i="87"/>
  <c r="BO27" i="87"/>
  <c r="BM27" i="87"/>
  <c r="BQ26" i="87"/>
  <c r="BP26" i="87"/>
  <c r="BO26" i="87"/>
  <c r="BM26" i="87"/>
  <c r="BQ25" i="87"/>
  <c r="BP25" i="87"/>
  <c r="BO25" i="87"/>
  <c r="BM25" i="87"/>
  <c r="BQ24" i="87"/>
  <c r="BP24" i="87"/>
  <c r="BO24" i="87"/>
  <c r="BM24" i="87"/>
  <c r="BQ23" i="87"/>
  <c r="BP23" i="87"/>
  <c r="BO23" i="87"/>
  <c r="BM23" i="87"/>
  <c r="BQ22" i="87"/>
  <c r="BP22" i="87"/>
  <c r="BO22" i="87"/>
  <c r="BM22" i="87"/>
  <c r="BQ21" i="87"/>
  <c r="BO21" i="87"/>
  <c r="BM21" i="87"/>
  <c r="BQ20" i="87"/>
  <c r="BP20" i="87"/>
  <c r="BO20" i="87"/>
  <c r="BM20" i="87"/>
  <c r="BQ19" i="87"/>
  <c r="BP19" i="87"/>
  <c r="BO19" i="87"/>
  <c r="BM19" i="87"/>
  <c r="BG32" i="87"/>
  <c r="BF29" i="87"/>
  <c r="BD29" i="87"/>
  <c r="BF28" i="87"/>
  <c r="BD28" i="87"/>
  <c r="BB28" i="87"/>
  <c r="BF27" i="87"/>
  <c r="BD27" i="87"/>
  <c r="BB27" i="87"/>
  <c r="BF26" i="87"/>
  <c r="BE26" i="87"/>
  <c r="BD26" i="87"/>
  <c r="BB26" i="87"/>
  <c r="BF25" i="87"/>
  <c r="BE25" i="87"/>
  <c r="BD25" i="87"/>
  <c r="BB25" i="87"/>
  <c r="BF24" i="87"/>
  <c r="BE24" i="87"/>
  <c r="BD24" i="87"/>
  <c r="BB24" i="87"/>
  <c r="BF23" i="87"/>
  <c r="BE23" i="87"/>
  <c r="BD23" i="87"/>
  <c r="BB23" i="87"/>
  <c r="BF22" i="87"/>
  <c r="BE22" i="87"/>
  <c r="BD22" i="87"/>
  <c r="BB22" i="87"/>
  <c r="BF21" i="87"/>
  <c r="BD21" i="87"/>
  <c r="BB21" i="87"/>
  <c r="BF20" i="87"/>
  <c r="BE20" i="87"/>
  <c r="BD20" i="87"/>
  <c r="BB20" i="87"/>
  <c r="BF19" i="87"/>
  <c r="BE19" i="87"/>
  <c r="BD19" i="87"/>
  <c r="BB19" i="87"/>
  <c r="AV32" i="87"/>
  <c r="AU29" i="87"/>
  <c r="AS29" i="87"/>
  <c r="AU28" i="87"/>
  <c r="AS28" i="87"/>
  <c r="AQ28" i="87"/>
  <c r="AU27" i="87"/>
  <c r="AS27" i="87"/>
  <c r="AQ27" i="87"/>
  <c r="AU26" i="87"/>
  <c r="AT26" i="87"/>
  <c r="AS26" i="87"/>
  <c r="AQ26" i="87"/>
  <c r="AU25" i="87"/>
  <c r="AT25" i="87"/>
  <c r="AS25" i="87"/>
  <c r="AQ25" i="87"/>
  <c r="AU24" i="87"/>
  <c r="AT24" i="87"/>
  <c r="AS24" i="87"/>
  <c r="AQ24" i="87"/>
  <c r="AU23" i="87"/>
  <c r="AT23" i="87"/>
  <c r="AS23" i="87"/>
  <c r="AQ23" i="87"/>
  <c r="AU22" i="87"/>
  <c r="AT22" i="87"/>
  <c r="AS22" i="87"/>
  <c r="AQ22" i="87"/>
  <c r="AU21" i="87"/>
  <c r="AS21" i="87"/>
  <c r="AQ21" i="87"/>
  <c r="AU20" i="87"/>
  <c r="AT20" i="87"/>
  <c r="AS20" i="87"/>
  <c r="AQ20" i="87"/>
  <c r="AU19" i="87"/>
  <c r="AT19" i="87"/>
  <c r="AS19" i="87"/>
  <c r="AQ19" i="87"/>
  <c r="AK32" i="87"/>
  <c r="AJ29" i="87"/>
  <c r="AH29" i="87"/>
  <c r="AJ28" i="87"/>
  <c r="AH28" i="87"/>
  <c r="AF28" i="87"/>
  <c r="AJ27" i="87"/>
  <c r="AH27" i="87"/>
  <c r="AF27" i="87"/>
  <c r="AJ26" i="87"/>
  <c r="AI26" i="87"/>
  <c r="AH26" i="87"/>
  <c r="AF26" i="87"/>
  <c r="AJ25" i="87"/>
  <c r="AI25" i="87"/>
  <c r="AH25" i="87"/>
  <c r="AF25" i="87"/>
  <c r="AJ24" i="87"/>
  <c r="AI24" i="87"/>
  <c r="AH24" i="87"/>
  <c r="AF24" i="87"/>
  <c r="AJ23" i="87"/>
  <c r="AI23" i="87"/>
  <c r="AH23" i="87"/>
  <c r="AF23" i="87"/>
  <c r="AJ22" i="87"/>
  <c r="AI22" i="87"/>
  <c r="AH22" i="87"/>
  <c r="AF22" i="87"/>
  <c r="AJ21" i="87"/>
  <c r="AH21" i="87"/>
  <c r="AF21" i="87"/>
  <c r="AJ20" i="87"/>
  <c r="AI20" i="87"/>
  <c r="AH20" i="87"/>
  <c r="AF20" i="87"/>
  <c r="AJ19" i="87"/>
  <c r="AI19" i="87"/>
  <c r="AH19" i="87"/>
  <c r="AF19" i="87"/>
  <c r="Z32" i="87"/>
  <c r="Y29" i="87"/>
  <c r="W29" i="87"/>
  <c r="Y28" i="87"/>
  <c r="W28" i="87"/>
  <c r="U28" i="87"/>
  <c r="Y27" i="87"/>
  <c r="W27" i="87"/>
  <c r="U27" i="87"/>
  <c r="Y26" i="87"/>
  <c r="X26" i="87"/>
  <c r="W26" i="87"/>
  <c r="U26" i="87"/>
  <c r="Y25" i="87"/>
  <c r="X25" i="87"/>
  <c r="W25" i="87"/>
  <c r="U25" i="87"/>
  <c r="Y24" i="87"/>
  <c r="X24" i="87"/>
  <c r="W24" i="87"/>
  <c r="U24" i="87"/>
  <c r="Y23" i="87"/>
  <c r="X23" i="87"/>
  <c r="W23" i="87"/>
  <c r="U23" i="87"/>
  <c r="Y22" i="87"/>
  <c r="X22" i="87"/>
  <c r="W22" i="87"/>
  <c r="U22" i="87"/>
  <c r="Y21" i="87"/>
  <c r="W21" i="87"/>
  <c r="U21" i="87"/>
  <c r="Y20" i="87"/>
  <c r="X20" i="87"/>
  <c r="W20" i="87"/>
  <c r="U20" i="87"/>
  <c r="Y19" i="87"/>
  <c r="X19" i="87"/>
  <c r="W19" i="87"/>
  <c r="U19" i="87"/>
  <c r="O32" i="87" l="1"/>
  <c r="N29" i="87"/>
  <c r="N28" i="87"/>
  <c r="N27" i="87"/>
  <c r="N26" i="87"/>
  <c r="N25" i="87"/>
  <c r="N24" i="87"/>
  <c r="N23" i="87"/>
  <c r="N22" i="87"/>
  <c r="N21" i="87"/>
  <c r="N20" i="87"/>
  <c r="N19" i="87"/>
  <c r="M26" i="87"/>
  <c r="M25" i="87"/>
  <c r="M24" i="87"/>
  <c r="M23" i="87"/>
  <c r="M22" i="87"/>
  <c r="M20" i="87"/>
  <c r="M19" i="87"/>
  <c r="J28" i="87"/>
  <c r="J27" i="87"/>
  <c r="J26" i="87"/>
  <c r="J25" i="87"/>
  <c r="J24" i="87"/>
  <c r="J23" i="87"/>
  <c r="J22" i="87"/>
  <c r="J21" i="87"/>
  <c r="J20" i="87"/>
  <c r="J19" i="87"/>
  <c r="F272" i="87"/>
  <c r="C276" i="87" s="1"/>
  <c r="C258" i="87"/>
  <c r="F219" i="87"/>
  <c r="C92" i="87"/>
  <c r="C203" i="87" s="1"/>
  <c r="D87" i="87"/>
  <c r="D88" i="87" s="1"/>
  <c r="D85" i="87"/>
  <c r="D86" i="87" s="1"/>
  <c r="C82" i="87"/>
  <c r="D80" i="87"/>
  <c r="L29" i="87"/>
  <c r="L28" i="87"/>
  <c r="L27" i="87"/>
  <c r="L26" i="87"/>
  <c r="L25" i="87"/>
  <c r="L24" i="87"/>
  <c r="L23" i="87"/>
  <c r="L22" i="87"/>
  <c r="L21" i="87"/>
  <c r="L20" i="87"/>
  <c r="L19" i="87"/>
  <c r="CS28" i="87" l="1"/>
  <c r="BA28" i="87"/>
  <c r="AP28" i="87"/>
  <c r="DO28" i="87"/>
  <c r="DZ28" i="87"/>
  <c r="CH28" i="87"/>
  <c r="BW28" i="87"/>
  <c r="AE28" i="87"/>
  <c r="DD28" i="87"/>
  <c r="BL28" i="87"/>
  <c r="T28" i="87"/>
  <c r="CS27" i="87"/>
  <c r="BA27" i="87"/>
  <c r="AP27" i="87"/>
  <c r="DO27" i="87"/>
  <c r="BW27" i="87"/>
  <c r="DZ27" i="87"/>
  <c r="CH27" i="87"/>
  <c r="AE27" i="87"/>
  <c r="DD27" i="87"/>
  <c r="BL27" i="87"/>
  <c r="T27" i="87"/>
  <c r="I27" i="87"/>
  <c r="I28" i="87"/>
  <c r="C164" i="87"/>
  <c r="C221" i="87"/>
  <c r="I20" i="44"/>
  <c r="Q20" i="44"/>
  <c r="Y20" i="44"/>
  <c r="C258" i="38" l="1"/>
  <c r="F272" i="38"/>
  <c r="C85" i="26"/>
  <c r="C92" i="38"/>
  <c r="C203" i="38" s="1"/>
  <c r="C82" i="38"/>
  <c r="C383" i="26"/>
  <c r="J136" i="26"/>
  <c r="J137" i="26"/>
  <c r="C141" i="26" s="1"/>
  <c r="B115" i="26"/>
  <c r="C80" i="87"/>
  <c r="C81" i="38" l="1"/>
  <c r="C81" i="87"/>
  <c r="C80" i="38"/>
  <c r="E21" i="86"/>
  <c r="J10" i="86"/>
  <c r="J9" i="86"/>
  <c r="J8" i="86"/>
  <c r="J4" i="86"/>
  <c r="J3" i="86"/>
  <c r="J5" i="86" s="1"/>
  <c r="G22" i="77" l="1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P49" i="84" l="1"/>
  <c r="P50" i="84"/>
  <c r="L45" i="84"/>
  <c r="L46" i="84"/>
  <c r="L50" i="84"/>
  <c r="H49" i="84"/>
  <c r="H50" i="84"/>
  <c r="P49" i="78"/>
  <c r="P50" i="78"/>
  <c r="L45" i="78"/>
  <c r="L46" i="78"/>
  <c r="L50" i="78"/>
  <c r="H49" i="78"/>
  <c r="H50" i="78"/>
  <c r="C63" i="84"/>
  <c r="H61" i="84"/>
  <c r="K61" i="84" s="1"/>
  <c r="G61" i="84"/>
  <c r="D61" i="84"/>
  <c r="C61" i="84"/>
  <c r="H60" i="84"/>
  <c r="K60" i="84" s="1"/>
  <c r="G60" i="84"/>
  <c r="D60" i="84"/>
  <c r="C60" i="84"/>
  <c r="H59" i="84"/>
  <c r="K59" i="84" s="1"/>
  <c r="G59" i="84"/>
  <c r="D59" i="84"/>
  <c r="C59" i="84"/>
  <c r="H58" i="84"/>
  <c r="K58" i="84" s="1"/>
  <c r="G58" i="84"/>
  <c r="D58" i="84"/>
  <c r="C58" i="84"/>
  <c r="L44" i="84"/>
  <c r="L43" i="84"/>
  <c r="L42" i="84"/>
  <c r="L41" i="84"/>
  <c r="L40" i="84"/>
  <c r="L39" i="84"/>
  <c r="L38" i="84"/>
  <c r="E32" i="84"/>
  <c r="E31" i="84"/>
  <c r="E29" i="84"/>
  <c r="E28" i="84"/>
  <c r="E27" i="84"/>
  <c r="E26" i="84"/>
  <c r="E18" i="84"/>
  <c r="E14" i="84"/>
  <c r="E13" i="84"/>
  <c r="E12" i="84"/>
  <c r="A5" i="84"/>
  <c r="U78" i="84" s="1"/>
  <c r="U53" i="84" l="1"/>
  <c r="L38" i="78"/>
  <c r="L39" i="78"/>
  <c r="L40" i="78"/>
  <c r="L41" i="78"/>
  <c r="L42" i="78"/>
  <c r="L43" i="78"/>
  <c r="L44" i="78"/>
  <c r="C58" i="67"/>
  <c r="E18" i="77"/>
  <c r="H22" i="77"/>
  <c r="H23" i="77"/>
  <c r="H24" i="77"/>
  <c r="H25" i="77"/>
  <c r="H26" i="77"/>
  <c r="H27" i="77"/>
  <c r="H28" i="77"/>
  <c r="H29" i="77"/>
  <c r="H30" i="77"/>
  <c r="H31" i="77"/>
  <c r="H32" i="77"/>
  <c r="G19" i="77"/>
  <c r="G20" i="77"/>
  <c r="G21" i="77"/>
  <c r="G23" i="77"/>
  <c r="G24" i="77"/>
  <c r="G25" i="77"/>
  <c r="G26" i="77"/>
  <c r="G27" i="77"/>
  <c r="G28" i="77"/>
  <c r="G29" i="77"/>
  <c r="G30" i="77"/>
  <c r="G31" i="77"/>
  <c r="G32" i="77"/>
  <c r="F19" i="77"/>
  <c r="F20" i="77"/>
  <c r="F21" i="77"/>
  <c r="F22" i="77"/>
  <c r="F23" i="77"/>
  <c r="F24" i="77"/>
  <c r="F25" i="77"/>
  <c r="F26" i="77"/>
  <c r="F27" i="77"/>
  <c r="F28" i="77"/>
  <c r="F29" i="77"/>
  <c r="F30" i="77"/>
  <c r="F31" i="77"/>
  <c r="F32" i="77"/>
  <c r="E19" i="77"/>
  <c r="E20" i="77"/>
  <c r="E21" i="77"/>
  <c r="E22" i="77"/>
  <c r="E23" i="77"/>
  <c r="E24" i="77"/>
  <c r="E25" i="77"/>
  <c r="E26" i="77"/>
  <c r="E27" i="77"/>
  <c r="E28" i="77"/>
  <c r="E29" i="77"/>
  <c r="E30" i="77"/>
  <c r="E31" i="77"/>
  <c r="E32" i="77"/>
  <c r="M52" i="98" l="1"/>
  <c r="S52" i="98" s="1"/>
  <c r="M51" i="98"/>
  <c r="S51" i="98" s="1"/>
  <c r="M47" i="98"/>
  <c r="S47" i="98" s="1"/>
  <c r="M50" i="98"/>
  <c r="S50" i="98" s="1"/>
  <c r="M46" i="98"/>
  <c r="S46" i="98" s="1"/>
  <c r="M48" i="98"/>
  <c r="S48" i="98" s="1"/>
  <c r="M49" i="98"/>
  <c r="S49" i="98" s="1"/>
  <c r="M45" i="98"/>
  <c r="S45" i="98" s="1"/>
  <c r="M43" i="98"/>
  <c r="S43" i="98" s="1"/>
  <c r="M42" i="98"/>
  <c r="S42" i="98" s="1"/>
  <c r="E16" i="84"/>
  <c r="E20" i="84"/>
  <c r="C13" i="77"/>
  <c r="E34" i="103" s="1"/>
  <c r="H41" i="10"/>
  <c r="E34" i="101" l="1"/>
  <c r="E34" i="99"/>
  <c r="E29" i="98"/>
  <c r="E30" i="84"/>
  <c r="E32" i="96"/>
  <c r="E30" i="93"/>
  <c r="UU170" i="1"/>
  <c r="UU169" i="1"/>
  <c r="UU168" i="1"/>
  <c r="UU167" i="1"/>
  <c r="UU166" i="1"/>
  <c r="UU161" i="1"/>
  <c r="UU160" i="1"/>
  <c r="UU159" i="1"/>
  <c r="UU158" i="1"/>
  <c r="UU157" i="1"/>
  <c r="UU152" i="1"/>
  <c r="UU151" i="1"/>
  <c r="UU150" i="1"/>
  <c r="UU149" i="1"/>
  <c r="UU148" i="1"/>
  <c r="UU143" i="1"/>
  <c r="UU142" i="1"/>
  <c r="UU141" i="1"/>
  <c r="UU140" i="1"/>
  <c r="UU139" i="1"/>
  <c r="UU138" i="1"/>
  <c r="UU137" i="1"/>
  <c r="UU136" i="1"/>
  <c r="UU135" i="1"/>
  <c r="UU134" i="1"/>
  <c r="UU129" i="1"/>
  <c r="UU128" i="1"/>
  <c r="UU127" i="1"/>
  <c r="UU126" i="1"/>
  <c r="UU125" i="1"/>
  <c r="UU120" i="1"/>
  <c r="UU119" i="1"/>
  <c r="UU118" i="1"/>
  <c r="UU117" i="1"/>
  <c r="UU116" i="1"/>
  <c r="UU111" i="1"/>
  <c r="UU110" i="1"/>
  <c r="UU109" i="1"/>
  <c r="UU108" i="1"/>
  <c r="UU107" i="1"/>
  <c r="UC170" i="1"/>
  <c r="UC169" i="1"/>
  <c r="UC168" i="1"/>
  <c r="UC167" i="1"/>
  <c r="UC166" i="1"/>
  <c r="UC161" i="1"/>
  <c r="UC160" i="1"/>
  <c r="UC159" i="1"/>
  <c r="UC158" i="1"/>
  <c r="UC157" i="1"/>
  <c r="UC152" i="1"/>
  <c r="UC151" i="1"/>
  <c r="UC150" i="1"/>
  <c r="UC149" i="1"/>
  <c r="UC148" i="1"/>
  <c r="UC143" i="1"/>
  <c r="UC142" i="1"/>
  <c r="UC141" i="1"/>
  <c r="UC140" i="1"/>
  <c r="UC139" i="1"/>
  <c r="UC138" i="1"/>
  <c r="UC137" i="1"/>
  <c r="UC136" i="1"/>
  <c r="UC135" i="1"/>
  <c r="UC134" i="1"/>
  <c r="UC129" i="1"/>
  <c r="UC128" i="1"/>
  <c r="UC127" i="1"/>
  <c r="UC126" i="1"/>
  <c r="UC125" i="1"/>
  <c r="UC120" i="1"/>
  <c r="UC119" i="1"/>
  <c r="UC118" i="1"/>
  <c r="UC117" i="1"/>
  <c r="UC116" i="1"/>
  <c r="UC111" i="1"/>
  <c r="UC110" i="1"/>
  <c r="UC109" i="1"/>
  <c r="UC108" i="1"/>
  <c r="UC107" i="1"/>
  <c r="TK170" i="1"/>
  <c r="TK169" i="1"/>
  <c r="TK168" i="1"/>
  <c r="TK167" i="1"/>
  <c r="TK166" i="1"/>
  <c r="TK161" i="1"/>
  <c r="TK160" i="1"/>
  <c r="TK159" i="1"/>
  <c r="TK158" i="1"/>
  <c r="TK157" i="1"/>
  <c r="TK152" i="1"/>
  <c r="TK151" i="1"/>
  <c r="TK150" i="1"/>
  <c r="TK149" i="1"/>
  <c r="TK148" i="1"/>
  <c r="TK143" i="1"/>
  <c r="TK142" i="1"/>
  <c r="TK141" i="1"/>
  <c r="TK140" i="1"/>
  <c r="TK139" i="1"/>
  <c r="TK138" i="1"/>
  <c r="TK137" i="1"/>
  <c r="TK136" i="1"/>
  <c r="TK135" i="1"/>
  <c r="TK134" i="1"/>
  <c r="TK129" i="1"/>
  <c r="TK128" i="1"/>
  <c r="TK127" i="1"/>
  <c r="TK126" i="1"/>
  <c r="TK125" i="1"/>
  <c r="TK120" i="1"/>
  <c r="TK119" i="1"/>
  <c r="TK118" i="1"/>
  <c r="TK117" i="1"/>
  <c r="TK116" i="1"/>
  <c r="TK111" i="1"/>
  <c r="TK110" i="1"/>
  <c r="TK109" i="1"/>
  <c r="TK108" i="1"/>
  <c r="TK107" i="1"/>
  <c r="SS170" i="1"/>
  <c r="SS169" i="1"/>
  <c r="SS168" i="1"/>
  <c r="SS167" i="1"/>
  <c r="SS166" i="1"/>
  <c r="SS161" i="1"/>
  <c r="SS160" i="1"/>
  <c r="SS159" i="1"/>
  <c r="SS158" i="1"/>
  <c r="SS157" i="1"/>
  <c r="SS152" i="1"/>
  <c r="SS151" i="1"/>
  <c r="SS150" i="1"/>
  <c r="SS149" i="1"/>
  <c r="SS148" i="1"/>
  <c r="SS143" i="1"/>
  <c r="SS142" i="1"/>
  <c r="SS141" i="1"/>
  <c r="SS140" i="1"/>
  <c r="SS139" i="1"/>
  <c r="SS138" i="1"/>
  <c r="SS137" i="1"/>
  <c r="SS136" i="1"/>
  <c r="SS135" i="1"/>
  <c r="SS134" i="1"/>
  <c r="SS129" i="1"/>
  <c r="SS128" i="1"/>
  <c r="SS127" i="1"/>
  <c r="SS126" i="1"/>
  <c r="SS125" i="1"/>
  <c r="SS120" i="1"/>
  <c r="SS119" i="1"/>
  <c r="SS118" i="1"/>
  <c r="SS117" i="1"/>
  <c r="SS116" i="1"/>
  <c r="SS111" i="1"/>
  <c r="SS110" i="1"/>
  <c r="SS109" i="1"/>
  <c r="SS108" i="1"/>
  <c r="SS107" i="1"/>
  <c r="SA170" i="1"/>
  <c r="SA169" i="1"/>
  <c r="SA168" i="1"/>
  <c r="SA167" i="1"/>
  <c r="SA166" i="1"/>
  <c r="SA161" i="1"/>
  <c r="SA160" i="1"/>
  <c r="SA159" i="1"/>
  <c r="SA158" i="1"/>
  <c r="SA157" i="1"/>
  <c r="SA152" i="1"/>
  <c r="SA151" i="1"/>
  <c r="SA150" i="1"/>
  <c r="SA149" i="1"/>
  <c r="SA148" i="1"/>
  <c r="SA143" i="1"/>
  <c r="SA142" i="1"/>
  <c r="SA141" i="1"/>
  <c r="SA140" i="1"/>
  <c r="SA139" i="1"/>
  <c r="SA138" i="1"/>
  <c r="SA137" i="1"/>
  <c r="SA136" i="1"/>
  <c r="SA135" i="1"/>
  <c r="SA134" i="1"/>
  <c r="SA129" i="1"/>
  <c r="SA128" i="1"/>
  <c r="SA127" i="1"/>
  <c r="SA126" i="1"/>
  <c r="SA125" i="1"/>
  <c r="SA120" i="1"/>
  <c r="SA119" i="1"/>
  <c r="SA118" i="1"/>
  <c r="SA117" i="1"/>
  <c r="SA116" i="1"/>
  <c r="SA111" i="1"/>
  <c r="SA110" i="1"/>
  <c r="SA109" i="1"/>
  <c r="SA108" i="1"/>
  <c r="SA107" i="1"/>
  <c r="RI170" i="1"/>
  <c r="RI169" i="1"/>
  <c r="RI168" i="1"/>
  <c r="RI167" i="1"/>
  <c r="RI166" i="1"/>
  <c r="RI161" i="1"/>
  <c r="RI160" i="1"/>
  <c r="RI159" i="1"/>
  <c r="RI158" i="1"/>
  <c r="RI157" i="1"/>
  <c r="RI152" i="1"/>
  <c r="RI151" i="1"/>
  <c r="RI150" i="1"/>
  <c r="RI149" i="1"/>
  <c r="RI148" i="1"/>
  <c r="RI143" i="1"/>
  <c r="RI142" i="1"/>
  <c r="RI141" i="1"/>
  <c r="RI140" i="1"/>
  <c r="RI139" i="1"/>
  <c r="RI138" i="1"/>
  <c r="RI137" i="1"/>
  <c r="RI136" i="1"/>
  <c r="RI135" i="1"/>
  <c r="RI134" i="1"/>
  <c r="RI129" i="1"/>
  <c r="RI128" i="1"/>
  <c r="RI127" i="1"/>
  <c r="RI126" i="1"/>
  <c r="RI125" i="1"/>
  <c r="RI120" i="1"/>
  <c r="RI119" i="1"/>
  <c r="RI118" i="1"/>
  <c r="RI117" i="1"/>
  <c r="RI116" i="1"/>
  <c r="RI111" i="1"/>
  <c r="RI110" i="1"/>
  <c r="RI109" i="1"/>
  <c r="RI108" i="1"/>
  <c r="RI107" i="1"/>
  <c r="QQ170" i="1"/>
  <c r="QQ169" i="1"/>
  <c r="QQ168" i="1"/>
  <c r="QQ167" i="1"/>
  <c r="QQ166" i="1"/>
  <c r="QQ161" i="1"/>
  <c r="QQ160" i="1"/>
  <c r="QQ159" i="1"/>
  <c r="QQ158" i="1"/>
  <c r="QQ157" i="1"/>
  <c r="QQ152" i="1"/>
  <c r="QQ151" i="1"/>
  <c r="QQ150" i="1"/>
  <c r="QQ149" i="1"/>
  <c r="QQ148" i="1"/>
  <c r="QQ143" i="1"/>
  <c r="QQ142" i="1"/>
  <c r="QQ141" i="1"/>
  <c r="QQ140" i="1"/>
  <c r="QQ139" i="1"/>
  <c r="QQ138" i="1"/>
  <c r="QQ137" i="1"/>
  <c r="QQ136" i="1"/>
  <c r="QQ135" i="1"/>
  <c r="QQ134" i="1"/>
  <c r="QQ129" i="1"/>
  <c r="QQ128" i="1"/>
  <c r="QQ127" i="1"/>
  <c r="QQ126" i="1"/>
  <c r="QQ125" i="1"/>
  <c r="QQ120" i="1"/>
  <c r="QQ119" i="1"/>
  <c r="QQ118" i="1"/>
  <c r="QQ117" i="1"/>
  <c r="QQ116" i="1"/>
  <c r="QQ111" i="1"/>
  <c r="QQ110" i="1"/>
  <c r="QQ109" i="1"/>
  <c r="QQ108" i="1"/>
  <c r="QQ107" i="1"/>
  <c r="PY170" i="1"/>
  <c r="PY169" i="1"/>
  <c r="PY168" i="1"/>
  <c r="PY167" i="1"/>
  <c r="PY166" i="1"/>
  <c r="PY161" i="1"/>
  <c r="PY160" i="1"/>
  <c r="PY159" i="1"/>
  <c r="PY158" i="1"/>
  <c r="PY157" i="1"/>
  <c r="PY152" i="1"/>
  <c r="PY151" i="1"/>
  <c r="PY150" i="1"/>
  <c r="PY149" i="1"/>
  <c r="PY148" i="1"/>
  <c r="PY143" i="1"/>
  <c r="PY142" i="1"/>
  <c r="PY141" i="1"/>
  <c r="PY140" i="1"/>
  <c r="PY139" i="1"/>
  <c r="PY138" i="1"/>
  <c r="PY137" i="1"/>
  <c r="PY136" i="1"/>
  <c r="PY135" i="1"/>
  <c r="PY134" i="1"/>
  <c r="PY129" i="1"/>
  <c r="PY128" i="1"/>
  <c r="PY127" i="1"/>
  <c r="PY126" i="1"/>
  <c r="PY125" i="1"/>
  <c r="PY120" i="1"/>
  <c r="PY119" i="1"/>
  <c r="PY118" i="1"/>
  <c r="PY117" i="1"/>
  <c r="PY116" i="1"/>
  <c r="PY111" i="1"/>
  <c r="PY110" i="1"/>
  <c r="PY109" i="1"/>
  <c r="PY108" i="1"/>
  <c r="PY107" i="1"/>
  <c r="PG170" i="1"/>
  <c r="PG169" i="1"/>
  <c r="PG168" i="1"/>
  <c r="PG167" i="1"/>
  <c r="PG166" i="1"/>
  <c r="PG161" i="1"/>
  <c r="PG160" i="1"/>
  <c r="PG159" i="1"/>
  <c r="PG158" i="1"/>
  <c r="PG157" i="1"/>
  <c r="PG152" i="1"/>
  <c r="PG151" i="1"/>
  <c r="PG150" i="1"/>
  <c r="PG149" i="1"/>
  <c r="PG148" i="1"/>
  <c r="PG143" i="1"/>
  <c r="PG142" i="1"/>
  <c r="PG141" i="1"/>
  <c r="PG140" i="1"/>
  <c r="PG139" i="1"/>
  <c r="PG138" i="1"/>
  <c r="PG137" i="1"/>
  <c r="PG136" i="1"/>
  <c r="PG135" i="1"/>
  <c r="PG134" i="1"/>
  <c r="PG129" i="1"/>
  <c r="PG128" i="1"/>
  <c r="PG127" i="1"/>
  <c r="PG126" i="1"/>
  <c r="PG125" i="1"/>
  <c r="PG120" i="1"/>
  <c r="PG119" i="1"/>
  <c r="PG118" i="1"/>
  <c r="PG117" i="1"/>
  <c r="PG116" i="1"/>
  <c r="PG111" i="1"/>
  <c r="PG110" i="1"/>
  <c r="PG109" i="1"/>
  <c r="PG108" i="1"/>
  <c r="PG107" i="1"/>
  <c r="OO170" i="1"/>
  <c r="OO169" i="1"/>
  <c r="OO168" i="1"/>
  <c r="OO167" i="1"/>
  <c r="OO166" i="1"/>
  <c r="OO161" i="1"/>
  <c r="OO160" i="1"/>
  <c r="OO159" i="1"/>
  <c r="OO158" i="1"/>
  <c r="OO157" i="1"/>
  <c r="OO152" i="1"/>
  <c r="OO151" i="1"/>
  <c r="OO150" i="1"/>
  <c r="OO149" i="1"/>
  <c r="OO148" i="1"/>
  <c r="OO143" i="1"/>
  <c r="OO142" i="1"/>
  <c r="OO141" i="1"/>
  <c r="OO140" i="1"/>
  <c r="OO139" i="1"/>
  <c r="OO138" i="1"/>
  <c r="OO137" i="1"/>
  <c r="OO136" i="1"/>
  <c r="OO135" i="1"/>
  <c r="OO134" i="1"/>
  <c r="OO129" i="1"/>
  <c r="OO128" i="1"/>
  <c r="OO127" i="1"/>
  <c r="OO126" i="1"/>
  <c r="OO125" i="1"/>
  <c r="OO120" i="1"/>
  <c r="OO119" i="1"/>
  <c r="OO118" i="1"/>
  <c r="OO117" i="1"/>
  <c r="OO116" i="1"/>
  <c r="OO111" i="1"/>
  <c r="OO110" i="1"/>
  <c r="OO109" i="1"/>
  <c r="OO108" i="1"/>
  <c r="OO107" i="1"/>
  <c r="NW170" i="1"/>
  <c r="NW169" i="1"/>
  <c r="NW168" i="1"/>
  <c r="NW167" i="1"/>
  <c r="NW166" i="1"/>
  <c r="NW161" i="1"/>
  <c r="NW160" i="1"/>
  <c r="NW159" i="1"/>
  <c r="NW158" i="1"/>
  <c r="NW157" i="1"/>
  <c r="NW152" i="1"/>
  <c r="NW151" i="1"/>
  <c r="NW150" i="1"/>
  <c r="NW149" i="1"/>
  <c r="NW148" i="1"/>
  <c r="NW143" i="1"/>
  <c r="NW142" i="1"/>
  <c r="NW141" i="1"/>
  <c r="NW140" i="1"/>
  <c r="NW139" i="1"/>
  <c r="NW138" i="1"/>
  <c r="NW137" i="1"/>
  <c r="NW136" i="1"/>
  <c r="NW135" i="1"/>
  <c r="NW134" i="1"/>
  <c r="NW129" i="1"/>
  <c r="NW128" i="1"/>
  <c r="NW127" i="1"/>
  <c r="NW126" i="1"/>
  <c r="NW125" i="1"/>
  <c r="NW120" i="1"/>
  <c r="NW119" i="1"/>
  <c r="NW118" i="1"/>
  <c r="NW117" i="1"/>
  <c r="NW116" i="1"/>
  <c r="NW111" i="1"/>
  <c r="NW110" i="1"/>
  <c r="NW109" i="1"/>
  <c r="NW108" i="1"/>
  <c r="NW107" i="1"/>
  <c r="NE170" i="1"/>
  <c r="NE169" i="1"/>
  <c r="NE168" i="1"/>
  <c r="NE167" i="1"/>
  <c r="NE166" i="1"/>
  <c r="NE161" i="1"/>
  <c r="NE160" i="1"/>
  <c r="NE159" i="1"/>
  <c r="NE158" i="1"/>
  <c r="NE157" i="1"/>
  <c r="NE152" i="1"/>
  <c r="NE151" i="1"/>
  <c r="NE150" i="1"/>
  <c r="NE149" i="1"/>
  <c r="NE148" i="1"/>
  <c r="NE143" i="1"/>
  <c r="NE142" i="1"/>
  <c r="NE141" i="1"/>
  <c r="NE140" i="1"/>
  <c r="NE139" i="1"/>
  <c r="NE138" i="1"/>
  <c r="NE137" i="1"/>
  <c r="NE136" i="1"/>
  <c r="NE135" i="1"/>
  <c r="NE134" i="1"/>
  <c r="NE129" i="1"/>
  <c r="NE128" i="1"/>
  <c r="NE127" i="1"/>
  <c r="NE126" i="1"/>
  <c r="NE125" i="1"/>
  <c r="NE120" i="1"/>
  <c r="NE119" i="1"/>
  <c r="NE118" i="1"/>
  <c r="NE117" i="1"/>
  <c r="NE116" i="1"/>
  <c r="NE111" i="1"/>
  <c r="NE110" i="1"/>
  <c r="NE109" i="1"/>
  <c r="NE108" i="1"/>
  <c r="NE107" i="1"/>
  <c r="MM170" i="1"/>
  <c r="MM169" i="1"/>
  <c r="MM168" i="1"/>
  <c r="MM167" i="1"/>
  <c r="MM166" i="1"/>
  <c r="MM161" i="1"/>
  <c r="MM160" i="1"/>
  <c r="MM159" i="1"/>
  <c r="MM158" i="1"/>
  <c r="MM157" i="1"/>
  <c r="MM152" i="1"/>
  <c r="MM151" i="1"/>
  <c r="MM150" i="1"/>
  <c r="MM149" i="1"/>
  <c r="MM148" i="1"/>
  <c r="MM143" i="1"/>
  <c r="MM142" i="1"/>
  <c r="MM141" i="1"/>
  <c r="MM140" i="1"/>
  <c r="MM139" i="1"/>
  <c r="MM138" i="1"/>
  <c r="MM137" i="1"/>
  <c r="MM136" i="1"/>
  <c r="MM135" i="1"/>
  <c r="MM134" i="1"/>
  <c r="MM129" i="1"/>
  <c r="MM128" i="1"/>
  <c r="MM127" i="1"/>
  <c r="MM126" i="1"/>
  <c r="MM125" i="1"/>
  <c r="MM120" i="1"/>
  <c r="MM119" i="1"/>
  <c r="MM118" i="1"/>
  <c r="MM117" i="1"/>
  <c r="MM116" i="1"/>
  <c r="MM111" i="1"/>
  <c r="MM110" i="1"/>
  <c r="MM109" i="1"/>
  <c r="MM108" i="1"/>
  <c r="MM107" i="1"/>
  <c r="LU170" i="1"/>
  <c r="LU169" i="1"/>
  <c r="LU168" i="1"/>
  <c r="LU167" i="1"/>
  <c r="LU166" i="1"/>
  <c r="LU161" i="1"/>
  <c r="LU160" i="1"/>
  <c r="LU159" i="1"/>
  <c r="LU158" i="1"/>
  <c r="LU157" i="1"/>
  <c r="LU152" i="1"/>
  <c r="LU151" i="1"/>
  <c r="LU150" i="1"/>
  <c r="LU149" i="1"/>
  <c r="LU148" i="1"/>
  <c r="LU143" i="1"/>
  <c r="LU142" i="1"/>
  <c r="LU141" i="1"/>
  <c r="LU140" i="1"/>
  <c r="LU139" i="1"/>
  <c r="LU138" i="1"/>
  <c r="LU137" i="1"/>
  <c r="LU136" i="1"/>
  <c r="LU135" i="1"/>
  <c r="LU134" i="1"/>
  <c r="LU129" i="1"/>
  <c r="LU128" i="1"/>
  <c r="LU127" i="1"/>
  <c r="LU126" i="1"/>
  <c r="LU125" i="1"/>
  <c r="LU120" i="1"/>
  <c r="LU119" i="1"/>
  <c r="LU118" i="1"/>
  <c r="LU117" i="1"/>
  <c r="LU116" i="1"/>
  <c r="LU111" i="1"/>
  <c r="LU110" i="1"/>
  <c r="LU109" i="1"/>
  <c r="LU108" i="1"/>
  <c r="LU107" i="1"/>
  <c r="LC170" i="1"/>
  <c r="LC169" i="1"/>
  <c r="LC168" i="1"/>
  <c r="LC167" i="1"/>
  <c r="LC166" i="1"/>
  <c r="LC161" i="1"/>
  <c r="LC160" i="1"/>
  <c r="LC159" i="1"/>
  <c r="LC158" i="1"/>
  <c r="LC157" i="1"/>
  <c r="LC152" i="1"/>
  <c r="LC151" i="1"/>
  <c r="LC150" i="1"/>
  <c r="LC149" i="1"/>
  <c r="LC148" i="1"/>
  <c r="LC143" i="1"/>
  <c r="LC142" i="1"/>
  <c r="LC141" i="1"/>
  <c r="LC140" i="1"/>
  <c r="LC139" i="1"/>
  <c r="LC138" i="1"/>
  <c r="LC137" i="1"/>
  <c r="LC136" i="1"/>
  <c r="LC135" i="1"/>
  <c r="LC134" i="1"/>
  <c r="LC129" i="1"/>
  <c r="LC128" i="1"/>
  <c r="LC127" i="1"/>
  <c r="LC126" i="1"/>
  <c r="LC125" i="1"/>
  <c r="LC120" i="1"/>
  <c r="LC119" i="1"/>
  <c r="LC118" i="1"/>
  <c r="LC117" i="1"/>
  <c r="LC116" i="1"/>
  <c r="LC111" i="1"/>
  <c r="LC110" i="1"/>
  <c r="LC109" i="1"/>
  <c r="LC108" i="1"/>
  <c r="LC107" i="1"/>
  <c r="KK170" i="1"/>
  <c r="KK169" i="1"/>
  <c r="KK168" i="1"/>
  <c r="KK167" i="1"/>
  <c r="KK166" i="1"/>
  <c r="KK161" i="1"/>
  <c r="KK160" i="1"/>
  <c r="KK159" i="1"/>
  <c r="KK158" i="1"/>
  <c r="KK157" i="1"/>
  <c r="KK152" i="1"/>
  <c r="KK151" i="1"/>
  <c r="KK150" i="1"/>
  <c r="KK149" i="1"/>
  <c r="KK148" i="1"/>
  <c r="KK143" i="1"/>
  <c r="KK142" i="1"/>
  <c r="KK141" i="1"/>
  <c r="KK140" i="1"/>
  <c r="KK139" i="1"/>
  <c r="KK138" i="1"/>
  <c r="KK137" i="1"/>
  <c r="KK136" i="1"/>
  <c r="KK135" i="1"/>
  <c r="KK134" i="1"/>
  <c r="KK129" i="1"/>
  <c r="KK128" i="1"/>
  <c r="KK127" i="1"/>
  <c r="KK126" i="1"/>
  <c r="KK125" i="1"/>
  <c r="KK120" i="1"/>
  <c r="KK119" i="1"/>
  <c r="KK118" i="1"/>
  <c r="KK117" i="1"/>
  <c r="KK116" i="1"/>
  <c r="KK111" i="1"/>
  <c r="KK110" i="1"/>
  <c r="KK109" i="1"/>
  <c r="KK108" i="1"/>
  <c r="KK107" i="1"/>
  <c r="JS170" i="1"/>
  <c r="JS169" i="1"/>
  <c r="JS168" i="1"/>
  <c r="JS167" i="1"/>
  <c r="JS166" i="1"/>
  <c r="JS161" i="1"/>
  <c r="JS160" i="1"/>
  <c r="JS159" i="1"/>
  <c r="JS158" i="1"/>
  <c r="JS157" i="1"/>
  <c r="JS152" i="1"/>
  <c r="JS151" i="1"/>
  <c r="JS150" i="1"/>
  <c r="JS149" i="1"/>
  <c r="JS148" i="1"/>
  <c r="JS143" i="1"/>
  <c r="JS142" i="1"/>
  <c r="JS141" i="1"/>
  <c r="JS140" i="1"/>
  <c r="JS139" i="1"/>
  <c r="JS138" i="1"/>
  <c r="JS137" i="1"/>
  <c r="JS136" i="1"/>
  <c r="JS135" i="1"/>
  <c r="JS134" i="1"/>
  <c r="JS129" i="1"/>
  <c r="JS128" i="1"/>
  <c r="JS127" i="1"/>
  <c r="JS126" i="1"/>
  <c r="JS125" i="1"/>
  <c r="JS120" i="1"/>
  <c r="JS119" i="1"/>
  <c r="JS118" i="1"/>
  <c r="JS117" i="1"/>
  <c r="JS116" i="1"/>
  <c r="JS111" i="1"/>
  <c r="JS110" i="1"/>
  <c r="JS109" i="1"/>
  <c r="JS108" i="1"/>
  <c r="JS107" i="1"/>
  <c r="JA170" i="1"/>
  <c r="JA169" i="1"/>
  <c r="JA168" i="1"/>
  <c r="JA167" i="1"/>
  <c r="JA166" i="1"/>
  <c r="JA161" i="1"/>
  <c r="JA160" i="1"/>
  <c r="JA159" i="1"/>
  <c r="JA158" i="1"/>
  <c r="JA157" i="1"/>
  <c r="JA152" i="1"/>
  <c r="JA151" i="1"/>
  <c r="JA150" i="1"/>
  <c r="JA149" i="1"/>
  <c r="JA148" i="1"/>
  <c r="JA143" i="1"/>
  <c r="JA142" i="1"/>
  <c r="JA141" i="1"/>
  <c r="JA140" i="1"/>
  <c r="JA139" i="1"/>
  <c r="JA138" i="1"/>
  <c r="JA137" i="1"/>
  <c r="JA136" i="1"/>
  <c r="JA135" i="1"/>
  <c r="JA134" i="1"/>
  <c r="JA129" i="1"/>
  <c r="JA128" i="1"/>
  <c r="JA127" i="1"/>
  <c r="JA126" i="1"/>
  <c r="JA125" i="1"/>
  <c r="JA120" i="1"/>
  <c r="JA119" i="1"/>
  <c r="JA118" i="1"/>
  <c r="JA117" i="1"/>
  <c r="JA116" i="1"/>
  <c r="JA111" i="1"/>
  <c r="JA110" i="1"/>
  <c r="JA109" i="1"/>
  <c r="JA108" i="1"/>
  <c r="JA107" i="1"/>
  <c r="II170" i="1"/>
  <c r="II169" i="1"/>
  <c r="II168" i="1"/>
  <c r="II167" i="1"/>
  <c r="II166" i="1"/>
  <c r="II161" i="1"/>
  <c r="II160" i="1"/>
  <c r="II159" i="1"/>
  <c r="II158" i="1"/>
  <c r="II157" i="1"/>
  <c r="II152" i="1"/>
  <c r="II151" i="1"/>
  <c r="II150" i="1"/>
  <c r="II149" i="1"/>
  <c r="II148" i="1"/>
  <c r="II143" i="1"/>
  <c r="II142" i="1"/>
  <c r="II141" i="1"/>
  <c r="II140" i="1"/>
  <c r="II139" i="1"/>
  <c r="II138" i="1"/>
  <c r="II137" i="1"/>
  <c r="II136" i="1"/>
  <c r="II135" i="1"/>
  <c r="II134" i="1"/>
  <c r="II129" i="1"/>
  <c r="II128" i="1"/>
  <c r="II127" i="1"/>
  <c r="II126" i="1"/>
  <c r="II125" i="1"/>
  <c r="II120" i="1"/>
  <c r="II119" i="1"/>
  <c r="II118" i="1"/>
  <c r="II117" i="1"/>
  <c r="II116" i="1"/>
  <c r="II111" i="1"/>
  <c r="II110" i="1"/>
  <c r="II109" i="1"/>
  <c r="II108" i="1"/>
  <c r="II107" i="1"/>
  <c r="HQ170" i="1"/>
  <c r="HQ169" i="1"/>
  <c r="HQ168" i="1"/>
  <c r="HQ167" i="1"/>
  <c r="HQ166" i="1"/>
  <c r="HQ161" i="1"/>
  <c r="HQ160" i="1"/>
  <c r="HQ159" i="1"/>
  <c r="HQ158" i="1"/>
  <c r="HQ157" i="1"/>
  <c r="HQ152" i="1"/>
  <c r="HQ151" i="1"/>
  <c r="HQ150" i="1"/>
  <c r="HQ149" i="1"/>
  <c r="HQ148" i="1"/>
  <c r="HQ143" i="1"/>
  <c r="HQ142" i="1"/>
  <c r="HQ141" i="1"/>
  <c r="HQ140" i="1"/>
  <c r="HQ139" i="1"/>
  <c r="HQ138" i="1"/>
  <c r="HQ137" i="1"/>
  <c r="HQ136" i="1"/>
  <c r="HQ135" i="1"/>
  <c r="HQ134" i="1"/>
  <c r="HQ129" i="1"/>
  <c r="HQ128" i="1"/>
  <c r="HQ127" i="1"/>
  <c r="HQ126" i="1"/>
  <c r="HQ125" i="1"/>
  <c r="HQ120" i="1"/>
  <c r="HQ119" i="1"/>
  <c r="HQ118" i="1"/>
  <c r="HQ117" i="1"/>
  <c r="HQ116" i="1"/>
  <c r="HQ111" i="1"/>
  <c r="HQ110" i="1"/>
  <c r="HQ109" i="1"/>
  <c r="HQ108" i="1"/>
  <c r="HQ107" i="1"/>
  <c r="GY170" i="1"/>
  <c r="GY169" i="1"/>
  <c r="GY168" i="1"/>
  <c r="GY167" i="1"/>
  <c r="GY166" i="1"/>
  <c r="GY161" i="1"/>
  <c r="GY160" i="1"/>
  <c r="GY159" i="1"/>
  <c r="GY158" i="1"/>
  <c r="GY157" i="1"/>
  <c r="GY152" i="1"/>
  <c r="GY151" i="1"/>
  <c r="GY150" i="1"/>
  <c r="GY149" i="1"/>
  <c r="GY148" i="1"/>
  <c r="GY143" i="1"/>
  <c r="GY142" i="1"/>
  <c r="GY141" i="1"/>
  <c r="GY140" i="1"/>
  <c r="GY139" i="1"/>
  <c r="GY138" i="1"/>
  <c r="GY137" i="1"/>
  <c r="GY136" i="1"/>
  <c r="GY135" i="1"/>
  <c r="GY134" i="1"/>
  <c r="GY129" i="1"/>
  <c r="GY128" i="1"/>
  <c r="GY127" i="1"/>
  <c r="GY126" i="1"/>
  <c r="GY125" i="1"/>
  <c r="GY120" i="1"/>
  <c r="GY119" i="1"/>
  <c r="GY118" i="1"/>
  <c r="GY117" i="1"/>
  <c r="GY116" i="1"/>
  <c r="GY111" i="1"/>
  <c r="GY110" i="1"/>
  <c r="GY109" i="1"/>
  <c r="GY108" i="1"/>
  <c r="GY107" i="1"/>
  <c r="GG170" i="1"/>
  <c r="GG169" i="1"/>
  <c r="GG168" i="1"/>
  <c r="GG167" i="1"/>
  <c r="GG166" i="1"/>
  <c r="GG161" i="1"/>
  <c r="GG160" i="1"/>
  <c r="GG159" i="1"/>
  <c r="GG158" i="1"/>
  <c r="GG157" i="1"/>
  <c r="GG152" i="1"/>
  <c r="GG151" i="1"/>
  <c r="GG150" i="1"/>
  <c r="GG149" i="1"/>
  <c r="GG148" i="1"/>
  <c r="GG143" i="1"/>
  <c r="GG142" i="1"/>
  <c r="GG141" i="1"/>
  <c r="GG140" i="1"/>
  <c r="GG139" i="1"/>
  <c r="GG138" i="1"/>
  <c r="GG137" i="1"/>
  <c r="GG136" i="1"/>
  <c r="GG135" i="1"/>
  <c r="GG134" i="1"/>
  <c r="GG129" i="1"/>
  <c r="GG128" i="1"/>
  <c r="GG127" i="1"/>
  <c r="GG126" i="1"/>
  <c r="GG125" i="1"/>
  <c r="GG120" i="1"/>
  <c r="GG119" i="1"/>
  <c r="GG118" i="1"/>
  <c r="GG117" i="1"/>
  <c r="GG116" i="1"/>
  <c r="GG111" i="1"/>
  <c r="GG110" i="1"/>
  <c r="GG109" i="1"/>
  <c r="GG108" i="1"/>
  <c r="GG107" i="1"/>
  <c r="FO170" i="1"/>
  <c r="FO169" i="1"/>
  <c r="FO168" i="1"/>
  <c r="FO167" i="1"/>
  <c r="FO166" i="1"/>
  <c r="FO161" i="1"/>
  <c r="FO160" i="1"/>
  <c r="FO159" i="1"/>
  <c r="FO158" i="1"/>
  <c r="FO157" i="1"/>
  <c r="FO152" i="1"/>
  <c r="FO151" i="1"/>
  <c r="FO150" i="1"/>
  <c r="FO149" i="1"/>
  <c r="FO148" i="1"/>
  <c r="FO143" i="1"/>
  <c r="FO142" i="1"/>
  <c r="FO141" i="1"/>
  <c r="FO140" i="1"/>
  <c r="FO139" i="1"/>
  <c r="FO138" i="1"/>
  <c r="FO137" i="1"/>
  <c r="FO136" i="1"/>
  <c r="FO135" i="1"/>
  <c r="FO134" i="1"/>
  <c r="FO129" i="1"/>
  <c r="FO128" i="1"/>
  <c r="FO127" i="1"/>
  <c r="FO126" i="1"/>
  <c r="FO125" i="1"/>
  <c r="FO120" i="1"/>
  <c r="FO119" i="1"/>
  <c r="FO118" i="1"/>
  <c r="FO117" i="1"/>
  <c r="FO116" i="1"/>
  <c r="FO111" i="1"/>
  <c r="FO110" i="1"/>
  <c r="FO109" i="1"/>
  <c r="FO108" i="1"/>
  <c r="FO107" i="1"/>
  <c r="EW170" i="1"/>
  <c r="EW169" i="1"/>
  <c r="EW168" i="1"/>
  <c r="EW167" i="1"/>
  <c r="EW166" i="1"/>
  <c r="EW161" i="1"/>
  <c r="EW160" i="1"/>
  <c r="EW159" i="1"/>
  <c r="EW158" i="1"/>
  <c r="EW157" i="1"/>
  <c r="EW152" i="1"/>
  <c r="EW151" i="1"/>
  <c r="EW150" i="1"/>
  <c r="EW149" i="1"/>
  <c r="EW148" i="1"/>
  <c r="EW143" i="1"/>
  <c r="EW142" i="1"/>
  <c r="EW141" i="1"/>
  <c r="EW140" i="1"/>
  <c r="EW139" i="1"/>
  <c r="EW138" i="1"/>
  <c r="EW137" i="1"/>
  <c r="EW136" i="1"/>
  <c r="EW135" i="1"/>
  <c r="EW134" i="1"/>
  <c r="EW129" i="1"/>
  <c r="EW128" i="1"/>
  <c r="EW127" i="1"/>
  <c r="EW126" i="1"/>
  <c r="EW125" i="1"/>
  <c r="EW120" i="1"/>
  <c r="EW119" i="1"/>
  <c r="EW118" i="1"/>
  <c r="EW117" i="1"/>
  <c r="EW116" i="1"/>
  <c r="EW111" i="1"/>
  <c r="EW110" i="1"/>
  <c r="EW109" i="1"/>
  <c r="EW108" i="1"/>
  <c r="EW107" i="1"/>
  <c r="EE170" i="1"/>
  <c r="EE169" i="1"/>
  <c r="EE168" i="1"/>
  <c r="EE167" i="1"/>
  <c r="EE166" i="1"/>
  <c r="EE161" i="1"/>
  <c r="EE160" i="1"/>
  <c r="EE159" i="1"/>
  <c r="EE158" i="1"/>
  <c r="EE157" i="1"/>
  <c r="EE152" i="1"/>
  <c r="EE151" i="1"/>
  <c r="EE150" i="1"/>
  <c r="EE149" i="1"/>
  <c r="EE148" i="1"/>
  <c r="EE143" i="1"/>
  <c r="EE142" i="1"/>
  <c r="EE141" i="1"/>
  <c r="EE140" i="1"/>
  <c r="EE139" i="1"/>
  <c r="EE138" i="1"/>
  <c r="EE137" i="1"/>
  <c r="EE136" i="1"/>
  <c r="EE135" i="1"/>
  <c r="EE134" i="1"/>
  <c r="EE129" i="1"/>
  <c r="EE128" i="1"/>
  <c r="EE127" i="1"/>
  <c r="EE126" i="1"/>
  <c r="EE125" i="1"/>
  <c r="EE120" i="1"/>
  <c r="EE119" i="1"/>
  <c r="EE118" i="1"/>
  <c r="EE117" i="1"/>
  <c r="EE116" i="1"/>
  <c r="EE111" i="1"/>
  <c r="EE110" i="1"/>
  <c r="EE109" i="1"/>
  <c r="EE108" i="1"/>
  <c r="EE107" i="1"/>
  <c r="DM170" i="1"/>
  <c r="DM169" i="1"/>
  <c r="DM168" i="1"/>
  <c r="DM167" i="1"/>
  <c r="DM166" i="1"/>
  <c r="DM161" i="1"/>
  <c r="DM160" i="1"/>
  <c r="DM159" i="1"/>
  <c r="DM158" i="1"/>
  <c r="DM157" i="1"/>
  <c r="DM152" i="1"/>
  <c r="DM151" i="1"/>
  <c r="DM150" i="1"/>
  <c r="DM149" i="1"/>
  <c r="DM148" i="1"/>
  <c r="DM143" i="1"/>
  <c r="DM142" i="1"/>
  <c r="DM141" i="1"/>
  <c r="DM140" i="1"/>
  <c r="DM139" i="1"/>
  <c r="DM138" i="1"/>
  <c r="DM137" i="1"/>
  <c r="DM136" i="1"/>
  <c r="DM135" i="1"/>
  <c r="DM134" i="1"/>
  <c r="DM129" i="1"/>
  <c r="DM128" i="1"/>
  <c r="DM127" i="1"/>
  <c r="DM126" i="1"/>
  <c r="DM125" i="1"/>
  <c r="DM120" i="1"/>
  <c r="DM119" i="1"/>
  <c r="DM118" i="1"/>
  <c r="DM117" i="1"/>
  <c r="DM116" i="1"/>
  <c r="DM111" i="1"/>
  <c r="DM110" i="1"/>
  <c r="DM109" i="1"/>
  <c r="DM108" i="1"/>
  <c r="DM107" i="1"/>
  <c r="CU170" i="1"/>
  <c r="CU169" i="1"/>
  <c r="CU168" i="1"/>
  <c r="CU167" i="1"/>
  <c r="CU166" i="1"/>
  <c r="CU161" i="1"/>
  <c r="CU160" i="1"/>
  <c r="CU159" i="1"/>
  <c r="CU158" i="1"/>
  <c r="CU157" i="1"/>
  <c r="CU152" i="1"/>
  <c r="CU151" i="1"/>
  <c r="CU150" i="1"/>
  <c r="CU149" i="1"/>
  <c r="CU148" i="1"/>
  <c r="CU143" i="1"/>
  <c r="CU142" i="1"/>
  <c r="CU141" i="1"/>
  <c r="CU140" i="1"/>
  <c r="CU139" i="1"/>
  <c r="CU138" i="1"/>
  <c r="CU137" i="1"/>
  <c r="CU136" i="1"/>
  <c r="CU135" i="1"/>
  <c r="CU134" i="1"/>
  <c r="CU129" i="1"/>
  <c r="CU128" i="1"/>
  <c r="CU127" i="1"/>
  <c r="CU126" i="1"/>
  <c r="CU125" i="1"/>
  <c r="CU120" i="1"/>
  <c r="CU119" i="1"/>
  <c r="CU118" i="1"/>
  <c r="CU117" i="1"/>
  <c r="CU116" i="1"/>
  <c r="CU111" i="1"/>
  <c r="CU110" i="1"/>
  <c r="CU109" i="1"/>
  <c r="CU108" i="1"/>
  <c r="CU107" i="1"/>
  <c r="CC143" i="1"/>
  <c r="CC142" i="1"/>
  <c r="CC128" i="1"/>
  <c r="CC109" i="1"/>
  <c r="CC170" i="1"/>
  <c r="CC169" i="1"/>
  <c r="CC168" i="1"/>
  <c r="CC167" i="1"/>
  <c r="CC166" i="1"/>
  <c r="CC161" i="1"/>
  <c r="CC160" i="1"/>
  <c r="CC159" i="1"/>
  <c r="CC158" i="1"/>
  <c r="CC157" i="1"/>
  <c r="CC152" i="1"/>
  <c r="CC151" i="1"/>
  <c r="CC150" i="1"/>
  <c r="CC149" i="1"/>
  <c r="CC148" i="1"/>
  <c r="CC141" i="1"/>
  <c r="CC140" i="1"/>
  <c r="CC139" i="1"/>
  <c r="CC138" i="1"/>
  <c r="CC137" i="1"/>
  <c r="CC136" i="1"/>
  <c r="CC135" i="1"/>
  <c r="CC134" i="1"/>
  <c r="CC129" i="1"/>
  <c r="CC127" i="1"/>
  <c r="CC126" i="1"/>
  <c r="CC125" i="1"/>
  <c r="CC120" i="1"/>
  <c r="CC119" i="1"/>
  <c r="CC118" i="1"/>
  <c r="CC117" i="1"/>
  <c r="CC116" i="1"/>
  <c r="CC111" i="1"/>
  <c r="CC110" i="1"/>
  <c r="CC108" i="1"/>
  <c r="CC107" i="1"/>
  <c r="BK140" i="1"/>
  <c r="BK111" i="1"/>
  <c r="BK108" i="1"/>
  <c r="BK170" i="1"/>
  <c r="BK169" i="1"/>
  <c r="BK168" i="1"/>
  <c r="BK167" i="1"/>
  <c r="BK166" i="1"/>
  <c r="BK161" i="1"/>
  <c r="BK160" i="1"/>
  <c r="BK159" i="1"/>
  <c r="BK158" i="1"/>
  <c r="BK157" i="1"/>
  <c r="BK152" i="1"/>
  <c r="BK151" i="1"/>
  <c r="BK150" i="1"/>
  <c r="BK149" i="1"/>
  <c r="BK148" i="1"/>
  <c r="BK143" i="1"/>
  <c r="BK142" i="1"/>
  <c r="BK141" i="1"/>
  <c r="BK139" i="1"/>
  <c r="BK138" i="1"/>
  <c r="BK137" i="1"/>
  <c r="BK136" i="1"/>
  <c r="BK135" i="1"/>
  <c r="BK134" i="1"/>
  <c r="BK129" i="1"/>
  <c r="BK128" i="1"/>
  <c r="BK127" i="1"/>
  <c r="BK125" i="1"/>
  <c r="BK120" i="1"/>
  <c r="BK119" i="1"/>
  <c r="BK118" i="1"/>
  <c r="BK117" i="1"/>
  <c r="BK116" i="1"/>
  <c r="BK110" i="1"/>
  <c r="BK109" i="1"/>
  <c r="BK107" i="1"/>
  <c r="AS170" i="1"/>
  <c r="AS169" i="1"/>
  <c r="AS168" i="1"/>
  <c r="AS167" i="1"/>
  <c r="AS166" i="1"/>
  <c r="AS161" i="1"/>
  <c r="AS160" i="1"/>
  <c r="AS159" i="1"/>
  <c r="AS158" i="1"/>
  <c r="AS157" i="1"/>
  <c r="AS152" i="1"/>
  <c r="AS151" i="1"/>
  <c r="AS150" i="1"/>
  <c r="AS149" i="1"/>
  <c r="AS148" i="1"/>
  <c r="AS143" i="1"/>
  <c r="AS142" i="1"/>
  <c r="AS141" i="1"/>
  <c r="AS140" i="1"/>
  <c r="AS139" i="1"/>
  <c r="AS138" i="1"/>
  <c r="AS137" i="1"/>
  <c r="AS136" i="1"/>
  <c r="AS135" i="1"/>
  <c r="AS134" i="1"/>
  <c r="AS129" i="1"/>
  <c r="AS128" i="1"/>
  <c r="AS127" i="1"/>
  <c r="AS126" i="1"/>
  <c r="AS125" i="1"/>
  <c r="AS120" i="1"/>
  <c r="AS119" i="1"/>
  <c r="AS118" i="1"/>
  <c r="AS117" i="1"/>
  <c r="AS116" i="1"/>
  <c r="AS111" i="1"/>
  <c r="AS110" i="1"/>
  <c r="AS109" i="1"/>
  <c r="AS108" i="1"/>
  <c r="AS107" i="1"/>
  <c r="AA168" i="1"/>
  <c r="AA107" i="1"/>
  <c r="AA127" i="1"/>
  <c r="AA170" i="1"/>
  <c r="AA169" i="1"/>
  <c r="AA167" i="1"/>
  <c r="AA166" i="1"/>
  <c r="AA161" i="1"/>
  <c r="AA160" i="1"/>
  <c r="AA159" i="1"/>
  <c r="AA158" i="1"/>
  <c r="AA157" i="1"/>
  <c r="AA152" i="1"/>
  <c r="AA151" i="1"/>
  <c r="AA150" i="1"/>
  <c r="AA149" i="1"/>
  <c r="AA148" i="1"/>
  <c r="AA143" i="1"/>
  <c r="AA142" i="1"/>
  <c r="AA141" i="1"/>
  <c r="AA140" i="1"/>
  <c r="AA139" i="1"/>
  <c r="AA138" i="1"/>
  <c r="AA137" i="1"/>
  <c r="AA136" i="1"/>
  <c r="AA135" i="1"/>
  <c r="AA134" i="1"/>
  <c r="AA129" i="1"/>
  <c r="AA128" i="1"/>
  <c r="AA126" i="1"/>
  <c r="AA125" i="1"/>
  <c r="AA120" i="1"/>
  <c r="AA119" i="1"/>
  <c r="AA118" i="1"/>
  <c r="AA117" i="1"/>
  <c r="AA116" i="1"/>
  <c r="AA111" i="1"/>
  <c r="AA110" i="1"/>
  <c r="AA109" i="1"/>
  <c r="AA108" i="1"/>
  <c r="I170" i="1"/>
  <c r="I169" i="1"/>
  <c r="I168" i="1"/>
  <c r="I167" i="1"/>
  <c r="I166" i="1"/>
  <c r="I161" i="1"/>
  <c r="I160" i="1"/>
  <c r="I159" i="1"/>
  <c r="I158" i="1"/>
  <c r="I157" i="1"/>
  <c r="I152" i="1"/>
  <c r="I151" i="1"/>
  <c r="I150" i="1"/>
  <c r="I149" i="1"/>
  <c r="I148" i="1"/>
  <c r="I143" i="1"/>
  <c r="I142" i="1"/>
  <c r="I141" i="1"/>
  <c r="I140" i="1"/>
  <c r="I139" i="1"/>
  <c r="I138" i="1"/>
  <c r="I137" i="1"/>
  <c r="I136" i="1"/>
  <c r="I135" i="1"/>
  <c r="I134" i="1"/>
  <c r="I129" i="1"/>
  <c r="I128" i="1"/>
  <c r="I127" i="1"/>
  <c r="I126" i="1"/>
  <c r="I125" i="1"/>
  <c r="I120" i="1"/>
  <c r="I119" i="1"/>
  <c r="I118" i="1"/>
  <c r="I117" i="1"/>
  <c r="I116" i="1"/>
  <c r="I111" i="1"/>
  <c r="I110" i="1"/>
  <c r="I109" i="1"/>
  <c r="I108" i="1"/>
  <c r="CU144" i="1" l="1"/>
  <c r="EW144" i="1"/>
  <c r="PG144" i="1"/>
  <c r="UU144" i="1"/>
  <c r="I144" i="1"/>
  <c r="NW144" i="1"/>
  <c r="SS144" i="1"/>
  <c r="TK144" i="1"/>
  <c r="BK144" i="1"/>
  <c r="CC144" i="1"/>
  <c r="CC112" i="1"/>
  <c r="CU112" i="1"/>
  <c r="I112" i="1"/>
  <c r="I113" i="1"/>
  <c r="I114" i="1" s="1"/>
  <c r="BK113" i="1"/>
  <c r="BK112" i="1"/>
  <c r="UU113" i="1"/>
  <c r="UC112" i="1"/>
  <c r="UC122" i="1"/>
  <c r="SA112" i="1"/>
  <c r="SA122" i="1"/>
  <c r="SA154" i="1"/>
  <c r="SS112" i="1"/>
  <c r="SS122" i="1"/>
  <c r="SS154" i="1"/>
  <c r="TK112" i="1"/>
  <c r="TK122" i="1"/>
  <c r="TK154" i="1"/>
  <c r="UU112" i="1"/>
  <c r="UU114" i="1" s="1"/>
  <c r="UU122" i="1"/>
  <c r="UU154" i="1"/>
  <c r="SA121" i="1"/>
  <c r="SS131" i="1"/>
  <c r="SS163" i="1"/>
  <c r="TK121" i="1"/>
  <c r="TK123" i="1" s="1"/>
  <c r="UC121" i="1"/>
  <c r="SA130" i="1"/>
  <c r="SA145" i="1"/>
  <c r="SA172" i="1"/>
  <c r="SS130" i="1"/>
  <c r="SS172" i="1"/>
  <c r="TK130" i="1"/>
  <c r="TK145" i="1"/>
  <c r="TK172" i="1"/>
  <c r="UC131" i="1"/>
  <c r="UC163" i="1"/>
  <c r="UU121" i="1"/>
  <c r="UU131" i="1"/>
  <c r="UU163" i="1"/>
  <c r="SA131" i="1"/>
  <c r="SA163" i="1"/>
  <c r="SS121" i="1"/>
  <c r="TK131" i="1"/>
  <c r="TK163" i="1"/>
  <c r="UC154" i="1"/>
  <c r="SA113" i="1"/>
  <c r="SS113" i="1"/>
  <c r="SS145" i="1"/>
  <c r="TK113" i="1"/>
  <c r="UC113" i="1"/>
  <c r="UC130" i="1"/>
  <c r="UC145" i="1"/>
  <c r="UC172" i="1"/>
  <c r="UU130" i="1"/>
  <c r="UU145" i="1"/>
  <c r="UU172" i="1"/>
  <c r="UU153" i="1"/>
  <c r="UU162" i="1"/>
  <c r="UU171" i="1"/>
  <c r="UC144" i="1"/>
  <c r="UC153" i="1"/>
  <c r="UC162" i="1"/>
  <c r="UC171" i="1"/>
  <c r="TK153" i="1"/>
  <c r="TK162" i="1"/>
  <c r="TK171" i="1"/>
  <c r="SS153" i="1"/>
  <c r="SS162" i="1"/>
  <c r="SS164" i="1" s="1"/>
  <c r="SS171" i="1"/>
  <c r="SA144" i="1"/>
  <c r="SA153" i="1"/>
  <c r="SA162" i="1"/>
  <c r="SA171" i="1"/>
  <c r="LU154" i="1"/>
  <c r="MM121" i="1"/>
  <c r="PG121" i="1"/>
  <c r="PG131" i="1"/>
  <c r="PG163" i="1"/>
  <c r="PY121" i="1"/>
  <c r="PY131" i="1"/>
  <c r="PY163" i="1"/>
  <c r="JA130" i="1"/>
  <c r="JA145" i="1"/>
  <c r="JA172" i="1"/>
  <c r="JS112" i="1"/>
  <c r="JS122" i="1"/>
  <c r="AS130" i="1"/>
  <c r="FO112" i="1"/>
  <c r="FO122" i="1"/>
  <c r="FO154" i="1"/>
  <c r="RI113" i="1"/>
  <c r="QQ113" i="1"/>
  <c r="BK172" i="1"/>
  <c r="CC122" i="1"/>
  <c r="DM131" i="1"/>
  <c r="DM163" i="1"/>
  <c r="EE112" i="1"/>
  <c r="EE131" i="1"/>
  <c r="EW113" i="1"/>
  <c r="HQ122" i="1"/>
  <c r="HQ154" i="1"/>
  <c r="II131" i="1"/>
  <c r="II163" i="1"/>
  <c r="LC154" i="1"/>
  <c r="LU121" i="1"/>
  <c r="MM130" i="1"/>
  <c r="PG130" i="1"/>
  <c r="PG145" i="1"/>
  <c r="PG172" i="1"/>
  <c r="PY130" i="1"/>
  <c r="PY145" i="1"/>
  <c r="PY172" i="1"/>
  <c r="QQ112" i="1"/>
  <c r="QQ122" i="1"/>
  <c r="QQ154" i="1"/>
  <c r="RI112" i="1"/>
  <c r="RI122" i="1"/>
  <c r="RI154" i="1"/>
  <c r="AS112" i="1"/>
  <c r="GY113" i="1"/>
  <c r="JS130" i="1"/>
  <c r="KK122" i="1"/>
  <c r="KK154" i="1"/>
  <c r="LC121" i="1"/>
  <c r="LC131" i="1"/>
  <c r="NE121" i="1"/>
  <c r="NE131" i="1"/>
  <c r="NE163" i="1"/>
  <c r="NW121" i="1"/>
  <c r="NW131" i="1"/>
  <c r="NW163" i="1"/>
  <c r="OO113" i="1"/>
  <c r="PG113" i="1"/>
  <c r="PY113" i="1"/>
  <c r="QQ121" i="1"/>
  <c r="QQ131" i="1"/>
  <c r="QQ163" i="1"/>
  <c r="RI121" i="1"/>
  <c r="RI131" i="1"/>
  <c r="RI163" i="1"/>
  <c r="AS122" i="1"/>
  <c r="GG121" i="1"/>
  <c r="GG154" i="1"/>
  <c r="PG112" i="1"/>
  <c r="PG122" i="1"/>
  <c r="PG154" i="1"/>
  <c r="PY112" i="1"/>
  <c r="PY122" i="1"/>
  <c r="PY154" i="1"/>
  <c r="QQ130" i="1"/>
  <c r="QQ145" i="1"/>
  <c r="QQ172" i="1"/>
  <c r="RI130" i="1"/>
  <c r="RI145" i="1"/>
  <c r="RI172" i="1"/>
  <c r="RI144" i="1"/>
  <c r="RI153" i="1"/>
  <c r="RI162" i="1"/>
  <c r="RI171" i="1"/>
  <c r="QQ144" i="1"/>
  <c r="QQ153" i="1"/>
  <c r="QQ162" i="1"/>
  <c r="QQ171" i="1"/>
  <c r="PY144" i="1"/>
  <c r="PY153" i="1"/>
  <c r="PY155" i="1" s="1"/>
  <c r="PY162" i="1"/>
  <c r="PY171" i="1"/>
  <c r="PG153" i="1"/>
  <c r="PG162" i="1"/>
  <c r="PG171" i="1"/>
  <c r="AA113" i="1"/>
  <c r="AA154" i="1"/>
  <c r="AS121" i="1"/>
  <c r="AS123" i="1" s="1"/>
  <c r="AS131" i="1"/>
  <c r="AS154" i="1"/>
  <c r="CC121" i="1"/>
  <c r="CC154" i="1"/>
  <c r="CU122" i="1"/>
  <c r="CU154" i="1"/>
  <c r="DM145" i="1"/>
  <c r="DM172" i="1"/>
  <c r="EE121" i="1"/>
  <c r="EE154" i="1"/>
  <c r="EW122" i="1"/>
  <c r="FO121" i="1"/>
  <c r="FO131" i="1"/>
  <c r="FO163" i="1"/>
  <c r="GG130" i="1"/>
  <c r="GG163" i="1"/>
  <c r="GY122" i="1"/>
  <c r="GY154" i="1"/>
  <c r="HQ131" i="1"/>
  <c r="HQ163" i="1"/>
  <c r="II145" i="1"/>
  <c r="II172" i="1"/>
  <c r="JA113" i="1"/>
  <c r="JS121" i="1"/>
  <c r="JS131" i="1"/>
  <c r="JS154" i="1"/>
  <c r="KK131" i="1"/>
  <c r="KK163" i="1"/>
  <c r="LC130" i="1"/>
  <c r="LC163" i="1"/>
  <c r="LU131" i="1"/>
  <c r="LU163" i="1"/>
  <c r="MM131" i="1"/>
  <c r="MM154" i="1"/>
  <c r="NE130" i="1"/>
  <c r="NE145" i="1"/>
  <c r="NE172" i="1"/>
  <c r="NW130" i="1"/>
  <c r="NW145" i="1"/>
  <c r="NW172" i="1"/>
  <c r="OO122" i="1"/>
  <c r="OO154" i="1"/>
  <c r="AA163" i="1"/>
  <c r="AS163" i="1"/>
  <c r="CC163" i="1"/>
  <c r="CU130" i="1"/>
  <c r="CU163" i="1"/>
  <c r="DM113" i="1"/>
  <c r="EE113" i="1"/>
  <c r="EE163" i="1"/>
  <c r="EW163" i="1"/>
  <c r="FO130" i="1"/>
  <c r="FO145" i="1"/>
  <c r="FO172" i="1"/>
  <c r="GG145" i="1"/>
  <c r="GG172" i="1"/>
  <c r="GY131" i="1"/>
  <c r="GY163" i="1"/>
  <c r="HQ145" i="1"/>
  <c r="HQ172" i="1"/>
  <c r="II113" i="1"/>
  <c r="JA112" i="1"/>
  <c r="JA122" i="1"/>
  <c r="JA154" i="1"/>
  <c r="JS163" i="1"/>
  <c r="KK145" i="1"/>
  <c r="KK172" i="1"/>
  <c r="LC113" i="1"/>
  <c r="LC145" i="1"/>
  <c r="LC172" i="1"/>
  <c r="LU113" i="1"/>
  <c r="LU130" i="1"/>
  <c r="LU145" i="1"/>
  <c r="LU172" i="1"/>
  <c r="MM113" i="1"/>
  <c r="MM163" i="1"/>
  <c r="NE113" i="1"/>
  <c r="NW113" i="1"/>
  <c r="OO121" i="1"/>
  <c r="OO131" i="1"/>
  <c r="OO163" i="1"/>
  <c r="AA122" i="1"/>
  <c r="AA121" i="1"/>
  <c r="AA145" i="1"/>
  <c r="AS113" i="1"/>
  <c r="AS145" i="1"/>
  <c r="AS172" i="1"/>
  <c r="BK122" i="1"/>
  <c r="BK163" i="1"/>
  <c r="CC172" i="1"/>
  <c r="CU145" i="1"/>
  <c r="CU172" i="1"/>
  <c r="DM122" i="1"/>
  <c r="DM154" i="1"/>
  <c r="EE122" i="1"/>
  <c r="EE172" i="1"/>
  <c r="EW172" i="1"/>
  <c r="FO113" i="1"/>
  <c r="GG113" i="1"/>
  <c r="GY130" i="1"/>
  <c r="GY145" i="1"/>
  <c r="GY172" i="1"/>
  <c r="HQ113" i="1"/>
  <c r="II122" i="1"/>
  <c r="II154" i="1"/>
  <c r="JA121" i="1"/>
  <c r="JA131" i="1"/>
  <c r="JA163" i="1"/>
  <c r="JS113" i="1"/>
  <c r="JS145" i="1"/>
  <c r="JS172" i="1"/>
  <c r="KK113" i="1"/>
  <c r="LC112" i="1"/>
  <c r="LC122" i="1"/>
  <c r="LU112" i="1"/>
  <c r="LU114" i="1" s="1"/>
  <c r="LU122" i="1"/>
  <c r="MM112" i="1"/>
  <c r="MM122" i="1"/>
  <c r="MM145" i="1"/>
  <c r="MM172" i="1"/>
  <c r="NE112" i="1"/>
  <c r="NE122" i="1"/>
  <c r="NE154" i="1"/>
  <c r="NW112" i="1"/>
  <c r="NW122" i="1"/>
  <c r="NW154" i="1"/>
  <c r="OO130" i="1"/>
  <c r="OO145" i="1"/>
  <c r="OO172" i="1"/>
  <c r="OO112" i="1"/>
  <c r="OO144" i="1"/>
  <c r="OO153" i="1"/>
  <c r="OO162" i="1"/>
  <c r="OO171" i="1"/>
  <c r="NW153" i="1"/>
  <c r="NW162" i="1"/>
  <c r="NW171" i="1"/>
  <c r="NE144" i="1"/>
  <c r="NE153" i="1"/>
  <c r="NE162" i="1"/>
  <c r="NE171" i="1"/>
  <c r="MM144" i="1"/>
  <c r="MM153" i="1"/>
  <c r="MM162" i="1"/>
  <c r="MM171" i="1"/>
  <c r="LU144" i="1"/>
  <c r="LU153" i="1"/>
  <c r="LU162" i="1"/>
  <c r="LU171" i="1"/>
  <c r="LC144" i="1"/>
  <c r="LC153" i="1"/>
  <c r="LC162" i="1"/>
  <c r="LC171" i="1"/>
  <c r="KK112" i="1"/>
  <c r="KK121" i="1"/>
  <c r="KK130" i="1"/>
  <c r="KK132" i="1" s="1"/>
  <c r="KK144" i="1"/>
  <c r="KK153" i="1"/>
  <c r="KK162" i="1"/>
  <c r="KK171" i="1"/>
  <c r="KK173" i="1" s="1"/>
  <c r="JS144" i="1"/>
  <c r="JS153" i="1"/>
  <c r="JS162" i="1"/>
  <c r="JS171" i="1"/>
  <c r="JA144" i="1"/>
  <c r="JA153" i="1"/>
  <c r="JA162" i="1"/>
  <c r="JA171" i="1"/>
  <c r="II112" i="1"/>
  <c r="II121" i="1"/>
  <c r="II130" i="1"/>
  <c r="II144" i="1"/>
  <c r="II153" i="1"/>
  <c r="II162" i="1"/>
  <c r="II171" i="1"/>
  <c r="HQ112" i="1"/>
  <c r="HQ121" i="1"/>
  <c r="HQ130" i="1"/>
  <c r="HQ144" i="1"/>
  <c r="HQ153" i="1"/>
  <c r="HQ155" i="1" s="1"/>
  <c r="HQ162" i="1"/>
  <c r="HQ171" i="1"/>
  <c r="GY112" i="1"/>
  <c r="GY121" i="1"/>
  <c r="GY144" i="1"/>
  <c r="GY153" i="1"/>
  <c r="GY162" i="1"/>
  <c r="GY171" i="1"/>
  <c r="GY173" i="1" s="1"/>
  <c r="GG112" i="1"/>
  <c r="GG122" i="1"/>
  <c r="GG131" i="1"/>
  <c r="GG144" i="1"/>
  <c r="GG153" i="1"/>
  <c r="GG162" i="1"/>
  <c r="GG171" i="1"/>
  <c r="FO144" i="1"/>
  <c r="FO153" i="1"/>
  <c r="FO162" i="1"/>
  <c r="FO171" i="1"/>
  <c r="EW154" i="1"/>
  <c r="EW145" i="1"/>
  <c r="EW131" i="1"/>
  <c r="EW112" i="1"/>
  <c r="EW121" i="1"/>
  <c r="EW130" i="1"/>
  <c r="EW153" i="1"/>
  <c r="EW162" i="1"/>
  <c r="EW171" i="1"/>
  <c r="EE145" i="1"/>
  <c r="EE130" i="1"/>
  <c r="EE144" i="1"/>
  <c r="EE153" i="1"/>
  <c r="EE162" i="1"/>
  <c r="EE171" i="1"/>
  <c r="DM112" i="1"/>
  <c r="DM121" i="1"/>
  <c r="DM130" i="1"/>
  <c r="DM144" i="1"/>
  <c r="DM153" i="1"/>
  <c r="DM162" i="1"/>
  <c r="DM171" i="1"/>
  <c r="CU121" i="1"/>
  <c r="CU113" i="1"/>
  <c r="CU131" i="1"/>
  <c r="CU153" i="1"/>
  <c r="CU162" i="1"/>
  <c r="CU171" i="1"/>
  <c r="CC145" i="1"/>
  <c r="CC131" i="1"/>
  <c r="CC130" i="1"/>
  <c r="CC113" i="1"/>
  <c r="CC153" i="1"/>
  <c r="CC162" i="1"/>
  <c r="CC171" i="1"/>
  <c r="BK154" i="1"/>
  <c r="BK145" i="1"/>
  <c r="BK131" i="1"/>
  <c r="BK121" i="1"/>
  <c r="BK130" i="1"/>
  <c r="BK153" i="1"/>
  <c r="BK162" i="1"/>
  <c r="BK171" i="1"/>
  <c r="AS144" i="1"/>
  <c r="AS153" i="1"/>
  <c r="AS162" i="1"/>
  <c r="AS171" i="1"/>
  <c r="AA172" i="1"/>
  <c r="AA112" i="1"/>
  <c r="AA130" i="1"/>
  <c r="AA131" i="1"/>
  <c r="AA144" i="1"/>
  <c r="AA153" i="1"/>
  <c r="AA162" i="1"/>
  <c r="AA171" i="1"/>
  <c r="HQ146" i="1" l="1"/>
  <c r="CU164" i="1"/>
  <c r="GG164" i="1"/>
  <c r="MM114" i="1"/>
  <c r="UU123" i="1"/>
  <c r="CU155" i="1"/>
  <c r="LC155" i="1"/>
  <c r="MM155" i="1"/>
  <c r="UC114" i="1"/>
  <c r="KK155" i="1"/>
  <c r="KK114" i="1"/>
  <c r="OO146" i="1"/>
  <c r="HQ164" i="1"/>
  <c r="LC123" i="1"/>
  <c r="JA123" i="1"/>
  <c r="CC123" i="1"/>
  <c r="PG123" i="1"/>
  <c r="OO123" i="1"/>
  <c r="FO132" i="1"/>
  <c r="AS114" i="1"/>
  <c r="DM114" i="1"/>
  <c r="TK173" i="1"/>
  <c r="NW164" i="1"/>
  <c r="MM123" i="1"/>
  <c r="NE132" i="1"/>
  <c r="QQ155" i="1"/>
  <c r="AS164" i="1"/>
  <c r="GG173" i="1"/>
  <c r="JA164" i="1"/>
  <c r="RI114" i="1"/>
  <c r="MM173" i="1"/>
  <c r="UU173" i="1"/>
  <c r="UC123" i="1"/>
  <c r="PG146" i="1"/>
  <c r="BK155" i="1"/>
  <c r="DM123" i="1"/>
  <c r="EE155" i="1"/>
  <c r="EW173" i="1"/>
  <c r="FO155" i="1"/>
  <c r="PY173" i="1"/>
  <c r="SA164" i="1"/>
  <c r="TK155" i="1"/>
  <c r="UC155" i="1"/>
  <c r="UU155" i="1"/>
  <c r="SS114" i="1"/>
  <c r="EE114" i="1"/>
  <c r="AA155" i="1"/>
  <c r="AA114" i="1"/>
  <c r="AS155" i="1"/>
  <c r="BK164" i="1"/>
  <c r="II155" i="1"/>
  <c r="JA132" i="1"/>
  <c r="JS123" i="1"/>
  <c r="SA114" i="1"/>
  <c r="SS123" i="1"/>
  <c r="AS146" i="1"/>
  <c r="TK146" i="1"/>
  <c r="UC146" i="1"/>
  <c r="LU132" i="1"/>
  <c r="FO146" i="1"/>
  <c r="PY123" i="1"/>
  <c r="JA146" i="1"/>
  <c r="AS132" i="1"/>
  <c r="SS155" i="1"/>
  <c r="DM146" i="1"/>
  <c r="EW123" i="1"/>
  <c r="GY123" i="1"/>
  <c r="HQ173" i="1"/>
  <c r="KK164" i="1"/>
  <c r="SA146" i="1"/>
  <c r="UC132" i="1"/>
  <c r="DM132" i="1"/>
  <c r="EE173" i="1"/>
  <c r="EW114" i="1"/>
  <c r="GG123" i="1"/>
  <c r="GY146" i="1"/>
  <c r="MM164" i="1"/>
  <c r="NW146" i="1"/>
  <c r="OO155" i="1"/>
  <c r="PY132" i="1"/>
  <c r="AA146" i="1"/>
  <c r="LC114" i="1"/>
  <c r="SS173" i="1"/>
  <c r="SA123" i="1"/>
  <c r="AA132" i="1"/>
  <c r="RI164" i="1"/>
  <c r="QQ132" i="1"/>
  <c r="NW123" i="1"/>
  <c r="QQ114" i="1"/>
  <c r="CC173" i="1"/>
  <c r="JA155" i="1"/>
  <c r="UU164" i="1"/>
  <c r="TK114" i="1"/>
  <c r="UU132" i="1"/>
  <c r="CC164" i="1"/>
  <c r="DM155" i="1"/>
  <c r="FO164" i="1"/>
  <c r="II146" i="1"/>
  <c r="MM132" i="1"/>
  <c r="NE173" i="1"/>
  <c r="LC132" i="1"/>
  <c r="JS132" i="1"/>
  <c r="RI132" i="1"/>
  <c r="RI123" i="1"/>
  <c r="UC173" i="1"/>
  <c r="SS146" i="1"/>
  <c r="KK146" i="1"/>
  <c r="FO114" i="1"/>
  <c r="PG155" i="1"/>
  <c r="RI146" i="1"/>
  <c r="SA132" i="1"/>
  <c r="UC164" i="1"/>
  <c r="TK132" i="1"/>
  <c r="SS132" i="1"/>
  <c r="JA114" i="1"/>
  <c r="GG132" i="1"/>
  <c r="HQ132" i="1"/>
  <c r="II132" i="1"/>
  <c r="JA173" i="1"/>
  <c r="LU155" i="1"/>
  <c r="NW132" i="1"/>
  <c r="PG132" i="1"/>
  <c r="FO123" i="1"/>
  <c r="JS114" i="1"/>
  <c r="SA155" i="1"/>
  <c r="CU123" i="1"/>
  <c r="GY164" i="1"/>
  <c r="II123" i="1"/>
  <c r="JS155" i="1"/>
  <c r="LC173" i="1"/>
  <c r="MM146" i="1"/>
  <c r="OO164" i="1"/>
  <c r="NE123" i="1"/>
  <c r="EE123" i="1"/>
  <c r="AA123" i="1"/>
  <c r="OO132" i="1"/>
  <c r="NE114" i="1"/>
  <c r="LC146" i="1"/>
  <c r="GY132" i="1"/>
  <c r="PG164" i="1"/>
  <c r="AA164" i="1"/>
  <c r="GG155" i="1"/>
  <c r="LC164" i="1"/>
  <c r="NE155" i="1"/>
  <c r="SA173" i="1"/>
  <c r="UU146" i="1"/>
  <c r="BK173" i="1"/>
  <c r="BK123" i="1"/>
  <c r="CU173" i="1"/>
  <c r="EW164" i="1"/>
  <c r="GG146" i="1"/>
  <c r="JS173" i="1"/>
  <c r="LU173" i="1"/>
  <c r="TK164" i="1"/>
  <c r="JS146" i="1"/>
  <c r="KK123" i="1"/>
  <c r="LU146" i="1"/>
  <c r="PY164" i="1"/>
  <c r="QQ173" i="1"/>
  <c r="RI155" i="1"/>
  <c r="GG114" i="1"/>
  <c r="QQ164" i="1"/>
  <c r="QQ123" i="1"/>
  <c r="DM164" i="1"/>
  <c r="HQ123" i="1"/>
  <c r="II164" i="1"/>
  <c r="PY146" i="1"/>
  <c r="CU146" i="1"/>
  <c r="CC155" i="1"/>
  <c r="CU132" i="1"/>
  <c r="GY114" i="1"/>
  <c r="CU114" i="1"/>
  <c r="EE132" i="1"/>
  <c r="GY155" i="1"/>
  <c r="LU123" i="1"/>
  <c r="PY114" i="1"/>
  <c r="CC132" i="1"/>
  <c r="EE164" i="1"/>
  <c r="FO173" i="1"/>
  <c r="II114" i="1"/>
  <c r="NE164" i="1"/>
  <c r="OO173" i="1"/>
  <c r="OO114" i="1"/>
  <c r="PG173" i="1"/>
  <c r="QQ146" i="1"/>
  <c r="RI173" i="1"/>
  <c r="PG114" i="1"/>
  <c r="AS173" i="1"/>
  <c r="NE146" i="1"/>
  <c r="NW173" i="1"/>
  <c r="DM173" i="1"/>
  <c r="EE146" i="1"/>
  <c r="HQ114" i="1"/>
  <c r="II173" i="1"/>
  <c r="LU164" i="1"/>
  <c r="AA173" i="1"/>
  <c r="CC114" i="1"/>
  <c r="EW155" i="1"/>
  <c r="JS164" i="1"/>
  <c r="NW155" i="1"/>
  <c r="NW114" i="1"/>
  <c r="EW146" i="1"/>
  <c r="EW132" i="1"/>
  <c r="CC146" i="1"/>
  <c r="BK146" i="1"/>
  <c r="BK132" i="1"/>
  <c r="BK114" i="1"/>
  <c r="H18" i="77" l="1"/>
  <c r="M41" i="98" s="1"/>
  <c r="G18" i="77"/>
  <c r="F18" i="77"/>
  <c r="B20" i="77"/>
  <c r="C64" i="103" s="1"/>
  <c r="B21" i="77"/>
  <c r="C65" i="103" s="1"/>
  <c r="B22" i="77"/>
  <c r="C66" i="103" s="1"/>
  <c r="B23" i="77"/>
  <c r="C67" i="103" s="1"/>
  <c r="B24" i="77"/>
  <c r="C68" i="103" s="1"/>
  <c r="B25" i="77"/>
  <c r="C69" i="103" s="1"/>
  <c r="B26" i="77"/>
  <c r="C70" i="103" s="1"/>
  <c r="B27" i="77"/>
  <c r="C71" i="103" s="1"/>
  <c r="B28" i="77"/>
  <c r="C72" i="103" s="1"/>
  <c r="B29" i="77"/>
  <c r="C73" i="103" s="1"/>
  <c r="B30" i="77"/>
  <c r="C74" i="103" s="1"/>
  <c r="B31" i="77"/>
  <c r="B32" i="77"/>
  <c r="B19" i="77"/>
  <c r="C63" i="103" s="1"/>
  <c r="B18" i="77"/>
  <c r="C62" i="103" s="1"/>
  <c r="C75" i="101" l="1"/>
  <c r="C43" i="103"/>
  <c r="C75" i="103"/>
  <c r="C75" i="104"/>
  <c r="C43" i="101"/>
  <c r="C76" i="101"/>
  <c r="C76" i="103"/>
  <c r="C76" i="104"/>
  <c r="C44" i="103"/>
  <c r="C44" i="101"/>
  <c r="D32" i="77"/>
  <c r="C65" i="99"/>
  <c r="L62" i="101"/>
  <c r="L43" i="99"/>
  <c r="L37" i="93"/>
  <c r="L37" i="84"/>
  <c r="C71" i="101"/>
  <c r="C52" i="99"/>
  <c r="C70" i="101"/>
  <c r="C51" i="99"/>
  <c r="C69" i="101"/>
  <c r="C50" i="99"/>
  <c r="C68" i="101"/>
  <c r="C49" i="99"/>
  <c r="C67" i="101"/>
  <c r="C48" i="99"/>
  <c r="C66" i="101"/>
  <c r="C47" i="99"/>
  <c r="C44" i="98"/>
  <c r="C46" i="99"/>
  <c r="C65" i="101"/>
  <c r="C50" i="93"/>
  <c r="C56" i="99"/>
  <c r="C49" i="93"/>
  <c r="C55" i="99"/>
  <c r="C74" i="101"/>
  <c r="C54" i="99"/>
  <c r="C73" i="101"/>
  <c r="C72" i="101"/>
  <c r="C53" i="99"/>
  <c r="S41" i="98"/>
  <c r="C45" i="99"/>
  <c r="C64" i="101"/>
  <c r="C44" i="99"/>
  <c r="C63" i="101"/>
  <c r="C62" i="101"/>
  <c r="C43" i="99"/>
  <c r="C47" i="93"/>
  <c r="C51" i="98"/>
  <c r="C43" i="93"/>
  <c r="C47" i="98"/>
  <c r="C39" i="93"/>
  <c r="C43" i="98"/>
  <c r="C46" i="93"/>
  <c r="C50" i="98"/>
  <c r="C42" i="93"/>
  <c r="C46" i="98"/>
  <c r="C41" i="93"/>
  <c r="C45" i="98"/>
  <c r="C37" i="93"/>
  <c r="C41" i="98"/>
  <c r="C45" i="93"/>
  <c r="C49" i="98"/>
  <c r="C38" i="93"/>
  <c r="C42" i="98"/>
  <c r="C48" i="93"/>
  <c r="C52" i="98"/>
  <c r="C44" i="93"/>
  <c r="C48" i="98"/>
  <c r="C21" i="77"/>
  <c r="D65" i="103" s="1"/>
  <c r="C40" i="93"/>
  <c r="D31" i="77"/>
  <c r="C50" i="84"/>
  <c r="C50" i="78"/>
  <c r="D29" i="77"/>
  <c r="G73" i="103" s="1"/>
  <c r="C48" i="84"/>
  <c r="D30" i="77"/>
  <c r="G74" i="103" s="1"/>
  <c r="C49" i="78"/>
  <c r="C49" i="84"/>
  <c r="C28" i="77"/>
  <c r="D72" i="103" s="1"/>
  <c r="C47" i="84"/>
  <c r="D27" i="77"/>
  <c r="G71" i="103" s="1"/>
  <c r="C46" i="84"/>
  <c r="C26" i="77"/>
  <c r="D70" i="103" s="1"/>
  <c r="C45" i="84"/>
  <c r="C25" i="77"/>
  <c r="D69" i="103" s="1"/>
  <c r="C44" i="84"/>
  <c r="C24" i="77"/>
  <c r="D68" i="103" s="1"/>
  <c r="C43" i="84"/>
  <c r="C23" i="77"/>
  <c r="D67" i="103" s="1"/>
  <c r="C42" i="84"/>
  <c r="C22" i="77"/>
  <c r="D66" i="103" s="1"/>
  <c r="C41" i="84"/>
  <c r="D21" i="77"/>
  <c r="G65" i="103" s="1"/>
  <c r="C40" i="84"/>
  <c r="C20" i="77"/>
  <c r="D64" i="103" s="1"/>
  <c r="C39" i="84"/>
  <c r="C19" i="77"/>
  <c r="D63" i="103" s="1"/>
  <c r="C38" i="84"/>
  <c r="D18" i="77"/>
  <c r="G62" i="103" s="1"/>
  <c r="C37" i="84"/>
  <c r="C31" i="77"/>
  <c r="C30" i="77"/>
  <c r="D74" i="103" s="1"/>
  <c r="C32" i="77"/>
  <c r="C29" i="77"/>
  <c r="D73" i="103" s="1"/>
  <c r="D28" i="77"/>
  <c r="G72" i="103" s="1"/>
  <c r="C27" i="77"/>
  <c r="D71" i="103" s="1"/>
  <c r="D26" i="77"/>
  <c r="G70" i="103" s="1"/>
  <c r="D25" i="77"/>
  <c r="G69" i="103" s="1"/>
  <c r="D24" i="77"/>
  <c r="G68" i="103" s="1"/>
  <c r="D23" i="77"/>
  <c r="G67" i="103" s="1"/>
  <c r="D22" i="77"/>
  <c r="G66" i="103" s="1"/>
  <c r="D20" i="77"/>
  <c r="G64" i="103" s="1"/>
  <c r="D19" i="77"/>
  <c r="G63" i="103" s="1"/>
  <c r="C18" i="77"/>
  <c r="D62" i="103" s="1"/>
  <c r="M26" i="38"/>
  <c r="D76" i="101" l="1"/>
  <c r="D76" i="104"/>
  <c r="D76" i="103"/>
  <c r="G75" i="103"/>
  <c r="G75" i="104"/>
  <c r="G76" i="104"/>
  <c r="G76" i="103"/>
  <c r="D75" i="104"/>
  <c r="D75" i="103"/>
  <c r="G65" i="99"/>
  <c r="G76" i="101"/>
  <c r="D65" i="99"/>
  <c r="D66" i="98"/>
  <c r="D65" i="98"/>
  <c r="H50" i="98"/>
  <c r="G52" i="99"/>
  <c r="G71" i="101"/>
  <c r="D50" i="98"/>
  <c r="D52" i="99"/>
  <c r="D71" i="101"/>
  <c r="H49" i="98"/>
  <c r="G51" i="99"/>
  <c r="G70" i="101"/>
  <c r="D49" i="98"/>
  <c r="D70" i="101"/>
  <c r="D51" i="99"/>
  <c r="D48" i="98"/>
  <c r="D69" i="101"/>
  <c r="D50" i="99"/>
  <c r="H48" i="98"/>
  <c r="G69" i="101"/>
  <c r="G50" i="99"/>
  <c r="H47" i="98"/>
  <c r="G49" i="99"/>
  <c r="G68" i="101"/>
  <c r="D47" i="98"/>
  <c r="D49" i="99"/>
  <c r="D68" i="101"/>
  <c r="D46" i="98"/>
  <c r="D67" i="101"/>
  <c r="D48" i="99"/>
  <c r="H46" i="98"/>
  <c r="G48" i="99"/>
  <c r="G67" i="101"/>
  <c r="D45" i="98"/>
  <c r="D66" i="101"/>
  <c r="D47" i="99"/>
  <c r="H45" i="98"/>
  <c r="G47" i="99"/>
  <c r="G66" i="101"/>
  <c r="D44" i="98"/>
  <c r="D65" i="101"/>
  <c r="D46" i="99"/>
  <c r="H44" i="98"/>
  <c r="G65" i="101"/>
  <c r="G46" i="99"/>
  <c r="D50" i="93"/>
  <c r="D56" i="99"/>
  <c r="D75" i="101"/>
  <c r="G49" i="93"/>
  <c r="G55" i="99"/>
  <c r="G74" i="101"/>
  <c r="G50" i="93"/>
  <c r="G56" i="99"/>
  <c r="G75" i="101"/>
  <c r="D49" i="93"/>
  <c r="D74" i="101"/>
  <c r="D55" i="99"/>
  <c r="H52" i="98"/>
  <c r="G73" i="101"/>
  <c r="G54" i="99"/>
  <c r="D52" i="98"/>
  <c r="D54" i="99"/>
  <c r="D73" i="101"/>
  <c r="H51" i="98"/>
  <c r="G53" i="99"/>
  <c r="G72" i="101"/>
  <c r="D51" i="98"/>
  <c r="D72" i="101"/>
  <c r="D53" i="99"/>
  <c r="D75" i="98"/>
  <c r="H43" i="98"/>
  <c r="G64" i="101"/>
  <c r="G45" i="99"/>
  <c r="D43" i="98"/>
  <c r="D64" i="101"/>
  <c r="D45" i="99"/>
  <c r="D42" i="98"/>
  <c r="D44" i="99"/>
  <c r="D63" i="101"/>
  <c r="H42" i="98"/>
  <c r="G44" i="99"/>
  <c r="G63" i="101"/>
  <c r="H41" i="98"/>
  <c r="G43" i="99"/>
  <c r="G62" i="101"/>
  <c r="D62" i="101"/>
  <c r="D43" i="99"/>
  <c r="D41" i="98"/>
  <c r="D37" i="78"/>
  <c r="G44" i="84"/>
  <c r="G44" i="93"/>
  <c r="G41" i="84"/>
  <c r="G41" i="93"/>
  <c r="D41" i="84"/>
  <c r="D41" i="93"/>
  <c r="D43" i="84"/>
  <c r="D43" i="93"/>
  <c r="D45" i="84"/>
  <c r="D45" i="93"/>
  <c r="D47" i="84"/>
  <c r="D47" i="93"/>
  <c r="G45" i="84"/>
  <c r="G45" i="93"/>
  <c r="G42" i="84"/>
  <c r="G42" i="93"/>
  <c r="D46" i="84"/>
  <c r="D46" i="93"/>
  <c r="G48" i="84"/>
  <c r="G48" i="93"/>
  <c r="D48" i="84"/>
  <c r="D48" i="93"/>
  <c r="G43" i="84"/>
  <c r="G43" i="93"/>
  <c r="G47" i="84"/>
  <c r="G47" i="93"/>
  <c r="G40" i="84"/>
  <c r="G40" i="93"/>
  <c r="D42" i="84"/>
  <c r="D42" i="93"/>
  <c r="D44" i="84"/>
  <c r="D44" i="93"/>
  <c r="G46" i="84"/>
  <c r="G46" i="93"/>
  <c r="D40" i="84"/>
  <c r="D40" i="93"/>
  <c r="G39" i="84"/>
  <c r="G39" i="93"/>
  <c r="D39" i="84"/>
  <c r="D39" i="93"/>
  <c r="G38" i="84"/>
  <c r="G38" i="93"/>
  <c r="D38" i="84"/>
  <c r="D38" i="93"/>
  <c r="D37" i="84"/>
  <c r="D37" i="93"/>
  <c r="G37" i="84"/>
  <c r="G37" i="93"/>
  <c r="D49" i="78"/>
  <c r="D49" i="84"/>
  <c r="D50" i="84"/>
  <c r="D50" i="78"/>
  <c r="G49" i="78"/>
  <c r="G49" i="84"/>
  <c r="G50" i="78"/>
  <c r="G50" i="84"/>
  <c r="D68" i="98" l="1"/>
  <c r="D282" i="83"/>
  <c r="F282" i="83" s="1"/>
  <c r="D281" i="83"/>
  <c r="D280" i="83"/>
  <c r="F280" i="83" s="1"/>
  <c r="D279" i="83"/>
  <c r="F279" i="83" s="1"/>
  <c r="D278" i="83"/>
  <c r="D277" i="83"/>
  <c r="F277" i="83" s="1"/>
  <c r="H236" i="83"/>
  <c r="I236" i="83" s="1"/>
  <c r="H235" i="83"/>
  <c r="I235" i="83" s="1"/>
  <c r="H234" i="83"/>
  <c r="I234" i="83" s="1"/>
  <c r="H233" i="83"/>
  <c r="I233" i="83" s="1"/>
  <c r="H232" i="83"/>
  <c r="I232" i="83" s="1"/>
  <c r="H231" i="83"/>
  <c r="I231" i="83" s="1"/>
  <c r="H230" i="83"/>
  <c r="I230" i="83" s="1"/>
  <c r="H229" i="83"/>
  <c r="I229" i="83" s="1"/>
  <c r="H228" i="83"/>
  <c r="I228" i="83" s="1"/>
  <c r="H227" i="83"/>
  <c r="I227" i="83" s="1"/>
  <c r="H226" i="83"/>
  <c r="I226" i="83" s="1"/>
  <c r="H225" i="83"/>
  <c r="I225" i="83" s="1"/>
  <c r="H224" i="83"/>
  <c r="I224" i="83" s="1"/>
  <c r="H223" i="83"/>
  <c r="I223" i="83" s="1"/>
  <c r="H222" i="83"/>
  <c r="I222" i="83" s="1"/>
  <c r="TM164" i="83"/>
  <c r="TL164" i="83"/>
  <c r="TK164" i="83"/>
  <c r="TJ164" i="83"/>
  <c r="TI164" i="83"/>
  <c r="SV164" i="83"/>
  <c r="SU164" i="83"/>
  <c r="ST164" i="83"/>
  <c r="SS164" i="83"/>
  <c r="SR164" i="83"/>
  <c r="SE164" i="83"/>
  <c r="SD164" i="83"/>
  <c r="SC164" i="83"/>
  <c r="SB164" i="83"/>
  <c r="SA164" i="83"/>
  <c r="RN164" i="83"/>
  <c r="RM164" i="83"/>
  <c r="RL164" i="83"/>
  <c r="RK164" i="83"/>
  <c r="RJ164" i="83"/>
  <c r="QW164" i="83"/>
  <c r="QV164" i="83"/>
  <c r="QU164" i="83"/>
  <c r="QT164" i="83"/>
  <c r="QS164" i="83"/>
  <c r="QF164" i="83"/>
  <c r="QE164" i="83"/>
  <c r="QD164" i="83"/>
  <c r="QC164" i="83"/>
  <c r="QB164" i="83"/>
  <c r="PO164" i="83"/>
  <c r="PN164" i="83"/>
  <c r="PM164" i="83"/>
  <c r="PL164" i="83"/>
  <c r="PK164" i="83"/>
  <c r="OX164" i="83"/>
  <c r="OW164" i="83"/>
  <c r="OV164" i="83"/>
  <c r="OU164" i="83"/>
  <c r="OT164" i="83"/>
  <c r="OG164" i="83"/>
  <c r="OF164" i="83"/>
  <c r="OE164" i="83"/>
  <c r="OD164" i="83"/>
  <c r="OC164" i="83"/>
  <c r="NP164" i="83"/>
  <c r="NO164" i="83"/>
  <c r="NN164" i="83"/>
  <c r="NM164" i="83"/>
  <c r="NL164" i="83"/>
  <c r="MY164" i="83"/>
  <c r="MX164" i="83"/>
  <c r="MW164" i="83"/>
  <c r="MV164" i="83"/>
  <c r="MU164" i="83"/>
  <c r="MH164" i="83"/>
  <c r="MG164" i="83"/>
  <c r="MF164" i="83"/>
  <c r="ME164" i="83"/>
  <c r="MD164" i="83"/>
  <c r="LQ164" i="83"/>
  <c r="LP164" i="83"/>
  <c r="LO164" i="83"/>
  <c r="LN164" i="83"/>
  <c r="LM164" i="83"/>
  <c r="KZ164" i="83"/>
  <c r="KY164" i="83"/>
  <c r="KX164" i="83"/>
  <c r="KW164" i="83"/>
  <c r="KV164" i="83"/>
  <c r="KI164" i="83"/>
  <c r="KH164" i="83"/>
  <c r="KG164" i="83"/>
  <c r="KF164" i="83"/>
  <c r="KE164" i="83"/>
  <c r="JR164" i="83"/>
  <c r="JQ164" i="83"/>
  <c r="JP164" i="83"/>
  <c r="JO164" i="83"/>
  <c r="JN164" i="83"/>
  <c r="JA164" i="83"/>
  <c r="IZ164" i="83"/>
  <c r="IY164" i="83"/>
  <c r="IX164" i="83"/>
  <c r="IW164" i="83"/>
  <c r="IJ164" i="83"/>
  <c r="II164" i="83"/>
  <c r="IH164" i="83"/>
  <c r="IG164" i="83"/>
  <c r="IF164" i="83"/>
  <c r="HS164" i="83"/>
  <c r="HR164" i="83"/>
  <c r="HQ164" i="83"/>
  <c r="HP164" i="83"/>
  <c r="HO164" i="83"/>
  <c r="HB164" i="83"/>
  <c r="HA164" i="83"/>
  <c r="GZ164" i="83"/>
  <c r="GY164" i="83"/>
  <c r="GX164" i="83"/>
  <c r="GK164" i="83"/>
  <c r="GJ164" i="83"/>
  <c r="GI164" i="83"/>
  <c r="GH164" i="83"/>
  <c r="GG164" i="83"/>
  <c r="FT164" i="83"/>
  <c r="FS164" i="83"/>
  <c r="FR164" i="83"/>
  <c r="FQ164" i="83"/>
  <c r="FP164" i="83"/>
  <c r="FC164" i="83"/>
  <c r="FB164" i="83"/>
  <c r="FA164" i="83"/>
  <c r="EZ164" i="83"/>
  <c r="EY164" i="83"/>
  <c r="EL164" i="83"/>
  <c r="EK164" i="83"/>
  <c r="EJ164" i="83"/>
  <c r="EI164" i="83"/>
  <c r="EH164" i="83"/>
  <c r="DU164" i="83"/>
  <c r="DT164" i="83"/>
  <c r="DS164" i="83"/>
  <c r="DR164" i="83"/>
  <c r="DQ164" i="83"/>
  <c r="DD164" i="83"/>
  <c r="DC164" i="83"/>
  <c r="DB164" i="83"/>
  <c r="DA164" i="83"/>
  <c r="CZ164" i="83"/>
  <c r="CM164" i="83"/>
  <c r="CL164" i="83"/>
  <c r="CK164" i="83"/>
  <c r="CJ164" i="83"/>
  <c r="CI164" i="83"/>
  <c r="BV164" i="83"/>
  <c r="BU164" i="83"/>
  <c r="BT164" i="83"/>
  <c r="BS164" i="83"/>
  <c r="BR164" i="83"/>
  <c r="BE164" i="83"/>
  <c r="BD164" i="83"/>
  <c r="BC164" i="83"/>
  <c r="BB164" i="83"/>
  <c r="BA164" i="83"/>
  <c r="AN164" i="83"/>
  <c r="AM164" i="83"/>
  <c r="AL164" i="83"/>
  <c r="AK164" i="83"/>
  <c r="AJ164" i="83"/>
  <c r="W164" i="83"/>
  <c r="V164" i="83"/>
  <c r="U164" i="83"/>
  <c r="T164" i="83"/>
  <c r="S164" i="83"/>
  <c r="TM163" i="83"/>
  <c r="TL163" i="83"/>
  <c r="TK163" i="83"/>
  <c r="TJ163" i="83"/>
  <c r="TI163" i="83"/>
  <c r="SV163" i="83"/>
  <c r="SU163" i="83"/>
  <c r="ST163" i="83"/>
  <c r="SS163" i="83"/>
  <c r="SR163" i="83"/>
  <c r="SE163" i="83"/>
  <c r="SD163" i="83"/>
  <c r="SC163" i="83"/>
  <c r="SB163" i="83"/>
  <c r="SA163" i="83"/>
  <c r="RN163" i="83"/>
  <c r="RM163" i="83"/>
  <c r="RL163" i="83"/>
  <c r="RK163" i="83"/>
  <c r="RJ163" i="83"/>
  <c r="QW163" i="83"/>
  <c r="QV163" i="83"/>
  <c r="QU163" i="83"/>
  <c r="QT163" i="83"/>
  <c r="QS163" i="83"/>
  <c r="QF163" i="83"/>
  <c r="QE163" i="83"/>
  <c r="QD163" i="83"/>
  <c r="QC163" i="83"/>
  <c r="QB163" i="83"/>
  <c r="PO163" i="83"/>
  <c r="PN163" i="83"/>
  <c r="PM163" i="83"/>
  <c r="PL163" i="83"/>
  <c r="PK163" i="83"/>
  <c r="OX163" i="83"/>
  <c r="OW163" i="83"/>
  <c r="OV163" i="83"/>
  <c r="OU163" i="83"/>
  <c r="OT163" i="83"/>
  <c r="OG163" i="83"/>
  <c r="OF163" i="83"/>
  <c r="OE163" i="83"/>
  <c r="OD163" i="83"/>
  <c r="OC163" i="83"/>
  <c r="NP163" i="83"/>
  <c r="NO163" i="83"/>
  <c r="NN163" i="83"/>
  <c r="NM163" i="83"/>
  <c r="NL163" i="83"/>
  <c r="MY163" i="83"/>
  <c r="MX163" i="83"/>
  <c r="MW163" i="83"/>
  <c r="MV163" i="83"/>
  <c r="MU163" i="83"/>
  <c r="MH163" i="83"/>
  <c r="MG163" i="83"/>
  <c r="MF163" i="83"/>
  <c r="ME163" i="83"/>
  <c r="MD163" i="83"/>
  <c r="LQ163" i="83"/>
  <c r="LP163" i="83"/>
  <c r="LO163" i="83"/>
  <c r="LN163" i="83"/>
  <c r="LM163" i="83"/>
  <c r="KZ163" i="83"/>
  <c r="KY163" i="83"/>
  <c r="KX163" i="83"/>
  <c r="KW163" i="83"/>
  <c r="KV163" i="83"/>
  <c r="KI163" i="83"/>
  <c r="KH163" i="83"/>
  <c r="KG163" i="83"/>
  <c r="KF163" i="83"/>
  <c r="KE163" i="83"/>
  <c r="JR163" i="83"/>
  <c r="JQ163" i="83"/>
  <c r="JP163" i="83"/>
  <c r="JO163" i="83"/>
  <c r="JN163" i="83"/>
  <c r="JA163" i="83"/>
  <c r="IZ163" i="83"/>
  <c r="IY163" i="83"/>
  <c r="IX163" i="83"/>
  <c r="IW163" i="83"/>
  <c r="IJ163" i="83"/>
  <c r="II163" i="83"/>
  <c r="IH163" i="83"/>
  <c r="IG163" i="83"/>
  <c r="IF163" i="83"/>
  <c r="HS163" i="83"/>
  <c r="HR163" i="83"/>
  <c r="HQ163" i="83"/>
  <c r="HP163" i="83"/>
  <c r="HO163" i="83"/>
  <c r="HB163" i="83"/>
  <c r="HA163" i="83"/>
  <c r="GZ163" i="83"/>
  <c r="GY163" i="83"/>
  <c r="GX163" i="83"/>
  <c r="GK163" i="83"/>
  <c r="GJ163" i="83"/>
  <c r="GI163" i="83"/>
  <c r="GH163" i="83"/>
  <c r="GG163" i="83"/>
  <c r="FT163" i="83"/>
  <c r="FS163" i="83"/>
  <c r="FR163" i="83"/>
  <c r="FQ163" i="83"/>
  <c r="FP163" i="83"/>
  <c r="FC163" i="83"/>
  <c r="FB163" i="83"/>
  <c r="FA163" i="83"/>
  <c r="EZ163" i="83"/>
  <c r="EY163" i="83"/>
  <c r="EL163" i="83"/>
  <c r="EK163" i="83"/>
  <c r="EJ163" i="83"/>
  <c r="EI163" i="83"/>
  <c r="EH163" i="83"/>
  <c r="DU163" i="83"/>
  <c r="DT163" i="83"/>
  <c r="DS163" i="83"/>
  <c r="DR163" i="83"/>
  <c r="DQ163" i="83"/>
  <c r="DD163" i="83"/>
  <c r="DC163" i="83"/>
  <c r="DB163" i="83"/>
  <c r="DA163" i="83"/>
  <c r="CZ163" i="83"/>
  <c r="CM163" i="83"/>
  <c r="CL163" i="83"/>
  <c r="CL165" i="83" s="1"/>
  <c r="CK163" i="83"/>
  <c r="CJ163" i="83"/>
  <c r="CI163" i="83"/>
  <c r="BV163" i="83"/>
  <c r="BU163" i="83"/>
  <c r="BT163" i="83"/>
  <c r="BS163" i="83"/>
  <c r="BR163" i="83"/>
  <c r="BE163" i="83"/>
  <c r="BD163" i="83"/>
  <c r="BC163" i="83"/>
  <c r="BB163" i="83"/>
  <c r="BA163" i="83"/>
  <c r="AN163" i="83"/>
  <c r="AM163" i="83"/>
  <c r="AL163" i="83"/>
  <c r="AK163" i="83"/>
  <c r="AJ163" i="83"/>
  <c r="W163" i="83"/>
  <c r="V163" i="83"/>
  <c r="U163" i="83"/>
  <c r="T163" i="83"/>
  <c r="S163" i="83"/>
  <c r="TP162" i="83"/>
  <c r="TO162" i="83"/>
  <c r="SY162" i="83"/>
  <c r="SX162" i="83"/>
  <c r="SH162" i="83"/>
  <c r="SG162" i="83"/>
  <c r="RQ162" i="83"/>
  <c r="RP162" i="83"/>
  <c r="QZ162" i="83"/>
  <c r="QY162" i="83"/>
  <c r="QI162" i="83"/>
  <c r="QH162" i="83"/>
  <c r="PR162" i="83"/>
  <c r="PQ162" i="83"/>
  <c r="PA162" i="83"/>
  <c r="OZ162" i="83"/>
  <c r="OJ162" i="83"/>
  <c r="OI162" i="83"/>
  <c r="NS162" i="83"/>
  <c r="NR162" i="83"/>
  <c r="NB162" i="83"/>
  <c r="NA162" i="83"/>
  <c r="MK162" i="83"/>
  <c r="MJ162" i="83"/>
  <c r="LT162" i="83"/>
  <c r="LS162" i="83"/>
  <c r="LC162" i="83"/>
  <c r="LB162" i="83"/>
  <c r="KL162" i="83"/>
  <c r="KK162" i="83"/>
  <c r="JU162" i="83"/>
  <c r="JT162" i="83"/>
  <c r="JD162" i="83"/>
  <c r="JC162" i="83"/>
  <c r="IM162" i="83"/>
  <c r="IL162" i="83"/>
  <c r="HV162" i="83"/>
  <c r="HU162" i="83"/>
  <c r="HE162" i="83"/>
  <c r="HD162" i="83"/>
  <c r="GN162" i="83"/>
  <c r="GM162" i="83"/>
  <c r="FW162" i="83"/>
  <c r="FV162" i="83"/>
  <c r="FF162" i="83"/>
  <c r="FE162" i="83"/>
  <c r="EO162" i="83"/>
  <c r="EN162" i="83"/>
  <c r="DX162" i="83"/>
  <c r="DW162" i="83"/>
  <c r="DG162" i="83"/>
  <c r="DF162" i="83"/>
  <c r="CP162" i="83"/>
  <c r="CO162" i="83"/>
  <c r="BY162" i="83"/>
  <c r="BX162" i="83"/>
  <c r="BH162" i="83"/>
  <c r="BG162" i="83"/>
  <c r="AQ162" i="83"/>
  <c r="AP162" i="83"/>
  <c r="Z162" i="83"/>
  <c r="Y162" i="83"/>
  <c r="TP161" i="83"/>
  <c r="TO161" i="83"/>
  <c r="SY161" i="83"/>
  <c r="SX161" i="83"/>
  <c r="SH161" i="83"/>
  <c r="SG161" i="83"/>
  <c r="RQ161" i="83"/>
  <c r="RP161" i="83"/>
  <c r="QZ161" i="83"/>
  <c r="QY161" i="83"/>
  <c r="QI161" i="83"/>
  <c r="QH161" i="83"/>
  <c r="PR161" i="83"/>
  <c r="PQ161" i="83"/>
  <c r="PA161" i="83"/>
  <c r="OZ161" i="83"/>
  <c r="OJ161" i="83"/>
  <c r="OI161" i="83"/>
  <c r="NS161" i="83"/>
  <c r="NR161" i="83"/>
  <c r="NB161" i="83"/>
  <c r="NA161" i="83"/>
  <c r="MK161" i="83"/>
  <c r="MJ161" i="83"/>
  <c r="LT161" i="83"/>
  <c r="LS161" i="83"/>
  <c r="LC161" i="83"/>
  <c r="LB161" i="83"/>
  <c r="KL161" i="83"/>
  <c r="KK161" i="83"/>
  <c r="JU161" i="83"/>
  <c r="JT161" i="83"/>
  <c r="JD161" i="83"/>
  <c r="JC161" i="83"/>
  <c r="IM161" i="83"/>
  <c r="IL161" i="83"/>
  <c r="HV161" i="83"/>
  <c r="HU161" i="83"/>
  <c r="HE161" i="83"/>
  <c r="HD161" i="83"/>
  <c r="GN161" i="83"/>
  <c r="GM161" i="83"/>
  <c r="FW161" i="83"/>
  <c r="FV161" i="83"/>
  <c r="FF161" i="83"/>
  <c r="FE161" i="83"/>
  <c r="EO161" i="83"/>
  <c r="EN161" i="83"/>
  <c r="DX161" i="83"/>
  <c r="DW161" i="83"/>
  <c r="DG161" i="83"/>
  <c r="DF161" i="83"/>
  <c r="CP161" i="83"/>
  <c r="CO161" i="83"/>
  <c r="BY161" i="83"/>
  <c r="BX161" i="83"/>
  <c r="BH161" i="83"/>
  <c r="BG161" i="83"/>
  <c r="AQ161" i="83"/>
  <c r="AP161" i="83"/>
  <c r="Z161" i="83"/>
  <c r="Y161" i="83"/>
  <c r="TP160" i="83"/>
  <c r="TO160" i="83"/>
  <c r="SY160" i="83"/>
  <c r="SX160" i="83"/>
  <c r="SH160" i="83"/>
  <c r="SG160" i="83"/>
  <c r="RQ160" i="83"/>
  <c r="RP160" i="83"/>
  <c r="QZ160" i="83"/>
  <c r="QY160" i="83"/>
  <c r="QI160" i="83"/>
  <c r="QH160" i="83"/>
  <c r="PR160" i="83"/>
  <c r="PQ160" i="83"/>
  <c r="PA160" i="83"/>
  <c r="OZ160" i="83"/>
  <c r="OJ160" i="83"/>
  <c r="OI160" i="83"/>
  <c r="NS160" i="83"/>
  <c r="NR160" i="83"/>
  <c r="NB160" i="83"/>
  <c r="NA160" i="83"/>
  <c r="MK160" i="83"/>
  <c r="MJ160" i="83"/>
  <c r="LT160" i="83"/>
  <c r="LS160" i="83"/>
  <c r="LC160" i="83"/>
  <c r="LB160" i="83"/>
  <c r="KL160" i="83"/>
  <c r="KK160" i="83"/>
  <c r="JU160" i="83"/>
  <c r="JT160" i="83"/>
  <c r="JD160" i="83"/>
  <c r="JC160" i="83"/>
  <c r="IM160" i="83"/>
  <c r="IL160" i="83"/>
  <c r="HV160" i="83"/>
  <c r="HU160" i="83"/>
  <c r="HE160" i="83"/>
  <c r="HD160" i="83"/>
  <c r="GN160" i="83"/>
  <c r="GM160" i="83"/>
  <c r="FW160" i="83"/>
  <c r="FV160" i="83"/>
  <c r="FF160" i="83"/>
  <c r="FE160" i="83"/>
  <c r="EO160" i="83"/>
  <c r="EN160" i="83"/>
  <c r="DX160" i="83"/>
  <c r="DW160" i="83"/>
  <c r="DG160" i="83"/>
  <c r="DF160" i="83"/>
  <c r="CP160" i="83"/>
  <c r="CO160" i="83"/>
  <c r="BY160" i="83"/>
  <c r="BX160" i="83"/>
  <c r="BH160" i="83"/>
  <c r="BG160" i="83"/>
  <c r="AQ160" i="83"/>
  <c r="AP160" i="83"/>
  <c r="Z160" i="83"/>
  <c r="Y160" i="83"/>
  <c r="TP159" i="83"/>
  <c r="TO159" i="83"/>
  <c r="SY159" i="83"/>
  <c r="SX159" i="83"/>
  <c r="SH159" i="83"/>
  <c r="SG159" i="83"/>
  <c r="RQ159" i="83"/>
  <c r="RP159" i="83"/>
  <c r="QZ159" i="83"/>
  <c r="QY159" i="83"/>
  <c r="QI159" i="83"/>
  <c r="QH159" i="83"/>
  <c r="PR159" i="83"/>
  <c r="PQ159" i="83"/>
  <c r="PA159" i="83"/>
  <c r="OZ159" i="83"/>
  <c r="OJ159" i="83"/>
  <c r="OI159" i="83"/>
  <c r="NS159" i="83"/>
  <c r="NR159" i="83"/>
  <c r="NB159" i="83"/>
  <c r="NA159" i="83"/>
  <c r="MK159" i="83"/>
  <c r="MJ159" i="83"/>
  <c r="LT159" i="83"/>
  <c r="LS159" i="83"/>
  <c r="LC159" i="83"/>
  <c r="LB159" i="83"/>
  <c r="KL159" i="83"/>
  <c r="KK159" i="83"/>
  <c r="JU159" i="83"/>
  <c r="JT159" i="83"/>
  <c r="JD159" i="83"/>
  <c r="JC159" i="83"/>
  <c r="IM159" i="83"/>
  <c r="IL159" i="83"/>
  <c r="HV159" i="83"/>
  <c r="HU159" i="83"/>
  <c r="HE159" i="83"/>
  <c r="HD159" i="83"/>
  <c r="GN159" i="83"/>
  <c r="GM159" i="83"/>
  <c r="FW159" i="83"/>
  <c r="FV159" i="83"/>
  <c r="FF159" i="83"/>
  <c r="FE159" i="83"/>
  <c r="EO159" i="83"/>
  <c r="EN159" i="83"/>
  <c r="DX159" i="83"/>
  <c r="DW159" i="83"/>
  <c r="DG159" i="83"/>
  <c r="DF159" i="83"/>
  <c r="CP159" i="83"/>
  <c r="CO159" i="83"/>
  <c r="BY159" i="83"/>
  <c r="BX159" i="83"/>
  <c r="BH159" i="83"/>
  <c r="BG159" i="83"/>
  <c r="AQ159" i="83"/>
  <c r="AP159" i="83"/>
  <c r="Z159" i="83"/>
  <c r="Y159" i="83"/>
  <c r="TP158" i="83"/>
  <c r="TO158" i="83"/>
  <c r="SY158" i="83"/>
  <c r="SX158" i="83"/>
  <c r="SH158" i="83"/>
  <c r="SG158" i="83"/>
  <c r="RQ158" i="83"/>
  <c r="RP158" i="83"/>
  <c r="QZ158" i="83"/>
  <c r="QY158" i="83"/>
  <c r="QI158" i="83"/>
  <c r="QH158" i="83"/>
  <c r="PR158" i="83"/>
  <c r="PQ158" i="83"/>
  <c r="PA158" i="83"/>
  <c r="OZ158" i="83"/>
  <c r="OJ158" i="83"/>
  <c r="OI158" i="83"/>
  <c r="NS158" i="83"/>
  <c r="NR158" i="83"/>
  <c r="NB158" i="83"/>
  <c r="NA158" i="83"/>
  <c r="MK158" i="83"/>
  <c r="MJ158" i="83"/>
  <c r="LT158" i="83"/>
  <c r="LS158" i="83"/>
  <c r="LC158" i="83"/>
  <c r="LB158" i="83"/>
  <c r="KL158" i="83"/>
  <c r="KK158" i="83"/>
  <c r="JU158" i="83"/>
  <c r="JT158" i="83"/>
  <c r="JD158" i="83"/>
  <c r="JC158" i="83"/>
  <c r="IM158" i="83"/>
  <c r="IL158" i="83"/>
  <c r="HV158" i="83"/>
  <c r="HU158" i="83"/>
  <c r="HE158" i="83"/>
  <c r="HD158" i="83"/>
  <c r="GN158" i="83"/>
  <c r="GM158" i="83"/>
  <c r="FW158" i="83"/>
  <c r="FV158" i="83"/>
  <c r="FF158" i="83"/>
  <c r="FE158" i="83"/>
  <c r="EO158" i="83"/>
  <c r="EN158" i="83"/>
  <c r="DX158" i="83"/>
  <c r="DW158" i="83"/>
  <c r="DG158" i="83"/>
  <c r="DF158" i="83"/>
  <c r="CP158" i="83"/>
  <c r="CO158" i="83"/>
  <c r="BY158" i="83"/>
  <c r="BX158" i="83"/>
  <c r="BH158" i="83"/>
  <c r="BG158" i="83"/>
  <c r="AQ158" i="83"/>
  <c r="AP158" i="83"/>
  <c r="Z158" i="83"/>
  <c r="Y158" i="83"/>
  <c r="TM155" i="83"/>
  <c r="TL155" i="83"/>
  <c r="TK155" i="83"/>
  <c r="TJ155" i="83"/>
  <c r="TI155" i="83"/>
  <c r="SV155" i="83"/>
  <c r="SU155" i="83"/>
  <c r="ST155" i="83"/>
  <c r="SS155" i="83"/>
  <c r="SR155" i="83"/>
  <c r="SE155" i="83"/>
  <c r="SD155" i="83"/>
  <c r="SC155" i="83"/>
  <c r="SB155" i="83"/>
  <c r="SA155" i="83"/>
  <c r="RN155" i="83"/>
  <c r="RM155" i="83"/>
  <c r="RL155" i="83"/>
  <c r="RK155" i="83"/>
  <c r="RJ155" i="83"/>
  <c r="QW155" i="83"/>
  <c r="QV155" i="83"/>
  <c r="QU155" i="83"/>
  <c r="QT155" i="83"/>
  <c r="QS155" i="83"/>
  <c r="QF155" i="83"/>
  <c r="QE155" i="83"/>
  <c r="QD155" i="83"/>
  <c r="QC155" i="83"/>
  <c r="QB155" i="83"/>
  <c r="PO155" i="83"/>
  <c r="PN155" i="83"/>
  <c r="PM155" i="83"/>
  <c r="PL155" i="83"/>
  <c r="PK155" i="83"/>
  <c r="OX155" i="83"/>
  <c r="OW155" i="83"/>
  <c r="OV155" i="83"/>
  <c r="OU155" i="83"/>
  <c r="OT155" i="83"/>
  <c r="OG155" i="83"/>
  <c r="OF155" i="83"/>
  <c r="OE155" i="83"/>
  <c r="OD155" i="83"/>
  <c r="OC155" i="83"/>
  <c r="NP155" i="83"/>
  <c r="NO155" i="83"/>
  <c r="NN155" i="83"/>
  <c r="NM155" i="83"/>
  <c r="NL155" i="83"/>
  <c r="MY155" i="83"/>
  <c r="MX155" i="83"/>
  <c r="MW155" i="83"/>
  <c r="MV155" i="83"/>
  <c r="MU155" i="83"/>
  <c r="MH155" i="83"/>
  <c r="MG155" i="83"/>
  <c r="MF155" i="83"/>
  <c r="ME155" i="83"/>
  <c r="MD155" i="83"/>
  <c r="LQ155" i="83"/>
  <c r="LP155" i="83"/>
  <c r="LO155" i="83"/>
  <c r="LN155" i="83"/>
  <c r="LM155" i="83"/>
  <c r="KZ155" i="83"/>
  <c r="KY155" i="83"/>
  <c r="KX155" i="83"/>
  <c r="KW155" i="83"/>
  <c r="KV155" i="83"/>
  <c r="KI155" i="83"/>
  <c r="KH155" i="83"/>
  <c r="KG155" i="83"/>
  <c r="KF155" i="83"/>
  <c r="KE155" i="83"/>
  <c r="JR155" i="83"/>
  <c r="JQ155" i="83"/>
  <c r="JP155" i="83"/>
  <c r="JO155" i="83"/>
  <c r="JN155" i="83"/>
  <c r="JA155" i="83"/>
  <c r="IZ155" i="83"/>
  <c r="IY155" i="83"/>
  <c r="IX155" i="83"/>
  <c r="IW155" i="83"/>
  <c r="IJ155" i="83"/>
  <c r="II155" i="83"/>
  <c r="IH155" i="83"/>
  <c r="IG155" i="83"/>
  <c r="IF155" i="83"/>
  <c r="HS155" i="83"/>
  <c r="HR155" i="83"/>
  <c r="HQ155" i="83"/>
  <c r="HP155" i="83"/>
  <c r="HO155" i="83"/>
  <c r="HB155" i="83"/>
  <c r="HA155" i="83"/>
  <c r="GZ155" i="83"/>
  <c r="GY155" i="83"/>
  <c r="GX155" i="83"/>
  <c r="GK155" i="83"/>
  <c r="GJ155" i="83"/>
  <c r="GI155" i="83"/>
  <c r="GH155" i="83"/>
  <c r="GG155" i="83"/>
  <c r="FT155" i="83"/>
  <c r="FS155" i="83"/>
  <c r="FR155" i="83"/>
  <c r="FQ155" i="83"/>
  <c r="FP155" i="83"/>
  <c r="FC155" i="83"/>
  <c r="FB155" i="83"/>
  <c r="FA155" i="83"/>
  <c r="EZ155" i="83"/>
  <c r="EY155" i="83"/>
  <c r="EL155" i="83"/>
  <c r="EK155" i="83"/>
  <c r="EJ155" i="83"/>
  <c r="EI155" i="83"/>
  <c r="EH155" i="83"/>
  <c r="DU155" i="83"/>
  <c r="DT155" i="83"/>
  <c r="DS155" i="83"/>
  <c r="DR155" i="83"/>
  <c r="DQ155" i="83"/>
  <c r="DD155" i="83"/>
  <c r="DC155" i="83"/>
  <c r="DB155" i="83"/>
  <c r="DA155" i="83"/>
  <c r="CZ155" i="83"/>
  <c r="CM155" i="83"/>
  <c r="CL155" i="83"/>
  <c r="CK155" i="83"/>
  <c r="CJ155" i="83"/>
  <c r="CI155" i="83"/>
  <c r="BV155" i="83"/>
  <c r="BU155" i="83"/>
  <c r="BT155" i="83"/>
  <c r="BS155" i="83"/>
  <c r="BR155" i="83"/>
  <c r="BE155" i="83"/>
  <c r="BD155" i="83"/>
  <c r="BC155" i="83"/>
  <c r="BB155" i="83"/>
  <c r="BA155" i="83"/>
  <c r="AN155" i="83"/>
  <c r="AM155" i="83"/>
  <c r="AL155" i="83"/>
  <c r="AK155" i="83"/>
  <c r="AJ155" i="83"/>
  <c r="W155" i="83"/>
  <c r="V155" i="83"/>
  <c r="U155" i="83"/>
  <c r="T155" i="83"/>
  <c r="S155" i="83"/>
  <c r="TM154" i="83"/>
  <c r="TL154" i="83"/>
  <c r="TK154" i="83"/>
  <c r="TJ154" i="83"/>
  <c r="TI154" i="83"/>
  <c r="SV154" i="83"/>
  <c r="SU154" i="83"/>
  <c r="ST154" i="83"/>
  <c r="SS154" i="83"/>
  <c r="SR154" i="83"/>
  <c r="SE154" i="83"/>
  <c r="SD154" i="83"/>
  <c r="SC154" i="83"/>
  <c r="SB154" i="83"/>
  <c r="SA154" i="83"/>
  <c r="RN154" i="83"/>
  <c r="RM154" i="83"/>
  <c r="RL154" i="83"/>
  <c r="RK154" i="83"/>
  <c r="RJ154" i="83"/>
  <c r="QW154" i="83"/>
  <c r="QV154" i="83"/>
  <c r="QU154" i="83"/>
  <c r="QT154" i="83"/>
  <c r="QS154" i="83"/>
  <c r="QF154" i="83"/>
  <c r="QE154" i="83"/>
  <c r="QD154" i="83"/>
  <c r="QC154" i="83"/>
  <c r="QB154" i="83"/>
  <c r="PO154" i="83"/>
  <c r="PN154" i="83"/>
  <c r="PM154" i="83"/>
  <c r="PL154" i="83"/>
  <c r="PK154" i="83"/>
  <c r="OX154" i="83"/>
  <c r="OW154" i="83"/>
  <c r="OV154" i="83"/>
  <c r="OU154" i="83"/>
  <c r="OT154" i="83"/>
  <c r="OG154" i="83"/>
  <c r="OF154" i="83"/>
  <c r="OE154" i="83"/>
  <c r="OD154" i="83"/>
  <c r="OC154" i="83"/>
  <c r="NP154" i="83"/>
  <c r="NO154" i="83"/>
  <c r="NN154" i="83"/>
  <c r="NM154" i="83"/>
  <c r="NL154" i="83"/>
  <c r="MY154" i="83"/>
  <c r="MX154" i="83"/>
  <c r="MW154" i="83"/>
  <c r="MV154" i="83"/>
  <c r="MU154" i="83"/>
  <c r="MH154" i="83"/>
  <c r="MG154" i="83"/>
  <c r="MF154" i="83"/>
  <c r="ME154" i="83"/>
  <c r="MD154" i="83"/>
  <c r="LQ154" i="83"/>
  <c r="LP154" i="83"/>
  <c r="LO154" i="83"/>
  <c r="LN154" i="83"/>
  <c r="LM154" i="83"/>
  <c r="KZ154" i="83"/>
  <c r="KY154" i="83"/>
  <c r="KX154" i="83"/>
  <c r="KW154" i="83"/>
  <c r="KV154" i="83"/>
  <c r="KI154" i="83"/>
  <c r="KH154" i="83"/>
  <c r="KG154" i="83"/>
  <c r="KF154" i="83"/>
  <c r="KE154" i="83"/>
  <c r="JR154" i="83"/>
  <c r="JQ154" i="83"/>
  <c r="JP154" i="83"/>
  <c r="JO154" i="83"/>
  <c r="JN154" i="83"/>
  <c r="JA154" i="83"/>
  <c r="IZ154" i="83"/>
  <c r="IY154" i="83"/>
  <c r="IX154" i="83"/>
  <c r="IW154" i="83"/>
  <c r="IJ154" i="83"/>
  <c r="II154" i="83"/>
  <c r="IH154" i="83"/>
  <c r="IG154" i="83"/>
  <c r="IF154" i="83"/>
  <c r="HS154" i="83"/>
  <c r="HR154" i="83"/>
  <c r="HQ154" i="83"/>
  <c r="HP154" i="83"/>
  <c r="HO154" i="83"/>
  <c r="HB154" i="83"/>
  <c r="HA154" i="83"/>
  <c r="GZ154" i="83"/>
  <c r="GY154" i="83"/>
  <c r="GX154" i="83"/>
  <c r="GK154" i="83"/>
  <c r="GJ154" i="83"/>
  <c r="GI154" i="83"/>
  <c r="GH154" i="83"/>
  <c r="GG154" i="83"/>
  <c r="FT154" i="83"/>
  <c r="FS154" i="83"/>
  <c r="FR154" i="83"/>
  <c r="FQ154" i="83"/>
  <c r="FP154" i="83"/>
  <c r="FC154" i="83"/>
  <c r="FB154" i="83"/>
  <c r="FA154" i="83"/>
  <c r="EZ154" i="83"/>
  <c r="EY154" i="83"/>
  <c r="EL154" i="83"/>
  <c r="EK154" i="83"/>
  <c r="EJ154" i="83"/>
  <c r="EI154" i="83"/>
  <c r="EH154" i="83"/>
  <c r="DU154" i="83"/>
  <c r="DT154" i="83"/>
  <c r="DS154" i="83"/>
  <c r="DR154" i="83"/>
  <c r="DQ154" i="83"/>
  <c r="DD154" i="83"/>
  <c r="DC154" i="83"/>
  <c r="DB154" i="83"/>
  <c r="DA154" i="83"/>
  <c r="CZ154" i="83"/>
  <c r="CM154" i="83"/>
  <c r="CL154" i="83"/>
  <c r="CK154" i="83"/>
  <c r="CJ154" i="83"/>
  <c r="CI154" i="83"/>
  <c r="BV154" i="83"/>
  <c r="BU154" i="83"/>
  <c r="BT154" i="83"/>
  <c r="BS154" i="83"/>
  <c r="BR154" i="83"/>
  <c r="BE154" i="83"/>
  <c r="BD154" i="83"/>
  <c r="BC154" i="83"/>
  <c r="BB154" i="83"/>
  <c r="BA154" i="83"/>
  <c r="AN154" i="83"/>
  <c r="AM154" i="83"/>
  <c r="AL154" i="83"/>
  <c r="AK154" i="83"/>
  <c r="AJ154" i="83"/>
  <c r="W154" i="83"/>
  <c r="V154" i="83"/>
  <c r="U154" i="83"/>
  <c r="T154" i="83"/>
  <c r="S154" i="83"/>
  <c r="TP153" i="83"/>
  <c r="TO153" i="83"/>
  <c r="SY153" i="83"/>
  <c r="SX153" i="83"/>
  <c r="SH153" i="83"/>
  <c r="SG153" i="83"/>
  <c r="RQ153" i="83"/>
  <c r="RP153" i="83"/>
  <c r="QZ153" i="83"/>
  <c r="QY153" i="83"/>
  <c r="QI153" i="83"/>
  <c r="QH153" i="83"/>
  <c r="PR153" i="83"/>
  <c r="PQ153" i="83"/>
  <c r="PA153" i="83"/>
  <c r="OZ153" i="83"/>
  <c r="OJ153" i="83"/>
  <c r="OI153" i="83"/>
  <c r="NS153" i="83"/>
  <c r="NR153" i="83"/>
  <c r="NB153" i="83"/>
  <c r="NA153" i="83"/>
  <c r="MK153" i="83"/>
  <c r="MJ153" i="83"/>
  <c r="LT153" i="83"/>
  <c r="LS153" i="83"/>
  <c r="LC153" i="83"/>
  <c r="LB153" i="83"/>
  <c r="KL153" i="83"/>
  <c r="KK153" i="83"/>
  <c r="JU153" i="83"/>
  <c r="JT153" i="83"/>
  <c r="JD153" i="83"/>
  <c r="JC153" i="83"/>
  <c r="IM153" i="83"/>
  <c r="IL153" i="83"/>
  <c r="HV153" i="83"/>
  <c r="HU153" i="83"/>
  <c r="HE153" i="83"/>
  <c r="HD153" i="83"/>
  <c r="GN153" i="83"/>
  <c r="GM153" i="83"/>
  <c r="FW153" i="83"/>
  <c r="FV153" i="83"/>
  <c r="FF153" i="83"/>
  <c r="FE153" i="83"/>
  <c r="EO153" i="83"/>
  <c r="EN153" i="83"/>
  <c r="DX153" i="83"/>
  <c r="DW153" i="83"/>
  <c r="DG153" i="83"/>
  <c r="DF153" i="83"/>
  <c r="CP153" i="83"/>
  <c r="CO153" i="83"/>
  <c r="BY153" i="83"/>
  <c r="BX153" i="83"/>
  <c r="BH153" i="83"/>
  <c r="BG153" i="83"/>
  <c r="AQ153" i="83"/>
  <c r="AP153" i="83"/>
  <c r="Z153" i="83"/>
  <c r="Y153" i="83"/>
  <c r="TP152" i="83"/>
  <c r="TO152" i="83"/>
  <c r="SY152" i="83"/>
  <c r="SX152" i="83"/>
  <c r="SH152" i="83"/>
  <c r="SG152" i="83"/>
  <c r="RQ152" i="83"/>
  <c r="RP152" i="83"/>
  <c r="QZ152" i="83"/>
  <c r="QY152" i="83"/>
  <c r="QI152" i="83"/>
  <c r="QH152" i="83"/>
  <c r="PR152" i="83"/>
  <c r="PQ152" i="83"/>
  <c r="PA152" i="83"/>
  <c r="OZ152" i="83"/>
  <c r="OJ152" i="83"/>
  <c r="OI152" i="83"/>
  <c r="NS152" i="83"/>
  <c r="NR152" i="83"/>
  <c r="NB152" i="83"/>
  <c r="NA152" i="83"/>
  <c r="MK152" i="83"/>
  <c r="MJ152" i="83"/>
  <c r="LT152" i="83"/>
  <c r="LS152" i="83"/>
  <c r="LC152" i="83"/>
  <c r="LB152" i="83"/>
  <c r="KL152" i="83"/>
  <c r="KK152" i="83"/>
  <c r="JU152" i="83"/>
  <c r="JT152" i="83"/>
  <c r="JD152" i="83"/>
  <c r="JC152" i="83"/>
  <c r="IM152" i="83"/>
  <c r="IL152" i="83"/>
  <c r="HV152" i="83"/>
  <c r="HU152" i="83"/>
  <c r="HE152" i="83"/>
  <c r="HD152" i="83"/>
  <c r="GN152" i="83"/>
  <c r="GM152" i="83"/>
  <c r="FW152" i="83"/>
  <c r="FV152" i="83"/>
  <c r="FF152" i="83"/>
  <c r="FE152" i="83"/>
  <c r="EO152" i="83"/>
  <c r="EN152" i="83"/>
  <c r="DX152" i="83"/>
  <c r="DW152" i="83"/>
  <c r="DG152" i="83"/>
  <c r="DF152" i="83"/>
  <c r="CP152" i="83"/>
  <c r="CO152" i="83"/>
  <c r="BY152" i="83"/>
  <c r="BX152" i="83"/>
  <c r="BH152" i="83"/>
  <c r="BG152" i="83"/>
  <c r="AQ152" i="83"/>
  <c r="AP152" i="83"/>
  <c r="Z152" i="83"/>
  <c r="Y152" i="83"/>
  <c r="TP151" i="83"/>
  <c r="TO151" i="83"/>
  <c r="SY151" i="83"/>
  <c r="SX151" i="83"/>
  <c r="SH151" i="83"/>
  <c r="SG151" i="83"/>
  <c r="RQ151" i="83"/>
  <c r="RP151" i="83"/>
  <c r="QZ151" i="83"/>
  <c r="QY151" i="83"/>
  <c r="QI151" i="83"/>
  <c r="QH151" i="83"/>
  <c r="PR151" i="83"/>
  <c r="PQ151" i="83"/>
  <c r="PA151" i="83"/>
  <c r="OZ151" i="83"/>
  <c r="OJ151" i="83"/>
  <c r="OI151" i="83"/>
  <c r="NS151" i="83"/>
  <c r="NR151" i="83"/>
  <c r="NB151" i="83"/>
  <c r="NA151" i="83"/>
  <c r="MK151" i="83"/>
  <c r="MJ151" i="83"/>
  <c r="LT151" i="83"/>
  <c r="LS151" i="83"/>
  <c r="LC151" i="83"/>
  <c r="LB151" i="83"/>
  <c r="KL151" i="83"/>
  <c r="KK151" i="83"/>
  <c r="JU151" i="83"/>
  <c r="JT151" i="83"/>
  <c r="JD151" i="83"/>
  <c r="JC151" i="83"/>
  <c r="IM151" i="83"/>
  <c r="IL151" i="83"/>
  <c r="HV151" i="83"/>
  <c r="HU151" i="83"/>
  <c r="HE151" i="83"/>
  <c r="HD151" i="83"/>
  <c r="GN151" i="83"/>
  <c r="GM151" i="83"/>
  <c r="FW151" i="83"/>
  <c r="FV151" i="83"/>
  <c r="FF151" i="83"/>
  <c r="FE151" i="83"/>
  <c r="EO151" i="83"/>
  <c r="EN151" i="83"/>
  <c r="DX151" i="83"/>
  <c r="DW151" i="83"/>
  <c r="DG151" i="83"/>
  <c r="DF151" i="83"/>
  <c r="CP151" i="83"/>
  <c r="CO151" i="83"/>
  <c r="BY151" i="83"/>
  <c r="BX151" i="83"/>
  <c r="BH151" i="83"/>
  <c r="BG151" i="83"/>
  <c r="AQ151" i="83"/>
  <c r="AP151" i="83"/>
  <c r="Z151" i="83"/>
  <c r="Y151" i="83"/>
  <c r="TP150" i="83"/>
  <c r="TO150" i="83"/>
  <c r="SY150" i="83"/>
  <c r="SX150" i="83"/>
  <c r="SH150" i="83"/>
  <c r="SG150" i="83"/>
  <c r="RQ150" i="83"/>
  <c r="RP150" i="83"/>
  <c r="QZ150" i="83"/>
  <c r="QY150" i="83"/>
  <c r="QI150" i="83"/>
  <c r="QH150" i="83"/>
  <c r="PR150" i="83"/>
  <c r="PQ150" i="83"/>
  <c r="PA150" i="83"/>
  <c r="OZ150" i="83"/>
  <c r="OJ150" i="83"/>
  <c r="OI150" i="83"/>
  <c r="NS150" i="83"/>
  <c r="NR150" i="83"/>
  <c r="NB150" i="83"/>
  <c r="NA150" i="83"/>
  <c r="MK150" i="83"/>
  <c r="MJ150" i="83"/>
  <c r="LT150" i="83"/>
  <c r="LS150" i="83"/>
  <c r="LC150" i="83"/>
  <c r="LB150" i="83"/>
  <c r="KL150" i="83"/>
  <c r="KK150" i="83"/>
  <c r="JU150" i="83"/>
  <c r="JT150" i="83"/>
  <c r="JD150" i="83"/>
  <c r="JC150" i="83"/>
  <c r="IM150" i="83"/>
  <c r="IL150" i="83"/>
  <c r="HV150" i="83"/>
  <c r="HU150" i="83"/>
  <c r="HE150" i="83"/>
  <c r="HD150" i="83"/>
  <c r="GN150" i="83"/>
  <c r="GM150" i="83"/>
  <c r="FW150" i="83"/>
  <c r="FV150" i="83"/>
  <c r="FF150" i="83"/>
  <c r="FE150" i="83"/>
  <c r="EO150" i="83"/>
  <c r="EN150" i="83"/>
  <c r="DX150" i="83"/>
  <c r="DW150" i="83"/>
  <c r="DG150" i="83"/>
  <c r="DF150" i="83"/>
  <c r="CP150" i="83"/>
  <c r="CO150" i="83"/>
  <c r="BY150" i="83"/>
  <c r="BX150" i="83"/>
  <c r="BH150" i="83"/>
  <c r="BG150" i="83"/>
  <c r="AQ150" i="83"/>
  <c r="AP150" i="83"/>
  <c r="Z150" i="83"/>
  <c r="Y150" i="83"/>
  <c r="TP149" i="83"/>
  <c r="TO149" i="83"/>
  <c r="SY149" i="83"/>
  <c r="SX149" i="83"/>
  <c r="SH149" i="83"/>
  <c r="SG149" i="83"/>
  <c r="RQ149" i="83"/>
  <c r="RP149" i="83"/>
  <c r="QZ149" i="83"/>
  <c r="QY149" i="83"/>
  <c r="QI149" i="83"/>
  <c r="QH149" i="83"/>
  <c r="PR149" i="83"/>
  <c r="PQ149" i="83"/>
  <c r="PA149" i="83"/>
  <c r="OZ149" i="83"/>
  <c r="OJ149" i="83"/>
  <c r="OI149" i="83"/>
  <c r="NS149" i="83"/>
  <c r="NR149" i="83"/>
  <c r="NB149" i="83"/>
  <c r="NA149" i="83"/>
  <c r="MK149" i="83"/>
  <c r="MJ149" i="83"/>
  <c r="LT149" i="83"/>
  <c r="LS149" i="83"/>
  <c r="LC149" i="83"/>
  <c r="LB149" i="83"/>
  <c r="KL149" i="83"/>
  <c r="KK149" i="83"/>
  <c r="JU149" i="83"/>
  <c r="JT149" i="83"/>
  <c r="JD149" i="83"/>
  <c r="JC149" i="83"/>
  <c r="IM149" i="83"/>
  <c r="IL149" i="83"/>
  <c r="HV149" i="83"/>
  <c r="HU149" i="83"/>
  <c r="HE149" i="83"/>
  <c r="HD149" i="83"/>
  <c r="GN149" i="83"/>
  <c r="GM149" i="83"/>
  <c r="FW149" i="83"/>
  <c r="FV149" i="83"/>
  <c r="FF149" i="83"/>
  <c r="FE149" i="83"/>
  <c r="EO149" i="83"/>
  <c r="EN149" i="83"/>
  <c r="DX149" i="83"/>
  <c r="DW149" i="83"/>
  <c r="DG149" i="83"/>
  <c r="DF149" i="83"/>
  <c r="CP149" i="83"/>
  <c r="CO149" i="83"/>
  <c r="BY149" i="83"/>
  <c r="BX149" i="83"/>
  <c r="BH149" i="83"/>
  <c r="BG149" i="83"/>
  <c r="AQ149" i="83"/>
  <c r="AP149" i="83"/>
  <c r="Z149" i="83"/>
  <c r="Y149" i="83"/>
  <c r="TM146" i="83"/>
  <c r="TL146" i="83"/>
  <c r="TK146" i="83"/>
  <c r="TJ146" i="83"/>
  <c r="TI146" i="83"/>
  <c r="SV146" i="83"/>
  <c r="SU146" i="83"/>
  <c r="ST146" i="83"/>
  <c r="SS146" i="83"/>
  <c r="SR146" i="83"/>
  <c r="SE146" i="83"/>
  <c r="SD146" i="83"/>
  <c r="SC146" i="83"/>
  <c r="SB146" i="83"/>
  <c r="SA146" i="83"/>
  <c r="RN146" i="83"/>
  <c r="RM146" i="83"/>
  <c r="RL146" i="83"/>
  <c r="RK146" i="83"/>
  <c r="RJ146" i="83"/>
  <c r="QW146" i="83"/>
  <c r="QV146" i="83"/>
  <c r="QU146" i="83"/>
  <c r="QT146" i="83"/>
  <c r="QS146" i="83"/>
  <c r="QF146" i="83"/>
  <c r="QE146" i="83"/>
  <c r="QD146" i="83"/>
  <c r="QC146" i="83"/>
  <c r="QB146" i="83"/>
  <c r="PO146" i="83"/>
  <c r="PN146" i="83"/>
  <c r="PM146" i="83"/>
  <c r="PL146" i="83"/>
  <c r="PK146" i="83"/>
  <c r="OX146" i="83"/>
  <c r="OW146" i="83"/>
  <c r="OV146" i="83"/>
  <c r="OU146" i="83"/>
  <c r="OT146" i="83"/>
  <c r="OG146" i="83"/>
  <c r="OF146" i="83"/>
  <c r="OE146" i="83"/>
  <c r="OD146" i="83"/>
  <c r="OC146" i="83"/>
  <c r="NP146" i="83"/>
  <c r="NO146" i="83"/>
  <c r="NN146" i="83"/>
  <c r="NM146" i="83"/>
  <c r="NL146" i="83"/>
  <c r="MY146" i="83"/>
  <c r="MX146" i="83"/>
  <c r="MW146" i="83"/>
  <c r="MV146" i="83"/>
  <c r="MU146" i="83"/>
  <c r="MH146" i="83"/>
  <c r="MG146" i="83"/>
  <c r="MF146" i="83"/>
  <c r="ME146" i="83"/>
  <c r="ME147" i="83" s="1"/>
  <c r="MD146" i="83"/>
  <c r="MD147" i="83" s="1"/>
  <c r="LQ146" i="83"/>
  <c r="LP146" i="83"/>
  <c r="LO146" i="83"/>
  <c r="LN146" i="83"/>
  <c r="LM146" i="83"/>
  <c r="KZ146" i="83"/>
  <c r="KY146" i="83"/>
  <c r="KX146" i="83"/>
  <c r="KW146" i="83"/>
  <c r="KV146" i="83"/>
  <c r="KI146" i="83"/>
  <c r="KH146" i="83"/>
  <c r="KG146" i="83"/>
  <c r="KF146" i="83"/>
  <c r="KE146" i="83"/>
  <c r="JR146" i="83"/>
  <c r="JQ146" i="83"/>
  <c r="JP146" i="83"/>
  <c r="JO146" i="83"/>
  <c r="JN146" i="83"/>
  <c r="JA146" i="83"/>
  <c r="IZ146" i="83"/>
  <c r="IY146" i="83"/>
  <c r="IX146" i="83"/>
  <c r="IW146" i="83"/>
  <c r="IJ146" i="83"/>
  <c r="II146" i="83"/>
  <c r="IH146" i="83"/>
  <c r="IG146" i="83"/>
  <c r="IF146" i="83"/>
  <c r="HS146" i="83"/>
  <c r="HR146" i="83"/>
  <c r="HQ146" i="83"/>
  <c r="HP146" i="83"/>
  <c r="HO146" i="83"/>
  <c r="HB146" i="83"/>
  <c r="HA146" i="83"/>
  <c r="GZ146" i="83"/>
  <c r="GY146" i="83"/>
  <c r="GX146" i="83"/>
  <c r="GK146" i="83"/>
  <c r="GJ146" i="83"/>
  <c r="GI146" i="83"/>
  <c r="GH146" i="83"/>
  <c r="GG146" i="83"/>
  <c r="FT146" i="83"/>
  <c r="FS146" i="83"/>
  <c r="FR146" i="83"/>
  <c r="FQ146" i="83"/>
  <c r="FP146" i="83"/>
  <c r="FC146" i="83"/>
  <c r="FB146" i="83"/>
  <c r="FA146" i="83"/>
  <c r="EZ146" i="83"/>
  <c r="EY146" i="83"/>
  <c r="EL146" i="83"/>
  <c r="EK146" i="83"/>
  <c r="EJ146" i="83"/>
  <c r="EI146" i="83"/>
  <c r="EH146" i="83"/>
  <c r="DU146" i="83"/>
  <c r="DT146" i="83"/>
  <c r="DS146" i="83"/>
  <c r="DR146" i="83"/>
  <c r="DQ146" i="83"/>
  <c r="DD146" i="83"/>
  <c r="DC146" i="83"/>
  <c r="DB146" i="83"/>
  <c r="DA146" i="83"/>
  <c r="CZ146" i="83"/>
  <c r="CM146" i="83"/>
  <c r="CL146" i="83"/>
  <c r="CK146" i="83"/>
  <c r="CJ146" i="83"/>
  <c r="CI146" i="83"/>
  <c r="BV146" i="83"/>
  <c r="BU146" i="83"/>
  <c r="BT146" i="83"/>
  <c r="BS146" i="83"/>
  <c r="BR146" i="83"/>
  <c r="BE146" i="83"/>
  <c r="BD146" i="83"/>
  <c r="BC146" i="83"/>
  <c r="BB146" i="83"/>
  <c r="BA146" i="83"/>
  <c r="AN146" i="83"/>
  <c r="AM146" i="83"/>
  <c r="AL146" i="83"/>
  <c r="AK146" i="83"/>
  <c r="AJ146" i="83"/>
  <c r="W146" i="83"/>
  <c r="V146" i="83"/>
  <c r="U146" i="83"/>
  <c r="T146" i="83"/>
  <c r="S146" i="83"/>
  <c r="TM145" i="83"/>
  <c r="TL145" i="83"/>
  <c r="TK145" i="83"/>
  <c r="TJ145" i="83"/>
  <c r="TI145" i="83"/>
  <c r="SV145" i="83"/>
  <c r="SU145" i="83"/>
  <c r="ST145" i="83"/>
  <c r="SS145" i="83"/>
  <c r="SR145" i="83"/>
  <c r="SE145" i="83"/>
  <c r="SD145" i="83"/>
  <c r="SC145" i="83"/>
  <c r="SB145" i="83"/>
  <c r="SA145" i="83"/>
  <c r="RN145" i="83"/>
  <c r="RM145" i="83"/>
  <c r="RL145" i="83"/>
  <c r="RK145" i="83"/>
  <c r="RJ145" i="83"/>
  <c r="QW145" i="83"/>
  <c r="QV145" i="83"/>
  <c r="QU145" i="83"/>
  <c r="QT145" i="83"/>
  <c r="QS145" i="83"/>
  <c r="QF145" i="83"/>
  <c r="QE145" i="83"/>
  <c r="QD145" i="83"/>
  <c r="QC145" i="83"/>
  <c r="QB145" i="83"/>
  <c r="PO145" i="83"/>
  <c r="PN145" i="83"/>
  <c r="PM145" i="83"/>
  <c r="PL145" i="83"/>
  <c r="PK145" i="83"/>
  <c r="OX145" i="83"/>
  <c r="OW145" i="83"/>
  <c r="OV145" i="83"/>
  <c r="OU145" i="83"/>
  <c r="OT145" i="83"/>
  <c r="OG145" i="83"/>
  <c r="OF145" i="83"/>
  <c r="OE145" i="83"/>
  <c r="OD145" i="83"/>
  <c r="OC145" i="83"/>
  <c r="NP145" i="83"/>
  <c r="NO145" i="83"/>
  <c r="NN145" i="83"/>
  <c r="NM145" i="83"/>
  <c r="NL145" i="83"/>
  <c r="MY145" i="83"/>
  <c r="MX145" i="83"/>
  <c r="MW145" i="83"/>
  <c r="MV145" i="83"/>
  <c r="MU145" i="83"/>
  <c r="MH145" i="83"/>
  <c r="MG145" i="83"/>
  <c r="MF145" i="83"/>
  <c r="LQ145" i="83"/>
  <c r="LP145" i="83"/>
  <c r="LO145" i="83"/>
  <c r="LN145" i="83"/>
  <c r="LM145" i="83"/>
  <c r="KZ145" i="83"/>
  <c r="KY145" i="83"/>
  <c r="KX145" i="83"/>
  <c r="KW145" i="83"/>
  <c r="KV145" i="83"/>
  <c r="KI145" i="83"/>
  <c r="KH145" i="83"/>
  <c r="KG145" i="83"/>
  <c r="KF145" i="83"/>
  <c r="KE145" i="83"/>
  <c r="JR145" i="83"/>
  <c r="JQ145" i="83"/>
  <c r="JP145" i="83"/>
  <c r="JO145" i="83"/>
  <c r="JN145" i="83"/>
  <c r="JA145" i="83"/>
  <c r="IZ145" i="83"/>
  <c r="IY145" i="83"/>
  <c r="IX145" i="83"/>
  <c r="IW145" i="83"/>
  <c r="IJ145" i="83"/>
  <c r="II145" i="83"/>
  <c r="IH145" i="83"/>
  <c r="IG145" i="83"/>
  <c r="IF145" i="83"/>
  <c r="HS145" i="83"/>
  <c r="HR145" i="83"/>
  <c r="HQ145" i="83"/>
  <c r="HP145" i="83"/>
  <c r="HO145" i="83"/>
  <c r="HB145" i="83"/>
  <c r="HA145" i="83"/>
  <c r="GZ145" i="83"/>
  <c r="GY145" i="83"/>
  <c r="GX145" i="83"/>
  <c r="GK145" i="83"/>
  <c r="GJ145" i="83"/>
  <c r="GI145" i="83"/>
  <c r="GH145" i="83"/>
  <c r="GG145" i="83"/>
  <c r="FT145" i="83"/>
  <c r="FS145" i="83"/>
  <c r="FR145" i="83"/>
  <c r="FQ145" i="83"/>
  <c r="FP145" i="83"/>
  <c r="FC145" i="83"/>
  <c r="FB145" i="83"/>
  <c r="FA145" i="83"/>
  <c r="EZ145" i="83"/>
  <c r="EY145" i="83"/>
  <c r="EL145" i="83"/>
  <c r="EK145" i="83"/>
  <c r="EJ145" i="83"/>
  <c r="EI145" i="83"/>
  <c r="EH145" i="83"/>
  <c r="DU145" i="83"/>
  <c r="DT145" i="83"/>
  <c r="DS145" i="83"/>
  <c r="DR145" i="83"/>
  <c r="DQ145" i="83"/>
  <c r="DD145" i="83"/>
  <c r="DC145" i="83"/>
  <c r="DB145" i="83"/>
  <c r="DA145" i="83"/>
  <c r="CZ145" i="83"/>
  <c r="CM145" i="83"/>
  <c r="CL145" i="83"/>
  <c r="CK145" i="83"/>
  <c r="CJ145" i="83"/>
  <c r="CI145" i="83"/>
  <c r="BV145" i="83"/>
  <c r="BU145" i="83"/>
  <c r="BT145" i="83"/>
  <c r="BS145" i="83"/>
  <c r="BR145" i="83"/>
  <c r="BE145" i="83"/>
  <c r="BD145" i="83"/>
  <c r="BC145" i="83"/>
  <c r="BB145" i="83"/>
  <c r="BA145" i="83"/>
  <c r="AN145" i="83"/>
  <c r="AM145" i="83"/>
  <c r="AL145" i="83"/>
  <c r="AK145" i="83"/>
  <c r="AJ145" i="83"/>
  <c r="W145" i="83"/>
  <c r="V145" i="83"/>
  <c r="U145" i="83"/>
  <c r="T145" i="83"/>
  <c r="S145" i="83"/>
  <c r="TP144" i="83"/>
  <c r="TO144" i="83"/>
  <c r="SY144" i="83"/>
  <c r="SX144" i="83"/>
  <c r="SH144" i="83"/>
  <c r="SG144" i="83"/>
  <c r="RQ144" i="83"/>
  <c r="RP144" i="83"/>
  <c r="QZ144" i="83"/>
  <c r="QY144" i="83"/>
  <c r="QI144" i="83"/>
  <c r="QH144" i="83"/>
  <c r="PR144" i="83"/>
  <c r="PQ144" i="83"/>
  <c r="PA144" i="83"/>
  <c r="OZ144" i="83"/>
  <c r="OJ144" i="83"/>
  <c r="OI144" i="83"/>
  <c r="NS144" i="83"/>
  <c r="NR144" i="83"/>
  <c r="NB144" i="83"/>
  <c r="NA144" i="83"/>
  <c r="MK144" i="83"/>
  <c r="MJ144" i="83"/>
  <c r="LT144" i="83"/>
  <c r="LS144" i="83"/>
  <c r="LC144" i="83"/>
  <c r="LB144" i="83"/>
  <c r="KL144" i="83"/>
  <c r="KK144" i="83"/>
  <c r="JU144" i="83"/>
  <c r="JT144" i="83"/>
  <c r="JD144" i="83"/>
  <c r="JC144" i="83"/>
  <c r="IM144" i="83"/>
  <c r="IL144" i="83"/>
  <c r="HV144" i="83"/>
  <c r="HU144" i="83"/>
  <c r="HE144" i="83"/>
  <c r="HD144" i="83"/>
  <c r="GN144" i="83"/>
  <c r="GM144" i="83"/>
  <c r="FW144" i="83"/>
  <c r="FV144" i="83"/>
  <c r="FF144" i="83"/>
  <c r="FE144" i="83"/>
  <c r="EO144" i="83"/>
  <c r="EN144" i="83"/>
  <c r="DX144" i="83"/>
  <c r="DW144" i="83"/>
  <c r="DG144" i="83"/>
  <c r="DF144" i="83"/>
  <c r="CP144" i="83"/>
  <c r="CO144" i="83"/>
  <c r="BY144" i="83"/>
  <c r="BX144" i="83"/>
  <c r="BH144" i="83"/>
  <c r="BG144" i="83"/>
  <c r="AQ144" i="83"/>
  <c r="AP144" i="83"/>
  <c r="Z144" i="83"/>
  <c r="Y144" i="83"/>
  <c r="TP143" i="83"/>
  <c r="TO143" i="83"/>
  <c r="SY143" i="83"/>
  <c r="SX143" i="83"/>
  <c r="SH143" i="83"/>
  <c r="SG143" i="83"/>
  <c r="RQ143" i="83"/>
  <c r="RP143" i="83"/>
  <c r="QZ143" i="83"/>
  <c r="QY143" i="83"/>
  <c r="QI143" i="83"/>
  <c r="QH143" i="83"/>
  <c r="PR143" i="83"/>
  <c r="PQ143" i="83"/>
  <c r="PA143" i="83"/>
  <c r="OZ143" i="83"/>
  <c r="OJ143" i="83"/>
  <c r="OI143" i="83"/>
  <c r="NS143" i="83"/>
  <c r="NR143" i="83"/>
  <c r="NB143" i="83"/>
  <c r="NA143" i="83"/>
  <c r="MK143" i="83"/>
  <c r="MJ143" i="83"/>
  <c r="LT143" i="83"/>
  <c r="LS143" i="83"/>
  <c r="LC143" i="83"/>
  <c r="LB143" i="83"/>
  <c r="KL143" i="83"/>
  <c r="KK143" i="83"/>
  <c r="JU143" i="83"/>
  <c r="JT143" i="83"/>
  <c r="JD143" i="83"/>
  <c r="JC143" i="83"/>
  <c r="IM143" i="83"/>
  <c r="IL143" i="83"/>
  <c r="HV143" i="83"/>
  <c r="HU143" i="83"/>
  <c r="HE143" i="83"/>
  <c r="HD143" i="83"/>
  <c r="GN143" i="83"/>
  <c r="GM143" i="83"/>
  <c r="FW143" i="83"/>
  <c r="FV143" i="83"/>
  <c r="FF143" i="83"/>
  <c r="FE143" i="83"/>
  <c r="EO143" i="83"/>
  <c r="EN143" i="83"/>
  <c r="DX143" i="83"/>
  <c r="DW143" i="83"/>
  <c r="DG143" i="83"/>
  <c r="DF143" i="83"/>
  <c r="CP143" i="83"/>
  <c r="CO143" i="83"/>
  <c r="BY143" i="83"/>
  <c r="BX143" i="83"/>
  <c r="BH143" i="83"/>
  <c r="BG143" i="83"/>
  <c r="AQ143" i="83"/>
  <c r="AP143" i="83"/>
  <c r="Z143" i="83"/>
  <c r="Y143" i="83"/>
  <c r="TP142" i="83"/>
  <c r="TO142" i="83"/>
  <c r="SY142" i="83"/>
  <c r="SX142" i="83"/>
  <c r="SH142" i="83"/>
  <c r="SG142" i="83"/>
  <c r="RQ142" i="83"/>
  <c r="RP142" i="83"/>
  <c r="QZ142" i="83"/>
  <c r="QY142" i="83"/>
  <c r="QI142" i="83"/>
  <c r="QH142" i="83"/>
  <c r="PR142" i="83"/>
  <c r="PQ142" i="83"/>
  <c r="PA142" i="83"/>
  <c r="OZ142" i="83"/>
  <c r="OJ142" i="83"/>
  <c r="OI142" i="83"/>
  <c r="NS142" i="83"/>
  <c r="NR142" i="83"/>
  <c r="NB142" i="83"/>
  <c r="NA142" i="83"/>
  <c r="MK142" i="83"/>
  <c r="MJ142" i="83"/>
  <c r="LT142" i="83"/>
  <c r="LS142" i="83"/>
  <c r="LC142" i="83"/>
  <c r="LB142" i="83"/>
  <c r="KL142" i="83"/>
  <c r="KK142" i="83"/>
  <c r="JU142" i="83"/>
  <c r="JT142" i="83"/>
  <c r="JD142" i="83"/>
  <c r="JC142" i="83"/>
  <c r="IM142" i="83"/>
  <c r="IL142" i="83"/>
  <c r="HV142" i="83"/>
  <c r="HU142" i="83"/>
  <c r="HE142" i="83"/>
  <c r="HD142" i="83"/>
  <c r="GN142" i="83"/>
  <c r="GM142" i="83"/>
  <c r="FW142" i="83"/>
  <c r="FV142" i="83"/>
  <c r="FF142" i="83"/>
  <c r="FE142" i="83"/>
  <c r="EO142" i="83"/>
  <c r="EN142" i="83"/>
  <c r="DX142" i="83"/>
  <c r="DW142" i="83"/>
  <c r="DG142" i="83"/>
  <c r="DF142" i="83"/>
  <c r="CP142" i="83"/>
  <c r="CO142" i="83"/>
  <c r="BY142" i="83"/>
  <c r="BX142" i="83"/>
  <c r="BH142" i="83"/>
  <c r="BG142" i="83"/>
  <c r="AQ142" i="83"/>
  <c r="AP142" i="83"/>
  <c r="Z142" i="83"/>
  <c r="Y142" i="83"/>
  <c r="TP141" i="83"/>
  <c r="TO141" i="83"/>
  <c r="SY141" i="83"/>
  <c r="SX141" i="83"/>
  <c r="SH141" i="83"/>
  <c r="SG141" i="83"/>
  <c r="RQ141" i="83"/>
  <c r="RP141" i="83"/>
  <c r="QZ141" i="83"/>
  <c r="QY141" i="83"/>
  <c r="QI141" i="83"/>
  <c r="QH141" i="83"/>
  <c r="PR141" i="83"/>
  <c r="PQ141" i="83"/>
  <c r="PA141" i="83"/>
  <c r="OZ141" i="83"/>
  <c r="OJ141" i="83"/>
  <c r="OI141" i="83"/>
  <c r="NS141" i="83"/>
  <c r="NR141" i="83"/>
  <c r="NB141" i="83"/>
  <c r="NA141" i="83"/>
  <c r="MK141" i="83"/>
  <c r="MJ141" i="83"/>
  <c r="LT141" i="83"/>
  <c r="LS141" i="83"/>
  <c r="LC141" i="83"/>
  <c r="LB141" i="83"/>
  <c r="KL141" i="83"/>
  <c r="KK141" i="83"/>
  <c r="JU141" i="83"/>
  <c r="JT141" i="83"/>
  <c r="JD141" i="83"/>
  <c r="JC141" i="83"/>
  <c r="IM141" i="83"/>
  <c r="IL141" i="83"/>
  <c r="HV141" i="83"/>
  <c r="HU141" i="83"/>
  <c r="HE141" i="83"/>
  <c r="HD141" i="83"/>
  <c r="GN141" i="83"/>
  <c r="GM141" i="83"/>
  <c r="FW141" i="83"/>
  <c r="FV141" i="83"/>
  <c r="FF141" i="83"/>
  <c r="FE141" i="83"/>
  <c r="EO141" i="83"/>
  <c r="EN141" i="83"/>
  <c r="DX141" i="83"/>
  <c r="DW141" i="83"/>
  <c r="DG141" i="83"/>
  <c r="DF141" i="83"/>
  <c r="CP141" i="83"/>
  <c r="CO141" i="83"/>
  <c r="BY141" i="83"/>
  <c r="BX141" i="83"/>
  <c r="BH141" i="83"/>
  <c r="BG141" i="83"/>
  <c r="AQ141" i="83"/>
  <c r="AP141" i="83"/>
  <c r="Z141" i="83"/>
  <c r="Y141" i="83"/>
  <c r="TP140" i="83"/>
  <c r="TO140" i="83"/>
  <c r="SY140" i="83"/>
  <c r="SX140" i="83"/>
  <c r="SH140" i="83"/>
  <c r="SG140" i="83"/>
  <c r="RQ140" i="83"/>
  <c r="RP140" i="83"/>
  <c r="QZ140" i="83"/>
  <c r="QZ146" i="83" s="1"/>
  <c r="QY140" i="83"/>
  <c r="QI140" i="83"/>
  <c r="QH140" i="83"/>
  <c r="PR140" i="83"/>
  <c r="PQ140" i="83"/>
  <c r="PA140" i="83"/>
  <c r="PA146" i="83" s="1"/>
  <c r="OZ140" i="83"/>
  <c r="OJ140" i="83"/>
  <c r="OI140" i="83"/>
  <c r="NS140" i="83"/>
  <c r="NR140" i="83"/>
  <c r="NB140" i="83"/>
  <c r="NA140" i="83"/>
  <c r="MK140" i="83"/>
  <c r="MK145" i="83" s="1"/>
  <c r="MJ140" i="83"/>
  <c r="LT140" i="83"/>
  <c r="LT145" i="83" s="1"/>
  <c r="LS140" i="83"/>
  <c r="LC140" i="83"/>
  <c r="LB140" i="83"/>
  <c r="KL140" i="83"/>
  <c r="KK140" i="83"/>
  <c r="JU140" i="83"/>
  <c r="JU145" i="83" s="1"/>
  <c r="JT140" i="83"/>
  <c r="JD140" i="83"/>
  <c r="JD145" i="83" s="1"/>
  <c r="JC140" i="83"/>
  <c r="IM140" i="83"/>
  <c r="IL140" i="83"/>
  <c r="HV140" i="83"/>
  <c r="HU140" i="83"/>
  <c r="HE140" i="83"/>
  <c r="HE145" i="83" s="1"/>
  <c r="HD140" i="83"/>
  <c r="GN140" i="83"/>
  <c r="GN146" i="83" s="1"/>
  <c r="GM140" i="83"/>
  <c r="FW140" i="83"/>
  <c r="FV140" i="83"/>
  <c r="FF140" i="83"/>
  <c r="FE140" i="83"/>
  <c r="EO140" i="83"/>
  <c r="EN140" i="83"/>
  <c r="DX140" i="83"/>
  <c r="DX145" i="83" s="1"/>
  <c r="DW140" i="83"/>
  <c r="DG140" i="83"/>
  <c r="DF140" i="83"/>
  <c r="CP140" i="83"/>
  <c r="CO140" i="83"/>
  <c r="BY140" i="83"/>
  <c r="BX140" i="83"/>
  <c r="BH140" i="83"/>
  <c r="BG140" i="83"/>
  <c r="AQ140" i="83"/>
  <c r="AP140" i="83"/>
  <c r="Z140" i="83"/>
  <c r="Y140" i="83"/>
  <c r="TM137" i="83"/>
  <c r="TL137" i="83"/>
  <c r="TK137" i="83"/>
  <c r="TJ137" i="83"/>
  <c r="TI137" i="83"/>
  <c r="SV137" i="83"/>
  <c r="SU137" i="83"/>
  <c r="ST137" i="83"/>
  <c r="SS137" i="83"/>
  <c r="SR137" i="83"/>
  <c r="SE137" i="83"/>
  <c r="SD137" i="83"/>
  <c r="SC137" i="83"/>
  <c r="SB137" i="83"/>
  <c r="SA137" i="83"/>
  <c r="RN137" i="83"/>
  <c r="RM137" i="83"/>
  <c r="RL137" i="83"/>
  <c r="RK137" i="83"/>
  <c r="RJ137" i="83"/>
  <c r="QW137" i="83"/>
  <c r="QV137" i="83"/>
  <c r="QU137" i="83"/>
  <c r="QT137" i="83"/>
  <c r="QS137" i="83"/>
  <c r="QF137" i="83"/>
  <c r="QE137" i="83"/>
  <c r="QD137" i="83"/>
  <c r="QC137" i="83"/>
  <c r="QB137" i="83"/>
  <c r="PO137" i="83"/>
  <c r="PN137" i="83"/>
  <c r="PM137" i="83"/>
  <c r="PL137" i="83"/>
  <c r="PK137" i="83"/>
  <c r="OX137" i="83"/>
  <c r="OW137" i="83"/>
  <c r="OV137" i="83"/>
  <c r="OU137" i="83"/>
  <c r="OT137" i="83"/>
  <c r="OG137" i="83"/>
  <c r="OF137" i="83"/>
  <c r="OE137" i="83"/>
  <c r="OD137" i="83"/>
  <c r="OC137" i="83"/>
  <c r="NP137" i="83"/>
  <c r="NO137" i="83"/>
  <c r="NN137" i="83"/>
  <c r="NM137" i="83"/>
  <c r="NL137" i="83"/>
  <c r="MY137" i="83"/>
  <c r="MX137" i="83"/>
  <c r="MW137" i="83"/>
  <c r="MV137" i="83"/>
  <c r="MU137" i="83"/>
  <c r="MH137" i="83"/>
  <c r="MG137" i="83"/>
  <c r="MF137" i="83"/>
  <c r="ME137" i="83"/>
  <c r="MD137" i="83"/>
  <c r="LQ137" i="83"/>
  <c r="LP137" i="83"/>
  <c r="LO137" i="83"/>
  <c r="LN137" i="83"/>
  <c r="LM137" i="83"/>
  <c r="KZ137" i="83"/>
  <c r="KY137" i="83"/>
  <c r="KX137" i="83"/>
  <c r="KW137" i="83"/>
  <c r="KV137" i="83"/>
  <c r="KI137" i="83"/>
  <c r="KH137" i="83"/>
  <c r="KG137" i="83"/>
  <c r="KF137" i="83"/>
  <c r="KE137" i="83"/>
  <c r="JR137" i="83"/>
  <c r="JQ137" i="83"/>
  <c r="JP137" i="83"/>
  <c r="JO137" i="83"/>
  <c r="JN137" i="83"/>
  <c r="JA137" i="83"/>
  <c r="IZ137" i="83"/>
  <c r="IY137" i="83"/>
  <c r="IX137" i="83"/>
  <c r="IW137" i="83"/>
  <c r="IJ137" i="83"/>
  <c r="II137" i="83"/>
  <c r="IH137" i="83"/>
  <c r="IG137" i="83"/>
  <c r="IF137" i="83"/>
  <c r="HS137" i="83"/>
  <c r="HR137" i="83"/>
  <c r="HQ137" i="83"/>
  <c r="HP137" i="83"/>
  <c r="HO137" i="83"/>
  <c r="HB137" i="83"/>
  <c r="HA137" i="83"/>
  <c r="GZ137" i="83"/>
  <c r="GY137" i="83"/>
  <c r="GX137" i="83"/>
  <c r="GK137" i="83"/>
  <c r="GJ137" i="83"/>
  <c r="GI137" i="83"/>
  <c r="GH137" i="83"/>
  <c r="GG137" i="83"/>
  <c r="FT137" i="83"/>
  <c r="FS137" i="83"/>
  <c r="FR137" i="83"/>
  <c r="FQ137" i="83"/>
  <c r="FP137" i="83"/>
  <c r="FC137" i="83"/>
  <c r="FB137" i="83"/>
  <c r="FA137" i="83"/>
  <c r="EZ137" i="83"/>
  <c r="EY137" i="83"/>
  <c r="EL137" i="83"/>
  <c r="EK137" i="83"/>
  <c r="EJ137" i="83"/>
  <c r="EI137" i="83"/>
  <c r="EH137" i="83"/>
  <c r="DU137" i="83"/>
  <c r="DT137" i="83"/>
  <c r="DS137" i="83"/>
  <c r="DR137" i="83"/>
  <c r="DQ137" i="83"/>
  <c r="DD137" i="83"/>
  <c r="DC137" i="83"/>
  <c r="DB137" i="83"/>
  <c r="DA137" i="83"/>
  <c r="CZ137" i="83"/>
  <c r="CM137" i="83"/>
  <c r="CL137" i="83"/>
  <c r="CK137" i="83"/>
  <c r="CJ137" i="83"/>
  <c r="CI137" i="83"/>
  <c r="BV137" i="83"/>
  <c r="BU137" i="83"/>
  <c r="BT137" i="83"/>
  <c r="BS137" i="83"/>
  <c r="BR137" i="83"/>
  <c r="BE137" i="83"/>
  <c r="BD137" i="83"/>
  <c r="BC137" i="83"/>
  <c r="BB137" i="83"/>
  <c r="BA137" i="83"/>
  <c r="AN137" i="83"/>
  <c r="AM137" i="83"/>
  <c r="AL137" i="83"/>
  <c r="AK137" i="83"/>
  <c r="AJ137" i="83"/>
  <c r="W137" i="83"/>
  <c r="V137" i="83"/>
  <c r="U137" i="83"/>
  <c r="T137" i="83"/>
  <c r="S137" i="83"/>
  <c r="TM136" i="83"/>
  <c r="TL136" i="83"/>
  <c r="TK136" i="83"/>
  <c r="TJ136" i="83"/>
  <c r="TI136" i="83"/>
  <c r="SV136" i="83"/>
  <c r="SU136" i="83"/>
  <c r="ST136" i="83"/>
  <c r="SS136" i="83"/>
  <c r="SR136" i="83"/>
  <c r="SE136" i="83"/>
  <c r="SD136" i="83"/>
  <c r="SC136" i="83"/>
  <c r="SB136" i="83"/>
  <c r="SA136" i="83"/>
  <c r="RN136" i="83"/>
  <c r="RM136" i="83"/>
  <c r="RL136" i="83"/>
  <c r="RK136" i="83"/>
  <c r="RJ136" i="83"/>
  <c r="QW136" i="83"/>
  <c r="QV136" i="83"/>
  <c r="QU136" i="83"/>
  <c r="QT136" i="83"/>
  <c r="QS136" i="83"/>
  <c r="QF136" i="83"/>
  <c r="QE136" i="83"/>
  <c r="QD136" i="83"/>
  <c r="QC136" i="83"/>
  <c r="QB136" i="83"/>
  <c r="PO136" i="83"/>
  <c r="PN136" i="83"/>
  <c r="PM136" i="83"/>
  <c r="PL136" i="83"/>
  <c r="PK136" i="83"/>
  <c r="OX136" i="83"/>
  <c r="OW136" i="83"/>
  <c r="OV136" i="83"/>
  <c r="OU136" i="83"/>
  <c r="OT136" i="83"/>
  <c r="OG136" i="83"/>
  <c r="OF136" i="83"/>
  <c r="OE136" i="83"/>
  <c r="OD136" i="83"/>
  <c r="OC136" i="83"/>
  <c r="NP136" i="83"/>
  <c r="NO136" i="83"/>
  <c r="NN136" i="83"/>
  <c r="NM136" i="83"/>
  <c r="NL136" i="83"/>
  <c r="MY136" i="83"/>
  <c r="MX136" i="83"/>
  <c r="MW136" i="83"/>
  <c r="MV136" i="83"/>
  <c r="MU136" i="83"/>
  <c r="MH136" i="83"/>
  <c r="MG136" i="83"/>
  <c r="MF136" i="83"/>
  <c r="ME136" i="83"/>
  <c r="MD136" i="83"/>
  <c r="LQ136" i="83"/>
  <c r="LP136" i="83"/>
  <c r="LO136" i="83"/>
  <c r="LN136" i="83"/>
  <c r="LM136" i="83"/>
  <c r="KZ136" i="83"/>
  <c r="KY136" i="83"/>
  <c r="KX136" i="83"/>
  <c r="KW136" i="83"/>
  <c r="KV136" i="83"/>
  <c r="KI136" i="83"/>
  <c r="KH136" i="83"/>
  <c r="KG136" i="83"/>
  <c r="KF136" i="83"/>
  <c r="KE136" i="83"/>
  <c r="JR136" i="83"/>
  <c r="JQ136" i="83"/>
  <c r="JP136" i="83"/>
  <c r="JO136" i="83"/>
  <c r="JN136" i="83"/>
  <c r="JA136" i="83"/>
  <c r="IZ136" i="83"/>
  <c r="IY136" i="83"/>
  <c r="IX136" i="83"/>
  <c r="IW136" i="83"/>
  <c r="IJ136" i="83"/>
  <c r="II136" i="83"/>
  <c r="IH136" i="83"/>
  <c r="IG136" i="83"/>
  <c r="IF136" i="83"/>
  <c r="HS136" i="83"/>
  <c r="HR136" i="83"/>
  <c r="HQ136" i="83"/>
  <c r="HP136" i="83"/>
  <c r="HO136" i="83"/>
  <c r="HB136" i="83"/>
  <c r="HA136" i="83"/>
  <c r="GZ136" i="83"/>
  <c r="GY136" i="83"/>
  <c r="GX136" i="83"/>
  <c r="GK136" i="83"/>
  <c r="GJ136" i="83"/>
  <c r="GI136" i="83"/>
  <c r="GH136" i="83"/>
  <c r="GG136" i="83"/>
  <c r="FT136" i="83"/>
  <c r="FS136" i="83"/>
  <c r="FR136" i="83"/>
  <c r="FQ136" i="83"/>
  <c r="FP136" i="83"/>
  <c r="FC136" i="83"/>
  <c r="FB136" i="83"/>
  <c r="FA136" i="83"/>
  <c r="EZ136" i="83"/>
  <c r="EY136" i="83"/>
  <c r="EL136" i="83"/>
  <c r="EK136" i="83"/>
  <c r="EJ136" i="83"/>
  <c r="EI136" i="83"/>
  <c r="EH136" i="83"/>
  <c r="DU136" i="83"/>
  <c r="DT136" i="83"/>
  <c r="DS136" i="83"/>
  <c r="DR136" i="83"/>
  <c r="DQ136" i="83"/>
  <c r="DD136" i="83"/>
  <c r="DC136" i="83"/>
  <c r="DB136" i="83"/>
  <c r="DA136" i="83"/>
  <c r="CZ136" i="83"/>
  <c r="CM136" i="83"/>
  <c r="CL136" i="83"/>
  <c r="CK136" i="83"/>
  <c r="CJ136" i="83"/>
  <c r="CI136" i="83"/>
  <c r="BV136" i="83"/>
  <c r="BU136" i="83"/>
  <c r="BT136" i="83"/>
  <c r="BS136" i="83"/>
  <c r="BR136" i="83"/>
  <c r="BE136" i="83"/>
  <c r="BD136" i="83"/>
  <c r="BC136" i="83"/>
  <c r="BB136" i="83"/>
  <c r="BA136" i="83"/>
  <c r="AN136" i="83"/>
  <c r="AM136" i="83"/>
  <c r="AL136" i="83"/>
  <c r="AK136" i="83"/>
  <c r="AJ136" i="83"/>
  <c r="W136" i="83"/>
  <c r="V136" i="83"/>
  <c r="U136" i="83"/>
  <c r="T136" i="83"/>
  <c r="S136" i="83"/>
  <c r="TP135" i="83"/>
  <c r="TO135" i="83"/>
  <c r="SY135" i="83"/>
  <c r="SX135" i="83"/>
  <c r="SH135" i="83"/>
  <c r="SG135" i="83"/>
  <c r="RQ135" i="83"/>
  <c r="RP135" i="83"/>
  <c r="QZ135" i="83"/>
  <c r="QY135" i="83"/>
  <c r="QI135" i="83"/>
  <c r="QH135" i="83"/>
  <c r="PR135" i="83"/>
  <c r="PQ135" i="83"/>
  <c r="PA135" i="83"/>
  <c r="OZ135" i="83"/>
  <c r="OJ135" i="83"/>
  <c r="OI135" i="83"/>
  <c r="NS135" i="83"/>
  <c r="NR135" i="83"/>
  <c r="NB135" i="83"/>
  <c r="NA135" i="83"/>
  <c r="MK135" i="83"/>
  <c r="MJ135" i="83"/>
  <c r="LT135" i="83"/>
  <c r="LS135" i="83"/>
  <c r="LC135" i="83"/>
  <c r="LB135" i="83"/>
  <c r="KL135" i="83"/>
  <c r="KK135" i="83"/>
  <c r="JU135" i="83"/>
  <c r="JT135" i="83"/>
  <c r="JD135" i="83"/>
  <c r="JC135" i="83"/>
  <c r="IM135" i="83"/>
  <c r="IL135" i="83"/>
  <c r="HV135" i="83"/>
  <c r="HU135" i="83"/>
  <c r="HE135" i="83"/>
  <c r="HD135" i="83"/>
  <c r="GN135" i="83"/>
  <c r="GM135" i="83"/>
  <c r="FW135" i="83"/>
  <c r="FV135" i="83"/>
  <c r="FF135" i="83"/>
  <c r="FE135" i="83"/>
  <c r="EO135" i="83"/>
  <c r="EN135" i="83"/>
  <c r="DX135" i="83"/>
  <c r="DW135" i="83"/>
  <c r="DG135" i="83"/>
  <c r="DF135" i="83"/>
  <c r="CP135" i="83"/>
  <c r="CO135" i="83"/>
  <c r="BY135" i="83"/>
  <c r="BX135" i="83"/>
  <c r="BH135" i="83"/>
  <c r="BG135" i="83"/>
  <c r="AQ135" i="83"/>
  <c r="AP135" i="83"/>
  <c r="Z135" i="83"/>
  <c r="Y135" i="83"/>
  <c r="TP134" i="83"/>
  <c r="TO134" i="83"/>
  <c r="SY134" i="83"/>
  <c r="SX134" i="83"/>
  <c r="SH134" i="83"/>
  <c r="SG134" i="83"/>
  <c r="RQ134" i="83"/>
  <c r="RP134" i="83"/>
  <c r="QZ134" i="83"/>
  <c r="QY134" i="83"/>
  <c r="QI134" i="83"/>
  <c r="QH134" i="83"/>
  <c r="PR134" i="83"/>
  <c r="PQ134" i="83"/>
  <c r="PA134" i="83"/>
  <c r="OZ134" i="83"/>
  <c r="OJ134" i="83"/>
  <c r="OI134" i="83"/>
  <c r="NS134" i="83"/>
  <c r="NR134" i="83"/>
  <c r="NB134" i="83"/>
  <c r="NA134" i="83"/>
  <c r="MK134" i="83"/>
  <c r="MJ134" i="83"/>
  <c r="LT134" i="83"/>
  <c r="LS134" i="83"/>
  <c r="LC134" i="83"/>
  <c r="LB134" i="83"/>
  <c r="KL134" i="83"/>
  <c r="KK134" i="83"/>
  <c r="JU134" i="83"/>
  <c r="JT134" i="83"/>
  <c r="JD134" i="83"/>
  <c r="JC134" i="83"/>
  <c r="IM134" i="83"/>
  <c r="IL134" i="83"/>
  <c r="HV134" i="83"/>
  <c r="HU134" i="83"/>
  <c r="HE134" i="83"/>
  <c r="HD134" i="83"/>
  <c r="GN134" i="83"/>
  <c r="GM134" i="83"/>
  <c r="FW134" i="83"/>
  <c r="FV134" i="83"/>
  <c r="FF134" i="83"/>
  <c r="FE134" i="83"/>
  <c r="EO134" i="83"/>
  <c r="EN134" i="83"/>
  <c r="DX134" i="83"/>
  <c r="DW134" i="83"/>
  <c r="DG134" i="83"/>
  <c r="DF134" i="83"/>
  <c r="CP134" i="83"/>
  <c r="CO134" i="83"/>
  <c r="BY134" i="83"/>
  <c r="BX134" i="83"/>
  <c r="BH134" i="83"/>
  <c r="BG134" i="83"/>
  <c r="AQ134" i="83"/>
  <c r="AP134" i="83"/>
  <c r="Z134" i="83"/>
  <c r="Y134" i="83"/>
  <c r="TP133" i="83"/>
  <c r="TO133" i="83"/>
  <c r="SY133" i="83"/>
  <c r="SX133" i="83"/>
  <c r="SH133" i="83"/>
  <c r="SG133" i="83"/>
  <c r="RQ133" i="83"/>
  <c r="RP133" i="83"/>
  <c r="QZ133" i="83"/>
  <c r="QY133" i="83"/>
  <c r="QI133" i="83"/>
  <c r="QH133" i="83"/>
  <c r="PR133" i="83"/>
  <c r="PQ133" i="83"/>
  <c r="PA133" i="83"/>
  <c r="OZ133" i="83"/>
  <c r="OJ133" i="83"/>
  <c r="OI133" i="83"/>
  <c r="NS133" i="83"/>
  <c r="NR133" i="83"/>
  <c r="NB133" i="83"/>
  <c r="NA133" i="83"/>
  <c r="MK133" i="83"/>
  <c r="MJ133" i="83"/>
  <c r="LT133" i="83"/>
  <c r="LS133" i="83"/>
  <c r="LC133" i="83"/>
  <c r="LB133" i="83"/>
  <c r="KL133" i="83"/>
  <c r="KK133" i="83"/>
  <c r="JU133" i="83"/>
  <c r="JT133" i="83"/>
  <c r="JD133" i="83"/>
  <c r="JC133" i="83"/>
  <c r="IM133" i="83"/>
  <c r="IL133" i="83"/>
  <c r="HV133" i="83"/>
  <c r="HU133" i="83"/>
  <c r="HE133" i="83"/>
  <c r="HD133" i="83"/>
  <c r="GN133" i="83"/>
  <c r="GM133" i="83"/>
  <c r="FW133" i="83"/>
  <c r="FV133" i="83"/>
  <c r="FF133" i="83"/>
  <c r="FE133" i="83"/>
  <c r="EO133" i="83"/>
  <c r="EN133" i="83"/>
  <c r="DX133" i="83"/>
  <c r="DW133" i="83"/>
  <c r="DG133" i="83"/>
  <c r="DF133" i="83"/>
  <c r="CP133" i="83"/>
  <c r="CO133" i="83"/>
  <c r="BY133" i="83"/>
  <c r="BX133" i="83"/>
  <c r="BH133" i="83"/>
  <c r="BG133" i="83"/>
  <c r="AQ133" i="83"/>
  <c r="AP133" i="83"/>
  <c r="Z133" i="83"/>
  <c r="Y133" i="83"/>
  <c r="TP132" i="83"/>
  <c r="TO132" i="83"/>
  <c r="SY132" i="83"/>
  <c r="SX132" i="83"/>
  <c r="SH132" i="83"/>
  <c r="SG132" i="83"/>
  <c r="RQ132" i="83"/>
  <c r="RP132" i="83"/>
  <c r="QZ132" i="83"/>
  <c r="QY132" i="83"/>
  <c r="QI132" i="83"/>
  <c r="QH132" i="83"/>
  <c r="PR132" i="83"/>
  <c r="PQ132" i="83"/>
  <c r="PA132" i="83"/>
  <c r="OZ132" i="83"/>
  <c r="OJ132" i="83"/>
  <c r="OI132" i="83"/>
  <c r="NS132" i="83"/>
  <c r="NR132" i="83"/>
  <c r="NB132" i="83"/>
  <c r="NA132" i="83"/>
  <c r="MK132" i="83"/>
  <c r="MJ132" i="83"/>
  <c r="LT132" i="83"/>
  <c r="LS132" i="83"/>
  <c r="LC132" i="83"/>
  <c r="LB132" i="83"/>
  <c r="KL132" i="83"/>
  <c r="KK132" i="83"/>
  <c r="JU132" i="83"/>
  <c r="JT132" i="83"/>
  <c r="JD132" i="83"/>
  <c r="JC132" i="83"/>
  <c r="IM132" i="83"/>
  <c r="IL132" i="83"/>
  <c r="HV132" i="83"/>
  <c r="HU132" i="83"/>
  <c r="HE132" i="83"/>
  <c r="HD132" i="83"/>
  <c r="GN132" i="83"/>
  <c r="GM132" i="83"/>
  <c r="FW132" i="83"/>
  <c r="FV132" i="83"/>
  <c r="FF132" i="83"/>
  <c r="FE132" i="83"/>
  <c r="EO132" i="83"/>
  <c r="EN132" i="83"/>
  <c r="DX132" i="83"/>
  <c r="DW132" i="83"/>
  <c r="DG132" i="83"/>
  <c r="DF132" i="83"/>
  <c r="CP132" i="83"/>
  <c r="CO132" i="83"/>
  <c r="BY132" i="83"/>
  <c r="BX132" i="83"/>
  <c r="BH132" i="83"/>
  <c r="BG132" i="83"/>
  <c r="AQ132" i="83"/>
  <c r="AP132" i="83"/>
  <c r="Z132" i="83"/>
  <c r="Y132" i="83"/>
  <c r="TP131" i="83"/>
  <c r="TO131" i="83"/>
  <c r="SY131" i="83"/>
  <c r="SX131" i="83"/>
  <c r="SH131" i="83"/>
  <c r="SG131" i="83"/>
  <c r="RQ131" i="83"/>
  <c r="RP131" i="83"/>
  <c r="QZ131" i="83"/>
  <c r="QY131" i="83"/>
  <c r="QI131" i="83"/>
  <c r="QH131" i="83"/>
  <c r="PR131" i="83"/>
  <c r="PQ131" i="83"/>
  <c r="PA131" i="83"/>
  <c r="OZ131" i="83"/>
  <c r="OJ131" i="83"/>
  <c r="OI131" i="83"/>
  <c r="NS131" i="83"/>
  <c r="NR131" i="83"/>
  <c r="NB131" i="83"/>
  <c r="NA131" i="83"/>
  <c r="MK131" i="83"/>
  <c r="MJ131" i="83"/>
  <c r="LT131" i="83"/>
  <c r="LS131" i="83"/>
  <c r="LC131" i="83"/>
  <c r="LB131" i="83"/>
  <c r="KL131" i="83"/>
  <c r="KK131" i="83"/>
  <c r="JU131" i="83"/>
  <c r="JT131" i="83"/>
  <c r="JD131" i="83"/>
  <c r="JC131" i="83"/>
  <c r="IM131" i="83"/>
  <c r="IL131" i="83"/>
  <c r="HV131" i="83"/>
  <c r="HU131" i="83"/>
  <c r="HE131" i="83"/>
  <c r="HD131" i="83"/>
  <c r="GN131" i="83"/>
  <c r="GM131" i="83"/>
  <c r="FW131" i="83"/>
  <c r="FV131" i="83"/>
  <c r="FF131" i="83"/>
  <c r="FE131" i="83"/>
  <c r="EO131" i="83"/>
  <c r="EN131" i="83"/>
  <c r="DX131" i="83"/>
  <c r="DW131" i="83"/>
  <c r="DG131" i="83"/>
  <c r="DF131" i="83"/>
  <c r="CP131" i="83"/>
  <c r="CO131" i="83"/>
  <c r="BY131" i="83"/>
  <c r="BX131" i="83"/>
  <c r="BH131" i="83"/>
  <c r="BG131" i="83"/>
  <c r="AQ131" i="83"/>
  <c r="AP131" i="83"/>
  <c r="Z131" i="83"/>
  <c r="Y131" i="83"/>
  <c r="TP130" i="83"/>
  <c r="TO130" i="83"/>
  <c r="SY130" i="83"/>
  <c r="SX130" i="83"/>
  <c r="SH130" i="83"/>
  <c r="SG130" i="83"/>
  <c r="RQ130" i="83"/>
  <c r="RP130" i="83"/>
  <c r="QZ130" i="83"/>
  <c r="QY130" i="83"/>
  <c r="QI130" i="83"/>
  <c r="QH130" i="83"/>
  <c r="PR130" i="83"/>
  <c r="PQ130" i="83"/>
  <c r="PA130" i="83"/>
  <c r="OZ130" i="83"/>
  <c r="OJ130" i="83"/>
  <c r="OI130" i="83"/>
  <c r="NS130" i="83"/>
  <c r="NR130" i="83"/>
  <c r="NB130" i="83"/>
  <c r="NA130" i="83"/>
  <c r="MK130" i="83"/>
  <c r="MJ130" i="83"/>
  <c r="LT130" i="83"/>
  <c r="LS130" i="83"/>
  <c r="LC130" i="83"/>
  <c r="LB130" i="83"/>
  <c r="KL130" i="83"/>
  <c r="KK130" i="83"/>
  <c r="JU130" i="83"/>
  <c r="JT130" i="83"/>
  <c r="JD130" i="83"/>
  <c r="JC130" i="83"/>
  <c r="IM130" i="83"/>
  <c r="IL130" i="83"/>
  <c r="HV130" i="83"/>
  <c r="HU130" i="83"/>
  <c r="HE130" i="83"/>
  <c r="HD130" i="83"/>
  <c r="GN130" i="83"/>
  <c r="GM130" i="83"/>
  <c r="FW130" i="83"/>
  <c r="FV130" i="83"/>
  <c r="FF130" i="83"/>
  <c r="FE130" i="83"/>
  <c r="EO130" i="83"/>
  <c r="EN130" i="83"/>
  <c r="DX130" i="83"/>
  <c r="DW130" i="83"/>
  <c r="DG130" i="83"/>
  <c r="DF130" i="83"/>
  <c r="CP130" i="83"/>
  <c r="CO130" i="83"/>
  <c r="BY130" i="83"/>
  <c r="BX130" i="83"/>
  <c r="BH130" i="83"/>
  <c r="BG130" i="83"/>
  <c r="AQ130" i="83"/>
  <c r="AP130" i="83"/>
  <c r="Z130" i="83"/>
  <c r="Y130" i="83"/>
  <c r="TP129" i="83"/>
  <c r="TO129" i="83"/>
  <c r="SY129" i="83"/>
  <c r="SX129" i="83"/>
  <c r="SH129" i="83"/>
  <c r="SG129" i="83"/>
  <c r="RQ129" i="83"/>
  <c r="RP129" i="83"/>
  <c r="QZ129" i="83"/>
  <c r="QY129" i="83"/>
  <c r="QI129" i="83"/>
  <c r="QH129" i="83"/>
  <c r="PR129" i="83"/>
  <c r="PQ129" i="83"/>
  <c r="PA129" i="83"/>
  <c r="OZ129" i="83"/>
  <c r="OJ129" i="83"/>
  <c r="OI129" i="83"/>
  <c r="NS129" i="83"/>
  <c r="NR129" i="83"/>
  <c r="NB129" i="83"/>
  <c r="NA129" i="83"/>
  <c r="MK129" i="83"/>
  <c r="MJ129" i="83"/>
  <c r="LT129" i="83"/>
  <c r="LS129" i="83"/>
  <c r="LC129" i="83"/>
  <c r="LB129" i="83"/>
  <c r="KL129" i="83"/>
  <c r="KK129" i="83"/>
  <c r="JU129" i="83"/>
  <c r="JT129" i="83"/>
  <c r="JD129" i="83"/>
  <c r="JC129" i="83"/>
  <c r="IM129" i="83"/>
  <c r="IL129" i="83"/>
  <c r="HV129" i="83"/>
  <c r="HU129" i="83"/>
  <c r="HE129" i="83"/>
  <c r="HD129" i="83"/>
  <c r="GN129" i="83"/>
  <c r="GM129" i="83"/>
  <c r="FW129" i="83"/>
  <c r="FV129" i="83"/>
  <c r="FF129" i="83"/>
  <c r="FE129" i="83"/>
  <c r="EO129" i="83"/>
  <c r="EN129" i="83"/>
  <c r="DX129" i="83"/>
  <c r="DW129" i="83"/>
  <c r="DG129" i="83"/>
  <c r="DF129" i="83"/>
  <c r="CP129" i="83"/>
  <c r="CO129" i="83"/>
  <c r="BY129" i="83"/>
  <c r="BX129" i="83"/>
  <c r="BH129" i="83"/>
  <c r="BG129" i="83"/>
  <c r="AQ129" i="83"/>
  <c r="AP129" i="83"/>
  <c r="Z129" i="83"/>
  <c r="Y129" i="83"/>
  <c r="TP128" i="83"/>
  <c r="TO128" i="83"/>
  <c r="SY128" i="83"/>
  <c r="SX128" i="83"/>
  <c r="SH128" i="83"/>
  <c r="SG128" i="83"/>
  <c r="RQ128" i="83"/>
  <c r="RP128" i="83"/>
  <c r="QZ128" i="83"/>
  <c r="QY128" i="83"/>
  <c r="QI128" i="83"/>
  <c r="QH128" i="83"/>
  <c r="PR128" i="83"/>
  <c r="PQ128" i="83"/>
  <c r="PA128" i="83"/>
  <c r="OZ128" i="83"/>
  <c r="OJ128" i="83"/>
  <c r="OI128" i="83"/>
  <c r="NS128" i="83"/>
  <c r="NR128" i="83"/>
  <c r="NB128" i="83"/>
  <c r="NA128" i="83"/>
  <c r="MK128" i="83"/>
  <c r="MJ128" i="83"/>
  <c r="LT128" i="83"/>
  <c r="LS128" i="83"/>
  <c r="LC128" i="83"/>
  <c r="LB128" i="83"/>
  <c r="KL128" i="83"/>
  <c r="KK128" i="83"/>
  <c r="JU128" i="83"/>
  <c r="JT128" i="83"/>
  <c r="JD128" i="83"/>
  <c r="JC128" i="83"/>
  <c r="IM128" i="83"/>
  <c r="IL128" i="83"/>
  <c r="HV128" i="83"/>
  <c r="HU128" i="83"/>
  <c r="HE128" i="83"/>
  <c r="HD128" i="83"/>
  <c r="GN128" i="83"/>
  <c r="GM128" i="83"/>
  <c r="FW128" i="83"/>
  <c r="FV128" i="83"/>
  <c r="FF128" i="83"/>
  <c r="FE128" i="83"/>
  <c r="EO128" i="83"/>
  <c r="EN128" i="83"/>
  <c r="DX128" i="83"/>
  <c r="DW128" i="83"/>
  <c r="DG128" i="83"/>
  <c r="DF128" i="83"/>
  <c r="CP128" i="83"/>
  <c r="CO128" i="83"/>
  <c r="BY128" i="83"/>
  <c r="BX128" i="83"/>
  <c r="BH128" i="83"/>
  <c r="BG128" i="83"/>
  <c r="AQ128" i="83"/>
  <c r="AP128" i="83"/>
  <c r="Z128" i="83"/>
  <c r="Y128" i="83"/>
  <c r="TP127" i="83"/>
  <c r="TO127" i="83"/>
  <c r="SY127" i="83"/>
  <c r="SX127" i="83"/>
  <c r="SH127" i="83"/>
  <c r="SG127" i="83"/>
  <c r="RQ127" i="83"/>
  <c r="RP127" i="83"/>
  <c r="QZ127" i="83"/>
  <c r="QY127" i="83"/>
  <c r="QI127" i="83"/>
  <c r="QH127" i="83"/>
  <c r="PR127" i="83"/>
  <c r="PQ127" i="83"/>
  <c r="PA127" i="83"/>
  <c r="OZ127" i="83"/>
  <c r="OJ127" i="83"/>
  <c r="OI127" i="83"/>
  <c r="NS127" i="83"/>
  <c r="NR127" i="83"/>
  <c r="NB127" i="83"/>
  <c r="NA127" i="83"/>
  <c r="MK127" i="83"/>
  <c r="MJ127" i="83"/>
  <c r="LT127" i="83"/>
  <c r="LS127" i="83"/>
  <c r="LC127" i="83"/>
  <c r="LB127" i="83"/>
  <c r="KL127" i="83"/>
  <c r="KK127" i="83"/>
  <c r="JU127" i="83"/>
  <c r="JT127" i="83"/>
  <c r="JD127" i="83"/>
  <c r="JC127" i="83"/>
  <c r="IM127" i="83"/>
  <c r="IL127" i="83"/>
  <c r="HV127" i="83"/>
  <c r="HU127" i="83"/>
  <c r="HE127" i="83"/>
  <c r="HD127" i="83"/>
  <c r="GN127" i="83"/>
  <c r="GM127" i="83"/>
  <c r="FW127" i="83"/>
  <c r="FV127" i="83"/>
  <c r="FF127" i="83"/>
  <c r="FE127" i="83"/>
  <c r="EO127" i="83"/>
  <c r="EN127" i="83"/>
  <c r="DX127" i="83"/>
  <c r="DW127" i="83"/>
  <c r="DG127" i="83"/>
  <c r="DF127" i="83"/>
  <c r="CP127" i="83"/>
  <c r="CO127" i="83"/>
  <c r="BY127" i="83"/>
  <c r="BX127" i="83"/>
  <c r="BH127" i="83"/>
  <c r="BG127" i="83"/>
  <c r="AQ127" i="83"/>
  <c r="AP127" i="83"/>
  <c r="Z127" i="83"/>
  <c r="Y127" i="83"/>
  <c r="TP126" i="83"/>
  <c r="TO126" i="83"/>
  <c r="SY126" i="83"/>
  <c r="SX126" i="83"/>
  <c r="SH126" i="83"/>
  <c r="SG126" i="83"/>
  <c r="RQ126" i="83"/>
  <c r="RP126" i="83"/>
  <c r="QZ126" i="83"/>
  <c r="QY126" i="83"/>
  <c r="QI126" i="83"/>
  <c r="QH126" i="83"/>
  <c r="PR126" i="83"/>
  <c r="PQ126" i="83"/>
  <c r="PA126" i="83"/>
  <c r="OZ126" i="83"/>
  <c r="OJ126" i="83"/>
  <c r="OI126" i="83"/>
  <c r="NS126" i="83"/>
  <c r="NR126" i="83"/>
  <c r="NB126" i="83"/>
  <c r="NA126" i="83"/>
  <c r="MK126" i="83"/>
  <c r="MJ126" i="83"/>
  <c r="LT126" i="83"/>
  <c r="LS126" i="83"/>
  <c r="LC126" i="83"/>
  <c r="LB126" i="83"/>
  <c r="KL126" i="83"/>
  <c r="KK126" i="83"/>
  <c r="JU126" i="83"/>
  <c r="JT126" i="83"/>
  <c r="JD126" i="83"/>
  <c r="JC126" i="83"/>
  <c r="IM126" i="83"/>
  <c r="IL126" i="83"/>
  <c r="HV126" i="83"/>
  <c r="HU126" i="83"/>
  <c r="HE126" i="83"/>
  <c r="HD126" i="83"/>
  <c r="GN126" i="83"/>
  <c r="GM126" i="83"/>
  <c r="FW126" i="83"/>
  <c r="FV126" i="83"/>
  <c r="FF126" i="83"/>
  <c r="FE126" i="83"/>
  <c r="EO126" i="83"/>
  <c r="EN126" i="83"/>
  <c r="DX126" i="83"/>
  <c r="DW126" i="83"/>
  <c r="DG126" i="83"/>
  <c r="DF126" i="83"/>
  <c r="CP126" i="83"/>
  <c r="CO126" i="83"/>
  <c r="BY126" i="83"/>
  <c r="BX126" i="83"/>
  <c r="BH126" i="83"/>
  <c r="BG126" i="83"/>
  <c r="AQ126" i="83"/>
  <c r="AP126" i="83"/>
  <c r="Z126" i="83"/>
  <c r="Y126" i="83"/>
  <c r="TM123" i="83"/>
  <c r="TL123" i="83"/>
  <c r="TK123" i="83"/>
  <c r="TJ123" i="83"/>
  <c r="TI123" i="83"/>
  <c r="SV123" i="83"/>
  <c r="SU123" i="83"/>
  <c r="ST123" i="83"/>
  <c r="SS123" i="83"/>
  <c r="SR123" i="83"/>
  <c r="SE123" i="83"/>
  <c r="SD123" i="83"/>
  <c r="SC123" i="83"/>
  <c r="SB123" i="83"/>
  <c r="SA123" i="83"/>
  <c r="RN123" i="83"/>
  <c r="RM123" i="83"/>
  <c r="RL123" i="83"/>
  <c r="RK123" i="83"/>
  <c r="RJ123" i="83"/>
  <c r="QW123" i="83"/>
  <c r="QV123" i="83"/>
  <c r="QU123" i="83"/>
  <c r="QT123" i="83"/>
  <c r="QS123" i="83"/>
  <c r="QF123" i="83"/>
  <c r="QE123" i="83"/>
  <c r="QD123" i="83"/>
  <c r="QC123" i="83"/>
  <c r="QB123" i="83"/>
  <c r="PO123" i="83"/>
  <c r="PN123" i="83"/>
  <c r="PM123" i="83"/>
  <c r="PL123" i="83"/>
  <c r="PK123" i="83"/>
  <c r="OX123" i="83"/>
  <c r="OW123" i="83"/>
  <c r="OV123" i="83"/>
  <c r="OU123" i="83"/>
  <c r="OT123" i="83"/>
  <c r="OG123" i="83"/>
  <c r="OF123" i="83"/>
  <c r="OE123" i="83"/>
  <c r="OD123" i="83"/>
  <c r="OC123" i="83"/>
  <c r="NP123" i="83"/>
  <c r="NO123" i="83"/>
  <c r="NN123" i="83"/>
  <c r="NM123" i="83"/>
  <c r="NL123" i="83"/>
  <c r="MY123" i="83"/>
  <c r="MX123" i="83"/>
  <c r="MW123" i="83"/>
  <c r="MV123" i="83"/>
  <c r="MU123" i="83"/>
  <c r="MH123" i="83"/>
  <c r="MG123" i="83"/>
  <c r="MF123" i="83"/>
  <c r="ME123" i="83"/>
  <c r="MD123" i="83"/>
  <c r="LQ123" i="83"/>
  <c r="LP123" i="83"/>
  <c r="LO123" i="83"/>
  <c r="LN123" i="83"/>
  <c r="LM123" i="83"/>
  <c r="KZ123" i="83"/>
  <c r="KY123" i="83"/>
  <c r="KX123" i="83"/>
  <c r="KW123" i="83"/>
  <c r="KV123" i="83"/>
  <c r="KI123" i="83"/>
  <c r="KH123" i="83"/>
  <c r="KG123" i="83"/>
  <c r="KF123" i="83"/>
  <c r="KE123" i="83"/>
  <c r="JR123" i="83"/>
  <c r="JQ123" i="83"/>
  <c r="JP123" i="83"/>
  <c r="JO123" i="83"/>
  <c r="JN123" i="83"/>
  <c r="JA123" i="83"/>
  <c r="IZ123" i="83"/>
  <c r="IY123" i="83"/>
  <c r="IX123" i="83"/>
  <c r="IW123" i="83"/>
  <c r="IJ123" i="83"/>
  <c r="II123" i="83"/>
  <c r="IH123" i="83"/>
  <c r="IG123" i="83"/>
  <c r="IF123" i="83"/>
  <c r="HS123" i="83"/>
  <c r="HR123" i="83"/>
  <c r="HQ123" i="83"/>
  <c r="HP123" i="83"/>
  <c r="HO123" i="83"/>
  <c r="HB123" i="83"/>
  <c r="HA123" i="83"/>
  <c r="GZ123" i="83"/>
  <c r="GY123" i="83"/>
  <c r="GX123" i="83"/>
  <c r="GK123" i="83"/>
  <c r="GJ123" i="83"/>
  <c r="GI123" i="83"/>
  <c r="GH123" i="83"/>
  <c r="GG123" i="83"/>
  <c r="FT123" i="83"/>
  <c r="FS123" i="83"/>
  <c r="FR123" i="83"/>
  <c r="FQ123" i="83"/>
  <c r="FP123" i="83"/>
  <c r="FC123" i="83"/>
  <c r="FB123" i="83"/>
  <c r="FA123" i="83"/>
  <c r="EZ123" i="83"/>
  <c r="EY123" i="83"/>
  <c r="EL123" i="83"/>
  <c r="EK123" i="83"/>
  <c r="EJ123" i="83"/>
  <c r="EI123" i="83"/>
  <c r="EH123" i="83"/>
  <c r="DU123" i="83"/>
  <c r="DT123" i="83"/>
  <c r="DS123" i="83"/>
  <c r="DR123" i="83"/>
  <c r="DQ123" i="83"/>
  <c r="DD123" i="83"/>
  <c r="DC123" i="83"/>
  <c r="DB123" i="83"/>
  <c r="DA123" i="83"/>
  <c r="CZ123" i="83"/>
  <c r="CM123" i="83"/>
  <c r="CL123" i="83"/>
  <c r="CK123" i="83"/>
  <c r="CJ123" i="83"/>
  <c r="CI123" i="83"/>
  <c r="BV123" i="83"/>
  <c r="BU123" i="83"/>
  <c r="BT123" i="83"/>
  <c r="BS123" i="83"/>
  <c r="BR123" i="83"/>
  <c r="BE123" i="83"/>
  <c r="BD123" i="83"/>
  <c r="BC123" i="83"/>
  <c r="BB123" i="83"/>
  <c r="BA123" i="83"/>
  <c r="AN123" i="83"/>
  <c r="AM123" i="83"/>
  <c r="AL123" i="83"/>
  <c r="AK123" i="83"/>
  <c r="AJ123" i="83"/>
  <c r="W123" i="83"/>
  <c r="V123" i="83"/>
  <c r="U123" i="83"/>
  <c r="T123" i="83"/>
  <c r="S123" i="83"/>
  <c r="TM122" i="83"/>
  <c r="TL122" i="83"/>
  <c r="TK122" i="83"/>
  <c r="TJ122" i="83"/>
  <c r="TI122" i="83"/>
  <c r="SV122" i="83"/>
  <c r="SU122" i="83"/>
  <c r="ST122" i="83"/>
  <c r="SS122" i="83"/>
  <c r="SR122" i="83"/>
  <c r="SE122" i="83"/>
  <c r="SD122" i="83"/>
  <c r="SC122" i="83"/>
  <c r="SB122" i="83"/>
  <c r="SA122" i="83"/>
  <c r="RN122" i="83"/>
  <c r="RM122" i="83"/>
  <c r="RL122" i="83"/>
  <c r="RK122" i="83"/>
  <c r="RJ122" i="83"/>
  <c r="QW122" i="83"/>
  <c r="QV122" i="83"/>
  <c r="QU122" i="83"/>
  <c r="QT122" i="83"/>
  <c r="QS122" i="83"/>
  <c r="QF122" i="83"/>
  <c r="QE122" i="83"/>
  <c r="QD122" i="83"/>
  <c r="QC122" i="83"/>
  <c r="QB122" i="83"/>
  <c r="PO122" i="83"/>
  <c r="PN122" i="83"/>
  <c r="PM122" i="83"/>
  <c r="PL122" i="83"/>
  <c r="PK122" i="83"/>
  <c r="OX122" i="83"/>
  <c r="OW122" i="83"/>
  <c r="OV122" i="83"/>
  <c r="OU122" i="83"/>
  <c r="OT122" i="83"/>
  <c r="OG122" i="83"/>
  <c r="OF122" i="83"/>
  <c r="OE122" i="83"/>
  <c r="OD122" i="83"/>
  <c r="OC122" i="83"/>
  <c r="NP122" i="83"/>
  <c r="NO122" i="83"/>
  <c r="NN122" i="83"/>
  <c r="NM122" i="83"/>
  <c r="NL122" i="83"/>
  <c r="MY122" i="83"/>
  <c r="MX122" i="83"/>
  <c r="MW122" i="83"/>
  <c r="MV122" i="83"/>
  <c r="MU122" i="83"/>
  <c r="MH122" i="83"/>
  <c r="MG122" i="83"/>
  <c r="MF122" i="83"/>
  <c r="ME122" i="83"/>
  <c r="MD122" i="83"/>
  <c r="LQ122" i="83"/>
  <c r="LP122" i="83"/>
  <c r="LO122" i="83"/>
  <c r="LN122" i="83"/>
  <c r="LM122" i="83"/>
  <c r="KZ122" i="83"/>
  <c r="KY122" i="83"/>
  <c r="KX122" i="83"/>
  <c r="KW122" i="83"/>
  <c r="KV122" i="83"/>
  <c r="KI122" i="83"/>
  <c r="KH122" i="83"/>
  <c r="KG122" i="83"/>
  <c r="KF122" i="83"/>
  <c r="KE122" i="83"/>
  <c r="JR122" i="83"/>
  <c r="JQ122" i="83"/>
  <c r="JP122" i="83"/>
  <c r="JO122" i="83"/>
  <c r="JN122" i="83"/>
  <c r="JA122" i="83"/>
  <c r="IZ122" i="83"/>
  <c r="IY122" i="83"/>
  <c r="IX122" i="83"/>
  <c r="IW122" i="83"/>
  <c r="IJ122" i="83"/>
  <c r="II122" i="83"/>
  <c r="IH122" i="83"/>
  <c r="IG122" i="83"/>
  <c r="IF122" i="83"/>
  <c r="HS122" i="83"/>
  <c r="HR122" i="83"/>
  <c r="HQ122" i="83"/>
  <c r="HP122" i="83"/>
  <c r="HO122" i="83"/>
  <c r="HB122" i="83"/>
  <c r="HA122" i="83"/>
  <c r="GZ122" i="83"/>
  <c r="GY122" i="83"/>
  <c r="GX122" i="83"/>
  <c r="GK122" i="83"/>
  <c r="GJ122" i="83"/>
  <c r="GI122" i="83"/>
  <c r="GH122" i="83"/>
  <c r="GG122" i="83"/>
  <c r="FT122" i="83"/>
  <c r="FS122" i="83"/>
  <c r="FR122" i="83"/>
  <c r="FQ122" i="83"/>
  <c r="FP122" i="83"/>
  <c r="FC122" i="83"/>
  <c r="FB122" i="83"/>
  <c r="FA122" i="83"/>
  <c r="EZ122" i="83"/>
  <c r="EY122" i="83"/>
  <c r="EL122" i="83"/>
  <c r="EK122" i="83"/>
  <c r="EJ122" i="83"/>
  <c r="EI122" i="83"/>
  <c r="EH122" i="83"/>
  <c r="DU122" i="83"/>
  <c r="DT122" i="83"/>
  <c r="DS122" i="83"/>
  <c r="DR122" i="83"/>
  <c r="DQ122" i="83"/>
  <c r="DD122" i="83"/>
  <c r="DC122" i="83"/>
  <c r="DB122" i="83"/>
  <c r="DA122" i="83"/>
  <c r="CZ122" i="83"/>
  <c r="CM122" i="83"/>
  <c r="CL122" i="83"/>
  <c r="CK122" i="83"/>
  <c r="CJ122" i="83"/>
  <c r="CI122" i="83"/>
  <c r="BV122" i="83"/>
  <c r="BU122" i="83"/>
  <c r="BT122" i="83"/>
  <c r="BS122" i="83"/>
  <c r="BR122" i="83"/>
  <c r="BE122" i="83"/>
  <c r="BD122" i="83"/>
  <c r="BC122" i="83"/>
  <c r="BB122" i="83"/>
  <c r="BA122" i="83"/>
  <c r="AN122" i="83"/>
  <c r="AM122" i="83"/>
  <c r="AL122" i="83"/>
  <c r="AK122" i="83"/>
  <c r="AJ122" i="83"/>
  <c r="W122" i="83"/>
  <c r="V122" i="83"/>
  <c r="U122" i="83"/>
  <c r="T122" i="83"/>
  <c r="S122" i="83"/>
  <c r="TP121" i="83"/>
  <c r="TO121" i="83"/>
  <c r="SY121" i="83"/>
  <c r="SX121" i="83"/>
  <c r="SH121" i="83"/>
  <c r="SG121" i="83"/>
  <c r="RQ121" i="83"/>
  <c r="RP121" i="83"/>
  <c r="QZ121" i="83"/>
  <c r="QY121" i="83"/>
  <c r="QI121" i="83"/>
  <c r="QH121" i="83"/>
  <c r="PR121" i="83"/>
  <c r="PQ121" i="83"/>
  <c r="PA121" i="83"/>
  <c r="OZ121" i="83"/>
  <c r="OJ121" i="83"/>
  <c r="OI121" i="83"/>
  <c r="NS121" i="83"/>
  <c r="NR121" i="83"/>
  <c r="NB121" i="83"/>
  <c r="NA121" i="83"/>
  <c r="MK121" i="83"/>
  <c r="MJ121" i="83"/>
  <c r="LT121" i="83"/>
  <c r="LS121" i="83"/>
  <c r="LC121" i="83"/>
  <c r="LB121" i="83"/>
  <c r="KL121" i="83"/>
  <c r="KK121" i="83"/>
  <c r="JU121" i="83"/>
  <c r="JT121" i="83"/>
  <c r="JD121" i="83"/>
  <c r="JC121" i="83"/>
  <c r="IM121" i="83"/>
  <c r="IL121" i="83"/>
  <c r="HV121" i="83"/>
  <c r="HU121" i="83"/>
  <c r="HE121" i="83"/>
  <c r="HD121" i="83"/>
  <c r="GN121" i="83"/>
  <c r="GM121" i="83"/>
  <c r="FW121" i="83"/>
  <c r="FV121" i="83"/>
  <c r="FF121" i="83"/>
  <c r="FE121" i="83"/>
  <c r="EO121" i="83"/>
  <c r="EN121" i="83"/>
  <c r="DX121" i="83"/>
  <c r="DW121" i="83"/>
  <c r="DG121" i="83"/>
  <c r="DF121" i="83"/>
  <c r="CP121" i="83"/>
  <c r="CO121" i="83"/>
  <c r="BY121" i="83"/>
  <c r="BX121" i="83"/>
  <c r="BH121" i="83"/>
  <c r="BG121" i="83"/>
  <c r="AQ121" i="83"/>
  <c r="AP121" i="83"/>
  <c r="Z121" i="83"/>
  <c r="Y121" i="83"/>
  <c r="TP120" i="83"/>
  <c r="TO120" i="83"/>
  <c r="SY120" i="83"/>
  <c r="SX120" i="83"/>
  <c r="SH120" i="83"/>
  <c r="SG120" i="83"/>
  <c r="RQ120" i="83"/>
  <c r="RP120" i="83"/>
  <c r="QZ120" i="83"/>
  <c r="QY120" i="83"/>
  <c r="QI120" i="83"/>
  <c r="QH120" i="83"/>
  <c r="PR120" i="83"/>
  <c r="PQ120" i="83"/>
  <c r="PA120" i="83"/>
  <c r="OZ120" i="83"/>
  <c r="OJ120" i="83"/>
  <c r="OI120" i="83"/>
  <c r="NS120" i="83"/>
  <c r="NR120" i="83"/>
  <c r="NB120" i="83"/>
  <c r="NA120" i="83"/>
  <c r="MK120" i="83"/>
  <c r="MJ120" i="83"/>
  <c r="LT120" i="83"/>
  <c r="LS120" i="83"/>
  <c r="LC120" i="83"/>
  <c r="LB120" i="83"/>
  <c r="KL120" i="83"/>
  <c r="KK120" i="83"/>
  <c r="JU120" i="83"/>
  <c r="JT120" i="83"/>
  <c r="JD120" i="83"/>
  <c r="JC120" i="83"/>
  <c r="IM120" i="83"/>
  <c r="IL120" i="83"/>
  <c r="HV120" i="83"/>
  <c r="HU120" i="83"/>
  <c r="HE120" i="83"/>
  <c r="HD120" i="83"/>
  <c r="GN120" i="83"/>
  <c r="GM120" i="83"/>
  <c r="FW120" i="83"/>
  <c r="FV120" i="83"/>
  <c r="FF120" i="83"/>
  <c r="FE120" i="83"/>
  <c r="EO120" i="83"/>
  <c r="EN120" i="83"/>
  <c r="DX120" i="83"/>
  <c r="DW120" i="83"/>
  <c r="DG120" i="83"/>
  <c r="DF120" i="83"/>
  <c r="CP120" i="83"/>
  <c r="CO120" i="83"/>
  <c r="BY120" i="83"/>
  <c r="BX120" i="83"/>
  <c r="BH120" i="83"/>
  <c r="BG120" i="83"/>
  <c r="AQ120" i="83"/>
  <c r="AP120" i="83"/>
  <c r="Z120" i="83"/>
  <c r="Y120" i="83"/>
  <c r="TP119" i="83"/>
  <c r="TO119" i="83"/>
  <c r="SY119" i="83"/>
  <c r="SX119" i="83"/>
  <c r="SH119" i="83"/>
  <c r="SG119" i="83"/>
  <c r="RQ119" i="83"/>
  <c r="RP119" i="83"/>
  <c r="QZ119" i="83"/>
  <c r="QY119" i="83"/>
  <c r="QI119" i="83"/>
  <c r="QH119" i="83"/>
  <c r="PR119" i="83"/>
  <c r="PQ119" i="83"/>
  <c r="PA119" i="83"/>
  <c r="OZ119" i="83"/>
  <c r="OJ119" i="83"/>
  <c r="OI119" i="83"/>
  <c r="NS119" i="83"/>
  <c r="NR119" i="83"/>
  <c r="NB119" i="83"/>
  <c r="NA119" i="83"/>
  <c r="MK119" i="83"/>
  <c r="MJ119" i="83"/>
  <c r="LT119" i="83"/>
  <c r="LS119" i="83"/>
  <c r="LC119" i="83"/>
  <c r="LB119" i="83"/>
  <c r="KL119" i="83"/>
  <c r="KK119" i="83"/>
  <c r="JU119" i="83"/>
  <c r="JT119" i="83"/>
  <c r="JD119" i="83"/>
  <c r="JC119" i="83"/>
  <c r="IM119" i="83"/>
  <c r="IL119" i="83"/>
  <c r="HV119" i="83"/>
  <c r="HU119" i="83"/>
  <c r="HE119" i="83"/>
  <c r="HD119" i="83"/>
  <c r="GN119" i="83"/>
  <c r="GM119" i="83"/>
  <c r="FW119" i="83"/>
  <c r="FV119" i="83"/>
  <c r="FF119" i="83"/>
  <c r="FE119" i="83"/>
  <c r="EO119" i="83"/>
  <c r="EN119" i="83"/>
  <c r="DX119" i="83"/>
  <c r="DW119" i="83"/>
  <c r="DG119" i="83"/>
  <c r="DF119" i="83"/>
  <c r="CP119" i="83"/>
  <c r="CO119" i="83"/>
  <c r="BY119" i="83"/>
  <c r="BX119" i="83"/>
  <c r="BH119" i="83"/>
  <c r="BG119" i="83"/>
  <c r="AQ119" i="83"/>
  <c r="AP119" i="83"/>
  <c r="Z119" i="83"/>
  <c r="Y119" i="83"/>
  <c r="TP118" i="83"/>
  <c r="TO118" i="83"/>
  <c r="SY118" i="83"/>
  <c r="SX118" i="83"/>
  <c r="SH118" i="83"/>
  <c r="SG118" i="83"/>
  <c r="RQ118" i="83"/>
  <c r="RP118" i="83"/>
  <c r="QZ118" i="83"/>
  <c r="QY118" i="83"/>
  <c r="QI118" i="83"/>
  <c r="QH118" i="83"/>
  <c r="PR118" i="83"/>
  <c r="PQ118" i="83"/>
  <c r="PA118" i="83"/>
  <c r="OZ118" i="83"/>
  <c r="OJ118" i="83"/>
  <c r="OI118" i="83"/>
  <c r="NS118" i="83"/>
  <c r="NR118" i="83"/>
  <c r="NB118" i="83"/>
  <c r="NA118" i="83"/>
  <c r="MK118" i="83"/>
  <c r="MJ118" i="83"/>
  <c r="LT118" i="83"/>
  <c r="LS118" i="83"/>
  <c r="LC118" i="83"/>
  <c r="LB118" i="83"/>
  <c r="KL118" i="83"/>
  <c r="KK118" i="83"/>
  <c r="JU118" i="83"/>
  <c r="JT118" i="83"/>
  <c r="JD118" i="83"/>
  <c r="JC118" i="83"/>
  <c r="IM118" i="83"/>
  <c r="IL118" i="83"/>
  <c r="HV118" i="83"/>
  <c r="HU118" i="83"/>
  <c r="HE118" i="83"/>
  <c r="HD118" i="83"/>
  <c r="GN118" i="83"/>
  <c r="GM118" i="83"/>
  <c r="FW118" i="83"/>
  <c r="FV118" i="83"/>
  <c r="FF118" i="83"/>
  <c r="FE118" i="83"/>
  <c r="EO118" i="83"/>
  <c r="EN118" i="83"/>
  <c r="DX118" i="83"/>
  <c r="DW118" i="83"/>
  <c r="DG118" i="83"/>
  <c r="DF118" i="83"/>
  <c r="CP118" i="83"/>
  <c r="CO118" i="83"/>
  <c r="BY118" i="83"/>
  <c r="BX118" i="83"/>
  <c r="BH118" i="83"/>
  <c r="BG118" i="83"/>
  <c r="AQ118" i="83"/>
  <c r="AP118" i="83"/>
  <c r="Z118" i="83"/>
  <c r="Y118" i="83"/>
  <c r="TP117" i="83"/>
  <c r="TO117" i="83"/>
  <c r="SY117" i="83"/>
  <c r="SX117" i="83"/>
  <c r="SH117" i="83"/>
  <c r="SG117" i="83"/>
  <c r="RQ117" i="83"/>
  <c r="RP117" i="83"/>
  <c r="QZ117" i="83"/>
  <c r="QZ123" i="83" s="1"/>
  <c r="QY117" i="83"/>
  <c r="QI117" i="83"/>
  <c r="QI122" i="83" s="1"/>
  <c r="QH117" i="83"/>
  <c r="PR117" i="83"/>
  <c r="PR122" i="83" s="1"/>
  <c r="PQ117" i="83"/>
  <c r="PA117" i="83"/>
  <c r="PA123" i="83" s="1"/>
  <c r="OZ117" i="83"/>
  <c r="OJ117" i="83"/>
  <c r="OI117" i="83"/>
  <c r="NS117" i="83"/>
  <c r="NS122" i="83" s="1"/>
  <c r="NR117" i="83"/>
  <c r="NB117" i="83"/>
  <c r="NA117" i="83"/>
  <c r="MK117" i="83"/>
  <c r="MK123" i="83" s="1"/>
  <c r="MJ117" i="83"/>
  <c r="LT117" i="83"/>
  <c r="LT123" i="83" s="1"/>
  <c r="LS117" i="83"/>
  <c r="LC117" i="83"/>
  <c r="LC122" i="83" s="1"/>
  <c r="LB117" i="83"/>
  <c r="KL117" i="83"/>
  <c r="KL122" i="83" s="1"/>
  <c r="KK117" i="83"/>
  <c r="JU117" i="83"/>
  <c r="JU123" i="83" s="1"/>
  <c r="JT117" i="83"/>
  <c r="JD117" i="83"/>
  <c r="JD123" i="83" s="1"/>
  <c r="JC117" i="83"/>
  <c r="IM117" i="83"/>
  <c r="IM122" i="83" s="1"/>
  <c r="IL117" i="83"/>
  <c r="HV117" i="83"/>
  <c r="HV122" i="83" s="1"/>
  <c r="HU117" i="83"/>
  <c r="HE117" i="83"/>
  <c r="HE123" i="83" s="1"/>
  <c r="HD117" i="83"/>
  <c r="GN117" i="83"/>
  <c r="GN123" i="83" s="1"/>
  <c r="GM117" i="83"/>
  <c r="FW117" i="83"/>
  <c r="FW122" i="83" s="1"/>
  <c r="FV117" i="83"/>
  <c r="FF117" i="83"/>
  <c r="FF122" i="83" s="1"/>
  <c r="FE117" i="83"/>
  <c r="EO117" i="83"/>
  <c r="EN117" i="83"/>
  <c r="DX117" i="83"/>
  <c r="DX123" i="83" s="1"/>
  <c r="DW117" i="83"/>
  <c r="DG117" i="83"/>
  <c r="DG122" i="83" s="1"/>
  <c r="DF117" i="83"/>
  <c r="CP117" i="83"/>
  <c r="CO117" i="83"/>
  <c r="BY117" i="83"/>
  <c r="BX117" i="83"/>
  <c r="BH117" i="83"/>
  <c r="BG117" i="83"/>
  <c r="AQ117" i="83"/>
  <c r="AQ122" i="83" s="1"/>
  <c r="AP117" i="83"/>
  <c r="Z117" i="83"/>
  <c r="Z122" i="83" s="1"/>
  <c r="Y117" i="83"/>
  <c r="TM114" i="83"/>
  <c r="TL114" i="83"/>
  <c r="TK114" i="83"/>
  <c r="TJ114" i="83"/>
  <c r="TI114" i="83"/>
  <c r="SV114" i="83"/>
  <c r="SU114" i="83"/>
  <c r="ST114" i="83"/>
  <c r="SS114" i="83"/>
  <c r="SR114" i="83"/>
  <c r="SE114" i="83"/>
  <c r="SD114" i="83"/>
  <c r="SC114" i="83"/>
  <c r="SB114" i="83"/>
  <c r="SA114" i="83"/>
  <c r="RN114" i="83"/>
  <c r="RM114" i="83"/>
  <c r="RL114" i="83"/>
  <c r="RK114" i="83"/>
  <c r="RJ114" i="83"/>
  <c r="QW114" i="83"/>
  <c r="QV114" i="83"/>
  <c r="QU114" i="83"/>
  <c r="QT114" i="83"/>
  <c r="QS114" i="83"/>
  <c r="QF114" i="83"/>
  <c r="QE114" i="83"/>
  <c r="QD114" i="83"/>
  <c r="QC114" i="83"/>
  <c r="QB114" i="83"/>
  <c r="PO114" i="83"/>
  <c r="PN114" i="83"/>
  <c r="PM114" i="83"/>
  <c r="PL114" i="83"/>
  <c r="PK114" i="83"/>
  <c r="OX114" i="83"/>
  <c r="OW114" i="83"/>
  <c r="OV114" i="83"/>
  <c r="OU114" i="83"/>
  <c r="OT114" i="83"/>
  <c r="OG114" i="83"/>
  <c r="OF114" i="83"/>
  <c r="OE114" i="83"/>
  <c r="OD114" i="83"/>
  <c r="OC114" i="83"/>
  <c r="NP114" i="83"/>
  <c r="NO114" i="83"/>
  <c r="NN114" i="83"/>
  <c r="NM114" i="83"/>
  <c r="NL114" i="83"/>
  <c r="MY114" i="83"/>
  <c r="MX114" i="83"/>
  <c r="MW114" i="83"/>
  <c r="MV114" i="83"/>
  <c r="MU114" i="83"/>
  <c r="MH114" i="83"/>
  <c r="MG114" i="83"/>
  <c r="MF114" i="83"/>
  <c r="ME114" i="83"/>
  <c r="MD114" i="83"/>
  <c r="LQ114" i="83"/>
  <c r="LP114" i="83"/>
  <c r="LO114" i="83"/>
  <c r="LN114" i="83"/>
  <c r="LM114" i="83"/>
  <c r="KZ114" i="83"/>
  <c r="KY114" i="83"/>
  <c r="KX114" i="83"/>
  <c r="KW114" i="83"/>
  <c r="KV114" i="83"/>
  <c r="KI114" i="83"/>
  <c r="KH114" i="83"/>
  <c r="KG114" i="83"/>
  <c r="KF114" i="83"/>
  <c r="KE114" i="83"/>
  <c r="JR114" i="83"/>
  <c r="JQ114" i="83"/>
  <c r="JP114" i="83"/>
  <c r="JO114" i="83"/>
  <c r="JN114" i="83"/>
  <c r="JA114" i="83"/>
  <c r="IZ114" i="83"/>
  <c r="IY114" i="83"/>
  <c r="IX114" i="83"/>
  <c r="IW114" i="83"/>
  <c r="IJ114" i="83"/>
  <c r="II114" i="83"/>
  <c r="IH114" i="83"/>
  <c r="IG114" i="83"/>
  <c r="IF114" i="83"/>
  <c r="HS114" i="83"/>
  <c r="HR114" i="83"/>
  <c r="HQ114" i="83"/>
  <c r="HP114" i="83"/>
  <c r="HO114" i="83"/>
  <c r="HB114" i="83"/>
  <c r="HA114" i="83"/>
  <c r="GZ114" i="83"/>
  <c r="GY114" i="83"/>
  <c r="GX114" i="83"/>
  <c r="GK114" i="83"/>
  <c r="GJ114" i="83"/>
  <c r="GI114" i="83"/>
  <c r="GH114" i="83"/>
  <c r="GG114" i="83"/>
  <c r="FT114" i="83"/>
  <c r="FS114" i="83"/>
  <c r="FR114" i="83"/>
  <c r="FQ114" i="83"/>
  <c r="FP114" i="83"/>
  <c r="FC114" i="83"/>
  <c r="FB114" i="83"/>
  <c r="FA114" i="83"/>
  <c r="EZ114" i="83"/>
  <c r="EY114" i="83"/>
  <c r="EL114" i="83"/>
  <c r="EK114" i="83"/>
  <c r="EJ114" i="83"/>
  <c r="EI114" i="83"/>
  <c r="EH114" i="83"/>
  <c r="DU114" i="83"/>
  <c r="DT114" i="83"/>
  <c r="DS114" i="83"/>
  <c r="DR114" i="83"/>
  <c r="DQ114" i="83"/>
  <c r="DD114" i="83"/>
  <c r="DC114" i="83"/>
  <c r="DB114" i="83"/>
  <c r="DA114" i="83"/>
  <c r="CZ114" i="83"/>
  <c r="CM114" i="83"/>
  <c r="CL114" i="83"/>
  <c r="CK114" i="83"/>
  <c r="CJ114" i="83"/>
  <c r="CI114" i="83"/>
  <c r="BV114" i="83"/>
  <c r="BU114" i="83"/>
  <c r="BT114" i="83"/>
  <c r="BS114" i="83"/>
  <c r="BR114" i="83"/>
  <c r="BE114" i="83"/>
  <c r="BD114" i="83"/>
  <c r="BC114" i="83"/>
  <c r="BB114" i="83"/>
  <c r="BA114" i="83"/>
  <c r="AN114" i="83"/>
  <c r="AM114" i="83"/>
  <c r="AL114" i="83"/>
  <c r="AK114" i="83"/>
  <c r="AJ114" i="83"/>
  <c r="W114" i="83"/>
  <c r="V114" i="83"/>
  <c r="U114" i="83"/>
  <c r="T114" i="83"/>
  <c r="S114" i="83"/>
  <c r="TM113" i="83"/>
  <c r="TL113" i="83"/>
  <c r="TK113" i="83"/>
  <c r="TJ113" i="83"/>
  <c r="TI113" i="83"/>
  <c r="SV113" i="83"/>
  <c r="SU113" i="83"/>
  <c r="ST113" i="83"/>
  <c r="SS113" i="83"/>
  <c r="SR113" i="83"/>
  <c r="SE113" i="83"/>
  <c r="SD113" i="83"/>
  <c r="SC113" i="83"/>
  <c r="SB113" i="83"/>
  <c r="SA113" i="83"/>
  <c r="RN113" i="83"/>
  <c r="RM113" i="83"/>
  <c r="RL113" i="83"/>
  <c r="RK113" i="83"/>
  <c r="RJ113" i="83"/>
  <c r="QW113" i="83"/>
  <c r="QV113" i="83"/>
  <c r="QU113" i="83"/>
  <c r="QT113" i="83"/>
  <c r="QS113" i="83"/>
  <c r="QF113" i="83"/>
  <c r="QE113" i="83"/>
  <c r="QD113" i="83"/>
  <c r="QC113" i="83"/>
  <c r="QB113" i="83"/>
  <c r="PO113" i="83"/>
  <c r="PN113" i="83"/>
  <c r="PM113" i="83"/>
  <c r="PL113" i="83"/>
  <c r="PK113" i="83"/>
  <c r="OX113" i="83"/>
  <c r="OW113" i="83"/>
  <c r="OV113" i="83"/>
  <c r="OU113" i="83"/>
  <c r="OT113" i="83"/>
  <c r="OG113" i="83"/>
  <c r="OF113" i="83"/>
  <c r="OE113" i="83"/>
  <c r="OD113" i="83"/>
  <c r="OC113" i="83"/>
  <c r="NP113" i="83"/>
  <c r="NO113" i="83"/>
  <c r="NN113" i="83"/>
  <c r="NM113" i="83"/>
  <c r="NL113" i="83"/>
  <c r="MY113" i="83"/>
  <c r="MX113" i="83"/>
  <c r="MW113" i="83"/>
  <c r="MV113" i="83"/>
  <c r="MU113" i="83"/>
  <c r="MH113" i="83"/>
  <c r="MG113" i="83"/>
  <c r="MF113" i="83"/>
  <c r="ME113" i="83"/>
  <c r="MD113" i="83"/>
  <c r="LQ113" i="83"/>
  <c r="LP113" i="83"/>
  <c r="LO113" i="83"/>
  <c r="LN113" i="83"/>
  <c r="LM113" i="83"/>
  <c r="KZ113" i="83"/>
  <c r="KY113" i="83"/>
  <c r="KX113" i="83"/>
  <c r="KW113" i="83"/>
  <c r="KV113" i="83"/>
  <c r="KI113" i="83"/>
  <c r="KH113" i="83"/>
  <c r="KG113" i="83"/>
  <c r="KF113" i="83"/>
  <c r="KE113" i="83"/>
  <c r="JR113" i="83"/>
  <c r="JQ113" i="83"/>
  <c r="JP113" i="83"/>
  <c r="JO113" i="83"/>
  <c r="JN113" i="83"/>
  <c r="JA113" i="83"/>
  <c r="IZ113" i="83"/>
  <c r="IY113" i="83"/>
  <c r="IX113" i="83"/>
  <c r="IW113" i="83"/>
  <c r="IJ113" i="83"/>
  <c r="II113" i="83"/>
  <c r="IH113" i="83"/>
  <c r="IG113" i="83"/>
  <c r="IF113" i="83"/>
  <c r="HS113" i="83"/>
  <c r="HR113" i="83"/>
  <c r="HQ113" i="83"/>
  <c r="HP113" i="83"/>
  <c r="HO113" i="83"/>
  <c r="HB113" i="83"/>
  <c r="HA113" i="83"/>
  <c r="GZ113" i="83"/>
  <c r="GY113" i="83"/>
  <c r="GX113" i="83"/>
  <c r="GK113" i="83"/>
  <c r="GJ113" i="83"/>
  <c r="GI113" i="83"/>
  <c r="GH113" i="83"/>
  <c r="GG113" i="83"/>
  <c r="FT113" i="83"/>
  <c r="FS113" i="83"/>
  <c r="FR113" i="83"/>
  <c r="FQ113" i="83"/>
  <c r="FP113" i="83"/>
  <c r="FC113" i="83"/>
  <c r="FB113" i="83"/>
  <c r="FA113" i="83"/>
  <c r="EZ113" i="83"/>
  <c r="EY113" i="83"/>
  <c r="EL113" i="83"/>
  <c r="EK113" i="83"/>
  <c r="EJ113" i="83"/>
  <c r="EI113" i="83"/>
  <c r="EH113" i="83"/>
  <c r="DU113" i="83"/>
  <c r="DT113" i="83"/>
  <c r="DS113" i="83"/>
  <c r="DR113" i="83"/>
  <c r="DQ113" i="83"/>
  <c r="DD113" i="83"/>
  <c r="DC113" i="83"/>
  <c r="DB113" i="83"/>
  <c r="DA113" i="83"/>
  <c r="CZ113" i="83"/>
  <c r="CM113" i="83"/>
  <c r="CL113" i="83"/>
  <c r="CK113" i="83"/>
  <c r="CJ113" i="83"/>
  <c r="CI113" i="83"/>
  <c r="BV113" i="83"/>
  <c r="BU113" i="83"/>
  <c r="BT113" i="83"/>
  <c r="BS113" i="83"/>
  <c r="BR113" i="83"/>
  <c r="BE113" i="83"/>
  <c r="BD113" i="83"/>
  <c r="BC113" i="83"/>
  <c r="BB113" i="83"/>
  <c r="BA113" i="83"/>
  <c r="AN113" i="83"/>
  <c r="AM113" i="83"/>
  <c r="AL113" i="83"/>
  <c r="AK113" i="83"/>
  <c r="AJ113" i="83"/>
  <c r="W113" i="83"/>
  <c r="V113" i="83"/>
  <c r="U113" i="83"/>
  <c r="T113" i="83"/>
  <c r="S113" i="83"/>
  <c r="TP112" i="83"/>
  <c r="TO112" i="83"/>
  <c r="SY112" i="83"/>
  <c r="SX112" i="83"/>
  <c r="SH112" i="83"/>
  <c r="SG112" i="83"/>
  <c r="RQ112" i="83"/>
  <c r="RP112" i="83"/>
  <c r="QZ112" i="83"/>
  <c r="QY112" i="83"/>
  <c r="QI112" i="83"/>
  <c r="QH112" i="83"/>
  <c r="PR112" i="83"/>
  <c r="PQ112" i="83"/>
  <c r="PA112" i="83"/>
  <c r="OZ112" i="83"/>
  <c r="OJ112" i="83"/>
  <c r="OI112" i="83"/>
  <c r="NS112" i="83"/>
  <c r="NR112" i="83"/>
  <c r="NB112" i="83"/>
  <c r="NA112" i="83"/>
  <c r="MK112" i="83"/>
  <c r="MJ112" i="83"/>
  <c r="LT112" i="83"/>
  <c r="LS112" i="83"/>
  <c r="LC112" i="83"/>
  <c r="LB112" i="83"/>
  <c r="KL112" i="83"/>
  <c r="KK112" i="83"/>
  <c r="JU112" i="83"/>
  <c r="JT112" i="83"/>
  <c r="JD112" i="83"/>
  <c r="JC112" i="83"/>
  <c r="IM112" i="83"/>
  <c r="IL112" i="83"/>
  <c r="HV112" i="83"/>
  <c r="HU112" i="83"/>
  <c r="HE112" i="83"/>
  <c r="HD112" i="83"/>
  <c r="GN112" i="83"/>
  <c r="GM112" i="83"/>
  <c r="FW112" i="83"/>
  <c r="FV112" i="83"/>
  <c r="FF112" i="83"/>
  <c r="FE112" i="83"/>
  <c r="EO112" i="83"/>
  <c r="EN112" i="83"/>
  <c r="DX112" i="83"/>
  <c r="DW112" i="83"/>
  <c r="DG112" i="83"/>
  <c r="DF112" i="83"/>
  <c r="CP112" i="83"/>
  <c r="CO112" i="83"/>
  <c r="BY112" i="83"/>
  <c r="BX112" i="83"/>
  <c r="BH112" i="83"/>
  <c r="BG112" i="83"/>
  <c r="AQ112" i="83"/>
  <c r="AP112" i="83"/>
  <c r="Z112" i="83"/>
  <c r="Y112" i="83"/>
  <c r="TP111" i="83"/>
  <c r="TO111" i="83"/>
  <c r="SY111" i="83"/>
  <c r="SX111" i="83"/>
  <c r="SH111" i="83"/>
  <c r="SG111" i="83"/>
  <c r="RQ111" i="83"/>
  <c r="RP111" i="83"/>
  <c r="QZ111" i="83"/>
  <c r="QY111" i="83"/>
  <c r="QI111" i="83"/>
  <c r="QH111" i="83"/>
  <c r="PR111" i="83"/>
  <c r="PQ111" i="83"/>
  <c r="PA111" i="83"/>
  <c r="OZ111" i="83"/>
  <c r="OJ111" i="83"/>
  <c r="OI111" i="83"/>
  <c r="NS111" i="83"/>
  <c r="NR111" i="83"/>
  <c r="NB111" i="83"/>
  <c r="NA111" i="83"/>
  <c r="MK111" i="83"/>
  <c r="MJ111" i="83"/>
  <c r="LT111" i="83"/>
  <c r="LS111" i="83"/>
  <c r="LC111" i="83"/>
  <c r="LB111" i="83"/>
  <c r="KL111" i="83"/>
  <c r="KK111" i="83"/>
  <c r="JU111" i="83"/>
  <c r="JT111" i="83"/>
  <c r="JD111" i="83"/>
  <c r="JC111" i="83"/>
  <c r="IM111" i="83"/>
  <c r="IL111" i="83"/>
  <c r="HV111" i="83"/>
  <c r="HU111" i="83"/>
  <c r="HE111" i="83"/>
  <c r="HD111" i="83"/>
  <c r="GN111" i="83"/>
  <c r="GM111" i="83"/>
  <c r="FW111" i="83"/>
  <c r="FV111" i="83"/>
  <c r="FF111" i="83"/>
  <c r="FE111" i="83"/>
  <c r="EO111" i="83"/>
  <c r="EN111" i="83"/>
  <c r="DX111" i="83"/>
  <c r="DW111" i="83"/>
  <c r="DG111" i="83"/>
  <c r="DF111" i="83"/>
  <c r="CP111" i="83"/>
  <c r="CO111" i="83"/>
  <c r="BY111" i="83"/>
  <c r="BX111" i="83"/>
  <c r="BH111" i="83"/>
  <c r="BG111" i="83"/>
  <c r="AQ111" i="83"/>
  <c r="AP111" i="83"/>
  <c r="Z111" i="83"/>
  <c r="Y111" i="83"/>
  <c r="TP110" i="83"/>
  <c r="TO110" i="83"/>
  <c r="SY110" i="83"/>
  <c r="SX110" i="83"/>
  <c r="SH110" i="83"/>
  <c r="SG110" i="83"/>
  <c r="RQ110" i="83"/>
  <c r="RP110" i="83"/>
  <c r="QZ110" i="83"/>
  <c r="QY110" i="83"/>
  <c r="QI110" i="83"/>
  <c r="QH110" i="83"/>
  <c r="PR110" i="83"/>
  <c r="PQ110" i="83"/>
  <c r="PA110" i="83"/>
  <c r="OZ110" i="83"/>
  <c r="OJ110" i="83"/>
  <c r="OI110" i="83"/>
  <c r="NS110" i="83"/>
  <c r="NR110" i="83"/>
  <c r="NB110" i="83"/>
  <c r="NA110" i="83"/>
  <c r="MK110" i="83"/>
  <c r="MJ110" i="83"/>
  <c r="LT110" i="83"/>
  <c r="LS110" i="83"/>
  <c r="LC110" i="83"/>
  <c r="LB110" i="83"/>
  <c r="KL110" i="83"/>
  <c r="KK110" i="83"/>
  <c r="JU110" i="83"/>
  <c r="JT110" i="83"/>
  <c r="JD110" i="83"/>
  <c r="JC110" i="83"/>
  <c r="IM110" i="83"/>
  <c r="IL110" i="83"/>
  <c r="HV110" i="83"/>
  <c r="HU110" i="83"/>
  <c r="HE110" i="83"/>
  <c r="HD110" i="83"/>
  <c r="GN110" i="83"/>
  <c r="GM110" i="83"/>
  <c r="FW110" i="83"/>
  <c r="FV110" i="83"/>
  <c r="FF110" i="83"/>
  <c r="FE110" i="83"/>
  <c r="EO110" i="83"/>
  <c r="EN110" i="83"/>
  <c r="DX110" i="83"/>
  <c r="DW110" i="83"/>
  <c r="DG110" i="83"/>
  <c r="DF110" i="83"/>
  <c r="CP110" i="83"/>
  <c r="CO110" i="83"/>
  <c r="BY110" i="83"/>
  <c r="BX110" i="83"/>
  <c r="BH110" i="83"/>
  <c r="BG110" i="83"/>
  <c r="AQ110" i="83"/>
  <c r="AP110" i="83"/>
  <c r="Z110" i="83"/>
  <c r="Y110" i="83"/>
  <c r="TP109" i="83"/>
  <c r="TO109" i="83"/>
  <c r="SY109" i="83"/>
  <c r="SX109" i="83"/>
  <c r="SH109" i="83"/>
  <c r="SG109" i="83"/>
  <c r="RQ109" i="83"/>
  <c r="RP109" i="83"/>
  <c r="QZ109" i="83"/>
  <c r="QY109" i="83"/>
  <c r="QI109" i="83"/>
  <c r="QH109" i="83"/>
  <c r="PR109" i="83"/>
  <c r="PQ109" i="83"/>
  <c r="PA109" i="83"/>
  <c r="OZ109" i="83"/>
  <c r="OJ109" i="83"/>
  <c r="OI109" i="83"/>
  <c r="NS109" i="83"/>
  <c r="NR109" i="83"/>
  <c r="NB109" i="83"/>
  <c r="NA109" i="83"/>
  <c r="MK109" i="83"/>
  <c r="MJ109" i="83"/>
  <c r="LT109" i="83"/>
  <c r="LS109" i="83"/>
  <c r="LC109" i="83"/>
  <c r="LB109" i="83"/>
  <c r="KL109" i="83"/>
  <c r="KK109" i="83"/>
  <c r="JU109" i="83"/>
  <c r="JT109" i="83"/>
  <c r="JD109" i="83"/>
  <c r="JC109" i="83"/>
  <c r="IM109" i="83"/>
  <c r="IL109" i="83"/>
  <c r="HV109" i="83"/>
  <c r="HU109" i="83"/>
  <c r="HE109" i="83"/>
  <c r="HD109" i="83"/>
  <c r="GN109" i="83"/>
  <c r="GM109" i="83"/>
  <c r="FW109" i="83"/>
  <c r="FV109" i="83"/>
  <c r="FF109" i="83"/>
  <c r="FE109" i="83"/>
  <c r="EO109" i="83"/>
  <c r="EN109" i="83"/>
  <c r="DX109" i="83"/>
  <c r="DW109" i="83"/>
  <c r="DG109" i="83"/>
  <c r="DF109" i="83"/>
  <c r="CP109" i="83"/>
  <c r="CO109" i="83"/>
  <c r="BY109" i="83"/>
  <c r="BX109" i="83"/>
  <c r="BH109" i="83"/>
  <c r="BG109" i="83"/>
  <c r="AQ109" i="83"/>
  <c r="AP109" i="83"/>
  <c r="Z109" i="83"/>
  <c r="Y109" i="83"/>
  <c r="TP108" i="83"/>
  <c r="TP113" i="83" s="1"/>
  <c r="TO108" i="83"/>
  <c r="SY108" i="83"/>
  <c r="SY114" i="83" s="1"/>
  <c r="SX108" i="83"/>
  <c r="SH108" i="83"/>
  <c r="SH114" i="83" s="1"/>
  <c r="SG108" i="83"/>
  <c r="RQ108" i="83"/>
  <c r="RQ114" i="83" s="1"/>
  <c r="RP108" i="83"/>
  <c r="QZ108" i="83"/>
  <c r="QZ114" i="83" s="1"/>
  <c r="QY108" i="83"/>
  <c r="QI108" i="83"/>
  <c r="QI114" i="83" s="1"/>
  <c r="QH108" i="83"/>
  <c r="PR108" i="83"/>
  <c r="PR113" i="83" s="1"/>
  <c r="PQ108" i="83"/>
  <c r="PA108" i="83"/>
  <c r="PA114" i="83" s="1"/>
  <c r="OZ108" i="83"/>
  <c r="OJ108" i="83"/>
  <c r="OJ113" i="83" s="1"/>
  <c r="OI108" i="83"/>
  <c r="NS108" i="83"/>
  <c r="NS114" i="83" s="1"/>
  <c r="NR108" i="83"/>
  <c r="NB108" i="83"/>
  <c r="NB114" i="83" s="1"/>
  <c r="NA108" i="83"/>
  <c r="MK108" i="83"/>
  <c r="MK114" i="83" s="1"/>
  <c r="MJ108" i="83"/>
  <c r="LT108" i="83"/>
  <c r="LT113" i="83" s="1"/>
  <c r="LS108" i="83"/>
  <c r="LC108" i="83"/>
  <c r="LC114" i="83" s="1"/>
  <c r="LB108" i="83"/>
  <c r="KL108" i="83"/>
  <c r="KL114" i="83" s="1"/>
  <c r="KK108" i="83"/>
  <c r="JU108" i="83"/>
  <c r="JU114" i="83" s="1"/>
  <c r="JT108" i="83"/>
  <c r="JD108" i="83"/>
  <c r="JD113" i="83" s="1"/>
  <c r="JC108" i="83"/>
  <c r="IM108" i="83"/>
  <c r="IM114" i="83" s="1"/>
  <c r="IL108" i="83"/>
  <c r="HV108" i="83"/>
  <c r="HV114" i="83" s="1"/>
  <c r="HU108" i="83"/>
  <c r="HE108" i="83"/>
  <c r="HE114" i="83" s="1"/>
  <c r="HD108" i="83"/>
  <c r="GN108" i="83"/>
  <c r="GN114" i="83" s="1"/>
  <c r="GM108" i="83"/>
  <c r="FW108" i="83"/>
  <c r="FW114" i="83" s="1"/>
  <c r="FV108" i="83"/>
  <c r="FF108" i="83"/>
  <c r="FF114" i="83" s="1"/>
  <c r="FE108" i="83"/>
  <c r="EO108" i="83"/>
  <c r="EO114" i="83" s="1"/>
  <c r="EN108" i="83"/>
  <c r="DX108" i="83"/>
  <c r="DX114" i="83" s="1"/>
  <c r="DW108" i="83"/>
  <c r="DG108" i="83"/>
  <c r="DG114" i="83" s="1"/>
  <c r="DF108" i="83"/>
  <c r="CP108" i="83"/>
  <c r="CP113" i="83" s="1"/>
  <c r="CO108" i="83"/>
  <c r="BY108" i="83"/>
  <c r="BY114" i="83" s="1"/>
  <c r="BX108" i="83"/>
  <c r="BH108" i="83"/>
  <c r="BH114" i="83" s="1"/>
  <c r="BG108" i="83"/>
  <c r="AQ108" i="83"/>
  <c r="AQ113" i="83" s="1"/>
  <c r="AP108" i="83"/>
  <c r="Z108" i="83"/>
  <c r="Z114" i="83" s="1"/>
  <c r="Y108" i="83"/>
  <c r="TM105" i="83"/>
  <c r="TL105" i="83"/>
  <c r="TK105" i="83"/>
  <c r="TJ105" i="83"/>
  <c r="TI105" i="83"/>
  <c r="SV105" i="83"/>
  <c r="SU105" i="83"/>
  <c r="ST105" i="83"/>
  <c r="SS105" i="83"/>
  <c r="SR105" i="83"/>
  <c r="SE105" i="83"/>
  <c r="SD105" i="83"/>
  <c r="SC105" i="83"/>
  <c r="SB105" i="83"/>
  <c r="SA105" i="83"/>
  <c r="RN105" i="83"/>
  <c r="RM105" i="83"/>
  <c r="RL105" i="83"/>
  <c r="RK105" i="83"/>
  <c r="RJ105" i="83"/>
  <c r="QW105" i="83"/>
  <c r="QV105" i="83"/>
  <c r="QU105" i="83"/>
  <c r="QT105" i="83"/>
  <c r="QS105" i="83"/>
  <c r="QF105" i="83"/>
  <c r="QE105" i="83"/>
  <c r="QD105" i="83"/>
  <c r="QC105" i="83"/>
  <c r="QB105" i="83"/>
  <c r="PO105" i="83"/>
  <c r="PN105" i="83"/>
  <c r="PM105" i="83"/>
  <c r="PL105" i="83"/>
  <c r="PK105" i="83"/>
  <c r="OX105" i="83"/>
  <c r="OW105" i="83"/>
  <c r="OV105" i="83"/>
  <c r="OU105" i="83"/>
  <c r="OT105" i="83"/>
  <c r="OG105" i="83"/>
  <c r="OF105" i="83"/>
  <c r="OE105" i="83"/>
  <c r="OD105" i="83"/>
  <c r="OC105" i="83"/>
  <c r="NP105" i="83"/>
  <c r="NO105" i="83"/>
  <c r="NN105" i="83"/>
  <c r="NM105" i="83"/>
  <c r="NL105" i="83"/>
  <c r="MY105" i="83"/>
  <c r="MX105" i="83"/>
  <c r="MW105" i="83"/>
  <c r="MV105" i="83"/>
  <c r="MU105" i="83"/>
  <c r="MH105" i="83"/>
  <c r="MG105" i="83"/>
  <c r="MF105" i="83"/>
  <c r="ME105" i="83"/>
  <c r="MD105" i="83"/>
  <c r="LQ105" i="83"/>
  <c r="LP105" i="83"/>
  <c r="LO105" i="83"/>
  <c r="LN105" i="83"/>
  <c r="LM105" i="83"/>
  <c r="KZ105" i="83"/>
  <c r="KY105" i="83"/>
  <c r="KX105" i="83"/>
  <c r="KW105" i="83"/>
  <c r="KV105" i="83"/>
  <c r="KI105" i="83"/>
  <c r="KH105" i="83"/>
  <c r="KG105" i="83"/>
  <c r="KF105" i="83"/>
  <c r="KE105" i="83"/>
  <c r="JR105" i="83"/>
  <c r="JQ105" i="83"/>
  <c r="JP105" i="83"/>
  <c r="JO105" i="83"/>
  <c r="JN105" i="83"/>
  <c r="JA105" i="83"/>
  <c r="IZ105" i="83"/>
  <c r="IY105" i="83"/>
  <c r="IX105" i="83"/>
  <c r="IW105" i="83"/>
  <c r="IJ105" i="83"/>
  <c r="II105" i="83"/>
  <c r="IH105" i="83"/>
  <c r="IG105" i="83"/>
  <c r="IF105" i="83"/>
  <c r="HS105" i="83"/>
  <c r="HR105" i="83"/>
  <c r="HQ105" i="83"/>
  <c r="HP105" i="83"/>
  <c r="HO105" i="83"/>
  <c r="HB105" i="83"/>
  <c r="HA105" i="83"/>
  <c r="GZ105" i="83"/>
  <c r="GY105" i="83"/>
  <c r="GX105" i="83"/>
  <c r="GK105" i="83"/>
  <c r="GJ105" i="83"/>
  <c r="GI105" i="83"/>
  <c r="GH105" i="83"/>
  <c r="GG105" i="83"/>
  <c r="FT105" i="83"/>
  <c r="FS105" i="83"/>
  <c r="FR105" i="83"/>
  <c r="FQ105" i="83"/>
  <c r="FP105" i="83"/>
  <c r="FC105" i="83"/>
  <c r="FB105" i="83"/>
  <c r="FA105" i="83"/>
  <c r="EZ105" i="83"/>
  <c r="EY105" i="83"/>
  <c r="EL105" i="83"/>
  <c r="EK105" i="83"/>
  <c r="EJ105" i="83"/>
  <c r="EI105" i="83"/>
  <c r="EH105" i="83"/>
  <c r="DU105" i="83"/>
  <c r="DT105" i="83"/>
  <c r="DS105" i="83"/>
  <c r="DR105" i="83"/>
  <c r="DQ105" i="83"/>
  <c r="DD105" i="83"/>
  <c r="DC105" i="83"/>
  <c r="DB105" i="83"/>
  <c r="DA105" i="83"/>
  <c r="CZ105" i="83"/>
  <c r="CM105" i="83"/>
  <c r="CL105" i="83"/>
  <c r="CK105" i="83"/>
  <c r="CJ105" i="83"/>
  <c r="CI105" i="83"/>
  <c r="BV105" i="83"/>
  <c r="BU105" i="83"/>
  <c r="BT105" i="83"/>
  <c r="BS105" i="83"/>
  <c r="BR105" i="83"/>
  <c r="BE105" i="83"/>
  <c r="BD105" i="83"/>
  <c r="BC105" i="83"/>
  <c r="BB105" i="83"/>
  <c r="BA105" i="83"/>
  <c r="AN105" i="83"/>
  <c r="AM105" i="83"/>
  <c r="AL105" i="83"/>
  <c r="AK105" i="83"/>
  <c r="AJ105" i="83"/>
  <c r="W105" i="83"/>
  <c r="V105" i="83"/>
  <c r="U105" i="83"/>
  <c r="T105" i="83"/>
  <c r="S105" i="83"/>
  <c r="TM104" i="83"/>
  <c r="TL104" i="83"/>
  <c r="TK104" i="83"/>
  <c r="TJ104" i="83"/>
  <c r="TI104" i="83"/>
  <c r="SV104" i="83"/>
  <c r="SU104" i="83"/>
  <c r="ST104" i="83"/>
  <c r="SS104" i="83"/>
  <c r="SR104" i="83"/>
  <c r="SE104" i="83"/>
  <c r="SD104" i="83"/>
  <c r="SC104" i="83"/>
  <c r="SB104" i="83"/>
  <c r="SA104" i="83"/>
  <c r="RN104" i="83"/>
  <c r="RM104" i="83"/>
  <c r="RL104" i="83"/>
  <c r="RK104" i="83"/>
  <c r="RJ104" i="83"/>
  <c r="QW104" i="83"/>
  <c r="QV104" i="83"/>
  <c r="QU104" i="83"/>
  <c r="QT104" i="83"/>
  <c r="QS104" i="83"/>
  <c r="QF104" i="83"/>
  <c r="QE104" i="83"/>
  <c r="QD104" i="83"/>
  <c r="QC104" i="83"/>
  <c r="QB104" i="83"/>
  <c r="PO104" i="83"/>
  <c r="PN104" i="83"/>
  <c r="PM104" i="83"/>
  <c r="PL104" i="83"/>
  <c r="PK104" i="83"/>
  <c r="OX104" i="83"/>
  <c r="OW104" i="83"/>
  <c r="OV104" i="83"/>
  <c r="OU104" i="83"/>
  <c r="OT104" i="83"/>
  <c r="OG104" i="83"/>
  <c r="OF104" i="83"/>
  <c r="OE104" i="83"/>
  <c r="OD104" i="83"/>
  <c r="OC104" i="83"/>
  <c r="NP104" i="83"/>
  <c r="NO104" i="83"/>
  <c r="NN104" i="83"/>
  <c r="NM104" i="83"/>
  <c r="NL104" i="83"/>
  <c r="MY104" i="83"/>
  <c r="MX104" i="83"/>
  <c r="MW104" i="83"/>
  <c r="MV104" i="83"/>
  <c r="MU104" i="83"/>
  <c r="MH104" i="83"/>
  <c r="MG104" i="83"/>
  <c r="MF104" i="83"/>
  <c r="ME104" i="83"/>
  <c r="MD104" i="83"/>
  <c r="LQ104" i="83"/>
  <c r="LP104" i="83"/>
  <c r="LO104" i="83"/>
  <c r="LN104" i="83"/>
  <c r="LM104" i="83"/>
  <c r="KZ104" i="83"/>
  <c r="KY104" i="83"/>
  <c r="KX104" i="83"/>
  <c r="KW104" i="83"/>
  <c r="KV104" i="83"/>
  <c r="KI104" i="83"/>
  <c r="KH104" i="83"/>
  <c r="KG104" i="83"/>
  <c r="KF104" i="83"/>
  <c r="KE104" i="83"/>
  <c r="JR104" i="83"/>
  <c r="JQ104" i="83"/>
  <c r="JP104" i="83"/>
  <c r="JO104" i="83"/>
  <c r="JN104" i="83"/>
  <c r="JA104" i="83"/>
  <c r="IZ104" i="83"/>
  <c r="IY104" i="83"/>
  <c r="IX104" i="83"/>
  <c r="IW104" i="83"/>
  <c r="IJ104" i="83"/>
  <c r="II104" i="83"/>
  <c r="IH104" i="83"/>
  <c r="IG104" i="83"/>
  <c r="IF104" i="83"/>
  <c r="HS104" i="83"/>
  <c r="HR104" i="83"/>
  <c r="HQ104" i="83"/>
  <c r="HP104" i="83"/>
  <c r="HO104" i="83"/>
  <c r="HB104" i="83"/>
  <c r="HA104" i="83"/>
  <c r="GZ104" i="83"/>
  <c r="GY104" i="83"/>
  <c r="GX104" i="83"/>
  <c r="GK104" i="83"/>
  <c r="GJ104" i="83"/>
  <c r="GI104" i="83"/>
  <c r="GH104" i="83"/>
  <c r="GG104" i="83"/>
  <c r="FT104" i="83"/>
  <c r="FS104" i="83"/>
  <c r="FR104" i="83"/>
  <c r="FQ104" i="83"/>
  <c r="FP104" i="83"/>
  <c r="FC104" i="83"/>
  <c r="FB104" i="83"/>
  <c r="FA104" i="83"/>
  <c r="EZ104" i="83"/>
  <c r="EY104" i="83"/>
  <c r="EL104" i="83"/>
  <c r="EK104" i="83"/>
  <c r="EJ104" i="83"/>
  <c r="EI104" i="83"/>
  <c r="EH104" i="83"/>
  <c r="DU104" i="83"/>
  <c r="DT104" i="83"/>
  <c r="DS104" i="83"/>
  <c r="DR104" i="83"/>
  <c r="DQ104" i="83"/>
  <c r="DD104" i="83"/>
  <c r="DC104" i="83"/>
  <c r="DB104" i="83"/>
  <c r="DA104" i="83"/>
  <c r="CZ104" i="83"/>
  <c r="CM104" i="83"/>
  <c r="CL104" i="83"/>
  <c r="CK104" i="83"/>
  <c r="CJ104" i="83"/>
  <c r="CI104" i="83"/>
  <c r="BV104" i="83"/>
  <c r="BU104" i="83"/>
  <c r="BT104" i="83"/>
  <c r="BS104" i="83"/>
  <c r="BR104" i="83"/>
  <c r="BE104" i="83"/>
  <c r="BD104" i="83"/>
  <c r="BC104" i="83"/>
  <c r="BB104" i="83"/>
  <c r="BA104" i="83"/>
  <c r="AN104" i="83"/>
  <c r="AM104" i="83"/>
  <c r="AL104" i="83"/>
  <c r="AK104" i="83"/>
  <c r="AJ104" i="83"/>
  <c r="W104" i="83"/>
  <c r="V104" i="83"/>
  <c r="U104" i="83"/>
  <c r="T104" i="83"/>
  <c r="S104" i="83"/>
  <c r="TP103" i="83"/>
  <c r="TO103" i="83"/>
  <c r="SY103" i="83"/>
  <c r="SX103" i="83"/>
  <c r="SH103" i="83"/>
  <c r="SG103" i="83"/>
  <c r="RQ103" i="83"/>
  <c r="RP103" i="83"/>
  <c r="QZ103" i="83"/>
  <c r="QY103" i="83"/>
  <c r="QI103" i="83"/>
  <c r="QH103" i="83"/>
  <c r="PR103" i="83"/>
  <c r="PQ103" i="83"/>
  <c r="PA103" i="83"/>
  <c r="OZ103" i="83"/>
  <c r="OJ103" i="83"/>
  <c r="OI103" i="83"/>
  <c r="NS103" i="83"/>
  <c r="NR103" i="83"/>
  <c r="NB103" i="83"/>
  <c r="NA103" i="83"/>
  <c r="MK103" i="83"/>
  <c r="MJ103" i="83"/>
  <c r="LT103" i="83"/>
  <c r="LS103" i="83"/>
  <c r="LC103" i="83"/>
  <c r="LB103" i="83"/>
  <c r="KL103" i="83"/>
  <c r="KK103" i="83"/>
  <c r="JU103" i="83"/>
  <c r="JT103" i="83"/>
  <c r="JD103" i="83"/>
  <c r="JC103" i="83"/>
  <c r="IM103" i="83"/>
  <c r="IL103" i="83"/>
  <c r="HV103" i="83"/>
  <c r="HU103" i="83"/>
  <c r="HE103" i="83"/>
  <c r="HD103" i="83"/>
  <c r="GN103" i="83"/>
  <c r="GM103" i="83"/>
  <c r="FW103" i="83"/>
  <c r="FV103" i="83"/>
  <c r="FF103" i="83"/>
  <c r="FE103" i="83"/>
  <c r="EO103" i="83"/>
  <c r="EN103" i="83"/>
  <c r="DX103" i="83"/>
  <c r="DW103" i="83"/>
  <c r="DG103" i="83"/>
  <c r="DF103" i="83"/>
  <c r="CP103" i="83"/>
  <c r="CO103" i="83"/>
  <c r="BY103" i="83"/>
  <c r="BX103" i="83"/>
  <c r="BH103" i="83"/>
  <c r="BG103" i="83"/>
  <c r="AQ103" i="83"/>
  <c r="AP103" i="83"/>
  <c r="Z103" i="83"/>
  <c r="Y103" i="83"/>
  <c r="TP102" i="83"/>
  <c r="TO102" i="83"/>
  <c r="SY102" i="83"/>
  <c r="SX102" i="83"/>
  <c r="SH102" i="83"/>
  <c r="SG102" i="83"/>
  <c r="RQ102" i="83"/>
  <c r="RP102" i="83"/>
  <c r="QZ102" i="83"/>
  <c r="QY102" i="83"/>
  <c r="QI102" i="83"/>
  <c r="QH102" i="83"/>
  <c r="PR102" i="83"/>
  <c r="PQ102" i="83"/>
  <c r="PA102" i="83"/>
  <c r="OZ102" i="83"/>
  <c r="OJ102" i="83"/>
  <c r="OI102" i="83"/>
  <c r="NS102" i="83"/>
  <c r="NR102" i="83"/>
  <c r="NB102" i="83"/>
  <c r="NA102" i="83"/>
  <c r="MK102" i="83"/>
  <c r="MJ102" i="83"/>
  <c r="LT102" i="83"/>
  <c r="LS102" i="83"/>
  <c r="LC102" i="83"/>
  <c r="LB102" i="83"/>
  <c r="KL102" i="83"/>
  <c r="KK102" i="83"/>
  <c r="JU102" i="83"/>
  <c r="JT102" i="83"/>
  <c r="JD102" i="83"/>
  <c r="JC102" i="83"/>
  <c r="IM102" i="83"/>
  <c r="IL102" i="83"/>
  <c r="HV102" i="83"/>
  <c r="HU102" i="83"/>
  <c r="HE102" i="83"/>
  <c r="HD102" i="83"/>
  <c r="GN102" i="83"/>
  <c r="GM102" i="83"/>
  <c r="FW102" i="83"/>
  <c r="FV102" i="83"/>
  <c r="FF102" i="83"/>
  <c r="FE102" i="83"/>
  <c r="EO102" i="83"/>
  <c r="EN102" i="83"/>
  <c r="DX102" i="83"/>
  <c r="DW102" i="83"/>
  <c r="DG102" i="83"/>
  <c r="DF102" i="83"/>
  <c r="CP102" i="83"/>
  <c r="CO102" i="83"/>
  <c r="BY102" i="83"/>
  <c r="BX102" i="83"/>
  <c r="BH102" i="83"/>
  <c r="BG102" i="83"/>
  <c r="AQ102" i="83"/>
  <c r="AP102" i="83"/>
  <c r="Z102" i="83"/>
  <c r="Y102" i="83"/>
  <c r="TP101" i="83"/>
  <c r="TO101" i="83"/>
  <c r="SY101" i="83"/>
  <c r="SX101" i="83"/>
  <c r="SH101" i="83"/>
  <c r="SG101" i="83"/>
  <c r="RQ101" i="83"/>
  <c r="RP101" i="83"/>
  <c r="QZ101" i="83"/>
  <c r="QY101" i="83"/>
  <c r="QI101" i="83"/>
  <c r="QH101" i="83"/>
  <c r="PR101" i="83"/>
  <c r="PQ101" i="83"/>
  <c r="PA101" i="83"/>
  <c r="OZ101" i="83"/>
  <c r="OJ101" i="83"/>
  <c r="OI101" i="83"/>
  <c r="NS101" i="83"/>
  <c r="NR101" i="83"/>
  <c r="NB101" i="83"/>
  <c r="NA101" i="83"/>
  <c r="MK101" i="83"/>
  <c r="MJ101" i="83"/>
  <c r="LT101" i="83"/>
  <c r="LS101" i="83"/>
  <c r="LC101" i="83"/>
  <c r="LB101" i="83"/>
  <c r="KL101" i="83"/>
  <c r="KK101" i="83"/>
  <c r="JU101" i="83"/>
  <c r="JT101" i="83"/>
  <c r="JD101" i="83"/>
  <c r="JC101" i="83"/>
  <c r="IM101" i="83"/>
  <c r="IL101" i="83"/>
  <c r="HV101" i="83"/>
  <c r="HU101" i="83"/>
  <c r="HE101" i="83"/>
  <c r="HD101" i="83"/>
  <c r="GN101" i="83"/>
  <c r="GM101" i="83"/>
  <c r="FW101" i="83"/>
  <c r="FV101" i="83"/>
  <c r="FF101" i="83"/>
  <c r="FE101" i="83"/>
  <c r="EO101" i="83"/>
  <c r="EN101" i="83"/>
  <c r="DX101" i="83"/>
  <c r="DW101" i="83"/>
  <c r="DG101" i="83"/>
  <c r="DF101" i="83"/>
  <c r="CP101" i="83"/>
  <c r="CO101" i="83"/>
  <c r="BY101" i="83"/>
  <c r="BX101" i="83"/>
  <c r="BH101" i="83"/>
  <c r="BG101" i="83"/>
  <c r="AQ101" i="83"/>
  <c r="AP101" i="83"/>
  <c r="Z101" i="83"/>
  <c r="Y101" i="83"/>
  <c r="TP100" i="83"/>
  <c r="TO100" i="83"/>
  <c r="SY100" i="83"/>
  <c r="SX100" i="83"/>
  <c r="SH100" i="83"/>
  <c r="SG100" i="83"/>
  <c r="RQ100" i="83"/>
  <c r="RP100" i="83"/>
  <c r="QZ100" i="83"/>
  <c r="QY100" i="83"/>
  <c r="QI100" i="83"/>
  <c r="QH100" i="83"/>
  <c r="PR100" i="83"/>
  <c r="PQ100" i="83"/>
  <c r="PA100" i="83"/>
  <c r="OZ100" i="83"/>
  <c r="OJ100" i="83"/>
  <c r="OI100" i="83"/>
  <c r="NS100" i="83"/>
  <c r="NR100" i="83"/>
  <c r="NB100" i="83"/>
  <c r="NA100" i="83"/>
  <c r="MK100" i="83"/>
  <c r="MJ100" i="83"/>
  <c r="LT100" i="83"/>
  <c r="LS100" i="83"/>
  <c r="LC100" i="83"/>
  <c r="LB100" i="83"/>
  <c r="KL100" i="83"/>
  <c r="KK100" i="83"/>
  <c r="JU100" i="83"/>
  <c r="JT100" i="83"/>
  <c r="JD100" i="83"/>
  <c r="JC100" i="83"/>
  <c r="IM100" i="83"/>
  <c r="IL100" i="83"/>
  <c r="HV100" i="83"/>
  <c r="HU100" i="83"/>
  <c r="HE100" i="83"/>
  <c r="HD100" i="83"/>
  <c r="GN100" i="83"/>
  <c r="GM100" i="83"/>
  <c r="FW100" i="83"/>
  <c r="FV100" i="83"/>
  <c r="FF100" i="83"/>
  <c r="FE100" i="83"/>
  <c r="EO100" i="83"/>
  <c r="EN100" i="83"/>
  <c r="DX100" i="83"/>
  <c r="DW100" i="83"/>
  <c r="DG100" i="83"/>
  <c r="DF100" i="83"/>
  <c r="CP100" i="83"/>
  <c r="CO100" i="83"/>
  <c r="BY100" i="83"/>
  <c r="BX100" i="83"/>
  <c r="BH100" i="83"/>
  <c r="BG100" i="83"/>
  <c r="AQ100" i="83"/>
  <c r="AP100" i="83"/>
  <c r="Z100" i="83"/>
  <c r="Y100" i="83"/>
  <c r="TP99" i="83"/>
  <c r="TP105" i="83" s="1"/>
  <c r="TO99" i="83"/>
  <c r="SY99" i="83"/>
  <c r="SY105" i="83" s="1"/>
  <c r="SX99" i="83"/>
  <c r="SH99" i="83"/>
  <c r="SH105" i="83" s="1"/>
  <c r="SG99" i="83"/>
  <c r="RQ99" i="83"/>
  <c r="RQ105" i="83" s="1"/>
  <c r="RP99" i="83"/>
  <c r="QZ99" i="83"/>
  <c r="QZ105" i="83" s="1"/>
  <c r="QY99" i="83"/>
  <c r="QI99" i="83"/>
  <c r="QI105" i="83" s="1"/>
  <c r="QH99" i="83"/>
  <c r="PR99" i="83"/>
  <c r="PR105" i="83" s="1"/>
  <c r="PQ99" i="83"/>
  <c r="PA99" i="83"/>
  <c r="PA104" i="83" s="1"/>
  <c r="OZ99" i="83"/>
  <c r="OJ99" i="83"/>
  <c r="OJ104" i="83" s="1"/>
  <c r="OI99" i="83"/>
  <c r="NS99" i="83"/>
  <c r="NS105" i="83" s="1"/>
  <c r="NR99" i="83"/>
  <c r="NB99" i="83"/>
  <c r="NB105" i="83" s="1"/>
  <c r="NA99" i="83"/>
  <c r="MK99" i="83"/>
  <c r="MK105" i="83" s="1"/>
  <c r="MJ99" i="83"/>
  <c r="LT99" i="83"/>
  <c r="LT105" i="83" s="1"/>
  <c r="LS99" i="83"/>
  <c r="LC99" i="83"/>
  <c r="LC105" i="83" s="1"/>
  <c r="LB99" i="83"/>
  <c r="KL99" i="83"/>
  <c r="KL105" i="83" s="1"/>
  <c r="KK99" i="83"/>
  <c r="JU99" i="83"/>
  <c r="JU105" i="83" s="1"/>
  <c r="JT99" i="83"/>
  <c r="JD99" i="83"/>
  <c r="JD105" i="83" s="1"/>
  <c r="JC99" i="83"/>
  <c r="IM99" i="83"/>
  <c r="IM104" i="83" s="1"/>
  <c r="IL99" i="83"/>
  <c r="HV99" i="83"/>
  <c r="HV105" i="83" s="1"/>
  <c r="HU99" i="83"/>
  <c r="HE99" i="83"/>
  <c r="HE105" i="83" s="1"/>
  <c r="HD99" i="83"/>
  <c r="GN99" i="83"/>
  <c r="GN105" i="83" s="1"/>
  <c r="GM99" i="83"/>
  <c r="FW99" i="83"/>
  <c r="FW105" i="83" s="1"/>
  <c r="FV99" i="83"/>
  <c r="FF99" i="83"/>
  <c r="FF105" i="83" s="1"/>
  <c r="FE99" i="83"/>
  <c r="EO99" i="83"/>
  <c r="EO104" i="83" s="1"/>
  <c r="EN99" i="83"/>
  <c r="DX99" i="83"/>
  <c r="DX105" i="83" s="1"/>
  <c r="DW99" i="83"/>
  <c r="DG99" i="83"/>
  <c r="DG104" i="83" s="1"/>
  <c r="DF99" i="83"/>
  <c r="CP99" i="83"/>
  <c r="CP105" i="83" s="1"/>
  <c r="CO99" i="83"/>
  <c r="BY99" i="83"/>
  <c r="BY105" i="83" s="1"/>
  <c r="BX99" i="83"/>
  <c r="BH99" i="83"/>
  <c r="BH105" i="83" s="1"/>
  <c r="BG99" i="83"/>
  <c r="AQ99" i="83"/>
  <c r="AQ105" i="83" s="1"/>
  <c r="AP99" i="83"/>
  <c r="Z99" i="83"/>
  <c r="Z105" i="83" s="1"/>
  <c r="Y99" i="83"/>
  <c r="TX95" i="83"/>
  <c r="TV95" i="83"/>
  <c r="TW95" i="83" s="1"/>
  <c r="TN95" i="83"/>
  <c r="TO95" i="83" s="1"/>
  <c r="TP95" i="83" s="1"/>
  <c r="SP95" i="83"/>
  <c r="SN95" i="83"/>
  <c r="SO95" i="83" s="1"/>
  <c r="SF95" i="83"/>
  <c r="SG95" i="83" s="1"/>
  <c r="SH95" i="83" s="1"/>
  <c r="RY95" i="83"/>
  <c r="RW95" i="83"/>
  <c r="RX95" i="83" s="1"/>
  <c r="RO95" i="83"/>
  <c r="RP95" i="83" s="1"/>
  <c r="RQ95" i="83" s="1"/>
  <c r="OR95" i="83"/>
  <c r="OP95" i="83"/>
  <c r="OQ95" i="83" s="1"/>
  <c r="OH95" i="83"/>
  <c r="OI95" i="83" s="1"/>
  <c r="NJ95" i="83"/>
  <c r="NH95" i="83"/>
  <c r="NI95" i="83" s="1"/>
  <c r="MZ95" i="83"/>
  <c r="NA95" i="83" s="1"/>
  <c r="NB95" i="83" s="1"/>
  <c r="EW95" i="83"/>
  <c r="EU95" i="83"/>
  <c r="EV95" i="83" s="1"/>
  <c r="EM95" i="83"/>
  <c r="EN95" i="83" s="1"/>
  <c r="EO95" i="83" s="1"/>
  <c r="CX95" i="83"/>
  <c r="CV95" i="83"/>
  <c r="CW95" i="83" s="1"/>
  <c r="CN95" i="83"/>
  <c r="CO95" i="83" s="1"/>
  <c r="CP95" i="83" s="1"/>
  <c r="CG95" i="83"/>
  <c r="CE95" i="83"/>
  <c r="CF95" i="83" s="1"/>
  <c r="BW95" i="83"/>
  <c r="BX95" i="83" s="1"/>
  <c r="BY95" i="83" s="1"/>
  <c r="BP95" i="83"/>
  <c r="BN95" i="83"/>
  <c r="BO95" i="83" s="1"/>
  <c r="BF95" i="83"/>
  <c r="BG95" i="83" s="1"/>
  <c r="BH95" i="83" s="1"/>
  <c r="TX94" i="83"/>
  <c r="TV94" i="83"/>
  <c r="TW94" i="83" s="1"/>
  <c r="TN94" i="83"/>
  <c r="TO94" i="83" s="1"/>
  <c r="TP94" i="83" s="1"/>
  <c r="SP94" i="83"/>
  <c r="SN94" i="83"/>
  <c r="SO94" i="83" s="1"/>
  <c r="SF94" i="83"/>
  <c r="SG94" i="83" s="1"/>
  <c r="RY94" i="83"/>
  <c r="RW94" i="83"/>
  <c r="RX94" i="83" s="1"/>
  <c r="RO94" i="83"/>
  <c r="RP94" i="83" s="1"/>
  <c r="RQ94" i="83" s="1"/>
  <c r="OR94" i="83"/>
  <c r="OP94" i="83"/>
  <c r="OQ94" i="83" s="1"/>
  <c r="OH94" i="83"/>
  <c r="OI94" i="83" s="1"/>
  <c r="OJ94" i="83" s="1"/>
  <c r="NJ94" i="83"/>
  <c r="NH94" i="83"/>
  <c r="NI94" i="83" s="1"/>
  <c r="MZ94" i="83"/>
  <c r="NA94" i="83" s="1"/>
  <c r="EW94" i="83"/>
  <c r="EU94" i="83"/>
  <c r="EV94" i="83" s="1"/>
  <c r="EM94" i="83"/>
  <c r="EN94" i="83" s="1"/>
  <c r="EO94" i="83" s="1"/>
  <c r="CX94" i="83"/>
  <c r="CV94" i="83"/>
  <c r="CW94" i="83" s="1"/>
  <c r="CN94" i="83"/>
  <c r="CO94" i="83" s="1"/>
  <c r="CP94" i="83" s="1"/>
  <c r="CG94" i="83"/>
  <c r="CE94" i="83"/>
  <c r="CF94" i="83" s="1"/>
  <c r="BW94" i="83"/>
  <c r="BX94" i="83" s="1"/>
  <c r="BY94" i="83" s="1"/>
  <c r="BP94" i="83"/>
  <c r="BN94" i="83"/>
  <c r="BO94" i="83" s="1"/>
  <c r="BF94" i="83"/>
  <c r="BG94" i="83" s="1"/>
  <c r="BH94" i="83" s="1"/>
  <c r="V138" i="83" l="1"/>
  <c r="AL138" i="83"/>
  <c r="BB138" i="83"/>
  <c r="BR138" i="83"/>
  <c r="CL138" i="83"/>
  <c r="DB138" i="83"/>
  <c r="DR138" i="83"/>
  <c r="EH138" i="83"/>
  <c r="FB138" i="83"/>
  <c r="FR138" i="83"/>
  <c r="GH138" i="83"/>
  <c r="GX138" i="83"/>
  <c r="HR138" i="83"/>
  <c r="IH138" i="83"/>
  <c r="IX138" i="83"/>
  <c r="JN138" i="83"/>
  <c r="KH138" i="83"/>
  <c r="KX138" i="83"/>
  <c r="LN138" i="83"/>
  <c r="MD138" i="83"/>
  <c r="MX138" i="83"/>
  <c r="NN138" i="83"/>
  <c r="OD138" i="83"/>
  <c r="OT138" i="83"/>
  <c r="PN138" i="83"/>
  <c r="QD138" i="83"/>
  <c r="QT138" i="83"/>
  <c r="RJ138" i="83"/>
  <c r="SD138" i="83"/>
  <c r="ST138" i="83"/>
  <c r="TJ138" i="83"/>
  <c r="JQ147" i="83"/>
  <c r="S138" i="83"/>
  <c r="EY138" i="83"/>
  <c r="SA138" i="83"/>
  <c r="MG147" i="83"/>
  <c r="OW147" i="83"/>
  <c r="RM147" i="83"/>
  <c r="IG156" i="83"/>
  <c r="NM156" i="83"/>
  <c r="BU165" i="83"/>
  <c r="FE104" i="83"/>
  <c r="Y114" i="83"/>
  <c r="CO114" i="83"/>
  <c r="FE114" i="83"/>
  <c r="HU114" i="83"/>
  <c r="KK114" i="83"/>
  <c r="NA114" i="83"/>
  <c r="PQ114" i="83"/>
  <c r="SG114" i="83"/>
  <c r="Y123" i="83"/>
  <c r="BG123" i="83"/>
  <c r="CO123" i="83"/>
  <c r="DW123" i="83"/>
  <c r="FE123" i="83"/>
  <c r="HU123" i="83"/>
  <c r="JC123" i="83"/>
  <c r="KK123" i="83"/>
  <c r="LS123" i="83"/>
  <c r="NA123" i="83"/>
  <c r="OI123" i="83"/>
  <c r="QY123" i="83"/>
  <c r="SG122" i="83"/>
  <c r="TO123" i="83"/>
  <c r="OF147" i="83"/>
  <c r="HS115" i="83"/>
  <c r="BA138" i="83"/>
  <c r="LM138" i="83"/>
  <c r="LP147" i="83"/>
  <c r="JO156" i="83"/>
  <c r="AN156" i="83"/>
  <c r="DD156" i="83"/>
  <c r="EZ156" i="83"/>
  <c r="FP156" i="83"/>
  <c r="IF156" i="83"/>
  <c r="KF156" i="83"/>
  <c r="KV156" i="83"/>
  <c r="NL156" i="83"/>
  <c r="PL156" i="83"/>
  <c r="SB156" i="83"/>
  <c r="SR156" i="83"/>
  <c r="BS165" i="83"/>
  <c r="DC165" i="83"/>
  <c r="EI165" i="83"/>
  <c r="FS165" i="83"/>
  <c r="GI165" i="83"/>
  <c r="IY165" i="83"/>
  <c r="BH145" i="83"/>
  <c r="OJ146" i="83"/>
  <c r="TP146" i="83"/>
  <c r="TJ106" i="83"/>
  <c r="JR115" i="83"/>
  <c r="T138" i="83"/>
  <c r="BD138" i="83"/>
  <c r="BT138" i="83"/>
  <c r="CJ138" i="83"/>
  <c r="CZ138" i="83"/>
  <c r="DT138" i="83"/>
  <c r="EJ138" i="83"/>
  <c r="EZ138" i="83"/>
  <c r="GJ138" i="83"/>
  <c r="GZ138" i="83"/>
  <c r="HP138" i="83"/>
  <c r="IF138" i="83"/>
  <c r="IZ138" i="83"/>
  <c r="JP138" i="83"/>
  <c r="KF138" i="83"/>
  <c r="LP138" i="83"/>
  <c r="MF138" i="83"/>
  <c r="MV138" i="83"/>
  <c r="NL138" i="83"/>
  <c r="OF138" i="83"/>
  <c r="OV138" i="83"/>
  <c r="PL138" i="83"/>
  <c r="QV138" i="83"/>
  <c r="RL138" i="83"/>
  <c r="SB138" i="83"/>
  <c r="SR138" i="83"/>
  <c r="TL138" i="83"/>
  <c r="MH147" i="83"/>
  <c r="MX147" i="83"/>
  <c r="NN147" i="83"/>
  <c r="OD147" i="83"/>
  <c r="OT147" i="83"/>
  <c r="OX147" i="83"/>
  <c r="BV156" i="83"/>
  <c r="GH156" i="83"/>
  <c r="GX156" i="83"/>
  <c r="QT156" i="83"/>
  <c r="TJ156" i="83"/>
  <c r="DA124" i="83"/>
  <c r="FA124" i="83"/>
  <c r="KG124" i="83"/>
  <c r="NM124" i="83"/>
  <c r="PM124" i="83"/>
  <c r="QC124" i="83"/>
  <c r="QV147" i="83"/>
  <c r="BC124" i="83"/>
  <c r="DS124" i="83"/>
  <c r="U106" i="83"/>
  <c r="BA106" i="83"/>
  <c r="BE106" i="83"/>
  <c r="BU106" i="83"/>
  <c r="CK106" i="83"/>
  <c r="DA106" i="83"/>
  <c r="DQ106" i="83"/>
  <c r="DU106" i="83"/>
  <c r="EK106" i="83"/>
  <c r="FA106" i="83"/>
  <c r="FQ106" i="83"/>
  <c r="KW106" i="83"/>
  <c r="QC106" i="83"/>
  <c r="QS106" i="83"/>
  <c r="QW106" i="83"/>
  <c r="RM106" i="83"/>
  <c r="SC106" i="83"/>
  <c r="SS106" i="83"/>
  <c r="TI106" i="83"/>
  <c r="TM106" i="83"/>
  <c r="PA145" i="83"/>
  <c r="PA147" i="83" s="1"/>
  <c r="JU146" i="83"/>
  <c r="JU147" i="83" s="1"/>
  <c r="IX106" i="83"/>
  <c r="LN106" i="83"/>
  <c r="OD106" i="83"/>
  <c r="AM106" i="83"/>
  <c r="BC106" i="83"/>
  <c r="BS106" i="83"/>
  <c r="CI106" i="83"/>
  <c r="CM106" i="83"/>
  <c r="DC106" i="83"/>
  <c r="DS106" i="83"/>
  <c r="EI106" i="83"/>
  <c r="FS106" i="83"/>
  <c r="GI106" i="83"/>
  <c r="GY106" i="83"/>
  <c r="HO106" i="83"/>
  <c r="HS106" i="83"/>
  <c r="II106" i="83"/>
  <c r="IY106" i="83"/>
  <c r="JO106" i="83"/>
  <c r="OU106" i="83"/>
  <c r="PK106" i="83"/>
  <c r="PO106" i="83"/>
  <c r="CM115" i="83"/>
  <c r="FC115" i="83"/>
  <c r="KY115" i="83"/>
  <c r="MU115" i="83"/>
  <c r="RN115" i="83"/>
  <c r="BV115" i="83"/>
  <c r="EH115" i="83"/>
  <c r="TM115" i="83"/>
  <c r="LO124" i="83"/>
  <c r="QU124" i="83"/>
  <c r="SB124" i="83"/>
  <c r="SR124" i="83"/>
  <c r="SV124" i="83"/>
  <c r="TL124" i="83"/>
  <c r="BD165" i="83"/>
  <c r="DT165" i="83"/>
  <c r="GJ165" i="83"/>
  <c r="GZ165" i="83"/>
  <c r="IZ165" i="83"/>
  <c r="KH165" i="83"/>
  <c r="DR106" i="83"/>
  <c r="SH113" i="83"/>
  <c r="PR114" i="83"/>
  <c r="QE115" i="83"/>
  <c r="RK115" i="83"/>
  <c r="SA115" i="83"/>
  <c r="SE115" i="83"/>
  <c r="SS124" i="83"/>
  <c r="V124" i="83"/>
  <c r="AL124" i="83"/>
  <c r="BB124" i="83"/>
  <c r="BR124" i="83"/>
  <c r="BV124" i="83"/>
  <c r="CL124" i="83"/>
  <c r="DB124" i="83"/>
  <c r="DR124" i="83"/>
  <c r="EH124" i="83"/>
  <c r="EL124" i="83"/>
  <c r="FB124" i="83"/>
  <c r="FR124" i="83"/>
  <c r="GH124" i="83"/>
  <c r="IH124" i="83"/>
  <c r="IX124" i="83"/>
  <c r="JN124" i="83"/>
  <c r="JR124" i="83"/>
  <c r="KH124" i="83"/>
  <c r="KX124" i="83"/>
  <c r="LN124" i="83"/>
  <c r="NN124" i="83"/>
  <c r="OD124" i="83"/>
  <c r="QD124" i="83"/>
  <c r="QC156" i="83"/>
  <c r="BD115" i="83"/>
  <c r="KZ115" i="83"/>
  <c r="FT115" i="83"/>
  <c r="IZ115" i="83"/>
  <c r="NP115" i="83"/>
  <c r="BB106" i="83"/>
  <c r="BR106" i="83"/>
  <c r="BV106" i="83"/>
  <c r="CL106" i="83"/>
  <c r="DB106" i="83"/>
  <c r="EH106" i="83"/>
  <c r="EL106" i="83"/>
  <c r="FB106" i="83"/>
  <c r="GH106" i="83"/>
  <c r="GX106" i="83"/>
  <c r="HB106" i="83"/>
  <c r="HR106" i="83"/>
  <c r="IH106" i="83"/>
  <c r="JN106" i="83"/>
  <c r="JR106" i="83"/>
  <c r="KH106" i="83"/>
  <c r="QD106" i="83"/>
  <c r="QT106" i="83"/>
  <c r="QW115" i="83"/>
  <c r="RM115" i="83"/>
  <c r="BE115" i="83"/>
  <c r="DU115" i="83"/>
  <c r="GG115" i="83"/>
  <c r="HA115" i="83"/>
  <c r="TK124" i="83"/>
  <c r="DD115" i="83"/>
  <c r="IF115" i="83"/>
  <c r="BR115" i="83"/>
  <c r="EL115" i="83"/>
  <c r="GX115" i="83"/>
  <c r="HB115" i="83"/>
  <c r="JN115" i="83"/>
  <c r="MD115" i="83"/>
  <c r="OT115" i="83"/>
  <c r="OX115" i="83"/>
  <c r="CO164" i="83"/>
  <c r="NL115" i="83"/>
  <c r="SU115" i="83"/>
  <c r="OS94" i="83"/>
  <c r="AP105" i="83"/>
  <c r="BX105" i="83"/>
  <c r="DF105" i="83"/>
  <c r="EN104" i="83"/>
  <c r="FV104" i="83"/>
  <c r="HD105" i="83"/>
  <c r="IL105" i="83"/>
  <c r="JT104" i="83"/>
  <c r="LB104" i="83"/>
  <c r="MJ105" i="83"/>
  <c r="NR105" i="83"/>
  <c r="OZ105" i="83"/>
  <c r="QH104" i="83"/>
  <c r="RP105" i="83"/>
  <c r="SX105" i="83"/>
  <c r="Y105" i="83"/>
  <c r="KK104" i="83"/>
  <c r="T106" i="83"/>
  <c r="EZ106" i="83"/>
  <c r="FP106" i="83"/>
  <c r="FT106" i="83"/>
  <c r="GJ106" i="83"/>
  <c r="GZ106" i="83"/>
  <c r="IF106" i="83"/>
  <c r="KV106" i="83"/>
  <c r="KZ106" i="83"/>
  <c r="LP106" i="83"/>
  <c r="MF106" i="83"/>
  <c r="MV106" i="83"/>
  <c r="NL106" i="83"/>
  <c r="NP106" i="83"/>
  <c r="OF106" i="83"/>
  <c r="OV106" i="83"/>
  <c r="QV106" i="83"/>
  <c r="RL106" i="83"/>
  <c r="SB106" i="83"/>
  <c r="SR106" i="83"/>
  <c r="SV106" i="83"/>
  <c r="TL106" i="83"/>
  <c r="CI115" i="83"/>
  <c r="DC115" i="83"/>
  <c r="EY115" i="83"/>
  <c r="FS115" i="83"/>
  <c r="HO115" i="83"/>
  <c r="II115" i="83"/>
  <c r="KE115" i="83"/>
  <c r="BY123" i="83"/>
  <c r="RQ123" i="83"/>
  <c r="RQ122" i="83"/>
  <c r="JP124" i="83"/>
  <c r="MF124" i="83"/>
  <c r="OV124" i="83"/>
  <c r="RL124" i="83"/>
  <c r="SC124" i="83"/>
  <c r="DQ138" i="83"/>
  <c r="OC138" i="83"/>
  <c r="KI115" i="83"/>
  <c r="MY115" i="83"/>
  <c r="PO115" i="83"/>
  <c r="TJ124" i="83"/>
  <c r="BC156" i="83"/>
  <c r="BS156" i="83"/>
  <c r="CM156" i="83"/>
  <c r="DS156" i="83"/>
  <c r="EI156" i="83"/>
  <c r="GY156" i="83"/>
  <c r="ME156" i="83"/>
  <c r="MU156" i="83"/>
  <c r="OU156" i="83"/>
  <c r="RK156" i="83"/>
  <c r="SA156" i="83"/>
  <c r="DA165" i="83"/>
  <c r="EK165" i="83"/>
  <c r="KG165" i="83"/>
  <c r="IW115" i="83"/>
  <c r="JQ115" i="83"/>
  <c r="MG115" i="83"/>
  <c r="OW115" i="83"/>
  <c r="QB115" i="83"/>
  <c r="SR115" i="83"/>
  <c r="FQ124" i="83"/>
  <c r="GG124" i="83"/>
  <c r="GK124" i="83"/>
  <c r="HA124" i="83"/>
  <c r="HQ124" i="83"/>
  <c r="IG124" i="83"/>
  <c r="KW124" i="83"/>
  <c r="LM124" i="83"/>
  <c r="LQ124" i="83"/>
  <c r="MG124" i="83"/>
  <c r="MW124" i="83"/>
  <c r="OC124" i="83"/>
  <c r="OG124" i="83"/>
  <c r="OW124" i="83"/>
  <c r="QS124" i="83"/>
  <c r="QW124" i="83"/>
  <c r="RM124" i="83"/>
  <c r="W138" i="83"/>
  <c r="BC138" i="83"/>
  <c r="BS138" i="83"/>
  <c r="CI138" i="83"/>
  <c r="CM138" i="83"/>
  <c r="DS138" i="83"/>
  <c r="EI138" i="83"/>
  <c r="FC138" i="83"/>
  <c r="GI138" i="83"/>
  <c r="GY138" i="83"/>
  <c r="HO138" i="83"/>
  <c r="HS138" i="83"/>
  <c r="IY138" i="83"/>
  <c r="JO138" i="83"/>
  <c r="KE138" i="83"/>
  <c r="KI138" i="83"/>
  <c r="LO138" i="83"/>
  <c r="ME138" i="83"/>
  <c r="MU138" i="83"/>
  <c r="MY138" i="83"/>
  <c r="OE138" i="83"/>
  <c r="OU138" i="83"/>
  <c r="PK138" i="83"/>
  <c r="PO138" i="83"/>
  <c r="QU138" i="83"/>
  <c r="RK138" i="83"/>
  <c r="SE138" i="83"/>
  <c r="TK138" i="83"/>
  <c r="BT147" i="83"/>
  <c r="CZ147" i="83"/>
  <c r="DD147" i="83"/>
  <c r="EJ147" i="83"/>
  <c r="FP147" i="83"/>
  <c r="FT147" i="83"/>
  <c r="GJ147" i="83"/>
  <c r="GZ147" i="83"/>
  <c r="IF147" i="83"/>
  <c r="IJ147" i="83"/>
  <c r="IZ147" i="83"/>
  <c r="JP147" i="83"/>
  <c r="HP156" i="83"/>
  <c r="MV156" i="83"/>
  <c r="QB156" i="83"/>
  <c r="CO163" i="83"/>
  <c r="CO165" i="83" s="1"/>
  <c r="J234" i="83"/>
  <c r="AP146" i="83"/>
  <c r="DF146" i="83"/>
  <c r="EN145" i="83"/>
  <c r="FV146" i="83"/>
  <c r="HD145" i="83"/>
  <c r="IL146" i="83"/>
  <c r="LB146" i="83"/>
  <c r="U147" i="83"/>
  <c r="CK147" i="83"/>
  <c r="EK147" i="83"/>
  <c r="FA147" i="83"/>
  <c r="GG147" i="83"/>
  <c r="GK147" i="83"/>
  <c r="HA147" i="83"/>
  <c r="Y164" i="83"/>
  <c r="FE164" i="83"/>
  <c r="HU164" i="83"/>
  <c r="KK164" i="83"/>
  <c r="NA163" i="83"/>
  <c r="PQ164" i="83"/>
  <c r="SG164" i="83"/>
  <c r="AK165" i="83"/>
  <c r="J227" i="83"/>
  <c r="EN105" i="83"/>
  <c r="FV105" i="83"/>
  <c r="QH105" i="83"/>
  <c r="T115" i="83"/>
  <c r="CZ115" i="83"/>
  <c r="DT115" i="83"/>
  <c r="EZ115" i="83"/>
  <c r="HP115" i="83"/>
  <c r="IJ115" i="83"/>
  <c r="KF115" i="83"/>
  <c r="LP115" i="83"/>
  <c r="OF115" i="83"/>
  <c r="EY165" i="83"/>
  <c r="II165" i="83"/>
  <c r="KY165" i="83"/>
  <c r="PO165" i="83"/>
  <c r="OZ104" i="83"/>
  <c r="AN106" i="83"/>
  <c r="LO106" i="83"/>
  <c r="MU106" i="83"/>
  <c r="NO106" i="83"/>
  <c r="PN106" i="83"/>
  <c r="BA115" i="83"/>
  <c r="DA115" i="83"/>
  <c r="GK115" i="83"/>
  <c r="JA115" i="83"/>
  <c r="LQ115" i="83"/>
  <c r="NM115" i="83"/>
  <c r="OC115" i="83"/>
  <c r="QV115" i="83"/>
  <c r="SB115" i="83"/>
  <c r="TL115" i="83"/>
  <c r="EJ124" i="83"/>
  <c r="IY124" i="83"/>
  <c r="LB105" i="83"/>
  <c r="PQ122" i="83"/>
  <c r="PQ124" i="83" s="1"/>
  <c r="PQ123" i="83"/>
  <c r="IM123" i="83"/>
  <c r="IM124" i="83" s="1"/>
  <c r="KF124" i="83"/>
  <c r="OE124" i="83"/>
  <c r="CJ115" i="83"/>
  <c r="FP115" i="83"/>
  <c r="GJ115" i="83"/>
  <c r="KV115" i="83"/>
  <c r="MV115" i="83"/>
  <c r="PL115" i="83"/>
  <c r="GI124" i="83"/>
  <c r="CJ165" i="83"/>
  <c r="FC165" i="83"/>
  <c r="KE165" i="83"/>
  <c r="KI165" i="83"/>
  <c r="PK165" i="83"/>
  <c r="AJ106" i="83"/>
  <c r="ME106" i="83"/>
  <c r="MY106" i="83"/>
  <c r="OE106" i="83"/>
  <c r="U115" i="83"/>
  <c r="BU115" i="83"/>
  <c r="DQ115" i="83"/>
  <c r="EK115" i="83"/>
  <c r="FQ115" i="83"/>
  <c r="IG115" i="83"/>
  <c r="KW115" i="83"/>
  <c r="LM115" i="83"/>
  <c r="OG115" i="83"/>
  <c r="QF115" i="83"/>
  <c r="SV115" i="83"/>
  <c r="EO123" i="83"/>
  <c r="EO122" i="83"/>
  <c r="SY123" i="83"/>
  <c r="SY122" i="83"/>
  <c r="SY124" i="83" s="1"/>
  <c r="Y104" i="83"/>
  <c r="Y106" i="83" s="1"/>
  <c r="CO105" i="83"/>
  <c r="HU105" i="83"/>
  <c r="KK105" i="83"/>
  <c r="NA105" i="83"/>
  <c r="PQ105" i="83"/>
  <c r="SG105" i="83"/>
  <c r="AP104" i="83"/>
  <c r="FE105" i="83"/>
  <c r="FE106" i="83" s="1"/>
  <c r="KG106" i="83"/>
  <c r="QS115" i="83"/>
  <c r="U124" i="83"/>
  <c r="CK124" i="83"/>
  <c r="IZ124" i="83"/>
  <c r="KY124" i="83"/>
  <c r="ME124" i="83"/>
  <c r="NO124" i="83"/>
  <c r="OU124" i="83"/>
  <c r="PQ104" i="83"/>
  <c r="S106" i="83"/>
  <c r="W106" i="83"/>
  <c r="AL106" i="83"/>
  <c r="JT105" i="83"/>
  <c r="RK106" i="83"/>
  <c r="QV124" i="83"/>
  <c r="HP106" i="83"/>
  <c r="IJ106" i="83"/>
  <c r="IZ106" i="83"/>
  <c r="JP106" i="83"/>
  <c r="KE106" i="83"/>
  <c r="KI106" i="83"/>
  <c r="KX106" i="83"/>
  <c r="LM106" i="83"/>
  <c r="LQ106" i="83"/>
  <c r="MG106" i="83"/>
  <c r="MW106" i="83"/>
  <c r="NM106" i="83"/>
  <c r="OC106" i="83"/>
  <c r="OG106" i="83"/>
  <c r="OW106" i="83"/>
  <c r="PL106" i="83"/>
  <c r="QE106" i="83"/>
  <c r="RJ106" i="83"/>
  <c r="RN106" i="83"/>
  <c r="SD106" i="83"/>
  <c r="ST106" i="83"/>
  <c r="V115" i="83"/>
  <c r="BB115" i="83"/>
  <c r="CL115" i="83"/>
  <c r="DR115" i="83"/>
  <c r="FB115" i="83"/>
  <c r="GH115" i="83"/>
  <c r="HR115" i="83"/>
  <c r="IX115" i="83"/>
  <c r="KH115" i="83"/>
  <c r="LN115" i="83"/>
  <c r="MH115" i="83"/>
  <c r="MX115" i="83"/>
  <c r="OD115" i="83"/>
  <c r="PN115" i="83"/>
  <c r="QC115" i="83"/>
  <c r="SS115" i="83"/>
  <c r="TI115" i="83"/>
  <c r="BD124" i="83"/>
  <c r="BT124" i="83"/>
  <c r="CJ124" i="83"/>
  <c r="DT124" i="83"/>
  <c r="EZ124" i="83"/>
  <c r="FS124" i="83"/>
  <c r="GY124" i="83"/>
  <c r="II124" i="83"/>
  <c r="TI124" i="83"/>
  <c r="TM124" i="83"/>
  <c r="TL147" i="83"/>
  <c r="V156" i="83"/>
  <c r="AL156" i="83"/>
  <c r="BB156" i="83"/>
  <c r="BR156" i="83"/>
  <c r="CL156" i="83"/>
  <c r="DB156" i="83"/>
  <c r="DR156" i="83"/>
  <c r="EH156" i="83"/>
  <c r="IX156" i="83"/>
  <c r="JN156" i="83"/>
  <c r="LN156" i="83"/>
  <c r="MD156" i="83"/>
  <c r="OD156" i="83"/>
  <c r="OT156" i="83"/>
  <c r="RJ156" i="83"/>
  <c r="V106" i="83"/>
  <c r="AK106" i="83"/>
  <c r="BD106" i="83"/>
  <c r="BT106" i="83"/>
  <c r="CJ106" i="83"/>
  <c r="CZ106" i="83"/>
  <c r="DD106" i="83"/>
  <c r="DT106" i="83"/>
  <c r="EJ106" i="83"/>
  <c r="EY106" i="83"/>
  <c r="FC106" i="83"/>
  <c r="FR106" i="83"/>
  <c r="GG106" i="83"/>
  <c r="GK106" i="83"/>
  <c r="HA106" i="83"/>
  <c r="HQ106" i="83"/>
  <c r="IG106" i="83"/>
  <c r="IW106" i="83"/>
  <c r="JA106" i="83"/>
  <c r="JQ106" i="83"/>
  <c r="KF106" i="83"/>
  <c r="KY106" i="83"/>
  <c r="MD106" i="83"/>
  <c r="MH106" i="83"/>
  <c r="MX106" i="83"/>
  <c r="NN106" i="83"/>
  <c r="OT106" i="83"/>
  <c r="OX106" i="83"/>
  <c r="PM106" i="83"/>
  <c r="QB106" i="83"/>
  <c r="QF106" i="83"/>
  <c r="QU106" i="83"/>
  <c r="SA106" i="83"/>
  <c r="SE106" i="83"/>
  <c r="SU106" i="83"/>
  <c r="TK106" i="83"/>
  <c r="BX114" i="83"/>
  <c r="EN114" i="83"/>
  <c r="HD114" i="83"/>
  <c r="JT114" i="83"/>
  <c r="MJ114" i="83"/>
  <c r="OZ114" i="83"/>
  <c r="RP114" i="83"/>
  <c r="S115" i="83"/>
  <c r="W115" i="83"/>
  <c r="BS115" i="83"/>
  <c r="EI115" i="83"/>
  <c r="GY115" i="83"/>
  <c r="JO115" i="83"/>
  <c r="ME115" i="83"/>
  <c r="NO115" i="83"/>
  <c r="OU115" i="83"/>
  <c r="PK115" i="83"/>
  <c r="QT115" i="83"/>
  <c r="RJ115" i="83"/>
  <c r="SD115" i="83"/>
  <c r="TJ115" i="83"/>
  <c r="AP123" i="83"/>
  <c r="BX122" i="83"/>
  <c r="DF123" i="83"/>
  <c r="EN122" i="83"/>
  <c r="FV123" i="83"/>
  <c r="IL123" i="83"/>
  <c r="JT122" i="83"/>
  <c r="MJ123" i="83"/>
  <c r="NR123" i="83"/>
  <c r="OZ123" i="83"/>
  <c r="QH123" i="83"/>
  <c r="RP123" i="83"/>
  <c r="SX123" i="83"/>
  <c r="AK124" i="83"/>
  <c r="BA124" i="83"/>
  <c r="BE124" i="83"/>
  <c r="BU124" i="83"/>
  <c r="DQ124" i="83"/>
  <c r="DU124" i="83"/>
  <c r="EK124" i="83"/>
  <c r="GJ124" i="83"/>
  <c r="GZ124" i="83"/>
  <c r="HP124" i="83"/>
  <c r="JO124" i="83"/>
  <c r="MD124" i="83"/>
  <c r="MH124" i="83"/>
  <c r="MX124" i="83"/>
  <c r="OT124" i="83"/>
  <c r="OX124" i="83"/>
  <c r="PN124" i="83"/>
  <c r="QT124" i="83"/>
  <c r="RJ124" i="83"/>
  <c r="RN124" i="83"/>
  <c r="SD124" i="83"/>
  <c r="ST124" i="83"/>
  <c r="BG146" i="83"/>
  <c r="DW146" i="83"/>
  <c r="FE145" i="83"/>
  <c r="GM146" i="83"/>
  <c r="JC146" i="83"/>
  <c r="LS146" i="83"/>
  <c r="BU147" i="83"/>
  <c r="AM147" i="83"/>
  <c r="BC147" i="83"/>
  <c r="BS147" i="83"/>
  <c r="DS147" i="83"/>
  <c r="FS147" i="83"/>
  <c r="GY147" i="83"/>
  <c r="II147" i="83"/>
  <c r="IY147" i="83"/>
  <c r="JO147" i="83"/>
  <c r="KH147" i="83"/>
  <c r="KX147" i="83"/>
  <c r="LN147" i="83"/>
  <c r="PN147" i="83"/>
  <c r="QD147" i="83"/>
  <c r="QT147" i="83"/>
  <c r="RJ147" i="83"/>
  <c r="RN147" i="83"/>
  <c r="SD147" i="83"/>
  <c r="ST147" i="83"/>
  <c r="TJ147" i="83"/>
  <c r="BH123" i="83"/>
  <c r="CP122" i="83"/>
  <c r="NB122" i="83"/>
  <c r="OJ123" i="83"/>
  <c r="SH123" i="83"/>
  <c r="T124" i="83"/>
  <c r="AM124" i="83"/>
  <c r="BS124" i="83"/>
  <c r="DC124" i="83"/>
  <c r="EI124" i="83"/>
  <c r="GX124" i="83"/>
  <c r="HB124" i="83"/>
  <c r="HR124" i="83"/>
  <c r="IW124" i="83"/>
  <c r="JA124" i="83"/>
  <c r="JQ124" i="83"/>
  <c r="LP124" i="83"/>
  <c r="MV124" i="83"/>
  <c r="OF124" i="83"/>
  <c r="PL124" i="83"/>
  <c r="QE124" i="83"/>
  <c r="RK124" i="83"/>
  <c r="SA124" i="83"/>
  <c r="SE124" i="83"/>
  <c r="SU124" i="83"/>
  <c r="U138" i="83"/>
  <c r="AK138" i="83"/>
  <c r="BE138" i="83"/>
  <c r="GG138" i="83"/>
  <c r="IW138" i="83"/>
  <c r="QS138" i="83"/>
  <c r="TI138" i="83"/>
  <c r="KY147" i="83"/>
  <c r="LO147" i="83"/>
  <c r="MU147" i="83"/>
  <c r="MY147" i="83"/>
  <c r="NO147" i="83"/>
  <c r="OE147" i="83"/>
  <c r="OU147" i="83"/>
  <c r="PK147" i="83"/>
  <c r="PO147" i="83"/>
  <c r="QE147" i="83"/>
  <c r="QU147" i="83"/>
  <c r="RK147" i="83"/>
  <c r="SA147" i="83"/>
  <c r="SE147" i="83"/>
  <c r="SU147" i="83"/>
  <c r="TK147" i="83"/>
  <c r="FQ156" i="83"/>
  <c r="KW156" i="83"/>
  <c r="OC156" i="83"/>
  <c r="SS156" i="83"/>
  <c r="TI156" i="83"/>
  <c r="HQ147" i="83"/>
  <c r="IW147" i="83"/>
  <c r="JA147" i="83"/>
  <c r="KV147" i="83"/>
  <c r="KZ147" i="83"/>
  <c r="MV147" i="83"/>
  <c r="NL147" i="83"/>
  <c r="NP147" i="83"/>
  <c r="PL147" i="83"/>
  <c r="QB147" i="83"/>
  <c r="QF147" i="83"/>
  <c r="SB147" i="83"/>
  <c r="SR147" i="83"/>
  <c r="SV147" i="83"/>
  <c r="T156" i="83"/>
  <c r="AJ156" i="83"/>
  <c r="BD156" i="83"/>
  <c r="BT156" i="83"/>
  <c r="CJ156" i="83"/>
  <c r="CZ156" i="83"/>
  <c r="DT156" i="83"/>
  <c r="BB165" i="83"/>
  <c r="GG165" i="83"/>
  <c r="GK165" i="83"/>
  <c r="HA165" i="83"/>
  <c r="JQ165" i="83"/>
  <c r="LM165" i="83"/>
  <c r="LQ165" i="83"/>
  <c r="QS165" i="83"/>
  <c r="QW165" i="83"/>
  <c r="CK138" i="83"/>
  <c r="DA138" i="83"/>
  <c r="DU138" i="83"/>
  <c r="FA138" i="83"/>
  <c r="FQ138" i="83"/>
  <c r="GK138" i="83"/>
  <c r="HQ138" i="83"/>
  <c r="IG138" i="83"/>
  <c r="JA138" i="83"/>
  <c r="KG138" i="83"/>
  <c r="KW138" i="83"/>
  <c r="LQ138" i="83"/>
  <c r="MW138" i="83"/>
  <c r="NM138" i="83"/>
  <c r="OG138" i="83"/>
  <c r="PM138" i="83"/>
  <c r="QC138" i="83"/>
  <c r="QW138" i="83"/>
  <c r="SC138" i="83"/>
  <c r="SS138" i="83"/>
  <c r="TM138" i="83"/>
  <c r="BY145" i="83"/>
  <c r="EO146" i="83"/>
  <c r="RQ146" i="83"/>
  <c r="BD147" i="83"/>
  <c r="DT147" i="83"/>
  <c r="V147" i="83"/>
  <c r="AL147" i="83"/>
  <c r="BB147" i="83"/>
  <c r="CL147" i="83"/>
  <c r="DB147" i="83"/>
  <c r="DR147" i="83"/>
  <c r="FB147" i="83"/>
  <c r="FR147" i="83"/>
  <c r="GH147" i="83"/>
  <c r="HR147" i="83"/>
  <c r="IH147" i="83"/>
  <c r="IX147" i="83"/>
  <c r="KG147" i="83"/>
  <c r="LM147" i="83"/>
  <c r="LQ147" i="83"/>
  <c r="NM147" i="83"/>
  <c r="OC147" i="83"/>
  <c r="OG147" i="83"/>
  <c r="QC147" i="83"/>
  <c r="QS147" i="83"/>
  <c r="QW147" i="83"/>
  <c r="SS147" i="83"/>
  <c r="TI147" i="83"/>
  <c r="TM147" i="83"/>
  <c r="U156" i="83"/>
  <c r="AK156" i="83"/>
  <c r="CK156" i="83"/>
  <c r="DA156" i="83"/>
  <c r="DU156" i="83"/>
  <c r="EK156" i="83"/>
  <c r="QS156" i="83"/>
  <c r="AM165" i="83"/>
  <c r="FR165" i="83"/>
  <c r="IH165" i="83"/>
  <c r="KX165" i="83"/>
  <c r="LN165" i="83"/>
  <c r="BA165" i="83"/>
  <c r="BE165" i="83"/>
  <c r="JP165" i="83"/>
  <c r="BX123" i="83"/>
  <c r="NA122" i="83"/>
  <c r="EN123" i="83"/>
  <c r="JT123" i="83"/>
  <c r="SG123" i="83"/>
  <c r="SG124" i="83" s="1"/>
  <c r="CO104" i="83"/>
  <c r="HD104" i="83"/>
  <c r="IL104" i="83"/>
  <c r="IL106" i="83" s="1"/>
  <c r="NA104" i="83"/>
  <c r="RP104" i="83"/>
  <c r="RP106" i="83" s="1"/>
  <c r="SX104" i="83"/>
  <c r="SX106" i="83" s="1"/>
  <c r="Y113" i="83"/>
  <c r="Y115" i="83" s="1"/>
  <c r="LS122" i="83"/>
  <c r="LS124" i="83" s="1"/>
  <c r="HU163" i="83"/>
  <c r="HU165" i="83" s="1"/>
  <c r="NA164" i="83"/>
  <c r="LS145" i="83"/>
  <c r="BX104" i="83"/>
  <c r="DF104" i="83"/>
  <c r="DF106" i="83" s="1"/>
  <c r="HU104" i="83"/>
  <c r="MJ104" i="83"/>
  <c r="MJ106" i="83" s="1"/>
  <c r="NR104" i="83"/>
  <c r="NR106" i="83" s="1"/>
  <c r="SG104" i="83"/>
  <c r="BG122" i="83"/>
  <c r="Y163" i="83"/>
  <c r="SG163" i="83"/>
  <c r="SG165" i="83" s="1"/>
  <c r="KL113" i="83"/>
  <c r="KL115" i="83" s="1"/>
  <c r="QZ113" i="83"/>
  <c r="QZ115" i="83" s="1"/>
  <c r="LT114" i="83"/>
  <c r="LT115" i="83" s="1"/>
  <c r="NS123" i="83"/>
  <c r="NS124" i="83" s="1"/>
  <c r="RQ145" i="83"/>
  <c r="RQ147" i="83" s="1"/>
  <c r="MK146" i="83"/>
  <c r="MK147" i="83" s="1"/>
  <c r="Z104" i="83"/>
  <c r="Z106" i="83" s="1"/>
  <c r="BH104" i="83"/>
  <c r="BH106" i="83" s="1"/>
  <c r="FF104" i="83"/>
  <c r="FF106" i="83" s="1"/>
  <c r="GN104" i="83"/>
  <c r="GN106" i="83" s="1"/>
  <c r="KL104" i="83"/>
  <c r="KL106" i="83" s="1"/>
  <c r="LT104" i="83"/>
  <c r="LT106" i="83" s="1"/>
  <c r="PR104" i="83"/>
  <c r="PR106" i="83" s="1"/>
  <c r="QZ104" i="83"/>
  <c r="QZ106" i="83" s="1"/>
  <c r="EO145" i="83"/>
  <c r="BY146" i="83"/>
  <c r="EX94" i="83"/>
  <c r="CP114" i="83"/>
  <c r="CP115" i="83" s="1"/>
  <c r="BY122" i="83"/>
  <c r="BY124" i="83" s="1"/>
  <c r="TP145" i="83"/>
  <c r="TP147" i="83" s="1"/>
  <c r="EX95" i="83"/>
  <c r="OS95" i="83"/>
  <c r="JU122" i="83"/>
  <c r="JU124" i="83" s="1"/>
  <c r="GN145" i="83"/>
  <c r="GN147" i="83" s="1"/>
  <c r="DX146" i="83"/>
  <c r="DX147" i="83" s="1"/>
  <c r="OJ145" i="83"/>
  <c r="HE122" i="83"/>
  <c r="HE124" i="83" s="1"/>
  <c r="PA122" i="83"/>
  <c r="PA124" i="83" s="1"/>
  <c r="HE146" i="83"/>
  <c r="HE147" i="83" s="1"/>
  <c r="JD146" i="83"/>
  <c r="JD147" i="83" s="1"/>
  <c r="RZ94" i="83"/>
  <c r="NK94" i="83"/>
  <c r="NB94" i="83"/>
  <c r="CH95" i="83"/>
  <c r="BQ94" i="83"/>
  <c r="SQ94" i="83"/>
  <c r="CY95" i="83"/>
  <c r="IM113" i="83"/>
  <c r="IM115" i="83" s="1"/>
  <c r="AQ114" i="83"/>
  <c r="AQ115" i="83" s="1"/>
  <c r="LT122" i="83"/>
  <c r="LT124" i="83" s="1"/>
  <c r="SQ95" i="83"/>
  <c r="JU104" i="83"/>
  <c r="JU106" i="83" s="1"/>
  <c r="SY104" i="83"/>
  <c r="SY106" i="83" s="1"/>
  <c r="DG105" i="83"/>
  <c r="DG106" i="83" s="1"/>
  <c r="EO105" i="83"/>
  <c r="EO106" i="83" s="1"/>
  <c r="IM105" i="83"/>
  <c r="IM106" i="83" s="1"/>
  <c r="PA105" i="83"/>
  <c r="PA106" i="83" s="1"/>
  <c r="FW113" i="83"/>
  <c r="FW115" i="83" s="1"/>
  <c r="DX122" i="83"/>
  <c r="DX124" i="83" s="1"/>
  <c r="KL123" i="83"/>
  <c r="KL124" i="83" s="1"/>
  <c r="CP104" i="83"/>
  <c r="CP106" i="83" s="1"/>
  <c r="HV104" i="83"/>
  <c r="HV106" i="83" s="1"/>
  <c r="NB104" i="83"/>
  <c r="NB106" i="83" s="1"/>
  <c r="SH104" i="83"/>
  <c r="SH106" i="83" s="1"/>
  <c r="Z113" i="83"/>
  <c r="Z115" i="83" s="1"/>
  <c r="BH113" i="83"/>
  <c r="BH115" i="83" s="1"/>
  <c r="HV113" i="83"/>
  <c r="HV115" i="83" s="1"/>
  <c r="LC113" i="83"/>
  <c r="LC115" i="83" s="1"/>
  <c r="SY113" i="83"/>
  <c r="SY115" i="83" s="1"/>
  <c r="MK122" i="83"/>
  <c r="MK124" i="83" s="1"/>
  <c r="QZ122" i="83"/>
  <c r="QZ124" i="83" s="1"/>
  <c r="Z123" i="83"/>
  <c r="Z124" i="83" s="1"/>
  <c r="DG123" i="83"/>
  <c r="DG124" i="83" s="1"/>
  <c r="QZ145" i="83"/>
  <c r="QZ147" i="83" s="1"/>
  <c r="BH146" i="83"/>
  <c r="LT146" i="83"/>
  <c r="LT147" i="83" s="1"/>
  <c r="NK95" i="83"/>
  <c r="FF123" i="83"/>
  <c r="FF124" i="83" s="1"/>
  <c r="NS104" i="83"/>
  <c r="NS106" i="83" s="1"/>
  <c r="NS113" i="83"/>
  <c r="NS115" i="83" s="1"/>
  <c r="JD122" i="83"/>
  <c r="JD124" i="83" s="1"/>
  <c r="RZ95" i="83"/>
  <c r="CH94" i="83"/>
  <c r="TY94" i="83"/>
  <c r="AQ104" i="83"/>
  <c r="AQ106" i="83" s="1"/>
  <c r="FW104" i="83"/>
  <c r="FW106" i="83" s="1"/>
  <c r="LC104" i="83"/>
  <c r="LC106" i="83" s="1"/>
  <c r="QI104" i="83"/>
  <c r="QI106" i="83" s="1"/>
  <c r="DG113" i="83"/>
  <c r="DG115" i="83" s="1"/>
  <c r="FF113" i="83"/>
  <c r="FF115" i="83" s="1"/>
  <c r="GN113" i="83"/>
  <c r="GN115" i="83" s="1"/>
  <c r="NB113" i="83"/>
  <c r="NB115" i="83" s="1"/>
  <c r="QI113" i="83"/>
  <c r="QI115" i="83" s="1"/>
  <c r="BH122" i="83"/>
  <c r="GN122" i="83"/>
  <c r="GN124" i="83" s="1"/>
  <c r="OJ122" i="83"/>
  <c r="PR123" i="83"/>
  <c r="PR124" i="83" s="1"/>
  <c r="JD104" i="83"/>
  <c r="JD106" i="83" s="1"/>
  <c r="TP104" i="83"/>
  <c r="TP106" i="83" s="1"/>
  <c r="OJ105" i="83"/>
  <c r="OJ106" i="83" s="1"/>
  <c r="FE113" i="83"/>
  <c r="KK113" i="83"/>
  <c r="KK115" i="83" s="1"/>
  <c r="PQ113" i="83"/>
  <c r="BT115" i="83"/>
  <c r="EJ115" i="83"/>
  <c r="JD114" i="83"/>
  <c r="JD115" i="83" s="1"/>
  <c r="MF115" i="83"/>
  <c r="OJ114" i="83"/>
  <c r="OJ115" i="83" s="1"/>
  <c r="RL115" i="83"/>
  <c r="TP114" i="83"/>
  <c r="TP115" i="83" s="1"/>
  <c r="OI122" i="83"/>
  <c r="BG137" i="83"/>
  <c r="BG136" i="83"/>
  <c r="JU137" i="83"/>
  <c r="JU136" i="83"/>
  <c r="EK138" i="83"/>
  <c r="KZ138" i="83"/>
  <c r="PR146" i="83"/>
  <c r="PR145" i="83"/>
  <c r="GM164" i="83"/>
  <c r="GM163" i="83"/>
  <c r="OJ95" i="83"/>
  <c r="DF114" i="83"/>
  <c r="DF113" i="83"/>
  <c r="GM114" i="83"/>
  <c r="GM113" i="83"/>
  <c r="NR114" i="83"/>
  <c r="NR113" i="83"/>
  <c r="SX114" i="83"/>
  <c r="SX113" i="83"/>
  <c r="QU115" i="83"/>
  <c r="TK115" i="83"/>
  <c r="SH122" i="83"/>
  <c r="AQ123" i="83"/>
  <c r="AQ124" i="83" s="1"/>
  <c r="LC123" i="83"/>
  <c r="LC124" i="83" s="1"/>
  <c r="NB123" i="83"/>
  <c r="NB124" i="83" s="1"/>
  <c r="QI123" i="83"/>
  <c r="QI124" i="83" s="1"/>
  <c r="DF137" i="83"/>
  <c r="DF136" i="83"/>
  <c r="LT137" i="83"/>
  <c r="LT136" i="83"/>
  <c r="NR137" i="83"/>
  <c r="NR136" i="83"/>
  <c r="JQ138" i="83"/>
  <c r="QB138" i="83"/>
  <c r="QF138" i="83"/>
  <c r="IM145" i="83"/>
  <c r="IM146" i="83"/>
  <c r="CO113" i="83"/>
  <c r="HU113" i="83"/>
  <c r="HU115" i="83" s="1"/>
  <c r="NA113" i="83"/>
  <c r="SG113" i="83"/>
  <c r="SG115" i="83" s="1"/>
  <c r="DB115" i="83"/>
  <c r="FR115" i="83"/>
  <c r="IH115" i="83"/>
  <c r="KX115" i="83"/>
  <c r="NN115" i="83"/>
  <c r="PR115" i="83"/>
  <c r="QD115" i="83"/>
  <c r="SH115" i="83"/>
  <c r="ST115" i="83"/>
  <c r="GM123" i="83"/>
  <c r="DW122" i="83"/>
  <c r="DW124" i="83" s="1"/>
  <c r="QY122" i="83"/>
  <c r="QY124" i="83" s="1"/>
  <c r="Y122" i="83"/>
  <c r="Y124" i="83" s="1"/>
  <c r="HD122" i="83"/>
  <c r="EO137" i="83"/>
  <c r="EO136" i="83"/>
  <c r="GM137" i="83"/>
  <c r="GM136" i="83"/>
  <c r="PA137" i="83"/>
  <c r="PA136" i="83"/>
  <c r="QY137" i="83"/>
  <c r="QY136" i="83"/>
  <c r="AJ138" i="83"/>
  <c r="AN138" i="83"/>
  <c r="OW138" i="83"/>
  <c r="SY146" i="83"/>
  <c r="SY145" i="83"/>
  <c r="NA155" i="83"/>
  <c r="NA154" i="83"/>
  <c r="DX104" i="83"/>
  <c r="DX106" i="83" s="1"/>
  <c r="DX113" i="83"/>
  <c r="DX115" i="83" s="1"/>
  <c r="GZ115" i="83"/>
  <c r="JP115" i="83"/>
  <c r="OV115" i="83"/>
  <c r="GM122" i="83"/>
  <c r="HD123" i="83"/>
  <c r="LS137" i="83"/>
  <c r="LS136" i="83"/>
  <c r="KV138" i="83"/>
  <c r="SH94" i="83"/>
  <c r="BG114" i="83"/>
  <c r="BG113" i="83"/>
  <c r="IL114" i="83"/>
  <c r="IL113" i="83"/>
  <c r="LS114" i="83"/>
  <c r="LS113" i="83"/>
  <c r="QY114" i="83"/>
  <c r="QY113" i="83"/>
  <c r="BC115" i="83"/>
  <c r="DS115" i="83"/>
  <c r="GI115" i="83"/>
  <c r="IY115" i="83"/>
  <c r="LO115" i="83"/>
  <c r="OE115" i="83"/>
  <c r="TP123" i="83"/>
  <c r="CP123" i="83"/>
  <c r="FW123" i="83"/>
  <c r="FW124" i="83" s="1"/>
  <c r="HV123" i="83"/>
  <c r="HV124" i="83" s="1"/>
  <c r="BH137" i="83"/>
  <c r="BH136" i="83"/>
  <c r="CY94" i="83"/>
  <c r="BQ95" i="83"/>
  <c r="TY95" i="83"/>
  <c r="BG104" i="83"/>
  <c r="BY104" i="83"/>
  <c r="BY106" i="83" s="1"/>
  <c r="DW104" i="83"/>
  <c r="GM104" i="83"/>
  <c r="HE104" i="83"/>
  <c r="HE106" i="83" s="1"/>
  <c r="JC104" i="83"/>
  <c r="LS104" i="83"/>
  <c r="MK104" i="83"/>
  <c r="MK106" i="83" s="1"/>
  <c r="OI104" i="83"/>
  <c r="QY104" i="83"/>
  <c r="RQ104" i="83"/>
  <c r="RQ106" i="83" s="1"/>
  <c r="TO104" i="83"/>
  <c r="BG105" i="83"/>
  <c r="BG106" i="83" s="1"/>
  <c r="DW105" i="83"/>
  <c r="GM105" i="83"/>
  <c r="JC105" i="83"/>
  <c r="LS105" i="83"/>
  <c r="OI105" i="83"/>
  <c r="QY105" i="83"/>
  <c r="TO105" i="83"/>
  <c r="TO106" i="83" s="1"/>
  <c r="AP114" i="83"/>
  <c r="AP113" i="83"/>
  <c r="DW114" i="83"/>
  <c r="DW113" i="83"/>
  <c r="FV114" i="83"/>
  <c r="FV113" i="83"/>
  <c r="JC114" i="83"/>
  <c r="JC113" i="83"/>
  <c r="LB114" i="83"/>
  <c r="LB113" i="83"/>
  <c r="OI114" i="83"/>
  <c r="OI113" i="83"/>
  <c r="QH114" i="83"/>
  <c r="QH113" i="83"/>
  <c r="TO114" i="83"/>
  <c r="TO113" i="83"/>
  <c r="BY113" i="83"/>
  <c r="BY115" i="83" s="1"/>
  <c r="EO113" i="83"/>
  <c r="EO115" i="83" s="1"/>
  <c r="HE113" i="83"/>
  <c r="HE115" i="83" s="1"/>
  <c r="JU113" i="83"/>
  <c r="JU115" i="83" s="1"/>
  <c r="MK113" i="83"/>
  <c r="MK115" i="83" s="1"/>
  <c r="PA113" i="83"/>
  <c r="PA115" i="83" s="1"/>
  <c r="RQ113" i="83"/>
  <c r="RQ115" i="83" s="1"/>
  <c r="CK115" i="83"/>
  <c r="FA115" i="83"/>
  <c r="HQ115" i="83"/>
  <c r="KG115" i="83"/>
  <c r="MW115" i="83"/>
  <c r="PM115" i="83"/>
  <c r="SC115" i="83"/>
  <c r="LB123" i="83"/>
  <c r="CO122" i="83"/>
  <c r="FE122" i="83"/>
  <c r="FE124" i="83" s="1"/>
  <c r="HU122" i="83"/>
  <c r="KK122" i="83"/>
  <c r="KK124" i="83" s="1"/>
  <c r="MJ122" i="83"/>
  <c r="OZ122" i="83"/>
  <c r="RP122" i="83"/>
  <c r="GN137" i="83"/>
  <c r="GN136" i="83"/>
  <c r="IL137" i="83"/>
  <c r="IL136" i="83"/>
  <c r="QZ137" i="83"/>
  <c r="QZ136" i="83"/>
  <c r="SX137" i="83"/>
  <c r="SX136" i="83"/>
  <c r="FP138" i="83"/>
  <c r="FT138" i="83"/>
  <c r="FF146" i="83"/>
  <c r="FF145" i="83"/>
  <c r="LB155" i="83"/>
  <c r="LB154" i="83"/>
  <c r="JT164" i="83"/>
  <c r="JT163" i="83"/>
  <c r="DC138" i="83"/>
  <c r="II138" i="83"/>
  <c r="JR138" i="83"/>
  <c r="NO138" i="83"/>
  <c r="OX138" i="83"/>
  <c r="CO146" i="83"/>
  <c r="CO145" i="83"/>
  <c r="JT146" i="83"/>
  <c r="JT145" i="83"/>
  <c r="NA146" i="83"/>
  <c r="NA145" i="83"/>
  <c r="MF147" i="83"/>
  <c r="RL147" i="83"/>
  <c r="JD155" i="83"/>
  <c r="JD154" i="83"/>
  <c r="LC155" i="83"/>
  <c r="LC154" i="83"/>
  <c r="S156" i="83"/>
  <c r="W156" i="83"/>
  <c r="LM156" i="83"/>
  <c r="LQ156" i="83"/>
  <c r="QE156" i="83"/>
  <c r="F281" i="83"/>
  <c r="G280" i="83"/>
  <c r="AP122" i="83"/>
  <c r="AP124" i="83" s="1"/>
  <c r="DF122" i="83"/>
  <c r="FV122" i="83"/>
  <c r="IL122" i="83"/>
  <c r="LB122" i="83"/>
  <c r="NR122" i="83"/>
  <c r="QH122" i="83"/>
  <c r="TO122" i="83"/>
  <c r="AJ124" i="83"/>
  <c r="AN124" i="83"/>
  <c r="CZ124" i="83"/>
  <c r="DD124" i="83"/>
  <c r="FP124" i="83"/>
  <c r="FT124" i="83"/>
  <c r="IF124" i="83"/>
  <c r="IJ124" i="83"/>
  <c r="KV124" i="83"/>
  <c r="KZ124" i="83"/>
  <c r="NL124" i="83"/>
  <c r="NP124" i="83"/>
  <c r="QB124" i="83"/>
  <c r="QF124" i="83"/>
  <c r="AP137" i="83"/>
  <c r="AP136" i="83"/>
  <c r="DW137" i="83"/>
  <c r="DW136" i="83"/>
  <c r="FV137" i="83"/>
  <c r="FV136" i="83"/>
  <c r="JC137" i="83"/>
  <c r="JC136" i="83"/>
  <c r="LB137" i="83"/>
  <c r="LB136" i="83"/>
  <c r="OI137" i="83"/>
  <c r="OI136" i="83"/>
  <c r="QH137" i="83"/>
  <c r="QH136" i="83"/>
  <c r="TO137" i="83"/>
  <c r="TO136" i="83"/>
  <c r="BU138" i="83"/>
  <c r="DD138" i="83"/>
  <c r="HA138" i="83"/>
  <c r="IJ138" i="83"/>
  <c r="MG138" i="83"/>
  <c r="NP138" i="83"/>
  <c r="RM138" i="83"/>
  <c r="SV138" i="83"/>
  <c r="Z146" i="83"/>
  <c r="Z145" i="83"/>
  <c r="DG145" i="83"/>
  <c r="DG146" i="83"/>
  <c r="KL145" i="83"/>
  <c r="KL146" i="83"/>
  <c r="NS146" i="83"/>
  <c r="NS145" i="83"/>
  <c r="AJ147" i="83"/>
  <c r="AN147" i="83"/>
  <c r="EI147" i="83"/>
  <c r="GI147" i="83"/>
  <c r="AP155" i="83"/>
  <c r="AP154" i="83"/>
  <c r="CO155" i="83"/>
  <c r="CO154" i="83"/>
  <c r="OW156" i="83"/>
  <c r="EL138" i="83"/>
  <c r="SU138" i="83"/>
  <c r="BX113" i="83"/>
  <c r="EN113" i="83"/>
  <c r="HD113" i="83"/>
  <c r="JT113" i="83"/>
  <c r="MJ113" i="83"/>
  <c r="OZ113" i="83"/>
  <c r="RP113" i="83"/>
  <c r="JC122" i="83"/>
  <c r="JC124" i="83" s="1"/>
  <c r="SX122" i="83"/>
  <c r="TP122" i="83"/>
  <c r="S124" i="83"/>
  <c r="W124" i="83"/>
  <c r="CI124" i="83"/>
  <c r="CM124" i="83"/>
  <c r="EY124" i="83"/>
  <c r="FC124" i="83"/>
  <c r="HO124" i="83"/>
  <c r="HS124" i="83"/>
  <c r="KE124" i="83"/>
  <c r="KI124" i="83"/>
  <c r="MU124" i="83"/>
  <c r="MY124" i="83"/>
  <c r="PK124" i="83"/>
  <c r="PO124" i="83"/>
  <c r="BY137" i="83"/>
  <c r="BY136" i="83"/>
  <c r="DX137" i="83"/>
  <c r="DX136" i="83"/>
  <c r="HE137" i="83"/>
  <c r="HE136" i="83"/>
  <c r="JD137" i="83"/>
  <c r="JD136" i="83"/>
  <c r="MK137" i="83"/>
  <c r="MK136" i="83"/>
  <c r="OJ137" i="83"/>
  <c r="OJ136" i="83"/>
  <c r="RQ137" i="83"/>
  <c r="RQ136" i="83"/>
  <c r="TP137" i="83"/>
  <c r="TP136" i="83"/>
  <c r="AM138" i="83"/>
  <c r="BV138" i="83"/>
  <c r="FS138" i="83"/>
  <c r="HB138" i="83"/>
  <c r="KY138" i="83"/>
  <c r="MH138" i="83"/>
  <c r="QE138" i="83"/>
  <c r="RN138" i="83"/>
  <c r="EN146" i="83"/>
  <c r="HU146" i="83"/>
  <c r="HU145" i="83"/>
  <c r="OZ146" i="83"/>
  <c r="OZ145" i="83"/>
  <c r="SG146" i="83"/>
  <c r="SG145" i="83"/>
  <c r="DC147" i="83"/>
  <c r="OV147" i="83"/>
  <c r="AQ155" i="83"/>
  <c r="AQ154" i="83"/>
  <c r="TP155" i="83"/>
  <c r="TP154" i="83"/>
  <c r="BA156" i="83"/>
  <c r="BE156" i="83"/>
  <c r="FS156" i="83"/>
  <c r="KE156" i="83"/>
  <c r="KI156" i="83"/>
  <c r="Y137" i="83"/>
  <c r="Y136" i="83"/>
  <c r="AQ137" i="83"/>
  <c r="AQ136" i="83"/>
  <c r="CO137" i="83"/>
  <c r="CO136" i="83"/>
  <c r="DG137" i="83"/>
  <c r="DG136" i="83"/>
  <c r="FE137" i="83"/>
  <c r="FE136" i="83"/>
  <c r="FW137" i="83"/>
  <c r="FW136" i="83"/>
  <c r="HU137" i="83"/>
  <c r="HU136" i="83"/>
  <c r="IM137" i="83"/>
  <c r="IM136" i="83"/>
  <c r="KK137" i="83"/>
  <c r="KK136" i="83"/>
  <c r="LC137" i="83"/>
  <c r="LC136" i="83"/>
  <c r="NA137" i="83"/>
  <c r="NA136" i="83"/>
  <c r="NS137" i="83"/>
  <c r="NS136" i="83"/>
  <c r="PQ137" i="83"/>
  <c r="PQ136" i="83"/>
  <c r="QI137" i="83"/>
  <c r="QI136" i="83"/>
  <c r="SG137" i="83"/>
  <c r="SG136" i="83"/>
  <c r="SY137" i="83"/>
  <c r="SY136" i="83"/>
  <c r="AQ145" i="83"/>
  <c r="AQ146" i="83"/>
  <c r="CP146" i="83"/>
  <c r="CP145" i="83"/>
  <c r="FW145" i="83"/>
  <c r="FW146" i="83"/>
  <c r="HV146" i="83"/>
  <c r="HV145" i="83"/>
  <c r="LC145" i="83"/>
  <c r="LC146" i="83"/>
  <c r="NB146" i="83"/>
  <c r="NB145" i="83"/>
  <c r="QI146" i="83"/>
  <c r="QI145" i="83"/>
  <c r="SH146" i="83"/>
  <c r="SH145" i="83"/>
  <c r="MW147" i="83"/>
  <c r="PM147" i="83"/>
  <c r="SC147" i="83"/>
  <c r="DX155" i="83"/>
  <c r="DX154" i="83"/>
  <c r="FV155" i="83"/>
  <c r="FV154" i="83"/>
  <c r="OJ155" i="83"/>
  <c r="OJ154" i="83"/>
  <c r="QH155" i="83"/>
  <c r="QH154" i="83"/>
  <c r="AM156" i="83"/>
  <c r="GG156" i="83"/>
  <c r="GK156" i="83"/>
  <c r="JQ156" i="83"/>
  <c r="KY156" i="83"/>
  <c r="QW156" i="83"/>
  <c r="PA164" i="83"/>
  <c r="PA163" i="83"/>
  <c r="SH164" i="83"/>
  <c r="SH163" i="83"/>
  <c r="Z137" i="83"/>
  <c r="Z136" i="83"/>
  <c r="BX137" i="83"/>
  <c r="BX136" i="83"/>
  <c r="CP137" i="83"/>
  <c r="CP136" i="83"/>
  <c r="EN137" i="83"/>
  <c r="EN136" i="83"/>
  <c r="FF137" i="83"/>
  <c r="FF136" i="83"/>
  <c r="HD137" i="83"/>
  <c r="HD136" i="83"/>
  <c r="HV137" i="83"/>
  <c r="HV136" i="83"/>
  <c r="JT137" i="83"/>
  <c r="JT136" i="83"/>
  <c r="KL137" i="83"/>
  <c r="KL136" i="83"/>
  <c r="MJ137" i="83"/>
  <c r="MJ136" i="83"/>
  <c r="NB137" i="83"/>
  <c r="NB136" i="83"/>
  <c r="OZ137" i="83"/>
  <c r="OZ136" i="83"/>
  <c r="PR137" i="83"/>
  <c r="PR136" i="83"/>
  <c r="RP137" i="83"/>
  <c r="RP136" i="83"/>
  <c r="SH137" i="83"/>
  <c r="SH136" i="83"/>
  <c r="Y146" i="83"/>
  <c r="Y145" i="83"/>
  <c r="BX146" i="83"/>
  <c r="BX145" i="83"/>
  <c r="FE146" i="83"/>
  <c r="HD146" i="83"/>
  <c r="HD147" i="83" s="1"/>
  <c r="KK146" i="83"/>
  <c r="MJ146" i="83"/>
  <c r="MJ145" i="83"/>
  <c r="PQ146" i="83"/>
  <c r="PQ145" i="83"/>
  <c r="RP146" i="83"/>
  <c r="RP145" i="83"/>
  <c r="KK145" i="83"/>
  <c r="BA147" i="83"/>
  <c r="BE147" i="83"/>
  <c r="DQ147" i="83"/>
  <c r="DU147" i="83"/>
  <c r="FW155" i="83"/>
  <c r="FW154" i="83"/>
  <c r="HU155" i="83"/>
  <c r="HU154" i="83"/>
  <c r="QI155" i="83"/>
  <c r="QI154" i="83"/>
  <c r="SG155" i="83"/>
  <c r="SG154" i="83"/>
  <c r="EY156" i="83"/>
  <c r="FC156" i="83"/>
  <c r="PK156" i="83"/>
  <c r="PO156" i="83"/>
  <c r="TO163" i="83"/>
  <c r="OI146" i="83"/>
  <c r="OI145" i="83"/>
  <c r="QY146" i="83"/>
  <c r="QY145" i="83"/>
  <c r="TO146" i="83"/>
  <c r="TO145" i="83"/>
  <c r="AP145" i="83"/>
  <c r="AP147" i="83" s="1"/>
  <c r="BG145" i="83"/>
  <c r="DF145" i="83"/>
  <c r="DW145" i="83"/>
  <c r="DW147" i="83" s="1"/>
  <c r="FV145" i="83"/>
  <c r="IL145" i="83"/>
  <c r="IL147" i="83" s="1"/>
  <c r="LB145" i="83"/>
  <c r="S147" i="83"/>
  <c r="W147" i="83"/>
  <c r="AK147" i="83"/>
  <c r="CI147" i="83"/>
  <c r="CM147" i="83"/>
  <c r="DA147" i="83"/>
  <c r="EY147" i="83"/>
  <c r="FC147" i="83"/>
  <c r="FQ147" i="83"/>
  <c r="HO147" i="83"/>
  <c r="HS147" i="83"/>
  <c r="IG147" i="83"/>
  <c r="KE147" i="83"/>
  <c r="KI147" i="83"/>
  <c r="KW147" i="83"/>
  <c r="Y155" i="83"/>
  <c r="Y154" i="83"/>
  <c r="DF155" i="83"/>
  <c r="DF154" i="83"/>
  <c r="FE155" i="83"/>
  <c r="FE154" i="83"/>
  <c r="IL155" i="83"/>
  <c r="IL154" i="83"/>
  <c r="KK155" i="83"/>
  <c r="KK154" i="83"/>
  <c r="NR155" i="83"/>
  <c r="NR154" i="83"/>
  <c r="PQ155" i="83"/>
  <c r="PQ154" i="83"/>
  <c r="SX155" i="83"/>
  <c r="SX154" i="83"/>
  <c r="DC156" i="83"/>
  <c r="DQ156" i="83"/>
  <c r="II156" i="83"/>
  <c r="IW156" i="83"/>
  <c r="JA156" i="83"/>
  <c r="NO156" i="83"/>
  <c r="OG156" i="83"/>
  <c r="SU156" i="83"/>
  <c r="TM156" i="83"/>
  <c r="EO164" i="83"/>
  <c r="EO163" i="83"/>
  <c r="HV164" i="83"/>
  <c r="HV163" i="83"/>
  <c r="NR146" i="83"/>
  <c r="NR145" i="83"/>
  <c r="QH146" i="83"/>
  <c r="QH145" i="83"/>
  <c r="SX146" i="83"/>
  <c r="SX145" i="83"/>
  <c r="GM145" i="83"/>
  <c r="JC145" i="83"/>
  <c r="T147" i="83"/>
  <c r="BR147" i="83"/>
  <c r="BV147" i="83"/>
  <c r="CJ147" i="83"/>
  <c r="EH147" i="83"/>
  <c r="EL147" i="83"/>
  <c r="EZ147" i="83"/>
  <c r="GX147" i="83"/>
  <c r="HB147" i="83"/>
  <c r="HP147" i="83"/>
  <c r="JN147" i="83"/>
  <c r="JR147" i="83"/>
  <c r="KF147" i="83"/>
  <c r="BH155" i="83"/>
  <c r="BH154" i="83"/>
  <c r="DG155" i="83"/>
  <c r="DG154" i="83"/>
  <c r="GN155" i="83"/>
  <c r="GN154" i="83"/>
  <c r="IM155" i="83"/>
  <c r="IM154" i="83"/>
  <c r="LT155" i="83"/>
  <c r="LT154" i="83"/>
  <c r="NS155" i="83"/>
  <c r="NS154" i="83"/>
  <c r="QZ155" i="83"/>
  <c r="QZ154" i="83"/>
  <c r="SY155" i="83"/>
  <c r="SY154" i="83"/>
  <c r="BU156" i="83"/>
  <c r="CI156" i="83"/>
  <c r="HA156" i="83"/>
  <c r="HO156" i="83"/>
  <c r="HS156" i="83"/>
  <c r="MG156" i="83"/>
  <c r="MY156" i="83"/>
  <c r="RM156" i="83"/>
  <c r="SE156" i="83"/>
  <c r="QY164" i="83"/>
  <c r="QY163" i="83"/>
  <c r="Z155" i="83"/>
  <c r="Z154" i="83"/>
  <c r="BX155" i="83"/>
  <c r="BX154" i="83"/>
  <c r="CP155" i="83"/>
  <c r="CP154" i="83"/>
  <c r="EN155" i="83"/>
  <c r="EN154" i="83"/>
  <c r="FF155" i="83"/>
  <c r="FF154" i="83"/>
  <c r="HD155" i="83"/>
  <c r="HD154" i="83"/>
  <c r="HV155" i="83"/>
  <c r="HV154" i="83"/>
  <c r="JT155" i="83"/>
  <c r="JT154" i="83"/>
  <c r="KL155" i="83"/>
  <c r="KL154" i="83"/>
  <c r="MJ155" i="83"/>
  <c r="MJ154" i="83"/>
  <c r="NB155" i="83"/>
  <c r="NB154" i="83"/>
  <c r="OZ155" i="83"/>
  <c r="OZ154" i="83"/>
  <c r="PR155" i="83"/>
  <c r="PR154" i="83"/>
  <c r="RP155" i="83"/>
  <c r="RP154" i="83"/>
  <c r="SH155" i="83"/>
  <c r="SH154" i="83"/>
  <c r="EL156" i="83"/>
  <c r="FT156" i="83"/>
  <c r="HB156" i="83"/>
  <c r="IJ156" i="83"/>
  <c r="JR156" i="83"/>
  <c r="KZ156" i="83"/>
  <c r="MH156" i="83"/>
  <c r="NP156" i="83"/>
  <c r="OX156" i="83"/>
  <c r="QF156" i="83"/>
  <c r="RN156" i="83"/>
  <c r="SV156" i="83"/>
  <c r="BG163" i="83"/>
  <c r="BG164" i="83"/>
  <c r="JU164" i="83"/>
  <c r="JU163" i="83"/>
  <c r="LS163" i="83"/>
  <c r="LS164" i="83"/>
  <c r="BG155" i="83"/>
  <c r="BG154" i="83"/>
  <c r="BY155" i="83"/>
  <c r="BY154" i="83"/>
  <c r="DW155" i="83"/>
  <c r="DW154" i="83"/>
  <c r="EO155" i="83"/>
  <c r="EO154" i="83"/>
  <c r="GM155" i="83"/>
  <c r="GM154" i="83"/>
  <c r="HE155" i="83"/>
  <c r="HE154" i="83"/>
  <c r="JC155" i="83"/>
  <c r="JC154" i="83"/>
  <c r="JU155" i="83"/>
  <c r="JU154" i="83"/>
  <c r="LS155" i="83"/>
  <c r="LS154" i="83"/>
  <c r="MK155" i="83"/>
  <c r="MK154" i="83"/>
  <c r="OI155" i="83"/>
  <c r="OI154" i="83"/>
  <c r="PA155" i="83"/>
  <c r="PA154" i="83"/>
  <c r="QY155" i="83"/>
  <c r="QY154" i="83"/>
  <c r="RQ155" i="83"/>
  <c r="RQ154" i="83"/>
  <c r="TO155" i="83"/>
  <c r="TO154" i="83"/>
  <c r="FB156" i="83"/>
  <c r="GJ156" i="83"/>
  <c r="HR156" i="83"/>
  <c r="IZ156" i="83"/>
  <c r="KH156" i="83"/>
  <c r="LP156" i="83"/>
  <c r="MX156" i="83"/>
  <c r="OF156" i="83"/>
  <c r="PN156" i="83"/>
  <c r="QV156" i="83"/>
  <c r="SD156" i="83"/>
  <c r="TL156" i="83"/>
  <c r="CP164" i="83"/>
  <c r="CP163" i="83"/>
  <c r="EN164" i="83"/>
  <c r="EN163" i="83"/>
  <c r="NB164" i="83"/>
  <c r="NB163" i="83"/>
  <c r="OZ164" i="83"/>
  <c r="OZ163" i="83"/>
  <c r="JC163" i="83"/>
  <c r="BX164" i="83"/>
  <c r="BX163" i="83"/>
  <c r="DW164" i="83"/>
  <c r="HD164" i="83"/>
  <c r="HD163" i="83"/>
  <c r="JC164" i="83"/>
  <c r="MJ164" i="83"/>
  <c r="MJ163" i="83"/>
  <c r="OI164" i="83"/>
  <c r="RP164" i="83"/>
  <c r="RP163" i="83"/>
  <c r="TO164" i="83"/>
  <c r="DW163" i="83"/>
  <c r="OI163" i="83"/>
  <c r="EJ156" i="83"/>
  <c r="FA156" i="83"/>
  <c r="FR156" i="83"/>
  <c r="GI156" i="83"/>
  <c r="GZ156" i="83"/>
  <c r="HQ156" i="83"/>
  <c r="IH156" i="83"/>
  <c r="IY156" i="83"/>
  <c r="JP156" i="83"/>
  <c r="KG156" i="83"/>
  <c r="KX156" i="83"/>
  <c r="LO156" i="83"/>
  <c r="MF156" i="83"/>
  <c r="MW156" i="83"/>
  <c r="NN156" i="83"/>
  <c r="OE156" i="83"/>
  <c r="OV156" i="83"/>
  <c r="PM156" i="83"/>
  <c r="QD156" i="83"/>
  <c r="QU156" i="83"/>
  <c r="RL156" i="83"/>
  <c r="SC156" i="83"/>
  <c r="ST156" i="83"/>
  <c r="TK156" i="83"/>
  <c r="Z164" i="83"/>
  <c r="Z163" i="83"/>
  <c r="BY164" i="83"/>
  <c r="BY163" i="83"/>
  <c r="FF164" i="83"/>
  <c r="FF163" i="83"/>
  <c r="HE164" i="83"/>
  <c r="HE163" i="83"/>
  <c r="KL164" i="83"/>
  <c r="KL163" i="83"/>
  <c r="MK164" i="83"/>
  <c r="MK163" i="83"/>
  <c r="PR164" i="83"/>
  <c r="PR163" i="83"/>
  <c r="RQ164" i="83"/>
  <c r="RQ163" i="83"/>
  <c r="MV165" i="83"/>
  <c r="AP164" i="83"/>
  <c r="AP163" i="83"/>
  <c r="BH164" i="83"/>
  <c r="BH163" i="83"/>
  <c r="DF164" i="83"/>
  <c r="DF163" i="83"/>
  <c r="DX164" i="83"/>
  <c r="DX163" i="83"/>
  <c r="FV164" i="83"/>
  <c r="FV163" i="83"/>
  <c r="GN164" i="83"/>
  <c r="GN163" i="83"/>
  <c r="IL164" i="83"/>
  <c r="IL163" i="83"/>
  <c r="JD164" i="83"/>
  <c r="JD163" i="83"/>
  <c r="LB164" i="83"/>
  <c r="LB163" i="83"/>
  <c r="LT164" i="83"/>
  <c r="LT163" i="83"/>
  <c r="NR164" i="83"/>
  <c r="NR163" i="83"/>
  <c r="OJ164" i="83"/>
  <c r="OJ163" i="83"/>
  <c r="QH164" i="83"/>
  <c r="QH163" i="83"/>
  <c r="QZ164" i="83"/>
  <c r="QZ163" i="83"/>
  <c r="SX164" i="83"/>
  <c r="SX163" i="83"/>
  <c r="TP164" i="83"/>
  <c r="TP163" i="83"/>
  <c r="GH165" i="83"/>
  <c r="HP165" i="83"/>
  <c r="QT165" i="83"/>
  <c r="SB165" i="83"/>
  <c r="AQ164" i="83"/>
  <c r="AQ163" i="83"/>
  <c r="DG164" i="83"/>
  <c r="DG163" i="83"/>
  <c r="FW164" i="83"/>
  <c r="FW163" i="83"/>
  <c r="IM164" i="83"/>
  <c r="IM163" i="83"/>
  <c r="LC164" i="83"/>
  <c r="LC163" i="83"/>
  <c r="NS164" i="83"/>
  <c r="NS163" i="83"/>
  <c r="QI164" i="83"/>
  <c r="QI163" i="83"/>
  <c r="SY164" i="83"/>
  <c r="SY163" i="83"/>
  <c r="FE163" i="83"/>
  <c r="FE165" i="83" s="1"/>
  <c r="KK163" i="83"/>
  <c r="PQ163" i="83"/>
  <c r="PQ165" i="83" s="1"/>
  <c r="T165" i="83"/>
  <c r="V165" i="83"/>
  <c r="DQ165" i="83"/>
  <c r="DU165" i="83"/>
  <c r="EZ165" i="83"/>
  <c r="IW165" i="83"/>
  <c r="JA165" i="83"/>
  <c r="KF165" i="83"/>
  <c r="OC165" i="83"/>
  <c r="OG165" i="83"/>
  <c r="PL165" i="83"/>
  <c r="TI165" i="83"/>
  <c r="TM165" i="83"/>
  <c r="S165" i="83"/>
  <c r="W165" i="83"/>
  <c r="CI165" i="83"/>
  <c r="CM165" i="83"/>
  <c r="DR165" i="83"/>
  <c r="HO165" i="83"/>
  <c r="HS165" i="83"/>
  <c r="IX165" i="83"/>
  <c r="MU165" i="83"/>
  <c r="MY165" i="83"/>
  <c r="OD165" i="83"/>
  <c r="SA165" i="83"/>
  <c r="SE165" i="83"/>
  <c r="TJ165" i="83"/>
  <c r="U165" i="83"/>
  <c r="AJ165" i="83"/>
  <c r="AN165" i="83"/>
  <c r="BR165" i="83"/>
  <c r="BV165" i="83"/>
  <c r="CZ165" i="83"/>
  <c r="DD165" i="83"/>
  <c r="EH165" i="83"/>
  <c r="EL165" i="83"/>
  <c r="FA165" i="83"/>
  <c r="FP165" i="83"/>
  <c r="FT165" i="83"/>
  <c r="GX165" i="83"/>
  <c r="HB165" i="83"/>
  <c r="HQ165" i="83"/>
  <c r="IF165" i="83"/>
  <c r="IJ165" i="83"/>
  <c r="JN165" i="83"/>
  <c r="JR165" i="83"/>
  <c r="KV165" i="83"/>
  <c r="KZ165" i="83"/>
  <c r="LO165" i="83"/>
  <c r="MD165" i="83"/>
  <c r="MH165" i="83"/>
  <c r="NL165" i="83"/>
  <c r="NP165" i="83"/>
  <c r="OT165" i="83"/>
  <c r="OX165" i="83"/>
  <c r="QB165" i="83"/>
  <c r="QF165" i="83"/>
  <c r="RJ165" i="83"/>
  <c r="RN165" i="83"/>
  <c r="SR165" i="83"/>
  <c r="SV165" i="83"/>
  <c r="J223" i="83"/>
  <c r="J231" i="83"/>
  <c r="FB165" i="83"/>
  <c r="FQ165" i="83"/>
  <c r="GY165" i="83"/>
  <c r="HR165" i="83"/>
  <c r="IG165" i="83"/>
  <c r="JO165" i="83"/>
  <c r="KW165" i="83"/>
  <c r="ME165" i="83"/>
  <c r="NM165" i="83"/>
  <c r="OU165" i="83"/>
  <c r="QC165" i="83"/>
  <c r="RK165" i="83"/>
  <c r="SS165" i="83"/>
  <c r="AL165" i="83"/>
  <c r="BC165" i="83"/>
  <c r="BT165" i="83"/>
  <c r="CK165" i="83"/>
  <c r="DB165" i="83"/>
  <c r="DS165" i="83"/>
  <c r="EJ165" i="83"/>
  <c r="MF165" i="83"/>
  <c r="MW165" i="83"/>
  <c r="NN165" i="83"/>
  <c r="OE165" i="83"/>
  <c r="OV165" i="83"/>
  <c r="PM165" i="83"/>
  <c r="QD165" i="83"/>
  <c r="QU165" i="83"/>
  <c r="RL165" i="83"/>
  <c r="SC165" i="83"/>
  <c r="ST165" i="83"/>
  <c r="TK165" i="83"/>
  <c r="J226" i="83"/>
  <c r="J229" i="83"/>
  <c r="LP165" i="83"/>
  <c r="MG165" i="83"/>
  <c r="MX165" i="83"/>
  <c r="NO165" i="83"/>
  <c r="OF165" i="83"/>
  <c r="OW165" i="83"/>
  <c r="PN165" i="83"/>
  <c r="QE165" i="83"/>
  <c r="QV165" i="83"/>
  <c r="RM165" i="83"/>
  <c r="SD165" i="83"/>
  <c r="SU165" i="83"/>
  <c r="TL165" i="83"/>
  <c r="J235" i="83"/>
  <c r="J225" i="83"/>
  <c r="J233" i="83"/>
  <c r="J222" i="83"/>
  <c r="J236" i="83"/>
  <c r="J232" i="83"/>
  <c r="J228" i="83"/>
  <c r="J224" i="83"/>
  <c r="J230" i="83"/>
  <c r="F278" i="83"/>
  <c r="G278" i="83"/>
  <c r="LB147" i="83" l="1"/>
  <c r="EN147" i="83"/>
  <c r="NA115" i="83"/>
  <c r="Y165" i="83"/>
  <c r="JT124" i="83"/>
  <c r="GM147" i="83"/>
  <c r="JT115" i="83"/>
  <c r="BG124" i="83"/>
  <c r="NA165" i="83"/>
  <c r="AP106" i="83"/>
  <c r="KK106" i="83"/>
  <c r="LB106" i="83"/>
  <c r="QH106" i="83"/>
  <c r="TO124" i="83"/>
  <c r="HU124" i="83"/>
  <c r="CO115" i="83"/>
  <c r="BH124" i="83"/>
  <c r="BH147" i="83"/>
  <c r="NA124" i="83"/>
  <c r="PQ106" i="83"/>
  <c r="CP124" i="83"/>
  <c r="BG147" i="83"/>
  <c r="FV147" i="83"/>
  <c r="RP124" i="83"/>
  <c r="OI124" i="83"/>
  <c r="PQ115" i="83"/>
  <c r="OJ147" i="83"/>
  <c r="HD106" i="83"/>
  <c r="CO106" i="83"/>
  <c r="KK165" i="83"/>
  <c r="JC147" i="83"/>
  <c r="DF147" i="83"/>
  <c r="MJ115" i="83"/>
  <c r="BX115" i="83"/>
  <c r="MJ124" i="83"/>
  <c r="CO124" i="83"/>
  <c r="FE115" i="83"/>
  <c r="BY147" i="83"/>
  <c r="BX106" i="83"/>
  <c r="FV106" i="83"/>
  <c r="EN124" i="83"/>
  <c r="EO124" i="83"/>
  <c r="RQ124" i="83"/>
  <c r="DF124" i="83"/>
  <c r="EO147" i="83"/>
  <c r="QH124" i="83"/>
  <c r="SH124" i="83"/>
  <c r="NA106" i="83"/>
  <c r="JT106" i="83"/>
  <c r="CO156" i="83"/>
  <c r="TO138" i="83"/>
  <c r="JC138" i="83"/>
  <c r="OZ106" i="83"/>
  <c r="EN106" i="83"/>
  <c r="KL147" i="83"/>
  <c r="BX124" i="83"/>
  <c r="JC115" i="83"/>
  <c r="DW115" i="83"/>
  <c r="QY106" i="83"/>
  <c r="LS147" i="83"/>
  <c r="SG106" i="83"/>
  <c r="NA138" i="83"/>
  <c r="FE138" i="83"/>
  <c r="JT147" i="83"/>
  <c r="RP165" i="83"/>
  <c r="PQ138" i="83"/>
  <c r="HU138" i="83"/>
  <c r="Y138" i="83"/>
  <c r="RP115" i="83"/>
  <c r="OJ124" i="83"/>
  <c r="QH165" i="83"/>
  <c r="LB165" i="83"/>
  <c r="FV165" i="83"/>
  <c r="AP165" i="83"/>
  <c r="BX165" i="83"/>
  <c r="KK156" i="83"/>
  <c r="Y156" i="83"/>
  <c r="TO147" i="83"/>
  <c r="OI147" i="83"/>
  <c r="FE147" i="83"/>
  <c r="HU147" i="83"/>
  <c r="OZ115" i="83"/>
  <c r="EN115" i="83"/>
  <c r="FV124" i="83"/>
  <c r="JT165" i="83"/>
  <c r="OZ124" i="83"/>
  <c r="AP115" i="83"/>
  <c r="GM165" i="83"/>
  <c r="JC165" i="83"/>
  <c r="SG138" i="83"/>
  <c r="KK138" i="83"/>
  <c r="CO138" i="83"/>
  <c r="HD115" i="83"/>
  <c r="IL124" i="83"/>
  <c r="SX165" i="83"/>
  <c r="NR165" i="83"/>
  <c r="IL165" i="83"/>
  <c r="DF165" i="83"/>
  <c r="EN165" i="83"/>
  <c r="SX124" i="83"/>
  <c r="NR124" i="83"/>
  <c r="JC106" i="83"/>
  <c r="QY138" i="83"/>
  <c r="HU106" i="83"/>
  <c r="SX156" i="83"/>
  <c r="IL156" i="83"/>
  <c r="HU156" i="83"/>
  <c r="Y147" i="83"/>
  <c r="OZ138" i="83"/>
  <c r="JT138" i="83"/>
  <c r="EN138" i="83"/>
  <c r="SX138" i="83"/>
  <c r="NR138" i="83"/>
  <c r="RP156" i="83"/>
  <c r="OZ156" i="83"/>
  <c r="MJ156" i="83"/>
  <c r="JT156" i="83"/>
  <c r="HD156" i="83"/>
  <c r="EN156" i="83"/>
  <c r="BX156" i="83"/>
  <c r="SX147" i="83"/>
  <c r="NR147" i="83"/>
  <c r="MJ147" i="83"/>
  <c r="FV156" i="83"/>
  <c r="CO147" i="83"/>
  <c r="LB156" i="83"/>
  <c r="FV115" i="83"/>
  <c r="SG156" i="83"/>
  <c r="RP138" i="83"/>
  <c r="MJ138" i="83"/>
  <c r="HD138" i="83"/>
  <c r="BX138" i="83"/>
  <c r="QH138" i="83"/>
  <c r="FV138" i="83"/>
  <c r="IL138" i="83"/>
  <c r="IL115" i="83"/>
  <c r="GM115" i="83"/>
  <c r="LS165" i="83"/>
  <c r="BG165" i="83"/>
  <c r="SY165" i="83"/>
  <c r="NS165" i="83"/>
  <c r="NB165" i="83"/>
  <c r="RQ156" i="83"/>
  <c r="PA156" i="83"/>
  <c r="MK156" i="83"/>
  <c r="JU156" i="83"/>
  <c r="HE156" i="83"/>
  <c r="EO156" i="83"/>
  <c r="BJ112" i="83"/>
  <c r="BK112" i="83" s="1"/>
  <c r="SH147" i="83"/>
  <c r="NB147" i="83"/>
  <c r="HV147" i="83"/>
  <c r="CP147" i="83"/>
  <c r="EO138" i="83"/>
  <c r="BY156" i="83"/>
  <c r="JU165" i="83"/>
  <c r="EO165" i="83"/>
  <c r="LC147" i="83"/>
  <c r="FW147" i="83"/>
  <c r="AQ147" i="83"/>
  <c r="TP156" i="83"/>
  <c r="BH138" i="83"/>
  <c r="PR147" i="83"/>
  <c r="QZ156" i="83"/>
  <c r="GN156" i="83"/>
  <c r="SH165" i="83"/>
  <c r="TP138" i="83"/>
  <c r="JD138" i="83"/>
  <c r="NS147" i="83"/>
  <c r="SY147" i="83"/>
  <c r="FW165" i="83"/>
  <c r="AQ165" i="83"/>
  <c r="RQ165" i="83"/>
  <c r="MK165" i="83"/>
  <c r="HE165" i="83"/>
  <c r="BY165" i="83"/>
  <c r="DX156" i="83"/>
  <c r="FF147" i="83"/>
  <c r="LT156" i="83"/>
  <c r="BH156" i="83"/>
  <c r="OJ138" i="83"/>
  <c r="DX138" i="83"/>
  <c r="DW165" i="83"/>
  <c r="QI165" i="83"/>
  <c r="IM165" i="83"/>
  <c r="TO165" i="83"/>
  <c r="MJ165" i="83"/>
  <c r="OZ165" i="83"/>
  <c r="TO156" i="83"/>
  <c r="QY156" i="83"/>
  <c r="OI156" i="83"/>
  <c r="LS156" i="83"/>
  <c r="JC156" i="83"/>
  <c r="GM156" i="83"/>
  <c r="DW156" i="83"/>
  <c r="BG156" i="83"/>
  <c r="SH156" i="83"/>
  <c r="PR156" i="83"/>
  <c r="NB156" i="83"/>
  <c r="KL156" i="83"/>
  <c r="HV156" i="83"/>
  <c r="FF156" i="83"/>
  <c r="CP156" i="83"/>
  <c r="Z156" i="83"/>
  <c r="QY165" i="83"/>
  <c r="QH147" i="83"/>
  <c r="NR156" i="83"/>
  <c r="DF156" i="83"/>
  <c r="QI156" i="83"/>
  <c r="PQ147" i="83"/>
  <c r="BX147" i="83"/>
  <c r="OJ156" i="83"/>
  <c r="SY138" i="83"/>
  <c r="QI138" i="83"/>
  <c r="NS138" i="83"/>
  <c r="LC138" i="83"/>
  <c r="IM138" i="83"/>
  <c r="FW138" i="83"/>
  <c r="DG138" i="83"/>
  <c r="AQ138" i="83"/>
  <c r="AQ156" i="83"/>
  <c r="OZ147" i="83"/>
  <c r="LB138" i="83"/>
  <c r="AP138" i="83"/>
  <c r="JD156" i="83"/>
  <c r="QZ138" i="83"/>
  <c r="OI115" i="83"/>
  <c r="LB115" i="83"/>
  <c r="GM106" i="83"/>
  <c r="TP124" i="83"/>
  <c r="QY115" i="83"/>
  <c r="LS115" i="83"/>
  <c r="BG115" i="83"/>
  <c r="GM138" i="83"/>
  <c r="DF138" i="83"/>
  <c r="BG138" i="83"/>
  <c r="LC165" i="83"/>
  <c r="DG165" i="83"/>
  <c r="TP165" i="83"/>
  <c r="QZ165" i="83"/>
  <c r="OJ165" i="83"/>
  <c r="LT165" i="83"/>
  <c r="JD165" i="83"/>
  <c r="GN165" i="83"/>
  <c r="DX165" i="83"/>
  <c r="BH165" i="83"/>
  <c r="PR165" i="83"/>
  <c r="KL165" i="83"/>
  <c r="FF165" i="83"/>
  <c r="Z165" i="83"/>
  <c r="OI165" i="83"/>
  <c r="HD165" i="83"/>
  <c r="CP165" i="83"/>
  <c r="SY156" i="83"/>
  <c r="NS156" i="83"/>
  <c r="IM156" i="83"/>
  <c r="DG156" i="83"/>
  <c r="HV165" i="83"/>
  <c r="PQ156" i="83"/>
  <c r="FE156" i="83"/>
  <c r="QY147" i="83"/>
  <c r="FW156" i="83"/>
  <c r="RP147" i="83"/>
  <c r="KK147" i="83"/>
  <c r="SH138" i="83"/>
  <c r="PR138" i="83"/>
  <c r="NB138" i="83"/>
  <c r="KL138" i="83"/>
  <c r="HV138" i="83"/>
  <c r="FF138" i="83"/>
  <c r="CP138" i="83"/>
  <c r="Z138" i="83"/>
  <c r="PA165" i="83"/>
  <c r="QH156" i="83"/>
  <c r="QI147" i="83"/>
  <c r="SG147" i="83"/>
  <c r="RQ138" i="83"/>
  <c r="MK138" i="83"/>
  <c r="HE138" i="83"/>
  <c r="BY138" i="83"/>
  <c r="AP156" i="83"/>
  <c r="Z147" i="83"/>
  <c r="OI138" i="83"/>
  <c r="DW138" i="83"/>
  <c r="LC156" i="83"/>
  <c r="NA147" i="83"/>
  <c r="GN138" i="83"/>
  <c r="TO115" i="83"/>
  <c r="QH115" i="83"/>
  <c r="OI106" i="83"/>
  <c r="DW106" i="83"/>
  <c r="LS138" i="83"/>
  <c r="HD124" i="83"/>
  <c r="NA156" i="83"/>
  <c r="PA138" i="83"/>
  <c r="GM124" i="83"/>
  <c r="IM147" i="83"/>
  <c r="LT138" i="83"/>
  <c r="SX115" i="83"/>
  <c r="NR115" i="83"/>
  <c r="DF115" i="83"/>
  <c r="JU138" i="83"/>
  <c r="DG147" i="83"/>
  <c r="LB124" i="83"/>
  <c r="LS106" i="83"/>
  <c r="BL112" i="83" l="1"/>
  <c r="BQ112" i="83" s="1"/>
  <c r="BP112" i="83" l="1"/>
  <c r="BN120" i="1"/>
  <c r="BN112" i="83"/>
  <c r="BM112" i="83"/>
  <c r="BO112" i="83"/>
  <c r="C50" i="82" l="1"/>
  <c r="C47" i="82"/>
  <c r="R40" i="82"/>
  <c r="N40" i="82"/>
  <c r="M35" i="82"/>
  <c r="M33" i="82"/>
  <c r="M32" i="82"/>
  <c r="M31" i="82"/>
  <c r="M30" i="82"/>
  <c r="M29" i="82"/>
  <c r="M28" i="82"/>
  <c r="M23" i="82"/>
  <c r="A5" i="82"/>
  <c r="AK58" i="82" s="1"/>
  <c r="C70" i="81"/>
  <c r="C53" i="81"/>
  <c r="I52" i="81"/>
  <c r="I51" i="81"/>
  <c r="I50" i="81"/>
  <c r="I49" i="81"/>
  <c r="I48" i="81"/>
  <c r="I47" i="81"/>
  <c r="I46" i="81"/>
  <c r="I45" i="81"/>
  <c r="I44" i="81"/>
  <c r="I43" i="81"/>
  <c r="I42" i="81"/>
  <c r="I41" i="81"/>
  <c r="C39" i="81"/>
  <c r="E35" i="81"/>
  <c r="E34" i="81"/>
  <c r="E33" i="81"/>
  <c r="E32" i="81"/>
  <c r="E31" i="81"/>
  <c r="E30" i="81"/>
  <c r="E23" i="81"/>
  <c r="E21" i="81"/>
  <c r="E20" i="81"/>
  <c r="E19" i="81"/>
  <c r="E18" i="81"/>
  <c r="E16" i="81"/>
  <c r="E14" i="81"/>
  <c r="E13" i="81"/>
  <c r="E12" i="81"/>
  <c r="A5" i="81"/>
  <c r="Q77" i="81" s="1"/>
  <c r="C58" i="80"/>
  <c r="I52" i="80"/>
  <c r="I51" i="80"/>
  <c r="I50" i="80"/>
  <c r="I49" i="80"/>
  <c r="I48" i="80"/>
  <c r="I47" i="80"/>
  <c r="I46" i="80"/>
  <c r="I45" i="80"/>
  <c r="I44" i="80"/>
  <c r="I43" i="80"/>
  <c r="I42" i="80"/>
  <c r="I41" i="80"/>
  <c r="C39" i="80"/>
  <c r="E35" i="80"/>
  <c r="E34" i="80"/>
  <c r="E33" i="80"/>
  <c r="E32" i="80"/>
  <c r="E31" i="80"/>
  <c r="E30" i="80"/>
  <c r="E23" i="80"/>
  <c r="E21" i="80"/>
  <c r="E20" i="80"/>
  <c r="E19" i="80"/>
  <c r="E18" i="80"/>
  <c r="E16" i="80"/>
  <c r="E14" i="80"/>
  <c r="E13" i="80"/>
  <c r="E12" i="80"/>
  <c r="A5" i="80"/>
  <c r="Q64" i="80" s="1"/>
  <c r="C55" i="80" l="1"/>
  <c r="Q58" i="81"/>
  <c r="C63" i="78" l="1"/>
  <c r="E32" i="78"/>
  <c r="E27" i="78"/>
  <c r="E26" i="78"/>
  <c r="E20" i="78"/>
  <c r="E18" i="78"/>
  <c r="E14" i="78"/>
  <c r="E13" i="78"/>
  <c r="E12" i="78"/>
  <c r="H8" i="10" l="1"/>
  <c r="C20" i="14" s="1"/>
  <c r="E26" i="91" s="1"/>
  <c r="E24" i="97" l="1"/>
  <c r="C11" i="77"/>
  <c r="E24" i="103" s="1"/>
  <c r="H244" i="1"/>
  <c r="I244" i="1" s="1"/>
  <c r="H243" i="1"/>
  <c r="I243" i="1" s="1"/>
  <c r="H241" i="1"/>
  <c r="I241" i="1" s="1"/>
  <c r="H242" i="1"/>
  <c r="I242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I230" i="1"/>
  <c r="E19" i="98" l="1"/>
  <c r="E24" i="99"/>
  <c r="E24" i="101"/>
  <c r="E24" i="92"/>
  <c r="E22" i="96"/>
  <c r="E28" i="95"/>
  <c r="E25" i="84"/>
  <c r="E25" i="93"/>
  <c r="E24" i="90"/>
  <c r="E24" i="47"/>
  <c r="J244" i="1"/>
  <c r="J231" i="1"/>
  <c r="J235" i="1"/>
  <c r="J239" i="1"/>
  <c r="J243" i="1"/>
  <c r="J237" i="1"/>
  <c r="J234" i="1"/>
  <c r="J232" i="1"/>
  <c r="J236" i="1"/>
  <c r="J240" i="1"/>
  <c r="J230" i="1"/>
  <c r="J233" i="1"/>
  <c r="J241" i="1"/>
  <c r="J238" i="1"/>
  <c r="J242" i="1"/>
  <c r="I154" i="1" l="1"/>
  <c r="I163" i="1"/>
  <c r="I172" i="1"/>
  <c r="I122" i="1"/>
  <c r="I131" i="1"/>
  <c r="I171" i="1"/>
  <c r="I162" i="1"/>
  <c r="I153" i="1"/>
  <c r="I130" i="1"/>
  <c r="I121" i="1"/>
  <c r="H8" i="9"/>
  <c r="OE207" i="83" l="1"/>
  <c r="BT207" i="83"/>
  <c r="RL207" i="83"/>
  <c r="CK207" i="83"/>
  <c r="EJ207" i="83"/>
  <c r="TK207" i="83"/>
  <c r="BC207" i="83"/>
  <c r="D207" i="83"/>
  <c r="MW207" i="83"/>
  <c r="SC207" i="83"/>
  <c r="PS162" i="83"/>
  <c r="PT162" i="83" s="1"/>
  <c r="KM162" i="83"/>
  <c r="KN162" i="83" s="1"/>
  <c r="FG162" i="83"/>
  <c r="FH162" i="83" s="1"/>
  <c r="AA162" i="83"/>
  <c r="AB162" i="83" s="1"/>
  <c r="PS161" i="83"/>
  <c r="PT161" i="83" s="1"/>
  <c r="KM161" i="83"/>
  <c r="KN161" i="83" s="1"/>
  <c r="FG161" i="83"/>
  <c r="FH161" i="83" s="1"/>
  <c r="AA161" i="83"/>
  <c r="AB161" i="83" s="1"/>
  <c r="PS160" i="83"/>
  <c r="PT160" i="83" s="1"/>
  <c r="KM160" i="83"/>
  <c r="KN160" i="83" s="1"/>
  <c r="FG160" i="83"/>
  <c r="FH160" i="83" s="1"/>
  <c r="SI159" i="83"/>
  <c r="SJ159" i="83" s="1"/>
  <c r="JV162" i="83"/>
  <c r="JW162" i="83" s="1"/>
  <c r="JV161" i="83"/>
  <c r="JW161" i="83" s="1"/>
  <c r="JV160" i="83"/>
  <c r="JW160" i="83" s="1"/>
  <c r="PS159" i="83"/>
  <c r="PT159" i="83" s="1"/>
  <c r="LD159" i="83"/>
  <c r="LE159" i="83" s="1"/>
  <c r="FX159" i="83"/>
  <c r="FY159" i="83" s="1"/>
  <c r="AR159" i="83"/>
  <c r="AS159" i="83" s="1"/>
  <c r="QJ158" i="83"/>
  <c r="LD158" i="83"/>
  <c r="FX158" i="83"/>
  <c r="AR158" i="83"/>
  <c r="SI162" i="83"/>
  <c r="SJ162" i="83" s="1"/>
  <c r="HW162" i="83"/>
  <c r="HX162" i="83" s="1"/>
  <c r="SI161" i="83"/>
  <c r="SJ161" i="83" s="1"/>
  <c r="HW161" i="83"/>
  <c r="HX161" i="83" s="1"/>
  <c r="SI160" i="83"/>
  <c r="SJ160" i="83" s="1"/>
  <c r="HW160" i="83"/>
  <c r="HX160" i="83" s="1"/>
  <c r="BZ160" i="83"/>
  <c r="CA160" i="83" s="1"/>
  <c r="SZ159" i="83"/>
  <c r="TA159" i="83" s="1"/>
  <c r="QJ159" i="83"/>
  <c r="QK159" i="83" s="1"/>
  <c r="KM159" i="83"/>
  <c r="KN159" i="83" s="1"/>
  <c r="AA159" i="83"/>
  <c r="AB159" i="83" s="1"/>
  <c r="KM158" i="83"/>
  <c r="AA158" i="83"/>
  <c r="RA153" i="83"/>
  <c r="RB153" i="83" s="1"/>
  <c r="LU153" i="83"/>
  <c r="LV153" i="83" s="1"/>
  <c r="GO153" i="83"/>
  <c r="GP153" i="83" s="1"/>
  <c r="BI153" i="83"/>
  <c r="BJ153" i="83" s="1"/>
  <c r="RA152" i="83"/>
  <c r="RB152" i="83" s="1"/>
  <c r="LU152" i="83"/>
  <c r="LV152" i="83" s="1"/>
  <c r="GO152" i="83"/>
  <c r="GP152" i="83" s="1"/>
  <c r="BI152" i="83"/>
  <c r="BJ152" i="83" s="1"/>
  <c r="RA151" i="83"/>
  <c r="RB151" i="83" s="1"/>
  <c r="LU151" i="83"/>
  <c r="LV151" i="83" s="1"/>
  <c r="GO151" i="83"/>
  <c r="GP151" i="83" s="1"/>
  <c r="BI151" i="83"/>
  <c r="BJ151" i="83" s="1"/>
  <c r="PB162" i="83"/>
  <c r="PC162" i="83" s="1"/>
  <c r="CQ162" i="83"/>
  <c r="CR162" i="83" s="1"/>
  <c r="PB161" i="83"/>
  <c r="PC161" i="83" s="1"/>
  <c r="CQ161" i="83"/>
  <c r="CR161" i="83" s="1"/>
  <c r="PB160" i="83"/>
  <c r="PC160" i="83" s="1"/>
  <c r="CQ160" i="83"/>
  <c r="CR160" i="83" s="1"/>
  <c r="IN159" i="83"/>
  <c r="IO159" i="83" s="1"/>
  <c r="SZ158" i="83"/>
  <c r="IN158" i="83"/>
  <c r="EP162" i="83"/>
  <c r="EQ162" i="83" s="1"/>
  <c r="NC161" i="83"/>
  <c r="ND161" i="83" s="1"/>
  <c r="EP160" i="83"/>
  <c r="EQ160" i="83" s="1"/>
  <c r="TQ153" i="83"/>
  <c r="TR153" i="83" s="1"/>
  <c r="JE153" i="83"/>
  <c r="JF153" i="83" s="1"/>
  <c r="TQ152" i="83"/>
  <c r="TR152" i="83" s="1"/>
  <c r="JE152" i="83"/>
  <c r="JF152" i="83" s="1"/>
  <c r="TQ151" i="83"/>
  <c r="TR151" i="83" s="1"/>
  <c r="JE151" i="83"/>
  <c r="JF151" i="83" s="1"/>
  <c r="RR150" i="83"/>
  <c r="RS150" i="83" s="1"/>
  <c r="ML150" i="83"/>
  <c r="MM150" i="83" s="1"/>
  <c r="HF150" i="83"/>
  <c r="HG150" i="83" s="1"/>
  <c r="BZ150" i="83"/>
  <c r="CA150" i="83" s="1"/>
  <c r="RR149" i="83"/>
  <c r="ML149" i="83"/>
  <c r="HF149" i="83"/>
  <c r="BZ149" i="83"/>
  <c r="FG159" i="83"/>
  <c r="FH159" i="83" s="1"/>
  <c r="NT158" i="83"/>
  <c r="FG158" i="83"/>
  <c r="QJ153" i="83"/>
  <c r="QK153" i="83" s="1"/>
  <c r="FX153" i="83"/>
  <c r="FY153" i="83" s="1"/>
  <c r="QJ152" i="83"/>
  <c r="QK152" i="83" s="1"/>
  <c r="FX152" i="83"/>
  <c r="FY152" i="83" s="1"/>
  <c r="QJ151" i="83"/>
  <c r="QK151" i="83" s="1"/>
  <c r="FX151" i="83"/>
  <c r="FY151" i="83" s="1"/>
  <c r="EP161" i="83"/>
  <c r="EQ161" i="83" s="1"/>
  <c r="OK153" i="83"/>
  <c r="OL153" i="83" s="1"/>
  <c r="LD153" i="83"/>
  <c r="LE153" i="83" s="1"/>
  <c r="OK152" i="83"/>
  <c r="OL152" i="83" s="1"/>
  <c r="LD152" i="83"/>
  <c r="LE152" i="83" s="1"/>
  <c r="OK151" i="83"/>
  <c r="OL151" i="83" s="1"/>
  <c r="LD151" i="83"/>
  <c r="LE151" i="83" s="1"/>
  <c r="PB150" i="83"/>
  <c r="PC150" i="83" s="1"/>
  <c r="EP150" i="83"/>
  <c r="EQ150" i="83" s="1"/>
  <c r="PB149" i="83"/>
  <c r="EP149" i="83"/>
  <c r="QJ144" i="83"/>
  <c r="QK144" i="83" s="1"/>
  <c r="LD144" i="83"/>
  <c r="LE144" i="83" s="1"/>
  <c r="FX144" i="83"/>
  <c r="FY144" i="83" s="1"/>
  <c r="AR144" i="83"/>
  <c r="AS144" i="83" s="1"/>
  <c r="QJ143" i="83"/>
  <c r="QK143" i="83" s="1"/>
  <c r="LD143" i="83"/>
  <c r="LE143" i="83" s="1"/>
  <c r="FX143" i="83"/>
  <c r="FY143" i="83" s="1"/>
  <c r="AR143" i="83"/>
  <c r="AS143" i="83" s="1"/>
  <c r="QJ142" i="83"/>
  <c r="QK142" i="83" s="1"/>
  <c r="LD142" i="83"/>
  <c r="LE142" i="83" s="1"/>
  <c r="FX142" i="83"/>
  <c r="FY142" i="83" s="1"/>
  <c r="AR142" i="83"/>
  <c r="AS142" i="83" s="1"/>
  <c r="QJ141" i="83"/>
  <c r="QK141" i="83" s="1"/>
  <c r="LD141" i="83"/>
  <c r="LE141" i="83" s="1"/>
  <c r="FX141" i="83"/>
  <c r="FY141" i="83" s="1"/>
  <c r="AR141" i="83"/>
  <c r="AS141" i="83" s="1"/>
  <c r="QJ140" i="83"/>
  <c r="LD140" i="83"/>
  <c r="FX140" i="83"/>
  <c r="AR140" i="83"/>
  <c r="QJ135" i="83"/>
  <c r="QK135" i="83" s="1"/>
  <c r="LD135" i="83"/>
  <c r="LE135" i="83" s="1"/>
  <c r="FX135" i="83"/>
  <c r="FY135" i="83" s="1"/>
  <c r="AR135" i="83"/>
  <c r="AS135" i="83" s="1"/>
  <c r="QJ134" i="83"/>
  <c r="QK134" i="83" s="1"/>
  <c r="LD134" i="83"/>
  <c r="LE134" i="83" s="1"/>
  <c r="FX134" i="83"/>
  <c r="FY134" i="83" s="1"/>
  <c r="AR134" i="83"/>
  <c r="AS134" i="83" s="1"/>
  <c r="QJ133" i="83"/>
  <c r="QK133" i="83" s="1"/>
  <c r="LD133" i="83"/>
  <c r="LE133" i="83" s="1"/>
  <c r="FX133" i="83"/>
  <c r="FY133" i="83" s="1"/>
  <c r="AR133" i="83"/>
  <c r="AS133" i="83" s="1"/>
  <c r="NC160" i="83"/>
  <c r="ND160" i="83" s="1"/>
  <c r="PS158" i="83"/>
  <c r="DH158" i="83"/>
  <c r="LU150" i="83"/>
  <c r="LV150" i="83" s="1"/>
  <c r="BI150" i="83"/>
  <c r="BJ150" i="83" s="1"/>
  <c r="LU149" i="83"/>
  <c r="BI149" i="83"/>
  <c r="RA144" i="83"/>
  <c r="RB144" i="83" s="1"/>
  <c r="LU144" i="83"/>
  <c r="LV144" i="83" s="1"/>
  <c r="GO144" i="83"/>
  <c r="GP144" i="83" s="1"/>
  <c r="BI144" i="83"/>
  <c r="BJ144" i="83" s="1"/>
  <c r="RA143" i="83"/>
  <c r="RB143" i="83" s="1"/>
  <c r="LU143" i="83"/>
  <c r="LV143" i="83" s="1"/>
  <c r="GO143" i="83"/>
  <c r="GP143" i="83" s="1"/>
  <c r="BI143" i="83"/>
  <c r="BJ143" i="83" s="1"/>
  <c r="RA142" i="83"/>
  <c r="RB142" i="83" s="1"/>
  <c r="LU142" i="83"/>
  <c r="LV142" i="83" s="1"/>
  <c r="GO142" i="83"/>
  <c r="GP142" i="83" s="1"/>
  <c r="BI142" i="83"/>
  <c r="BJ142" i="83" s="1"/>
  <c r="RA141" i="83"/>
  <c r="RB141" i="83" s="1"/>
  <c r="LU141" i="83"/>
  <c r="LV141" i="83" s="1"/>
  <c r="GO141" i="83"/>
  <c r="GP141" i="83" s="1"/>
  <c r="BI141" i="83"/>
  <c r="BJ141" i="83" s="1"/>
  <c r="RA140" i="83"/>
  <c r="LU140" i="83"/>
  <c r="GO140" i="83"/>
  <c r="BI140" i="83"/>
  <c r="RA135" i="83"/>
  <c r="RB135" i="83" s="1"/>
  <c r="LU135" i="83"/>
  <c r="LV135" i="83" s="1"/>
  <c r="GO135" i="83"/>
  <c r="GP135" i="83" s="1"/>
  <c r="BI135" i="83"/>
  <c r="BJ135" i="83" s="1"/>
  <c r="RA134" i="83"/>
  <c r="RB134" i="83" s="1"/>
  <c r="LU134" i="83"/>
  <c r="LV134" i="83" s="1"/>
  <c r="GO134" i="83"/>
  <c r="GP134" i="83" s="1"/>
  <c r="BI134" i="83"/>
  <c r="BJ134" i="83" s="1"/>
  <c r="RA133" i="83"/>
  <c r="RB133" i="83" s="1"/>
  <c r="LU133" i="83"/>
  <c r="LV133" i="83" s="1"/>
  <c r="GO133" i="83"/>
  <c r="GP133" i="83" s="1"/>
  <c r="BI133" i="83"/>
  <c r="BJ133" i="83" s="1"/>
  <c r="AR152" i="83"/>
  <c r="AS152" i="83" s="1"/>
  <c r="RA150" i="83"/>
  <c r="RB150" i="83" s="1"/>
  <c r="RA149" i="83"/>
  <c r="NT144" i="83"/>
  <c r="NU144" i="83" s="1"/>
  <c r="DH144" i="83"/>
  <c r="DI144" i="83" s="1"/>
  <c r="NT143" i="83"/>
  <c r="NU143" i="83" s="1"/>
  <c r="DH143" i="83"/>
  <c r="DI143" i="83" s="1"/>
  <c r="NT142" i="83"/>
  <c r="NU142" i="83" s="1"/>
  <c r="DH142" i="83"/>
  <c r="DI142" i="83" s="1"/>
  <c r="NT141" i="83"/>
  <c r="NU141" i="83" s="1"/>
  <c r="DH141" i="83"/>
  <c r="DI141" i="83" s="1"/>
  <c r="NT140" i="83"/>
  <c r="DH140" i="83"/>
  <c r="NT135" i="83"/>
  <c r="NU135" i="83" s="1"/>
  <c r="DH135" i="83"/>
  <c r="DI135" i="83" s="1"/>
  <c r="NT134" i="83"/>
  <c r="NU134" i="83" s="1"/>
  <c r="DH134" i="83"/>
  <c r="DI134" i="83" s="1"/>
  <c r="NT133" i="83"/>
  <c r="NU133" i="83" s="1"/>
  <c r="DH133" i="83"/>
  <c r="DI133" i="83" s="1"/>
  <c r="QJ132" i="83"/>
  <c r="QK132" i="83" s="1"/>
  <c r="NC132" i="83"/>
  <c r="ND132" i="83" s="1"/>
  <c r="HW132" i="83"/>
  <c r="HX132" i="83" s="1"/>
  <c r="CQ132" i="83"/>
  <c r="CR132" i="83" s="1"/>
  <c r="SI131" i="83"/>
  <c r="SJ131" i="83" s="1"/>
  <c r="NC131" i="83"/>
  <c r="ND131" i="83" s="1"/>
  <c r="HW131" i="83"/>
  <c r="HX131" i="83" s="1"/>
  <c r="CQ131" i="83"/>
  <c r="CR131" i="83" s="1"/>
  <c r="SI130" i="83"/>
  <c r="SJ130" i="83" s="1"/>
  <c r="NC130" i="83"/>
  <c r="ND130" i="83" s="1"/>
  <c r="HW130" i="83"/>
  <c r="HX130" i="83" s="1"/>
  <c r="CQ130" i="83"/>
  <c r="CR130" i="83" s="1"/>
  <c r="SI129" i="83"/>
  <c r="SJ129" i="83" s="1"/>
  <c r="NC129" i="83"/>
  <c r="ND129" i="83" s="1"/>
  <c r="HW129" i="83"/>
  <c r="HX129" i="83" s="1"/>
  <c r="CQ129" i="83"/>
  <c r="CR129" i="83" s="1"/>
  <c r="SI128" i="83"/>
  <c r="SJ128" i="83" s="1"/>
  <c r="NC128" i="83"/>
  <c r="ND128" i="83" s="1"/>
  <c r="HW128" i="83"/>
  <c r="HX128" i="83" s="1"/>
  <c r="CQ128" i="83"/>
  <c r="CR128" i="83" s="1"/>
  <c r="SI127" i="83"/>
  <c r="SJ127" i="83" s="1"/>
  <c r="NC127" i="83"/>
  <c r="ND127" i="83" s="1"/>
  <c r="HW127" i="83"/>
  <c r="HX127" i="83" s="1"/>
  <c r="CQ127" i="83"/>
  <c r="CR127" i="83" s="1"/>
  <c r="SI126" i="83"/>
  <c r="NC126" i="83"/>
  <c r="HW126" i="83"/>
  <c r="CQ126" i="83"/>
  <c r="SI121" i="83"/>
  <c r="SJ121" i="83" s="1"/>
  <c r="HW121" i="83"/>
  <c r="HX121" i="83" s="1"/>
  <c r="SI120" i="83"/>
  <c r="SJ120" i="83" s="1"/>
  <c r="HW120" i="83"/>
  <c r="HX120" i="83" s="1"/>
  <c r="DY153" i="83"/>
  <c r="DZ153" i="83" s="1"/>
  <c r="DY151" i="83"/>
  <c r="DZ151" i="83" s="1"/>
  <c r="TQ144" i="83"/>
  <c r="TR144" i="83" s="1"/>
  <c r="JE144" i="83"/>
  <c r="JF144" i="83" s="1"/>
  <c r="TQ143" i="83"/>
  <c r="TR143" i="83" s="1"/>
  <c r="JE143" i="83"/>
  <c r="JF143" i="83" s="1"/>
  <c r="TQ142" i="83"/>
  <c r="TR142" i="83" s="1"/>
  <c r="JE142" i="83"/>
  <c r="JF142" i="83" s="1"/>
  <c r="TQ141" i="83"/>
  <c r="TR141" i="83" s="1"/>
  <c r="JE141" i="83"/>
  <c r="JF141" i="83" s="1"/>
  <c r="TQ140" i="83"/>
  <c r="JE140" i="83"/>
  <c r="TQ135" i="83"/>
  <c r="TR135" i="83" s="1"/>
  <c r="JE135" i="83"/>
  <c r="JF135" i="83" s="1"/>
  <c r="TQ134" i="83"/>
  <c r="TR134" i="83" s="1"/>
  <c r="JE134" i="83"/>
  <c r="JF134" i="83" s="1"/>
  <c r="TQ133" i="83"/>
  <c r="TR133" i="83" s="1"/>
  <c r="JE133" i="83"/>
  <c r="JF133" i="83" s="1"/>
  <c r="TQ132" i="83"/>
  <c r="TR132" i="83" s="1"/>
  <c r="NC162" i="83"/>
  <c r="ND162" i="83" s="1"/>
  <c r="DH159" i="83"/>
  <c r="DI159" i="83" s="1"/>
  <c r="AR153" i="83"/>
  <c r="AS153" i="83" s="1"/>
  <c r="AR151" i="83"/>
  <c r="AS151" i="83" s="1"/>
  <c r="JV150" i="83"/>
  <c r="JW150" i="83" s="1"/>
  <c r="GO150" i="83"/>
  <c r="GP150" i="83" s="1"/>
  <c r="JV149" i="83"/>
  <c r="GO149" i="83"/>
  <c r="DY144" i="83"/>
  <c r="DZ144" i="83" s="1"/>
  <c r="DY142" i="83"/>
  <c r="DZ142" i="83" s="1"/>
  <c r="DY140" i="83"/>
  <c r="RA132" i="83"/>
  <c r="RB132" i="83" s="1"/>
  <c r="FG132" i="83"/>
  <c r="FH132" i="83" s="1"/>
  <c r="PS131" i="83"/>
  <c r="PT131" i="83" s="1"/>
  <c r="FG131" i="83"/>
  <c r="FH131" i="83" s="1"/>
  <c r="PS130" i="83"/>
  <c r="PT130" i="83" s="1"/>
  <c r="FG130" i="83"/>
  <c r="FH130" i="83" s="1"/>
  <c r="PS129" i="83"/>
  <c r="PT129" i="83" s="1"/>
  <c r="FG129" i="83"/>
  <c r="FH129" i="83" s="1"/>
  <c r="PS128" i="83"/>
  <c r="PT128" i="83" s="1"/>
  <c r="FG128" i="83"/>
  <c r="FH128" i="83" s="1"/>
  <c r="PS127" i="83"/>
  <c r="PT127" i="83" s="1"/>
  <c r="FG127" i="83"/>
  <c r="FH127" i="83" s="1"/>
  <c r="PS126" i="83"/>
  <c r="FG126" i="83"/>
  <c r="SZ121" i="83"/>
  <c r="TA121" i="83" s="1"/>
  <c r="QJ121" i="83"/>
  <c r="QK121" i="83" s="1"/>
  <c r="FG121" i="83"/>
  <c r="FH121" i="83" s="1"/>
  <c r="SZ120" i="83"/>
  <c r="TA120" i="83" s="1"/>
  <c r="QJ120" i="83"/>
  <c r="QK120" i="83" s="1"/>
  <c r="FG120" i="83"/>
  <c r="FH120" i="83" s="1"/>
  <c r="SZ119" i="83"/>
  <c r="TA119" i="83" s="1"/>
  <c r="NT119" i="83"/>
  <c r="NU119" i="83" s="1"/>
  <c r="IN119" i="83"/>
  <c r="IO119" i="83" s="1"/>
  <c r="DH119" i="83"/>
  <c r="DI119" i="83" s="1"/>
  <c r="SZ118" i="83"/>
  <c r="TA118" i="83" s="1"/>
  <c r="NT118" i="83"/>
  <c r="NU118" i="83" s="1"/>
  <c r="IN118" i="83"/>
  <c r="IO118" i="83" s="1"/>
  <c r="DH118" i="83"/>
  <c r="DI118" i="83" s="1"/>
  <c r="SZ117" i="83"/>
  <c r="NT117" i="83"/>
  <c r="IN117" i="83"/>
  <c r="DH117" i="83"/>
  <c r="PB112" i="83"/>
  <c r="PC112" i="83" s="1"/>
  <c r="JV112" i="83"/>
  <c r="JW112" i="83" s="1"/>
  <c r="EP112" i="83"/>
  <c r="EQ112" i="83" s="1"/>
  <c r="PB111" i="83"/>
  <c r="PC111" i="83" s="1"/>
  <c r="JV111" i="83"/>
  <c r="JW111" i="83" s="1"/>
  <c r="EP111" i="83"/>
  <c r="EQ111" i="83" s="1"/>
  <c r="PB110" i="83"/>
  <c r="PC110" i="83" s="1"/>
  <c r="JV110" i="83"/>
  <c r="JW110" i="83" s="1"/>
  <c r="EP110" i="83"/>
  <c r="EQ110" i="83" s="1"/>
  <c r="PB109" i="83"/>
  <c r="PC109" i="83" s="1"/>
  <c r="JV109" i="83"/>
  <c r="JW109" i="83" s="1"/>
  <c r="EP109" i="83"/>
  <c r="EQ109" i="83" s="1"/>
  <c r="PB108" i="83"/>
  <c r="JV108" i="83"/>
  <c r="EP108" i="83"/>
  <c r="PB103" i="83"/>
  <c r="PC103" i="83" s="1"/>
  <c r="JV103" i="83"/>
  <c r="JW103" i="83" s="1"/>
  <c r="EP103" i="83"/>
  <c r="EQ103" i="83" s="1"/>
  <c r="PB102" i="83"/>
  <c r="PC102" i="83" s="1"/>
  <c r="JV102" i="83"/>
  <c r="JW102" i="83" s="1"/>
  <c r="EP102" i="83"/>
  <c r="EQ102" i="83" s="1"/>
  <c r="PB101" i="83"/>
  <c r="PC101" i="83" s="1"/>
  <c r="JV101" i="83"/>
  <c r="JW101" i="83" s="1"/>
  <c r="EP101" i="83"/>
  <c r="EQ101" i="83" s="1"/>
  <c r="PB100" i="83"/>
  <c r="PC100" i="83" s="1"/>
  <c r="JV100" i="83"/>
  <c r="JW100" i="83" s="1"/>
  <c r="EP100" i="83"/>
  <c r="EQ100" i="83" s="1"/>
  <c r="PB99" i="83"/>
  <c r="JV99" i="83"/>
  <c r="EP99" i="83"/>
  <c r="AA126" i="83"/>
  <c r="PS121" i="83"/>
  <c r="PT121" i="83" s="1"/>
  <c r="IN121" i="83"/>
  <c r="IO121" i="83" s="1"/>
  <c r="FX121" i="83"/>
  <c r="FY121" i="83" s="1"/>
  <c r="PS120" i="83"/>
  <c r="PT120" i="83" s="1"/>
  <c r="IN120" i="83"/>
  <c r="IO120" i="83" s="1"/>
  <c r="FX120" i="83"/>
  <c r="FY120" i="83" s="1"/>
  <c r="RR112" i="83"/>
  <c r="RS112" i="83" s="1"/>
  <c r="ML112" i="83"/>
  <c r="MM112" i="83" s="1"/>
  <c r="HF112" i="83"/>
  <c r="HG112" i="83" s="1"/>
  <c r="BZ112" i="83"/>
  <c r="CA112" i="83" s="1"/>
  <c r="DY152" i="83"/>
  <c r="DZ152" i="83" s="1"/>
  <c r="OK144" i="83"/>
  <c r="OL144" i="83" s="1"/>
  <c r="OK140" i="83"/>
  <c r="OK133" i="83"/>
  <c r="OL133" i="83" s="1"/>
  <c r="IN133" i="83"/>
  <c r="IO133" i="83" s="1"/>
  <c r="HF132" i="83"/>
  <c r="HG132" i="83" s="1"/>
  <c r="RR131" i="83"/>
  <c r="RS131" i="83" s="1"/>
  <c r="HF131" i="83"/>
  <c r="HG131" i="83" s="1"/>
  <c r="HF130" i="83"/>
  <c r="HG130" i="83" s="1"/>
  <c r="HF128" i="83"/>
  <c r="HG128" i="83" s="1"/>
  <c r="RR127" i="83"/>
  <c r="RS127" i="83" s="1"/>
  <c r="RR126" i="83"/>
  <c r="NC121" i="83"/>
  <c r="ND121" i="83" s="1"/>
  <c r="BZ121" i="83"/>
  <c r="CA121" i="83" s="1"/>
  <c r="NC120" i="83"/>
  <c r="ND120" i="83" s="1"/>
  <c r="BZ120" i="83"/>
  <c r="CA120" i="83" s="1"/>
  <c r="RA119" i="83"/>
  <c r="RB119" i="83" s="1"/>
  <c r="LU119" i="83"/>
  <c r="LV119" i="83" s="1"/>
  <c r="GO119" i="83"/>
  <c r="GP119" i="83" s="1"/>
  <c r="RA118" i="83"/>
  <c r="RB118" i="83" s="1"/>
  <c r="BI118" i="83"/>
  <c r="BJ118" i="83" s="1"/>
  <c r="RA117" i="83"/>
  <c r="TQ112" i="83"/>
  <c r="TR112" i="83" s="1"/>
  <c r="OK112" i="83"/>
  <c r="OL112" i="83" s="1"/>
  <c r="JE112" i="83"/>
  <c r="JF112" i="83" s="1"/>
  <c r="DY112" i="83"/>
  <c r="DZ112" i="83" s="1"/>
  <c r="HW111" i="83"/>
  <c r="HX111" i="83" s="1"/>
  <c r="CQ111" i="83"/>
  <c r="CR111" i="83" s="1"/>
  <c r="SI110" i="83"/>
  <c r="SJ110" i="83" s="1"/>
  <c r="NC110" i="83"/>
  <c r="ND110" i="83" s="1"/>
  <c r="CQ110" i="83"/>
  <c r="CR110" i="83" s="1"/>
  <c r="NC108" i="83"/>
  <c r="HW108" i="83"/>
  <c r="CQ108" i="83"/>
  <c r="SI103" i="83"/>
  <c r="SJ103" i="83" s="1"/>
  <c r="HW103" i="83"/>
  <c r="HX103" i="83" s="1"/>
  <c r="CQ103" i="83"/>
  <c r="CR103" i="83" s="1"/>
  <c r="SI101" i="83"/>
  <c r="SJ101" i="83" s="1"/>
  <c r="NC101" i="83"/>
  <c r="ND101" i="83" s="1"/>
  <c r="NC100" i="83"/>
  <c r="ND100" i="83" s="1"/>
  <c r="HW100" i="83"/>
  <c r="HX100" i="83" s="1"/>
  <c r="CQ100" i="83"/>
  <c r="CR100" i="83" s="1"/>
  <c r="HW99" i="83"/>
  <c r="CQ99" i="83"/>
  <c r="OK143" i="83"/>
  <c r="OL143" i="83" s="1"/>
  <c r="OK141" i="83"/>
  <c r="OL141" i="83" s="1"/>
  <c r="OK135" i="83"/>
  <c r="OL135" i="83" s="1"/>
  <c r="DY134" i="83"/>
  <c r="DZ134" i="83" s="1"/>
  <c r="DY133" i="83"/>
  <c r="DZ133" i="83" s="1"/>
  <c r="ML132" i="83"/>
  <c r="MM132" i="83" s="1"/>
  <c r="BZ132" i="83"/>
  <c r="CA132" i="83" s="1"/>
  <c r="ML131" i="83"/>
  <c r="MM131" i="83" s="1"/>
  <c r="BZ131" i="83"/>
  <c r="CA131" i="83" s="1"/>
  <c r="ML130" i="83"/>
  <c r="MM130" i="83" s="1"/>
  <c r="BZ130" i="83"/>
  <c r="CA130" i="83" s="1"/>
  <c r="ML129" i="83"/>
  <c r="MM129" i="83" s="1"/>
  <c r="BZ129" i="83"/>
  <c r="CA129" i="83" s="1"/>
  <c r="ML128" i="83"/>
  <c r="MM128" i="83" s="1"/>
  <c r="BZ128" i="83"/>
  <c r="CA128" i="83" s="1"/>
  <c r="ML127" i="83"/>
  <c r="MM127" i="83" s="1"/>
  <c r="BZ127" i="83"/>
  <c r="CA127" i="83" s="1"/>
  <c r="ML126" i="83"/>
  <c r="BZ126" i="83"/>
  <c r="ML121" i="83"/>
  <c r="MM121" i="83" s="1"/>
  <c r="ML120" i="83"/>
  <c r="MM120" i="83" s="1"/>
  <c r="TQ119" i="83"/>
  <c r="TR119" i="83" s="1"/>
  <c r="OK119" i="83"/>
  <c r="OL119" i="83" s="1"/>
  <c r="JE119" i="83"/>
  <c r="JF119" i="83" s="1"/>
  <c r="DY119" i="83"/>
  <c r="DZ119" i="83" s="1"/>
  <c r="TQ118" i="83"/>
  <c r="TR118" i="83" s="1"/>
  <c r="OK118" i="83"/>
  <c r="OL118" i="83" s="1"/>
  <c r="JE118" i="83"/>
  <c r="JF118" i="83" s="1"/>
  <c r="DY118" i="83"/>
  <c r="DZ118" i="83" s="1"/>
  <c r="TQ117" i="83"/>
  <c r="OK117" i="83"/>
  <c r="JE117" i="83"/>
  <c r="DY117" i="83"/>
  <c r="AA112" i="83"/>
  <c r="AB112" i="83" s="1"/>
  <c r="PS111" i="83"/>
  <c r="PT111" i="83" s="1"/>
  <c r="KM111" i="83"/>
  <c r="KN111" i="83" s="1"/>
  <c r="FG111" i="83"/>
  <c r="FH111" i="83" s="1"/>
  <c r="AA111" i="83"/>
  <c r="AB111" i="83" s="1"/>
  <c r="PS110" i="83"/>
  <c r="PT110" i="83" s="1"/>
  <c r="KM110" i="83"/>
  <c r="KN110" i="83" s="1"/>
  <c r="FG110" i="83"/>
  <c r="FH110" i="83" s="1"/>
  <c r="AA110" i="83"/>
  <c r="AB110" i="83" s="1"/>
  <c r="PS109" i="83"/>
  <c r="PT109" i="83" s="1"/>
  <c r="KM109" i="83"/>
  <c r="KN109" i="83" s="1"/>
  <c r="FG109" i="83"/>
  <c r="FH109" i="83" s="1"/>
  <c r="AA109" i="83"/>
  <c r="AB109" i="83" s="1"/>
  <c r="PS108" i="83"/>
  <c r="KM108" i="83"/>
  <c r="FG108" i="83"/>
  <c r="AA108" i="83"/>
  <c r="PS103" i="83"/>
  <c r="PT103" i="83" s="1"/>
  <c r="KM103" i="83"/>
  <c r="KN103" i="83" s="1"/>
  <c r="FG103" i="83"/>
  <c r="FH103" i="83" s="1"/>
  <c r="AA103" i="83"/>
  <c r="AB103" i="83" s="1"/>
  <c r="PS102" i="83"/>
  <c r="PT102" i="83" s="1"/>
  <c r="KM102" i="83"/>
  <c r="KN102" i="83" s="1"/>
  <c r="FG102" i="83"/>
  <c r="FH102" i="83" s="1"/>
  <c r="AA102" i="83"/>
  <c r="AB102" i="83" s="1"/>
  <c r="PS101" i="83"/>
  <c r="PT101" i="83" s="1"/>
  <c r="KM101" i="83"/>
  <c r="KN101" i="83" s="1"/>
  <c r="FG101" i="83"/>
  <c r="FH101" i="83" s="1"/>
  <c r="AA101" i="83"/>
  <c r="AB101" i="83" s="1"/>
  <c r="PS100" i="83"/>
  <c r="PT100" i="83" s="1"/>
  <c r="KM100" i="83"/>
  <c r="KN100" i="83" s="1"/>
  <c r="FG100" i="83"/>
  <c r="FH100" i="83" s="1"/>
  <c r="AA100" i="83"/>
  <c r="AB100" i="83" s="1"/>
  <c r="PS99" i="83"/>
  <c r="KM99" i="83"/>
  <c r="FG99" i="83"/>
  <c r="AA99" i="83"/>
  <c r="DY143" i="83"/>
  <c r="DZ143" i="83" s="1"/>
  <c r="DY141" i="83"/>
  <c r="DZ141" i="83" s="1"/>
  <c r="DY135" i="83"/>
  <c r="DZ135" i="83" s="1"/>
  <c r="KM132" i="83"/>
  <c r="KN132" i="83" s="1"/>
  <c r="AA132" i="83"/>
  <c r="AB132" i="83" s="1"/>
  <c r="KM131" i="83"/>
  <c r="KN131" i="83" s="1"/>
  <c r="AA131" i="83"/>
  <c r="AB131" i="83" s="1"/>
  <c r="KM130" i="83"/>
  <c r="KN130" i="83" s="1"/>
  <c r="AA130" i="83"/>
  <c r="AB130" i="83" s="1"/>
  <c r="KM129" i="83"/>
  <c r="KN129" i="83" s="1"/>
  <c r="AA129" i="83"/>
  <c r="AB129" i="83" s="1"/>
  <c r="KM128" i="83"/>
  <c r="KN128" i="83" s="1"/>
  <c r="AA128" i="83"/>
  <c r="AB128" i="83" s="1"/>
  <c r="KM127" i="83"/>
  <c r="KN127" i="83" s="1"/>
  <c r="AA127" i="83"/>
  <c r="AB127" i="83" s="1"/>
  <c r="KM126" i="83"/>
  <c r="OK142" i="83"/>
  <c r="OL142" i="83" s="1"/>
  <c r="OK134" i="83"/>
  <c r="OL134" i="83" s="1"/>
  <c r="RR130" i="83"/>
  <c r="RS130" i="83" s="1"/>
  <c r="RR129" i="83"/>
  <c r="RS129" i="83" s="1"/>
  <c r="HF129" i="83"/>
  <c r="HG129" i="83" s="1"/>
  <c r="RR128" i="83"/>
  <c r="RS128" i="83" s="1"/>
  <c r="HF127" i="83"/>
  <c r="HG127" i="83" s="1"/>
  <c r="HF126" i="83"/>
  <c r="JV121" i="83"/>
  <c r="JW121" i="83" s="1"/>
  <c r="JV120" i="83"/>
  <c r="JW120" i="83" s="1"/>
  <c r="BI119" i="83"/>
  <c r="BJ119" i="83" s="1"/>
  <c r="LU118" i="83"/>
  <c r="LV118" i="83" s="1"/>
  <c r="GO118" i="83"/>
  <c r="GP118" i="83" s="1"/>
  <c r="LU117" i="83"/>
  <c r="GO117" i="83"/>
  <c r="BI117" i="83"/>
  <c r="SI111" i="83"/>
  <c r="SJ111" i="83" s="1"/>
  <c r="NC111" i="83"/>
  <c r="ND111" i="83" s="1"/>
  <c r="HW110" i="83"/>
  <c r="HX110" i="83" s="1"/>
  <c r="SI109" i="83"/>
  <c r="SJ109" i="83" s="1"/>
  <c r="NC109" i="83"/>
  <c r="ND109" i="83" s="1"/>
  <c r="HW109" i="83"/>
  <c r="HX109" i="83" s="1"/>
  <c r="CQ109" i="83"/>
  <c r="CR109" i="83" s="1"/>
  <c r="SI108" i="83"/>
  <c r="NC103" i="83"/>
  <c r="ND103" i="83" s="1"/>
  <c r="SI102" i="83"/>
  <c r="SJ102" i="83" s="1"/>
  <c r="NC102" i="83"/>
  <c r="ND102" i="83" s="1"/>
  <c r="HW102" i="83"/>
  <c r="HX102" i="83" s="1"/>
  <c r="CQ102" i="83"/>
  <c r="CR102" i="83" s="1"/>
  <c r="HW101" i="83"/>
  <c r="HX101" i="83" s="1"/>
  <c r="CQ101" i="83"/>
  <c r="CR101" i="83" s="1"/>
  <c r="SI100" i="83"/>
  <c r="SJ100" i="83" s="1"/>
  <c r="SI99" i="83"/>
  <c r="NC99" i="83"/>
  <c r="ML101" i="83"/>
  <c r="MM101" i="83" s="1"/>
  <c r="HF103" i="83"/>
  <c r="HG103" i="83" s="1"/>
  <c r="RR109" i="83"/>
  <c r="RS109" i="83" s="1"/>
  <c r="GO112" i="83"/>
  <c r="GP112" i="83" s="1"/>
  <c r="FX118" i="83"/>
  <c r="FY118" i="83" s="1"/>
  <c r="FX119" i="83"/>
  <c r="FY119" i="83" s="1"/>
  <c r="BZ101" i="83"/>
  <c r="CA101" i="83" s="1"/>
  <c r="BZ103" i="83"/>
  <c r="CA103" i="83" s="1"/>
  <c r="HF110" i="83"/>
  <c r="HG110" i="83" s="1"/>
  <c r="RR111" i="83"/>
  <c r="RS111" i="83" s="1"/>
  <c r="HF120" i="83"/>
  <c r="HG120" i="83" s="1"/>
  <c r="GO121" i="83"/>
  <c r="GP121" i="83" s="1"/>
  <c r="BI126" i="83"/>
  <c r="BI127" i="83"/>
  <c r="BJ127" i="83" s="1"/>
  <c r="BI129" i="83"/>
  <c r="BJ129" i="83" s="1"/>
  <c r="JV133" i="83"/>
  <c r="JW133" i="83" s="1"/>
  <c r="DH99" i="83"/>
  <c r="DH100" i="83"/>
  <c r="DI100" i="83" s="1"/>
  <c r="BI101" i="83"/>
  <c r="BJ101" i="83" s="1"/>
  <c r="BI102" i="83"/>
  <c r="BJ102" i="83" s="1"/>
  <c r="DH103" i="83"/>
  <c r="DI103" i="83" s="1"/>
  <c r="DH109" i="83"/>
  <c r="DI109" i="83" s="1"/>
  <c r="BI110" i="83"/>
  <c r="BJ110" i="83" s="1"/>
  <c r="DH111" i="83"/>
  <c r="DI111" i="83" s="1"/>
  <c r="AA117" i="83"/>
  <c r="KM117" i="83"/>
  <c r="AA118" i="83"/>
  <c r="AB118" i="83" s="1"/>
  <c r="RR118" i="83"/>
  <c r="RS118" i="83" s="1"/>
  <c r="RR119" i="83"/>
  <c r="RS119" i="83" s="1"/>
  <c r="PB121" i="83"/>
  <c r="PC121" i="83" s="1"/>
  <c r="DH126" i="83"/>
  <c r="DH128" i="83"/>
  <c r="DI128" i="83" s="1"/>
  <c r="DH130" i="83"/>
  <c r="DI130" i="83" s="1"/>
  <c r="DH132" i="83"/>
  <c r="DI132" i="83" s="1"/>
  <c r="IN134" i="83"/>
  <c r="IO134" i="83" s="1"/>
  <c r="IN144" i="83"/>
  <c r="IO144" i="83" s="1"/>
  <c r="CQ112" i="83"/>
  <c r="CR112" i="83" s="1"/>
  <c r="LD112" i="83"/>
  <c r="LE112" i="83" s="1"/>
  <c r="RA120" i="83"/>
  <c r="RB120" i="83" s="1"/>
  <c r="AA121" i="83"/>
  <c r="AB121" i="83" s="1"/>
  <c r="RR121" i="83"/>
  <c r="RS121" i="83" s="1"/>
  <c r="GO126" i="83"/>
  <c r="GO127" i="83"/>
  <c r="GP127" i="83" s="1"/>
  <c r="GO128" i="83"/>
  <c r="GP128" i="83" s="1"/>
  <c r="GO129" i="83"/>
  <c r="GP129" i="83" s="1"/>
  <c r="GO130" i="83"/>
  <c r="GP130" i="83" s="1"/>
  <c r="GO131" i="83"/>
  <c r="GP131" i="83" s="1"/>
  <c r="GO132" i="83"/>
  <c r="GP132" i="83" s="1"/>
  <c r="SZ134" i="83"/>
  <c r="TA134" i="83" s="1"/>
  <c r="SZ144" i="83"/>
  <c r="TA144" i="83" s="1"/>
  <c r="SZ112" i="83"/>
  <c r="TA112" i="83" s="1"/>
  <c r="HF121" i="83"/>
  <c r="HG121" i="83" s="1"/>
  <c r="BI131" i="83"/>
  <c r="BJ131" i="83" s="1"/>
  <c r="RR132" i="83"/>
  <c r="RS132" i="83" s="1"/>
  <c r="LD150" i="83"/>
  <c r="LE150" i="83" s="1"/>
  <c r="GO99" i="83"/>
  <c r="RA99" i="83"/>
  <c r="LU100" i="83"/>
  <c r="LV100" i="83" s="1"/>
  <c r="LU101" i="83"/>
  <c r="LV101" i="83" s="1"/>
  <c r="LU102" i="83"/>
  <c r="LV102" i="83" s="1"/>
  <c r="NT103" i="83"/>
  <c r="NU103" i="83" s="1"/>
  <c r="BI108" i="83"/>
  <c r="LU108" i="83"/>
  <c r="RA108" i="83"/>
  <c r="NT109" i="83"/>
  <c r="NU109" i="83" s="1"/>
  <c r="LU110" i="83"/>
  <c r="LV110" i="83" s="1"/>
  <c r="LU111" i="83"/>
  <c r="LV111" i="83" s="1"/>
  <c r="FX117" i="83"/>
  <c r="QJ117" i="83"/>
  <c r="KM118" i="83"/>
  <c r="KN118" i="83" s="1"/>
  <c r="HF119" i="83"/>
  <c r="HG119" i="83" s="1"/>
  <c r="AR99" i="83"/>
  <c r="LD99" i="83"/>
  <c r="AR100" i="83"/>
  <c r="AS100" i="83" s="1"/>
  <c r="LD100" i="83"/>
  <c r="LE100" i="83" s="1"/>
  <c r="AR101" i="83"/>
  <c r="AS101" i="83" s="1"/>
  <c r="LD101" i="83"/>
  <c r="LE101" i="83" s="1"/>
  <c r="AR102" i="83"/>
  <c r="AS102" i="83" s="1"/>
  <c r="LD102" i="83"/>
  <c r="LE102" i="83" s="1"/>
  <c r="AR103" i="83"/>
  <c r="AS103" i="83" s="1"/>
  <c r="LD103" i="83"/>
  <c r="LE103" i="83" s="1"/>
  <c r="LD108" i="83"/>
  <c r="OK108" i="83"/>
  <c r="AR109" i="83"/>
  <c r="AS109" i="83" s="1"/>
  <c r="LD109" i="83"/>
  <c r="LE109" i="83" s="1"/>
  <c r="AR110" i="83"/>
  <c r="AS110" i="83" s="1"/>
  <c r="LD110" i="83"/>
  <c r="LE110" i="83" s="1"/>
  <c r="AR111" i="83"/>
  <c r="AS111" i="83" s="1"/>
  <c r="LD111" i="83"/>
  <c r="LE111" i="83" s="1"/>
  <c r="AR112" i="83"/>
  <c r="AS112" i="83" s="1"/>
  <c r="SI117" i="83"/>
  <c r="HW118" i="83"/>
  <c r="HX118" i="83" s="1"/>
  <c r="SI118" i="83"/>
  <c r="SJ118" i="83" s="1"/>
  <c r="HW119" i="83"/>
  <c r="HX119" i="83" s="1"/>
  <c r="SI119" i="83"/>
  <c r="SJ119" i="83" s="1"/>
  <c r="EP121" i="83"/>
  <c r="EQ121" i="83" s="1"/>
  <c r="SZ127" i="83"/>
  <c r="TA127" i="83" s="1"/>
  <c r="SZ129" i="83"/>
  <c r="TA129" i="83" s="1"/>
  <c r="SZ131" i="83"/>
  <c r="TA131" i="83" s="1"/>
  <c r="IN135" i="83"/>
  <c r="IO135" i="83" s="1"/>
  <c r="JE149" i="83"/>
  <c r="FG151" i="83"/>
  <c r="FH151" i="83" s="1"/>
  <c r="AR160" i="83"/>
  <c r="AS160" i="83" s="1"/>
  <c r="BI120" i="83"/>
  <c r="BJ120" i="83" s="1"/>
  <c r="AR126" i="83"/>
  <c r="LD126" i="83"/>
  <c r="FX127" i="83"/>
  <c r="FY127" i="83" s="1"/>
  <c r="QJ127" i="83"/>
  <c r="QK127" i="83" s="1"/>
  <c r="FX128" i="83"/>
  <c r="FY128" i="83" s="1"/>
  <c r="QJ128" i="83"/>
  <c r="QK128" i="83" s="1"/>
  <c r="FX129" i="83"/>
  <c r="FY129" i="83" s="1"/>
  <c r="QJ129" i="83"/>
  <c r="QK129" i="83" s="1"/>
  <c r="FX130" i="83"/>
  <c r="FY130" i="83" s="1"/>
  <c r="QJ130" i="83"/>
  <c r="QK130" i="83" s="1"/>
  <c r="FX131" i="83"/>
  <c r="FY131" i="83" s="1"/>
  <c r="QJ131" i="83"/>
  <c r="QK131" i="83" s="1"/>
  <c r="FX132" i="83"/>
  <c r="FY132" i="83" s="1"/>
  <c r="SZ132" i="83"/>
  <c r="TA132" i="83" s="1"/>
  <c r="CQ150" i="83"/>
  <c r="CR150" i="83" s="1"/>
  <c r="CQ135" i="83"/>
  <c r="CR135" i="83" s="1"/>
  <c r="JE120" i="83"/>
  <c r="JF120" i="83" s="1"/>
  <c r="SI133" i="83"/>
  <c r="SJ133" i="83" s="1"/>
  <c r="SI134" i="83"/>
  <c r="SJ134" i="83" s="1"/>
  <c r="SI135" i="83"/>
  <c r="SJ135" i="83" s="1"/>
  <c r="HW140" i="83"/>
  <c r="PB140" i="83"/>
  <c r="EP141" i="83"/>
  <c r="EQ141" i="83" s="1"/>
  <c r="EP142" i="83"/>
  <c r="EQ142" i="83" s="1"/>
  <c r="EP143" i="83"/>
  <c r="EQ143" i="83" s="1"/>
  <c r="EP144" i="83"/>
  <c r="EQ144" i="83" s="1"/>
  <c r="DH151" i="83"/>
  <c r="DI151" i="83" s="1"/>
  <c r="PS132" i="83"/>
  <c r="PT132" i="83" s="1"/>
  <c r="OK149" i="83"/>
  <c r="DY150" i="83"/>
  <c r="DZ150" i="83" s="1"/>
  <c r="PS151" i="83"/>
  <c r="PT151" i="83" s="1"/>
  <c r="PS153" i="83"/>
  <c r="PT153" i="83" s="1"/>
  <c r="BZ133" i="83"/>
  <c r="CA133" i="83" s="1"/>
  <c r="ML133" i="83"/>
  <c r="MM133" i="83" s="1"/>
  <c r="BZ134" i="83"/>
  <c r="CA134" i="83" s="1"/>
  <c r="ML134" i="83"/>
  <c r="MM134" i="83" s="1"/>
  <c r="BZ135" i="83"/>
  <c r="CA135" i="83" s="1"/>
  <c r="ML135" i="83"/>
  <c r="MM135" i="83" s="1"/>
  <c r="HF140" i="83"/>
  <c r="PS140" i="83"/>
  <c r="AA141" i="83"/>
  <c r="AB141" i="83" s="1"/>
  <c r="KM141" i="83"/>
  <c r="KN141" i="83" s="1"/>
  <c r="AA142" i="83"/>
  <c r="AB142" i="83" s="1"/>
  <c r="KM142" i="83"/>
  <c r="KN142" i="83" s="1"/>
  <c r="AA143" i="83"/>
  <c r="AB143" i="83" s="1"/>
  <c r="KM143" i="83"/>
  <c r="KN143" i="83" s="1"/>
  <c r="AA144" i="83"/>
  <c r="AB144" i="83" s="1"/>
  <c r="KM144" i="83"/>
  <c r="KN144" i="83" s="1"/>
  <c r="SI150" i="83"/>
  <c r="SJ150" i="83" s="1"/>
  <c r="GO159" i="83"/>
  <c r="GP159" i="83" s="1"/>
  <c r="DH149" i="83"/>
  <c r="NT149" i="83"/>
  <c r="DH150" i="83"/>
  <c r="DI150" i="83" s="1"/>
  <c r="NT150" i="83"/>
  <c r="NU150" i="83" s="1"/>
  <c r="KM151" i="83"/>
  <c r="KN151" i="83" s="1"/>
  <c r="KM152" i="83"/>
  <c r="KN152" i="83" s="1"/>
  <c r="KM153" i="83"/>
  <c r="KN153" i="83" s="1"/>
  <c r="HW159" i="83"/>
  <c r="HX159" i="83" s="1"/>
  <c r="ML151" i="83"/>
  <c r="MM151" i="83" s="1"/>
  <c r="ML153" i="83"/>
  <c r="MM153" i="83" s="1"/>
  <c r="CQ151" i="83"/>
  <c r="CR151" i="83" s="1"/>
  <c r="NC151" i="83"/>
  <c r="ND151" i="83" s="1"/>
  <c r="CQ152" i="83"/>
  <c r="CR152" i="83" s="1"/>
  <c r="NC152" i="83"/>
  <c r="ND152" i="83" s="1"/>
  <c r="CQ153" i="83"/>
  <c r="CR153" i="83" s="1"/>
  <c r="NC153" i="83"/>
  <c r="ND153" i="83" s="1"/>
  <c r="BI159" i="83"/>
  <c r="BJ159" i="83" s="1"/>
  <c r="RR160" i="83"/>
  <c r="RS160" i="83" s="1"/>
  <c r="AA151" i="83"/>
  <c r="AB151" i="83" s="1"/>
  <c r="PB158" i="83"/>
  <c r="FX160" i="83"/>
  <c r="FY160" i="83" s="1"/>
  <c r="FX162" i="83"/>
  <c r="FY162" i="83" s="1"/>
  <c r="DY158" i="83"/>
  <c r="ML158" i="83"/>
  <c r="BZ159" i="83"/>
  <c r="CA159" i="83" s="1"/>
  <c r="ML159" i="83"/>
  <c r="MM159" i="83" s="1"/>
  <c r="LD161" i="83"/>
  <c r="LE161" i="83" s="1"/>
  <c r="OK160" i="83"/>
  <c r="OL160" i="83" s="1"/>
  <c r="OK161" i="83"/>
  <c r="OL161" i="83" s="1"/>
  <c r="OK162" i="83"/>
  <c r="OL162" i="83" s="1"/>
  <c r="DH160" i="83"/>
  <c r="DI160" i="83" s="1"/>
  <c r="NT160" i="83"/>
  <c r="NU160" i="83" s="1"/>
  <c r="DH161" i="83"/>
  <c r="DI161" i="83" s="1"/>
  <c r="NT161" i="83"/>
  <c r="NU161" i="83" s="1"/>
  <c r="DH162" i="83"/>
  <c r="DI162" i="83" s="1"/>
  <c r="NT162" i="83"/>
  <c r="NU162" i="83" s="1"/>
  <c r="NT153" i="83"/>
  <c r="NU153" i="83" s="1"/>
  <c r="AA150" i="83"/>
  <c r="AB150" i="83" s="1"/>
  <c r="IN151" i="83"/>
  <c r="IO151" i="83" s="1"/>
  <c r="IN153" i="83"/>
  <c r="IO153" i="83" s="1"/>
  <c r="BZ151" i="83"/>
  <c r="CA151" i="83" s="1"/>
  <c r="HF162" i="83"/>
  <c r="HG162" i="83" s="1"/>
  <c r="JV151" i="83"/>
  <c r="JW151" i="83" s="1"/>
  <c r="JV152" i="83"/>
  <c r="JW152" i="83" s="1"/>
  <c r="JV153" i="83"/>
  <c r="JW153" i="83" s="1"/>
  <c r="NC159" i="83"/>
  <c r="ND159" i="83" s="1"/>
  <c r="HF158" i="83"/>
  <c r="TQ158" i="83"/>
  <c r="JE159" i="83"/>
  <c r="JF159" i="83" s="1"/>
  <c r="ML160" i="83"/>
  <c r="MM160" i="83" s="1"/>
  <c r="ML162" i="83"/>
  <c r="MM162" i="83" s="1"/>
  <c r="BI160" i="83"/>
  <c r="BJ160" i="83" s="1"/>
  <c r="BI161" i="83"/>
  <c r="BJ161" i="83" s="1"/>
  <c r="BI162" i="83"/>
  <c r="BJ162" i="83" s="1"/>
  <c r="BZ102" i="83"/>
  <c r="CA102" i="83" s="1"/>
  <c r="ML103" i="83"/>
  <c r="MM103" i="83" s="1"/>
  <c r="ML110" i="83"/>
  <c r="MM110" i="83" s="1"/>
  <c r="LU112" i="83"/>
  <c r="LV112" i="83" s="1"/>
  <c r="LD118" i="83"/>
  <c r="LE118" i="83" s="1"/>
  <c r="LD119" i="83"/>
  <c r="LE119" i="83" s="1"/>
  <c r="HF101" i="83"/>
  <c r="HG101" i="83" s="1"/>
  <c r="RR103" i="83"/>
  <c r="RS103" i="83" s="1"/>
  <c r="BZ109" i="83"/>
  <c r="CA109" i="83" s="1"/>
  <c r="RR110" i="83"/>
  <c r="RS110" i="83" s="1"/>
  <c r="CQ120" i="83"/>
  <c r="CR120" i="83" s="1"/>
  <c r="KM112" i="83"/>
  <c r="KN112" i="83" s="1"/>
  <c r="KM120" i="83"/>
  <c r="KN120" i="83" s="1"/>
  <c r="KM121" i="83"/>
  <c r="KN121" i="83" s="1"/>
  <c r="LU127" i="83"/>
  <c r="LV127" i="83" s="1"/>
  <c r="JV129" i="83"/>
  <c r="JW129" i="83" s="1"/>
  <c r="LU131" i="83"/>
  <c r="LV131" i="83" s="1"/>
  <c r="SZ143" i="83"/>
  <c r="TA143" i="83" s="1"/>
  <c r="IN99" i="83"/>
  <c r="IN100" i="83"/>
  <c r="IO100" i="83" s="1"/>
  <c r="IN101" i="83"/>
  <c r="IO101" i="83" s="1"/>
  <c r="GO102" i="83"/>
  <c r="GP102" i="83" s="1"/>
  <c r="IN103" i="83"/>
  <c r="IO103" i="83" s="1"/>
  <c r="GO109" i="83"/>
  <c r="GP109" i="83" s="1"/>
  <c r="IN110" i="83"/>
  <c r="IO110" i="83" s="1"/>
  <c r="IN111" i="83"/>
  <c r="IO111" i="83" s="1"/>
  <c r="AR117" i="83"/>
  <c r="LD117" i="83"/>
  <c r="BZ118" i="83"/>
  <c r="CA118" i="83" s="1"/>
  <c r="FG119" i="83"/>
  <c r="FH119" i="83" s="1"/>
  <c r="DH120" i="83"/>
  <c r="DI120" i="83" s="1"/>
  <c r="NT126" i="83"/>
  <c r="NT128" i="83"/>
  <c r="NU128" i="83" s="1"/>
  <c r="NT130" i="83"/>
  <c r="NU130" i="83" s="1"/>
  <c r="NT132" i="83"/>
  <c r="NU132" i="83" s="1"/>
  <c r="HF153" i="83"/>
  <c r="HG153" i="83" s="1"/>
  <c r="FX112" i="83"/>
  <c r="FY112" i="83" s="1"/>
  <c r="SI112" i="83"/>
  <c r="SJ112" i="83" s="1"/>
  <c r="AR120" i="83"/>
  <c r="AS120" i="83" s="1"/>
  <c r="AR121" i="83"/>
  <c r="AS121" i="83" s="1"/>
  <c r="EP126" i="83"/>
  <c r="PB127" i="83"/>
  <c r="PC127" i="83" s="1"/>
  <c r="PB128" i="83"/>
  <c r="PC128" i="83" s="1"/>
  <c r="PB129" i="83"/>
  <c r="PC129" i="83" s="1"/>
  <c r="PB130" i="83"/>
  <c r="PC130" i="83" s="1"/>
  <c r="PB131" i="83"/>
  <c r="PC131" i="83" s="1"/>
  <c r="PB132" i="83"/>
  <c r="PC132" i="83" s="1"/>
  <c r="DH112" i="83"/>
  <c r="DI112" i="83" s="1"/>
  <c r="GO120" i="83"/>
  <c r="GP120" i="83" s="1"/>
  <c r="LD121" i="83"/>
  <c r="LE121" i="83" s="1"/>
  <c r="JV127" i="83"/>
  <c r="JW127" i="83" s="1"/>
  <c r="LU129" i="83"/>
  <c r="LV129" i="83" s="1"/>
  <c r="JV131" i="83"/>
  <c r="JW131" i="83" s="1"/>
  <c r="SZ135" i="83"/>
  <c r="TA135" i="83" s="1"/>
  <c r="HF99" i="83"/>
  <c r="RR99" i="83"/>
  <c r="SZ100" i="83"/>
  <c r="TA100" i="83" s="1"/>
  <c r="SZ101" i="83"/>
  <c r="TA101" i="83" s="1"/>
  <c r="RA102" i="83"/>
  <c r="RB102" i="83" s="1"/>
  <c r="SZ103" i="83"/>
  <c r="TA103" i="83" s="1"/>
  <c r="BZ108" i="83"/>
  <c r="IN108" i="83"/>
  <c r="ML108" i="83"/>
  <c r="RR108" i="83"/>
  <c r="SZ109" i="83"/>
  <c r="TA109" i="83" s="1"/>
  <c r="RA110" i="83"/>
  <c r="RB110" i="83" s="1"/>
  <c r="RA111" i="83"/>
  <c r="RB111" i="83" s="1"/>
  <c r="PS118" i="83"/>
  <c r="PT118" i="83" s="1"/>
  <c r="ML119" i="83"/>
  <c r="MM119" i="83" s="1"/>
  <c r="DY99" i="83"/>
  <c r="OK99" i="83"/>
  <c r="DY100" i="83"/>
  <c r="DZ100" i="83" s="1"/>
  <c r="OK100" i="83"/>
  <c r="OL100" i="83" s="1"/>
  <c r="DY101" i="83"/>
  <c r="DZ101" i="83" s="1"/>
  <c r="OK101" i="83"/>
  <c r="OL101" i="83" s="1"/>
  <c r="DY102" i="83"/>
  <c r="DZ102" i="83" s="1"/>
  <c r="OK102" i="83"/>
  <c r="OL102" i="83" s="1"/>
  <c r="DY103" i="83"/>
  <c r="DZ103" i="83" s="1"/>
  <c r="OK103" i="83"/>
  <c r="OL103" i="83" s="1"/>
  <c r="FX108" i="83"/>
  <c r="JE108" i="83"/>
  <c r="DY109" i="83"/>
  <c r="DZ109" i="83" s="1"/>
  <c r="OK109" i="83"/>
  <c r="OL109" i="83" s="1"/>
  <c r="DY110" i="83"/>
  <c r="DZ110" i="83" s="1"/>
  <c r="OK110" i="83"/>
  <c r="OL110" i="83" s="1"/>
  <c r="DY111" i="83"/>
  <c r="DZ111" i="83" s="1"/>
  <c r="OK111" i="83"/>
  <c r="OL111" i="83" s="1"/>
  <c r="NC117" i="83"/>
  <c r="JV118" i="83"/>
  <c r="JW118" i="83" s="1"/>
  <c r="JV119" i="83"/>
  <c r="JW119" i="83" s="1"/>
  <c r="NT121" i="83"/>
  <c r="NU121" i="83" s="1"/>
  <c r="IN126" i="83"/>
  <c r="IN128" i="83"/>
  <c r="IO128" i="83" s="1"/>
  <c r="IN130" i="83"/>
  <c r="IO130" i="83" s="1"/>
  <c r="IN132" i="83"/>
  <c r="IO132" i="83" s="1"/>
  <c r="JV135" i="83"/>
  <c r="JW135" i="83" s="1"/>
  <c r="CQ140" i="83"/>
  <c r="CQ141" i="83"/>
  <c r="CR141" i="83" s="1"/>
  <c r="CQ142" i="83"/>
  <c r="CR142" i="83" s="1"/>
  <c r="CQ143" i="83"/>
  <c r="CR143" i="83" s="1"/>
  <c r="CQ144" i="83"/>
  <c r="CR144" i="83" s="1"/>
  <c r="DH152" i="83"/>
  <c r="DI152" i="83" s="1"/>
  <c r="QJ160" i="83"/>
  <c r="QK160" i="83" s="1"/>
  <c r="LU120" i="83"/>
  <c r="LV120" i="83" s="1"/>
  <c r="JE126" i="83"/>
  <c r="TQ126" i="83"/>
  <c r="JE127" i="83"/>
  <c r="JF127" i="83" s="1"/>
  <c r="TQ127" i="83"/>
  <c r="TR127" i="83" s="1"/>
  <c r="JE128" i="83"/>
  <c r="JF128" i="83" s="1"/>
  <c r="TQ128" i="83"/>
  <c r="TR128" i="83" s="1"/>
  <c r="JE129" i="83"/>
  <c r="JF129" i="83" s="1"/>
  <c r="TQ129" i="83"/>
  <c r="TR129" i="83" s="1"/>
  <c r="JE130" i="83"/>
  <c r="JF130" i="83" s="1"/>
  <c r="TQ130" i="83"/>
  <c r="TR130" i="83" s="1"/>
  <c r="JE131" i="83"/>
  <c r="JF131" i="83" s="1"/>
  <c r="TQ131" i="83"/>
  <c r="TR131" i="83" s="1"/>
  <c r="JE132" i="83"/>
  <c r="JF132" i="83" s="1"/>
  <c r="HF152" i="83"/>
  <c r="HG152" i="83" s="1"/>
  <c r="NC135" i="83"/>
  <c r="ND135" i="83" s="1"/>
  <c r="TQ120" i="83"/>
  <c r="TR120" i="83" s="1"/>
  <c r="EP133" i="83"/>
  <c r="EQ133" i="83" s="1"/>
  <c r="EP134" i="83"/>
  <c r="EQ134" i="83" s="1"/>
  <c r="EP135" i="83"/>
  <c r="EQ135" i="83" s="1"/>
  <c r="HW141" i="83"/>
  <c r="HX141" i="83" s="1"/>
  <c r="HW142" i="83"/>
  <c r="HX142" i="83" s="1"/>
  <c r="HW143" i="83"/>
  <c r="HX143" i="83" s="1"/>
  <c r="HW144" i="83"/>
  <c r="HX144" i="83" s="1"/>
  <c r="FG152" i="83"/>
  <c r="FH152" i="83" s="1"/>
  <c r="FX149" i="83"/>
  <c r="FX150" i="83"/>
  <c r="FY150" i="83" s="1"/>
  <c r="RR151" i="83"/>
  <c r="RS151" i="83" s="1"/>
  <c r="RR153" i="83"/>
  <c r="RS153" i="83" s="1"/>
  <c r="SI158" i="83"/>
  <c r="FG133" i="83"/>
  <c r="FH133" i="83" s="1"/>
  <c r="PS133" i="83"/>
  <c r="PT133" i="83" s="1"/>
  <c r="FG134" i="83"/>
  <c r="FH134" i="83" s="1"/>
  <c r="PS134" i="83"/>
  <c r="PT134" i="83" s="1"/>
  <c r="FG135" i="83"/>
  <c r="FH135" i="83" s="1"/>
  <c r="PS135" i="83"/>
  <c r="PT135" i="83" s="1"/>
  <c r="AA140" i="83"/>
  <c r="ML140" i="83"/>
  <c r="BZ141" i="83"/>
  <c r="CA141" i="83" s="1"/>
  <c r="ML141" i="83"/>
  <c r="MM141" i="83" s="1"/>
  <c r="BZ142" i="83"/>
  <c r="CA142" i="83" s="1"/>
  <c r="ML142" i="83"/>
  <c r="MM142" i="83" s="1"/>
  <c r="BZ143" i="83"/>
  <c r="CA143" i="83" s="1"/>
  <c r="ML143" i="83"/>
  <c r="MM143" i="83" s="1"/>
  <c r="BZ144" i="83"/>
  <c r="CA144" i="83" s="1"/>
  <c r="ML144" i="83"/>
  <c r="MM144" i="83" s="1"/>
  <c r="HW149" i="83"/>
  <c r="NT151" i="83"/>
  <c r="NU151" i="83" s="1"/>
  <c r="JV159" i="83"/>
  <c r="JW159" i="83" s="1"/>
  <c r="HF161" i="83"/>
  <c r="HG161" i="83" s="1"/>
  <c r="AA149" i="83"/>
  <c r="KM149" i="83"/>
  <c r="FG150" i="83"/>
  <c r="FH150" i="83" s="1"/>
  <c r="PS150" i="83"/>
  <c r="PT150" i="83" s="1"/>
  <c r="SZ151" i="83"/>
  <c r="TA151" i="83" s="1"/>
  <c r="SZ152" i="83"/>
  <c r="TA152" i="83" s="1"/>
  <c r="SZ153" i="83"/>
  <c r="TA153" i="83" s="1"/>
  <c r="QJ161" i="83"/>
  <c r="QK161" i="83" s="1"/>
  <c r="BZ152" i="83"/>
  <c r="CA152" i="83" s="1"/>
  <c r="RA158" i="83"/>
  <c r="NT159" i="83"/>
  <c r="NU159" i="83" s="1"/>
  <c r="EP151" i="83"/>
  <c r="EQ151" i="83" s="1"/>
  <c r="PB151" i="83"/>
  <c r="PC151" i="83" s="1"/>
  <c r="EP152" i="83"/>
  <c r="EQ152" i="83" s="1"/>
  <c r="PB152" i="83"/>
  <c r="PC152" i="83" s="1"/>
  <c r="EP153" i="83"/>
  <c r="EQ153" i="83" s="1"/>
  <c r="PB153" i="83"/>
  <c r="PC153" i="83" s="1"/>
  <c r="LU159" i="83"/>
  <c r="LV159" i="83" s="1"/>
  <c r="RR161" i="83"/>
  <c r="RS161" i="83" s="1"/>
  <c r="NC158" i="83"/>
  <c r="CQ159" i="83"/>
  <c r="CR159" i="83" s="1"/>
  <c r="JE160" i="83"/>
  <c r="JF160" i="83" s="1"/>
  <c r="JE162" i="83"/>
  <c r="JF162" i="83" s="1"/>
  <c r="JE158" i="83"/>
  <c r="RR158" i="83"/>
  <c r="DY159" i="83"/>
  <c r="DZ159" i="83" s="1"/>
  <c r="OK159" i="83"/>
  <c r="OL159" i="83" s="1"/>
  <c r="AR162" i="83"/>
  <c r="AS162" i="83" s="1"/>
  <c r="PB159" i="83"/>
  <c r="PC159" i="83" s="1"/>
  <c r="BZ161" i="83"/>
  <c r="CA161" i="83" s="1"/>
  <c r="BZ162" i="83"/>
  <c r="CA162" i="83" s="1"/>
  <c r="GO160" i="83"/>
  <c r="GP160" i="83" s="1"/>
  <c r="RA160" i="83"/>
  <c r="RB160" i="83" s="1"/>
  <c r="GO161" i="83"/>
  <c r="GP161" i="83" s="1"/>
  <c r="RA161" i="83"/>
  <c r="RB161" i="83" s="1"/>
  <c r="GO162" i="83"/>
  <c r="GP162" i="83" s="1"/>
  <c r="RA162" i="83"/>
  <c r="RB162" i="83" s="1"/>
  <c r="HF100" i="83"/>
  <c r="HG100" i="83" s="1"/>
  <c r="HF102" i="83"/>
  <c r="HG102" i="83" s="1"/>
  <c r="HF111" i="83"/>
  <c r="HG111" i="83" s="1"/>
  <c r="RA112" i="83"/>
  <c r="RB112" i="83" s="1"/>
  <c r="QJ118" i="83"/>
  <c r="QK118" i="83" s="1"/>
  <c r="QJ119" i="83"/>
  <c r="QK119" i="83" s="1"/>
  <c r="BZ100" i="83"/>
  <c r="CA100" i="83" s="1"/>
  <c r="RR101" i="83"/>
  <c r="RS101" i="83" s="1"/>
  <c r="ML109" i="83"/>
  <c r="MM109" i="83" s="1"/>
  <c r="BZ111" i="83"/>
  <c r="CA111" i="83" s="1"/>
  <c r="CQ121" i="83"/>
  <c r="CR121" i="83" s="1"/>
  <c r="OK120" i="83"/>
  <c r="OL120" i="83" s="1"/>
  <c r="OK121" i="83"/>
  <c r="OL121" i="83" s="1"/>
  <c r="BI128" i="83"/>
  <c r="BJ128" i="83" s="1"/>
  <c r="BI132" i="83"/>
  <c r="BJ132" i="83" s="1"/>
  <c r="HF151" i="83"/>
  <c r="HG151" i="83" s="1"/>
  <c r="NT99" i="83"/>
  <c r="NT100" i="83"/>
  <c r="NU100" i="83" s="1"/>
  <c r="NT101" i="83"/>
  <c r="NU101" i="83" s="1"/>
  <c r="NT102" i="83"/>
  <c r="NU102" i="83" s="1"/>
  <c r="LU103" i="83"/>
  <c r="LV103" i="83" s="1"/>
  <c r="GO108" i="83"/>
  <c r="LU109" i="83"/>
  <c r="LV109" i="83" s="1"/>
  <c r="NT110" i="83"/>
  <c r="NU110" i="83" s="1"/>
  <c r="NT111" i="83"/>
  <c r="NU111" i="83" s="1"/>
  <c r="HF118" i="83"/>
  <c r="HG118" i="83" s="1"/>
  <c r="KM119" i="83"/>
  <c r="KN119" i="83" s="1"/>
  <c r="PB120" i="83"/>
  <c r="PC120" i="83" s="1"/>
  <c r="DH127" i="83"/>
  <c r="DI127" i="83" s="1"/>
  <c r="DH129" i="83"/>
  <c r="DI129" i="83" s="1"/>
  <c r="DH131" i="83"/>
  <c r="DI131" i="83" s="1"/>
  <c r="CQ133" i="83"/>
  <c r="CR133" i="83" s="1"/>
  <c r="IN140" i="83"/>
  <c r="TQ162" i="83"/>
  <c r="TR162" i="83" s="1"/>
  <c r="NC112" i="83"/>
  <c r="ND112" i="83" s="1"/>
  <c r="DY120" i="83"/>
  <c r="DZ120" i="83" s="1"/>
  <c r="RR120" i="83"/>
  <c r="RS120" i="83" s="1"/>
  <c r="DY121" i="83"/>
  <c r="DZ121" i="83" s="1"/>
  <c r="RA126" i="83"/>
  <c r="RA127" i="83"/>
  <c r="RB127" i="83" s="1"/>
  <c r="RA128" i="83"/>
  <c r="RB128" i="83" s="1"/>
  <c r="RA129" i="83"/>
  <c r="RB129" i="83" s="1"/>
  <c r="RA130" i="83"/>
  <c r="RB130" i="83" s="1"/>
  <c r="RA131" i="83"/>
  <c r="RB131" i="83" s="1"/>
  <c r="SZ140" i="83"/>
  <c r="IN112" i="83"/>
  <c r="IO112" i="83" s="1"/>
  <c r="BI130" i="83"/>
  <c r="BJ130" i="83" s="1"/>
  <c r="BI99" i="83"/>
  <c r="LU99" i="83"/>
  <c r="BI100" i="83"/>
  <c r="BJ100" i="83" s="1"/>
  <c r="DH101" i="83"/>
  <c r="DI101" i="83" s="1"/>
  <c r="DH102" i="83"/>
  <c r="DI102" i="83" s="1"/>
  <c r="BI103" i="83"/>
  <c r="BJ103" i="83" s="1"/>
  <c r="BI109" i="83"/>
  <c r="BJ109" i="83" s="1"/>
  <c r="DH110" i="83"/>
  <c r="DI110" i="83" s="1"/>
  <c r="BI111" i="83"/>
  <c r="BJ111" i="83" s="1"/>
  <c r="BZ117" i="83"/>
  <c r="ML117" i="83"/>
  <c r="AA119" i="83"/>
  <c r="AB119" i="83" s="1"/>
  <c r="AA120" i="83"/>
  <c r="AB120" i="83" s="1"/>
  <c r="FX99" i="83"/>
  <c r="QJ99" i="83"/>
  <c r="FX100" i="83"/>
  <c r="FY100" i="83" s="1"/>
  <c r="QJ100" i="83"/>
  <c r="QK100" i="83" s="1"/>
  <c r="FX101" i="83"/>
  <c r="FY101" i="83" s="1"/>
  <c r="QJ101" i="83"/>
  <c r="QK101" i="83" s="1"/>
  <c r="FX102" i="83"/>
  <c r="FY102" i="83" s="1"/>
  <c r="QJ102" i="83"/>
  <c r="QK102" i="83" s="1"/>
  <c r="FX103" i="83"/>
  <c r="FY103" i="83" s="1"/>
  <c r="QJ103" i="83"/>
  <c r="QK103" i="83" s="1"/>
  <c r="AR108" i="83"/>
  <c r="DY108" i="83"/>
  <c r="FX109" i="83"/>
  <c r="FY109" i="83" s="1"/>
  <c r="QJ109" i="83"/>
  <c r="QK109" i="83" s="1"/>
  <c r="FX110" i="83"/>
  <c r="FY110" i="83" s="1"/>
  <c r="QJ110" i="83"/>
  <c r="QK110" i="83" s="1"/>
  <c r="FX111" i="83"/>
  <c r="FY111" i="83" s="1"/>
  <c r="QJ111" i="83"/>
  <c r="QK111" i="83" s="1"/>
  <c r="CQ117" i="83"/>
  <c r="HW117" i="83"/>
  <c r="PB117" i="83"/>
  <c r="CQ118" i="83"/>
  <c r="CR118" i="83" s="1"/>
  <c r="NC118" i="83"/>
  <c r="ND118" i="83" s="1"/>
  <c r="CQ119" i="83"/>
  <c r="CR119" i="83" s="1"/>
  <c r="NC119" i="83"/>
  <c r="ND119" i="83" s="1"/>
  <c r="EP120" i="83"/>
  <c r="EQ120" i="83" s="1"/>
  <c r="SZ126" i="83"/>
  <c r="SZ128" i="83"/>
  <c r="TA128" i="83" s="1"/>
  <c r="SZ130" i="83"/>
  <c r="TA130" i="83" s="1"/>
  <c r="SI132" i="83"/>
  <c r="SJ132" i="83" s="1"/>
  <c r="IN141" i="83"/>
  <c r="IO141" i="83" s="1"/>
  <c r="LD149" i="83"/>
  <c r="JV158" i="83"/>
  <c r="JV141" i="83"/>
  <c r="JW141" i="83" s="1"/>
  <c r="JV142" i="83"/>
  <c r="JW142" i="83" s="1"/>
  <c r="JV143" i="83"/>
  <c r="JW143" i="83" s="1"/>
  <c r="JV144" i="83"/>
  <c r="JW144" i="83" s="1"/>
  <c r="FG153" i="83"/>
  <c r="FH153" i="83" s="1"/>
  <c r="BI121" i="83"/>
  <c r="BJ121" i="83" s="1"/>
  <c r="FX126" i="83"/>
  <c r="QJ126" i="83"/>
  <c r="AR127" i="83"/>
  <c r="AS127" i="83" s="1"/>
  <c r="LD127" i="83"/>
  <c r="LE127" i="83" s="1"/>
  <c r="AR128" i="83"/>
  <c r="AS128" i="83" s="1"/>
  <c r="LD128" i="83"/>
  <c r="LE128" i="83" s="1"/>
  <c r="AR129" i="83"/>
  <c r="AS129" i="83" s="1"/>
  <c r="LD129" i="83"/>
  <c r="LE129" i="83" s="1"/>
  <c r="AR130" i="83"/>
  <c r="AS130" i="83" s="1"/>
  <c r="LD130" i="83"/>
  <c r="LE130" i="83" s="1"/>
  <c r="AR131" i="83"/>
  <c r="AS131" i="83" s="1"/>
  <c r="LD131" i="83"/>
  <c r="LE131" i="83" s="1"/>
  <c r="AR132" i="83"/>
  <c r="AS132" i="83" s="1"/>
  <c r="LD132" i="83"/>
  <c r="LE132" i="83" s="1"/>
  <c r="CQ149" i="83"/>
  <c r="JE121" i="83"/>
  <c r="JF121" i="83" s="1"/>
  <c r="HW133" i="83"/>
  <c r="HX133" i="83" s="1"/>
  <c r="HW134" i="83"/>
  <c r="HX134" i="83" s="1"/>
  <c r="HW135" i="83"/>
  <c r="HX135" i="83" s="1"/>
  <c r="EP140" i="83"/>
  <c r="PB141" i="83"/>
  <c r="PC141" i="83" s="1"/>
  <c r="PB142" i="83"/>
  <c r="PC142" i="83" s="1"/>
  <c r="PB143" i="83"/>
  <c r="PC143" i="83" s="1"/>
  <c r="PB144" i="83"/>
  <c r="PC144" i="83" s="1"/>
  <c r="TQ149" i="83"/>
  <c r="DH153" i="83"/>
  <c r="DI153" i="83" s="1"/>
  <c r="DY149" i="83"/>
  <c r="OK150" i="83"/>
  <c r="OL150" i="83" s="1"/>
  <c r="PS152" i="83"/>
  <c r="PT152" i="83" s="1"/>
  <c r="QJ162" i="83"/>
  <c r="QK162" i="83" s="1"/>
  <c r="HF133" i="83"/>
  <c r="HG133" i="83" s="1"/>
  <c r="RR133" i="83"/>
  <c r="RS133" i="83" s="1"/>
  <c r="HF134" i="83"/>
  <c r="HG134" i="83" s="1"/>
  <c r="RR134" i="83"/>
  <c r="RS134" i="83" s="1"/>
  <c r="HF135" i="83"/>
  <c r="HG135" i="83" s="1"/>
  <c r="RR135" i="83"/>
  <c r="RS135" i="83" s="1"/>
  <c r="FG140" i="83"/>
  <c r="KM140" i="83"/>
  <c r="FG141" i="83"/>
  <c r="FH141" i="83" s="1"/>
  <c r="PS141" i="83"/>
  <c r="PT141" i="83" s="1"/>
  <c r="FG142" i="83"/>
  <c r="FH142" i="83" s="1"/>
  <c r="PS142" i="83"/>
  <c r="PT142" i="83" s="1"/>
  <c r="FG143" i="83"/>
  <c r="FH143" i="83" s="1"/>
  <c r="PS143" i="83"/>
  <c r="PT143" i="83" s="1"/>
  <c r="FG144" i="83"/>
  <c r="FH144" i="83" s="1"/>
  <c r="PS144" i="83"/>
  <c r="PT144" i="83" s="1"/>
  <c r="SI149" i="83"/>
  <c r="NT152" i="83"/>
  <c r="NU152" i="83" s="1"/>
  <c r="RA159" i="83"/>
  <c r="RB159" i="83" s="1"/>
  <c r="IN149" i="83"/>
  <c r="SZ149" i="83"/>
  <c r="IN150" i="83"/>
  <c r="IO150" i="83" s="1"/>
  <c r="SZ150" i="83"/>
  <c r="TA150" i="83" s="1"/>
  <c r="AA152" i="83"/>
  <c r="AB152" i="83" s="1"/>
  <c r="AA153" i="83"/>
  <c r="AB153" i="83" s="1"/>
  <c r="TQ161" i="83"/>
  <c r="TR161" i="83" s="1"/>
  <c r="ML152" i="83"/>
  <c r="MM152" i="83" s="1"/>
  <c r="HF160" i="83"/>
  <c r="HG160" i="83" s="1"/>
  <c r="HW151" i="83"/>
  <c r="HX151" i="83" s="1"/>
  <c r="SI151" i="83"/>
  <c r="SJ151" i="83" s="1"/>
  <c r="HW152" i="83"/>
  <c r="HX152" i="83" s="1"/>
  <c r="SI152" i="83"/>
  <c r="SJ152" i="83" s="1"/>
  <c r="HW153" i="83"/>
  <c r="HX153" i="83" s="1"/>
  <c r="SI153" i="83"/>
  <c r="SJ153" i="83" s="1"/>
  <c r="BI158" i="83"/>
  <c r="LU158" i="83"/>
  <c r="RR159" i="83"/>
  <c r="RS159" i="83" s="1"/>
  <c r="RR162" i="83"/>
  <c r="RS162" i="83" s="1"/>
  <c r="EP158" i="83"/>
  <c r="EP159" i="83"/>
  <c r="EQ159" i="83" s="1"/>
  <c r="FX161" i="83"/>
  <c r="FY161" i="83" s="1"/>
  <c r="BZ158" i="83"/>
  <c r="OK158" i="83"/>
  <c r="HF159" i="83"/>
  <c r="HG159" i="83" s="1"/>
  <c r="LD160" i="83"/>
  <c r="LE160" i="83" s="1"/>
  <c r="LD162" i="83"/>
  <c r="LE162" i="83" s="1"/>
  <c r="DY160" i="83"/>
  <c r="DZ160" i="83" s="1"/>
  <c r="DY161" i="83"/>
  <c r="DZ161" i="83" s="1"/>
  <c r="DY162" i="83"/>
  <c r="DZ162" i="83" s="1"/>
  <c r="IN160" i="83"/>
  <c r="IO160" i="83" s="1"/>
  <c r="SZ160" i="83"/>
  <c r="TA160" i="83" s="1"/>
  <c r="IN161" i="83"/>
  <c r="IO161" i="83" s="1"/>
  <c r="SZ161" i="83"/>
  <c r="TA161" i="83" s="1"/>
  <c r="IN162" i="83"/>
  <c r="IO162" i="83" s="1"/>
  <c r="SZ162" i="83"/>
  <c r="TA162" i="83" s="1"/>
  <c r="TQ159" i="83"/>
  <c r="TR159" i="83" s="1"/>
  <c r="RR100" i="83"/>
  <c r="RS100" i="83" s="1"/>
  <c r="RR102" i="83"/>
  <c r="RS102" i="83" s="1"/>
  <c r="HF109" i="83"/>
  <c r="HG109" i="83" s="1"/>
  <c r="AR118" i="83"/>
  <c r="AS118" i="83" s="1"/>
  <c r="AR119" i="83"/>
  <c r="AS119" i="83" s="1"/>
  <c r="ML100" i="83"/>
  <c r="MM100" i="83" s="1"/>
  <c r="ML102" i="83"/>
  <c r="MM102" i="83" s="1"/>
  <c r="BZ110" i="83"/>
  <c r="CA110" i="83" s="1"/>
  <c r="ML111" i="83"/>
  <c r="MM111" i="83" s="1"/>
  <c r="SZ133" i="83"/>
  <c r="TA133" i="83" s="1"/>
  <c r="FG112" i="83"/>
  <c r="FH112" i="83" s="1"/>
  <c r="PS112" i="83"/>
  <c r="PT112" i="83" s="1"/>
  <c r="JV126" i="83"/>
  <c r="LU128" i="83"/>
  <c r="LV128" i="83" s="1"/>
  <c r="LU130" i="83"/>
  <c r="LV130" i="83" s="1"/>
  <c r="LU132" i="83"/>
  <c r="LV132" i="83" s="1"/>
  <c r="GO158" i="83"/>
  <c r="SZ99" i="83"/>
  <c r="RA100" i="83"/>
  <c r="RB100" i="83" s="1"/>
  <c r="RA101" i="83"/>
  <c r="RB101" i="83" s="1"/>
  <c r="SZ102" i="83"/>
  <c r="TA102" i="83" s="1"/>
  <c r="RA103" i="83"/>
  <c r="RB103" i="83" s="1"/>
  <c r="DH108" i="83"/>
  <c r="HF108" i="83"/>
  <c r="NT108" i="83"/>
  <c r="SZ108" i="83"/>
  <c r="RA109" i="83"/>
  <c r="RB109" i="83" s="1"/>
  <c r="SZ110" i="83"/>
  <c r="TA110" i="83" s="1"/>
  <c r="SZ111" i="83"/>
  <c r="TA111" i="83" s="1"/>
  <c r="HF117" i="83"/>
  <c r="RR117" i="83"/>
  <c r="ML118" i="83"/>
  <c r="MM118" i="83" s="1"/>
  <c r="PS119" i="83"/>
  <c r="PT119" i="83" s="1"/>
  <c r="DH121" i="83"/>
  <c r="DI121" i="83" s="1"/>
  <c r="NT127" i="83"/>
  <c r="NU127" i="83" s="1"/>
  <c r="NT129" i="83"/>
  <c r="NU129" i="83" s="1"/>
  <c r="NT131" i="83"/>
  <c r="NU131" i="83" s="1"/>
  <c r="CQ134" i="83"/>
  <c r="CR134" i="83" s="1"/>
  <c r="IN142" i="83"/>
  <c r="IO142" i="83" s="1"/>
  <c r="HW112" i="83"/>
  <c r="HX112" i="83" s="1"/>
  <c r="QJ112" i="83"/>
  <c r="QK112" i="83" s="1"/>
  <c r="RA121" i="83"/>
  <c r="RB121" i="83" s="1"/>
  <c r="PB126" i="83"/>
  <c r="EP127" i="83"/>
  <c r="EQ127" i="83" s="1"/>
  <c r="EP128" i="83"/>
  <c r="EQ128" i="83" s="1"/>
  <c r="EP129" i="83"/>
  <c r="EQ129" i="83" s="1"/>
  <c r="EP130" i="83"/>
  <c r="EQ130" i="83" s="1"/>
  <c r="EP131" i="83"/>
  <c r="EQ131" i="83" s="1"/>
  <c r="EP132" i="83"/>
  <c r="EQ132" i="83" s="1"/>
  <c r="SZ142" i="83"/>
  <c r="TA142" i="83" s="1"/>
  <c r="NC149" i="83"/>
  <c r="NT112" i="83"/>
  <c r="NU112" i="83" s="1"/>
  <c r="LD120" i="83"/>
  <c r="LE120" i="83" s="1"/>
  <c r="LU126" i="83"/>
  <c r="JV128" i="83"/>
  <c r="JW128" i="83" s="1"/>
  <c r="JV130" i="83"/>
  <c r="JW130" i="83" s="1"/>
  <c r="JV132" i="83"/>
  <c r="JW132" i="83" s="1"/>
  <c r="SZ141" i="83"/>
  <c r="TA141" i="83" s="1"/>
  <c r="BZ99" i="83"/>
  <c r="ML99" i="83"/>
  <c r="GO100" i="83"/>
  <c r="GP100" i="83" s="1"/>
  <c r="GO101" i="83"/>
  <c r="GP101" i="83" s="1"/>
  <c r="IN102" i="83"/>
  <c r="IO102" i="83" s="1"/>
  <c r="GO103" i="83"/>
  <c r="GP103" i="83" s="1"/>
  <c r="IN109" i="83"/>
  <c r="IO109" i="83" s="1"/>
  <c r="GO110" i="83"/>
  <c r="GP110" i="83" s="1"/>
  <c r="GO111" i="83"/>
  <c r="GP111" i="83" s="1"/>
  <c r="FG117" i="83"/>
  <c r="PS117" i="83"/>
  <c r="FG118" i="83"/>
  <c r="FH118" i="83" s="1"/>
  <c r="BZ119" i="83"/>
  <c r="CA119" i="83" s="1"/>
  <c r="JE99" i="83"/>
  <c r="TQ99" i="83"/>
  <c r="JE100" i="83"/>
  <c r="JF100" i="83" s="1"/>
  <c r="TQ100" i="83"/>
  <c r="TR100" i="83" s="1"/>
  <c r="JE101" i="83"/>
  <c r="JF101" i="83" s="1"/>
  <c r="TQ101" i="83"/>
  <c r="TR101" i="83" s="1"/>
  <c r="JE102" i="83"/>
  <c r="JF102" i="83" s="1"/>
  <c r="TQ102" i="83"/>
  <c r="TR102" i="83" s="1"/>
  <c r="JE103" i="83"/>
  <c r="JF103" i="83" s="1"/>
  <c r="TQ103" i="83"/>
  <c r="TR103" i="83" s="1"/>
  <c r="QJ108" i="83"/>
  <c r="TQ108" i="83"/>
  <c r="JE109" i="83"/>
  <c r="JF109" i="83" s="1"/>
  <c r="TQ109" i="83"/>
  <c r="TR109" i="83" s="1"/>
  <c r="JE110" i="83"/>
  <c r="JF110" i="83" s="1"/>
  <c r="TQ110" i="83"/>
  <c r="TR110" i="83" s="1"/>
  <c r="JE111" i="83"/>
  <c r="JF111" i="83" s="1"/>
  <c r="TQ111" i="83"/>
  <c r="TR111" i="83" s="1"/>
  <c r="EP117" i="83"/>
  <c r="JV117" i="83"/>
  <c r="EP118" i="83"/>
  <c r="EQ118" i="83" s="1"/>
  <c r="PB118" i="83"/>
  <c r="PC118" i="83" s="1"/>
  <c r="EP119" i="83"/>
  <c r="EQ119" i="83" s="1"/>
  <c r="PB119" i="83"/>
  <c r="PC119" i="83" s="1"/>
  <c r="NT120" i="83"/>
  <c r="NU120" i="83" s="1"/>
  <c r="IN127" i="83"/>
  <c r="IO127" i="83" s="1"/>
  <c r="IN129" i="83"/>
  <c r="IO129" i="83" s="1"/>
  <c r="IN131" i="83"/>
  <c r="IO131" i="83" s="1"/>
  <c r="NC133" i="83"/>
  <c r="ND133" i="83" s="1"/>
  <c r="IN143" i="83"/>
  <c r="IO143" i="83" s="1"/>
  <c r="NC150" i="83"/>
  <c r="ND150" i="83" s="1"/>
  <c r="NC134" i="83"/>
  <c r="ND134" i="83" s="1"/>
  <c r="JV140" i="83"/>
  <c r="NC140" i="83"/>
  <c r="NC141" i="83"/>
  <c r="ND141" i="83" s="1"/>
  <c r="NC142" i="83"/>
  <c r="ND142" i="83" s="1"/>
  <c r="NC143" i="83"/>
  <c r="ND143" i="83" s="1"/>
  <c r="NC144" i="83"/>
  <c r="ND144" i="83" s="1"/>
  <c r="JE150" i="83"/>
  <c r="JF150" i="83" s="1"/>
  <c r="LU121" i="83"/>
  <c r="LV121" i="83" s="1"/>
  <c r="DY126" i="83"/>
  <c r="OK126" i="83"/>
  <c r="DY127" i="83"/>
  <c r="DZ127" i="83" s="1"/>
  <c r="OK127" i="83"/>
  <c r="OL127" i="83" s="1"/>
  <c r="DY128" i="83"/>
  <c r="DZ128" i="83" s="1"/>
  <c r="OK128" i="83"/>
  <c r="OL128" i="83" s="1"/>
  <c r="DY129" i="83"/>
  <c r="DZ129" i="83" s="1"/>
  <c r="OK129" i="83"/>
  <c r="OL129" i="83" s="1"/>
  <c r="DY130" i="83"/>
  <c r="DZ130" i="83" s="1"/>
  <c r="OK130" i="83"/>
  <c r="OL130" i="83" s="1"/>
  <c r="DY131" i="83"/>
  <c r="DZ131" i="83" s="1"/>
  <c r="OK131" i="83"/>
  <c r="OL131" i="83" s="1"/>
  <c r="DY132" i="83"/>
  <c r="DZ132" i="83" s="1"/>
  <c r="OK132" i="83"/>
  <c r="OL132" i="83" s="1"/>
  <c r="AR149" i="83"/>
  <c r="AR150" i="83"/>
  <c r="AS150" i="83" s="1"/>
  <c r="JV134" i="83"/>
  <c r="JW134" i="83" s="1"/>
  <c r="TQ121" i="83"/>
  <c r="TR121" i="83" s="1"/>
  <c r="PB133" i="83"/>
  <c r="PC133" i="83" s="1"/>
  <c r="PB134" i="83"/>
  <c r="PC134" i="83" s="1"/>
  <c r="PB135" i="83"/>
  <c r="PC135" i="83" s="1"/>
  <c r="SI140" i="83"/>
  <c r="SI141" i="83"/>
  <c r="SJ141" i="83" s="1"/>
  <c r="SI142" i="83"/>
  <c r="SJ142" i="83" s="1"/>
  <c r="SI143" i="83"/>
  <c r="SJ143" i="83" s="1"/>
  <c r="SI144" i="83"/>
  <c r="SJ144" i="83" s="1"/>
  <c r="TQ150" i="83"/>
  <c r="TR150" i="83" s="1"/>
  <c r="QJ149" i="83"/>
  <c r="QJ150" i="83"/>
  <c r="QK150" i="83" s="1"/>
  <c r="RR152" i="83"/>
  <c r="RS152" i="83" s="1"/>
  <c r="AA133" i="83"/>
  <c r="AB133" i="83" s="1"/>
  <c r="KM133" i="83"/>
  <c r="KN133" i="83" s="1"/>
  <c r="AA134" i="83"/>
  <c r="AB134" i="83" s="1"/>
  <c r="KM134" i="83"/>
  <c r="KN134" i="83" s="1"/>
  <c r="AA135" i="83"/>
  <c r="AB135" i="83" s="1"/>
  <c r="KM135" i="83"/>
  <c r="KN135" i="83" s="1"/>
  <c r="BZ140" i="83"/>
  <c r="RR140" i="83"/>
  <c r="HF141" i="83"/>
  <c r="HG141" i="83" s="1"/>
  <c r="RR141" i="83"/>
  <c r="RS141" i="83" s="1"/>
  <c r="HF142" i="83"/>
  <c r="HG142" i="83" s="1"/>
  <c r="RR142" i="83"/>
  <c r="RS142" i="83" s="1"/>
  <c r="HF143" i="83"/>
  <c r="HG143" i="83" s="1"/>
  <c r="RR143" i="83"/>
  <c r="RS143" i="83" s="1"/>
  <c r="HF144" i="83"/>
  <c r="HG144" i="83" s="1"/>
  <c r="RR144" i="83"/>
  <c r="RS144" i="83" s="1"/>
  <c r="HW150" i="83"/>
  <c r="HX150" i="83" s="1"/>
  <c r="TQ160" i="83"/>
  <c r="TR160" i="83" s="1"/>
  <c r="FG149" i="83"/>
  <c r="PS149" i="83"/>
  <c r="KM150" i="83"/>
  <c r="KN150" i="83" s="1"/>
  <c r="IN152" i="83"/>
  <c r="IO152" i="83" s="1"/>
  <c r="HW158" i="83"/>
  <c r="BZ153" i="83"/>
  <c r="CA153" i="83" s="1"/>
  <c r="AA160" i="83"/>
  <c r="AB160" i="83" s="1"/>
  <c r="CQ158" i="83"/>
  <c r="JE161" i="83"/>
  <c r="JF161" i="83" s="1"/>
  <c r="AR161" i="83"/>
  <c r="AS161" i="83" s="1"/>
  <c r="ML161" i="83"/>
  <c r="MM161" i="83" s="1"/>
  <c r="LU160" i="83"/>
  <c r="LV160" i="83" s="1"/>
  <c r="LU161" i="83"/>
  <c r="LV161" i="83" s="1"/>
  <c r="LU162" i="83"/>
  <c r="LV162" i="83" s="1"/>
  <c r="I164" i="1"/>
  <c r="I173" i="1"/>
  <c r="I155" i="1"/>
  <c r="I123" i="1"/>
  <c r="I132" i="1"/>
  <c r="AC160" i="83" l="1"/>
  <c r="AD160" i="83"/>
  <c r="FG155" i="83"/>
  <c r="FG154" i="83"/>
  <c r="FH149" i="83"/>
  <c r="HI142" i="83"/>
  <c r="HH142" i="83"/>
  <c r="AD134" i="83"/>
  <c r="AC134" i="83"/>
  <c r="SK143" i="83"/>
  <c r="SL143" i="83"/>
  <c r="JY134" i="83"/>
  <c r="JX134" i="83"/>
  <c r="EA130" i="83"/>
  <c r="EB130" i="83"/>
  <c r="DZ126" i="83"/>
  <c r="DY137" i="83"/>
  <c r="DY136" i="83"/>
  <c r="JV145" i="83"/>
  <c r="JW140" i="83"/>
  <c r="JV146" i="83"/>
  <c r="NE133" i="83"/>
  <c r="NF133" i="83"/>
  <c r="ES118" i="83"/>
  <c r="ER118" i="83"/>
  <c r="TS109" i="83"/>
  <c r="TT109" i="83"/>
  <c r="TS101" i="83"/>
  <c r="TT101" i="83"/>
  <c r="PS123" i="83"/>
  <c r="PS122" i="83"/>
  <c r="PT117" i="83"/>
  <c r="GQ100" i="83"/>
  <c r="GR100" i="83"/>
  <c r="LG120" i="83"/>
  <c r="LF120" i="83"/>
  <c r="RC121" i="83"/>
  <c r="RD121" i="83"/>
  <c r="NW127" i="83"/>
  <c r="NV127" i="83"/>
  <c r="RR123" i="83"/>
  <c r="RR122" i="83"/>
  <c r="RS117" i="83"/>
  <c r="DI108" i="83"/>
  <c r="DH114" i="83"/>
  <c r="DH113" i="83"/>
  <c r="LX130" i="83"/>
  <c r="LW130" i="83"/>
  <c r="MN102" i="83"/>
  <c r="MO102" i="83"/>
  <c r="TC162" i="83"/>
  <c r="TB162" i="83"/>
  <c r="EB160" i="83"/>
  <c r="EA160" i="83"/>
  <c r="EP164" i="83"/>
  <c r="EP163" i="83"/>
  <c r="EQ158" i="83"/>
  <c r="HY152" i="83"/>
  <c r="HZ152" i="83"/>
  <c r="TC150" i="83"/>
  <c r="TB150" i="83"/>
  <c r="FJ144" i="83"/>
  <c r="FI144" i="83"/>
  <c r="FG145" i="83"/>
  <c r="FH140" i="83"/>
  <c r="FG146" i="83"/>
  <c r="PV152" i="83"/>
  <c r="PU152" i="83"/>
  <c r="TR149" i="83"/>
  <c r="TQ155" i="83"/>
  <c r="TQ154" i="83"/>
  <c r="HY133" i="83"/>
  <c r="HZ133" i="83"/>
  <c r="AU130" i="83"/>
  <c r="AT130" i="83"/>
  <c r="FX137" i="83"/>
  <c r="FX136" i="83"/>
  <c r="FY126" i="83"/>
  <c r="LD155" i="83"/>
  <c r="LD154" i="83"/>
  <c r="LE149" i="83"/>
  <c r="CS119" i="83"/>
  <c r="CT119" i="83"/>
  <c r="QM110" i="83"/>
  <c r="QL110" i="83"/>
  <c r="QM102" i="83"/>
  <c r="QL102" i="83"/>
  <c r="AC120" i="83"/>
  <c r="AD120" i="83"/>
  <c r="DK102" i="83"/>
  <c r="DJ102" i="83"/>
  <c r="IQ112" i="83"/>
  <c r="IP112" i="83"/>
  <c r="RB126" i="83"/>
  <c r="RA137" i="83"/>
  <c r="RA136" i="83"/>
  <c r="DK131" i="83"/>
  <c r="DJ131" i="83"/>
  <c r="KO119" i="83"/>
  <c r="KP119" i="83"/>
  <c r="LW109" i="83"/>
  <c r="LX109" i="83"/>
  <c r="BL132" i="83"/>
  <c r="BK132" i="83"/>
  <c r="RT101" i="83"/>
  <c r="RU101" i="83"/>
  <c r="RC112" i="83"/>
  <c r="RD112" i="83"/>
  <c r="RD162" i="83"/>
  <c r="RC162" i="83"/>
  <c r="RD160" i="83"/>
  <c r="RC160" i="83"/>
  <c r="PE159" i="83"/>
  <c r="PD159" i="83"/>
  <c r="RR164" i="83"/>
  <c r="RR163" i="83"/>
  <c r="RS158" i="83"/>
  <c r="CS159" i="83"/>
  <c r="CT159" i="83"/>
  <c r="PE153" i="83"/>
  <c r="PD153" i="83"/>
  <c r="PE151" i="83"/>
  <c r="PD151" i="83"/>
  <c r="CC152" i="83"/>
  <c r="CB152" i="83"/>
  <c r="TB151" i="83"/>
  <c r="TC151" i="83"/>
  <c r="AA155" i="83"/>
  <c r="AA154" i="83"/>
  <c r="AB149" i="83"/>
  <c r="HX149" i="83"/>
  <c r="HW155" i="83"/>
  <c r="HW154" i="83"/>
  <c r="CC143" i="83"/>
  <c r="CB143" i="83"/>
  <c r="CC141" i="83"/>
  <c r="CB141" i="83"/>
  <c r="FJ135" i="83"/>
  <c r="FI135" i="83"/>
  <c r="FJ133" i="83"/>
  <c r="FI133" i="83"/>
  <c r="GA150" i="83"/>
  <c r="FZ150" i="83"/>
  <c r="HY143" i="83"/>
  <c r="HZ143" i="83"/>
  <c r="HI152" i="83"/>
  <c r="HH152" i="83"/>
  <c r="TT128" i="83"/>
  <c r="TS128" i="83"/>
  <c r="TR126" i="83"/>
  <c r="TQ137" i="83"/>
  <c r="TQ136" i="83"/>
  <c r="CS141" i="83"/>
  <c r="CT141" i="83"/>
  <c r="NW121" i="83"/>
  <c r="NV121" i="83"/>
  <c r="EA109" i="83"/>
  <c r="EB109" i="83"/>
  <c r="EB101" i="83"/>
  <c r="EA101" i="83"/>
  <c r="RC110" i="83"/>
  <c r="RD110" i="83"/>
  <c r="TC101" i="83"/>
  <c r="TB101" i="83"/>
  <c r="LG121" i="83"/>
  <c r="LF121" i="83"/>
  <c r="PD131" i="83"/>
  <c r="PE131" i="83"/>
  <c r="SL112" i="83"/>
  <c r="SK112" i="83"/>
  <c r="FI119" i="83"/>
  <c r="FJ119" i="83"/>
  <c r="GQ102" i="83"/>
  <c r="GR102" i="83"/>
  <c r="KO121" i="83"/>
  <c r="KP121" i="83"/>
  <c r="LF119" i="83"/>
  <c r="LG119" i="83"/>
  <c r="BL160" i="83"/>
  <c r="BK160" i="83"/>
  <c r="JY152" i="83"/>
  <c r="JX152" i="83"/>
  <c r="NW162" i="83"/>
  <c r="NV162" i="83"/>
  <c r="ON160" i="83"/>
  <c r="OM160" i="83"/>
  <c r="PB164" i="83"/>
  <c r="PB163" i="83"/>
  <c r="PC158" i="83"/>
  <c r="NF153" i="83"/>
  <c r="NE153" i="83"/>
  <c r="MO153" i="83"/>
  <c r="MN153" i="83"/>
  <c r="NT155" i="83"/>
  <c r="NT154" i="83"/>
  <c r="NU149" i="83"/>
  <c r="KP142" i="83"/>
  <c r="KO142" i="83"/>
  <c r="MO134" i="83"/>
  <c r="MN134" i="83"/>
  <c r="PV132" i="83"/>
  <c r="PU132" i="83"/>
  <c r="SK135" i="83"/>
  <c r="SL135" i="83"/>
  <c r="CS135" i="83"/>
  <c r="CT135" i="83"/>
  <c r="QM129" i="83"/>
  <c r="QL129" i="83"/>
  <c r="BL120" i="83"/>
  <c r="BK120" i="83"/>
  <c r="TC127" i="83"/>
  <c r="TB127" i="83"/>
  <c r="SL118" i="83"/>
  <c r="SK118" i="83"/>
  <c r="LG109" i="83"/>
  <c r="LF109" i="83"/>
  <c r="LG101" i="83"/>
  <c r="LF101" i="83"/>
  <c r="QJ123" i="83"/>
  <c r="QJ122" i="83"/>
  <c r="QK117" i="83"/>
  <c r="NW103" i="83"/>
  <c r="NV103" i="83"/>
  <c r="BL131" i="83"/>
  <c r="BK131" i="83"/>
  <c r="GR132" i="83"/>
  <c r="GQ132" i="83"/>
  <c r="AC121" i="83"/>
  <c r="AD121" i="83"/>
  <c r="DK128" i="83"/>
  <c r="DJ128" i="83"/>
  <c r="DK111" i="83"/>
  <c r="DJ111" i="83"/>
  <c r="JY133" i="83"/>
  <c r="JX133" i="83"/>
  <c r="BJ126" i="83"/>
  <c r="BI137" i="83"/>
  <c r="BI136" i="83"/>
  <c r="FZ118" i="83"/>
  <c r="GA118" i="83"/>
  <c r="CT101" i="83"/>
  <c r="CS101" i="83"/>
  <c r="CT109" i="83"/>
  <c r="CS109" i="83"/>
  <c r="GO123" i="83"/>
  <c r="GO122" i="83"/>
  <c r="GP117" i="83"/>
  <c r="HH127" i="83"/>
  <c r="HI127" i="83"/>
  <c r="AD127" i="83"/>
  <c r="AC127" i="83"/>
  <c r="AD131" i="83"/>
  <c r="AC131" i="83"/>
  <c r="AA105" i="83"/>
  <c r="AA104" i="83"/>
  <c r="AB99" i="83"/>
  <c r="AD100" i="83"/>
  <c r="AC100" i="83"/>
  <c r="AD102" i="83"/>
  <c r="AC102" i="83"/>
  <c r="AA114" i="83"/>
  <c r="AA113" i="83"/>
  <c r="AB108" i="83"/>
  <c r="AD110" i="83"/>
  <c r="AC110" i="83"/>
  <c r="AD112" i="83"/>
  <c r="AC112" i="83"/>
  <c r="TQ123" i="83"/>
  <c r="TQ122" i="83"/>
  <c r="TR117" i="83"/>
  <c r="TT119" i="83"/>
  <c r="TS119" i="83"/>
  <c r="MN128" i="83"/>
  <c r="MO128" i="83"/>
  <c r="MN132" i="83"/>
  <c r="MO132" i="83"/>
  <c r="CT100" i="83"/>
  <c r="CS100" i="83"/>
  <c r="CQ114" i="83"/>
  <c r="CQ113" i="83"/>
  <c r="CR108" i="83"/>
  <c r="EA112" i="83"/>
  <c r="EB112" i="83"/>
  <c r="LX119" i="83"/>
  <c r="LW119" i="83"/>
  <c r="HH128" i="83"/>
  <c r="HI128" i="83"/>
  <c r="ON144" i="83"/>
  <c r="OM144" i="83"/>
  <c r="MO112" i="83"/>
  <c r="MN112" i="83"/>
  <c r="AA136" i="83"/>
  <c r="AB126" i="83"/>
  <c r="AA137" i="83"/>
  <c r="PD100" i="83"/>
  <c r="PE100" i="83"/>
  <c r="PD102" i="83"/>
  <c r="PE102" i="83"/>
  <c r="PC108" i="83"/>
  <c r="PB113" i="83"/>
  <c r="PB114" i="83"/>
  <c r="PD110" i="83"/>
  <c r="PE110" i="83"/>
  <c r="PE112" i="83"/>
  <c r="PD112" i="83"/>
  <c r="TB118" i="83"/>
  <c r="TC118" i="83"/>
  <c r="FI121" i="83"/>
  <c r="FJ121" i="83"/>
  <c r="PV128" i="83"/>
  <c r="PU128" i="83"/>
  <c r="RC132" i="83"/>
  <c r="RD132" i="83"/>
  <c r="GP149" i="83"/>
  <c r="GO155" i="83"/>
  <c r="GO154" i="83"/>
  <c r="TT132" i="83"/>
  <c r="TS132" i="83"/>
  <c r="TQ146" i="83"/>
  <c r="TQ145" i="83"/>
  <c r="TR140" i="83"/>
  <c r="TT144" i="83"/>
  <c r="TS144" i="83"/>
  <c r="HW137" i="83"/>
  <c r="HW136" i="83"/>
  <c r="HX126" i="83"/>
  <c r="HZ127" i="83"/>
  <c r="HY127" i="83"/>
  <c r="HZ129" i="83"/>
  <c r="HY129" i="83"/>
  <c r="HZ131" i="83"/>
  <c r="HY131" i="83"/>
  <c r="NV133" i="83"/>
  <c r="NW133" i="83"/>
  <c r="NV141" i="83"/>
  <c r="NW141" i="83"/>
  <c r="NV143" i="83"/>
  <c r="NW143" i="83"/>
  <c r="AT152" i="83"/>
  <c r="AU152" i="83"/>
  <c r="RD133" i="83"/>
  <c r="RC133" i="83"/>
  <c r="RD134" i="83"/>
  <c r="RC134" i="83"/>
  <c r="RD142" i="83"/>
  <c r="RC142" i="83"/>
  <c r="RD135" i="83"/>
  <c r="RC135" i="83"/>
  <c r="RA146" i="83"/>
  <c r="RA145" i="83"/>
  <c r="RB140" i="83"/>
  <c r="MN161" i="83"/>
  <c r="MO161" i="83"/>
  <c r="HW164" i="83"/>
  <c r="HW163" i="83"/>
  <c r="HX158" i="83"/>
  <c r="HI144" i="83"/>
  <c r="HH144" i="83"/>
  <c r="BZ145" i="83"/>
  <c r="CA140" i="83"/>
  <c r="BZ146" i="83"/>
  <c r="QM150" i="83"/>
  <c r="QL150" i="83"/>
  <c r="PE135" i="83"/>
  <c r="PD135" i="83"/>
  <c r="EA132" i="83"/>
  <c r="EB132" i="83"/>
  <c r="EA128" i="83"/>
  <c r="EB128" i="83"/>
  <c r="NE143" i="83"/>
  <c r="NF143" i="83"/>
  <c r="NW120" i="83"/>
  <c r="NV120" i="83"/>
  <c r="TT111" i="83"/>
  <c r="TS111" i="83"/>
  <c r="TS103" i="83"/>
  <c r="TT103" i="83"/>
  <c r="TR99" i="83"/>
  <c r="TQ105" i="83"/>
  <c r="TQ104" i="83"/>
  <c r="IQ109" i="83"/>
  <c r="IP109" i="83"/>
  <c r="JX132" i="83"/>
  <c r="JY132" i="83"/>
  <c r="ER129" i="83"/>
  <c r="ES129" i="83"/>
  <c r="IP142" i="83"/>
  <c r="IQ142" i="83"/>
  <c r="RC109" i="83"/>
  <c r="RD109" i="83"/>
  <c r="RC100" i="83"/>
  <c r="RD100" i="83"/>
  <c r="FJ112" i="83"/>
  <c r="FI112" i="83"/>
  <c r="HH109" i="83"/>
  <c r="HI109" i="83"/>
  <c r="TC160" i="83"/>
  <c r="TB160" i="83"/>
  <c r="OK164" i="83"/>
  <c r="OK163" i="83"/>
  <c r="OL158" i="83"/>
  <c r="BI164" i="83"/>
  <c r="BI163" i="83"/>
  <c r="BJ158" i="83"/>
  <c r="MO152" i="83"/>
  <c r="MN152" i="83"/>
  <c r="RC159" i="83"/>
  <c r="RD159" i="83"/>
  <c r="FJ142" i="83"/>
  <c r="FI142" i="83"/>
  <c r="HI134" i="83"/>
  <c r="HH134" i="83"/>
  <c r="PE141" i="83"/>
  <c r="PD141" i="83"/>
  <c r="AU132" i="83"/>
  <c r="AT132" i="83"/>
  <c r="AU128" i="83"/>
  <c r="AT128" i="83"/>
  <c r="JY143" i="83"/>
  <c r="JX143" i="83"/>
  <c r="TC128" i="83"/>
  <c r="TB128" i="83"/>
  <c r="HW123" i="83"/>
  <c r="HW122" i="83"/>
  <c r="HX117" i="83"/>
  <c r="DZ108" i="83"/>
  <c r="DY114" i="83"/>
  <c r="DY113" i="83"/>
  <c r="QM100" i="83"/>
  <c r="QL100" i="83"/>
  <c r="BK111" i="83"/>
  <c r="BL111" i="83"/>
  <c r="BJ99" i="83"/>
  <c r="BI105" i="83"/>
  <c r="BI104" i="83"/>
  <c r="RD130" i="83"/>
  <c r="RC130" i="83"/>
  <c r="NF112" i="83"/>
  <c r="NE112" i="83"/>
  <c r="NW101" i="83"/>
  <c r="NV101" i="83"/>
  <c r="ON120" i="83"/>
  <c r="OM120" i="83"/>
  <c r="ES134" i="83"/>
  <c r="ER134" i="83"/>
  <c r="TT130" i="83"/>
  <c r="TS130" i="83"/>
  <c r="DJ152" i="83"/>
  <c r="DK152" i="83"/>
  <c r="IQ132" i="83"/>
  <c r="IP132" i="83"/>
  <c r="JY118" i="83"/>
  <c r="JX118" i="83"/>
  <c r="EB111" i="83"/>
  <c r="EA111" i="83"/>
  <c r="EB103" i="83"/>
  <c r="EA103" i="83"/>
  <c r="DZ99" i="83"/>
  <c r="DY105" i="83"/>
  <c r="DY104" i="83"/>
  <c r="IO108" i="83"/>
  <c r="IN114" i="83"/>
  <c r="IN113" i="83"/>
  <c r="TB135" i="83"/>
  <c r="TC135" i="83"/>
  <c r="PD127" i="83"/>
  <c r="PE127" i="83"/>
  <c r="NW130" i="83"/>
  <c r="NV130" i="83"/>
  <c r="IQ111" i="83"/>
  <c r="IP111" i="83"/>
  <c r="TB143" i="83"/>
  <c r="TC143" i="83"/>
  <c r="RT110" i="83"/>
  <c r="RU110" i="83"/>
  <c r="MN103" i="83"/>
  <c r="MO103" i="83"/>
  <c r="TQ164" i="83"/>
  <c r="TQ163" i="83"/>
  <c r="TR158" i="83"/>
  <c r="IP153" i="83"/>
  <c r="IQ153" i="83"/>
  <c r="NW160" i="83"/>
  <c r="NV160" i="83"/>
  <c r="ML164" i="83"/>
  <c r="ML163" i="83"/>
  <c r="MM158" i="83"/>
  <c r="NF151" i="83"/>
  <c r="NE151" i="83"/>
  <c r="KP152" i="83"/>
  <c r="KO152" i="83"/>
  <c r="KP144" i="83"/>
  <c r="KO144" i="83"/>
  <c r="PT140" i="83"/>
  <c r="PS146" i="83"/>
  <c r="PS145" i="83"/>
  <c r="PV153" i="83"/>
  <c r="PU153" i="83"/>
  <c r="ES142" i="83"/>
  <c r="ER142" i="83"/>
  <c r="QM131" i="83"/>
  <c r="QL131" i="83"/>
  <c r="QM127" i="83"/>
  <c r="QL127" i="83"/>
  <c r="LG111" i="83"/>
  <c r="LF111" i="83"/>
  <c r="LG103" i="83"/>
  <c r="LF103" i="83"/>
  <c r="LD105" i="83"/>
  <c r="LD104" i="83"/>
  <c r="LE99" i="83"/>
  <c r="NW109" i="83"/>
  <c r="NV109" i="83"/>
  <c r="RB99" i="83"/>
  <c r="RA105" i="83"/>
  <c r="RA104" i="83"/>
  <c r="HH121" i="83"/>
  <c r="HI121" i="83"/>
  <c r="GR128" i="83"/>
  <c r="GQ128" i="83"/>
  <c r="IP144" i="83"/>
  <c r="IQ144" i="83"/>
  <c r="RU118" i="83"/>
  <c r="RT118" i="83"/>
  <c r="BK102" i="83"/>
  <c r="BL102" i="83"/>
  <c r="HH110" i="83"/>
  <c r="HI110" i="83"/>
  <c r="MN101" i="83"/>
  <c r="MO101" i="83"/>
  <c r="NF102" i="83"/>
  <c r="NE102" i="83"/>
  <c r="HZ110" i="83"/>
  <c r="HY110" i="83"/>
  <c r="BL119" i="83"/>
  <c r="BK119" i="83"/>
  <c r="RT130" i="83"/>
  <c r="RU130" i="83"/>
  <c r="AD129" i="83"/>
  <c r="AC129" i="83"/>
  <c r="EB135" i="83"/>
  <c r="EA135" i="83"/>
  <c r="AD101" i="83"/>
  <c r="AC101" i="83"/>
  <c r="AD103" i="83"/>
  <c r="AC103" i="83"/>
  <c r="AD109" i="83"/>
  <c r="AC109" i="83"/>
  <c r="AD111" i="83"/>
  <c r="AC111" i="83"/>
  <c r="TT118" i="83"/>
  <c r="TS118" i="83"/>
  <c r="ML137" i="83"/>
  <c r="ML136" i="83"/>
  <c r="MM126" i="83"/>
  <c r="MN130" i="83"/>
  <c r="MO130" i="83"/>
  <c r="ON141" i="83"/>
  <c r="OM141" i="83"/>
  <c r="SL101" i="83"/>
  <c r="SK101" i="83"/>
  <c r="NF110" i="83"/>
  <c r="NE110" i="83"/>
  <c r="RA123" i="83"/>
  <c r="RA122" i="83"/>
  <c r="RB117" i="83"/>
  <c r="CC121" i="83"/>
  <c r="CB121" i="83"/>
  <c r="HH132" i="83"/>
  <c r="HI132" i="83"/>
  <c r="PU120" i="83"/>
  <c r="PV120" i="83"/>
  <c r="PB105" i="83"/>
  <c r="PB104" i="83"/>
  <c r="PC99" i="83"/>
  <c r="PD101" i="83"/>
  <c r="PE101" i="83"/>
  <c r="PD103" i="83"/>
  <c r="PE103" i="83"/>
  <c r="PD109" i="83"/>
  <c r="PE109" i="83"/>
  <c r="PD111" i="83"/>
  <c r="PE111" i="83"/>
  <c r="SZ123" i="83"/>
  <c r="SZ122" i="83"/>
  <c r="TA117" i="83"/>
  <c r="TB119" i="83"/>
  <c r="TC119" i="83"/>
  <c r="PT126" i="83"/>
  <c r="PS137" i="83"/>
  <c r="PS136" i="83"/>
  <c r="PV130" i="83"/>
  <c r="PU130" i="83"/>
  <c r="AT151" i="83"/>
  <c r="AU151" i="83"/>
  <c r="TT134" i="83"/>
  <c r="TS134" i="83"/>
  <c r="TT142" i="83"/>
  <c r="TS142" i="83"/>
  <c r="SK120" i="83"/>
  <c r="SL120" i="83"/>
  <c r="HZ128" i="83"/>
  <c r="HY128" i="83"/>
  <c r="HZ130" i="83"/>
  <c r="HY130" i="83"/>
  <c r="HZ132" i="83"/>
  <c r="HY132" i="83"/>
  <c r="NV135" i="83"/>
  <c r="NW135" i="83"/>
  <c r="RB149" i="83"/>
  <c r="RA155" i="83"/>
  <c r="RA154" i="83"/>
  <c r="RD141" i="83"/>
  <c r="RC141" i="83"/>
  <c r="RD144" i="83"/>
  <c r="RC144" i="83"/>
  <c r="AT133" i="83"/>
  <c r="AU133" i="83"/>
  <c r="AT135" i="83"/>
  <c r="AU135" i="83"/>
  <c r="AT141" i="83"/>
  <c r="AU141" i="83"/>
  <c r="AT143" i="83"/>
  <c r="AU143" i="83"/>
  <c r="EP155" i="83"/>
  <c r="EP154" i="83"/>
  <c r="EQ149" i="83"/>
  <c r="LF153" i="83"/>
  <c r="LG153" i="83"/>
  <c r="QL153" i="83"/>
  <c r="QM153" i="83"/>
  <c r="CC150" i="83"/>
  <c r="CB150" i="83"/>
  <c r="JH153" i="83"/>
  <c r="JG153" i="83"/>
  <c r="CT160" i="83"/>
  <c r="CS160" i="83"/>
  <c r="LX151" i="83"/>
  <c r="LW151" i="83"/>
  <c r="LX153" i="83"/>
  <c r="LW153" i="83"/>
  <c r="AR164" i="83"/>
  <c r="AR163" i="83"/>
  <c r="AS158" i="83"/>
  <c r="JX160" i="83"/>
  <c r="JY160" i="83"/>
  <c r="PV160" i="83"/>
  <c r="PU160" i="83"/>
  <c r="BC217" i="83"/>
  <c r="D262" i="83" s="1"/>
  <c r="F262" i="83" s="1"/>
  <c r="BC214" i="83"/>
  <c r="D261" i="83" s="1"/>
  <c r="F261" i="83" s="1"/>
  <c r="LX162" i="83"/>
  <c r="LW162" i="83"/>
  <c r="TT160" i="83"/>
  <c r="TS160" i="83"/>
  <c r="RU141" i="83"/>
  <c r="RT141" i="83"/>
  <c r="KP133" i="83"/>
  <c r="KO133" i="83"/>
  <c r="SK142" i="83"/>
  <c r="SL142" i="83"/>
  <c r="AU150" i="83"/>
  <c r="AT150" i="83"/>
  <c r="OM129" i="83"/>
  <c r="ON129" i="83"/>
  <c r="OM127" i="83"/>
  <c r="ON127" i="83"/>
  <c r="NE134" i="83"/>
  <c r="NF134" i="83"/>
  <c r="PE119" i="83"/>
  <c r="PD119" i="83"/>
  <c r="JH111" i="83"/>
  <c r="JG111" i="83"/>
  <c r="JG103" i="83"/>
  <c r="JH103" i="83"/>
  <c r="JF99" i="83"/>
  <c r="JE105" i="83"/>
  <c r="JE104" i="83"/>
  <c r="GQ103" i="83"/>
  <c r="GR103" i="83"/>
  <c r="JX130" i="83"/>
  <c r="JY130" i="83"/>
  <c r="ER132" i="83"/>
  <c r="ES132" i="83"/>
  <c r="DK121" i="83"/>
  <c r="DJ121" i="83"/>
  <c r="TA108" i="83"/>
  <c r="SZ114" i="83"/>
  <c r="SZ113" i="83"/>
  <c r="SZ105" i="83"/>
  <c r="SZ104" i="83"/>
  <c r="TA99" i="83"/>
  <c r="TB133" i="83"/>
  <c r="TC133" i="83"/>
  <c r="RT102" i="83"/>
  <c r="RU102" i="83"/>
  <c r="IQ160" i="83"/>
  <c r="IP160" i="83"/>
  <c r="BZ164" i="83"/>
  <c r="CA158" i="83"/>
  <c r="BZ163" i="83"/>
  <c r="SK153" i="83"/>
  <c r="SL153" i="83"/>
  <c r="TT161" i="83"/>
  <c r="TS161" i="83"/>
  <c r="NV152" i="83"/>
  <c r="NW152" i="83"/>
  <c r="PV141" i="83"/>
  <c r="PU141" i="83"/>
  <c r="RU133" i="83"/>
  <c r="RT133" i="83"/>
  <c r="PE144" i="83"/>
  <c r="PD144" i="83"/>
  <c r="JH121" i="83"/>
  <c r="JG121" i="83"/>
  <c r="LG129" i="83"/>
  <c r="LF129" i="83"/>
  <c r="BL121" i="83"/>
  <c r="BK121" i="83"/>
  <c r="IP141" i="83"/>
  <c r="IQ141" i="83"/>
  <c r="NF118" i="83"/>
  <c r="NE118" i="83"/>
  <c r="CQ123" i="83"/>
  <c r="CQ122" i="83"/>
  <c r="CR117" i="83"/>
  <c r="AR114" i="83"/>
  <c r="AR113" i="83"/>
  <c r="AS108" i="83"/>
  <c r="GA100" i="83"/>
  <c r="FZ100" i="83"/>
  <c r="DK110" i="83"/>
  <c r="DJ110" i="83"/>
  <c r="SZ146" i="83"/>
  <c r="SZ145" i="83"/>
  <c r="TA140" i="83"/>
  <c r="EB121" i="83"/>
  <c r="EA121" i="83"/>
  <c r="DK129" i="83"/>
  <c r="DJ129" i="83"/>
  <c r="GP108" i="83"/>
  <c r="GO113" i="83"/>
  <c r="GO114" i="83"/>
  <c r="CB100" i="83"/>
  <c r="CC100" i="83"/>
  <c r="GR162" i="83"/>
  <c r="GQ162" i="83"/>
  <c r="AU162" i="83"/>
  <c r="AT162" i="83"/>
  <c r="NC164" i="83"/>
  <c r="NC163" i="83"/>
  <c r="ND158" i="83"/>
  <c r="ES151" i="83"/>
  <c r="ER151" i="83"/>
  <c r="PV150" i="83"/>
  <c r="PU150" i="83"/>
  <c r="MO144" i="83"/>
  <c r="MN144" i="83"/>
  <c r="MM140" i="83"/>
  <c r="ML146" i="83"/>
  <c r="ML145" i="83"/>
  <c r="SI164" i="83"/>
  <c r="SI163" i="83"/>
  <c r="SJ158" i="83"/>
  <c r="FX155" i="83"/>
  <c r="FX154" i="83"/>
  <c r="FY149" i="83"/>
  <c r="JH132" i="83"/>
  <c r="JG132" i="83"/>
  <c r="JH128" i="83"/>
  <c r="JG128" i="83"/>
  <c r="CS144" i="83"/>
  <c r="CT144" i="83"/>
  <c r="CR140" i="83"/>
  <c r="CQ146" i="83"/>
  <c r="CQ145" i="83"/>
  <c r="JF108" i="83"/>
  <c r="JE114" i="83"/>
  <c r="JE113" i="83"/>
  <c r="OM100" i="83"/>
  <c r="ON100" i="83"/>
  <c r="TC109" i="83"/>
  <c r="TB109" i="83"/>
  <c r="TC100" i="83"/>
  <c r="TB100" i="83"/>
  <c r="GQ120" i="83"/>
  <c r="GR120" i="83"/>
  <c r="EP137" i="83"/>
  <c r="EP136" i="83"/>
  <c r="EQ126" i="83"/>
  <c r="NW128" i="83"/>
  <c r="NV128" i="83"/>
  <c r="IQ110" i="83"/>
  <c r="IP110" i="83"/>
  <c r="LX131" i="83"/>
  <c r="LW131" i="83"/>
  <c r="CB109" i="83"/>
  <c r="CC109" i="83"/>
  <c r="CB102" i="83"/>
  <c r="CC102" i="83"/>
  <c r="JY151" i="83"/>
  <c r="JX151" i="83"/>
  <c r="DK162" i="83"/>
  <c r="DJ162" i="83"/>
  <c r="LG161" i="83"/>
  <c r="LF161" i="83"/>
  <c r="DY164" i="83"/>
  <c r="DY163" i="83"/>
  <c r="DZ158" i="83"/>
  <c r="CT153" i="83"/>
  <c r="CS153" i="83"/>
  <c r="MO151" i="83"/>
  <c r="MN151" i="83"/>
  <c r="DH155" i="83"/>
  <c r="DH154" i="83"/>
  <c r="DI149" i="83"/>
  <c r="AD142" i="83"/>
  <c r="AC142" i="83"/>
  <c r="CC134" i="83"/>
  <c r="CB134" i="83"/>
  <c r="DJ151" i="83"/>
  <c r="DK151" i="83"/>
  <c r="SK134" i="83"/>
  <c r="SL134" i="83"/>
  <c r="GA131" i="83"/>
  <c r="FZ131" i="83"/>
  <c r="GA127" i="83"/>
  <c r="FZ127" i="83"/>
  <c r="IP135" i="83"/>
  <c r="IQ135" i="83"/>
  <c r="ER121" i="83"/>
  <c r="ES121" i="83"/>
  <c r="AU111" i="83"/>
  <c r="AT111" i="83"/>
  <c r="AU103" i="83"/>
  <c r="AT103" i="83"/>
  <c r="AR105" i="83"/>
  <c r="AR104" i="83"/>
  <c r="AS99" i="83"/>
  <c r="RB108" i="83"/>
  <c r="RA114" i="83"/>
  <c r="RA113" i="83"/>
  <c r="GP99" i="83"/>
  <c r="GO105" i="83"/>
  <c r="GO104" i="83"/>
  <c r="GR131" i="83"/>
  <c r="GQ131" i="83"/>
  <c r="IP134" i="83"/>
  <c r="IQ134" i="83"/>
  <c r="AC118" i="83"/>
  <c r="AD118" i="83"/>
  <c r="BK101" i="83"/>
  <c r="BL101" i="83"/>
  <c r="GQ121" i="83"/>
  <c r="GR121" i="83"/>
  <c r="GQ112" i="83"/>
  <c r="GR112" i="83"/>
  <c r="HZ101" i="83"/>
  <c r="HY101" i="83"/>
  <c r="HZ109" i="83"/>
  <c r="HY109" i="83"/>
  <c r="LU123" i="83"/>
  <c r="LU122" i="83"/>
  <c r="LV117" i="83"/>
  <c r="RT128" i="83"/>
  <c r="RU128" i="83"/>
  <c r="KP127" i="83"/>
  <c r="KO127" i="83"/>
  <c r="KP131" i="83"/>
  <c r="KO131" i="83"/>
  <c r="FG105" i="83"/>
  <c r="FG104" i="83"/>
  <c r="FH99" i="83"/>
  <c r="FJ101" i="83"/>
  <c r="FI101" i="83"/>
  <c r="FJ103" i="83"/>
  <c r="FI103" i="83"/>
  <c r="FG114" i="83"/>
  <c r="FG113" i="83"/>
  <c r="FH108" i="83"/>
  <c r="FJ110" i="83"/>
  <c r="FI110" i="83"/>
  <c r="DY123" i="83"/>
  <c r="DY122" i="83"/>
  <c r="DZ117" i="83"/>
  <c r="EB119" i="83"/>
  <c r="EA119" i="83"/>
  <c r="CB127" i="83"/>
  <c r="CC127" i="83"/>
  <c r="EB133" i="83"/>
  <c r="EA133" i="83"/>
  <c r="HZ100" i="83"/>
  <c r="HY100" i="83"/>
  <c r="HW114" i="83"/>
  <c r="HW113" i="83"/>
  <c r="HX108" i="83"/>
  <c r="JG112" i="83"/>
  <c r="JH112" i="83"/>
  <c r="BL118" i="83"/>
  <c r="BK118" i="83"/>
  <c r="NE121" i="83"/>
  <c r="NF121" i="83"/>
  <c r="IP133" i="83"/>
  <c r="IQ133" i="83"/>
  <c r="RU112" i="83"/>
  <c r="RT112" i="83"/>
  <c r="DH123" i="83"/>
  <c r="DH122" i="83"/>
  <c r="DI117" i="83"/>
  <c r="DJ119" i="83"/>
  <c r="DK119" i="83"/>
  <c r="QM121" i="83"/>
  <c r="QL121" i="83"/>
  <c r="FJ129" i="83"/>
  <c r="FI129" i="83"/>
  <c r="DY146" i="83"/>
  <c r="DY145" i="83"/>
  <c r="DZ140" i="83"/>
  <c r="JV155" i="83"/>
  <c r="JV154" i="83"/>
  <c r="JW149" i="83"/>
  <c r="JH133" i="83"/>
  <c r="JG133" i="83"/>
  <c r="JH141" i="83"/>
  <c r="JG141" i="83"/>
  <c r="HY121" i="83"/>
  <c r="HZ121" i="83"/>
  <c r="NF127" i="83"/>
  <c r="NE127" i="83"/>
  <c r="NF129" i="83"/>
  <c r="NE129" i="83"/>
  <c r="NF131" i="83"/>
  <c r="NE131" i="83"/>
  <c r="DJ134" i="83"/>
  <c r="DK134" i="83"/>
  <c r="DJ144" i="83"/>
  <c r="DK144" i="83"/>
  <c r="BL133" i="83"/>
  <c r="BK133" i="83"/>
  <c r="BL135" i="83"/>
  <c r="BK135" i="83"/>
  <c r="BI146" i="83"/>
  <c r="BJ140" i="83"/>
  <c r="BI145" i="83"/>
  <c r="BL142" i="83"/>
  <c r="BK142" i="83"/>
  <c r="BJ149" i="83"/>
  <c r="BI155" i="83"/>
  <c r="BI154" i="83"/>
  <c r="FZ133" i="83"/>
  <c r="GA133" i="83"/>
  <c r="FZ135" i="83"/>
  <c r="GA135" i="83"/>
  <c r="FZ141" i="83"/>
  <c r="GA141" i="83"/>
  <c r="FZ143" i="83"/>
  <c r="GA143" i="83"/>
  <c r="PB155" i="83"/>
  <c r="PB154" i="83"/>
  <c r="PC149" i="83"/>
  <c r="ON153" i="83"/>
  <c r="OM153" i="83"/>
  <c r="FG164" i="83"/>
  <c r="FG163" i="83"/>
  <c r="FH158" i="83"/>
  <c r="HI150" i="83"/>
  <c r="HH150" i="83"/>
  <c r="TT153" i="83"/>
  <c r="TS153" i="83"/>
  <c r="PD162" i="83"/>
  <c r="PE162" i="83"/>
  <c r="RD153" i="83"/>
  <c r="RC153" i="83"/>
  <c r="AD161" i="83"/>
  <c r="AC161" i="83"/>
  <c r="SC217" i="83"/>
  <c r="D264" i="83" s="1"/>
  <c r="SC214" i="83"/>
  <c r="D263" i="83" s="1"/>
  <c r="F263" i="83" s="1"/>
  <c r="BT214" i="83"/>
  <c r="D269" i="83" s="1"/>
  <c r="F269" i="83" s="1"/>
  <c r="BT217" i="83"/>
  <c r="D270" i="83" s="1"/>
  <c r="JH161" i="83"/>
  <c r="JG161" i="83"/>
  <c r="KP150" i="83"/>
  <c r="KO150" i="83"/>
  <c r="HI143" i="83"/>
  <c r="HH143" i="83"/>
  <c r="AD135" i="83"/>
  <c r="AC135" i="83"/>
  <c r="TS150" i="83"/>
  <c r="TT150" i="83"/>
  <c r="PE133" i="83"/>
  <c r="PD133" i="83"/>
  <c r="EA131" i="83"/>
  <c r="EB131" i="83"/>
  <c r="EA127" i="83"/>
  <c r="EB127" i="83"/>
  <c r="NE141" i="83"/>
  <c r="NF141" i="83"/>
  <c r="IQ129" i="83"/>
  <c r="IP129" i="83"/>
  <c r="TT110" i="83"/>
  <c r="TS110" i="83"/>
  <c r="LX160" i="83"/>
  <c r="LW160" i="83"/>
  <c r="CQ164" i="83"/>
  <c r="CQ163" i="83"/>
  <c r="CR158" i="83"/>
  <c r="CC153" i="83"/>
  <c r="CB153" i="83"/>
  <c r="PS155" i="83"/>
  <c r="PS154" i="83"/>
  <c r="PT149" i="83"/>
  <c r="RU144" i="83"/>
  <c r="RT144" i="83"/>
  <c r="RU142" i="83"/>
  <c r="RT142" i="83"/>
  <c r="RR146" i="83"/>
  <c r="RR145" i="83"/>
  <c r="RS140" i="83"/>
  <c r="KP134" i="83"/>
  <c r="KO134" i="83"/>
  <c r="RU152" i="83"/>
  <c r="RT152" i="83"/>
  <c r="SK144" i="83"/>
  <c r="SL144" i="83"/>
  <c r="SJ140" i="83"/>
  <c r="SI146" i="83"/>
  <c r="SI145" i="83"/>
  <c r="TT121" i="83"/>
  <c r="TS121" i="83"/>
  <c r="OM132" i="83"/>
  <c r="ON132" i="83"/>
  <c r="OM130" i="83"/>
  <c r="ON130" i="83"/>
  <c r="OM128" i="83"/>
  <c r="ON128" i="83"/>
  <c r="OL126" i="83"/>
  <c r="OK137" i="83"/>
  <c r="OK136" i="83"/>
  <c r="NE144" i="83"/>
  <c r="NF144" i="83"/>
  <c r="ND140" i="83"/>
  <c r="NC146" i="83"/>
  <c r="NC145" i="83"/>
  <c r="IP143" i="83"/>
  <c r="IQ143" i="83"/>
  <c r="IQ127" i="83"/>
  <c r="IP127" i="83"/>
  <c r="PE118" i="83"/>
  <c r="PD118" i="83"/>
  <c r="JH110" i="83"/>
  <c r="JG110" i="83"/>
  <c r="QJ114" i="83"/>
  <c r="QJ113" i="83"/>
  <c r="QK108" i="83"/>
  <c r="JH102" i="83"/>
  <c r="JG102" i="83"/>
  <c r="JH100" i="83"/>
  <c r="JG100" i="83"/>
  <c r="FI118" i="83"/>
  <c r="FJ118" i="83"/>
  <c r="GQ110" i="83"/>
  <c r="GR110" i="83"/>
  <c r="GQ101" i="83"/>
  <c r="GR101" i="83"/>
  <c r="TB141" i="83"/>
  <c r="TC141" i="83"/>
  <c r="LV126" i="83"/>
  <c r="LU137" i="83"/>
  <c r="LU136" i="83"/>
  <c r="TB142" i="83"/>
  <c r="TC142" i="83"/>
  <c r="ER130" i="83"/>
  <c r="ES130" i="83"/>
  <c r="PB137" i="83"/>
  <c r="PB136" i="83"/>
  <c r="PC126" i="83"/>
  <c r="HZ112" i="83"/>
  <c r="HY112" i="83"/>
  <c r="NW129" i="83"/>
  <c r="NV129" i="83"/>
  <c r="MO118" i="83"/>
  <c r="MN118" i="83"/>
  <c r="TC110" i="83"/>
  <c r="TB110" i="83"/>
  <c r="HG108" i="83"/>
  <c r="HF114" i="83"/>
  <c r="HF113" i="83"/>
  <c r="RC101" i="83"/>
  <c r="RD101" i="83"/>
  <c r="LX132" i="83"/>
  <c r="LW132" i="83"/>
  <c r="PV112" i="83"/>
  <c r="PU112" i="83"/>
  <c r="CB110" i="83"/>
  <c r="CC110" i="83"/>
  <c r="AT118" i="83"/>
  <c r="AU118" i="83"/>
  <c r="TT159" i="83"/>
  <c r="TS159" i="83"/>
  <c r="IQ161" i="83"/>
  <c r="IP161" i="83"/>
  <c r="EB161" i="83"/>
  <c r="EA161" i="83"/>
  <c r="HI159" i="83"/>
  <c r="HH159" i="83"/>
  <c r="ES159" i="83"/>
  <c r="ER159" i="83"/>
  <c r="LU164" i="83"/>
  <c r="LU163" i="83"/>
  <c r="LV158" i="83"/>
  <c r="SK152" i="83"/>
  <c r="SL152" i="83"/>
  <c r="HH160" i="83"/>
  <c r="HI160" i="83"/>
  <c r="AD152" i="83"/>
  <c r="AC152" i="83"/>
  <c r="IN155" i="83"/>
  <c r="IN154" i="83"/>
  <c r="IO149" i="83"/>
  <c r="PV144" i="83"/>
  <c r="PU144" i="83"/>
  <c r="PV142" i="83"/>
  <c r="PU142" i="83"/>
  <c r="KM145" i="83"/>
  <c r="KN140" i="83"/>
  <c r="KM146" i="83"/>
  <c r="RU134" i="83"/>
  <c r="RT134" i="83"/>
  <c r="QM162" i="83"/>
  <c r="QL162" i="83"/>
  <c r="DJ153" i="83"/>
  <c r="DK153" i="83"/>
  <c r="PE142" i="83"/>
  <c r="PD142" i="83"/>
  <c r="HY134" i="83"/>
  <c r="HZ134" i="83"/>
  <c r="LG132" i="83"/>
  <c r="LF132" i="83"/>
  <c r="LG130" i="83"/>
  <c r="LF130" i="83"/>
  <c r="LG128" i="83"/>
  <c r="LF128" i="83"/>
  <c r="QJ137" i="83"/>
  <c r="QJ136" i="83"/>
  <c r="QK126" i="83"/>
  <c r="JY144" i="83"/>
  <c r="JX144" i="83"/>
  <c r="JV164" i="83"/>
  <c r="JV163" i="83"/>
  <c r="JW158" i="83"/>
  <c r="TC130" i="83"/>
  <c r="TB130" i="83"/>
  <c r="NE119" i="83"/>
  <c r="NF119" i="83"/>
  <c r="PB123" i="83"/>
  <c r="PB122" i="83"/>
  <c r="PC117" i="83"/>
  <c r="GA111" i="83"/>
  <c r="FZ111" i="83"/>
  <c r="GA109" i="83"/>
  <c r="FZ109" i="83"/>
  <c r="GA103" i="83"/>
  <c r="FZ103" i="83"/>
  <c r="GA101" i="83"/>
  <c r="FZ101" i="83"/>
  <c r="FX105" i="83"/>
  <c r="FX104" i="83"/>
  <c r="FY99" i="83"/>
  <c r="BZ123" i="83"/>
  <c r="BZ122" i="83"/>
  <c r="CA117" i="83"/>
  <c r="BK103" i="83"/>
  <c r="BL103" i="83"/>
  <c r="LV99" i="83"/>
  <c r="LU105" i="83"/>
  <c r="LU104" i="83"/>
  <c r="RD131" i="83"/>
  <c r="RC131" i="83"/>
  <c r="RD127" i="83"/>
  <c r="RC127" i="83"/>
  <c r="EB120" i="83"/>
  <c r="EA120" i="83"/>
  <c r="CS133" i="83"/>
  <c r="CT133" i="83"/>
  <c r="PD120" i="83"/>
  <c r="PE120" i="83"/>
  <c r="NW110" i="83"/>
  <c r="NV110" i="83"/>
  <c r="NW102" i="83"/>
  <c r="NV102" i="83"/>
  <c r="HI151" i="83"/>
  <c r="HH151" i="83"/>
  <c r="ON121" i="83"/>
  <c r="OM121" i="83"/>
  <c r="MN109" i="83"/>
  <c r="MO109" i="83"/>
  <c r="QL118" i="83"/>
  <c r="QM118" i="83"/>
  <c r="HH100" i="83"/>
  <c r="HI100" i="83"/>
  <c r="GR161" i="83"/>
  <c r="GQ161" i="83"/>
  <c r="CB161" i="83"/>
  <c r="CC161" i="83"/>
  <c r="EB159" i="83"/>
  <c r="EA159" i="83"/>
  <c r="JH160" i="83"/>
  <c r="JG160" i="83"/>
  <c r="LX159" i="83"/>
  <c r="LW159" i="83"/>
  <c r="ES152" i="83"/>
  <c r="ER152" i="83"/>
  <c r="RA164" i="83"/>
  <c r="RA163" i="83"/>
  <c r="RB158" i="83"/>
  <c r="TB152" i="83"/>
  <c r="TC152" i="83"/>
  <c r="KM155" i="83"/>
  <c r="KM154" i="83"/>
  <c r="KN149" i="83"/>
  <c r="NV151" i="83"/>
  <c r="NW151" i="83"/>
  <c r="MO143" i="83"/>
  <c r="MN143" i="83"/>
  <c r="MO141" i="83"/>
  <c r="MN141" i="83"/>
  <c r="PV135" i="83"/>
  <c r="PU135" i="83"/>
  <c r="PV133" i="83"/>
  <c r="PU133" i="83"/>
  <c r="RU151" i="83"/>
  <c r="RT151" i="83"/>
  <c r="HY144" i="83"/>
  <c r="HZ144" i="83"/>
  <c r="ES135" i="83"/>
  <c r="ER135" i="83"/>
  <c r="NE135" i="83"/>
  <c r="NF135" i="83"/>
  <c r="JH131" i="83"/>
  <c r="JG131" i="83"/>
  <c r="JH129" i="83"/>
  <c r="JG129" i="83"/>
  <c r="JH127" i="83"/>
  <c r="JG127" i="83"/>
  <c r="QM160" i="83"/>
  <c r="QL160" i="83"/>
  <c r="CS142" i="83"/>
  <c r="CT142" i="83"/>
  <c r="JY135" i="83"/>
  <c r="JX135" i="83"/>
  <c r="IN137" i="83"/>
  <c r="IN136" i="83"/>
  <c r="IO126" i="83"/>
  <c r="ON111" i="83"/>
  <c r="OM111" i="83"/>
  <c r="ON109" i="83"/>
  <c r="OM109" i="83"/>
  <c r="OM103" i="83"/>
  <c r="ON103" i="83"/>
  <c r="OM101" i="83"/>
  <c r="ON101" i="83"/>
  <c r="OL99" i="83"/>
  <c r="OK105" i="83"/>
  <c r="OK104" i="83"/>
  <c r="RC111" i="83"/>
  <c r="RD111" i="83"/>
  <c r="MM108" i="83"/>
  <c r="ML114" i="83"/>
  <c r="ML113" i="83"/>
  <c r="RC102" i="83"/>
  <c r="RD102" i="83"/>
  <c r="HF105" i="83"/>
  <c r="HF104" i="83"/>
  <c r="HG99" i="83"/>
  <c r="JX127" i="83"/>
  <c r="JY127" i="83"/>
  <c r="PD132" i="83"/>
  <c r="PE132" i="83"/>
  <c r="PD128" i="83"/>
  <c r="PE128" i="83"/>
  <c r="AU120" i="83"/>
  <c r="AT120" i="83"/>
  <c r="NW132" i="83"/>
  <c r="NV132" i="83"/>
  <c r="DK120" i="83"/>
  <c r="DJ120" i="83"/>
  <c r="AR123" i="83"/>
  <c r="AR122" i="83"/>
  <c r="AS117" i="83"/>
  <c r="IQ103" i="83"/>
  <c r="IP103" i="83"/>
  <c r="IN105" i="83"/>
  <c r="IN104" i="83"/>
  <c r="IO99" i="83"/>
  <c r="LX127" i="83"/>
  <c r="LW127" i="83"/>
  <c r="CS120" i="83"/>
  <c r="CT120" i="83"/>
  <c r="HH101" i="83"/>
  <c r="HI101" i="83"/>
  <c r="MN110" i="83"/>
  <c r="MO110" i="83"/>
  <c r="BL161" i="83"/>
  <c r="BK161" i="83"/>
  <c r="JH159" i="83"/>
  <c r="JG159" i="83"/>
  <c r="JY153" i="83"/>
  <c r="JX153" i="83"/>
  <c r="CC151" i="83"/>
  <c r="CB151" i="83"/>
  <c r="NV153" i="83"/>
  <c r="NW153" i="83"/>
  <c r="DK161" i="83"/>
  <c r="DJ161" i="83"/>
  <c r="ON161" i="83"/>
  <c r="OM161" i="83"/>
  <c r="CC159" i="83"/>
  <c r="CB159" i="83"/>
  <c r="GA160" i="83"/>
  <c r="FZ160" i="83"/>
  <c r="BL159" i="83"/>
  <c r="BK159" i="83"/>
  <c r="CT152" i="83"/>
  <c r="CS152" i="83"/>
  <c r="KP153" i="83"/>
  <c r="KO153" i="83"/>
  <c r="DJ150" i="83"/>
  <c r="DK150" i="83"/>
  <c r="SL150" i="83"/>
  <c r="SK150" i="83"/>
  <c r="AD143" i="83"/>
  <c r="AC143" i="83"/>
  <c r="AD141" i="83"/>
  <c r="AC141" i="83"/>
  <c r="CC135" i="83"/>
  <c r="CB135" i="83"/>
  <c r="CC133" i="83"/>
  <c r="CB133" i="83"/>
  <c r="OL149" i="83"/>
  <c r="OK155" i="83"/>
  <c r="OK154" i="83"/>
  <c r="ES143" i="83"/>
  <c r="ER143" i="83"/>
  <c r="HW145" i="83"/>
  <c r="HX140" i="83"/>
  <c r="HW146" i="83"/>
  <c r="JH120" i="83"/>
  <c r="JG120" i="83"/>
  <c r="GA132" i="83"/>
  <c r="FZ132" i="83"/>
  <c r="GA130" i="83"/>
  <c r="FZ130" i="83"/>
  <c r="GA128" i="83"/>
  <c r="FZ128" i="83"/>
  <c r="AR137" i="83"/>
  <c r="AR136" i="83"/>
  <c r="AS126" i="83"/>
  <c r="JF149" i="83"/>
  <c r="JE155" i="83"/>
  <c r="JE154" i="83"/>
  <c r="TC129" i="83"/>
  <c r="TB129" i="83"/>
  <c r="HY119" i="83"/>
  <c r="HZ119" i="83"/>
  <c r="AU112" i="83"/>
  <c r="AT112" i="83"/>
  <c r="AU110" i="83"/>
  <c r="AT110" i="83"/>
  <c r="LD114" i="83"/>
  <c r="LD113" i="83"/>
  <c r="LE108" i="83"/>
  <c r="AU102" i="83"/>
  <c r="AT102" i="83"/>
  <c r="AU100" i="83"/>
  <c r="AT100" i="83"/>
  <c r="KO118" i="83"/>
  <c r="KP118" i="83"/>
  <c r="LW110" i="83"/>
  <c r="LX110" i="83"/>
  <c r="BJ108" i="83"/>
  <c r="BI114" i="83"/>
  <c r="BI113" i="83"/>
  <c r="LW100" i="83"/>
  <c r="LX100" i="83"/>
  <c r="RU132" i="83"/>
  <c r="RT132" i="83"/>
  <c r="TB134" i="83"/>
  <c r="TC134" i="83"/>
  <c r="GR129" i="83"/>
  <c r="GQ129" i="83"/>
  <c r="RT121" i="83"/>
  <c r="RU121" i="83"/>
  <c r="CT112" i="83"/>
  <c r="CS112" i="83"/>
  <c r="DK130" i="83"/>
  <c r="DJ130" i="83"/>
  <c r="RU119" i="83"/>
  <c r="RT119" i="83"/>
  <c r="AA123" i="83"/>
  <c r="AA122" i="83"/>
  <c r="AB117" i="83"/>
  <c r="DK103" i="83"/>
  <c r="DJ103" i="83"/>
  <c r="DH105" i="83"/>
  <c r="DH104" i="83"/>
  <c r="DI99" i="83"/>
  <c r="BL127" i="83"/>
  <c r="BK127" i="83"/>
  <c r="RT111" i="83"/>
  <c r="RU111" i="83"/>
  <c r="FZ119" i="83"/>
  <c r="GA119" i="83"/>
  <c r="HH103" i="83"/>
  <c r="HI103" i="83"/>
  <c r="SL100" i="83"/>
  <c r="SK100" i="83"/>
  <c r="HZ102" i="83"/>
  <c r="HY102" i="83"/>
  <c r="SI114" i="83"/>
  <c r="SI113" i="83"/>
  <c r="SJ108" i="83"/>
  <c r="SL109" i="83"/>
  <c r="SK109" i="83"/>
  <c r="BI123" i="83"/>
  <c r="BI122" i="83"/>
  <c r="BJ117" i="83"/>
  <c r="LX118" i="83"/>
  <c r="LW118" i="83"/>
  <c r="HF137" i="83"/>
  <c r="HF136" i="83"/>
  <c r="HG126" i="83"/>
  <c r="RT129" i="83"/>
  <c r="RU129" i="83"/>
  <c r="KM136" i="83"/>
  <c r="KN126" i="83"/>
  <c r="KM137" i="83"/>
  <c r="KP128" i="83"/>
  <c r="KO128" i="83"/>
  <c r="KP130" i="83"/>
  <c r="KO130" i="83"/>
  <c r="KP132" i="83"/>
  <c r="KO132" i="83"/>
  <c r="PS105" i="83"/>
  <c r="PS104" i="83"/>
  <c r="PT99" i="83"/>
  <c r="PV100" i="83"/>
  <c r="PU100" i="83"/>
  <c r="PV101" i="83"/>
  <c r="PU101" i="83"/>
  <c r="PV102" i="83"/>
  <c r="PU102" i="83"/>
  <c r="PV103" i="83"/>
  <c r="PU103" i="83"/>
  <c r="PS114" i="83"/>
  <c r="PS113" i="83"/>
  <c r="PT108" i="83"/>
  <c r="PV109" i="83"/>
  <c r="PU109" i="83"/>
  <c r="PV110" i="83"/>
  <c r="PU110" i="83"/>
  <c r="PV111" i="83"/>
  <c r="PU111" i="83"/>
  <c r="OK123" i="83"/>
  <c r="OK122" i="83"/>
  <c r="OL117" i="83"/>
  <c r="ON118" i="83"/>
  <c r="OM118" i="83"/>
  <c r="ON119" i="83"/>
  <c r="OM119" i="83"/>
  <c r="BZ137" i="83"/>
  <c r="BZ136" i="83"/>
  <c r="CA126" i="83"/>
  <c r="CB128" i="83"/>
  <c r="CC128" i="83"/>
  <c r="CB130" i="83"/>
  <c r="CC130" i="83"/>
  <c r="CB132" i="83"/>
  <c r="CC132" i="83"/>
  <c r="ON135" i="83"/>
  <c r="OM135" i="83"/>
  <c r="HW105" i="83"/>
  <c r="HW104" i="83"/>
  <c r="HX99" i="83"/>
  <c r="NF101" i="83"/>
  <c r="NE101" i="83"/>
  <c r="SL103" i="83"/>
  <c r="SK103" i="83"/>
  <c r="CT110" i="83"/>
  <c r="CS110" i="83"/>
  <c r="HZ111" i="83"/>
  <c r="HY111" i="83"/>
  <c r="TS112" i="83"/>
  <c r="TT112" i="83"/>
  <c r="GR119" i="83"/>
  <c r="GQ119" i="83"/>
  <c r="NE120" i="83"/>
  <c r="NF120" i="83"/>
  <c r="RT127" i="83"/>
  <c r="RU127" i="83"/>
  <c r="RT131" i="83"/>
  <c r="RU131" i="83"/>
  <c r="OK146" i="83"/>
  <c r="OK145" i="83"/>
  <c r="OL140" i="83"/>
  <c r="HI112" i="83"/>
  <c r="HH112" i="83"/>
  <c r="IQ120" i="83"/>
  <c r="IP120" i="83"/>
  <c r="PU121" i="83"/>
  <c r="PV121" i="83"/>
  <c r="JV105" i="83"/>
  <c r="JV104" i="83"/>
  <c r="JW99" i="83"/>
  <c r="JX100" i="83"/>
  <c r="JY100" i="83"/>
  <c r="JX101" i="83"/>
  <c r="JY101" i="83"/>
  <c r="JX102" i="83"/>
  <c r="JY102" i="83"/>
  <c r="JX103" i="83"/>
  <c r="JY103" i="83"/>
  <c r="JW108" i="83"/>
  <c r="JV114" i="83"/>
  <c r="JV113" i="83"/>
  <c r="JX109" i="83"/>
  <c r="JY109" i="83"/>
  <c r="JX110" i="83"/>
  <c r="JY110" i="83"/>
  <c r="JX111" i="83"/>
  <c r="JY111" i="83"/>
  <c r="JY112" i="83"/>
  <c r="JX112" i="83"/>
  <c r="NT123" i="83"/>
  <c r="NT122" i="83"/>
  <c r="NU117" i="83"/>
  <c r="NV118" i="83"/>
  <c r="NW118" i="83"/>
  <c r="NV119" i="83"/>
  <c r="NW119" i="83"/>
  <c r="TC120" i="83"/>
  <c r="TB120" i="83"/>
  <c r="FG137" i="83"/>
  <c r="FG136" i="83"/>
  <c r="FH126" i="83"/>
  <c r="FJ128" i="83"/>
  <c r="FI128" i="83"/>
  <c r="FJ130" i="83"/>
  <c r="FI130" i="83"/>
  <c r="FJ132" i="83"/>
  <c r="FI132" i="83"/>
  <c r="EB144" i="83"/>
  <c r="EA144" i="83"/>
  <c r="JY150" i="83"/>
  <c r="JX150" i="83"/>
  <c r="NF162" i="83"/>
  <c r="NE162" i="83"/>
  <c r="JH134" i="83"/>
  <c r="JG134" i="83"/>
  <c r="JE145" i="83"/>
  <c r="JE146" i="83"/>
  <c r="JF140" i="83"/>
  <c r="JH142" i="83"/>
  <c r="JG142" i="83"/>
  <c r="JH144" i="83"/>
  <c r="JG144" i="83"/>
  <c r="HY120" i="83"/>
  <c r="HZ120" i="83"/>
  <c r="CQ137" i="83"/>
  <c r="CQ136" i="83"/>
  <c r="CR126" i="83"/>
  <c r="CT127" i="83"/>
  <c r="CS127" i="83"/>
  <c r="CT128" i="83"/>
  <c r="CS128" i="83"/>
  <c r="CT129" i="83"/>
  <c r="CS129" i="83"/>
  <c r="CT130" i="83"/>
  <c r="CS130" i="83"/>
  <c r="CT131" i="83"/>
  <c r="CS131" i="83"/>
  <c r="CT132" i="83"/>
  <c r="CS132" i="83"/>
  <c r="DJ133" i="83"/>
  <c r="DK133" i="83"/>
  <c r="DJ135" i="83"/>
  <c r="DK135" i="83"/>
  <c r="DJ141" i="83"/>
  <c r="DK141" i="83"/>
  <c r="DJ143" i="83"/>
  <c r="DK143" i="83"/>
  <c r="LX133" i="83"/>
  <c r="LW133" i="83"/>
  <c r="LX134" i="83"/>
  <c r="LW134" i="83"/>
  <c r="LX135" i="83"/>
  <c r="LW135" i="83"/>
  <c r="LU145" i="83"/>
  <c r="LU146" i="83"/>
  <c r="LV140" i="83"/>
  <c r="LX141" i="83"/>
  <c r="LW141" i="83"/>
  <c r="LX142" i="83"/>
  <c r="LW142" i="83"/>
  <c r="LX143" i="83"/>
  <c r="LW143" i="83"/>
  <c r="LX144" i="83"/>
  <c r="LW144" i="83"/>
  <c r="BK150" i="83"/>
  <c r="BL150" i="83"/>
  <c r="NF160" i="83"/>
  <c r="NE160" i="83"/>
  <c r="QL133" i="83"/>
  <c r="QM133" i="83"/>
  <c r="QL134" i="83"/>
  <c r="QM134" i="83"/>
  <c r="QL135" i="83"/>
  <c r="QM135" i="83"/>
  <c r="QJ146" i="83"/>
  <c r="QJ145" i="83"/>
  <c r="QK140" i="83"/>
  <c r="QL141" i="83"/>
  <c r="QM141" i="83"/>
  <c r="QL142" i="83"/>
  <c r="QM142" i="83"/>
  <c r="QL143" i="83"/>
  <c r="QM143" i="83"/>
  <c r="QL144" i="83"/>
  <c r="QM144" i="83"/>
  <c r="PE150" i="83"/>
  <c r="PD150" i="83"/>
  <c r="ON152" i="83"/>
  <c r="OM152" i="83"/>
  <c r="FZ151" i="83"/>
  <c r="GA151" i="83"/>
  <c r="FZ153" i="83"/>
  <c r="GA153" i="83"/>
  <c r="FI159" i="83"/>
  <c r="FJ159" i="83"/>
  <c r="RR155" i="83"/>
  <c r="RR154" i="83"/>
  <c r="RS149" i="83"/>
  <c r="RU150" i="83"/>
  <c r="RT150" i="83"/>
  <c r="TT152" i="83"/>
  <c r="TS152" i="83"/>
  <c r="NF161" i="83"/>
  <c r="NE161" i="83"/>
  <c r="IQ159" i="83"/>
  <c r="IP159" i="83"/>
  <c r="PD161" i="83"/>
  <c r="PE161" i="83"/>
  <c r="GR151" i="83"/>
  <c r="GQ151" i="83"/>
  <c r="GR152" i="83"/>
  <c r="GQ152" i="83"/>
  <c r="GR153" i="83"/>
  <c r="GQ153" i="83"/>
  <c r="KM164" i="83"/>
  <c r="KM163" i="83"/>
  <c r="KN158" i="83"/>
  <c r="TC159" i="83"/>
  <c r="TB159" i="83"/>
  <c r="SL160" i="83"/>
  <c r="SK160" i="83"/>
  <c r="SL162" i="83"/>
  <c r="SK162" i="83"/>
  <c r="QJ164" i="83"/>
  <c r="QJ163" i="83"/>
  <c r="QK158" i="83"/>
  <c r="PU159" i="83"/>
  <c r="PV159" i="83"/>
  <c r="KP160" i="83"/>
  <c r="KO160" i="83"/>
  <c r="KP161" i="83"/>
  <c r="KO161" i="83"/>
  <c r="KP162" i="83"/>
  <c r="KO162" i="83"/>
  <c r="D217" i="83"/>
  <c r="D258" i="83" s="1"/>
  <c r="F258" i="83" s="1"/>
  <c r="D214" i="83"/>
  <c r="D257" i="83" s="1"/>
  <c r="CK214" i="83"/>
  <c r="D259" i="83" s="1"/>
  <c r="F259" i="83" s="1"/>
  <c r="CK217" i="83"/>
  <c r="D260" i="83" s="1"/>
  <c r="RD143" i="83"/>
  <c r="RC143" i="83"/>
  <c r="LW150" i="83"/>
  <c r="LX150" i="83"/>
  <c r="AT134" i="83"/>
  <c r="AU134" i="83"/>
  <c r="AR146" i="83"/>
  <c r="AS140" i="83"/>
  <c r="AR145" i="83"/>
  <c r="AT142" i="83"/>
  <c r="AU142" i="83"/>
  <c r="AT144" i="83"/>
  <c r="AU144" i="83"/>
  <c r="LF151" i="83"/>
  <c r="LG151" i="83"/>
  <c r="QL151" i="83"/>
  <c r="QM151" i="83"/>
  <c r="BZ155" i="83"/>
  <c r="BZ154" i="83"/>
  <c r="CA149" i="83"/>
  <c r="JH151" i="83"/>
  <c r="JG151" i="83"/>
  <c r="ER162" i="83"/>
  <c r="ES162" i="83"/>
  <c r="CT162" i="83"/>
  <c r="CS162" i="83"/>
  <c r="LX152" i="83"/>
  <c r="LW152" i="83"/>
  <c r="AC159" i="83"/>
  <c r="AD159" i="83"/>
  <c r="HZ161" i="83"/>
  <c r="HY161" i="83"/>
  <c r="AU159" i="83"/>
  <c r="AT159" i="83"/>
  <c r="JX162" i="83"/>
  <c r="JY162" i="83"/>
  <c r="PV161" i="83"/>
  <c r="PU161" i="83"/>
  <c r="PV162" i="83"/>
  <c r="PU162" i="83"/>
  <c r="RL214" i="83"/>
  <c r="D273" i="83" s="1"/>
  <c r="F273" i="83" s="1"/>
  <c r="RL209" i="83"/>
  <c r="RL217" i="83"/>
  <c r="D274" i="83" s="1"/>
  <c r="F274" i="83" s="1"/>
  <c r="AU161" i="83"/>
  <c r="AT161" i="83"/>
  <c r="IP152" i="83"/>
  <c r="IQ152" i="83"/>
  <c r="RU143" i="83"/>
  <c r="RT143" i="83"/>
  <c r="KP135" i="83"/>
  <c r="KO135" i="83"/>
  <c r="QJ155" i="83"/>
  <c r="QJ154" i="83"/>
  <c r="QK149" i="83"/>
  <c r="PE134" i="83"/>
  <c r="PD134" i="83"/>
  <c r="OM131" i="83"/>
  <c r="ON131" i="83"/>
  <c r="LX121" i="83"/>
  <c r="LW121" i="83"/>
  <c r="NE142" i="83"/>
  <c r="NF142" i="83"/>
  <c r="IQ131" i="83"/>
  <c r="IP131" i="83"/>
  <c r="JV123" i="83"/>
  <c r="JV122" i="83"/>
  <c r="JW117" i="83"/>
  <c r="JG109" i="83"/>
  <c r="JH109" i="83"/>
  <c r="JH101" i="83"/>
  <c r="JG101" i="83"/>
  <c r="FG123" i="83"/>
  <c r="FG122" i="83"/>
  <c r="FH117" i="83"/>
  <c r="ML105" i="83"/>
  <c r="ML104" i="83"/>
  <c r="MM99" i="83"/>
  <c r="NW112" i="83"/>
  <c r="NV112" i="83"/>
  <c r="ER128" i="83"/>
  <c r="ES128" i="83"/>
  <c r="CS134" i="83"/>
  <c r="CT134" i="83"/>
  <c r="HF123" i="83"/>
  <c r="HF122" i="83"/>
  <c r="HG117" i="83"/>
  <c r="RC103" i="83"/>
  <c r="RD103" i="83"/>
  <c r="LX128" i="83"/>
  <c r="LW128" i="83"/>
  <c r="MN100" i="83"/>
  <c r="MO100" i="83"/>
  <c r="IQ162" i="83"/>
  <c r="IP162" i="83"/>
  <c r="LG162" i="83"/>
  <c r="LF162" i="83"/>
  <c r="RT162" i="83"/>
  <c r="RU162" i="83"/>
  <c r="SK151" i="83"/>
  <c r="SL151" i="83"/>
  <c r="IQ150" i="83"/>
  <c r="IP150" i="83"/>
  <c r="PV143" i="83"/>
  <c r="PU143" i="83"/>
  <c r="RU135" i="83"/>
  <c r="RT135" i="83"/>
  <c r="OM150" i="83"/>
  <c r="ON150" i="83"/>
  <c r="EP145" i="83"/>
  <c r="EQ140" i="83"/>
  <c r="EP146" i="83"/>
  <c r="LG131" i="83"/>
  <c r="LF131" i="83"/>
  <c r="LG127" i="83"/>
  <c r="LF127" i="83"/>
  <c r="JY142" i="83"/>
  <c r="JX142" i="83"/>
  <c r="SZ137" i="83"/>
  <c r="SZ136" i="83"/>
  <c r="TA126" i="83"/>
  <c r="GA110" i="83"/>
  <c r="FZ110" i="83"/>
  <c r="GA102" i="83"/>
  <c r="FZ102" i="83"/>
  <c r="AC119" i="83"/>
  <c r="AD119" i="83"/>
  <c r="DK101" i="83"/>
  <c r="DJ101" i="83"/>
  <c r="RD129" i="83"/>
  <c r="RC129" i="83"/>
  <c r="TT162" i="83"/>
  <c r="TS162" i="83"/>
  <c r="HI118" i="83"/>
  <c r="HH118" i="83"/>
  <c r="NW100" i="83"/>
  <c r="NV100" i="83"/>
  <c r="CS121" i="83"/>
  <c r="CT121" i="83"/>
  <c r="HH111" i="83"/>
  <c r="HI111" i="83"/>
  <c r="GR160" i="83"/>
  <c r="GQ160" i="83"/>
  <c r="JE164" i="83"/>
  <c r="JE163" i="83"/>
  <c r="JF158" i="83"/>
  <c r="ES153" i="83"/>
  <c r="ER153" i="83"/>
  <c r="QM161" i="83"/>
  <c r="QL161" i="83"/>
  <c r="HH161" i="83"/>
  <c r="HI161" i="83"/>
  <c r="MO142" i="83"/>
  <c r="MN142" i="83"/>
  <c r="PV134" i="83"/>
  <c r="PU134" i="83"/>
  <c r="HY142" i="83"/>
  <c r="HZ142" i="83"/>
  <c r="ES133" i="83"/>
  <c r="ER133" i="83"/>
  <c r="JH130" i="83"/>
  <c r="JG130" i="83"/>
  <c r="JF126" i="83"/>
  <c r="JE137" i="83"/>
  <c r="JE136" i="83"/>
  <c r="IQ130" i="83"/>
  <c r="IP130" i="83"/>
  <c r="ON110" i="83"/>
  <c r="OM110" i="83"/>
  <c r="ON102" i="83"/>
  <c r="OM102" i="83"/>
  <c r="MO119" i="83"/>
  <c r="MN119" i="83"/>
  <c r="CA108" i="83"/>
  <c r="BZ114" i="83"/>
  <c r="BZ113" i="83"/>
  <c r="JX131" i="83"/>
  <c r="JY131" i="83"/>
  <c r="PD130" i="83"/>
  <c r="PE130" i="83"/>
  <c r="GA112" i="83"/>
  <c r="FZ112" i="83"/>
  <c r="CC118" i="83"/>
  <c r="CB118" i="83"/>
  <c r="IQ101" i="83"/>
  <c r="IP101" i="83"/>
  <c r="KO120" i="83"/>
  <c r="KP120" i="83"/>
  <c r="LF118" i="83"/>
  <c r="LG118" i="83"/>
  <c r="MN162" i="83"/>
  <c r="MO162" i="83"/>
  <c r="HF164" i="83"/>
  <c r="HF163" i="83"/>
  <c r="HG158" i="83"/>
  <c r="IP151" i="83"/>
  <c r="IQ151" i="83"/>
  <c r="DK160" i="83"/>
  <c r="DJ160" i="83"/>
  <c r="AD151" i="83"/>
  <c r="AC151" i="83"/>
  <c r="CT151" i="83"/>
  <c r="CS151" i="83"/>
  <c r="KP151" i="83"/>
  <c r="KO151" i="83"/>
  <c r="AD144" i="83"/>
  <c r="AC144" i="83"/>
  <c r="HF145" i="83"/>
  <c r="HF146" i="83"/>
  <c r="HG140" i="83"/>
  <c r="PV151" i="83"/>
  <c r="PU151" i="83"/>
  <c r="ES141" i="83"/>
  <c r="ER141" i="83"/>
  <c r="CT150" i="83"/>
  <c r="CS150" i="83"/>
  <c r="GA129" i="83"/>
  <c r="FZ129" i="83"/>
  <c r="AU160" i="83"/>
  <c r="AT160" i="83"/>
  <c r="HZ118" i="83"/>
  <c r="HY118" i="83"/>
  <c r="AU109" i="83"/>
  <c r="AT109" i="83"/>
  <c r="AU101" i="83"/>
  <c r="AT101" i="83"/>
  <c r="FX123" i="83"/>
  <c r="FX122" i="83"/>
  <c r="FY117" i="83"/>
  <c r="LW102" i="83"/>
  <c r="LX102" i="83"/>
  <c r="TC112" i="83"/>
  <c r="TB112" i="83"/>
  <c r="GR127" i="83"/>
  <c r="GQ127" i="83"/>
  <c r="RC120" i="83"/>
  <c r="RD120" i="83"/>
  <c r="DH137" i="83"/>
  <c r="DH136" i="83"/>
  <c r="DI126" i="83"/>
  <c r="BK110" i="83"/>
  <c r="BL110" i="83"/>
  <c r="CB103" i="83"/>
  <c r="CC103" i="83"/>
  <c r="NC105" i="83"/>
  <c r="NC104" i="83"/>
  <c r="ND99" i="83"/>
  <c r="SL102" i="83"/>
  <c r="SK102" i="83"/>
  <c r="NF111" i="83"/>
  <c r="NE111" i="83"/>
  <c r="JY120" i="83"/>
  <c r="JX120" i="83"/>
  <c r="ON134" i="83"/>
  <c r="OM134" i="83"/>
  <c r="KP129" i="83"/>
  <c r="KO129" i="83"/>
  <c r="EB141" i="83"/>
  <c r="EA141" i="83"/>
  <c r="FJ100" i="83"/>
  <c r="FI100" i="83"/>
  <c r="FJ102" i="83"/>
  <c r="FI102" i="83"/>
  <c r="FJ109" i="83"/>
  <c r="FI109" i="83"/>
  <c r="FJ111" i="83"/>
  <c r="FI111" i="83"/>
  <c r="EB118" i="83"/>
  <c r="EA118" i="83"/>
  <c r="MO120" i="83"/>
  <c r="MN120" i="83"/>
  <c r="CB129" i="83"/>
  <c r="CC129" i="83"/>
  <c r="CB131" i="83"/>
  <c r="CC131" i="83"/>
  <c r="ON143" i="83"/>
  <c r="OM143" i="83"/>
  <c r="CT103" i="83"/>
  <c r="CS103" i="83"/>
  <c r="SL110" i="83"/>
  <c r="SK110" i="83"/>
  <c r="RD119" i="83"/>
  <c r="RC119" i="83"/>
  <c r="HH130" i="83"/>
  <c r="HI130" i="83"/>
  <c r="EB152" i="83"/>
  <c r="EA152" i="83"/>
  <c r="GA121" i="83"/>
  <c r="FZ121" i="83"/>
  <c r="DJ118" i="83"/>
  <c r="DK118" i="83"/>
  <c r="FI120" i="83"/>
  <c r="FJ120" i="83"/>
  <c r="FJ127" i="83"/>
  <c r="FI127" i="83"/>
  <c r="FJ131" i="83"/>
  <c r="FI131" i="83"/>
  <c r="AT153" i="83"/>
  <c r="AU153" i="83"/>
  <c r="JH135" i="83"/>
  <c r="JG135" i="83"/>
  <c r="JH143" i="83"/>
  <c r="JG143" i="83"/>
  <c r="EB151" i="83"/>
  <c r="EA151" i="83"/>
  <c r="NC137" i="83"/>
  <c r="NC136" i="83"/>
  <c r="ND126" i="83"/>
  <c r="NF128" i="83"/>
  <c r="NE128" i="83"/>
  <c r="NF130" i="83"/>
  <c r="NE130" i="83"/>
  <c r="NF132" i="83"/>
  <c r="NE132" i="83"/>
  <c r="DH146" i="83"/>
  <c r="DI140" i="83"/>
  <c r="DH145" i="83"/>
  <c r="DJ142" i="83"/>
  <c r="DK142" i="83"/>
  <c r="BL134" i="83"/>
  <c r="BK134" i="83"/>
  <c r="BL141" i="83"/>
  <c r="BK141" i="83"/>
  <c r="BL143" i="83"/>
  <c r="BK143" i="83"/>
  <c r="BL144" i="83"/>
  <c r="BK144" i="83"/>
  <c r="DH164" i="83"/>
  <c r="DH163" i="83"/>
  <c r="DI158" i="83"/>
  <c r="FZ134" i="83"/>
  <c r="GA134" i="83"/>
  <c r="FX145" i="83"/>
  <c r="FX146" i="83"/>
  <c r="FY140" i="83"/>
  <c r="FZ142" i="83"/>
  <c r="GA142" i="83"/>
  <c r="FZ144" i="83"/>
  <c r="GA144" i="83"/>
  <c r="ON151" i="83"/>
  <c r="OM151" i="83"/>
  <c r="FZ152" i="83"/>
  <c r="GA152" i="83"/>
  <c r="HF155" i="83"/>
  <c r="HF154" i="83"/>
  <c r="HG149" i="83"/>
  <c r="TT151" i="83"/>
  <c r="TS151" i="83"/>
  <c r="IN164" i="83"/>
  <c r="IN163" i="83"/>
  <c r="IO158" i="83"/>
  <c r="PD160" i="83"/>
  <c r="PE160" i="83"/>
  <c r="RD151" i="83"/>
  <c r="RC151" i="83"/>
  <c r="RD152" i="83"/>
  <c r="RC152" i="83"/>
  <c r="KO159" i="83"/>
  <c r="KP159" i="83"/>
  <c r="CC160" i="83"/>
  <c r="CB160" i="83"/>
  <c r="SL161" i="83"/>
  <c r="SK161" i="83"/>
  <c r="FX164" i="83"/>
  <c r="FX163" i="83"/>
  <c r="FY158" i="83"/>
  <c r="GA159" i="83"/>
  <c r="FZ159" i="83"/>
  <c r="SK159" i="83"/>
  <c r="SL159" i="83"/>
  <c r="AD162" i="83"/>
  <c r="AC162" i="83"/>
  <c r="TK217" i="83"/>
  <c r="D272" i="83" s="1"/>
  <c r="TK214" i="83"/>
  <c r="D271" i="83" s="1"/>
  <c r="F271" i="83" s="1"/>
  <c r="LW161" i="83"/>
  <c r="LX161" i="83"/>
  <c r="HZ150" i="83"/>
  <c r="HY150" i="83"/>
  <c r="HI141" i="83"/>
  <c r="HH141" i="83"/>
  <c r="AD133" i="83"/>
  <c r="AC133" i="83"/>
  <c r="SK141" i="83"/>
  <c r="SL141" i="83"/>
  <c r="AR155" i="83"/>
  <c r="AR154" i="83"/>
  <c r="AS149" i="83"/>
  <c r="EA129" i="83"/>
  <c r="EB129" i="83"/>
  <c r="JG150" i="83"/>
  <c r="JH150" i="83"/>
  <c r="NF150" i="83"/>
  <c r="NE150" i="83"/>
  <c r="ES119" i="83"/>
  <c r="ER119" i="83"/>
  <c r="EP123" i="83"/>
  <c r="EP122" i="83"/>
  <c r="EQ117" i="83"/>
  <c r="TR108" i="83"/>
  <c r="TQ114" i="83"/>
  <c r="TQ113" i="83"/>
  <c r="TT102" i="83"/>
  <c r="TS102" i="83"/>
  <c r="TS100" i="83"/>
  <c r="TT100" i="83"/>
  <c r="CC119" i="83"/>
  <c r="CB119" i="83"/>
  <c r="GQ111" i="83"/>
  <c r="GR111" i="83"/>
  <c r="IQ102" i="83"/>
  <c r="IP102" i="83"/>
  <c r="BZ105" i="83"/>
  <c r="BZ104" i="83"/>
  <c r="CA99" i="83"/>
  <c r="JX128" i="83"/>
  <c r="JY128" i="83"/>
  <c r="ND149" i="83"/>
  <c r="NC155" i="83"/>
  <c r="NC154" i="83"/>
  <c r="ER131" i="83"/>
  <c r="ES131" i="83"/>
  <c r="ER127" i="83"/>
  <c r="ES127" i="83"/>
  <c r="QM112" i="83"/>
  <c r="QL112" i="83"/>
  <c r="NW131" i="83"/>
  <c r="NV131" i="83"/>
  <c r="PU119" i="83"/>
  <c r="PV119" i="83"/>
  <c r="TC111" i="83"/>
  <c r="TB111" i="83"/>
  <c r="NU108" i="83"/>
  <c r="NT114" i="83"/>
  <c r="NT113" i="83"/>
  <c r="TC102" i="83"/>
  <c r="TB102" i="83"/>
  <c r="GO164" i="83"/>
  <c r="GO163" i="83"/>
  <c r="GP158" i="83"/>
  <c r="JV137" i="83"/>
  <c r="JV136" i="83"/>
  <c r="JW126" i="83"/>
  <c r="MN111" i="83"/>
  <c r="MO111" i="83"/>
  <c r="AT119" i="83"/>
  <c r="AU119" i="83"/>
  <c r="RT100" i="83"/>
  <c r="RU100" i="83"/>
  <c r="TC161" i="83"/>
  <c r="TB161" i="83"/>
  <c r="EB162" i="83"/>
  <c r="EA162" i="83"/>
  <c r="LG160" i="83"/>
  <c r="LF160" i="83"/>
  <c r="GA161" i="83"/>
  <c r="FZ161" i="83"/>
  <c r="RT159" i="83"/>
  <c r="RU159" i="83"/>
  <c r="HY153" i="83"/>
  <c r="HZ153" i="83"/>
  <c r="HY151" i="83"/>
  <c r="HZ151" i="83"/>
  <c r="AD153" i="83"/>
  <c r="AC153" i="83"/>
  <c r="SZ155" i="83"/>
  <c r="SZ154" i="83"/>
  <c r="TA149" i="83"/>
  <c r="SJ149" i="83"/>
  <c r="SI155" i="83"/>
  <c r="SI154" i="83"/>
  <c r="FJ143" i="83"/>
  <c r="FI143" i="83"/>
  <c r="FJ141" i="83"/>
  <c r="FI141" i="83"/>
  <c r="HI135" i="83"/>
  <c r="HH135" i="83"/>
  <c r="HI133" i="83"/>
  <c r="HH133" i="83"/>
  <c r="DZ149" i="83"/>
  <c r="DY155" i="83"/>
  <c r="DY154" i="83"/>
  <c r="PE143" i="83"/>
  <c r="PD143" i="83"/>
  <c r="HY135" i="83"/>
  <c r="HZ135" i="83"/>
  <c r="CR149" i="83"/>
  <c r="CQ155" i="83"/>
  <c r="CQ154" i="83"/>
  <c r="AU131" i="83"/>
  <c r="AT131" i="83"/>
  <c r="AU129" i="83"/>
  <c r="AT129" i="83"/>
  <c r="AU127" i="83"/>
  <c r="AT127" i="83"/>
  <c r="FJ153" i="83"/>
  <c r="FI153" i="83"/>
  <c r="JY141" i="83"/>
  <c r="JX141" i="83"/>
  <c r="SK132" i="83"/>
  <c r="SL132" i="83"/>
  <c r="ES120" i="83"/>
  <c r="ER120" i="83"/>
  <c r="CT118" i="83"/>
  <c r="CS118" i="83"/>
  <c r="QM111" i="83"/>
  <c r="QL111" i="83"/>
  <c r="QM109" i="83"/>
  <c r="QL109" i="83"/>
  <c r="QM103" i="83"/>
  <c r="QL103" i="83"/>
  <c r="QM101" i="83"/>
  <c r="QL101" i="83"/>
  <c r="QJ105" i="83"/>
  <c r="QJ104" i="83"/>
  <c r="QK99" i="83"/>
  <c r="ML123" i="83"/>
  <c r="ML122" i="83"/>
  <c r="MM117" i="83"/>
  <c r="BK109" i="83"/>
  <c r="BL109" i="83"/>
  <c r="BK100" i="83"/>
  <c r="BL100" i="83"/>
  <c r="BL130" i="83"/>
  <c r="BK130" i="83"/>
  <c r="RD128" i="83"/>
  <c r="RC128" i="83"/>
  <c r="RT120" i="83"/>
  <c r="RU120" i="83"/>
  <c r="IN145" i="83"/>
  <c r="IN146" i="83"/>
  <c r="IO140" i="83"/>
  <c r="DK127" i="83"/>
  <c r="DJ127" i="83"/>
  <c r="NW111" i="83"/>
  <c r="NV111" i="83"/>
  <c r="LW103" i="83"/>
  <c r="LX103" i="83"/>
  <c r="NT105" i="83"/>
  <c r="NT104" i="83"/>
  <c r="NU99" i="83"/>
  <c r="BL128" i="83"/>
  <c r="BK128" i="83"/>
  <c r="CB111" i="83"/>
  <c r="CC111" i="83"/>
  <c r="QL119" i="83"/>
  <c r="QM119" i="83"/>
  <c r="HH102" i="83"/>
  <c r="HI102" i="83"/>
  <c r="RD161" i="83"/>
  <c r="RC161" i="83"/>
  <c r="CB162" i="83"/>
  <c r="CC162" i="83"/>
  <c r="OM159" i="83"/>
  <c r="ON159" i="83"/>
  <c r="JH162" i="83"/>
  <c r="JG162" i="83"/>
  <c r="RT161" i="83"/>
  <c r="RU161" i="83"/>
  <c r="PE152" i="83"/>
  <c r="PD152" i="83"/>
  <c r="NW159" i="83"/>
  <c r="NV159" i="83"/>
  <c r="TB153" i="83"/>
  <c r="TC153" i="83"/>
  <c r="FJ150" i="83"/>
  <c r="FI150" i="83"/>
  <c r="JY159" i="83"/>
  <c r="JX159" i="83"/>
  <c r="CC144" i="83"/>
  <c r="CB144" i="83"/>
  <c r="CC142" i="83"/>
  <c r="CB142" i="83"/>
  <c r="AB140" i="83"/>
  <c r="AA146" i="83"/>
  <c r="AA145" i="83"/>
  <c r="FJ134" i="83"/>
  <c r="FI134" i="83"/>
  <c r="RU153" i="83"/>
  <c r="RT153" i="83"/>
  <c r="FJ152" i="83"/>
  <c r="FI152" i="83"/>
  <c r="HY141" i="83"/>
  <c r="HZ141" i="83"/>
  <c r="TT120" i="83"/>
  <c r="TS120" i="83"/>
  <c r="TT131" i="83"/>
  <c r="TS131" i="83"/>
  <c r="TT129" i="83"/>
  <c r="TS129" i="83"/>
  <c r="TT127" i="83"/>
  <c r="TS127" i="83"/>
  <c r="LX120" i="83"/>
  <c r="LW120" i="83"/>
  <c r="CS143" i="83"/>
  <c r="CT143" i="83"/>
  <c r="IQ128" i="83"/>
  <c r="IP128" i="83"/>
  <c r="JY119" i="83"/>
  <c r="JX119" i="83"/>
  <c r="NC123" i="83"/>
  <c r="NC122" i="83"/>
  <c r="ND117" i="83"/>
  <c r="EB110" i="83"/>
  <c r="EA110" i="83"/>
  <c r="FY108" i="83"/>
  <c r="FX114" i="83"/>
  <c r="FX113" i="83"/>
  <c r="EA102" i="83"/>
  <c r="EB102" i="83"/>
  <c r="EB100" i="83"/>
  <c r="EA100" i="83"/>
  <c r="PU118" i="83"/>
  <c r="PV118" i="83"/>
  <c r="RS108" i="83"/>
  <c r="RR114" i="83"/>
  <c r="RR113" i="83"/>
  <c r="TC103" i="83"/>
  <c r="TB103" i="83"/>
  <c r="RR105" i="83"/>
  <c r="RR104" i="83"/>
  <c r="RS99" i="83"/>
  <c r="LX129" i="83"/>
  <c r="LW129" i="83"/>
  <c r="DK112" i="83"/>
  <c r="DJ112" i="83"/>
  <c r="PD129" i="83"/>
  <c r="PE129" i="83"/>
  <c r="AU121" i="83"/>
  <c r="AT121" i="83"/>
  <c r="HI153" i="83"/>
  <c r="HH153" i="83"/>
  <c r="NT137" i="83"/>
  <c r="NT136" i="83"/>
  <c r="NU126" i="83"/>
  <c r="LD123" i="83"/>
  <c r="LD122" i="83"/>
  <c r="LE117" i="83"/>
  <c r="GQ109" i="83"/>
  <c r="GR109" i="83"/>
  <c r="IQ100" i="83"/>
  <c r="IP100" i="83"/>
  <c r="JX129" i="83"/>
  <c r="JY129" i="83"/>
  <c r="KP112" i="83"/>
  <c r="KO112" i="83"/>
  <c r="RT103" i="83"/>
  <c r="RU103" i="83"/>
  <c r="LW112" i="83"/>
  <c r="LX112" i="83"/>
  <c r="BL162" i="83"/>
  <c r="BK162" i="83"/>
  <c r="MN160" i="83"/>
  <c r="MO160" i="83"/>
  <c r="NE159" i="83"/>
  <c r="NF159" i="83"/>
  <c r="HH162" i="83"/>
  <c r="HI162" i="83"/>
  <c r="AD150" i="83"/>
  <c r="AC150" i="83"/>
  <c r="NW161" i="83"/>
  <c r="NV161" i="83"/>
  <c r="ON162" i="83"/>
  <c r="OM162" i="83"/>
  <c r="MO159" i="83"/>
  <c r="MN159" i="83"/>
  <c r="GA162" i="83"/>
  <c r="FZ162" i="83"/>
  <c r="RT160" i="83"/>
  <c r="RU160" i="83"/>
  <c r="NF152" i="83"/>
  <c r="NE152" i="83"/>
  <c r="HY159" i="83"/>
  <c r="HZ159" i="83"/>
  <c r="NV150" i="83"/>
  <c r="NW150" i="83"/>
  <c r="GR159" i="83"/>
  <c r="GQ159" i="83"/>
  <c r="KP143" i="83"/>
  <c r="KO143" i="83"/>
  <c r="KP141" i="83"/>
  <c r="KO141" i="83"/>
  <c r="MO135" i="83"/>
  <c r="MN135" i="83"/>
  <c r="MO133" i="83"/>
  <c r="MN133" i="83"/>
  <c r="EA150" i="83"/>
  <c r="EB150" i="83"/>
  <c r="ES144" i="83"/>
  <c r="ER144" i="83"/>
  <c r="PC140" i="83"/>
  <c r="PB146" i="83"/>
  <c r="PB145" i="83"/>
  <c r="SK133" i="83"/>
  <c r="SL133" i="83"/>
  <c r="TC132" i="83"/>
  <c r="TB132" i="83"/>
  <c r="QM130" i="83"/>
  <c r="QL130" i="83"/>
  <c r="QM128" i="83"/>
  <c r="QL128" i="83"/>
  <c r="LD137" i="83"/>
  <c r="LD136" i="83"/>
  <c r="LE126" i="83"/>
  <c r="FJ151" i="83"/>
  <c r="FI151" i="83"/>
  <c r="TC131" i="83"/>
  <c r="TB131" i="83"/>
  <c r="SL119" i="83"/>
  <c r="SK119" i="83"/>
  <c r="SI123" i="83"/>
  <c r="SI122" i="83"/>
  <c r="SJ117" i="83"/>
  <c r="LG110" i="83"/>
  <c r="LF110" i="83"/>
  <c r="OL108" i="83"/>
  <c r="OK113" i="83"/>
  <c r="OK114" i="83"/>
  <c r="LG102" i="83"/>
  <c r="LF102" i="83"/>
  <c r="LG100" i="83"/>
  <c r="LF100" i="83"/>
  <c r="HI119" i="83"/>
  <c r="HH119" i="83"/>
  <c r="LW111" i="83"/>
  <c r="LX111" i="83"/>
  <c r="LV108" i="83"/>
  <c r="LU114" i="83"/>
  <c r="LU113" i="83"/>
  <c r="LW101" i="83"/>
  <c r="LX101" i="83"/>
  <c r="LG150" i="83"/>
  <c r="LF150" i="83"/>
  <c r="TB144" i="83"/>
  <c r="TC144" i="83"/>
  <c r="GR130" i="83"/>
  <c r="GQ130" i="83"/>
  <c r="GP126" i="83"/>
  <c r="GO137" i="83"/>
  <c r="GO136" i="83"/>
  <c r="LG112" i="83"/>
  <c r="LF112" i="83"/>
  <c r="DK132" i="83"/>
  <c r="DJ132" i="83"/>
  <c r="PD121" i="83"/>
  <c r="PE121" i="83"/>
  <c r="KM123" i="83"/>
  <c r="KM122" i="83"/>
  <c r="KN117" i="83"/>
  <c r="DK109" i="83"/>
  <c r="DJ109" i="83"/>
  <c r="DK100" i="83"/>
  <c r="DJ100" i="83"/>
  <c r="BL129" i="83"/>
  <c r="BK129" i="83"/>
  <c r="HH120" i="83"/>
  <c r="HI120" i="83"/>
  <c r="CB101" i="83"/>
  <c r="CC101" i="83"/>
  <c r="RT109" i="83"/>
  <c r="RU109" i="83"/>
  <c r="SI105" i="83"/>
  <c r="SI104" i="83"/>
  <c r="SJ99" i="83"/>
  <c r="CT102" i="83"/>
  <c r="CS102" i="83"/>
  <c r="NF103" i="83"/>
  <c r="NE103" i="83"/>
  <c r="NF109" i="83"/>
  <c r="NE109" i="83"/>
  <c r="SL111" i="83"/>
  <c r="SK111" i="83"/>
  <c r="GR118" i="83"/>
  <c r="GQ118" i="83"/>
  <c r="JY121" i="83"/>
  <c r="JX121" i="83"/>
  <c r="HH129" i="83"/>
  <c r="HI129" i="83"/>
  <c r="ON142" i="83"/>
  <c r="OM142" i="83"/>
  <c r="AD128" i="83"/>
  <c r="AC128" i="83"/>
  <c r="AD130" i="83"/>
  <c r="AC130" i="83"/>
  <c r="AD132" i="83"/>
  <c r="AC132" i="83"/>
  <c r="EB143" i="83"/>
  <c r="EA143" i="83"/>
  <c r="KM105" i="83"/>
  <c r="KM104" i="83"/>
  <c r="KN99" i="83"/>
  <c r="KP100" i="83"/>
  <c r="KO100" i="83"/>
  <c r="KP101" i="83"/>
  <c r="KO101" i="83"/>
  <c r="KP102" i="83"/>
  <c r="KO102" i="83"/>
  <c r="KP103" i="83"/>
  <c r="KO103" i="83"/>
  <c r="KM114" i="83"/>
  <c r="KM113" i="83"/>
  <c r="KN108" i="83"/>
  <c r="KP109" i="83"/>
  <c r="KO109" i="83"/>
  <c r="KP110" i="83"/>
  <c r="KO110" i="83"/>
  <c r="KP111" i="83"/>
  <c r="KO111" i="83"/>
  <c r="JE123" i="83"/>
  <c r="JE122" i="83"/>
  <c r="JF117" i="83"/>
  <c r="JH118" i="83"/>
  <c r="JG118" i="83"/>
  <c r="JH119" i="83"/>
  <c r="JG119" i="83"/>
  <c r="MO121" i="83"/>
  <c r="MN121" i="83"/>
  <c r="MN127" i="83"/>
  <c r="MO127" i="83"/>
  <c r="MN129" i="83"/>
  <c r="MO129" i="83"/>
  <c r="MN131" i="83"/>
  <c r="MO131" i="83"/>
  <c r="EB134" i="83"/>
  <c r="EA134" i="83"/>
  <c r="CQ105" i="83"/>
  <c r="CQ104" i="83"/>
  <c r="CR99" i="83"/>
  <c r="NF100" i="83"/>
  <c r="NE100" i="83"/>
  <c r="HZ103" i="83"/>
  <c r="HY103" i="83"/>
  <c r="NC114" i="83"/>
  <c r="NC113" i="83"/>
  <c r="ND108" i="83"/>
  <c r="CT111" i="83"/>
  <c r="CS111" i="83"/>
  <c r="OM112" i="83"/>
  <c r="ON112" i="83"/>
  <c r="RD118" i="83"/>
  <c r="RC118" i="83"/>
  <c r="CC120" i="83"/>
  <c r="CB120" i="83"/>
  <c r="RR137" i="83"/>
  <c r="RR136" i="83"/>
  <c r="RS126" i="83"/>
  <c r="HH131" i="83"/>
  <c r="HI131" i="83"/>
  <c r="ON133" i="83"/>
  <c r="OM133" i="83"/>
  <c r="CC112" i="83"/>
  <c r="CB112" i="83"/>
  <c r="GA120" i="83"/>
  <c r="FZ120" i="83"/>
  <c r="IQ121" i="83"/>
  <c r="IP121" i="83"/>
  <c r="EP105" i="83"/>
  <c r="EP104" i="83"/>
  <c r="EQ99" i="83"/>
  <c r="ER100" i="83"/>
  <c r="ES100" i="83"/>
  <c r="ER101" i="83"/>
  <c r="ES101" i="83"/>
  <c r="ER102" i="83"/>
  <c r="ES102" i="83"/>
  <c r="ER103" i="83"/>
  <c r="ES103" i="83"/>
  <c r="EQ108" i="83"/>
  <c r="EP114" i="83"/>
  <c r="EP113" i="83"/>
  <c r="ER109" i="83"/>
  <c r="ES109" i="83"/>
  <c r="ER110" i="83"/>
  <c r="ES110" i="83"/>
  <c r="ER111" i="83"/>
  <c r="ES111" i="83"/>
  <c r="ES112" i="83"/>
  <c r="ER112" i="83"/>
  <c r="IN123" i="83"/>
  <c r="IN122" i="83"/>
  <c r="IO117" i="83"/>
  <c r="IP118" i="83"/>
  <c r="IQ118" i="83"/>
  <c r="IP119" i="83"/>
  <c r="IQ119" i="83"/>
  <c r="QM120" i="83"/>
  <c r="QL120" i="83"/>
  <c r="TC121" i="83"/>
  <c r="TB121" i="83"/>
  <c r="PV127" i="83"/>
  <c r="PU127" i="83"/>
  <c r="PV129" i="83"/>
  <c r="PU129" i="83"/>
  <c r="PV131" i="83"/>
  <c r="PU131" i="83"/>
  <c r="EB142" i="83"/>
  <c r="EA142" i="83"/>
  <c r="GQ150" i="83"/>
  <c r="GR150" i="83"/>
  <c r="DK159" i="83"/>
  <c r="DJ159" i="83"/>
  <c r="TT133" i="83"/>
  <c r="TS133" i="83"/>
  <c r="TT135" i="83"/>
  <c r="TS135" i="83"/>
  <c r="TT141" i="83"/>
  <c r="TS141" i="83"/>
  <c r="TT143" i="83"/>
  <c r="TS143" i="83"/>
  <c r="EB153" i="83"/>
  <c r="EA153" i="83"/>
  <c r="SK121" i="83"/>
  <c r="SL121" i="83"/>
  <c r="SI137" i="83"/>
  <c r="SI136" i="83"/>
  <c r="SJ126" i="83"/>
  <c r="SL127" i="83"/>
  <c r="SK127" i="83"/>
  <c r="SL128" i="83"/>
  <c r="SK128" i="83"/>
  <c r="SL129" i="83"/>
  <c r="SK129" i="83"/>
  <c r="SL130" i="83"/>
  <c r="SK130" i="83"/>
  <c r="SL131" i="83"/>
  <c r="SK131" i="83"/>
  <c r="QM132" i="83"/>
  <c r="QL132" i="83"/>
  <c r="NV134" i="83"/>
  <c r="NW134" i="83"/>
  <c r="NT146" i="83"/>
  <c r="NT145" i="83"/>
  <c r="NU140" i="83"/>
  <c r="NV142" i="83"/>
  <c r="NW142" i="83"/>
  <c r="NV144" i="83"/>
  <c r="NW144" i="83"/>
  <c r="RC150" i="83"/>
  <c r="RD150" i="83"/>
  <c r="GR133" i="83"/>
  <c r="GQ133" i="83"/>
  <c r="GR134" i="83"/>
  <c r="GQ134" i="83"/>
  <c r="GR135" i="83"/>
  <c r="GQ135" i="83"/>
  <c r="GO145" i="83"/>
  <c r="GO146" i="83"/>
  <c r="GP140" i="83"/>
  <c r="GR141" i="83"/>
  <c r="GQ141" i="83"/>
  <c r="GR142" i="83"/>
  <c r="GQ142" i="83"/>
  <c r="GR143" i="83"/>
  <c r="GQ143" i="83"/>
  <c r="GR144" i="83"/>
  <c r="GQ144" i="83"/>
  <c r="LV149" i="83"/>
  <c r="LU155" i="83"/>
  <c r="LU154" i="83"/>
  <c r="PS164" i="83"/>
  <c r="PS163" i="83"/>
  <c r="PT158" i="83"/>
  <c r="LF133" i="83"/>
  <c r="LG133" i="83"/>
  <c r="LF134" i="83"/>
  <c r="LG134" i="83"/>
  <c r="LF135" i="83"/>
  <c r="LG135" i="83"/>
  <c r="LD145" i="83"/>
  <c r="LD146" i="83"/>
  <c r="LE140" i="83"/>
  <c r="LF141" i="83"/>
  <c r="LG141" i="83"/>
  <c r="LF142" i="83"/>
  <c r="LG142" i="83"/>
  <c r="LF143" i="83"/>
  <c r="LG143" i="83"/>
  <c r="LF144" i="83"/>
  <c r="LG144" i="83"/>
  <c r="ES150" i="83"/>
  <c r="ER150" i="83"/>
  <c r="LF152" i="83"/>
  <c r="LG152" i="83"/>
  <c r="ER161" i="83"/>
  <c r="ES161" i="83"/>
  <c r="QL152" i="83"/>
  <c r="QM152" i="83"/>
  <c r="NT164" i="83"/>
  <c r="NT163" i="83"/>
  <c r="NU158" i="83"/>
  <c r="ML155" i="83"/>
  <c r="ML154" i="83"/>
  <c r="MM149" i="83"/>
  <c r="MO150" i="83"/>
  <c r="MN150" i="83"/>
  <c r="JH152" i="83"/>
  <c r="JG152" i="83"/>
  <c r="ER160" i="83"/>
  <c r="ES160" i="83"/>
  <c r="SZ164" i="83"/>
  <c r="SZ163" i="83"/>
  <c r="TA158" i="83"/>
  <c r="CT161" i="83"/>
  <c r="CS161" i="83"/>
  <c r="BL151" i="83"/>
  <c r="BK151" i="83"/>
  <c r="BL152" i="83"/>
  <c r="BK152" i="83"/>
  <c r="BL153" i="83"/>
  <c r="BK153" i="83"/>
  <c r="AA164" i="83"/>
  <c r="AA163" i="83"/>
  <c r="AB158" i="83"/>
  <c r="QM159" i="83"/>
  <c r="QL159" i="83"/>
  <c r="HZ160" i="83"/>
  <c r="HY160" i="83"/>
  <c r="HZ162" i="83"/>
  <c r="HY162" i="83"/>
  <c r="LD164" i="83"/>
  <c r="LD163" i="83"/>
  <c r="LE158" i="83"/>
  <c r="LG159" i="83"/>
  <c r="LF159" i="83"/>
  <c r="JX161" i="83"/>
  <c r="JY161" i="83"/>
  <c r="FJ160" i="83"/>
  <c r="FI160" i="83"/>
  <c r="FJ161" i="83"/>
  <c r="FI161" i="83"/>
  <c r="FJ162" i="83"/>
  <c r="FI162" i="83"/>
  <c r="MW217" i="83"/>
  <c r="D268" i="83" s="1"/>
  <c r="MW214" i="83"/>
  <c r="D267" i="83" s="1"/>
  <c r="F267" i="83" s="1"/>
  <c r="EJ217" i="83"/>
  <c r="D276" i="83" s="1"/>
  <c r="G276" i="83" s="1"/>
  <c r="EJ214" i="83"/>
  <c r="D275" i="83" s="1"/>
  <c r="F275" i="83" s="1"/>
  <c r="OE214" i="83"/>
  <c r="D265" i="83" s="1"/>
  <c r="F265" i="83" s="1"/>
  <c r="OE217" i="83"/>
  <c r="D266" i="83" s="1"/>
  <c r="OE209" i="83"/>
  <c r="J60" i="14"/>
  <c r="RA156" i="83" l="1"/>
  <c r="RA106" i="83"/>
  <c r="PS147" i="83"/>
  <c r="DY106" i="83"/>
  <c r="DY115" i="83"/>
  <c r="HW124" i="83"/>
  <c r="OK165" i="83"/>
  <c r="RA147" i="83"/>
  <c r="AA115" i="83"/>
  <c r="GO124" i="83"/>
  <c r="BI138" i="83"/>
  <c r="PS138" i="83"/>
  <c r="TQ165" i="83"/>
  <c r="IN115" i="83"/>
  <c r="BI106" i="83"/>
  <c r="BI165" i="83"/>
  <c r="HW138" i="83"/>
  <c r="TQ124" i="83"/>
  <c r="HW156" i="83"/>
  <c r="AA156" i="83"/>
  <c r="FX138" i="83"/>
  <c r="DH115" i="83"/>
  <c r="RR124" i="83"/>
  <c r="KM124" i="83"/>
  <c r="GO138" i="83"/>
  <c r="NT138" i="83"/>
  <c r="SZ156" i="83"/>
  <c r="NT115" i="83"/>
  <c r="AR156" i="83"/>
  <c r="IN165" i="83"/>
  <c r="JV124" i="83"/>
  <c r="PB156" i="83"/>
  <c r="CQ147" i="83"/>
  <c r="AR115" i="83"/>
  <c r="LD147" i="83"/>
  <c r="IN147" i="83"/>
  <c r="FX165" i="83"/>
  <c r="HF156" i="83"/>
  <c r="DH165" i="83"/>
  <c r="NC138" i="83"/>
  <c r="NC106" i="83"/>
  <c r="FX124" i="83"/>
  <c r="HF147" i="83"/>
  <c r="HF165" i="83"/>
  <c r="HF124" i="83"/>
  <c r="FG124" i="83"/>
  <c r="QJ156" i="83"/>
  <c r="AA165" i="83"/>
  <c r="ML156" i="83"/>
  <c r="NT147" i="83"/>
  <c r="IN124" i="83"/>
  <c r="NC124" i="83"/>
  <c r="QJ106" i="83"/>
  <c r="SI156" i="83"/>
  <c r="GO165" i="83"/>
  <c r="BZ156" i="83"/>
  <c r="DY165" i="83"/>
  <c r="JE106" i="83"/>
  <c r="F276" i="83"/>
  <c r="G268" i="83"/>
  <c r="EP147" i="83"/>
  <c r="DY138" i="83"/>
  <c r="G272" i="83"/>
  <c r="G260" i="83"/>
  <c r="NT124" i="83"/>
  <c r="HW106" i="83"/>
  <c r="HF138" i="83"/>
  <c r="IN138" i="83"/>
  <c r="BZ124" i="83"/>
  <c r="IN156" i="83"/>
  <c r="RR147" i="83"/>
  <c r="CQ165" i="83"/>
  <c r="DH156" i="83"/>
  <c r="JE115" i="83"/>
  <c r="SI165" i="83"/>
  <c r="NC165" i="83"/>
  <c r="SZ106" i="83"/>
  <c r="LD165" i="83"/>
  <c r="SZ165" i="83"/>
  <c r="NT165" i="83"/>
  <c r="PS165" i="83"/>
  <c r="RR138" i="83"/>
  <c r="KM115" i="83"/>
  <c r="PB147" i="83"/>
  <c r="NC156" i="83"/>
  <c r="QJ165" i="83"/>
  <c r="RR156" i="83"/>
  <c r="CQ138" i="83"/>
  <c r="JE147" i="83"/>
  <c r="KM138" i="83"/>
  <c r="BI124" i="83"/>
  <c r="DH106" i="83"/>
  <c r="IN106" i="83"/>
  <c r="HF106" i="83"/>
  <c r="ML115" i="83"/>
  <c r="KM156" i="83"/>
  <c r="JV165" i="83"/>
  <c r="LU165" i="83"/>
  <c r="LU138" i="83"/>
  <c r="QJ115" i="83"/>
  <c r="G270" i="83"/>
  <c r="GO115" i="83"/>
  <c r="G266" i="83"/>
  <c r="GO147" i="83"/>
  <c r="LU147" i="83"/>
  <c r="FN160" i="83"/>
  <c r="FM160" i="83"/>
  <c r="FO160" i="83"/>
  <c r="FL160" i="83"/>
  <c r="FK160" i="83"/>
  <c r="BP152" i="83"/>
  <c r="BO152" i="83"/>
  <c r="BQ152" i="83"/>
  <c r="BN152" i="83"/>
  <c r="BM152" i="83"/>
  <c r="EV160" i="83"/>
  <c r="EU160" i="83"/>
  <c r="EW160" i="83"/>
  <c r="ET160" i="83"/>
  <c r="EX160" i="83"/>
  <c r="QP152" i="83"/>
  <c r="QO152" i="83"/>
  <c r="QQ152" i="83"/>
  <c r="QN152" i="83"/>
  <c r="QR152" i="83"/>
  <c r="LJ144" i="83"/>
  <c r="LI144" i="83"/>
  <c r="LL144" i="83"/>
  <c r="LK144" i="83"/>
  <c r="LH144" i="83"/>
  <c r="LE146" i="83"/>
  <c r="LE145" i="83"/>
  <c r="LF140" i="83"/>
  <c r="LG140" i="83"/>
  <c r="GV144" i="83"/>
  <c r="GU144" i="83"/>
  <c r="GW144" i="83"/>
  <c r="GT144" i="83"/>
  <c r="GS144" i="83"/>
  <c r="GV142" i="83"/>
  <c r="GU142" i="83"/>
  <c r="GW142" i="83"/>
  <c r="GT142" i="83"/>
  <c r="GS142" i="83"/>
  <c r="SP130" i="83"/>
  <c r="SO130" i="83"/>
  <c r="SQ130" i="83"/>
  <c r="SN130" i="83"/>
  <c r="SM130" i="83"/>
  <c r="GU150" i="83"/>
  <c r="GT150" i="83"/>
  <c r="GV150" i="83"/>
  <c r="GS150" i="83"/>
  <c r="GW150" i="83"/>
  <c r="EV101" i="83"/>
  <c r="EU101" i="83"/>
  <c r="EX101" i="83"/>
  <c r="EW101" i="83"/>
  <c r="ET101" i="83"/>
  <c r="IU121" i="83"/>
  <c r="IR121" i="83"/>
  <c r="IV121" i="83"/>
  <c r="IS121" i="83"/>
  <c r="IT121" i="83"/>
  <c r="OQ112" i="83"/>
  <c r="OP112" i="83"/>
  <c r="OR112" i="83"/>
  <c r="OS112" i="83"/>
  <c r="OO112" i="83"/>
  <c r="ID103" i="83"/>
  <c r="IC103" i="83"/>
  <c r="IB103" i="83"/>
  <c r="IE103" i="83"/>
  <c r="IA103" i="83"/>
  <c r="MR131" i="83"/>
  <c r="MQ131" i="83"/>
  <c r="MS131" i="83"/>
  <c r="MP131" i="83"/>
  <c r="MT131" i="83"/>
  <c r="KT111" i="83"/>
  <c r="KS111" i="83"/>
  <c r="KQ111" i="83"/>
  <c r="KU111" i="83"/>
  <c r="KR111" i="83"/>
  <c r="KN105" i="83"/>
  <c r="KN104" i="83"/>
  <c r="KP99" i="83"/>
  <c r="KO99" i="83"/>
  <c r="EF143" i="83"/>
  <c r="EE143" i="83"/>
  <c r="ED143" i="83"/>
  <c r="EC143" i="83"/>
  <c r="EG143" i="83"/>
  <c r="OR142" i="83"/>
  <c r="OQ142" i="83"/>
  <c r="OP142" i="83"/>
  <c r="OO142" i="83"/>
  <c r="OS142" i="83"/>
  <c r="SP111" i="83"/>
  <c r="SO111" i="83"/>
  <c r="SN111" i="83"/>
  <c r="SQ111" i="83"/>
  <c r="SM111" i="83"/>
  <c r="CF101" i="83"/>
  <c r="CE101" i="83"/>
  <c r="CD101" i="83"/>
  <c r="CG101" i="83"/>
  <c r="CH101" i="83"/>
  <c r="SJ123" i="83"/>
  <c r="SJ122" i="83"/>
  <c r="SK117" i="83"/>
  <c r="SL117" i="83"/>
  <c r="PC146" i="83"/>
  <c r="PC145" i="83"/>
  <c r="PE140" i="83"/>
  <c r="PD140" i="83"/>
  <c r="MT135" i="83"/>
  <c r="MP135" i="83"/>
  <c r="MS135" i="83"/>
  <c r="MQ135" i="83"/>
  <c r="MR135" i="83"/>
  <c r="OB161" i="83"/>
  <c r="NX161" i="83"/>
  <c r="OA161" i="83"/>
  <c r="NZ161" i="83"/>
  <c r="NY161" i="83"/>
  <c r="IV100" i="83"/>
  <c r="IR100" i="83"/>
  <c r="IU100" i="83"/>
  <c r="IS100" i="83"/>
  <c r="IT100" i="83"/>
  <c r="AY121" i="83"/>
  <c r="AW121" i="83"/>
  <c r="AV121" i="83"/>
  <c r="AZ121" i="83"/>
  <c r="AX121" i="83"/>
  <c r="IV128" i="83"/>
  <c r="IR128" i="83"/>
  <c r="IU128" i="83"/>
  <c r="IT128" i="83"/>
  <c r="IS128" i="83"/>
  <c r="IB141" i="83"/>
  <c r="IE141" i="83"/>
  <c r="IA141" i="83"/>
  <c r="ID141" i="83"/>
  <c r="IC141" i="83"/>
  <c r="KA159" i="83"/>
  <c r="KD159" i="83"/>
  <c r="JZ159" i="83"/>
  <c r="KB159" i="83"/>
  <c r="KC159" i="83"/>
  <c r="PJ152" i="83"/>
  <c r="PF152" i="83"/>
  <c r="PI152" i="83"/>
  <c r="PH152" i="83"/>
  <c r="PG152" i="83"/>
  <c r="QR111" i="83"/>
  <c r="QN111" i="83"/>
  <c r="QQ111" i="83"/>
  <c r="QO111" i="83"/>
  <c r="QP111" i="83"/>
  <c r="KD141" i="83"/>
  <c r="JZ141" i="83"/>
  <c r="KC141" i="83"/>
  <c r="KB141" i="83"/>
  <c r="KA141" i="83"/>
  <c r="AZ131" i="83"/>
  <c r="AV131" i="83"/>
  <c r="AY131" i="83"/>
  <c r="AX131" i="83"/>
  <c r="AW131" i="83"/>
  <c r="FL141" i="83"/>
  <c r="FO141" i="83"/>
  <c r="FK141" i="83"/>
  <c r="FM141" i="83"/>
  <c r="FN141" i="83"/>
  <c r="TH161" i="83"/>
  <c r="TD161" i="83"/>
  <c r="TG161" i="83"/>
  <c r="TF161" i="83"/>
  <c r="TE161" i="83"/>
  <c r="ND155" i="83"/>
  <c r="ND154" i="83"/>
  <c r="NF149" i="83"/>
  <c r="NE149" i="83"/>
  <c r="GT111" i="83"/>
  <c r="GW111" i="83"/>
  <c r="GS111" i="83"/>
  <c r="GU111" i="83"/>
  <c r="GV111" i="83"/>
  <c r="IE150" i="83"/>
  <c r="IA150" i="83"/>
  <c r="ID150" i="83"/>
  <c r="IC150" i="83"/>
  <c r="IB150" i="83"/>
  <c r="SO159" i="83"/>
  <c r="SN159" i="83"/>
  <c r="SM159" i="83"/>
  <c r="SQ159" i="83"/>
  <c r="SP159" i="83"/>
  <c r="CE160" i="83"/>
  <c r="CD160" i="83"/>
  <c r="CH160" i="83"/>
  <c r="CG160" i="83"/>
  <c r="CF160" i="83"/>
  <c r="OR151" i="83"/>
  <c r="OQ151" i="83"/>
  <c r="OO151" i="83"/>
  <c r="OS151" i="83"/>
  <c r="OP151" i="83"/>
  <c r="BP134" i="83"/>
  <c r="BO134" i="83"/>
  <c r="BQ134" i="83"/>
  <c r="BM134" i="83"/>
  <c r="BN134" i="83"/>
  <c r="JL143" i="83"/>
  <c r="JK143" i="83"/>
  <c r="JJ143" i="83"/>
  <c r="JI143" i="83"/>
  <c r="JM143" i="83"/>
  <c r="HL130" i="83"/>
  <c r="HK130" i="83"/>
  <c r="HM130" i="83"/>
  <c r="HJ130" i="83"/>
  <c r="HN130" i="83"/>
  <c r="LZ102" i="83"/>
  <c r="MC102" i="83"/>
  <c r="LY102" i="83"/>
  <c r="MA102" i="83"/>
  <c r="MB102" i="83"/>
  <c r="AZ109" i="83"/>
  <c r="AV109" i="83"/>
  <c r="AY109" i="83"/>
  <c r="AW109" i="83"/>
  <c r="AX109" i="83"/>
  <c r="GF129" i="83"/>
  <c r="GB129" i="83"/>
  <c r="GE129" i="83"/>
  <c r="GD129" i="83"/>
  <c r="GC129" i="83"/>
  <c r="EX141" i="83"/>
  <c r="ET141" i="83"/>
  <c r="EW141" i="83"/>
  <c r="EV141" i="83"/>
  <c r="EU141" i="83"/>
  <c r="IV101" i="83"/>
  <c r="IR101" i="83"/>
  <c r="IU101" i="83"/>
  <c r="IS101" i="83"/>
  <c r="IT101" i="83"/>
  <c r="JJ130" i="83"/>
  <c r="JM130" i="83"/>
  <c r="JI130" i="83"/>
  <c r="JL130" i="83"/>
  <c r="JK130" i="83"/>
  <c r="MT142" i="83"/>
  <c r="MP142" i="83"/>
  <c r="MS142" i="83"/>
  <c r="MQ142" i="83"/>
  <c r="MR142" i="83"/>
  <c r="TA137" i="83"/>
  <c r="TA136" i="83"/>
  <c r="TC126" i="83"/>
  <c r="TB126" i="83"/>
  <c r="LL131" i="83"/>
  <c r="LH131" i="83"/>
  <c r="LK131" i="83"/>
  <c r="LJ131" i="83"/>
  <c r="LI131" i="83"/>
  <c r="RZ143" i="83"/>
  <c r="RV143" i="83"/>
  <c r="RY143" i="83"/>
  <c r="RW143" i="83"/>
  <c r="RX143" i="83"/>
  <c r="PH161" i="83"/>
  <c r="PG161" i="83"/>
  <c r="PI161" i="83"/>
  <c r="PF161" i="83"/>
  <c r="PJ161" i="83"/>
  <c r="OR152" i="83"/>
  <c r="OQ152" i="83"/>
  <c r="OO152" i="83"/>
  <c r="OS152" i="83"/>
  <c r="OP152" i="83"/>
  <c r="MB135" i="83"/>
  <c r="MA135" i="83"/>
  <c r="MC135" i="83"/>
  <c r="LY135" i="83"/>
  <c r="LZ135" i="83"/>
  <c r="DN133" i="83"/>
  <c r="DM133" i="83"/>
  <c r="DL133" i="83"/>
  <c r="DP133" i="83"/>
  <c r="DO133" i="83"/>
  <c r="FJ126" i="83"/>
  <c r="FI126" i="83"/>
  <c r="FH137" i="83"/>
  <c r="FH136" i="83"/>
  <c r="KB110" i="83"/>
  <c r="KA110" i="83"/>
  <c r="KD110" i="83"/>
  <c r="KC110" i="83"/>
  <c r="JZ110" i="83"/>
  <c r="OL146" i="83"/>
  <c r="OL145" i="83"/>
  <c r="ON140" i="83"/>
  <c r="OM140" i="83"/>
  <c r="CX110" i="83"/>
  <c r="CW110" i="83"/>
  <c r="CV110" i="83"/>
  <c r="CY110" i="83"/>
  <c r="CU110" i="83"/>
  <c r="CA137" i="83"/>
  <c r="CA136" i="83"/>
  <c r="CB126" i="83"/>
  <c r="CC126" i="83"/>
  <c r="PV108" i="83"/>
  <c r="PT114" i="83"/>
  <c r="PT113" i="83"/>
  <c r="PU108" i="83"/>
  <c r="PZ101" i="83"/>
  <c r="PY101" i="83"/>
  <c r="PX101" i="83"/>
  <c r="QA101" i="83"/>
  <c r="PW101" i="83"/>
  <c r="LZ110" i="83"/>
  <c r="MC110" i="83"/>
  <c r="LY110" i="83"/>
  <c r="MA110" i="83"/>
  <c r="MB110" i="83"/>
  <c r="LE114" i="83"/>
  <c r="LE113" i="83"/>
  <c r="LG108" i="83"/>
  <c r="LF108" i="83"/>
  <c r="AS137" i="83"/>
  <c r="AS136" i="83"/>
  <c r="AU126" i="83"/>
  <c r="AT126" i="83"/>
  <c r="GF132" i="83"/>
  <c r="GB132" i="83"/>
  <c r="GE132" i="83"/>
  <c r="GD132" i="83"/>
  <c r="GC132" i="83"/>
  <c r="AF141" i="83"/>
  <c r="AI141" i="83"/>
  <c r="AE141" i="83"/>
  <c r="AG141" i="83"/>
  <c r="AH141" i="83"/>
  <c r="KR153" i="83"/>
  <c r="KU153" i="83"/>
  <c r="KQ153" i="83"/>
  <c r="KS153" i="83"/>
  <c r="KT153" i="83"/>
  <c r="NZ153" i="83"/>
  <c r="NY153" i="83"/>
  <c r="OB153" i="83"/>
  <c r="OA153" i="83"/>
  <c r="NX153" i="83"/>
  <c r="KB127" i="83"/>
  <c r="KA127" i="83"/>
  <c r="KD127" i="83"/>
  <c r="KC127" i="83"/>
  <c r="JZ127" i="83"/>
  <c r="NH135" i="83"/>
  <c r="NK135" i="83"/>
  <c r="NG135" i="83"/>
  <c r="NJ135" i="83"/>
  <c r="NI135" i="83"/>
  <c r="PG120" i="83"/>
  <c r="PH120" i="83"/>
  <c r="PF120" i="83"/>
  <c r="PJ120" i="83"/>
  <c r="PI120" i="83"/>
  <c r="GF101" i="83"/>
  <c r="GB101" i="83"/>
  <c r="GE101" i="83"/>
  <c r="GC101" i="83"/>
  <c r="GD101" i="83"/>
  <c r="IB134" i="83"/>
  <c r="IE134" i="83"/>
  <c r="IA134" i="83"/>
  <c r="ID134" i="83"/>
  <c r="IC134" i="83"/>
  <c r="PX144" i="83"/>
  <c r="QA144" i="83"/>
  <c r="PW144" i="83"/>
  <c r="PY144" i="83"/>
  <c r="PZ144" i="83"/>
  <c r="IV161" i="83"/>
  <c r="IR161" i="83"/>
  <c r="IU161" i="83"/>
  <c r="IT161" i="83"/>
  <c r="IS161" i="83"/>
  <c r="QA112" i="83"/>
  <c r="PW112" i="83"/>
  <c r="PZ112" i="83"/>
  <c r="PY112" i="83"/>
  <c r="PX112" i="83"/>
  <c r="PC137" i="83"/>
  <c r="PC136" i="83"/>
  <c r="PD126" i="83"/>
  <c r="PE126" i="83"/>
  <c r="GT101" i="83"/>
  <c r="GW101" i="83"/>
  <c r="GS101" i="83"/>
  <c r="GU101" i="83"/>
  <c r="GV101" i="83"/>
  <c r="OP128" i="83"/>
  <c r="OS128" i="83"/>
  <c r="OO128" i="83"/>
  <c r="OR128" i="83"/>
  <c r="OQ128" i="83"/>
  <c r="CH153" i="83"/>
  <c r="CD153" i="83"/>
  <c r="CG153" i="83"/>
  <c r="CF153" i="83"/>
  <c r="CE153" i="83"/>
  <c r="ED127" i="83"/>
  <c r="EG127" i="83"/>
  <c r="EC127" i="83"/>
  <c r="EF127" i="83"/>
  <c r="EE127" i="83"/>
  <c r="OR153" i="83"/>
  <c r="OQ153" i="83"/>
  <c r="OO153" i="83"/>
  <c r="OS153" i="83"/>
  <c r="OP153" i="83"/>
  <c r="GD135" i="83"/>
  <c r="GC135" i="83"/>
  <c r="GF135" i="83"/>
  <c r="GE135" i="83"/>
  <c r="GB135" i="83"/>
  <c r="BP142" i="83"/>
  <c r="BO142" i="83"/>
  <c r="BQ142" i="83"/>
  <c r="BM142" i="83"/>
  <c r="BN142" i="83"/>
  <c r="DN144" i="83"/>
  <c r="DM144" i="83"/>
  <c r="DL144" i="83"/>
  <c r="DP144" i="83"/>
  <c r="DO144" i="83"/>
  <c r="JY149" i="83"/>
  <c r="JX149" i="83"/>
  <c r="JW155" i="83"/>
  <c r="JW154" i="83"/>
  <c r="ID100" i="83"/>
  <c r="IC100" i="83"/>
  <c r="IB100" i="83"/>
  <c r="IE100" i="83"/>
  <c r="IA100" i="83"/>
  <c r="FN103" i="83"/>
  <c r="FM103" i="83"/>
  <c r="FO103" i="83"/>
  <c r="FL103" i="83"/>
  <c r="FK103" i="83"/>
  <c r="LV123" i="83"/>
  <c r="LX117" i="83"/>
  <c r="LW117" i="83"/>
  <c r="LV122" i="83"/>
  <c r="TH109" i="83"/>
  <c r="TD109" i="83"/>
  <c r="TG109" i="83"/>
  <c r="TF109" i="83"/>
  <c r="TE109" i="83"/>
  <c r="JJ128" i="83"/>
  <c r="JM128" i="83"/>
  <c r="JI128" i="83"/>
  <c r="JL128" i="83"/>
  <c r="JK128" i="83"/>
  <c r="GT162" i="83"/>
  <c r="GW162" i="83"/>
  <c r="GS162" i="83"/>
  <c r="GV162" i="83"/>
  <c r="GU162" i="83"/>
  <c r="CR123" i="83"/>
  <c r="CR122" i="83"/>
  <c r="CS117" i="83"/>
  <c r="CT117" i="83"/>
  <c r="BQ121" i="83"/>
  <c r="BM121" i="83"/>
  <c r="BN121" i="83"/>
  <c r="BP121" i="83"/>
  <c r="BO121" i="83"/>
  <c r="RZ133" i="83"/>
  <c r="RV133" i="83"/>
  <c r="RY133" i="83"/>
  <c r="RW133" i="83"/>
  <c r="RX133" i="83"/>
  <c r="EV132" i="83"/>
  <c r="EU132" i="83"/>
  <c r="EX132" i="83"/>
  <c r="ET132" i="83"/>
  <c r="EW132" i="83"/>
  <c r="JF105" i="83"/>
  <c r="JF104" i="83"/>
  <c r="JH99" i="83"/>
  <c r="JG99" i="83"/>
  <c r="AS164" i="83"/>
  <c r="AU158" i="83"/>
  <c r="AT158" i="83"/>
  <c r="AS163" i="83"/>
  <c r="MB151" i="83"/>
  <c r="MA151" i="83"/>
  <c r="MC151" i="83"/>
  <c r="LZ151" i="83"/>
  <c r="LY151" i="83"/>
  <c r="AX141" i="83"/>
  <c r="AW141" i="83"/>
  <c r="AZ141" i="83"/>
  <c r="AY141" i="83"/>
  <c r="AV141" i="83"/>
  <c r="ID132" i="83"/>
  <c r="IC132" i="83"/>
  <c r="IE132" i="83"/>
  <c r="IB132" i="83"/>
  <c r="IA132" i="83"/>
  <c r="TX142" i="83"/>
  <c r="TW142" i="83"/>
  <c r="TV142" i="83"/>
  <c r="TU142" i="83"/>
  <c r="TY142" i="83"/>
  <c r="HL132" i="83"/>
  <c r="HK132" i="83"/>
  <c r="HM132" i="83"/>
  <c r="HJ132" i="83"/>
  <c r="HN132" i="83"/>
  <c r="NJ110" i="83"/>
  <c r="NI110" i="83"/>
  <c r="NH110" i="83"/>
  <c r="NK110" i="83"/>
  <c r="NG110" i="83"/>
  <c r="RX130" i="83"/>
  <c r="RW130" i="83"/>
  <c r="RY130" i="83"/>
  <c r="RV130" i="83"/>
  <c r="RZ130" i="83"/>
  <c r="MR101" i="83"/>
  <c r="MQ101" i="83"/>
  <c r="MP101" i="83"/>
  <c r="MT101" i="83"/>
  <c r="MS101" i="83"/>
  <c r="IT144" i="83"/>
  <c r="IS144" i="83"/>
  <c r="IR144" i="83"/>
  <c r="IV144" i="83"/>
  <c r="IU144" i="83"/>
  <c r="RB105" i="83"/>
  <c r="RB104" i="83"/>
  <c r="RC99" i="83"/>
  <c r="RD99" i="83"/>
  <c r="PT146" i="83"/>
  <c r="PT145" i="83"/>
  <c r="PV140" i="83"/>
  <c r="PU140" i="83"/>
  <c r="IT153" i="83"/>
  <c r="IS153" i="83"/>
  <c r="IV153" i="83"/>
  <c r="IR153" i="83"/>
  <c r="IU153" i="83"/>
  <c r="ED111" i="83"/>
  <c r="EG111" i="83"/>
  <c r="EC111" i="83"/>
  <c r="EE111" i="83"/>
  <c r="EF111" i="83"/>
  <c r="TV130" i="83"/>
  <c r="TY130" i="83"/>
  <c r="TU130" i="83"/>
  <c r="TX130" i="83"/>
  <c r="TW130" i="83"/>
  <c r="DZ114" i="83"/>
  <c r="DZ113" i="83"/>
  <c r="EB108" i="83"/>
  <c r="EA108" i="83"/>
  <c r="RF109" i="83"/>
  <c r="RI109" i="83"/>
  <c r="RE109" i="83"/>
  <c r="RH109" i="83"/>
  <c r="RG109" i="83"/>
  <c r="KB132" i="83"/>
  <c r="KA132" i="83"/>
  <c r="KD132" i="83"/>
  <c r="KC132" i="83"/>
  <c r="JZ132" i="83"/>
  <c r="CA146" i="83"/>
  <c r="CC140" i="83"/>
  <c r="CA145" i="83"/>
  <c r="CB140" i="83"/>
  <c r="NZ141" i="83"/>
  <c r="NY141" i="83"/>
  <c r="NX141" i="83"/>
  <c r="OB141" i="83"/>
  <c r="OA141" i="83"/>
  <c r="PI112" i="83"/>
  <c r="PH112" i="83"/>
  <c r="PJ112" i="83"/>
  <c r="PF112" i="83"/>
  <c r="PG112" i="83"/>
  <c r="PH100" i="83"/>
  <c r="PG100" i="83"/>
  <c r="PJ100" i="83"/>
  <c r="PF100" i="83"/>
  <c r="PI100" i="83"/>
  <c r="OR144" i="83"/>
  <c r="OQ144" i="83"/>
  <c r="OP144" i="83"/>
  <c r="OO144" i="83"/>
  <c r="OS144" i="83"/>
  <c r="MR132" i="83"/>
  <c r="MQ132" i="83"/>
  <c r="MS132" i="83"/>
  <c r="MP132" i="83"/>
  <c r="MT132" i="83"/>
  <c r="AH110" i="83"/>
  <c r="AG110" i="83"/>
  <c r="AF110" i="83"/>
  <c r="AE110" i="83"/>
  <c r="AI110" i="83"/>
  <c r="AB105" i="83"/>
  <c r="AB104" i="83"/>
  <c r="AD99" i="83"/>
  <c r="AC99" i="83"/>
  <c r="GD118" i="83"/>
  <c r="GC118" i="83"/>
  <c r="GB118" i="83"/>
  <c r="GF118" i="83"/>
  <c r="GE118" i="83"/>
  <c r="DP111" i="83"/>
  <c r="DL111" i="83"/>
  <c r="DO111" i="83"/>
  <c r="DN111" i="83"/>
  <c r="DM111" i="83"/>
  <c r="BN131" i="83"/>
  <c r="BQ131" i="83"/>
  <c r="BM131" i="83"/>
  <c r="BP131" i="83"/>
  <c r="BO131" i="83"/>
  <c r="SN135" i="83"/>
  <c r="SQ135" i="83"/>
  <c r="SM135" i="83"/>
  <c r="SP135" i="83"/>
  <c r="SO135" i="83"/>
  <c r="NV149" i="83"/>
  <c r="NU155" i="83"/>
  <c r="NU154" i="83"/>
  <c r="NW149" i="83"/>
  <c r="FL119" i="83"/>
  <c r="FO119" i="83"/>
  <c r="FK119" i="83"/>
  <c r="FN119" i="83"/>
  <c r="FM119" i="83"/>
  <c r="TV128" i="83"/>
  <c r="TY128" i="83"/>
  <c r="TU128" i="83"/>
  <c r="TX128" i="83"/>
  <c r="TW128" i="83"/>
  <c r="FL133" i="83"/>
  <c r="FO133" i="83"/>
  <c r="FK133" i="83"/>
  <c r="FM133" i="83"/>
  <c r="FN133" i="83"/>
  <c r="CH152" i="83"/>
  <c r="CD152" i="83"/>
  <c r="CG152" i="83"/>
  <c r="CF152" i="83"/>
  <c r="CE152" i="83"/>
  <c r="RG112" i="83"/>
  <c r="RF112" i="83"/>
  <c r="RI112" i="83"/>
  <c r="RH112" i="83"/>
  <c r="RE112" i="83"/>
  <c r="KR119" i="83"/>
  <c r="KU119" i="83"/>
  <c r="KQ119" i="83"/>
  <c r="KT119" i="83"/>
  <c r="KS119" i="83"/>
  <c r="IS112" i="83"/>
  <c r="IV112" i="83"/>
  <c r="IR112" i="83"/>
  <c r="IU112" i="83"/>
  <c r="IT112" i="83"/>
  <c r="QR110" i="83"/>
  <c r="QN110" i="83"/>
  <c r="QQ110" i="83"/>
  <c r="QO110" i="83"/>
  <c r="QP110" i="83"/>
  <c r="TE150" i="83"/>
  <c r="TH150" i="83"/>
  <c r="TD150" i="83"/>
  <c r="TG150" i="83"/>
  <c r="TF150" i="83"/>
  <c r="EX118" i="83"/>
  <c r="ET118" i="83"/>
  <c r="EW118" i="83"/>
  <c r="EU118" i="83"/>
  <c r="EV118" i="83"/>
  <c r="JW146" i="83"/>
  <c r="JW145" i="83"/>
  <c r="JY140" i="83"/>
  <c r="JX140" i="83"/>
  <c r="DZ137" i="83"/>
  <c r="DZ136" i="83"/>
  <c r="EA126" i="83"/>
  <c r="EB126" i="83"/>
  <c r="KD134" i="83"/>
  <c r="JZ134" i="83"/>
  <c r="KC134" i="83"/>
  <c r="KB134" i="83"/>
  <c r="KA134" i="83"/>
  <c r="AF134" i="83"/>
  <c r="AI134" i="83"/>
  <c r="AE134" i="83"/>
  <c r="AG134" i="83"/>
  <c r="AH134" i="83"/>
  <c r="KB161" i="83"/>
  <c r="KA161" i="83"/>
  <c r="KC161" i="83"/>
  <c r="JZ161" i="83"/>
  <c r="KD161" i="83"/>
  <c r="ID162" i="83"/>
  <c r="IC162" i="83"/>
  <c r="IA162" i="83"/>
  <c r="IB162" i="83"/>
  <c r="IE162" i="83"/>
  <c r="TA163" i="83"/>
  <c r="TC158" i="83"/>
  <c r="TB158" i="83"/>
  <c r="TA164" i="83"/>
  <c r="NU163" i="83"/>
  <c r="NU164" i="83"/>
  <c r="NW158" i="83"/>
  <c r="NV158" i="83"/>
  <c r="PT164" i="83"/>
  <c r="PU158" i="83"/>
  <c r="PV158" i="83"/>
  <c r="PT163" i="83"/>
  <c r="GV134" i="83"/>
  <c r="GU134" i="83"/>
  <c r="GW134" i="83"/>
  <c r="GT134" i="83"/>
  <c r="GS134" i="83"/>
  <c r="SI138" i="83"/>
  <c r="TX141" i="83"/>
  <c r="TW141" i="83"/>
  <c r="TV141" i="83"/>
  <c r="TU141" i="83"/>
  <c r="TY141" i="83"/>
  <c r="PZ127" i="83"/>
  <c r="PY127" i="83"/>
  <c r="PW127" i="83"/>
  <c r="QA127" i="83"/>
  <c r="PX127" i="83"/>
  <c r="EV110" i="83"/>
  <c r="EU110" i="83"/>
  <c r="EX110" i="83"/>
  <c r="EW110" i="83"/>
  <c r="ET110" i="83"/>
  <c r="CE120" i="83"/>
  <c r="CD120" i="83"/>
  <c r="CH120" i="83"/>
  <c r="CG120" i="83"/>
  <c r="CF120" i="83"/>
  <c r="JL119" i="83"/>
  <c r="JK119" i="83"/>
  <c r="JJ119" i="83"/>
  <c r="JI119" i="83"/>
  <c r="JM119" i="83"/>
  <c r="KT103" i="83"/>
  <c r="KS103" i="83"/>
  <c r="KR103" i="83"/>
  <c r="KQ103" i="83"/>
  <c r="KU103" i="83"/>
  <c r="SI106" i="83"/>
  <c r="BN129" i="83"/>
  <c r="BQ129" i="83"/>
  <c r="BM129" i="83"/>
  <c r="BP129" i="83"/>
  <c r="BO129" i="83"/>
  <c r="PG121" i="83"/>
  <c r="PH121" i="83"/>
  <c r="PF121" i="83"/>
  <c r="PJ121" i="83"/>
  <c r="PI121" i="83"/>
  <c r="GR126" i="83"/>
  <c r="GP137" i="83"/>
  <c r="GP136" i="83"/>
  <c r="GQ126" i="83"/>
  <c r="LI150" i="83"/>
  <c r="LL150" i="83"/>
  <c r="LH150" i="83"/>
  <c r="LK150" i="83"/>
  <c r="LJ150" i="83"/>
  <c r="QR130" i="83"/>
  <c r="QN130" i="83"/>
  <c r="QQ130" i="83"/>
  <c r="QP130" i="83"/>
  <c r="QO130" i="83"/>
  <c r="NI159" i="83"/>
  <c r="NK159" i="83"/>
  <c r="NJ159" i="83"/>
  <c r="NG159" i="83"/>
  <c r="NH159" i="83"/>
  <c r="RX103" i="83"/>
  <c r="RW103" i="83"/>
  <c r="RV103" i="83"/>
  <c r="RZ103" i="83"/>
  <c r="RY103" i="83"/>
  <c r="GT109" i="83"/>
  <c r="GW109" i="83"/>
  <c r="GS109" i="83"/>
  <c r="GV109" i="83"/>
  <c r="GU109" i="83"/>
  <c r="RR115" i="83"/>
  <c r="ED110" i="83"/>
  <c r="EG110" i="83"/>
  <c r="EC110" i="83"/>
  <c r="EE110" i="83"/>
  <c r="EF110" i="83"/>
  <c r="TV131" i="83"/>
  <c r="TY131" i="83"/>
  <c r="TU131" i="83"/>
  <c r="TX131" i="83"/>
  <c r="TW131" i="83"/>
  <c r="RZ153" i="83"/>
  <c r="RV153" i="83"/>
  <c r="RY153" i="83"/>
  <c r="RW153" i="83"/>
  <c r="RX153" i="83"/>
  <c r="OS159" i="83"/>
  <c r="OO159" i="83"/>
  <c r="OQ159" i="83"/>
  <c r="OP159" i="83"/>
  <c r="OR159" i="83"/>
  <c r="QP119" i="83"/>
  <c r="QO119" i="83"/>
  <c r="QN119" i="83"/>
  <c r="QR119" i="83"/>
  <c r="QQ119" i="83"/>
  <c r="OB111" i="83"/>
  <c r="NX111" i="83"/>
  <c r="OA111" i="83"/>
  <c r="NZ111" i="83"/>
  <c r="NY111" i="83"/>
  <c r="ML124" i="83"/>
  <c r="SQ132" i="83"/>
  <c r="SM132" i="83"/>
  <c r="SO132" i="83"/>
  <c r="SN132" i="83"/>
  <c r="SP132" i="83"/>
  <c r="DY156" i="83"/>
  <c r="RX100" i="83"/>
  <c r="RW100" i="83"/>
  <c r="RV100" i="83"/>
  <c r="RY100" i="83"/>
  <c r="RZ100" i="83"/>
  <c r="MR111" i="83"/>
  <c r="MQ111" i="83"/>
  <c r="MP111" i="83"/>
  <c r="MT111" i="83"/>
  <c r="MS111" i="83"/>
  <c r="BZ106" i="83"/>
  <c r="TQ115" i="83"/>
  <c r="NK150" i="83"/>
  <c r="NG150" i="83"/>
  <c r="NJ150" i="83"/>
  <c r="NH150" i="83"/>
  <c r="NI150" i="83"/>
  <c r="SN141" i="83"/>
  <c r="SQ141" i="83"/>
  <c r="SM141" i="83"/>
  <c r="SP141" i="83"/>
  <c r="SO141" i="83"/>
  <c r="F272" i="83"/>
  <c r="GE159" i="83"/>
  <c r="GD159" i="83"/>
  <c r="GF159" i="83"/>
  <c r="GC159" i="83"/>
  <c r="GB159" i="83"/>
  <c r="KS159" i="83"/>
  <c r="KR159" i="83"/>
  <c r="KT159" i="83"/>
  <c r="KQ159" i="83"/>
  <c r="KU159" i="83"/>
  <c r="IO163" i="83"/>
  <c r="IQ158" i="83"/>
  <c r="IP158" i="83"/>
  <c r="IO164" i="83"/>
  <c r="GD152" i="83"/>
  <c r="GC152" i="83"/>
  <c r="GE152" i="83"/>
  <c r="GB152" i="83"/>
  <c r="GF152" i="83"/>
  <c r="FY146" i="83"/>
  <c r="FZ140" i="83"/>
  <c r="FY145" i="83"/>
  <c r="GA140" i="83"/>
  <c r="NJ128" i="83"/>
  <c r="NI128" i="83"/>
  <c r="NK128" i="83"/>
  <c r="NH128" i="83"/>
  <c r="NG128" i="83"/>
  <c r="GE121" i="83"/>
  <c r="GF121" i="83"/>
  <c r="GD121" i="83"/>
  <c r="GC121" i="83"/>
  <c r="GB121" i="83"/>
  <c r="SP110" i="83"/>
  <c r="SO110" i="83"/>
  <c r="SN110" i="83"/>
  <c r="SQ110" i="83"/>
  <c r="SM110" i="83"/>
  <c r="EF118" i="83"/>
  <c r="EE118" i="83"/>
  <c r="EC118" i="83"/>
  <c r="EG118" i="83"/>
  <c r="ED118" i="83"/>
  <c r="FN100" i="83"/>
  <c r="FM100" i="83"/>
  <c r="FK100" i="83"/>
  <c r="FO100" i="83"/>
  <c r="FL100" i="83"/>
  <c r="KA120" i="83"/>
  <c r="KD120" i="83"/>
  <c r="KC120" i="83"/>
  <c r="JZ120" i="83"/>
  <c r="KB120" i="83"/>
  <c r="CF103" i="83"/>
  <c r="CE103" i="83"/>
  <c r="CD103" i="83"/>
  <c r="CH103" i="83"/>
  <c r="CG103" i="83"/>
  <c r="DH138" i="83"/>
  <c r="AF151" i="83"/>
  <c r="AI151" i="83"/>
  <c r="AE151" i="83"/>
  <c r="AH151" i="83"/>
  <c r="AG151" i="83"/>
  <c r="MR162" i="83"/>
  <c r="MQ162" i="83"/>
  <c r="MT162" i="83"/>
  <c r="MS162" i="83"/>
  <c r="MP162" i="83"/>
  <c r="JE138" i="83"/>
  <c r="DP101" i="83"/>
  <c r="DL101" i="83"/>
  <c r="DO101" i="83"/>
  <c r="DN101" i="83"/>
  <c r="DM101" i="83"/>
  <c r="PX143" i="83"/>
  <c r="QA143" i="83"/>
  <c r="PW143" i="83"/>
  <c r="PY143" i="83"/>
  <c r="PZ143" i="83"/>
  <c r="LL162" i="83"/>
  <c r="LH162" i="83"/>
  <c r="LK162" i="83"/>
  <c r="LJ162" i="83"/>
  <c r="LI162" i="83"/>
  <c r="ML106" i="83"/>
  <c r="JW123" i="83"/>
  <c r="JW122" i="83"/>
  <c r="JY117" i="83"/>
  <c r="JX117" i="83"/>
  <c r="MC121" i="83"/>
  <c r="LY121" i="83"/>
  <c r="LZ121" i="83"/>
  <c r="MB121" i="83"/>
  <c r="MA121" i="83"/>
  <c r="AY159" i="83"/>
  <c r="AX159" i="83"/>
  <c r="AZ159" i="83"/>
  <c r="AW159" i="83"/>
  <c r="AV159" i="83"/>
  <c r="CX162" i="83"/>
  <c r="CW162" i="83"/>
  <c r="CU162" i="83"/>
  <c r="CY162" i="83"/>
  <c r="CV162" i="83"/>
  <c r="QP151" i="83"/>
  <c r="QO151" i="83"/>
  <c r="QQ151" i="83"/>
  <c r="QN151" i="83"/>
  <c r="QR151" i="83"/>
  <c r="RH143" i="83"/>
  <c r="RG143" i="83"/>
  <c r="RI143" i="83"/>
  <c r="RF143" i="83"/>
  <c r="RE143" i="83"/>
  <c r="KT162" i="83"/>
  <c r="KS162" i="83"/>
  <c r="KU162" i="83"/>
  <c r="KR162" i="83"/>
  <c r="KQ162" i="83"/>
  <c r="KM165" i="83"/>
  <c r="RY150" i="83"/>
  <c r="RX150" i="83"/>
  <c r="RZ150" i="83"/>
  <c r="RW150" i="83"/>
  <c r="RV150" i="83"/>
  <c r="GD151" i="83"/>
  <c r="GC151" i="83"/>
  <c r="GE151" i="83"/>
  <c r="GB151" i="83"/>
  <c r="GF151" i="83"/>
  <c r="QP143" i="83"/>
  <c r="QO143" i="83"/>
  <c r="QR143" i="83"/>
  <c r="QQ143" i="83"/>
  <c r="QN143" i="83"/>
  <c r="QJ147" i="83"/>
  <c r="NJ160" i="83"/>
  <c r="NI160" i="83"/>
  <c r="NG160" i="83"/>
  <c r="NK160" i="83"/>
  <c r="NH160" i="83"/>
  <c r="MB142" i="83"/>
  <c r="MA142" i="83"/>
  <c r="MC142" i="83"/>
  <c r="LY142" i="83"/>
  <c r="LZ142" i="83"/>
  <c r="CX129" i="83"/>
  <c r="CW129" i="83"/>
  <c r="CY129" i="83"/>
  <c r="CV129" i="83"/>
  <c r="CU129" i="83"/>
  <c r="IC120" i="83"/>
  <c r="IB120" i="83"/>
  <c r="IA120" i="83"/>
  <c r="IE120" i="83"/>
  <c r="ID120" i="83"/>
  <c r="EF144" i="83"/>
  <c r="EE144" i="83"/>
  <c r="ED144" i="83"/>
  <c r="EC144" i="83"/>
  <c r="EG144" i="83"/>
  <c r="NZ119" i="83"/>
  <c r="NY119" i="83"/>
  <c r="OB119" i="83"/>
  <c r="NX119" i="83"/>
  <c r="OA119" i="83"/>
  <c r="KC112" i="83"/>
  <c r="KB112" i="83"/>
  <c r="KD112" i="83"/>
  <c r="JZ112" i="83"/>
  <c r="KA112" i="83"/>
  <c r="JV115" i="83"/>
  <c r="JV106" i="83"/>
  <c r="HX105" i="83"/>
  <c r="HX104" i="83"/>
  <c r="HZ99" i="83"/>
  <c r="HY99" i="83"/>
  <c r="OK124" i="83"/>
  <c r="KT130" i="83"/>
  <c r="KS130" i="83"/>
  <c r="KQ130" i="83"/>
  <c r="KU130" i="83"/>
  <c r="KR130" i="83"/>
  <c r="HG137" i="83"/>
  <c r="HG136" i="83"/>
  <c r="HH126" i="83"/>
  <c r="HI126" i="83"/>
  <c r="SP100" i="83"/>
  <c r="SO100" i="83"/>
  <c r="SN100" i="83"/>
  <c r="SM100" i="83"/>
  <c r="SQ100" i="83"/>
  <c r="BN127" i="83"/>
  <c r="BQ127" i="83"/>
  <c r="BM127" i="83"/>
  <c r="BP127" i="83"/>
  <c r="BO127" i="83"/>
  <c r="AA124" i="83"/>
  <c r="AZ100" i="83"/>
  <c r="AV100" i="83"/>
  <c r="AY100" i="83"/>
  <c r="AW100" i="83"/>
  <c r="AX100" i="83"/>
  <c r="OK156" i="83"/>
  <c r="CV152" i="83"/>
  <c r="CY152" i="83"/>
  <c r="CU152" i="83"/>
  <c r="CX152" i="83"/>
  <c r="CW152" i="83"/>
  <c r="GF160" i="83"/>
  <c r="GB160" i="83"/>
  <c r="GE160" i="83"/>
  <c r="GD160" i="83"/>
  <c r="GC160" i="83"/>
  <c r="OP161" i="83"/>
  <c r="OS161" i="83"/>
  <c r="OO161" i="83"/>
  <c r="OR161" i="83"/>
  <c r="OQ161" i="83"/>
  <c r="KD153" i="83"/>
  <c r="JZ153" i="83"/>
  <c r="KC153" i="83"/>
  <c r="KB153" i="83"/>
  <c r="KA153" i="83"/>
  <c r="BN161" i="83"/>
  <c r="BQ161" i="83"/>
  <c r="BM161" i="83"/>
  <c r="BP161" i="83"/>
  <c r="BO161" i="83"/>
  <c r="LZ127" i="83"/>
  <c r="MC127" i="83"/>
  <c r="LY127" i="83"/>
  <c r="MB127" i="83"/>
  <c r="MA127" i="83"/>
  <c r="AR124" i="83"/>
  <c r="OB132" i="83"/>
  <c r="NX132" i="83"/>
  <c r="OA132" i="83"/>
  <c r="NY132" i="83"/>
  <c r="NZ132" i="83"/>
  <c r="RF102" i="83"/>
  <c r="RI102" i="83"/>
  <c r="RE102" i="83"/>
  <c r="RG102" i="83"/>
  <c r="RH102" i="83"/>
  <c r="MN108" i="83"/>
  <c r="MM114" i="83"/>
  <c r="MM113" i="83"/>
  <c r="MO108" i="83"/>
  <c r="OK106" i="83"/>
  <c r="OP103" i="83"/>
  <c r="OS103" i="83"/>
  <c r="OO103" i="83"/>
  <c r="OQ103" i="83"/>
  <c r="OR103" i="83"/>
  <c r="IO137" i="83"/>
  <c r="IO136" i="83"/>
  <c r="IQ126" i="83"/>
  <c r="IP126" i="83"/>
  <c r="KD135" i="83"/>
  <c r="JZ135" i="83"/>
  <c r="KC135" i="83"/>
  <c r="KB135" i="83"/>
  <c r="KA135" i="83"/>
  <c r="QR160" i="83"/>
  <c r="QN160" i="83"/>
  <c r="QQ160" i="83"/>
  <c r="QP160" i="83"/>
  <c r="QO160" i="83"/>
  <c r="JJ129" i="83"/>
  <c r="JM129" i="83"/>
  <c r="JI129" i="83"/>
  <c r="JL129" i="83"/>
  <c r="JK129" i="83"/>
  <c r="PX133" i="83"/>
  <c r="QA133" i="83"/>
  <c r="PW133" i="83"/>
  <c r="PY133" i="83"/>
  <c r="PZ133" i="83"/>
  <c r="MT141" i="83"/>
  <c r="MP141" i="83"/>
  <c r="MS141" i="83"/>
  <c r="MQ141" i="83"/>
  <c r="MR141" i="83"/>
  <c r="TF152" i="83"/>
  <c r="TE152" i="83"/>
  <c r="TH152" i="83"/>
  <c r="TD152" i="83"/>
  <c r="TG152" i="83"/>
  <c r="RA165" i="83"/>
  <c r="MC159" i="83"/>
  <c r="LY159" i="83"/>
  <c r="MB159" i="83"/>
  <c r="MA159" i="83"/>
  <c r="LZ159" i="83"/>
  <c r="EG159" i="83"/>
  <c r="EC159" i="83"/>
  <c r="EF159" i="83"/>
  <c r="EE159" i="83"/>
  <c r="ED159" i="83"/>
  <c r="GT161" i="83"/>
  <c r="GW161" i="83"/>
  <c r="GS161" i="83"/>
  <c r="GV161" i="83"/>
  <c r="GU161" i="83"/>
  <c r="OS121" i="83"/>
  <c r="OO121" i="83"/>
  <c r="OQ121" i="83"/>
  <c r="OP121" i="83"/>
  <c r="OR121" i="83"/>
  <c r="OB102" i="83"/>
  <c r="NX102" i="83"/>
  <c r="OA102" i="83"/>
  <c r="NZ102" i="83"/>
  <c r="NY102" i="83"/>
  <c r="EG120" i="83"/>
  <c r="EC120" i="83"/>
  <c r="EE120" i="83"/>
  <c r="ED120" i="83"/>
  <c r="EF120" i="83"/>
  <c r="RF131" i="83"/>
  <c r="RI131" i="83"/>
  <c r="RE131" i="83"/>
  <c r="RH131" i="83"/>
  <c r="RG131" i="83"/>
  <c r="LU106" i="83"/>
  <c r="CA123" i="83"/>
  <c r="CA122" i="83"/>
  <c r="CC117" i="83"/>
  <c r="CB117" i="83"/>
  <c r="PB124" i="83"/>
  <c r="TH130" i="83"/>
  <c r="TD130" i="83"/>
  <c r="TG130" i="83"/>
  <c r="TF130" i="83"/>
  <c r="TE130" i="83"/>
  <c r="QJ138" i="83"/>
  <c r="LL130" i="83"/>
  <c r="LH130" i="83"/>
  <c r="LK130" i="83"/>
  <c r="LJ130" i="83"/>
  <c r="LI130" i="83"/>
  <c r="RZ134" i="83"/>
  <c r="RV134" i="83"/>
  <c r="RY134" i="83"/>
  <c r="RW134" i="83"/>
  <c r="RX134" i="83"/>
  <c r="IO155" i="83"/>
  <c r="IO154" i="83"/>
  <c r="IQ149" i="83"/>
  <c r="IP149" i="83"/>
  <c r="AF152" i="83"/>
  <c r="AI152" i="83"/>
  <c r="AE152" i="83"/>
  <c r="AH152" i="83"/>
  <c r="AG152" i="83"/>
  <c r="CF110" i="83"/>
  <c r="CE110" i="83"/>
  <c r="CD110" i="83"/>
  <c r="CH110" i="83"/>
  <c r="CG110" i="83"/>
  <c r="TH110" i="83"/>
  <c r="TD110" i="83"/>
  <c r="TG110" i="83"/>
  <c r="TF110" i="83"/>
  <c r="TE110" i="83"/>
  <c r="OB129" i="83"/>
  <c r="NX129" i="83"/>
  <c r="OA129" i="83"/>
  <c r="NY129" i="83"/>
  <c r="NZ129" i="83"/>
  <c r="TF142" i="83"/>
  <c r="TE142" i="83"/>
  <c r="TD142" i="83"/>
  <c r="TH142" i="83"/>
  <c r="TG142" i="83"/>
  <c r="LX126" i="83"/>
  <c r="LV137" i="83"/>
  <c r="LV136" i="83"/>
  <c r="LW126" i="83"/>
  <c r="JJ102" i="83"/>
  <c r="JM102" i="83"/>
  <c r="JI102" i="83"/>
  <c r="JK102" i="83"/>
  <c r="JL102" i="83"/>
  <c r="IV127" i="83"/>
  <c r="IR127" i="83"/>
  <c r="IU127" i="83"/>
  <c r="IT127" i="83"/>
  <c r="IS127" i="83"/>
  <c r="NC147" i="83"/>
  <c r="SI147" i="83"/>
  <c r="RS146" i="83"/>
  <c r="RS145" i="83"/>
  <c r="RU140" i="83"/>
  <c r="RT140" i="83"/>
  <c r="RZ142" i="83"/>
  <c r="RV142" i="83"/>
  <c r="RY142" i="83"/>
  <c r="RW142" i="83"/>
  <c r="RX142" i="83"/>
  <c r="CR164" i="83"/>
  <c r="CR163" i="83"/>
  <c r="CS158" i="83"/>
  <c r="CT158" i="83"/>
  <c r="LZ160" i="83"/>
  <c r="MC160" i="83"/>
  <c r="LY160" i="83"/>
  <c r="MB160" i="83"/>
  <c r="MA160" i="83"/>
  <c r="IV129" i="83"/>
  <c r="IR129" i="83"/>
  <c r="IU129" i="83"/>
  <c r="IT129" i="83"/>
  <c r="IS129" i="83"/>
  <c r="PJ133" i="83"/>
  <c r="PF133" i="83"/>
  <c r="PI133" i="83"/>
  <c r="PH133" i="83"/>
  <c r="PG133" i="83"/>
  <c r="AF135" i="83"/>
  <c r="AI135" i="83"/>
  <c r="AE135" i="83"/>
  <c r="AG135" i="83"/>
  <c r="AH135" i="83"/>
  <c r="KU150" i="83"/>
  <c r="KQ150" i="83"/>
  <c r="KT150" i="83"/>
  <c r="KS150" i="83"/>
  <c r="KR150" i="83"/>
  <c r="G264" i="83"/>
  <c r="RH153" i="83"/>
  <c r="RG153" i="83"/>
  <c r="RI153" i="83"/>
  <c r="RF153" i="83"/>
  <c r="RE153" i="83"/>
  <c r="TX153" i="83"/>
  <c r="TW153" i="83"/>
  <c r="TU153" i="83"/>
  <c r="TY153" i="83"/>
  <c r="TV153" i="83"/>
  <c r="PE149" i="83"/>
  <c r="PD149" i="83"/>
  <c r="PC155" i="83"/>
  <c r="PC154" i="83"/>
  <c r="BI156" i="83"/>
  <c r="BP135" i="83"/>
  <c r="BO135" i="83"/>
  <c r="BQ135" i="83"/>
  <c r="BM135" i="83"/>
  <c r="BN135" i="83"/>
  <c r="NJ131" i="83"/>
  <c r="NI131" i="83"/>
  <c r="NK131" i="83"/>
  <c r="NH131" i="83"/>
  <c r="NG131" i="83"/>
  <c r="NJ127" i="83"/>
  <c r="NI127" i="83"/>
  <c r="NK127" i="83"/>
  <c r="NH127" i="83"/>
  <c r="NG127" i="83"/>
  <c r="JL141" i="83"/>
  <c r="JK141" i="83"/>
  <c r="JJ141" i="83"/>
  <c r="JI141" i="83"/>
  <c r="JM141" i="83"/>
  <c r="DY147" i="83"/>
  <c r="QQ121" i="83"/>
  <c r="QR121" i="83"/>
  <c r="QP121" i="83"/>
  <c r="QO121" i="83"/>
  <c r="QN121" i="83"/>
  <c r="BP118" i="83"/>
  <c r="BO118" i="83"/>
  <c r="BN118" i="83"/>
  <c r="BM118" i="83"/>
  <c r="BQ118" i="83"/>
  <c r="DY124" i="83"/>
  <c r="FG106" i="83"/>
  <c r="KT127" i="83"/>
  <c r="KS127" i="83"/>
  <c r="KQ127" i="83"/>
  <c r="KU127" i="83"/>
  <c r="KR127" i="83"/>
  <c r="GW121" i="83"/>
  <c r="GS121" i="83"/>
  <c r="GV121" i="83"/>
  <c r="GU121" i="83"/>
  <c r="GT121" i="83"/>
  <c r="AF118" i="83"/>
  <c r="AI118" i="83"/>
  <c r="AE118" i="83"/>
  <c r="AH118" i="83"/>
  <c r="AG118" i="83"/>
  <c r="RA115" i="83"/>
  <c r="AR106" i="83"/>
  <c r="AZ111" i="83"/>
  <c r="AV111" i="83"/>
  <c r="AY111" i="83"/>
  <c r="AW111" i="83"/>
  <c r="AX111" i="83"/>
  <c r="GF131" i="83"/>
  <c r="GB131" i="83"/>
  <c r="GE131" i="83"/>
  <c r="GD131" i="83"/>
  <c r="GC131" i="83"/>
  <c r="AF142" i="83"/>
  <c r="AI142" i="83"/>
  <c r="AE142" i="83"/>
  <c r="AG142" i="83"/>
  <c r="AH142" i="83"/>
  <c r="DZ164" i="83"/>
  <c r="EB158" i="83"/>
  <c r="DZ163" i="83"/>
  <c r="EA158" i="83"/>
  <c r="LL161" i="83"/>
  <c r="LH161" i="83"/>
  <c r="LK161" i="83"/>
  <c r="LI161" i="83"/>
  <c r="LJ161" i="83"/>
  <c r="KD151" i="83"/>
  <c r="JZ151" i="83"/>
  <c r="KC151" i="83"/>
  <c r="KB151" i="83"/>
  <c r="KA151" i="83"/>
  <c r="IV110" i="83"/>
  <c r="IR110" i="83"/>
  <c r="IU110" i="83"/>
  <c r="IS110" i="83"/>
  <c r="IT110" i="83"/>
  <c r="OP100" i="83"/>
  <c r="OS100" i="83"/>
  <c r="OO100" i="83"/>
  <c r="OQ100" i="83"/>
  <c r="OR100" i="83"/>
  <c r="JF114" i="83"/>
  <c r="JF113" i="83"/>
  <c r="JG108" i="83"/>
  <c r="JH108" i="83"/>
  <c r="CV144" i="83"/>
  <c r="CY144" i="83"/>
  <c r="CU144" i="83"/>
  <c r="CX144" i="83"/>
  <c r="CW144" i="83"/>
  <c r="FX156" i="83"/>
  <c r="MT144" i="83"/>
  <c r="MP144" i="83"/>
  <c r="MS144" i="83"/>
  <c r="MQ144" i="83"/>
  <c r="MR144" i="83"/>
  <c r="EX151" i="83"/>
  <c r="ET151" i="83"/>
  <c r="EW151" i="83"/>
  <c r="EV151" i="83"/>
  <c r="EU151" i="83"/>
  <c r="CF100" i="83"/>
  <c r="CE100" i="83"/>
  <c r="CD100" i="83"/>
  <c r="CH100" i="83"/>
  <c r="CG100" i="83"/>
  <c r="DP129" i="83"/>
  <c r="DL129" i="83"/>
  <c r="DO129" i="83"/>
  <c r="DM129" i="83"/>
  <c r="DN129" i="83"/>
  <c r="AS114" i="83"/>
  <c r="AS113" i="83"/>
  <c r="AU108" i="83"/>
  <c r="AT108" i="83"/>
  <c r="IT141" i="83"/>
  <c r="IS141" i="83"/>
  <c r="IR141" i="83"/>
  <c r="IV141" i="83"/>
  <c r="IU141" i="83"/>
  <c r="IV160" i="83"/>
  <c r="IR160" i="83"/>
  <c r="IU160" i="83"/>
  <c r="IT160" i="83"/>
  <c r="IS160" i="83"/>
  <c r="DO121" i="83"/>
  <c r="DN121" i="83"/>
  <c r="DM121" i="83"/>
  <c r="DP121" i="83"/>
  <c r="DL121" i="83"/>
  <c r="JJ103" i="83"/>
  <c r="JM103" i="83"/>
  <c r="JI103" i="83"/>
  <c r="JK103" i="83"/>
  <c r="JL103" i="83"/>
  <c r="OP127" i="83"/>
  <c r="OS127" i="83"/>
  <c r="OO127" i="83"/>
  <c r="OR127" i="83"/>
  <c r="OQ127" i="83"/>
  <c r="PZ160" i="83"/>
  <c r="PY160" i="83"/>
  <c r="QA160" i="83"/>
  <c r="PX160" i="83"/>
  <c r="PW160" i="83"/>
  <c r="LJ153" i="83"/>
  <c r="LI153" i="83"/>
  <c r="LK153" i="83"/>
  <c r="LH153" i="83"/>
  <c r="LL153" i="83"/>
  <c r="EP156" i="83"/>
  <c r="RH141" i="83"/>
  <c r="RG141" i="83"/>
  <c r="RI141" i="83"/>
  <c r="RF141" i="83"/>
  <c r="RE141" i="83"/>
  <c r="NZ135" i="83"/>
  <c r="NY135" i="83"/>
  <c r="NX135" i="83"/>
  <c r="OB135" i="83"/>
  <c r="OA135" i="83"/>
  <c r="SO120" i="83"/>
  <c r="SN120" i="83"/>
  <c r="SM120" i="83"/>
  <c r="SP120" i="83"/>
  <c r="SQ120" i="83"/>
  <c r="PV126" i="83"/>
  <c r="PU126" i="83"/>
  <c r="PT137" i="83"/>
  <c r="PT136" i="83"/>
  <c r="PH109" i="83"/>
  <c r="PG109" i="83"/>
  <c r="PJ109" i="83"/>
  <c r="PF109" i="83"/>
  <c r="PI109" i="83"/>
  <c r="PH101" i="83"/>
  <c r="PG101" i="83"/>
  <c r="PJ101" i="83"/>
  <c r="PF101" i="83"/>
  <c r="PI101" i="83"/>
  <c r="PB106" i="83"/>
  <c r="MR130" i="83"/>
  <c r="MQ130" i="83"/>
  <c r="MS130" i="83"/>
  <c r="MP130" i="83"/>
  <c r="MT130" i="83"/>
  <c r="ML138" i="83"/>
  <c r="AH111" i="83"/>
  <c r="AG111" i="83"/>
  <c r="AI111" i="83"/>
  <c r="AF111" i="83"/>
  <c r="AE111" i="83"/>
  <c r="AH103" i="83"/>
  <c r="AG103" i="83"/>
  <c r="AI103" i="83"/>
  <c r="AF103" i="83"/>
  <c r="AE103" i="83"/>
  <c r="EF135" i="83"/>
  <c r="EE135" i="83"/>
  <c r="ED135" i="83"/>
  <c r="EC135" i="83"/>
  <c r="EG135" i="83"/>
  <c r="ID110" i="83"/>
  <c r="IC110" i="83"/>
  <c r="IB110" i="83"/>
  <c r="IA110" i="83"/>
  <c r="IE110" i="83"/>
  <c r="LD106" i="83"/>
  <c r="LL111" i="83"/>
  <c r="LH111" i="83"/>
  <c r="LK111" i="83"/>
  <c r="LI111" i="83"/>
  <c r="LJ111" i="83"/>
  <c r="QR131" i="83"/>
  <c r="QN131" i="83"/>
  <c r="QQ131" i="83"/>
  <c r="QP131" i="83"/>
  <c r="QO131" i="83"/>
  <c r="PX153" i="83"/>
  <c r="QA153" i="83"/>
  <c r="PW153" i="83"/>
  <c r="PZ153" i="83"/>
  <c r="PY153" i="83"/>
  <c r="ML165" i="83"/>
  <c r="MR103" i="83"/>
  <c r="MQ103" i="83"/>
  <c r="MP103" i="83"/>
  <c r="MS103" i="83"/>
  <c r="MT103" i="83"/>
  <c r="TF143" i="83"/>
  <c r="TE143" i="83"/>
  <c r="TD143" i="83"/>
  <c r="TH143" i="83"/>
  <c r="TG143" i="83"/>
  <c r="TF135" i="83"/>
  <c r="TE135" i="83"/>
  <c r="TD135" i="83"/>
  <c r="TH135" i="83"/>
  <c r="TG135" i="83"/>
  <c r="IO114" i="83"/>
  <c r="IO113" i="83"/>
  <c r="IQ108" i="83"/>
  <c r="IP108" i="83"/>
  <c r="DN152" i="83"/>
  <c r="DM152" i="83"/>
  <c r="DP152" i="83"/>
  <c r="DO152" i="83"/>
  <c r="DL152" i="83"/>
  <c r="BJ105" i="83"/>
  <c r="BJ104" i="83"/>
  <c r="BK99" i="83"/>
  <c r="BL99" i="83"/>
  <c r="QR100" i="83"/>
  <c r="QN100" i="83"/>
  <c r="QQ100" i="83"/>
  <c r="QO100" i="83"/>
  <c r="QP100" i="83"/>
  <c r="HX123" i="83"/>
  <c r="HX122" i="83"/>
  <c r="HZ117" i="83"/>
  <c r="HY117" i="83"/>
  <c r="TH128" i="83"/>
  <c r="TD128" i="83"/>
  <c r="TG128" i="83"/>
  <c r="TF128" i="83"/>
  <c r="TE128" i="83"/>
  <c r="AZ128" i="83"/>
  <c r="AV128" i="83"/>
  <c r="AY128" i="83"/>
  <c r="AX128" i="83"/>
  <c r="AW128" i="83"/>
  <c r="PJ141" i="83"/>
  <c r="PF141" i="83"/>
  <c r="PI141" i="83"/>
  <c r="PH141" i="83"/>
  <c r="PG141" i="83"/>
  <c r="FL142" i="83"/>
  <c r="FO142" i="83"/>
  <c r="FK142" i="83"/>
  <c r="FM142" i="83"/>
  <c r="FN142" i="83"/>
  <c r="MT152" i="83"/>
  <c r="MP152" i="83"/>
  <c r="MS152" i="83"/>
  <c r="MR152" i="83"/>
  <c r="MQ152" i="83"/>
  <c r="OL164" i="83"/>
  <c r="ON158" i="83"/>
  <c r="OL163" i="83"/>
  <c r="OM158" i="83"/>
  <c r="TH160" i="83"/>
  <c r="TD160" i="83"/>
  <c r="TG160" i="83"/>
  <c r="TF160" i="83"/>
  <c r="TE160" i="83"/>
  <c r="FO112" i="83"/>
  <c r="FK112" i="83"/>
  <c r="FN112" i="83"/>
  <c r="FM112" i="83"/>
  <c r="FL112" i="83"/>
  <c r="TQ106" i="83"/>
  <c r="NH143" i="83"/>
  <c r="NK143" i="83"/>
  <c r="NG143" i="83"/>
  <c r="NJ143" i="83"/>
  <c r="NI143" i="83"/>
  <c r="ED132" i="83"/>
  <c r="EG132" i="83"/>
  <c r="EC132" i="83"/>
  <c r="EF132" i="83"/>
  <c r="EE132" i="83"/>
  <c r="RB146" i="83"/>
  <c r="RB145" i="83"/>
  <c r="RD140" i="83"/>
  <c r="RC140" i="83"/>
  <c r="RH135" i="83"/>
  <c r="RG135" i="83"/>
  <c r="RI135" i="83"/>
  <c r="RE135" i="83"/>
  <c r="RF135" i="83"/>
  <c r="RH134" i="83"/>
  <c r="RG134" i="83"/>
  <c r="RI134" i="83"/>
  <c r="RF134" i="83"/>
  <c r="RE134" i="83"/>
  <c r="ID131" i="83"/>
  <c r="IC131" i="83"/>
  <c r="IE131" i="83"/>
  <c r="IB131" i="83"/>
  <c r="IA131" i="83"/>
  <c r="ID127" i="83"/>
  <c r="IC127" i="83"/>
  <c r="IE127" i="83"/>
  <c r="IB127" i="83"/>
  <c r="IA127" i="83"/>
  <c r="TQ147" i="83"/>
  <c r="GO156" i="83"/>
  <c r="TF118" i="83"/>
  <c r="TE118" i="83"/>
  <c r="TH118" i="83"/>
  <c r="TG118" i="83"/>
  <c r="TD118" i="83"/>
  <c r="PH110" i="83"/>
  <c r="PG110" i="83"/>
  <c r="PJ110" i="83"/>
  <c r="PI110" i="83"/>
  <c r="PF110" i="83"/>
  <c r="PD108" i="83"/>
  <c r="PC114" i="83"/>
  <c r="PC113" i="83"/>
  <c r="PE108" i="83"/>
  <c r="HL128" i="83"/>
  <c r="HK128" i="83"/>
  <c r="HM128" i="83"/>
  <c r="HJ128" i="83"/>
  <c r="HN128" i="83"/>
  <c r="EE112" i="83"/>
  <c r="ED112" i="83"/>
  <c r="EF112" i="83"/>
  <c r="EG112" i="83"/>
  <c r="EC112" i="83"/>
  <c r="CQ115" i="83"/>
  <c r="TX119" i="83"/>
  <c r="TW119" i="83"/>
  <c r="TU119" i="83"/>
  <c r="TY119" i="83"/>
  <c r="TV119" i="83"/>
  <c r="AD108" i="83"/>
  <c r="AB114" i="83"/>
  <c r="AB113" i="83"/>
  <c r="AC108" i="83"/>
  <c r="AH102" i="83"/>
  <c r="AG102" i="83"/>
  <c r="AF102" i="83"/>
  <c r="AI102" i="83"/>
  <c r="AE102" i="83"/>
  <c r="GP123" i="83"/>
  <c r="GR117" i="83"/>
  <c r="GQ117" i="83"/>
  <c r="GP122" i="83"/>
  <c r="CX109" i="83"/>
  <c r="CW109" i="83"/>
  <c r="CV109" i="83"/>
  <c r="CU109" i="83"/>
  <c r="CY109" i="83"/>
  <c r="QJ124" i="83"/>
  <c r="LL109" i="83"/>
  <c r="LH109" i="83"/>
  <c r="LK109" i="83"/>
  <c r="LI109" i="83"/>
  <c r="LJ109" i="83"/>
  <c r="TH127" i="83"/>
  <c r="TD127" i="83"/>
  <c r="TG127" i="83"/>
  <c r="TF127" i="83"/>
  <c r="TE127" i="83"/>
  <c r="QR129" i="83"/>
  <c r="QN129" i="83"/>
  <c r="QQ129" i="83"/>
  <c r="QP129" i="83"/>
  <c r="QO129" i="83"/>
  <c r="MT134" i="83"/>
  <c r="MP134" i="83"/>
  <c r="MS134" i="83"/>
  <c r="MQ134" i="83"/>
  <c r="MR134" i="83"/>
  <c r="PB165" i="83"/>
  <c r="OB162" i="83"/>
  <c r="NX162" i="83"/>
  <c r="OA162" i="83"/>
  <c r="NZ162" i="83"/>
  <c r="NY162" i="83"/>
  <c r="BQ160" i="83"/>
  <c r="BM160" i="83"/>
  <c r="BN160" i="83"/>
  <c r="BP160" i="83"/>
  <c r="BO160" i="83"/>
  <c r="TH101" i="83"/>
  <c r="TD101" i="83"/>
  <c r="TG101" i="83"/>
  <c r="TF101" i="83"/>
  <c r="TE101" i="83"/>
  <c r="ED101" i="83"/>
  <c r="EG101" i="83"/>
  <c r="EC101" i="83"/>
  <c r="EE101" i="83"/>
  <c r="EF101" i="83"/>
  <c r="OA121" i="83"/>
  <c r="NZ121" i="83"/>
  <c r="NY121" i="83"/>
  <c r="OB121" i="83"/>
  <c r="NX121" i="83"/>
  <c r="TQ138" i="83"/>
  <c r="HX155" i="83"/>
  <c r="HX154" i="83"/>
  <c r="HZ149" i="83"/>
  <c r="HY149" i="83"/>
  <c r="TF151" i="83"/>
  <c r="TE151" i="83"/>
  <c r="TH151" i="83"/>
  <c r="TD151" i="83"/>
  <c r="TG151" i="83"/>
  <c r="CW159" i="83"/>
  <c r="CV159" i="83"/>
  <c r="CY159" i="83"/>
  <c r="CX159" i="83"/>
  <c r="CU159" i="83"/>
  <c r="RR165" i="83"/>
  <c r="RF160" i="83"/>
  <c r="RI160" i="83"/>
  <c r="RE160" i="83"/>
  <c r="RH160" i="83"/>
  <c r="RG160" i="83"/>
  <c r="BN132" i="83"/>
  <c r="BQ132" i="83"/>
  <c r="BM132" i="83"/>
  <c r="BP132" i="83"/>
  <c r="BO132" i="83"/>
  <c r="RA138" i="83"/>
  <c r="CV119" i="83"/>
  <c r="CY119" i="83"/>
  <c r="CU119" i="83"/>
  <c r="CW119" i="83"/>
  <c r="CX119" i="83"/>
  <c r="LD156" i="83"/>
  <c r="PX152" i="83"/>
  <c r="QA152" i="83"/>
  <c r="PW152" i="83"/>
  <c r="PZ152" i="83"/>
  <c r="PY152" i="83"/>
  <c r="IB152" i="83"/>
  <c r="IE152" i="83"/>
  <c r="IA152" i="83"/>
  <c r="ID152" i="83"/>
  <c r="IC152" i="83"/>
  <c r="EP165" i="83"/>
  <c r="TH162" i="83"/>
  <c r="TD162" i="83"/>
  <c r="TG162" i="83"/>
  <c r="TF162" i="83"/>
  <c r="TE162" i="83"/>
  <c r="LZ130" i="83"/>
  <c r="MC130" i="83"/>
  <c r="LY130" i="83"/>
  <c r="MB130" i="83"/>
  <c r="MA130" i="83"/>
  <c r="RS123" i="83"/>
  <c r="RS122" i="83"/>
  <c r="RU117" i="83"/>
  <c r="RT117" i="83"/>
  <c r="OB127" i="83"/>
  <c r="NX127" i="83"/>
  <c r="OA127" i="83"/>
  <c r="NY127" i="83"/>
  <c r="NZ127" i="83"/>
  <c r="LK120" i="83"/>
  <c r="LI120" i="83"/>
  <c r="LH120" i="83"/>
  <c r="LL120" i="83"/>
  <c r="LJ120" i="83"/>
  <c r="TV109" i="83"/>
  <c r="TY109" i="83"/>
  <c r="TU109" i="83"/>
  <c r="TW109" i="83"/>
  <c r="TX109" i="83"/>
  <c r="NH133" i="83"/>
  <c r="NK133" i="83"/>
  <c r="NG133" i="83"/>
  <c r="NJ133" i="83"/>
  <c r="NI133" i="83"/>
  <c r="ED130" i="83"/>
  <c r="EG130" i="83"/>
  <c r="EC130" i="83"/>
  <c r="EF130" i="83"/>
  <c r="EE130" i="83"/>
  <c r="SN143" i="83"/>
  <c r="SQ143" i="83"/>
  <c r="SM143" i="83"/>
  <c r="SP143" i="83"/>
  <c r="SO143" i="83"/>
  <c r="FG156" i="83"/>
  <c r="F266" i="83"/>
  <c r="FN161" i="83"/>
  <c r="FM161" i="83"/>
  <c r="FO161" i="83"/>
  <c r="FL161" i="83"/>
  <c r="FK161" i="83"/>
  <c r="AB163" i="83"/>
  <c r="AC158" i="83"/>
  <c r="AB164" i="83"/>
  <c r="AD158" i="83"/>
  <c r="BP153" i="83"/>
  <c r="BO153" i="83"/>
  <c r="BQ153" i="83"/>
  <c r="BN153" i="83"/>
  <c r="BM153" i="83"/>
  <c r="BP151" i="83"/>
  <c r="BO151" i="83"/>
  <c r="BQ151" i="83"/>
  <c r="BN151" i="83"/>
  <c r="BM151" i="83"/>
  <c r="MO149" i="83"/>
  <c r="MN149" i="83"/>
  <c r="MM155" i="83"/>
  <c r="MM154" i="83"/>
  <c r="EV161" i="83"/>
  <c r="EU161" i="83"/>
  <c r="EW161" i="83"/>
  <c r="ET161" i="83"/>
  <c r="EX161" i="83"/>
  <c r="LJ143" i="83"/>
  <c r="LI143" i="83"/>
  <c r="LL143" i="83"/>
  <c r="LK143" i="83"/>
  <c r="LH143" i="83"/>
  <c r="LJ141" i="83"/>
  <c r="LI141" i="83"/>
  <c r="LL141" i="83"/>
  <c r="LK141" i="83"/>
  <c r="LH141" i="83"/>
  <c r="LW149" i="83"/>
  <c r="LV155" i="83"/>
  <c r="LV154" i="83"/>
  <c r="LX149" i="83"/>
  <c r="GV143" i="83"/>
  <c r="GU143" i="83"/>
  <c r="GW143" i="83"/>
  <c r="GT143" i="83"/>
  <c r="GS143" i="83"/>
  <c r="GV141" i="83"/>
  <c r="GU141" i="83"/>
  <c r="GW141" i="83"/>
  <c r="GT141" i="83"/>
  <c r="GS141" i="83"/>
  <c r="NZ144" i="83"/>
  <c r="NY144" i="83"/>
  <c r="NX144" i="83"/>
  <c r="OB144" i="83"/>
  <c r="OA144" i="83"/>
  <c r="NU146" i="83"/>
  <c r="NU145" i="83"/>
  <c r="NV140" i="83"/>
  <c r="NW140" i="83"/>
  <c r="SP131" i="83"/>
  <c r="SO131" i="83"/>
  <c r="SQ131" i="83"/>
  <c r="SN131" i="83"/>
  <c r="SM131" i="83"/>
  <c r="SP129" i="83"/>
  <c r="SO129" i="83"/>
  <c r="SQ129" i="83"/>
  <c r="SN129" i="83"/>
  <c r="SM129" i="83"/>
  <c r="SP127" i="83"/>
  <c r="SO127" i="83"/>
  <c r="SQ127" i="83"/>
  <c r="SN127" i="83"/>
  <c r="SM127" i="83"/>
  <c r="SO121" i="83"/>
  <c r="SN121" i="83"/>
  <c r="SM121" i="83"/>
  <c r="SP121" i="83"/>
  <c r="SQ121" i="83"/>
  <c r="IT119" i="83"/>
  <c r="IS119" i="83"/>
  <c r="IV119" i="83"/>
  <c r="IR119" i="83"/>
  <c r="IU119" i="83"/>
  <c r="IO123" i="83"/>
  <c r="IP117" i="83"/>
  <c r="IO122" i="83"/>
  <c r="IQ117" i="83"/>
  <c r="EW112" i="83"/>
  <c r="EV112" i="83"/>
  <c r="EX112" i="83"/>
  <c r="ET112" i="83"/>
  <c r="EU112" i="83"/>
  <c r="EP115" i="83"/>
  <c r="EV102" i="83"/>
  <c r="EU102" i="83"/>
  <c r="EX102" i="83"/>
  <c r="ET102" i="83"/>
  <c r="EW102" i="83"/>
  <c r="EV100" i="83"/>
  <c r="EU100" i="83"/>
  <c r="EX100" i="83"/>
  <c r="EW100" i="83"/>
  <c r="ET100" i="83"/>
  <c r="EP106" i="83"/>
  <c r="GE120" i="83"/>
  <c r="GF120" i="83"/>
  <c r="GD120" i="83"/>
  <c r="GC120" i="83"/>
  <c r="GB120" i="83"/>
  <c r="OR133" i="83"/>
  <c r="OQ133" i="83"/>
  <c r="OP133" i="83"/>
  <c r="OO133" i="83"/>
  <c r="OS133" i="83"/>
  <c r="NC115" i="83"/>
  <c r="NJ100" i="83"/>
  <c r="NI100" i="83"/>
  <c r="NH100" i="83"/>
  <c r="NK100" i="83"/>
  <c r="NG100" i="83"/>
  <c r="MR129" i="83"/>
  <c r="MQ129" i="83"/>
  <c r="MS129" i="83"/>
  <c r="MP129" i="83"/>
  <c r="MT129" i="83"/>
  <c r="JE124" i="83"/>
  <c r="KT110" i="83"/>
  <c r="KS110" i="83"/>
  <c r="KQ110" i="83"/>
  <c r="KU110" i="83"/>
  <c r="KR110" i="83"/>
  <c r="KM106" i="83"/>
  <c r="AH132" i="83"/>
  <c r="AG132" i="83"/>
  <c r="AE132" i="83"/>
  <c r="AI132" i="83"/>
  <c r="AF132" i="83"/>
  <c r="AH128" i="83"/>
  <c r="AG128" i="83"/>
  <c r="AE128" i="83"/>
  <c r="AI128" i="83"/>
  <c r="AF128" i="83"/>
  <c r="GV118" i="83"/>
  <c r="GU118" i="83"/>
  <c r="GT118" i="83"/>
  <c r="GS118" i="83"/>
  <c r="GW118" i="83"/>
  <c r="NJ109" i="83"/>
  <c r="NI109" i="83"/>
  <c r="NH109" i="83"/>
  <c r="NG109" i="83"/>
  <c r="NK109" i="83"/>
  <c r="CX102" i="83"/>
  <c r="CW102" i="83"/>
  <c r="CV102" i="83"/>
  <c r="CU102" i="83"/>
  <c r="CY102" i="83"/>
  <c r="RX109" i="83"/>
  <c r="RW109" i="83"/>
  <c r="RV109" i="83"/>
  <c r="RY109" i="83"/>
  <c r="RZ109" i="83"/>
  <c r="HK120" i="83"/>
  <c r="HM120" i="83"/>
  <c r="HL120" i="83"/>
  <c r="HJ120" i="83"/>
  <c r="HN120" i="83"/>
  <c r="KN123" i="83"/>
  <c r="KN122" i="83"/>
  <c r="KO117" i="83"/>
  <c r="KP117" i="83"/>
  <c r="LI112" i="83"/>
  <c r="LL112" i="83"/>
  <c r="LH112" i="83"/>
  <c r="LK112" i="83"/>
  <c r="LJ112" i="83"/>
  <c r="LZ101" i="83"/>
  <c r="MC101" i="83"/>
  <c r="LY101" i="83"/>
  <c r="MA101" i="83"/>
  <c r="MB101" i="83"/>
  <c r="LV114" i="83"/>
  <c r="LV113" i="83"/>
  <c r="LW108" i="83"/>
  <c r="LX108" i="83"/>
  <c r="HN119" i="83"/>
  <c r="HJ119" i="83"/>
  <c r="HM119" i="83"/>
  <c r="HK119" i="83"/>
  <c r="HL119" i="83"/>
  <c r="LL102" i="83"/>
  <c r="LH102" i="83"/>
  <c r="LK102" i="83"/>
  <c r="LI102" i="83"/>
  <c r="LJ102" i="83"/>
  <c r="SI124" i="83"/>
  <c r="TH131" i="83"/>
  <c r="TD131" i="83"/>
  <c r="TG131" i="83"/>
  <c r="TF131" i="83"/>
  <c r="TE131" i="83"/>
  <c r="FL151" i="83"/>
  <c r="FO151" i="83"/>
  <c r="FK151" i="83"/>
  <c r="FN151" i="83"/>
  <c r="FM151" i="83"/>
  <c r="EX144" i="83"/>
  <c r="ET144" i="83"/>
  <c r="EW144" i="83"/>
  <c r="EV144" i="83"/>
  <c r="EU144" i="83"/>
  <c r="MT133" i="83"/>
  <c r="MP133" i="83"/>
  <c r="MS133" i="83"/>
  <c r="MQ133" i="83"/>
  <c r="MR133" i="83"/>
  <c r="KR141" i="83"/>
  <c r="KU141" i="83"/>
  <c r="KQ141" i="83"/>
  <c r="KS141" i="83"/>
  <c r="KT141" i="83"/>
  <c r="GW159" i="83"/>
  <c r="GS159" i="83"/>
  <c r="GV159" i="83"/>
  <c r="GU159" i="83"/>
  <c r="GT159" i="83"/>
  <c r="NH152" i="83"/>
  <c r="NK152" i="83"/>
  <c r="NG152" i="83"/>
  <c r="NJ152" i="83"/>
  <c r="NI152" i="83"/>
  <c r="GF162" i="83"/>
  <c r="GB162" i="83"/>
  <c r="GE162" i="83"/>
  <c r="GD162" i="83"/>
  <c r="GC162" i="83"/>
  <c r="OP162" i="83"/>
  <c r="OS162" i="83"/>
  <c r="OO162" i="83"/>
  <c r="OR162" i="83"/>
  <c r="OQ162" i="83"/>
  <c r="AI150" i="83"/>
  <c r="AE150" i="83"/>
  <c r="AH150" i="83"/>
  <c r="AG150" i="83"/>
  <c r="AF150" i="83"/>
  <c r="BN162" i="83"/>
  <c r="BQ162" i="83"/>
  <c r="BM162" i="83"/>
  <c r="BP162" i="83"/>
  <c r="BO162" i="83"/>
  <c r="NU137" i="83"/>
  <c r="NU136" i="83"/>
  <c r="NW126" i="83"/>
  <c r="NV126" i="83"/>
  <c r="HN153" i="83"/>
  <c r="HJ153" i="83"/>
  <c r="HM153" i="83"/>
  <c r="HK153" i="83"/>
  <c r="HL153" i="83"/>
  <c r="LZ129" i="83"/>
  <c r="MC129" i="83"/>
  <c r="LY129" i="83"/>
  <c r="MB129" i="83"/>
  <c r="MA129" i="83"/>
  <c r="RT108" i="83"/>
  <c r="RS114" i="83"/>
  <c r="RS113" i="83"/>
  <c r="RU108" i="83"/>
  <c r="ED100" i="83"/>
  <c r="EG100" i="83"/>
  <c r="EC100" i="83"/>
  <c r="EE100" i="83"/>
  <c r="EF100" i="83"/>
  <c r="FX115" i="83"/>
  <c r="ND123" i="83"/>
  <c r="ND122" i="83"/>
  <c r="NE117" i="83"/>
  <c r="NF117" i="83"/>
  <c r="KD119" i="83"/>
  <c r="JZ119" i="83"/>
  <c r="KC119" i="83"/>
  <c r="KA119" i="83"/>
  <c r="KB119" i="83"/>
  <c r="AB146" i="83"/>
  <c r="AD140" i="83"/>
  <c r="AC140" i="83"/>
  <c r="AB145" i="83"/>
  <c r="CH144" i="83"/>
  <c r="CD144" i="83"/>
  <c r="CG144" i="83"/>
  <c r="CE144" i="83"/>
  <c r="CF144" i="83"/>
  <c r="FO150" i="83"/>
  <c r="FK150" i="83"/>
  <c r="FN150" i="83"/>
  <c r="FM150" i="83"/>
  <c r="FL150" i="83"/>
  <c r="OA159" i="83"/>
  <c r="NZ159" i="83"/>
  <c r="NY159" i="83"/>
  <c r="NX159" i="83"/>
  <c r="OB159" i="83"/>
  <c r="RF161" i="83"/>
  <c r="RI161" i="83"/>
  <c r="RE161" i="83"/>
  <c r="RH161" i="83"/>
  <c r="RG161" i="83"/>
  <c r="BN128" i="83"/>
  <c r="BQ128" i="83"/>
  <c r="BM128" i="83"/>
  <c r="BP128" i="83"/>
  <c r="BO128" i="83"/>
  <c r="LZ103" i="83"/>
  <c r="MC103" i="83"/>
  <c r="LY103" i="83"/>
  <c r="MB103" i="83"/>
  <c r="MA103" i="83"/>
  <c r="RF128" i="83"/>
  <c r="RI128" i="83"/>
  <c r="RE128" i="83"/>
  <c r="RG128" i="83"/>
  <c r="RH128" i="83"/>
  <c r="BN130" i="83"/>
  <c r="BQ130" i="83"/>
  <c r="BM130" i="83"/>
  <c r="BP130" i="83"/>
  <c r="BO130" i="83"/>
  <c r="QK105" i="83"/>
  <c r="QK104" i="83"/>
  <c r="QM99" i="83"/>
  <c r="QL99" i="83"/>
  <c r="QR101" i="83"/>
  <c r="QN101" i="83"/>
  <c r="QQ101" i="83"/>
  <c r="QO101" i="83"/>
  <c r="QP101" i="83"/>
  <c r="QR109" i="83"/>
  <c r="QN109" i="83"/>
  <c r="QQ109" i="83"/>
  <c r="QO109" i="83"/>
  <c r="QP109" i="83"/>
  <c r="CV118" i="83"/>
  <c r="CY118" i="83"/>
  <c r="CU118" i="83"/>
  <c r="CW118" i="83"/>
  <c r="CX118" i="83"/>
  <c r="FL153" i="83"/>
  <c r="FO153" i="83"/>
  <c r="FK153" i="83"/>
  <c r="FN153" i="83"/>
  <c r="FM153" i="83"/>
  <c r="AZ129" i="83"/>
  <c r="AV129" i="83"/>
  <c r="AY129" i="83"/>
  <c r="AX129" i="83"/>
  <c r="AW129" i="83"/>
  <c r="CQ156" i="83"/>
  <c r="EA149" i="83"/>
  <c r="DZ155" i="83"/>
  <c r="DZ154" i="83"/>
  <c r="EB149" i="83"/>
  <c r="HN135" i="83"/>
  <c r="HJ135" i="83"/>
  <c r="HM135" i="83"/>
  <c r="HK135" i="83"/>
  <c r="HL135" i="83"/>
  <c r="FL143" i="83"/>
  <c r="FO143" i="83"/>
  <c r="FK143" i="83"/>
  <c r="FM143" i="83"/>
  <c r="FN143" i="83"/>
  <c r="TA155" i="83"/>
  <c r="TA154" i="83"/>
  <c r="TC149" i="83"/>
  <c r="TB149" i="83"/>
  <c r="AF153" i="83"/>
  <c r="AI153" i="83"/>
  <c r="AE153" i="83"/>
  <c r="AH153" i="83"/>
  <c r="AG153" i="83"/>
  <c r="GF161" i="83"/>
  <c r="GB161" i="83"/>
  <c r="GE161" i="83"/>
  <c r="GD161" i="83"/>
  <c r="GC161" i="83"/>
  <c r="ED162" i="83"/>
  <c r="EG162" i="83"/>
  <c r="EC162" i="83"/>
  <c r="EF162" i="83"/>
  <c r="EE162" i="83"/>
  <c r="GP164" i="83"/>
  <c r="GP163" i="83"/>
  <c r="GR158" i="83"/>
  <c r="GQ158" i="83"/>
  <c r="TH102" i="83"/>
  <c r="TD102" i="83"/>
  <c r="TG102" i="83"/>
  <c r="TF102" i="83"/>
  <c r="TE102" i="83"/>
  <c r="EV127" i="83"/>
  <c r="EU127" i="83"/>
  <c r="EX127" i="83"/>
  <c r="ET127" i="83"/>
  <c r="EW127" i="83"/>
  <c r="TR114" i="83"/>
  <c r="TR113" i="83"/>
  <c r="TT108" i="83"/>
  <c r="TS108" i="83"/>
  <c r="JK150" i="83"/>
  <c r="JJ150" i="83"/>
  <c r="JM150" i="83"/>
  <c r="JL150" i="83"/>
  <c r="JI150" i="83"/>
  <c r="AU149" i="83"/>
  <c r="AS155" i="83"/>
  <c r="AS154" i="83"/>
  <c r="AT149" i="83"/>
  <c r="HN141" i="83"/>
  <c r="HJ141" i="83"/>
  <c r="HM141" i="83"/>
  <c r="HK141" i="83"/>
  <c r="HL141" i="83"/>
  <c r="FY163" i="83"/>
  <c r="FY164" i="83"/>
  <c r="GA158" i="83"/>
  <c r="FZ158" i="83"/>
  <c r="SP161" i="83"/>
  <c r="SO161" i="83"/>
  <c r="SM161" i="83"/>
  <c r="SN161" i="83"/>
  <c r="SQ161" i="83"/>
  <c r="RH151" i="83"/>
  <c r="RG151" i="83"/>
  <c r="RI151" i="83"/>
  <c r="RF151" i="83"/>
  <c r="RE151" i="83"/>
  <c r="HI149" i="83"/>
  <c r="HH149" i="83"/>
  <c r="HG155" i="83"/>
  <c r="HG154" i="83"/>
  <c r="FX147" i="83"/>
  <c r="DI163" i="83"/>
  <c r="DI164" i="83"/>
  <c r="DK158" i="83"/>
  <c r="DJ158" i="83"/>
  <c r="BP144" i="83"/>
  <c r="BO144" i="83"/>
  <c r="BQ144" i="83"/>
  <c r="BM144" i="83"/>
  <c r="BN144" i="83"/>
  <c r="BP141" i="83"/>
  <c r="BO141" i="83"/>
  <c r="BQ141" i="83"/>
  <c r="BM141" i="83"/>
  <c r="BN141" i="83"/>
  <c r="DI146" i="83"/>
  <c r="DJ140" i="83"/>
  <c r="DI145" i="83"/>
  <c r="DK140" i="83"/>
  <c r="NF126" i="83"/>
  <c r="NE126" i="83"/>
  <c r="ND137" i="83"/>
  <c r="ND136" i="83"/>
  <c r="EF151" i="83"/>
  <c r="EE151" i="83"/>
  <c r="EC151" i="83"/>
  <c r="EG151" i="83"/>
  <c r="ED151" i="83"/>
  <c r="JL135" i="83"/>
  <c r="JK135" i="83"/>
  <c r="JJ135" i="83"/>
  <c r="JI135" i="83"/>
  <c r="JM135" i="83"/>
  <c r="FN131" i="83"/>
  <c r="FM131" i="83"/>
  <c r="FK131" i="83"/>
  <c r="FL131" i="83"/>
  <c r="FO131" i="83"/>
  <c r="CF131" i="83"/>
  <c r="CE131" i="83"/>
  <c r="CG131" i="83"/>
  <c r="CD131" i="83"/>
  <c r="CH131" i="83"/>
  <c r="ND105" i="83"/>
  <c r="ND104" i="83"/>
  <c r="NF99" i="83"/>
  <c r="NE99" i="83"/>
  <c r="RI120" i="83"/>
  <c r="RE120" i="83"/>
  <c r="RH120" i="83"/>
  <c r="RG120" i="83"/>
  <c r="RF120" i="83"/>
  <c r="FY123" i="83"/>
  <c r="FZ117" i="83"/>
  <c r="GA117" i="83"/>
  <c r="FY122" i="83"/>
  <c r="AZ101" i="83"/>
  <c r="AV101" i="83"/>
  <c r="AY101" i="83"/>
  <c r="AW101" i="83"/>
  <c r="AX101" i="83"/>
  <c r="IB118" i="83"/>
  <c r="IE118" i="83"/>
  <c r="IA118" i="83"/>
  <c r="IC118" i="83"/>
  <c r="ID118" i="83"/>
  <c r="AY160" i="83"/>
  <c r="AW160" i="83"/>
  <c r="AV160" i="83"/>
  <c r="AZ160" i="83"/>
  <c r="AX160" i="83"/>
  <c r="CY150" i="83"/>
  <c r="CU150" i="83"/>
  <c r="CX150" i="83"/>
  <c r="CV150" i="83"/>
  <c r="CW150" i="83"/>
  <c r="PX151" i="83"/>
  <c r="QA151" i="83"/>
  <c r="PW151" i="83"/>
  <c r="PZ151" i="83"/>
  <c r="PY151" i="83"/>
  <c r="HG163" i="83"/>
  <c r="HI158" i="83"/>
  <c r="HH158" i="83"/>
  <c r="HG164" i="83"/>
  <c r="CH118" i="83"/>
  <c r="CD118" i="83"/>
  <c r="CG118" i="83"/>
  <c r="CF118" i="83"/>
  <c r="CE118" i="83"/>
  <c r="BZ115" i="83"/>
  <c r="JF137" i="83"/>
  <c r="JF136" i="83"/>
  <c r="JH126" i="83"/>
  <c r="JG126" i="83"/>
  <c r="EX133" i="83"/>
  <c r="ET133" i="83"/>
  <c r="EW133" i="83"/>
  <c r="EV133" i="83"/>
  <c r="EU133" i="83"/>
  <c r="PX134" i="83"/>
  <c r="QA134" i="83"/>
  <c r="PW134" i="83"/>
  <c r="PY134" i="83"/>
  <c r="PZ134" i="83"/>
  <c r="EX153" i="83"/>
  <c r="ET153" i="83"/>
  <c r="EW153" i="83"/>
  <c r="EV153" i="83"/>
  <c r="EU153" i="83"/>
  <c r="CW121" i="83"/>
  <c r="CY121" i="83"/>
  <c r="CX121" i="83"/>
  <c r="CU121" i="83"/>
  <c r="CV121" i="83"/>
  <c r="AF119" i="83"/>
  <c r="AI119" i="83"/>
  <c r="AE119" i="83"/>
  <c r="AH119" i="83"/>
  <c r="AG119" i="83"/>
  <c r="SZ138" i="83"/>
  <c r="LL127" i="83"/>
  <c r="LH127" i="83"/>
  <c r="LK127" i="83"/>
  <c r="LJ127" i="83"/>
  <c r="LI127" i="83"/>
  <c r="EQ146" i="83"/>
  <c r="EQ145" i="83"/>
  <c r="ES140" i="83"/>
  <c r="ER140" i="83"/>
  <c r="RX162" i="83"/>
  <c r="RW162" i="83"/>
  <c r="RZ162" i="83"/>
  <c r="RY162" i="83"/>
  <c r="RV162" i="83"/>
  <c r="HG123" i="83"/>
  <c r="HG122" i="83"/>
  <c r="HI117" i="83"/>
  <c r="HH117" i="83"/>
  <c r="NY112" i="83"/>
  <c r="OB112" i="83"/>
  <c r="NX112" i="83"/>
  <c r="OA112" i="83"/>
  <c r="NZ112" i="83"/>
  <c r="FH123" i="83"/>
  <c r="FH122" i="83"/>
  <c r="FI117" i="83"/>
  <c r="FJ117" i="83"/>
  <c r="JJ101" i="83"/>
  <c r="JM101" i="83"/>
  <c r="JI101" i="83"/>
  <c r="JK101" i="83"/>
  <c r="JL101" i="83"/>
  <c r="NH142" i="83"/>
  <c r="NK142" i="83"/>
  <c r="NG142" i="83"/>
  <c r="NJ142" i="83"/>
  <c r="NI142" i="83"/>
  <c r="OP131" i="83"/>
  <c r="OS131" i="83"/>
  <c r="OO131" i="83"/>
  <c r="OR131" i="83"/>
  <c r="OQ131" i="83"/>
  <c r="QM149" i="83"/>
  <c r="QK155" i="83"/>
  <c r="QK154" i="83"/>
  <c r="QL149" i="83"/>
  <c r="KR135" i="83"/>
  <c r="KU135" i="83"/>
  <c r="KQ135" i="83"/>
  <c r="KS135" i="83"/>
  <c r="KT135" i="83"/>
  <c r="G274" i="83"/>
  <c r="KB162" i="83"/>
  <c r="KA162" i="83"/>
  <c r="KC162" i="83"/>
  <c r="JZ162" i="83"/>
  <c r="KD162" i="83"/>
  <c r="EV162" i="83"/>
  <c r="EU162" i="83"/>
  <c r="EW162" i="83"/>
  <c r="ET162" i="83"/>
  <c r="EX162" i="83"/>
  <c r="CC149" i="83"/>
  <c r="CB149" i="83"/>
  <c r="CA155" i="83"/>
  <c r="CA154" i="83"/>
  <c r="AS146" i="83"/>
  <c r="AT140" i="83"/>
  <c r="AS145" i="83"/>
  <c r="AU140" i="83"/>
  <c r="MA150" i="83"/>
  <c r="LZ150" i="83"/>
  <c r="MB150" i="83"/>
  <c r="LY150" i="83"/>
  <c r="MC150" i="83"/>
  <c r="G258" i="83"/>
  <c r="QK163" i="83"/>
  <c r="QK164" i="83"/>
  <c r="QM158" i="83"/>
  <c r="QL158" i="83"/>
  <c r="SP162" i="83"/>
  <c r="SO162" i="83"/>
  <c r="SM162" i="83"/>
  <c r="SN162" i="83"/>
  <c r="SQ162" i="83"/>
  <c r="TG159" i="83"/>
  <c r="TD159" i="83"/>
  <c r="TH159" i="83"/>
  <c r="TE159" i="83"/>
  <c r="TF159" i="83"/>
  <c r="RU149" i="83"/>
  <c r="RT149" i="83"/>
  <c r="RS155" i="83"/>
  <c r="RS154" i="83"/>
  <c r="PI150" i="83"/>
  <c r="PH150" i="83"/>
  <c r="PF150" i="83"/>
  <c r="PG150" i="83"/>
  <c r="PJ150" i="83"/>
  <c r="QP135" i="83"/>
  <c r="QO135" i="83"/>
  <c r="QR135" i="83"/>
  <c r="QQ135" i="83"/>
  <c r="QN135" i="83"/>
  <c r="QP133" i="83"/>
  <c r="QO133" i="83"/>
  <c r="QR133" i="83"/>
  <c r="QQ133" i="83"/>
  <c r="QN133" i="83"/>
  <c r="BO150" i="83"/>
  <c r="BN150" i="83"/>
  <c r="BP150" i="83"/>
  <c r="BM150" i="83"/>
  <c r="BQ150" i="83"/>
  <c r="MB134" i="83"/>
  <c r="MA134" i="83"/>
  <c r="MC134" i="83"/>
  <c r="LY134" i="83"/>
  <c r="LZ134" i="83"/>
  <c r="DN143" i="83"/>
  <c r="DM143" i="83"/>
  <c r="DL143" i="83"/>
  <c r="DP143" i="83"/>
  <c r="DO143" i="83"/>
  <c r="DN135" i="83"/>
  <c r="DM135" i="83"/>
  <c r="DL135" i="83"/>
  <c r="DP135" i="83"/>
  <c r="DO135" i="83"/>
  <c r="CT126" i="83"/>
  <c r="CS126" i="83"/>
  <c r="CR137" i="83"/>
  <c r="CR136" i="83"/>
  <c r="JL142" i="83"/>
  <c r="JK142" i="83"/>
  <c r="JJ142" i="83"/>
  <c r="JI142" i="83"/>
  <c r="JM142" i="83"/>
  <c r="FG138" i="83"/>
  <c r="KB111" i="83"/>
  <c r="KA111" i="83"/>
  <c r="KD111" i="83"/>
  <c r="KC111" i="83"/>
  <c r="JZ111" i="83"/>
  <c r="KB109" i="83"/>
  <c r="KA109" i="83"/>
  <c r="KD109" i="83"/>
  <c r="JZ109" i="83"/>
  <c r="KC109" i="83"/>
  <c r="JX108" i="83"/>
  <c r="JW114" i="83"/>
  <c r="JW113" i="83"/>
  <c r="JY108" i="83"/>
  <c r="PY121" i="83"/>
  <c r="PW121" i="83"/>
  <c r="QA121" i="83"/>
  <c r="PX121" i="83"/>
  <c r="PZ121" i="83"/>
  <c r="OK147" i="83"/>
  <c r="GV119" i="83"/>
  <c r="GU119" i="83"/>
  <c r="GT119" i="83"/>
  <c r="GW119" i="83"/>
  <c r="GS119" i="83"/>
  <c r="ID111" i="83"/>
  <c r="IC111" i="83"/>
  <c r="IB111" i="83"/>
  <c r="IA111" i="83"/>
  <c r="IE111" i="83"/>
  <c r="SP103" i="83"/>
  <c r="SO103" i="83"/>
  <c r="SN103" i="83"/>
  <c r="SQ103" i="83"/>
  <c r="SM103" i="83"/>
  <c r="CF132" i="83"/>
  <c r="CE132" i="83"/>
  <c r="CG132" i="83"/>
  <c r="CD132" i="83"/>
  <c r="CH132" i="83"/>
  <c r="CF128" i="83"/>
  <c r="CE128" i="83"/>
  <c r="CG128" i="83"/>
  <c r="CD128" i="83"/>
  <c r="CH128" i="83"/>
  <c r="BZ138" i="83"/>
  <c r="OR118" i="83"/>
  <c r="OQ118" i="83"/>
  <c r="OO118" i="83"/>
  <c r="OS118" i="83"/>
  <c r="OP118" i="83"/>
  <c r="PS115" i="83"/>
  <c r="PZ102" i="83"/>
  <c r="PY102" i="83"/>
  <c r="PW102" i="83"/>
  <c r="QA102" i="83"/>
  <c r="PX102" i="83"/>
  <c r="PZ100" i="83"/>
  <c r="PY100" i="83"/>
  <c r="PX100" i="83"/>
  <c r="PW100" i="83"/>
  <c r="QA100" i="83"/>
  <c r="BJ123" i="83"/>
  <c r="BL117" i="83"/>
  <c r="BK117" i="83"/>
  <c r="BJ122" i="83"/>
  <c r="SP109" i="83"/>
  <c r="SO109" i="83"/>
  <c r="SN109" i="83"/>
  <c r="SM109" i="83"/>
  <c r="SQ109" i="83"/>
  <c r="HL103" i="83"/>
  <c r="HK103" i="83"/>
  <c r="HJ103" i="83"/>
  <c r="HN103" i="83"/>
  <c r="HM103" i="83"/>
  <c r="RX111" i="83"/>
  <c r="RW111" i="83"/>
  <c r="RV111" i="83"/>
  <c r="RZ111" i="83"/>
  <c r="RY111" i="83"/>
  <c r="DI105" i="83"/>
  <c r="DI104" i="83"/>
  <c r="DK99" i="83"/>
  <c r="DJ99" i="83"/>
  <c r="DP103" i="83"/>
  <c r="DL103" i="83"/>
  <c r="DO103" i="83"/>
  <c r="DM103" i="83"/>
  <c r="DN103" i="83"/>
  <c r="RY132" i="83"/>
  <c r="RX132" i="83"/>
  <c r="RW132" i="83"/>
  <c r="RV132" i="83"/>
  <c r="RZ132" i="83"/>
  <c r="BI115" i="83"/>
  <c r="KR118" i="83"/>
  <c r="KU118" i="83"/>
  <c r="KQ118" i="83"/>
  <c r="KS118" i="83"/>
  <c r="KT118" i="83"/>
  <c r="LD115" i="83"/>
  <c r="AZ112" i="83"/>
  <c r="AV112" i="83"/>
  <c r="AY112" i="83"/>
  <c r="AW112" i="83"/>
  <c r="AX112" i="83"/>
  <c r="TH129" i="83"/>
  <c r="TD129" i="83"/>
  <c r="TG129" i="83"/>
  <c r="TF129" i="83"/>
  <c r="TE129" i="83"/>
  <c r="JE156" i="83"/>
  <c r="AR138" i="83"/>
  <c r="GF130" i="83"/>
  <c r="GB130" i="83"/>
  <c r="GE130" i="83"/>
  <c r="GD130" i="83"/>
  <c r="GC130" i="83"/>
  <c r="JM120" i="83"/>
  <c r="JI120" i="83"/>
  <c r="JL120" i="83"/>
  <c r="JK120" i="83"/>
  <c r="JJ120" i="83"/>
  <c r="OM149" i="83"/>
  <c r="OL155" i="83"/>
  <c r="OL154" i="83"/>
  <c r="ON149" i="83"/>
  <c r="CH135" i="83"/>
  <c r="CD135" i="83"/>
  <c r="CG135" i="83"/>
  <c r="CE135" i="83"/>
  <c r="CF135" i="83"/>
  <c r="AF143" i="83"/>
  <c r="AI143" i="83"/>
  <c r="AE143" i="83"/>
  <c r="AG143" i="83"/>
  <c r="AH143" i="83"/>
  <c r="MR110" i="83"/>
  <c r="MQ110" i="83"/>
  <c r="MP110" i="83"/>
  <c r="MT110" i="83"/>
  <c r="MS110" i="83"/>
  <c r="CW120" i="83"/>
  <c r="CY120" i="83"/>
  <c r="CX120" i="83"/>
  <c r="CU120" i="83"/>
  <c r="CV120" i="83"/>
  <c r="IO105" i="83"/>
  <c r="IO104" i="83"/>
  <c r="IQ99" i="83"/>
  <c r="IP99" i="83"/>
  <c r="IV103" i="83"/>
  <c r="IR103" i="83"/>
  <c r="IU103" i="83"/>
  <c r="IS103" i="83"/>
  <c r="IT103" i="83"/>
  <c r="PH132" i="83"/>
  <c r="PG132" i="83"/>
  <c r="PJ132" i="83"/>
  <c r="PF132" i="83"/>
  <c r="PI132" i="83"/>
  <c r="HG105" i="83"/>
  <c r="HG104" i="83"/>
  <c r="HH99" i="83"/>
  <c r="HI99" i="83"/>
  <c r="RF111" i="83"/>
  <c r="RI111" i="83"/>
  <c r="RE111" i="83"/>
  <c r="RG111" i="83"/>
  <c r="RH111" i="83"/>
  <c r="OL105" i="83"/>
  <c r="OL104" i="83"/>
  <c r="ON99" i="83"/>
  <c r="OM99" i="83"/>
  <c r="OP111" i="83"/>
  <c r="OS111" i="83"/>
  <c r="OO111" i="83"/>
  <c r="OQ111" i="83"/>
  <c r="OR111" i="83"/>
  <c r="CV142" i="83"/>
  <c r="CY142" i="83"/>
  <c r="CU142" i="83"/>
  <c r="CX142" i="83"/>
  <c r="CW142" i="83"/>
  <c r="KN155" i="83"/>
  <c r="KN154" i="83"/>
  <c r="KP149" i="83"/>
  <c r="KO149" i="83"/>
  <c r="CF161" i="83"/>
  <c r="CE161" i="83"/>
  <c r="CH161" i="83"/>
  <c r="CG161" i="83"/>
  <c r="CD161" i="83"/>
  <c r="HL100" i="83"/>
  <c r="HK100" i="83"/>
  <c r="HJ100" i="83"/>
  <c r="HN100" i="83"/>
  <c r="HM100" i="83"/>
  <c r="MR109" i="83"/>
  <c r="MQ109" i="83"/>
  <c r="MP109" i="83"/>
  <c r="MS109" i="83"/>
  <c r="MT109" i="83"/>
  <c r="CV133" i="83"/>
  <c r="CY133" i="83"/>
  <c r="CU133" i="83"/>
  <c r="CX133" i="83"/>
  <c r="CW133" i="83"/>
  <c r="LV105" i="83"/>
  <c r="LV104" i="83"/>
  <c r="LW99" i="83"/>
  <c r="LX99" i="83"/>
  <c r="FX106" i="83"/>
  <c r="GF103" i="83"/>
  <c r="GB103" i="83"/>
  <c r="GE103" i="83"/>
  <c r="GC103" i="83"/>
  <c r="GD103" i="83"/>
  <c r="GF111" i="83"/>
  <c r="GB111" i="83"/>
  <c r="GE111" i="83"/>
  <c r="GC111" i="83"/>
  <c r="GD111" i="83"/>
  <c r="NH119" i="83"/>
  <c r="NK119" i="83"/>
  <c r="NG119" i="83"/>
  <c r="NI119" i="83"/>
  <c r="NJ119" i="83"/>
  <c r="JW164" i="83"/>
  <c r="JW163" i="83"/>
  <c r="JY158" i="83"/>
  <c r="JX158" i="83"/>
  <c r="KD144" i="83"/>
  <c r="JZ144" i="83"/>
  <c r="KC144" i="83"/>
  <c r="KB144" i="83"/>
  <c r="KA144" i="83"/>
  <c r="KM147" i="83"/>
  <c r="PX142" i="83"/>
  <c r="QA142" i="83"/>
  <c r="PW142" i="83"/>
  <c r="PY142" i="83"/>
  <c r="PZ142" i="83"/>
  <c r="HL160" i="83"/>
  <c r="HK160" i="83"/>
  <c r="HN160" i="83"/>
  <c r="HM160" i="83"/>
  <c r="HJ160" i="83"/>
  <c r="LV164" i="83"/>
  <c r="LV163" i="83"/>
  <c r="LX158" i="83"/>
  <c r="LW158" i="83"/>
  <c r="EU159" i="83"/>
  <c r="EX159" i="83"/>
  <c r="ET159" i="83"/>
  <c r="EW159" i="83"/>
  <c r="EV159" i="83"/>
  <c r="ED161" i="83"/>
  <c r="EG161" i="83"/>
  <c r="EC161" i="83"/>
  <c r="EF161" i="83"/>
  <c r="EE161" i="83"/>
  <c r="TY159" i="83"/>
  <c r="TU159" i="83"/>
  <c r="TX159" i="83"/>
  <c r="TV159" i="83"/>
  <c r="TW159" i="83"/>
  <c r="LZ132" i="83"/>
  <c r="MC132" i="83"/>
  <c r="LY132" i="83"/>
  <c r="MB132" i="83"/>
  <c r="MA132" i="83"/>
  <c r="HF115" i="83"/>
  <c r="PB138" i="83"/>
  <c r="TF141" i="83"/>
  <c r="TE141" i="83"/>
  <c r="TD141" i="83"/>
  <c r="TH141" i="83"/>
  <c r="TG141" i="83"/>
  <c r="GT110" i="83"/>
  <c r="GW110" i="83"/>
  <c r="GS110" i="83"/>
  <c r="GU110" i="83"/>
  <c r="GV110" i="83"/>
  <c r="QK114" i="83"/>
  <c r="QK113" i="83"/>
  <c r="QM108" i="83"/>
  <c r="QL108" i="83"/>
  <c r="JJ110" i="83"/>
  <c r="JM110" i="83"/>
  <c r="JI110" i="83"/>
  <c r="JK110" i="83"/>
  <c r="JL110" i="83"/>
  <c r="IT143" i="83"/>
  <c r="IS143" i="83"/>
  <c r="IR143" i="83"/>
  <c r="IV143" i="83"/>
  <c r="IU143" i="83"/>
  <c r="ND146" i="83"/>
  <c r="ND145" i="83"/>
  <c r="NE140" i="83"/>
  <c r="NF140" i="83"/>
  <c r="OK138" i="83"/>
  <c r="OP130" i="83"/>
  <c r="OS130" i="83"/>
  <c r="OO130" i="83"/>
  <c r="OR130" i="83"/>
  <c r="OQ130" i="83"/>
  <c r="SJ146" i="83"/>
  <c r="SJ145" i="83"/>
  <c r="SK140" i="83"/>
  <c r="SL140" i="83"/>
  <c r="RZ152" i="83"/>
  <c r="RV152" i="83"/>
  <c r="RY152" i="83"/>
  <c r="RW152" i="83"/>
  <c r="RX152" i="83"/>
  <c r="PS156" i="83"/>
  <c r="NH141" i="83"/>
  <c r="NK141" i="83"/>
  <c r="NG141" i="83"/>
  <c r="NJ141" i="83"/>
  <c r="NI141" i="83"/>
  <c r="ED131" i="83"/>
  <c r="EG131" i="83"/>
  <c r="EC131" i="83"/>
  <c r="EF131" i="83"/>
  <c r="EE131" i="83"/>
  <c r="TW150" i="83"/>
  <c r="TV150" i="83"/>
  <c r="TY150" i="83"/>
  <c r="TX150" i="83"/>
  <c r="TU150" i="83"/>
  <c r="PH162" i="83"/>
  <c r="PG162" i="83"/>
  <c r="PI162" i="83"/>
  <c r="PF162" i="83"/>
  <c r="PJ162" i="83"/>
  <c r="FG165" i="83"/>
  <c r="GD141" i="83"/>
  <c r="GC141" i="83"/>
  <c r="GF141" i="83"/>
  <c r="GE141" i="83"/>
  <c r="GB141" i="83"/>
  <c r="GD133" i="83"/>
  <c r="GC133" i="83"/>
  <c r="GF133" i="83"/>
  <c r="GE133" i="83"/>
  <c r="GB133" i="83"/>
  <c r="BK149" i="83"/>
  <c r="BJ155" i="83"/>
  <c r="BJ154" i="83"/>
  <c r="BL149" i="83"/>
  <c r="BJ146" i="83"/>
  <c r="BL140" i="83"/>
  <c r="BK140" i="83"/>
  <c r="BJ145" i="83"/>
  <c r="DN134" i="83"/>
  <c r="DM134" i="83"/>
  <c r="DL134" i="83"/>
  <c r="DP134" i="83"/>
  <c r="DO134" i="83"/>
  <c r="IC121" i="83"/>
  <c r="IB121" i="83"/>
  <c r="IA121" i="83"/>
  <c r="ID121" i="83"/>
  <c r="IE121" i="83"/>
  <c r="JV156" i="83"/>
  <c r="DN119" i="83"/>
  <c r="DM119" i="83"/>
  <c r="DP119" i="83"/>
  <c r="DL119" i="83"/>
  <c r="DO119" i="83"/>
  <c r="DH124" i="83"/>
  <c r="NI121" i="83"/>
  <c r="NK121" i="83"/>
  <c r="NJ121" i="83"/>
  <c r="NG121" i="83"/>
  <c r="NH121" i="83"/>
  <c r="JK112" i="83"/>
  <c r="JJ112" i="83"/>
  <c r="JL112" i="83"/>
  <c r="JM112" i="83"/>
  <c r="JI112" i="83"/>
  <c r="HW115" i="83"/>
  <c r="EF133" i="83"/>
  <c r="EE133" i="83"/>
  <c r="ED133" i="83"/>
  <c r="EC133" i="83"/>
  <c r="EG133" i="83"/>
  <c r="EF119" i="83"/>
  <c r="EE119" i="83"/>
  <c r="ED119" i="83"/>
  <c r="EG119" i="83"/>
  <c r="EC119" i="83"/>
  <c r="FG115" i="83"/>
  <c r="FN101" i="83"/>
  <c r="FM101" i="83"/>
  <c r="FO101" i="83"/>
  <c r="FL101" i="83"/>
  <c r="FK101" i="83"/>
  <c r="RX128" i="83"/>
  <c r="RW128" i="83"/>
  <c r="RY128" i="83"/>
  <c r="RV128" i="83"/>
  <c r="RZ128" i="83"/>
  <c r="LU124" i="83"/>
  <c r="ID101" i="83"/>
  <c r="IC101" i="83"/>
  <c r="IB101" i="83"/>
  <c r="IA101" i="83"/>
  <c r="IE101" i="83"/>
  <c r="GT131" i="83"/>
  <c r="GW131" i="83"/>
  <c r="GS131" i="83"/>
  <c r="GU131" i="83"/>
  <c r="GV131" i="83"/>
  <c r="GO106" i="83"/>
  <c r="RB114" i="83"/>
  <c r="RB113" i="83"/>
  <c r="RC108" i="83"/>
  <c r="RD108" i="83"/>
  <c r="EU121" i="83"/>
  <c r="EV121" i="83"/>
  <c r="ET121" i="83"/>
  <c r="EW121" i="83"/>
  <c r="EX121" i="83"/>
  <c r="SN134" i="83"/>
  <c r="SQ134" i="83"/>
  <c r="SM134" i="83"/>
  <c r="SP134" i="83"/>
  <c r="SO134" i="83"/>
  <c r="DJ149" i="83"/>
  <c r="DK149" i="83"/>
  <c r="DI155" i="83"/>
  <c r="DI154" i="83"/>
  <c r="MT151" i="83"/>
  <c r="MP151" i="83"/>
  <c r="MS151" i="83"/>
  <c r="MR151" i="83"/>
  <c r="MQ151" i="83"/>
  <c r="CF102" i="83"/>
  <c r="CE102" i="83"/>
  <c r="CD102" i="83"/>
  <c r="CG102" i="83"/>
  <c r="CH102" i="83"/>
  <c r="EP138" i="83"/>
  <c r="TH100" i="83"/>
  <c r="TD100" i="83"/>
  <c r="TG100" i="83"/>
  <c r="TF100" i="83"/>
  <c r="TE100" i="83"/>
  <c r="JJ132" i="83"/>
  <c r="JM132" i="83"/>
  <c r="JI132" i="83"/>
  <c r="JL132" i="83"/>
  <c r="JK132" i="83"/>
  <c r="SJ164" i="83"/>
  <c r="SK158" i="83"/>
  <c r="SJ163" i="83"/>
  <c r="SL158" i="83"/>
  <c r="ML147" i="83"/>
  <c r="ND164" i="83"/>
  <c r="NE158" i="83"/>
  <c r="ND163" i="83"/>
  <c r="NF158" i="83"/>
  <c r="AZ162" i="83"/>
  <c r="AV162" i="83"/>
  <c r="AY162" i="83"/>
  <c r="AX162" i="83"/>
  <c r="AW162" i="83"/>
  <c r="SZ147" i="83"/>
  <c r="DP110" i="83"/>
  <c r="DL110" i="83"/>
  <c r="DO110" i="83"/>
  <c r="DN110" i="83"/>
  <c r="DM110" i="83"/>
  <c r="CQ124" i="83"/>
  <c r="LL129" i="83"/>
  <c r="LH129" i="83"/>
  <c r="LK129" i="83"/>
  <c r="LJ129" i="83"/>
  <c r="LI129" i="83"/>
  <c r="PJ144" i="83"/>
  <c r="PF144" i="83"/>
  <c r="PI144" i="83"/>
  <c r="PH144" i="83"/>
  <c r="PG144" i="83"/>
  <c r="PX141" i="83"/>
  <c r="QA141" i="83"/>
  <c r="PW141" i="83"/>
  <c r="PY141" i="83"/>
  <c r="PZ141" i="83"/>
  <c r="TV161" i="83"/>
  <c r="TY161" i="83"/>
  <c r="TU161" i="83"/>
  <c r="TW161" i="83"/>
  <c r="TX161" i="83"/>
  <c r="CA163" i="83"/>
  <c r="CA164" i="83"/>
  <c r="CC158" i="83"/>
  <c r="CB158" i="83"/>
  <c r="RX102" i="83"/>
  <c r="RW102" i="83"/>
  <c r="RV102" i="83"/>
  <c r="RZ102" i="83"/>
  <c r="RY102" i="83"/>
  <c r="TA105" i="83"/>
  <c r="TA104" i="83"/>
  <c r="TC99" i="83"/>
  <c r="TB99" i="83"/>
  <c r="SZ115" i="83"/>
  <c r="KB130" i="83"/>
  <c r="KA130" i="83"/>
  <c r="KD130" i="83"/>
  <c r="KC130" i="83"/>
  <c r="JZ130" i="83"/>
  <c r="PJ119" i="83"/>
  <c r="PF119" i="83"/>
  <c r="PI119" i="83"/>
  <c r="PG119" i="83"/>
  <c r="PH119" i="83"/>
  <c r="AW150" i="83"/>
  <c r="AZ150" i="83"/>
  <c r="AV150" i="83"/>
  <c r="AY150" i="83"/>
  <c r="AX150" i="83"/>
  <c r="KR133" i="83"/>
  <c r="KU133" i="83"/>
  <c r="KQ133" i="83"/>
  <c r="KS133" i="83"/>
  <c r="KT133" i="83"/>
  <c r="TV160" i="83"/>
  <c r="TY160" i="83"/>
  <c r="TU160" i="83"/>
  <c r="TW160" i="83"/>
  <c r="TX160" i="83"/>
  <c r="LZ162" i="83"/>
  <c r="MC162" i="83"/>
  <c r="LY162" i="83"/>
  <c r="MB162" i="83"/>
  <c r="MA162" i="83"/>
  <c r="G262" i="83"/>
  <c r="KB160" i="83"/>
  <c r="KA160" i="83"/>
  <c r="KC160" i="83"/>
  <c r="JZ160" i="83"/>
  <c r="KD160" i="83"/>
  <c r="AR165" i="83"/>
  <c r="MB153" i="83"/>
  <c r="MA153" i="83"/>
  <c r="MC153" i="83"/>
  <c r="LZ153" i="83"/>
  <c r="LY153" i="83"/>
  <c r="CX160" i="83"/>
  <c r="CW160" i="83"/>
  <c r="CU160" i="83"/>
  <c r="CY160" i="83"/>
  <c r="CV160" i="83"/>
  <c r="CG150" i="83"/>
  <c r="CF150" i="83"/>
  <c r="CH150" i="83"/>
  <c r="CE150" i="83"/>
  <c r="CD150" i="83"/>
  <c r="AX143" i="83"/>
  <c r="AW143" i="83"/>
  <c r="AZ143" i="83"/>
  <c r="AY143" i="83"/>
  <c r="AV143" i="83"/>
  <c r="AX135" i="83"/>
  <c r="AW135" i="83"/>
  <c r="AZ135" i="83"/>
  <c r="AY135" i="83"/>
  <c r="AV135" i="83"/>
  <c r="ID130" i="83"/>
  <c r="IC130" i="83"/>
  <c r="IE130" i="83"/>
  <c r="IB130" i="83"/>
  <c r="IA130" i="83"/>
  <c r="TX134" i="83"/>
  <c r="TW134" i="83"/>
  <c r="TV134" i="83"/>
  <c r="TU134" i="83"/>
  <c r="TY134" i="83"/>
  <c r="PZ130" i="83"/>
  <c r="PY130" i="83"/>
  <c r="PW130" i="83"/>
  <c r="PX130" i="83"/>
  <c r="QA130" i="83"/>
  <c r="TF119" i="83"/>
  <c r="TE119" i="83"/>
  <c r="TH119" i="83"/>
  <c r="TG119" i="83"/>
  <c r="TD119" i="83"/>
  <c r="SZ124" i="83"/>
  <c r="PY120" i="83"/>
  <c r="PW120" i="83"/>
  <c r="QA120" i="83"/>
  <c r="PX120" i="83"/>
  <c r="PZ120" i="83"/>
  <c r="RA124" i="83"/>
  <c r="SP101" i="83"/>
  <c r="SO101" i="83"/>
  <c r="SN101" i="83"/>
  <c r="SQ101" i="83"/>
  <c r="SM101" i="83"/>
  <c r="HL110" i="83"/>
  <c r="HK110" i="83"/>
  <c r="HJ110" i="83"/>
  <c r="HN110" i="83"/>
  <c r="HM110" i="83"/>
  <c r="OB109" i="83"/>
  <c r="NX109" i="83"/>
  <c r="OA109" i="83"/>
  <c r="NY109" i="83"/>
  <c r="NZ109" i="83"/>
  <c r="KR144" i="83"/>
  <c r="KU144" i="83"/>
  <c r="KQ144" i="83"/>
  <c r="KS144" i="83"/>
  <c r="KT144" i="83"/>
  <c r="NH151" i="83"/>
  <c r="NK151" i="83"/>
  <c r="NG151" i="83"/>
  <c r="NJ151" i="83"/>
  <c r="NI151" i="83"/>
  <c r="TR164" i="83"/>
  <c r="TT158" i="83"/>
  <c r="TR163" i="83"/>
  <c r="TS158" i="83"/>
  <c r="OB130" i="83"/>
  <c r="NX130" i="83"/>
  <c r="OA130" i="83"/>
  <c r="NY130" i="83"/>
  <c r="NZ130" i="83"/>
  <c r="ED103" i="83"/>
  <c r="EG103" i="83"/>
  <c r="EC103" i="83"/>
  <c r="EE103" i="83"/>
  <c r="EF103" i="83"/>
  <c r="KD118" i="83"/>
  <c r="JZ118" i="83"/>
  <c r="KC118" i="83"/>
  <c r="KA118" i="83"/>
  <c r="KB118" i="83"/>
  <c r="EX134" i="83"/>
  <c r="ET134" i="83"/>
  <c r="EW134" i="83"/>
  <c r="EV134" i="83"/>
  <c r="EU134" i="83"/>
  <c r="OB101" i="83"/>
  <c r="NX101" i="83"/>
  <c r="OA101" i="83"/>
  <c r="NY101" i="83"/>
  <c r="NZ101" i="83"/>
  <c r="RF130" i="83"/>
  <c r="RI130" i="83"/>
  <c r="RE130" i="83"/>
  <c r="RG130" i="83"/>
  <c r="RH130" i="83"/>
  <c r="BN111" i="83"/>
  <c r="BQ111" i="83"/>
  <c r="BM111" i="83"/>
  <c r="BO111" i="83"/>
  <c r="BP111" i="83"/>
  <c r="RI159" i="83"/>
  <c r="RE159" i="83"/>
  <c r="RH159" i="83"/>
  <c r="RG159" i="83"/>
  <c r="RF159" i="83"/>
  <c r="BJ164" i="83"/>
  <c r="BJ163" i="83"/>
  <c r="BL158" i="83"/>
  <c r="BK158" i="83"/>
  <c r="HL109" i="83"/>
  <c r="HK109" i="83"/>
  <c r="HJ109" i="83"/>
  <c r="HM109" i="83"/>
  <c r="HN109" i="83"/>
  <c r="RF100" i="83"/>
  <c r="RI100" i="83"/>
  <c r="RE100" i="83"/>
  <c r="RH100" i="83"/>
  <c r="RG100" i="83"/>
  <c r="IT142" i="83"/>
  <c r="IS142" i="83"/>
  <c r="IR142" i="83"/>
  <c r="IV142" i="83"/>
  <c r="IU142" i="83"/>
  <c r="TR105" i="83"/>
  <c r="TR104" i="83"/>
  <c r="TT99" i="83"/>
  <c r="TS99" i="83"/>
  <c r="TV111" i="83"/>
  <c r="TY111" i="83"/>
  <c r="TU111" i="83"/>
  <c r="TW111" i="83"/>
  <c r="TX111" i="83"/>
  <c r="QO150" i="83"/>
  <c r="QR150" i="83"/>
  <c r="QN150" i="83"/>
  <c r="QP150" i="83"/>
  <c r="QQ150" i="83"/>
  <c r="HW165" i="83"/>
  <c r="NZ143" i="83"/>
  <c r="NY143" i="83"/>
  <c r="NX143" i="83"/>
  <c r="OB143" i="83"/>
  <c r="OA143" i="83"/>
  <c r="NZ133" i="83"/>
  <c r="NY133" i="83"/>
  <c r="NX133" i="83"/>
  <c r="OB133" i="83"/>
  <c r="OA133" i="83"/>
  <c r="HZ126" i="83"/>
  <c r="HY126" i="83"/>
  <c r="HX137" i="83"/>
  <c r="HX136" i="83"/>
  <c r="TX144" i="83"/>
  <c r="TW144" i="83"/>
  <c r="TV144" i="83"/>
  <c r="TU144" i="83"/>
  <c r="TY144" i="83"/>
  <c r="GQ149" i="83"/>
  <c r="GP155" i="83"/>
  <c r="GP154" i="83"/>
  <c r="GR149" i="83"/>
  <c r="PZ128" i="83"/>
  <c r="PY128" i="83"/>
  <c r="PW128" i="83"/>
  <c r="PX128" i="83"/>
  <c r="QA128" i="83"/>
  <c r="PH102" i="83"/>
  <c r="PG102" i="83"/>
  <c r="PJ102" i="83"/>
  <c r="PI102" i="83"/>
  <c r="PF102" i="83"/>
  <c r="AA138" i="83"/>
  <c r="MS112" i="83"/>
  <c r="MR112" i="83"/>
  <c r="MP112" i="83"/>
  <c r="MT112" i="83"/>
  <c r="MQ112" i="83"/>
  <c r="MR128" i="83"/>
  <c r="MQ128" i="83"/>
  <c r="MS128" i="83"/>
  <c r="MP128" i="83"/>
  <c r="MT128" i="83"/>
  <c r="TR123" i="83"/>
  <c r="TR122" i="83"/>
  <c r="TT117" i="83"/>
  <c r="TS117" i="83"/>
  <c r="AH112" i="83"/>
  <c r="AG112" i="83"/>
  <c r="AI112" i="83"/>
  <c r="AF112" i="83"/>
  <c r="AE112" i="83"/>
  <c r="AA106" i="83"/>
  <c r="AH127" i="83"/>
  <c r="AG127" i="83"/>
  <c r="AE127" i="83"/>
  <c r="AI127" i="83"/>
  <c r="AF127" i="83"/>
  <c r="KD133" i="83"/>
  <c r="JZ133" i="83"/>
  <c r="KC133" i="83"/>
  <c r="KB133" i="83"/>
  <c r="KA133" i="83"/>
  <c r="DP128" i="83"/>
  <c r="DL128" i="83"/>
  <c r="DO128" i="83"/>
  <c r="DM128" i="83"/>
  <c r="DN128" i="83"/>
  <c r="GT132" i="83"/>
  <c r="GW132" i="83"/>
  <c r="GS132" i="83"/>
  <c r="GU132" i="83"/>
  <c r="GV132" i="83"/>
  <c r="OB103" i="83"/>
  <c r="NX103" i="83"/>
  <c r="OA103" i="83"/>
  <c r="NY103" i="83"/>
  <c r="NZ103" i="83"/>
  <c r="CV135" i="83"/>
  <c r="CY135" i="83"/>
  <c r="CU135" i="83"/>
  <c r="CX135" i="83"/>
  <c r="CW135" i="83"/>
  <c r="NT156" i="83"/>
  <c r="NH153" i="83"/>
  <c r="NK153" i="83"/>
  <c r="NG153" i="83"/>
  <c r="NJ153" i="83"/>
  <c r="NI153" i="83"/>
  <c r="LJ119" i="83"/>
  <c r="LI119" i="83"/>
  <c r="LH119" i="83"/>
  <c r="LL119" i="83"/>
  <c r="LK119" i="83"/>
  <c r="GT102" i="83"/>
  <c r="GW102" i="83"/>
  <c r="GS102" i="83"/>
  <c r="GV102" i="83"/>
  <c r="GU102" i="83"/>
  <c r="RF110" i="83"/>
  <c r="RI110" i="83"/>
  <c r="RE110" i="83"/>
  <c r="RG110" i="83"/>
  <c r="RH110" i="83"/>
  <c r="ED109" i="83"/>
  <c r="EG109" i="83"/>
  <c r="EC109" i="83"/>
  <c r="EE109" i="83"/>
  <c r="EF109" i="83"/>
  <c r="CV141" i="83"/>
  <c r="CY141" i="83"/>
  <c r="CU141" i="83"/>
  <c r="CX141" i="83"/>
  <c r="CW141" i="83"/>
  <c r="TR137" i="83"/>
  <c r="TR136" i="83"/>
  <c r="TT126" i="83"/>
  <c r="TS126" i="83"/>
  <c r="HN152" i="83"/>
  <c r="HJ152" i="83"/>
  <c r="HM152" i="83"/>
  <c r="HK152" i="83"/>
  <c r="HL152" i="83"/>
  <c r="GC150" i="83"/>
  <c r="GF150" i="83"/>
  <c r="GB150" i="83"/>
  <c r="GE150" i="83"/>
  <c r="GD150" i="83"/>
  <c r="FL135" i="83"/>
  <c r="FO135" i="83"/>
  <c r="FK135" i="83"/>
  <c r="FM135" i="83"/>
  <c r="FN135" i="83"/>
  <c r="CH143" i="83"/>
  <c r="CD143" i="83"/>
  <c r="CG143" i="83"/>
  <c r="CE143" i="83"/>
  <c r="CF143" i="83"/>
  <c r="AB155" i="83"/>
  <c r="AB154" i="83"/>
  <c r="AD149" i="83"/>
  <c r="AC149" i="83"/>
  <c r="PJ151" i="83"/>
  <c r="PF151" i="83"/>
  <c r="PI151" i="83"/>
  <c r="PH151" i="83"/>
  <c r="PG151" i="83"/>
  <c r="RX101" i="83"/>
  <c r="RW101" i="83"/>
  <c r="RV101" i="83"/>
  <c r="RZ101" i="83"/>
  <c r="RY101" i="83"/>
  <c r="LZ109" i="83"/>
  <c r="MC109" i="83"/>
  <c r="LY109" i="83"/>
  <c r="MB109" i="83"/>
  <c r="MA109" i="83"/>
  <c r="RD126" i="83"/>
  <c r="RC126" i="83"/>
  <c r="RB137" i="83"/>
  <c r="RB136" i="83"/>
  <c r="DP102" i="83"/>
  <c r="DL102" i="83"/>
  <c r="DO102" i="83"/>
  <c r="DN102" i="83"/>
  <c r="DM102" i="83"/>
  <c r="QR102" i="83"/>
  <c r="QN102" i="83"/>
  <c r="QQ102" i="83"/>
  <c r="QO102" i="83"/>
  <c r="QP102" i="83"/>
  <c r="FY137" i="83"/>
  <c r="FY136" i="83"/>
  <c r="GA126" i="83"/>
  <c r="FZ126" i="83"/>
  <c r="AZ130" i="83"/>
  <c r="AV130" i="83"/>
  <c r="AY130" i="83"/>
  <c r="AX130" i="83"/>
  <c r="AW130" i="83"/>
  <c r="TQ156" i="83"/>
  <c r="FG147" i="83"/>
  <c r="FL144" i="83"/>
  <c r="FO144" i="83"/>
  <c r="FK144" i="83"/>
  <c r="FM144" i="83"/>
  <c r="FN144" i="83"/>
  <c r="MR102" i="83"/>
  <c r="MQ102" i="83"/>
  <c r="MP102" i="83"/>
  <c r="MT102" i="83"/>
  <c r="MS102" i="83"/>
  <c r="RI121" i="83"/>
  <c r="RE121" i="83"/>
  <c r="RH121" i="83"/>
  <c r="RG121" i="83"/>
  <c r="RF121" i="83"/>
  <c r="GT100" i="83"/>
  <c r="GW100" i="83"/>
  <c r="GS100" i="83"/>
  <c r="GU100" i="83"/>
  <c r="GV100" i="83"/>
  <c r="PS124" i="83"/>
  <c r="HN142" i="83"/>
  <c r="HJ142" i="83"/>
  <c r="HM142" i="83"/>
  <c r="HK142" i="83"/>
  <c r="HL142" i="83"/>
  <c r="AG160" i="83"/>
  <c r="AH160" i="83"/>
  <c r="AF160" i="83"/>
  <c r="AI160" i="83"/>
  <c r="AE160" i="83"/>
  <c r="FN162" i="83"/>
  <c r="FM162" i="83"/>
  <c r="FO162" i="83"/>
  <c r="FL162" i="83"/>
  <c r="FK162" i="83"/>
  <c r="LK159" i="83"/>
  <c r="LJ159" i="83"/>
  <c r="LL159" i="83"/>
  <c r="LI159" i="83"/>
  <c r="LH159" i="83"/>
  <c r="CX161" i="83"/>
  <c r="CW161" i="83"/>
  <c r="CU161" i="83"/>
  <c r="CY161" i="83"/>
  <c r="CV161" i="83"/>
  <c r="LJ152" i="83"/>
  <c r="LI152" i="83"/>
  <c r="LK152" i="83"/>
  <c r="LH152" i="83"/>
  <c r="LL152" i="83"/>
  <c r="LJ142" i="83"/>
  <c r="LI142" i="83"/>
  <c r="LL142" i="83"/>
  <c r="LK142" i="83"/>
  <c r="LH142" i="83"/>
  <c r="RG150" i="83"/>
  <c r="RF150" i="83"/>
  <c r="RH150" i="83"/>
  <c r="RE150" i="83"/>
  <c r="RI150" i="83"/>
  <c r="NZ142" i="83"/>
  <c r="NY142" i="83"/>
  <c r="NX142" i="83"/>
  <c r="OB142" i="83"/>
  <c r="OA142" i="83"/>
  <c r="QO132" i="83"/>
  <c r="QN132" i="83"/>
  <c r="QR132" i="83"/>
  <c r="QQ132" i="83"/>
  <c r="QP132" i="83"/>
  <c r="SP128" i="83"/>
  <c r="SO128" i="83"/>
  <c r="SQ128" i="83"/>
  <c r="SN128" i="83"/>
  <c r="SM128" i="83"/>
  <c r="IT118" i="83"/>
  <c r="IS118" i="83"/>
  <c r="IV118" i="83"/>
  <c r="IU118" i="83"/>
  <c r="IR118" i="83"/>
  <c r="EV103" i="83"/>
  <c r="EU103" i="83"/>
  <c r="EX103" i="83"/>
  <c r="EW103" i="83"/>
  <c r="ET103" i="83"/>
  <c r="EQ105" i="83"/>
  <c r="EQ104" i="83"/>
  <c r="ER99" i="83"/>
  <c r="ES99" i="83"/>
  <c r="CG112" i="83"/>
  <c r="CF112" i="83"/>
  <c r="CD112" i="83"/>
  <c r="CH112" i="83"/>
  <c r="CE112" i="83"/>
  <c r="NF108" i="83"/>
  <c r="ND114" i="83"/>
  <c r="ND113" i="83"/>
  <c r="NE108" i="83"/>
  <c r="MR127" i="83"/>
  <c r="MQ127" i="83"/>
  <c r="MS127" i="83"/>
  <c r="MP127" i="83"/>
  <c r="MT127" i="83"/>
  <c r="JF123" i="83"/>
  <c r="JH117" i="83"/>
  <c r="JG117" i="83"/>
  <c r="JF122" i="83"/>
  <c r="KT109" i="83"/>
  <c r="KS109" i="83"/>
  <c r="KR109" i="83"/>
  <c r="KU109" i="83"/>
  <c r="KQ109" i="83"/>
  <c r="AH130" i="83"/>
  <c r="AG130" i="83"/>
  <c r="AE130" i="83"/>
  <c r="AI130" i="83"/>
  <c r="AF130" i="83"/>
  <c r="KA121" i="83"/>
  <c r="KD121" i="83"/>
  <c r="KC121" i="83"/>
  <c r="JZ121" i="83"/>
  <c r="KB121" i="83"/>
  <c r="NJ103" i="83"/>
  <c r="NI103" i="83"/>
  <c r="NH103" i="83"/>
  <c r="NG103" i="83"/>
  <c r="NK103" i="83"/>
  <c r="DP132" i="83"/>
  <c r="DL132" i="83"/>
  <c r="DO132" i="83"/>
  <c r="DM132" i="83"/>
  <c r="DN132" i="83"/>
  <c r="TF144" i="83"/>
  <c r="TE144" i="83"/>
  <c r="TD144" i="83"/>
  <c r="TH144" i="83"/>
  <c r="TG144" i="83"/>
  <c r="LL100" i="83"/>
  <c r="LH100" i="83"/>
  <c r="LK100" i="83"/>
  <c r="LI100" i="83"/>
  <c r="LJ100" i="83"/>
  <c r="SN119" i="83"/>
  <c r="SQ119" i="83"/>
  <c r="SM119" i="83"/>
  <c r="SO119" i="83"/>
  <c r="SP119" i="83"/>
  <c r="SN133" i="83"/>
  <c r="SQ133" i="83"/>
  <c r="SM133" i="83"/>
  <c r="SP133" i="83"/>
  <c r="SO133" i="83"/>
  <c r="KR143" i="83"/>
  <c r="KU143" i="83"/>
  <c r="KQ143" i="83"/>
  <c r="KS143" i="83"/>
  <c r="KT143" i="83"/>
  <c r="MQ159" i="83"/>
  <c r="MT159" i="83"/>
  <c r="MP159" i="83"/>
  <c r="MS159" i="83"/>
  <c r="MR159" i="83"/>
  <c r="KU112" i="83"/>
  <c r="KQ112" i="83"/>
  <c r="KT112" i="83"/>
  <c r="KS112" i="83"/>
  <c r="KR112" i="83"/>
  <c r="DM112" i="83"/>
  <c r="DP112" i="83"/>
  <c r="DL112" i="83"/>
  <c r="DO112" i="83"/>
  <c r="DN112" i="83"/>
  <c r="CV143" i="83"/>
  <c r="CY143" i="83"/>
  <c r="CU143" i="83"/>
  <c r="CX143" i="83"/>
  <c r="CW143" i="83"/>
  <c r="CH142" i="83"/>
  <c r="CD142" i="83"/>
  <c r="CG142" i="83"/>
  <c r="CE142" i="83"/>
  <c r="CF142" i="83"/>
  <c r="JJ162" i="83"/>
  <c r="JM162" i="83"/>
  <c r="JI162" i="83"/>
  <c r="JK162" i="83"/>
  <c r="JL162" i="83"/>
  <c r="IO146" i="83"/>
  <c r="IP140" i="83"/>
  <c r="IO145" i="83"/>
  <c r="IQ140" i="83"/>
  <c r="QR103" i="83"/>
  <c r="QN103" i="83"/>
  <c r="QQ103" i="83"/>
  <c r="QO103" i="83"/>
  <c r="QP103" i="83"/>
  <c r="EU120" i="83"/>
  <c r="EV120" i="83"/>
  <c r="ET120" i="83"/>
  <c r="EW120" i="83"/>
  <c r="EX120" i="83"/>
  <c r="AZ127" i="83"/>
  <c r="AV127" i="83"/>
  <c r="AY127" i="83"/>
  <c r="AX127" i="83"/>
  <c r="AW127" i="83"/>
  <c r="IB135" i="83"/>
  <c r="IE135" i="83"/>
  <c r="IA135" i="83"/>
  <c r="ID135" i="83"/>
  <c r="IC135" i="83"/>
  <c r="HN133" i="83"/>
  <c r="HJ133" i="83"/>
  <c r="HM133" i="83"/>
  <c r="HK133" i="83"/>
  <c r="HL133" i="83"/>
  <c r="LL160" i="83"/>
  <c r="LH160" i="83"/>
  <c r="LK160" i="83"/>
  <c r="LJ160" i="83"/>
  <c r="LI160" i="83"/>
  <c r="PX119" i="83"/>
  <c r="QA119" i="83"/>
  <c r="PW119" i="83"/>
  <c r="PY119" i="83"/>
  <c r="PZ119" i="83"/>
  <c r="EV131" i="83"/>
  <c r="EU131" i="83"/>
  <c r="EX131" i="83"/>
  <c r="ET131" i="83"/>
  <c r="EW131" i="83"/>
  <c r="TV100" i="83"/>
  <c r="TY100" i="83"/>
  <c r="TU100" i="83"/>
  <c r="TW100" i="83"/>
  <c r="TX100" i="83"/>
  <c r="ED129" i="83"/>
  <c r="EG129" i="83"/>
  <c r="EC129" i="83"/>
  <c r="EF129" i="83"/>
  <c r="EE129" i="83"/>
  <c r="AF133" i="83"/>
  <c r="AI133" i="83"/>
  <c r="AE133" i="83"/>
  <c r="AG133" i="83"/>
  <c r="AH133" i="83"/>
  <c r="RH152" i="83"/>
  <c r="RG152" i="83"/>
  <c r="RI152" i="83"/>
  <c r="RF152" i="83"/>
  <c r="RE152" i="83"/>
  <c r="GD134" i="83"/>
  <c r="GC134" i="83"/>
  <c r="GF134" i="83"/>
  <c r="GE134" i="83"/>
  <c r="GB134" i="83"/>
  <c r="BP143" i="83"/>
  <c r="BO143" i="83"/>
  <c r="BQ143" i="83"/>
  <c r="BM143" i="83"/>
  <c r="BN143" i="83"/>
  <c r="FN127" i="83"/>
  <c r="FM127" i="83"/>
  <c r="FK127" i="83"/>
  <c r="FL127" i="83"/>
  <c r="FO127" i="83"/>
  <c r="CF129" i="83"/>
  <c r="CE129" i="83"/>
  <c r="CG129" i="83"/>
  <c r="CD129" i="83"/>
  <c r="CH129" i="83"/>
  <c r="IT151" i="83"/>
  <c r="IS151" i="83"/>
  <c r="IV151" i="83"/>
  <c r="IR151" i="83"/>
  <c r="IU151" i="83"/>
  <c r="GC112" i="83"/>
  <c r="GF112" i="83"/>
  <c r="GB112" i="83"/>
  <c r="GE112" i="83"/>
  <c r="GD112" i="83"/>
  <c r="QR161" i="83"/>
  <c r="QN161" i="83"/>
  <c r="QQ161" i="83"/>
  <c r="QP161" i="83"/>
  <c r="QO161" i="83"/>
  <c r="HL111" i="83"/>
  <c r="HK111" i="83"/>
  <c r="HJ111" i="83"/>
  <c r="HN111" i="83"/>
  <c r="HM111" i="83"/>
  <c r="KD142" i="83"/>
  <c r="JZ142" i="83"/>
  <c r="KC142" i="83"/>
  <c r="KB142" i="83"/>
  <c r="KA142" i="83"/>
  <c r="OQ150" i="83"/>
  <c r="OP150" i="83"/>
  <c r="OS150" i="83"/>
  <c r="OO150" i="83"/>
  <c r="OR150" i="83"/>
  <c r="SN151" i="83"/>
  <c r="SQ151" i="83"/>
  <c r="SM151" i="83"/>
  <c r="SP151" i="83"/>
  <c r="SO151" i="83"/>
  <c r="MR100" i="83"/>
  <c r="MQ100" i="83"/>
  <c r="MP100" i="83"/>
  <c r="MT100" i="83"/>
  <c r="MS100" i="83"/>
  <c r="RF103" i="83"/>
  <c r="RI103" i="83"/>
  <c r="RE103" i="83"/>
  <c r="RH103" i="83"/>
  <c r="RG103" i="83"/>
  <c r="AZ161" i="83"/>
  <c r="AV161" i="83"/>
  <c r="AY161" i="83"/>
  <c r="AX161" i="83"/>
  <c r="AW161" i="83"/>
  <c r="AG159" i="83"/>
  <c r="AF159" i="83"/>
  <c r="AH159" i="83"/>
  <c r="AE159" i="83"/>
  <c r="AI159" i="83"/>
  <c r="AX134" i="83"/>
  <c r="AW134" i="83"/>
  <c r="AZ134" i="83"/>
  <c r="AY134" i="83"/>
  <c r="AV134" i="83"/>
  <c r="D287" i="83"/>
  <c r="C287" i="83"/>
  <c r="PY159" i="83"/>
  <c r="PW159" i="83"/>
  <c r="QA159" i="83"/>
  <c r="PZ159" i="83"/>
  <c r="PX159" i="83"/>
  <c r="SP160" i="83"/>
  <c r="SO160" i="83"/>
  <c r="SM160" i="83"/>
  <c r="SN160" i="83"/>
  <c r="SQ160" i="83"/>
  <c r="QP134" i="83"/>
  <c r="QO134" i="83"/>
  <c r="QR134" i="83"/>
  <c r="QQ134" i="83"/>
  <c r="QN134" i="83"/>
  <c r="LV146" i="83"/>
  <c r="LX140" i="83"/>
  <c r="LW140" i="83"/>
  <c r="LV145" i="83"/>
  <c r="MB133" i="83"/>
  <c r="MA133" i="83"/>
  <c r="MC133" i="83"/>
  <c r="LY133" i="83"/>
  <c r="LZ133" i="83"/>
  <c r="DN141" i="83"/>
  <c r="DM141" i="83"/>
  <c r="DL141" i="83"/>
  <c r="DP141" i="83"/>
  <c r="DO141" i="83"/>
  <c r="JL144" i="83"/>
  <c r="JK144" i="83"/>
  <c r="JJ144" i="83"/>
  <c r="JI144" i="83"/>
  <c r="JM144" i="83"/>
  <c r="TG120" i="83"/>
  <c r="TD120" i="83"/>
  <c r="TH120" i="83"/>
  <c r="TE120" i="83"/>
  <c r="TF120" i="83"/>
  <c r="NJ101" i="83"/>
  <c r="NI101" i="83"/>
  <c r="NH101" i="83"/>
  <c r="NK101" i="83"/>
  <c r="NG101" i="83"/>
  <c r="CF130" i="83"/>
  <c r="CE130" i="83"/>
  <c r="CG130" i="83"/>
  <c r="CD130" i="83"/>
  <c r="CH130" i="83"/>
  <c r="OR119" i="83"/>
  <c r="OQ119" i="83"/>
  <c r="OP119" i="83"/>
  <c r="OS119" i="83"/>
  <c r="OO119" i="83"/>
  <c r="PZ103" i="83"/>
  <c r="PY103" i="83"/>
  <c r="PX103" i="83"/>
  <c r="QA103" i="83"/>
  <c r="PW103" i="83"/>
  <c r="GD119" i="83"/>
  <c r="GC119" i="83"/>
  <c r="GB119" i="83"/>
  <c r="GF119" i="83"/>
  <c r="GE119" i="83"/>
  <c r="RW121" i="83"/>
  <c r="RY121" i="83"/>
  <c r="RX121" i="83"/>
  <c r="RZ121" i="83"/>
  <c r="RV121" i="83"/>
  <c r="TF134" i="83"/>
  <c r="TE134" i="83"/>
  <c r="TD134" i="83"/>
  <c r="TH134" i="83"/>
  <c r="TG134" i="83"/>
  <c r="AZ110" i="83"/>
  <c r="AV110" i="83"/>
  <c r="AY110" i="83"/>
  <c r="AW110" i="83"/>
  <c r="AX110" i="83"/>
  <c r="GF128" i="83"/>
  <c r="GB128" i="83"/>
  <c r="GE128" i="83"/>
  <c r="GD128" i="83"/>
  <c r="GC128" i="83"/>
  <c r="HX146" i="83"/>
  <c r="HX145" i="83"/>
  <c r="HY140" i="83"/>
  <c r="HZ140" i="83"/>
  <c r="CH133" i="83"/>
  <c r="CD133" i="83"/>
  <c r="CG133" i="83"/>
  <c r="CE133" i="83"/>
  <c r="CF133" i="83"/>
  <c r="SQ150" i="83"/>
  <c r="SM150" i="83"/>
  <c r="SP150" i="83"/>
  <c r="SO150" i="83"/>
  <c r="SN150" i="83"/>
  <c r="HL101" i="83"/>
  <c r="HK101" i="83"/>
  <c r="HJ101" i="83"/>
  <c r="HN101" i="83"/>
  <c r="HM101" i="83"/>
  <c r="PH128" i="83"/>
  <c r="PG128" i="83"/>
  <c r="PJ128" i="83"/>
  <c r="PF128" i="83"/>
  <c r="PI128" i="83"/>
  <c r="OP109" i="83"/>
  <c r="OS109" i="83"/>
  <c r="OO109" i="83"/>
  <c r="OQ109" i="83"/>
  <c r="OR109" i="83"/>
  <c r="IB144" i="83"/>
  <c r="IE144" i="83"/>
  <c r="IA144" i="83"/>
  <c r="ID144" i="83"/>
  <c r="IC144" i="83"/>
  <c r="NZ151" i="83"/>
  <c r="NY151" i="83"/>
  <c r="OB151" i="83"/>
  <c r="OA151" i="83"/>
  <c r="NX151" i="83"/>
  <c r="QP118" i="83"/>
  <c r="QO118" i="83"/>
  <c r="QN118" i="83"/>
  <c r="QQ118" i="83"/>
  <c r="QR118" i="83"/>
  <c r="FY105" i="83"/>
  <c r="FY104" i="83"/>
  <c r="GA99" i="83"/>
  <c r="FZ99" i="83"/>
  <c r="GF109" i="83"/>
  <c r="GB109" i="83"/>
  <c r="GE109" i="83"/>
  <c r="GC109" i="83"/>
  <c r="GD109" i="83"/>
  <c r="DN153" i="83"/>
  <c r="DM153" i="83"/>
  <c r="DP153" i="83"/>
  <c r="DO153" i="83"/>
  <c r="DL153" i="83"/>
  <c r="SN152" i="83"/>
  <c r="SQ152" i="83"/>
  <c r="SM152" i="83"/>
  <c r="SP152" i="83"/>
  <c r="SO152" i="83"/>
  <c r="HK159" i="83"/>
  <c r="HN159" i="83"/>
  <c r="HJ159" i="83"/>
  <c r="HM159" i="83"/>
  <c r="HL159" i="83"/>
  <c r="FL118" i="83"/>
  <c r="FO118" i="83"/>
  <c r="FK118" i="83"/>
  <c r="FM118" i="83"/>
  <c r="FN118" i="83"/>
  <c r="OP132" i="83"/>
  <c r="OS132" i="83"/>
  <c r="OO132" i="83"/>
  <c r="OR132" i="83"/>
  <c r="OQ132" i="83"/>
  <c r="KR134" i="83"/>
  <c r="KU134" i="83"/>
  <c r="KQ134" i="83"/>
  <c r="KS134" i="83"/>
  <c r="KT134" i="83"/>
  <c r="PT155" i="83"/>
  <c r="PT154" i="83"/>
  <c r="PV149" i="83"/>
  <c r="PU149" i="83"/>
  <c r="F270" i="83"/>
  <c r="FH164" i="83"/>
  <c r="FI158" i="83"/>
  <c r="FJ158" i="83"/>
  <c r="FH163" i="83"/>
  <c r="GD143" i="83"/>
  <c r="GC143" i="83"/>
  <c r="GF143" i="83"/>
  <c r="GE143" i="83"/>
  <c r="GB143" i="83"/>
  <c r="DI123" i="83"/>
  <c r="DJ117" i="83"/>
  <c r="DI122" i="83"/>
  <c r="DK117" i="83"/>
  <c r="IT133" i="83"/>
  <c r="IS133" i="83"/>
  <c r="IR133" i="83"/>
  <c r="IV133" i="83"/>
  <c r="IU133" i="83"/>
  <c r="HZ108" i="83"/>
  <c r="HX114" i="83"/>
  <c r="HX113" i="83"/>
  <c r="HY108" i="83"/>
  <c r="FJ108" i="83"/>
  <c r="FH114" i="83"/>
  <c r="FH113" i="83"/>
  <c r="FI108" i="83"/>
  <c r="ID109" i="83"/>
  <c r="IC109" i="83"/>
  <c r="IB109" i="83"/>
  <c r="IA109" i="83"/>
  <c r="IE109" i="83"/>
  <c r="IT135" i="83"/>
  <c r="IS135" i="83"/>
  <c r="IR135" i="83"/>
  <c r="IV135" i="83"/>
  <c r="IU135" i="83"/>
  <c r="DN151" i="83"/>
  <c r="DM151" i="83"/>
  <c r="DP151" i="83"/>
  <c r="DO151" i="83"/>
  <c r="DL151" i="83"/>
  <c r="CV153" i="83"/>
  <c r="CY153" i="83"/>
  <c r="CU153" i="83"/>
  <c r="CX153" i="83"/>
  <c r="CW153" i="83"/>
  <c r="CF109" i="83"/>
  <c r="CE109" i="83"/>
  <c r="CD109" i="83"/>
  <c r="CH109" i="83"/>
  <c r="CG109" i="83"/>
  <c r="EQ137" i="83"/>
  <c r="EQ136" i="83"/>
  <c r="ER126" i="83"/>
  <c r="ES126" i="83"/>
  <c r="CR146" i="83"/>
  <c r="CS140" i="83"/>
  <c r="CT140" i="83"/>
  <c r="CR145" i="83"/>
  <c r="TA146" i="83"/>
  <c r="TA145" i="83"/>
  <c r="TB140" i="83"/>
  <c r="TC140" i="83"/>
  <c r="GF100" i="83"/>
  <c r="GB100" i="83"/>
  <c r="GE100" i="83"/>
  <c r="GC100" i="83"/>
  <c r="GD100" i="83"/>
  <c r="NH118" i="83"/>
  <c r="NK118" i="83"/>
  <c r="NG118" i="83"/>
  <c r="NI118" i="83"/>
  <c r="NJ118" i="83"/>
  <c r="JM121" i="83"/>
  <c r="JI121" i="83"/>
  <c r="JL121" i="83"/>
  <c r="JK121" i="83"/>
  <c r="JJ121" i="83"/>
  <c r="TF133" i="83"/>
  <c r="TE133" i="83"/>
  <c r="TD133" i="83"/>
  <c r="TH133" i="83"/>
  <c r="TG133" i="83"/>
  <c r="GT103" i="83"/>
  <c r="GW103" i="83"/>
  <c r="GS103" i="83"/>
  <c r="GU103" i="83"/>
  <c r="GV103" i="83"/>
  <c r="JJ111" i="83"/>
  <c r="JM111" i="83"/>
  <c r="JI111" i="83"/>
  <c r="JK111" i="83"/>
  <c r="JL111" i="83"/>
  <c r="RZ141" i="83"/>
  <c r="RV141" i="83"/>
  <c r="RY141" i="83"/>
  <c r="RW141" i="83"/>
  <c r="RX141" i="83"/>
  <c r="JL153" i="83"/>
  <c r="JK153" i="83"/>
  <c r="JI153" i="83"/>
  <c r="JJ153" i="83"/>
  <c r="JM153" i="83"/>
  <c r="AX133" i="83"/>
  <c r="AW133" i="83"/>
  <c r="AZ133" i="83"/>
  <c r="AY133" i="83"/>
  <c r="AV133" i="83"/>
  <c r="RC149" i="83"/>
  <c r="RB155" i="83"/>
  <c r="RB154" i="83"/>
  <c r="RD149" i="83"/>
  <c r="ID128" i="83"/>
  <c r="IC128" i="83"/>
  <c r="IE128" i="83"/>
  <c r="IB128" i="83"/>
  <c r="IA128" i="83"/>
  <c r="TA123" i="83"/>
  <c r="TA122" i="83"/>
  <c r="TB117" i="83"/>
  <c r="TC117" i="83"/>
  <c r="RB123" i="83"/>
  <c r="RD117" i="83"/>
  <c r="RC117" i="83"/>
  <c r="RB122" i="83"/>
  <c r="OR141" i="83"/>
  <c r="OQ141" i="83"/>
  <c r="OP141" i="83"/>
  <c r="OO141" i="83"/>
  <c r="OS141" i="83"/>
  <c r="BN102" i="83"/>
  <c r="BQ102" i="83"/>
  <c r="BM102" i="83"/>
  <c r="BP102" i="83"/>
  <c r="BO102" i="83"/>
  <c r="HK121" i="83"/>
  <c r="HM121" i="83"/>
  <c r="HL121" i="83"/>
  <c r="HJ121" i="83"/>
  <c r="HN121" i="83"/>
  <c r="KR152" i="83"/>
  <c r="KU152" i="83"/>
  <c r="KQ152" i="83"/>
  <c r="KS152" i="83"/>
  <c r="KT152" i="83"/>
  <c r="IV111" i="83"/>
  <c r="IR111" i="83"/>
  <c r="IU111" i="83"/>
  <c r="IT111" i="83"/>
  <c r="IS111" i="83"/>
  <c r="DZ105" i="83"/>
  <c r="DZ104" i="83"/>
  <c r="EB99" i="83"/>
  <c r="EA99" i="83"/>
  <c r="IV132" i="83"/>
  <c r="IR132" i="83"/>
  <c r="IU132" i="83"/>
  <c r="IT132" i="83"/>
  <c r="IS132" i="83"/>
  <c r="OS120" i="83"/>
  <c r="OO120" i="83"/>
  <c r="OQ120" i="83"/>
  <c r="OP120" i="83"/>
  <c r="OR120" i="83"/>
  <c r="NK112" i="83"/>
  <c r="NG112" i="83"/>
  <c r="NJ112" i="83"/>
  <c r="NI112" i="83"/>
  <c r="NH112" i="83"/>
  <c r="EV129" i="83"/>
  <c r="EU129" i="83"/>
  <c r="EX129" i="83"/>
  <c r="ET129" i="83"/>
  <c r="EW129" i="83"/>
  <c r="OA120" i="83"/>
  <c r="NZ120" i="83"/>
  <c r="NY120" i="83"/>
  <c r="OB120" i="83"/>
  <c r="NX120" i="83"/>
  <c r="PJ135" i="83"/>
  <c r="PF135" i="83"/>
  <c r="PI135" i="83"/>
  <c r="PH135" i="83"/>
  <c r="PG135" i="83"/>
  <c r="HX164" i="83"/>
  <c r="HY158" i="83"/>
  <c r="HX163" i="83"/>
  <c r="HZ158" i="83"/>
  <c r="AX152" i="83"/>
  <c r="AW152" i="83"/>
  <c r="AY152" i="83"/>
  <c r="AV152" i="83"/>
  <c r="AZ152" i="83"/>
  <c r="MB119" i="83"/>
  <c r="MA119" i="83"/>
  <c r="LZ119" i="83"/>
  <c r="MC119" i="83"/>
  <c r="LY119" i="83"/>
  <c r="AH131" i="83"/>
  <c r="AG131" i="83"/>
  <c r="AE131" i="83"/>
  <c r="AI131" i="83"/>
  <c r="AF131" i="83"/>
  <c r="BL126" i="83"/>
  <c r="BJ137" i="83"/>
  <c r="BJ136" i="83"/>
  <c r="BK126" i="83"/>
  <c r="MT153" i="83"/>
  <c r="MP153" i="83"/>
  <c r="MS153" i="83"/>
  <c r="MR153" i="83"/>
  <c r="MQ153" i="83"/>
  <c r="KS121" i="83"/>
  <c r="KT121" i="83"/>
  <c r="KR121" i="83"/>
  <c r="KU121" i="83"/>
  <c r="KQ121" i="83"/>
  <c r="PH131" i="83"/>
  <c r="PG131" i="83"/>
  <c r="PJ131" i="83"/>
  <c r="PF131" i="83"/>
  <c r="PI131" i="83"/>
  <c r="CH141" i="83"/>
  <c r="CD141" i="83"/>
  <c r="CG141" i="83"/>
  <c r="CE141" i="83"/>
  <c r="CF141" i="83"/>
  <c r="PJ153" i="83"/>
  <c r="PF153" i="83"/>
  <c r="PI153" i="83"/>
  <c r="PH153" i="83"/>
  <c r="PG153" i="83"/>
  <c r="DI114" i="83"/>
  <c r="DI113" i="83"/>
  <c r="DK108" i="83"/>
  <c r="DJ108" i="83"/>
  <c r="PT123" i="83"/>
  <c r="PT122" i="83"/>
  <c r="PU117" i="83"/>
  <c r="PV117" i="83"/>
  <c r="LE163" i="83"/>
  <c r="LE164" i="83"/>
  <c r="LG158" i="83"/>
  <c r="LF158" i="83"/>
  <c r="QQ159" i="83"/>
  <c r="QR159" i="83"/>
  <c r="QP159" i="83"/>
  <c r="QO159" i="83"/>
  <c r="QN159" i="83"/>
  <c r="MS150" i="83"/>
  <c r="MR150" i="83"/>
  <c r="MT150" i="83"/>
  <c r="MQ150" i="83"/>
  <c r="MP150" i="83"/>
  <c r="LJ134" i="83"/>
  <c r="LI134" i="83"/>
  <c r="LL134" i="83"/>
  <c r="LK134" i="83"/>
  <c r="LH134" i="83"/>
  <c r="LU156" i="83"/>
  <c r="NZ134" i="83"/>
  <c r="NY134" i="83"/>
  <c r="NX134" i="83"/>
  <c r="OB134" i="83"/>
  <c r="OA134" i="83"/>
  <c r="EF153" i="83"/>
  <c r="EE153" i="83"/>
  <c r="EC153" i="83"/>
  <c r="EG153" i="83"/>
  <c r="ED153" i="83"/>
  <c r="TX133" i="83"/>
  <c r="TW133" i="83"/>
  <c r="TV133" i="83"/>
  <c r="TU133" i="83"/>
  <c r="TY133" i="83"/>
  <c r="PZ131" i="83"/>
  <c r="PY131" i="83"/>
  <c r="PW131" i="83"/>
  <c r="PX131" i="83"/>
  <c r="QA131" i="83"/>
  <c r="QQ120" i="83"/>
  <c r="QR120" i="83"/>
  <c r="QP120" i="83"/>
  <c r="QO120" i="83"/>
  <c r="QN120" i="83"/>
  <c r="RS137" i="83"/>
  <c r="RS136" i="83"/>
  <c r="RT126" i="83"/>
  <c r="RU126" i="83"/>
  <c r="CQ106" i="83"/>
  <c r="KP108" i="83"/>
  <c r="KN114" i="83"/>
  <c r="KN113" i="83"/>
  <c r="KO108" i="83"/>
  <c r="KT101" i="83"/>
  <c r="KS101" i="83"/>
  <c r="KU101" i="83"/>
  <c r="KR101" i="83"/>
  <c r="KQ101" i="83"/>
  <c r="HL129" i="83"/>
  <c r="HK129" i="83"/>
  <c r="HM129" i="83"/>
  <c r="HJ129" i="83"/>
  <c r="HN129" i="83"/>
  <c r="DP109" i="83"/>
  <c r="DL109" i="83"/>
  <c r="DO109" i="83"/>
  <c r="DM109" i="83"/>
  <c r="DN109" i="83"/>
  <c r="LU115" i="83"/>
  <c r="OL114" i="83"/>
  <c r="OL113" i="83"/>
  <c r="OM108" i="83"/>
  <c r="ON108" i="83"/>
  <c r="LD138" i="83"/>
  <c r="IC159" i="83"/>
  <c r="IB159" i="83"/>
  <c r="IE159" i="83"/>
  <c r="ID159" i="83"/>
  <c r="IA159" i="83"/>
  <c r="KB129" i="83"/>
  <c r="KA129" i="83"/>
  <c r="KD129" i="83"/>
  <c r="KC129" i="83"/>
  <c r="JZ129" i="83"/>
  <c r="LD124" i="83"/>
  <c r="PH129" i="83"/>
  <c r="PG129" i="83"/>
  <c r="PJ129" i="83"/>
  <c r="PF129" i="83"/>
  <c r="PI129" i="83"/>
  <c r="RR106" i="83"/>
  <c r="TV127" i="83"/>
  <c r="TY127" i="83"/>
  <c r="TU127" i="83"/>
  <c r="TX127" i="83"/>
  <c r="TW127" i="83"/>
  <c r="AA147" i="83"/>
  <c r="RX161" i="83"/>
  <c r="RW161" i="83"/>
  <c r="RZ161" i="83"/>
  <c r="RY161" i="83"/>
  <c r="RV161" i="83"/>
  <c r="NT106" i="83"/>
  <c r="BN109" i="83"/>
  <c r="BQ109" i="83"/>
  <c r="BM109" i="83"/>
  <c r="BO109" i="83"/>
  <c r="BP109" i="83"/>
  <c r="SJ155" i="83"/>
  <c r="SJ154" i="83"/>
  <c r="SL149" i="83"/>
  <c r="SK149" i="83"/>
  <c r="IB153" i="83"/>
  <c r="IE153" i="83"/>
  <c r="IA153" i="83"/>
  <c r="ID153" i="83"/>
  <c r="IC153" i="83"/>
  <c r="JV138" i="83"/>
  <c r="NU114" i="83"/>
  <c r="NU113" i="83"/>
  <c r="NW108" i="83"/>
  <c r="NV108" i="83"/>
  <c r="QO112" i="83"/>
  <c r="QR112" i="83"/>
  <c r="QN112" i="83"/>
  <c r="QQ112" i="83"/>
  <c r="QP112" i="83"/>
  <c r="KB128" i="83"/>
  <c r="KA128" i="83"/>
  <c r="KD128" i="83"/>
  <c r="KC128" i="83"/>
  <c r="JZ128" i="83"/>
  <c r="EP124" i="83"/>
  <c r="TX151" i="83"/>
  <c r="TW151" i="83"/>
  <c r="TU151" i="83"/>
  <c r="TY151" i="83"/>
  <c r="TV151" i="83"/>
  <c r="GD144" i="83"/>
  <c r="GC144" i="83"/>
  <c r="GF144" i="83"/>
  <c r="GE144" i="83"/>
  <c r="GB144" i="83"/>
  <c r="NJ132" i="83"/>
  <c r="NI132" i="83"/>
  <c r="NK132" i="83"/>
  <c r="NH132" i="83"/>
  <c r="NG132" i="83"/>
  <c r="FM120" i="83"/>
  <c r="FK120" i="83"/>
  <c r="FO120" i="83"/>
  <c r="FL120" i="83"/>
  <c r="FN120" i="83"/>
  <c r="OR143" i="83"/>
  <c r="OQ143" i="83"/>
  <c r="OP143" i="83"/>
  <c r="OO143" i="83"/>
  <c r="OS143" i="83"/>
  <c r="FN109" i="83"/>
  <c r="FM109" i="83"/>
  <c r="FL109" i="83"/>
  <c r="FO109" i="83"/>
  <c r="FK109" i="83"/>
  <c r="KT129" i="83"/>
  <c r="KS129" i="83"/>
  <c r="KQ129" i="83"/>
  <c r="KU129" i="83"/>
  <c r="KR129" i="83"/>
  <c r="SP102" i="83"/>
  <c r="SO102" i="83"/>
  <c r="SN102" i="83"/>
  <c r="SQ102" i="83"/>
  <c r="SM102" i="83"/>
  <c r="BN110" i="83"/>
  <c r="BQ110" i="83"/>
  <c r="BM110" i="83"/>
  <c r="BP110" i="83"/>
  <c r="BO110" i="83"/>
  <c r="GT127" i="83"/>
  <c r="GW127" i="83"/>
  <c r="GS127" i="83"/>
  <c r="GU127" i="83"/>
  <c r="GV127" i="83"/>
  <c r="KR151" i="83"/>
  <c r="KU151" i="83"/>
  <c r="KQ151" i="83"/>
  <c r="KS151" i="83"/>
  <c r="KT151" i="83"/>
  <c r="KS120" i="83"/>
  <c r="KT120" i="83"/>
  <c r="KR120" i="83"/>
  <c r="KU120" i="83"/>
  <c r="KQ120" i="83"/>
  <c r="PH130" i="83"/>
  <c r="PG130" i="83"/>
  <c r="PJ130" i="83"/>
  <c r="PF130" i="83"/>
  <c r="PI130" i="83"/>
  <c r="MT119" i="83"/>
  <c r="MP119" i="83"/>
  <c r="MS119" i="83"/>
  <c r="MQ119" i="83"/>
  <c r="MR119" i="83"/>
  <c r="OP110" i="83"/>
  <c r="OS110" i="83"/>
  <c r="OO110" i="83"/>
  <c r="OQ110" i="83"/>
  <c r="OR110" i="83"/>
  <c r="HL161" i="83"/>
  <c r="HK161" i="83"/>
  <c r="HN161" i="83"/>
  <c r="HM161" i="83"/>
  <c r="HJ161" i="83"/>
  <c r="JE165" i="83"/>
  <c r="OB100" i="83"/>
  <c r="NX100" i="83"/>
  <c r="OA100" i="83"/>
  <c r="NY100" i="83"/>
  <c r="NZ100" i="83"/>
  <c r="TV162" i="83"/>
  <c r="TY162" i="83"/>
  <c r="TU162" i="83"/>
  <c r="TW162" i="83"/>
  <c r="TX162" i="83"/>
  <c r="GF102" i="83"/>
  <c r="GB102" i="83"/>
  <c r="GE102" i="83"/>
  <c r="GC102" i="83"/>
  <c r="GD102" i="83"/>
  <c r="CV134" i="83"/>
  <c r="CY134" i="83"/>
  <c r="CU134" i="83"/>
  <c r="CX134" i="83"/>
  <c r="CW134" i="83"/>
  <c r="IV131" i="83"/>
  <c r="IR131" i="83"/>
  <c r="IU131" i="83"/>
  <c r="IT131" i="83"/>
  <c r="IS131" i="83"/>
  <c r="PJ134" i="83"/>
  <c r="PF134" i="83"/>
  <c r="PI134" i="83"/>
  <c r="PH134" i="83"/>
  <c r="PG134" i="83"/>
  <c r="IT152" i="83"/>
  <c r="IS152" i="83"/>
  <c r="IV152" i="83"/>
  <c r="IR152" i="83"/>
  <c r="IU152" i="83"/>
  <c r="PZ161" i="83"/>
  <c r="PY161" i="83"/>
  <c r="QA161" i="83"/>
  <c r="PX161" i="83"/>
  <c r="PW161" i="83"/>
  <c r="JL151" i="83"/>
  <c r="JK151" i="83"/>
  <c r="JI151" i="83"/>
  <c r="JJ151" i="83"/>
  <c r="JM151" i="83"/>
  <c r="AX144" i="83"/>
  <c r="AW144" i="83"/>
  <c r="AZ144" i="83"/>
  <c r="AY144" i="83"/>
  <c r="AV144" i="83"/>
  <c r="KT160" i="83"/>
  <c r="KS160" i="83"/>
  <c r="KU160" i="83"/>
  <c r="KR160" i="83"/>
  <c r="KQ160" i="83"/>
  <c r="GV152" i="83"/>
  <c r="GU152" i="83"/>
  <c r="GW152" i="83"/>
  <c r="GT152" i="83"/>
  <c r="GS152" i="83"/>
  <c r="NJ161" i="83"/>
  <c r="NI161" i="83"/>
  <c r="NG161" i="83"/>
  <c r="NK161" i="83"/>
  <c r="NH161" i="83"/>
  <c r="FM159" i="83"/>
  <c r="FL159" i="83"/>
  <c r="FN159" i="83"/>
  <c r="FK159" i="83"/>
  <c r="FO159" i="83"/>
  <c r="QP141" i="83"/>
  <c r="QO141" i="83"/>
  <c r="QR141" i="83"/>
  <c r="QQ141" i="83"/>
  <c r="QN141" i="83"/>
  <c r="MB144" i="83"/>
  <c r="MA144" i="83"/>
  <c r="MC144" i="83"/>
  <c r="LY144" i="83"/>
  <c r="LZ144" i="83"/>
  <c r="CX131" i="83"/>
  <c r="CW131" i="83"/>
  <c r="CY131" i="83"/>
  <c r="CV131" i="83"/>
  <c r="CU131" i="83"/>
  <c r="CX127" i="83"/>
  <c r="CW127" i="83"/>
  <c r="CY127" i="83"/>
  <c r="CV127" i="83"/>
  <c r="CU127" i="83"/>
  <c r="NJ162" i="83"/>
  <c r="NI162" i="83"/>
  <c r="NG162" i="83"/>
  <c r="NK162" i="83"/>
  <c r="NH162" i="83"/>
  <c r="FN130" i="83"/>
  <c r="FM130" i="83"/>
  <c r="FK130" i="83"/>
  <c r="FL130" i="83"/>
  <c r="FO130" i="83"/>
  <c r="NU123" i="83"/>
  <c r="NV117" i="83"/>
  <c r="NU122" i="83"/>
  <c r="NW117" i="83"/>
  <c r="KB102" i="83"/>
  <c r="KA102" i="83"/>
  <c r="KD102" i="83"/>
  <c r="KC102" i="83"/>
  <c r="JZ102" i="83"/>
  <c r="KB100" i="83"/>
  <c r="KA100" i="83"/>
  <c r="KD100" i="83"/>
  <c r="KC100" i="83"/>
  <c r="JZ100" i="83"/>
  <c r="IU120" i="83"/>
  <c r="IR120" i="83"/>
  <c r="IV120" i="83"/>
  <c r="IS120" i="83"/>
  <c r="IT120" i="83"/>
  <c r="RX127" i="83"/>
  <c r="RW127" i="83"/>
  <c r="RY127" i="83"/>
  <c r="RV127" i="83"/>
  <c r="RZ127" i="83"/>
  <c r="OR135" i="83"/>
  <c r="OQ135" i="83"/>
  <c r="OP135" i="83"/>
  <c r="OO135" i="83"/>
  <c r="OS135" i="83"/>
  <c r="PZ110" i="83"/>
  <c r="PY110" i="83"/>
  <c r="QA110" i="83"/>
  <c r="PX110" i="83"/>
  <c r="PW110" i="83"/>
  <c r="PS106" i="83"/>
  <c r="KP126" i="83"/>
  <c r="KO126" i="83"/>
  <c r="KN137" i="83"/>
  <c r="KN136" i="83"/>
  <c r="MB118" i="83"/>
  <c r="MA118" i="83"/>
  <c r="LZ118" i="83"/>
  <c r="LY118" i="83"/>
  <c r="MC118" i="83"/>
  <c r="SI115" i="83"/>
  <c r="DP130" i="83"/>
  <c r="DL130" i="83"/>
  <c r="DO130" i="83"/>
  <c r="DM130" i="83"/>
  <c r="DN130" i="83"/>
  <c r="DM150" i="83"/>
  <c r="DP150" i="83"/>
  <c r="DL150" i="83"/>
  <c r="DO150" i="83"/>
  <c r="DN150" i="83"/>
  <c r="F268" i="83"/>
  <c r="ID160" i="83"/>
  <c r="IC160" i="83"/>
  <c r="IA160" i="83"/>
  <c r="IB160" i="83"/>
  <c r="IE160" i="83"/>
  <c r="JL152" i="83"/>
  <c r="JK152" i="83"/>
  <c r="JI152" i="83"/>
  <c r="JJ152" i="83"/>
  <c r="JM152" i="83"/>
  <c r="EW150" i="83"/>
  <c r="EV150" i="83"/>
  <c r="ET150" i="83"/>
  <c r="EX150" i="83"/>
  <c r="EU150" i="83"/>
  <c r="LJ135" i="83"/>
  <c r="LI135" i="83"/>
  <c r="LL135" i="83"/>
  <c r="LK135" i="83"/>
  <c r="LH135" i="83"/>
  <c r="LJ133" i="83"/>
  <c r="LI133" i="83"/>
  <c r="LL133" i="83"/>
  <c r="LK133" i="83"/>
  <c r="LH133" i="83"/>
  <c r="GP146" i="83"/>
  <c r="GR140" i="83"/>
  <c r="GQ140" i="83"/>
  <c r="GP145" i="83"/>
  <c r="GV135" i="83"/>
  <c r="GU135" i="83"/>
  <c r="GW135" i="83"/>
  <c r="GS135" i="83"/>
  <c r="GT135" i="83"/>
  <c r="GV133" i="83"/>
  <c r="GU133" i="83"/>
  <c r="GW133" i="83"/>
  <c r="GT133" i="83"/>
  <c r="GS133" i="83"/>
  <c r="SL126" i="83"/>
  <c r="SK126" i="83"/>
  <c r="SJ137" i="83"/>
  <c r="SJ136" i="83"/>
  <c r="TX143" i="83"/>
  <c r="TW143" i="83"/>
  <c r="TV143" i="83"/>
  <c r="TU143" i="83"/>
  <c r="TY143" i="83"/>
  <c r="TX135" i="83"/>
  <c r="TW135" i="83"/>
  <c r="TV135" i="83"/>
  <c r="TU135" i="83"/>
  <c r="TY135" i="83"/>
  <c r="DO159" i="83"/>
  <c r="DN159" i="83"/>
  <c r="DL159" i="83"/>
  <c r="DP159" i="83"/>
  <c r="DM159" i="83"/>
  <c r="EF142" i="83"/>
  <c r="EE142" i="83"/>
  <c r="ED142" i="83"/>
  <c r="EC142" i="83"/>
  <c r="EG142" i="83"/>
  <c r="PZ129" i="83"/>
  <c r="PY129" i="83"/>
  <c r="PW129" i="83"/>
  <c r="QA129" i="83"/>
  <c r="PX129" i="83"/>
  <c r="TG121" i="83"/>
  <c r="TD121" i="83"/>
  <c r="TH121" i="83"/>
  <c r="TF121" i="83"/>
  <c r="TE121" i="83"/>
  <c r="EV111" i="83"/>
  <c r="EU111" i="83"/>
  <c r="EX111" i="83"/>
  <c r="EW111" i="83"/>
  <c r="ET111" i="83"/>
  <c r="EV109" i="83"/>
  <c r="EU109" i="83"/>
  <c r="EX109" i="83"/>
  <c r="ET109" i="83"/>
  <c r="EW109" i="83"/>
  <c r="ER108" i="83"/>
  <c r="EQ114" i="83"/>
  <c r="EQ113" i="83"/>
  <c r="ES108" i="83"/>
  <c r="HL131" i="83"/>
  <c r="HK131" i="83"/>
  <c r="HM131" i="83"/>
  <c r="HJ131" i="83"/>
  <c r="HN131" i="83"/>
  <c r="RH118" i="83"/>
  <c r="RG118" i="83"/>
  <c r="RF118" i="83"/>
  <c r="RI118" i="83"/>
  <c r="RE118" i="83"/>
  <c r="CX111" i="83"/>
  <c r="CW111" i="83"/>
  <c r="CV111" i="83"/>
  <c r="CY111" i="83"/>
  <c r="CU111" i="83"/>
  <c r="CR105" i="83"/>
  <c r="CR104" i="83"/>
  <c r="CT99" i="83"/>
  <c r="CS99" i="83"/>
  <c r="EF134" i="83"/>
  <c r="EE134" i="83"/>
  <c r="ED134" i="83"/>
  <c r="EC134" i="83"/>
  <c r="EG134" i="83"/>
  <c r="MQ121" i="83"/>
  <c r="MP121" i="83"/>
  <c r="MT121" i="83"/>
  <c r="MS121" i="83"/>
  <c r="MR121" i="83"/>
  <c r="JL118" i="83"/>
  <c r="JK118" i="83"/>
  <c r="JM118" i="83"/>
  <c r="JJ118" i="83"/>
  <c r="JI118" i="83"/>
  <c r="KT102" i="83"/>
  <c r="KS102" i="83"/>
  <c r="KU102" i="83"/>
  <c r="KR102" i="83"/>
  <c r="KQ102" i="83"/>
  <c r="KT100" i="83"/>
  <c r="KS100" i="83"/>
  <c r="KU100" i="83"/>
  <c r="KR100" i="83"/>
  <c r="KQ100" i="83"/>
  <c r="SJ105" i="83"/>
  <c r="SJ104" i="83"/>
  <c r="SL99" i="83"/>
  <c r="SK99" i="83"/>
  <c r="DP100" i="83"/>
  <c r="DL100" i="83"/>
  <c r="DO100" i="83"/>
  <c r="DM100" i="83"/>
  <c r="DN100" i="83"/>
  <c r="GT130" i="83"/>
  <c r="GW130" i="83"/>
  <c r="GS130" i="83"/>
  <c r="GU130" i="83"/>
  <c r="GV130" i="83"/>
  <c r="LZ111" i="83"/>
  <c r="MC111" i="83"/>
  <c r="LY111" i="83"/>
  <c r="MA111" i="83"/>
  <c r="MB111" i="83"/>
  <c r="OK115" i="83"/>
  <c r="LL110" i="83"/>
  <c r="LH110" i="83"/>
  <c r="LK110" i="83"/>
  <c r="LI110" i="83"/>
  <c r="LJ110" i="83"/>
  <c r="LE137" i="83"/>
  <c r="LE136" i="83"/>
  <c r="LG126" i="83"/>
  <c r="LF126" i="83"/>
  <c r="QR128" i="83"/>
  <c r="QN128" i="83"/>
  <c r="QQ128" i="83"/>
  <c r="QP128" i="83"/>
  <c r="QO128" i="83"/>
  <c r="TE132" i="83"/>
  <c r="TF132" i="83"/>
  <c r="TD132" i="83"/>
  <c r="TH132" i="83"/>
  <c r="TG132" i="83"/>
  <c r="EE150" i="83"/>
  <c r="ED150" i="83"/>
  <c r="EG150" i="83"/>
  <c r="EC150" i="83"/>
  <c r="EF150" i="83"/>
  <c r="NY150" i="83"/>
  <c r="OB150" i="83"/>
  <c r="NX150" i="83"/>
  <c r="OA150" i="83"/>
  <c r="NZ150" i="83"/>
  <c r="RX160" i="83"/>
  <c r="RW160" i="83"/>
  <c r="RZ160" i="83"/>
  <c r="RY160" i="83"/>
  <c r="RV160" i="83"/>
  <c r="HL162" i="83"/>
  <c r="HK162" i="83"/>
  <c r="HN162" i="83"/>
  <c r="HM162" i="83"/>
  <c r="HJ162" i="83"/>
  <c r="MR160" i="83"/>
  <c r="MQ160" i="83"/>
  <c r="MT160" i="83"/>
  <c r="MS160" i="83"/>
  <c r="MP160" i="83"/>
  <c r="MA112" i="83"/>
  <c r="LZ112" i="83"/>
  <c r="MC112" i="83"/>
  <c r="MB112" i="83"/>
  <c r="LY112" i="83"/>
  <c r="LE123" i="83"/>
  <c r="LF117" i="83"/>
  <c r="LG117" i="83"/>
  <c r="LE122" i="83"/>
  <c r="RS105" i="83"/>
  <c r="RS104" i="83"/>
  <c r="RT99" i="83"/>
  <c r="RU99" i="83"/>
  <c r="TH103" i="83"/>
  <c r="TD103" i="83"/>
  <c r="TG103" i="83"/>
  <c r="TF103" i="83"/>
  <c r="TE103" i="83"/>
  <c r="PX118" i="83"/>
  <c r="QA118" i="83"/>
  <c r="PW118" i="83"/>
  <c r="PZ118" i="83"/>
  <c r="PY118" i="83"/>
  <c r="ED102" i="83"/>
  <c r="EG102" i="83"/>
  <c r="EC102" i="83"/>
  <c r="EE102" i="83"/>
  <c r="EF102" i="83"/>
  <c r="FY114" i="83"/>
  <c r="FY113" i="83"/>
  <c r="GA108" i="83"/>
  <c r="FZ108" i="83"/>
  <c r="MC120" i="83"/>
  <c r="LY120" i="83"/>
  <c r="LZ120" i="83"/>
  <c r="MB120" i="83"/>
  <c r="MA120" i="83"/>
  <c r="TV129" i="83"/>
  <c r="TY129" i="83"/>
  <c r="TU129" i="83"/>
  <c r="TX129" i="83"/>
  <c r="TW129" i="83"/>
  <c r="TY120" i="83"/>
  <c r="TU120" i="83"/>
  <c r="TX120" i="83"/>
  <c r="TW120" i="83"/>
  <c r="TV120" i="83"/>
  <c r="FL152" i="83"/>
  <c r="FO152" i="83"/>
  <c r="FK152" i="83"/>
  <c r="FN152" i="83"/>
  <c r="FM152" i="83"/>
  <c r="FL134" i="83"/>
  <c r="FO134" i="83"/>
  <c r="FK134" i="83"/>
  <c r="FM134" i="83"/>
  <c r="FN134" i="83"/>
  <c r="TF153" i="83"/>
  <c r="TE153" i="83"/>
  <c r="TH153" i="83"/>
  <c r="TD153" i="83"/>
  <c r="TG153" i="83"/>
  <c r="CF162" i="83"/>
  <c r="CE162" i="83"/>
  <c r="CH162" i="83"/>
  <c r="CG162" i="83"/>
  <c r="CD162" i="83"/>
  <c r="HL102" i="83"/>
  <c r="HK102" i="83"/>
  <c r="HJ102" i="83"/>
  <c r="HM102" i="83"/>
  <c r="HN102" i="83"/>
  <c r="CF111" i="83"/>
  <c r="CE111" i="83"/>
  <c r="CD111" i="83"/>
  <c r="CH111" i="83"/>
  <c r="CG111" i="83"/>
  <c r="NU105" i="83"/>
  <c r="NU104" i="83"/>
  <c r="NW99" i="83"/>
  <c r="NV99" i="83"/>
  <c r="DP127" i="83"/>
  <c r="DL127" i="83"/>
  <c r="DO127" i="83"/>
  <c r="DM127" i="83"/>
  <c r="DN127" i="83"/>
  <c r="RW120" i="83"/>
  <c r="RY120" i="83"/>
  <c r="RX120" i="83"/>
  <c r="RV120" i="83"/>
  <c r="RZ120" i="83"/>
  <c r="BN100" i="83"/>
  <c r="BQ100" i="83"/>
  <c r="BM100" i="83"/>
  <c r="BO100" i="83"/>
  <c r="BP100" i="83"/>
  <c r="MM123" i="83"/>
  <c r="MM122" i="83"/>
  <c r="MO117" i="83"/>
  <c r="MN117" i="83"/>
  <c r="CR155" i="83"/>
  <c r="CR154" i="83"/>
  <c r="CT149" i="83"/>
  <c r="CS149" i="83"/>
  <c r="PJ143" i="83"/>
  <c r="PF143" i="83"/>
  <c r="PI143" i="83"/>
  <c r="PH143" i="83"/>
  <c r="PG143" i="83"/>
  <c r="IB151" i="83"/>
  <c r="IE151" i="83"/>
  <c r="IA151" i="83"/>
  <c r="ID151" i="83"/>
  <c r="IC151" i="83"/>
  <c r="RW159" i="83"/>
  <c r="RY159" i="83"/>
  <c r="RX159" i="83"/>
  <c r="RV159" i="83"/>
  <c r="RZ159" i="83"/>
  <c r="AX119" i="83"/>
  <c r="AW119" i="83"/>
  <c r="AV119" i="83"/>
  <c r="AZ119" i="83"/>
  <c r="AY119" i="83"/>
  <c r="JW137" i="83"/>
  <c r="JW136" i="83"/>
  <c r="JX126" i="83"/>
  <c r="JY126" i="83"/>
  <c r="TH111" i="83"/>
  <c r="TD111" i="83"/>
  <c r="TG111" i="83"/>
  <c r="TF111" i="83"/>
  <c r="TE111" i="83"/>
  <c r="OB131" i="83"/>
  <c r="NX131" i="83"/>
  <c r="OA131" i="83"/>
  <c r="NY131" i="83"/>
  <c r="NZ131" i="83"/>
  <c r="CA105" i="83"/>
  <c r="CA104" i="83"/>
  <c r="CB99" i="83"/>
  <c r="CC99" i="83"/>
  <c r="IV102" i="83"/>
  <c r="IR102" i="83"/>
  <c r="IU102" i="83"/>
  <c r="IT102" i="83"/>
  <c r="IS102" i="83"/>
  <c r="CH119" i="83"/>
  <c r="CD119" i="83"/>
  <c r="CG119" i="83"/>
  <c r="CE119" i="83"/>
  <c r="CF119" i="83"/>
  <c r="TV102" i="83"/>
  <c r="TY102" i="83"/>
  <c r="TU102" i="83"/>
  <c r="TW102" i="83"/>
  <c r="TX102" i="83"/>
  <c r="EQ123" i="83"/>
  <c r="EQ122" i="83"/>
  <c r="ES117" i="83"/>
  <c r="ER117" i="83"/>
  <c r="EX119" i="83"/>
  <c r="ET119" i="83"/>
  <c r="EW119" i="83"/>
  <c r="EU119" i="83"/>
  <c r="EV119" i="83"/>
  <c r="LZ161" i="83"/>
  <c r="MC161" i="83"/>
  <c r="LY161" i="83"/>
  <c r="MB161" i="83"/>
  <c r="MA161" i="83"/>
  <c r="AH162" i="83"/>
  <c r="AG162" i="83"/>
  <c r="AI162" i="83"/>
  <c r="AF162" i="83"/>
  <c r="AE162" i="83"/>
  <c r="PH160" i="83"/>
  <c r="PG160" i="83"/>
  <c r="PI160" i="83"/>
  <c r="PF160" i="83"/>
  <c r="PJ160" i="83"/>
  <c r="GD142" i="83"/>
  <c r="GC142" i="83"/>
  <c r="GF142" i="83"/>
  <c r="GE142" i="83"/>
  <c r="GB142" i="83"/>
  <c r="DN142" i="83"/>
  <c r="DM142" i="83"/>
  <c r="DL142" i="83"/>
  <c r="DP142" i="83"/>
  <c r="DO142" i="83"/>
  <c r="DH147" i="83"/>
  <c r="NJ130" i="83"/>
  <c r="NI130" i="83"/>
  <c r="NK130" i="83"/>
  <c r="NH130" i="83"/>
  <c r="NG130" i="83"/>
  <c r="AX153" i="83"/>
  <c r="AW153" i="83"/>
  <c r="AY153" i="83"/>
  <c r="AV153" i="83"/>
  <c r="AZ153" i="83"/>
  <c r="DN118" i="83"/>
  <c r="DM118" i="83"/>
  <c r="DP118" i="83"/>
  <c r="DO118" i="83"/>
  <c r="DL118" i="83"/>
  <c r="EF152" i="83"/>
  <c r="EE152" i="83"/>
  <c r="EC152" i="83"/>
  <c r="EG152" i="83"/>
  <c r="ED152" i="83"/>
  <c r="RH119" i="83"/>
  <c r="RG119" i="83"/>
  <c r="RF119" i="83"/>
  <c r="RI119" i="83"/>
  <c r="RE119" i="83"/>
  <c r="CX103" i="83"/>
  <c r="CW103" i="83"/>
  <c r="CV103" i="83"/>
  <c r="CY103" i="83"/>
  <c r="CU103" i="83"/>
  <c r="MQ120" i="83"/>
  <c r="MP120" i="83"/>
  <c r="MT120" i="83"/>
  <c r="MS120" i="83"/>
  <c r="MR120" i="83"/>
  <c r="FN111" i="83"/>
  <c r="FM111" i="83"/>
  <c r="FK111" i="83"/>
  <c r="FO111" i="83"/>
  <c r="FL111" i="83"/>
  <c r="FN102" i="83"/>
  <c r="FM102" i="83"/>
  <c r="FL102" i="83"/>
  <c r="FO102" i="83"/>
  <c r="FK102" i="83"/>
  <c r="EF141" i="83"/>
  <c r="EE141" i="83"/>
  <c r="ED141" i="83"/>
  <c r="EC141" i="83"/>
  <c r="EG141" i="83"/>
  <c r="OR134" i="83"/>
  <c r="OQ134" i="83"/>
  <c r="OP134" i="83"/>
  <c r="OO134" i="83"/>
  <c r="OS134" i="83"/>
  <c r="NJ111" i="83"/>
  <c r="NI111" i="83"/>
  <c r="NH111" i="83"/>
  <c r="NG111" i="83"/>
  <c r="NK111" i="83"/>
  <c r="DI137" i="83"/>
  <c r="DI136" i="83"/>
  <c r="DK126" i="83"/>
  <c r="DJ126" i="83"/>
  <c r="TE112" i="83"/>
  <c r="TH112" i="83"/>
  <c r="TD112" i="83"/>
  <c r="TG112" i="83"/>
  <c r="TF112" i="83"/>
  <c r="HG146" i="83"/>
  <c r="HG145" i="83"/>
  <c r="HI140" i="83"/>
  <c r="HH140" i="83"/>
  <c r="AF144" i="83"/>
  <c r="AI144" i="83"/>
  <c r="AE144" i="83"/>
  <c r="AG144" i="83"/>
  <c r="AH144" i="83"/>
  <c r="CV151" i="83"/>
  <c r="CY151" i="83"/>
  <c r="CU151" i="83"/>
  <c r="CX151" i="83"/>
  <c r="CW151" i="83"/>
  <c r="DP160" i="83"/>
  <c r="DL160" i="83"/>
  <c r="DO160" i="83"/>
  <c r="DN160" i="83"/>
  <c r="DM160" i="83"/>
  <c r="LJ118" i="83"/>
  <c r="LI118" i="83"/>
  <c r="LH118" i="83"/>
  <c r="LL118" i="83"/>
  <c r="LK118" i="83"/>
  <c r="KB131" i="83"/>
  <c r="KA131" i="83"/>
  <c r="KD131" i="83"/>
  <c r="KC131" i="83"/>
  <c r="JZ131" i="83"/>
  <c r="CB108" i="83"/>
  <c r="CA114" i="83"/>
  <c r="CA113" i="83"/>
  <c r="CC108" i="83"/>
  <c r="OP102" i="83"/>
  <c r="OS102" i="83"/>
  <c r="OO102" i="83"/>
  <c r="OQ102" i="83"/>
  <c r="OR102" i="83"/>
  <c r="IV130" i="83"/>
  <c r="IR130" i="83"/>
  <c r="IU130" i="83"/>
  <c r="IT130" i="83"/>
  <c r="IS130" i="83"/>
  <c r="IB142" i="83"/>
  <c r="IE142" i="83"/>
  <c r="IA142" i="83"/>
  <c r="ID142" i="83"/>
  <c r="IC142" i="83"/>
  <c r="JF164" i="83"/>
  <c r="JH158" i="83"/>
  <c r="JF163" i="83"/>
  <c r="JG158" i="83"/>
  <c r="GT160" i="83"/>
  <c r="GW160" i="83"/>
  <c r="GS160" i="83"/>
  <c r="GV160" i="83"/>
  <c r="GU160" i="83"/>
  <c r="HN118" i="83"/>
  <c r="HJ118" i="83"/>
  <c r="HM118" i="83"/>
  <c r="HL118" i="83"/>
  <c r="HK118" i="83"/>
  <c r="RF129" i="83"/>
  <c r="RI129" i="83"/>
  <c r="RE129" i="83"/>
  <c r="RG129" i="83"/>
  <c r="RH129" i="83"/>
  <c r="GF110" i="83"/>
  <c r="GB110" i="83"/>
  <c r="GE110" i="83"/>
  <c r="GC110" i="83"/>
  <c r="GD110" i="83"/>
  <c r="RZ135" i="83"/>
  <c r="RV135" i="83"/>
  <c r="RY135" i="83"/>
  <c r="RW135" i="83"/>
  <c r="RX135" i="83"/>
  <c r="IS150" i="83"/>
  <c r="IV150" i="83"/>
  <c r="IR150" i="83"/>
  <c r="IU150" i="83"/>
  <c r="IT150" i="83"/>
  <c r="IV162" i="83"/>
  <c r="IR162" i="83"/>
  <c r="IU162" i="83"/>
  <c r="IT162" i="83"/>
  <c r="IS162" i="83"/>
  <c r="LZ128" i="83"/>
  <c r="MC128" i="83"/>
  <c r="LY128" i="83"/>
  <c r="MB128" i="83"/>
  <c r="MA128" i="83"/>
  <c r="EV128" i="83"/>
  <c r="EU128" i="83"/>
  <c r="EX128" i="83"/>
  <c r="ET128" i="83"/>
  <c r="EW128" i="83"/>
  <c r="MM105" i="83"/>
  <c r="MM104" i="83"/>
  <c r="MN99" i="83"/>
  <c r="MO99" i="83"/>
  <c r="JJ109" i="83"/>
  <c r="JM109" i="83"/>
  <c r="JI109" i="83"/>
  <c r="JK109" i="83"/>
  <c r="JL109" i="83"/>
  <c r="PZ162" i="83"/>
  <c r="PY162" i="83"/>
  <c r="QA162" i="83"/>
  <c r="PX162" i="83"/>
  <c r="PW162" i="83"/>
  <c r="ID161" i="83"/>
  <c r="IC161" i="83"/>
  <c r="IA161" i="83"/>
  <c r="IB161" i="83"/>
  <c r="IE161" i="83"/>
  <c r="MB152" i="83"/>
  <c r="MA152" i="83"/>
  <c r="MC152" i="83"/>
  <c r="LZ152" i="83"/>
  <c r="LY152" i="83"/>
  <c r="LJ151" i="83"/>
  <c r="LI151" i="83"/>
  <c r="LK151" i="83"/>
  <c r="LH151" i="83"/>
  <c r="LL151" i="83"/>
  <c r="AX142" i="83"/>
  <c r="AW142" i="83"/>
  <c r="AZ142" i="83"/>
  <c r="AY142" i="83"/>
  <c r="AV142" i="83"/>
  <c r="AR147" i="83"/>
  <c r="F260" i="83"/>
  <c r="F257" i="83"/>
  <c r="KT161" i="83"/>
  <c r="KS161" i="83"/>
  <c r="KU161" i="83"/>
  <c r="KR161" i="83"/>
  <c r="KQ161" i="83"/>
  <c r="KN164" i="83"/>
  <c r="KO158" i="83"/>
  <c r="KN163" i="83"/>
  <c r="KP158" i="83"/>
  <c r="GV153" i="83"/>
  <c r="GU153" i="83"/>
  <c r="GW153" i="83"/>
  <c r="GT153" i="83"/>
  <c r="GS153" i="83"/>
  <c r="GV151" i="83"/>
  <c r="GU151" i="83"/>
  <c r="GW151" i="83"/>
  <c r="GT151" i="83"/>
  <c r="GS151" i="83"/>
  <c r="IU159" i="83"/>
  <c r="IT159" i="83"/>
  <c r="IR159" i="83"/>
  <c r="IS159" i="83"/>
  <c r="IV159" i="83"/>
  <c r="TX152" i="83"/>
  <c r="TW152" i="83"/>
  <c r="TU152" i="83"/>
  <c r="TY152" i="83"/>
  <c r="TV152" i="83"/>
  <c r="GD153" i="83"/>
  <c r="GC153" i="83"/>
  <c r="GE153" i="83"/>
  <c r="GB153" i="83"/>
  <c r="GF153" i="83"/>
  <c r="QP144" i="83"/>
  <c r="QO144" i="83"/>
  <c r="QR144" i="83"/>
  <c r="QQ144" i="83"/>
  <c r="QN144" i="83"/>
  <c r="QP142" i="83"/>
  <c r="QO142" i="83"/>
  <c r="QR142" i="83"/>
  <c r="QQ142" i="83"/>
  <c r="QN142" i="83"/>
  <c r="QK146" i="83"/>
  <c r="QK145" i="83"/>
  <c r="QL140" i="83"/>
  <c r="QM140" i="83"/>
  <c r="MB143" i="83"/>
  <c r="MA143" i="83"/>
  <c r="MC143" i="83"/>
  <c r="LY143" i="83"/>
  <c r="LZ143" i="83"/>
  <c r="MB141" i="83"/>
  <c r="MA141" i="83"/>
  <c r="MC141" i="83"/>
  <c r="LY141" i="83"/>
  <c r="LZ141" i="83"/>
  <c r="CX132" i="83"/>
  <c r="CW132" i="83"/>
  <c r="CY132" i="83"/>
  <c r="CV132" i="83"/>
  <c r="CU132" i="83"/>
  <c r="CX130" i="83"/>
  <c r="CW130" i="83"/>
  <c r="CY130" i="83"/>
  <c r="CV130" i="83"/>
  <c r="CU130" i="83"/>
  <c r="CX128" i="83"/>
  <c r="CW128" i="83"/>
  <c r="CY128" i="83"/>
  <c r="CV128" i="83"/>
  <c r="CU128" i="83"/>
  <c r="JF146" i="83"/>
  <c r="JH140" i="83"/>
  <c r="JG140" i="83"/>
  <c r="JF145" i="83"/>
  <c r="JL134" i="83"/>
  <c r="JK134" i="83"/>
  <c r="JJ134" i="83"/>
  <c r="JI134" i="83"/>
  <c r="JM134" i="83"/>
  <c r="KC150" i="83"/>
  <c r="KB150" i="83"/>
  <c r="JZ150" i="83"/>
  <c r="KD150" i="83"/>
  <c r="KA150" i="83"/>
  <c r="FN132" i="83"/>
  <c r="FM132" i="83"/>
  <c r="FK132" i="83"/>
  <c r="FL132" i="83"/>
  <c r="FO132" i="83"/>
  <c r="FN128" i="83"/>
  <c r="FM128" i="83"/>
  <c r="FK128" i="83"/>
  <c r="FL128" i="83"/>
  <c r="FO128" i="83"/>
  <c r="NZ118" i="83"/>
  <c r="NY118" i="83"/>
  <c r="OB118" i="83"/>
  <c r="OA118" i="83"/>
  <c r="NX118" i="83"/>
  <c r="KB103" i="83"/>
  <c r="KA103" i="83"/>
  <c r="KD103" i="83"/>
  <c r="JZ103" i="83"/>
  <c r="KC103" i="83"/>
  <c r="KB101" i="83"/>
  <c r="KA101" i="83"/>
  <c r="KD101" i="83"/>
  <c r="KC101" i="83"/>
  <c r="JZ101" i="83"/>
  <c r="JW105" i="83"/>
  <c r="JW104" i="83"/>
  <c r="JX99" i="83"/>
  <c r="JY99" i="83"/>
  <c r="HM112" i="83"/>
  <c r="HL112" i="83"/>
  <c r="HJ112" i="83"/>
  <c r="HN112" i="83"/>
  <c r="HK112" i="83"/>
  <c r="RX131" i="83"/>
  <c r="RW131" i="83"/>
  <c r="RY131" i="83"/>
  <c r="RV131" i="83"/>
  <c r="RZ131" i="83"/>
  <c r="NI120" i="83"/>
  <c r="NK120" i="83"/>
  <c r="NJ120" i="83"/>
  <c r="NG120" i="83"/>
  <c r="NH120" i="83"/>
  <c r="TW112" i="83"/>
  <c r="TV112" i="83"/>
  <c r="TX112" i="83"/>
  <c r="TY112" i="83"/>
  <c r="TU112" i="83"/>
  <c r="OL123" i="83"/>
  <c r="ON117" i="83"/>
  <c r="OM117" i="83"/>
  <c r="OL122" i="83"/>
  <c r="PZ111" i="83"/>
  <c r="PY111" i="83"/>
  <c r="QA111" i="83"/>
  <c r="PX111" i="83"/>
  <c r="PW111" i="83"/>
  <c r="PZ109" i="83"/>
  <c r="PY109" i="83"/>
  <c r="PX109" i="83"/>
  <c r="PW109" i="83"/>
  <c r="QA109" i="83"/>
  <c r="PT105" i="83"/>
  <c r="PT104" i="83"/>
  <c r="PV99" i="83"/>
  <c r="PU99" i="83"/>
  <c r="KT132" i="83"/>
  <c r="KS132" i="83"/>
  <c r="KQ132" i="83"/>
  <c r="KU132" i="83"/>
  <c r="KR132" i="83"/>
  <c r="KT128" i="83"/>
  <c r="KS128" i="83"/>
  <c r="KQ128" i="83"/>
  <c r="KU128" i="83"/>
  <c r="KR128" i="83"/>
  <c r="RX129" i="83"/>
  <c r="RW129" i="83"/>
  <c r="RY129" i="83"/>
  <c r="RV129" i="83"/>
  <c r="RZ129" i="83"/>
  <c r="SL108" i="83"/>
  <c r="SJ114" i="83"/>
  <c r="SJ113" i="83"/>
  <c r="SK108" i="83"/>
  <c r="ID102" i="83"/>
  <c r="IC102" i="83"/>
  <c r="IB102" i="83"/>
  <c r="IA102" i="83"/>
  <c r="IE102" i="83"/>
  <c r="AB123" i="83"/>
  <c r="AB122" i="83"/>
  <c r="AC117" i="83"/>
  <c r="AD117" i="83"/>
  <c r="RZ119" i="83"/>
  <c r="RV119" i="83"/>
  <c r="RY119" i="83"/>
  <c r="RX119" i="83"/>
  <c r="RW119" i="83"/>
  <c r="CY112" i="83"/>
  <c r="CU112" i="83"/>
  <c r="CX112" i="83"/>
  <c r="CW112" i="83"/>
  <c r="CV112" i="83"/>
  <c r="GT129" i="83"/>
  <c r="GW129" i="83"/>
  <c r="GS129" i="83"/>
  <c r="GV129" i="83"/>
  <c r="GU129" i="83"/>
  <c r="LZ100" i="83"/>
  <c r="MC100" i="83"/>
  <c r="LY100" i="83"/>
  <c r="MA100" i="83"/>
  <c r="MB100" i="83"/>
  <c r="BJ114" i="83"/>
  <c r="BJ113" i="83"/>
  <c r="BK108" i="83"/>
  <c r="BL108" i="83"/>
  <c r="AZ102" i="83"/>
  <c r="AV102" i="83"/>
  <c r="AY102" i="83"/>
  <c r="AW102" i="83"/>
  <c r="AX102" i="83"/>
  <c r="IB119" i="83"/>
  <c r="IE119" i="83"/>
  <c r="IA119" i="83"/>
  <c r="IC119" i="83"/>
  <c r="ID119" i="83"/>
  <c r="JG149" i="83"/>
  <c r="JF155" i="83"/>
  <c r="JF154" i="83"/>
  <c r="JH149" i="83"/>
  <c r="HW147" i="83"/>
  <c r="EX143" i="83"/>
  <c r="ET143" i="83"/>
  <c r="EW143" i="83"/>
  <c r="EV143" i="83"/>
  <c r="EU143" i="83"/>
  <c r="BQ159" i="83"/>
  <c r="BM159" i="83"/>
  <c r="BP159" i="83"/>
  <c r="BO159" i="83"/>
  <c r="BN159" i="83"/>
  <c r="CE159" i="83"/>
  <c r="CH159" i="83"/>
  <c r="CD159" i="83"/>
  <c r="CG159" i="83"/>
  <c r="CF159" i="83"/>
  <c r="DP161" i="83"/>
  <c r="DL161" i="83"/>
  <c r="DO161" i="83"/>
  <c r="DN161" i="83"/>
  <c r="DM161" i="83"/>
  <c r="CH151" i="83"/>
  <c r="CD151" i="83"/>
  <c r="CG151" i="83"/>
  <c r="CF151" i="83"/>
  <c r="CE151" i="83"/>
  <c r="JM159" i="83"/>
  <c r="JI159" i="83"/>
  <c r="JL159" i="83"/>
  <c r="JK159" i="83"/>
  <c r="JJ159" i="83"/>
  <c r="AS123" i="83"/>
  <c r="AT117" i="83"/>
  <c r="AS122" i="83"/>
  <c r="AU117" i="83"/>
  <c r="DO120" i="83"/>
  <c r="DN120" i="83"/>
  <c r="DM120" i="83"/>
  <c r="DP120" i="83"/>
  <c r="DL120" i="83"/>
  <c r="AY120" i="83"/>
  <c r="AW120" i="83"/>
  <c r="AV120" i="83"/>
  <c r="AZ120" i="83"/>
  <c r="AX120" i="83"/>
  <c r="OP101" i="83"/>
  <c r="OS101" i="83"/>
  <c r="OO101" i="83"/>
  <c r="OQ101" i="83"/>
  <c r="OR101" i="83"/>
  <c r="JJ127" i="83"/>
  <c r="JM127" i="83"/>
  <c r="JI127" i="83"/>
  <c r="JL127" i="83"/>
  <c r="JK127" i="83"/>
  <c r="JJ131" i="83"/>
  <c r="JM131" i="83"/>
  <c r="JI131" i="83"/>
  <c r="JL131" i="83"/>
  <c r="JK131" i="83"/>
  <c r="EX135" i="83"/>
  <c r="ET135" i="83"/>
  <c r="EW135" i="83"/>
  <c r="EV135" i="83"/>
  <c r="EU135" i="83"/>
  <c r="RZ151" i="83"/>
  <c r="RV151" i="83"/>
  <c r="RY151" i="83"/>
  <c r="RW151" i="83"/>
  <c r="RX151" i="83"/>
  <c r="PX135" i="83"/>
  <c r="QA135" i="83"/>
  <c r="PW135" i="83"/>
  <c r="PY135" i="83"/>
  <c r="PZ135" i="83"/>
  <c r="MT143" i="83"/>
  <c r="MP143" i="83"/>
  <c r="MS143" i="83"/>
  <c r="MQ143" i="83"/>
  <c r="MR143" i="83"/>
  <c r="RB164" i="83"/>
  <c r="RB163" i="83"/>
  <c r="RD158" i="83"/>
  <c r="RC158" i="83"/>
  <c r="EX152" i="83"/>
  <c r="ET152" i="83"/>
  <c r="EW152" i="83"/>
  <c r="EV152" i="83"/>
  <c r="EU152" i="83"/>
  <c r="JJ160" i="83"/>
  <c r="JM160" i="83"/>
  <c r="JI160" i="83"/>
  <c r="JK160" i="83"/>
  <c r="JL160" i="83"/>
  <c r="HN151" i="83"/>
  <c r="HJ151" i="83"/>
  <c r="HM151" i="83"/>
  <c r="HK151" i="83"/>
  <c r="HL151" i="83"/>
  <c r="OB110" i="83"/>
  <c r="NX110" i="83"/>
  <c r="OA110" i="83"/>
  <c r="NY110" i="83"/>
  <c r="NZ110" i="83"/>
  <c r="RF127" i="83"/>
  <c r="RI127" i="83"/>
  <c r="RE127" i="83"/>
  <c r="RH127" i="83"/>
  <c r="RG127" i="83"/>
  <c r="BN103" i="83"/>
  <c r="BQ103" i="83"/>
  <c r="BM103" i="83"/>
  <c r="BO103" i="83"/>
  <c r="BP103" i="83"/>
  <c r="PC123" i="83"/>
  <c r="PC122" i="83"/>
  <c r="PE117" i="83"/>
  <c r="PD117" i="83"/>
  <c r="QK137" i="83"/>
  <c r="QK136" i="83"/>
  <c r="QM126" i="83"/>
  <c r="QL126" i="83"/>
  <c r="LL128" i="83"/>
  <c r="LH128" i="83"/>
  <c r="LK128" i="83"/>
  <c r="LJ128" i="83"/>
  <c r="LI128" i="83"/>
  <c r="LL132" i="83"/>
  <c r="LH132" i="83"/>
  <c r="LK132" i="83"/>
  <c r="LJ132" i="83"/>
  <c r="LI132" i="83"/>
  <c r="PJ142" i="83"/>
  <c r="PF142" i="83"/>
  <c r="PI142" i="83"/>
  <c r="PH142" i="83"/>
  <c r="PG142" i="83"/>
  <c r="QR162" i="83"/>
  <c r="QN162" i="83"/>
  <c r="QQ162" i="83"/>
  <c r="QP162" i="83"/>
  <c r="QO162" i="83"/>
  <c r="KN146" i="83"/>
  <c r="KP140" i="83"/>
  <c r="KO140" i="83"/>
  <c r="KN145" i="83"/>
  <c r="AX118" i="83"/>
  <c r="AW118" i="83"/>
  <c r="AV118" i="83"/>
  <c r="AZ118" i="83"/>
  <c r="AY118" i="83"/>
  <c r="RF101" i="83"/>
  <c r="RI101" i="83"/>
  <c r="RE101" i="83"/>
  <c r="RH101" i="83"/>
  <c r="RG101" i="83"/>
  <c r="HH108" i="83"/>
  <c r="HG114" i="83"/>
  <c r="HG113" i="83"/>
  <c r="HI108" i="83"/>
  <c r="MT118" i="83"/>
  <c r="MP118" i="83"/>
  <c r="MS118" i="83"/>
  <c r="MR118" i="83"/>
  <c r="MQ118" i="83"/>
  <c r="IE112" i="83"/>
  <c r="IA112" i="83"/>
  <c r="ID112" i="83"/>
  <c r="IC112" i="83"/>
  <c r="IB112" i="83"/>
  <c r="EV130" i="83"/>
  <c r="EU130" i="83"/>
  <c r="EX130" i="83"/>
  <c r="ET130" i="83"/>
  <c r="EW130" i="83"/>
  <c r="JJ100" i="83"/>
  <c r="JM100" i="83"/>
  <c r="JI100" i="83"/>
  <c r="JK100" i="83"/>
  <c r="JL100" i="83"/>
  <c r="PJ118" i="83"/>
  <c r="PF118" i="83"/>
  <c r="PI118" i="83"/>
  <c r="PG118" i="83"/>
  <c r="PH118" i="83"/>
  <c r="NH144" i="83"/>
  <c r="NK144" i="83"/>
  <c r="NG144" i="83"/>
  <c r="NJ144" i="83"/>
  <c r="NI144" i="83"/>
  <c r="OL137" i="83"/>
  <c r="OL136" i="83"/>
  <c r="OM126" i="83"/>
  <c r="ON126" i="83"/>
  <c r="TY121" i="83"/>
  <c r="TU121" i="83"/>
  <c r="TX121" i="83"/>
  <c r="TW121" i="83"/>
  <c r="TV121" i="83"/>
  <c r="SN144" i="83"/>
  <c r="SQ144" i="83"/>
  <c r="SM144" i="83"/>
  <c r="SP144" i="83"/>
  <c r="SO144" i="83"/>
  <c r="RZ144" i="83"/>
  <c r="RV144" i="83"/>
  <c r="RY144" i="83"/>
  <c r="RW144" i="83"/>
  <c r="RX144" i="83"/>
  <c r="TV110" i="83"/>
  <c r="TY110" i="83"/>
  <c r="TU110" i="83"/>
  <c r="TW110" i="83"/>
  <c r="TX110" i="83"/>
  <c r="HN143" i="83"/>
  <c r="HJ143" i="83"/>
  <c r="HM143" i="83"/>
  <c r="HK143" i="83"/>
  <c r="HL143" i="83"/>
  <c r="JJ161" i="83"/>
  <c r="JM161" i="83"/>
  <c r="JI161" i="83"/>
  <c r="JK161" i="83"/>
  <c r="JL161" i="83"/>
  <c r="F264" i="83"/>
  <c r="AH161" i="83"/>
  <c r="AG161" i="83"/>
  <c r="AI161" i="83"/>
  <c r="AF161" i="83"/>
  <c r="AE161" i="83"/>
  <c r="HM150" i="83"/>
  <c r="HL150" i="83"/>
  <c r="HN150" i="83"/>
  <c r="HK150" i="83"/>
  <c r="HJ150" i="83"/>
  <c r="BI147" i="83"/>
  <c r="BP133" i="83"/>
  <c r="BO133" i="83"/>
  <c r="BQ133" i="83"/>
  <c r="BM133" i="83"/>
  <c r="BN133" i="83"/>
  <c r="NJ129" i="83"/>
  <c r="NI129" i="83"/>
  <c r="NK129" i="83"/>
  <c r="NH129" i="83"/>
  <c r="NG129" i="83"/>
  <c r="JL133" i="83"/>
  <c r="JK133" i="83"/>
  <c r="JJ133" i="83"/>
  <c r="JI133" i="83"/>
  <c r="JM133" i="83"/>
  <c r="DZ146" i="83"/>
  <c r="EB140" i="83"/>
  <c r="EA140" i="83"/>
  <c r="DZ145" i="83"/>
  <c r="FN129" i="83"/>
  <c r="FM129" i="83"/>
  <c r="FK129" i="83"/>
  <c r="FO129" i="83"/>
  <c r="FL129" i="83"/>
  <c r="RY112" i="83"/>
  <c r="RX112" i="83"/>
  <c r="RV112" i="83"/>
  <c r="RZ112" i="83"/>
  <c r="RW112" i="83"/>
  <c r="CF127" i="83"/>
  <c r="CE127" i="83"/>
  <c r="CG127" i="83"/>
  <c r="CD127" i="83"/>
  <c r="CH127" i="83"/>
  <c r="DZ123" i="83"/>
  <c r="EB117" i="83"/>
  <c r="EA117" i="83"/>
  <c r="DZ122" i="83"/>
  <c r="FN110" i="83"/>
  <c r="FM110" i="83"/>
  <c r="FO110" i="83"/>
  <c r="FL110" i="83"/>
  <c r="FK110" i="83"/>
  <c r="FH105" i="83"/>
  <c r="FH104" i="83"/>
  <c r="FJ99" i="83"/>
  <c r="FI99" i="83"/>
  <c r="KT131" i="83"/>
  <c r="KS131" i="83"/>
  <c r="KQ131" i="83"/>
  <c r="KU131" i="83"/>
  <c r="KR131" i="83"/>
  <c r="GU112" i="83"/>
  <c r="GT112" i="83"/>
  <c r="GW112" i="83"/>
  <c r="GV112" i="83"/>
  <c r="GS112" i="83"/>
  <c r="BN101" i="83"/>
  <c r="BQ101" i="83"/>
  <c r="BM101" i="83"/>
  <c r="BP101" i="83"/>
  <c r="BO101" i="83"/>
  <c r="IT134" i="83"/>
  <c r="IS134" i="83"/>
  <c r="IR134" i="83"/>
  <c r="IV134" i="83"/>
  <c r="IU134" i="83"/>
  <c r="GP105" i="83"/>
  <c r="GP104" i="83"/>
  <c r="GQ99" i="83"/>
  <c r="GR99" i="83"/>
  <c r="AS105" i="83"/>
  <c r="AS104" i="83"/>
  <c r="AU99" i="83"/>
  <c r="AT99" i="83"/>
  <c r="AZ103" i="83"/>
  <c r="AV103" i="83"/>
  <c r="AY103" i="83"/>
  <c r="AW103" i="83"/>
  <c r="AX103" i="83"/>
  <c r="GF127" i="83"/>
  <c r="GB127" i="83"/>
  <c r="GE127" i="83"/>
  <c r="GD127" i="83"/>
  <c r="GC127" i="83"/>
  <c r="CH134" i="83"/>
  <c r="CD134" i="83"/>
  <c r="CG134" i="83"/>
  <c r="CE134" i="83"/>
  <c r="CF134" i="83"/>
  <c r="DP162" i="83"/>
  <c r="DL162" i="83"/>
  <c r="DO162" i="83"/>
  <c r="DN162" i="83"/>
  <c r="DM162" i="83"/>
  <c r="LZ131" i="83"/>
  <c r="MC131" i="83"/>
  <c r="LY131" i="83"/>
  <c r="MB131" i="83"/>
  <c r="MA131" i="83"/>
  <c r="OB128" i="83"/>
  <c r="NX128" i="83"/>
  <c r="OA128" i="83"/>
  <c r="NY128" i="83"/>
  <c r="NZ128" i="83"/>
  <c r="GW120" i="83"/>
  <c r="GS120" i="83"/>
  <c r="GV120" i="83"/>
  <c r="GU120" i="83"/>
  <c r="GT120" i="83"/>
  <c r="GA149" i="83"/>
  <c r="FY155" i="83"/>
  <c r="FY154" i="83"/>
  <c r="FZ149" i="83"/>
  <c r="MM146" i="83"/>
  <c r="MM145" i="83"/>
  <c r="MO140" i="83"/>
  <c r="MN140" i="83"/>
  <c r="QA150" i="83"/>
  <c r="PW150" i="83"/>
  <c r="PZ150" i="83"/>
  <c r="PY150" i="83"/>
  <c r="PX150" i="83"/>
  <c r="GP114" i="83"/>
  <c r="GP113" i="83"/>
  <c r="GQ108" i="83"/>
  <c r="GR108" i="83"/>
  <c r="EG121" i="83"/>
  <c r="EC121" i="83"/>
  <c r="EE121" i="83"/>
  <c r="ED121" i="83"/>
  <c r="EF121" i="83"/>
  <c r="NZ152" i="83"/>
  <c r="NY152" i="83"/>
  <c r="OB152" i="83"/>
  <c r="OA152" i="83"/>
  <c r="NX152" i="83"/>
  <c r="SN153" i="83"/>
  <c r="SQ153" i="83"/>
  <c r="SM153" i="83"/>
  <c r="SP153" i="83"/>
  <c r="SO153" i="83"/>
  <c r="BZ165" i="83"/>
  <c r="TA114" i="83"/>
  <c r="TA113" i="83"/>
  <c r="TC108" i="83"/>
  <c r="TB108" i="83"/>
  <c r="NH134" i="83"/>
  <c r="NK134" i="83"/>
  <c r="NG134" i="83"/>
  <c r="NJ134" i="83"/>
  <c r="NI134" i="83"/>
  <c r="OP129" i="83"/>
  <c r="OS129" i="83"/>
  <c r="OO129" i="83"/>
  <c r="OR129" i="83"/>
  <c r="OQ129" i="83"/>
  <c r="SN142" i="83"/>
  <c r="SQ142" i="83"/>
  <c r="SM142" i="83"/>
  <c r="SP142" i="83"/>
  <c r="SO142" i="83"/>
  <c r="QP153" i="83"/>
  <c r="QO153" i="83"/>
  <c r="QQ153" i="83"/>
  <c r="QN153" i="83"/>
  <c r="QR153" i="83"/>
  <c r="ES149" i="83"/>
  <c r="ER149" i="83"/>
  <c r="EQ155" i="83"/>
  <c r="EQ154" i="83"/>
  <c r="RH144" i="83"/>
  <c r="RG144" i="83"/>
  <c r="RI144" i="83"/>
  <c r="RF144" i="83"/>
  <c r="RE144" i="83"/>
  <c r="AX151" i="83"/>
  <c r="AW151" i="83"/>
  <c r="AY151" i="83"/>
  <c r="AV151" i="83"/>
  <c r="AZ151" i="83"/>
  <c r="PH111" i="83"/>
  <c r="PG111" i="83"/>
  <c r="PJ111" i="83"/>
  <c r="PI111" i="83"/>
  <c r="PF111" i="83"/>
  <c r="PH103" i="83"/>
  <c r="PG103" i="83"/>
  <c r="PJ103" i="83"/>
  <c r="PF103" i="83"/>
  <c r="PI103" i="83"/>
  <c r="PC105" i="83"/>
  <c r="PC104" i="83"/>
  <c r="PD99" i="83"/>
  <c r="PE99" i="83"/>
  <c r="CE121" i="83"/>
  <c r="CD121" i="83"/>
  <c r="CH121" i="83"/>
  <c r="CG121" i="83"/>
  <c r="CF121" i="83"/>
  <c r="MM137" i="83"/>
  <c r="MM136" i="83"/>
  <c r="MN126" i="83"/>
  <c r="MO126" i="83"/>
  <c r="TX118" i="83"/>
  <c r="TW118" i="83"/>
  <c r="TY118" i="83"/>
  <c r="TV118" i="83"/>
  <c r="TU118" i="83"/>
  <c r="AH109" i="83"/>
  <c r="AG109" i="83"/>
  <c r="AE109" i="83"/>
  <c r="AI109" i="83"/>
  <c r="AF109" i="83"/>
  <c r="AH101" i="83"/>
  <c r="AG101" i="83"/>
  <c r="AF101" i="83"/>
  <c r="AE101" i="83"/>
  <c r="AI101" i="83"/>
  <c r="AH129" i="83"/>
  <c r="AG129" i="83"/>
  <c r="AE129" i="83"/>
  <c r="AI129" i="83"/>
  <c r="AF129" i="83"/>
  <c r="BP119" i="83"/>
  <c r="BO119" i="83"/>
  <c r="BN119" i="83"/>
  <c r="BQ119" i="83"/>
  <c r="BM119" i="83"/>
  <c r="NJ102" i="83"/>
  <c r="NI102" i="83"/>
  <c r="NH102" i="83"/>
  <c r="NG102" i="83"/>
  <c r="NK102" i="83"/>
  <c r="RZ118" i="83"/>
  <c r="RV118" i="83"/>
  <c r="RY118" i="83"/>
  <c r="RX118" i="83"/>
  <c r="RW118" i="83"/>
  <c r="GT128" i="83"/>
  <c r="GW128" i="83"/>
  <c r="GS128" i="83"/>
  <c r="GU128" i="83"/>
  <c r="GV128" i="83"/>
  <c r="LE105" i="83"/>
  <c r="LE104" i="83"/>
  <c r="LG99" i="83"/>
  <c r="LF99" i="83"/>
  <c r="LL103" i="83"/>
  <c r="LH103" i="83"/>
  <c r="LK103" i="83"/>
  <c r="LI103" i="83"/>
  <c r="LJ103" i="83"/>
  <c r="QR127" i="83"/>
  <c r="QN127" i="83"/>
  <c r="QQ127" i="83"/>
  <c r="QP127" i="83"/>
  <c r="QO127" i="83"/>
  <c r="EX142" i="83"/>
  <c r="ET142" i="83"/>
  <c r="EW142" i="83"/>
  <c r="EV142" i="83"/>
  <c r="EU142" i="83"/>
  <c r="MM163" i="83"/>
  <c r="MM164" i="83"/>
  <c r="MO158" i="83"/>
  <c r="MN158" i="83"/>
  <c r="OB160" i="83"/>
  <c r="NX160" i="83"/>
  <c r="OA160" i="83"/>
  <c r="NZ160" i="83"/>
  <c r="NY160" i="83"/>
  <c r="RX110" i="83"/>
  <c r="RW110" i="83"/>
  <c r="RV110" i="83"/>
  <c r="RZ110" i="83"/>
  <c r="RY110" i="83"/>
  <c r="PH127" i="83"/>
  <c r="PG127" i="83"/>
  <c r="PJ127" i="83"/>
  <c r="PF127" i="83"/>
  <c r="PI127" i="83"/>
  <c r="KD143" i="83"/>
  <c r="JZ143" i="83"/>
  <c r="KC143" i="83"/>
  <c r="KB143" i="83"/>
  <c r="KA143" i="83"/>
  <c r="AZ132" i="83"/>
  <c r="AV132" i="83"/>
  <c r="AY132" i="83"/>
  <c r="AX132" i="83"/>
  <c r="AW132" i="83"/>
  <c r="HN134" i="83"/>
  <c r="HJ134" i="83"/>
  <c r="HM134" i="83"/>
  <c r="HK134" i="83"/>
  <c r="HL134" i="83"/>
  <c r="IV109" i="83"/>
  <c r="IR109" i="83"/>
  <c r="IU109" i="83"/>
  <c r="IS109" i="83"/>
  <c r="IT109" i="83"/>
  <c r="TV103" i="83"/>
  <c r="TY103" i="83"/>
  <c r="TU103" i="83"/>
  <c r="TW103" i="83"/>
  <c r="TX103" i="83"/>
  <c r="ED128" i="83"/>
  <c r="EG128" i="83"/>
  <c r="EC128" i="83"/>
  <c r="EF128" i="83"/>
  <c r="EE128" i="83"/>
  <c r="BZ147" i="83"/>
  <c r="HN144" i="83"/>
  <c r="HJ144" i="83"/>
  <c r="HM144" i="83"/>
  <c r="HK144" i="83"/>
  <c r="HL144" i="83"/>
  <c r="MR161" i="83"/>
  <c r="MQ161" i="83"/>
  <c r="MT161" i="83"/>
  <c r="MP161" i="83"/>
  <c r="MS161" i="83"/>
  <c r="RH142" i="83"/>
  <c r="RG142" i="83"/>
  <c r="RI142" i="83"/>
  <c r="RF142" i="83"/>
  <c r="RE142" i="83"/>
  <c r="RH133" i="83"/>
  <c r="RG133" i="83"/>
  <c r="RI133" i="83"/>
  <c r="RF133" i="83"/>
  <c r="RE133" i="83"/>
  <c r="ID129" i="83"/>
  <c r="IC129" i="83"/>
  <c r="IE129" i="83"/>
  <c r="IB129" i="83"/>
  <c r="IA129" i="83"/>
  <c r="TR146" i="83"/>
  <c r="TR145" i="83"/>
  <c r="TT140" i="83"/>
  <c r="TS140" i="83"/>
  <c r="TX132" i="83"/>
  <c r="TW132" i="83"/>
  <c r="TV132" i="83"/>
  <c r="TU132" i="83"/>
  <c r="TY132" i="83"/>
  <c r="RG132" i="83"/>
  <c r="RI132" i="83"/>
  <c r="RH132" i="83"/>
  <c r="RF132" i="83"/>
  <c r="RE132" i="83"/>
  <c r="FM121" i="83"/>
  <c r="FK121" i="83"/>
  <c r="FO121" i="83"/>
  <c r="FL121" i="83"/>
  <c r="FN121" i="83"/>
  <c r="PB115" i="83"/>
  <c r="AD126" i="83"/>
  <c r="AC126" i="83"/>
  <c r="AB137" i="83"/>
  <c r="AB136" i="83"/>
  <c r="CT108" i="83"/>
  <c r="CR114" i="83"/>
  <c r="CR113" i="83"/>
  <c r="CS108" i="83"/>
  <c r="CX100" i="83"/>
  <c r="CW100" i="83"/>
  <c r="CV100" i="83"/>
  <c r="CY100" i="83"/>
  <c r="CU100" i="83"/>
  <c r="AH100" i="83"/>
  <c r="AG100" i="83"/>
  <c r="AI100" i="83"/>
  <c r="AF100" i="83"/>
  <c r="AE100" i="83"/>
  <c r="HL127" i="83"/>
  <c r="HK127" i="83"/>
  <c r="HM127" i="83"/>
  <c r="HJ127" i="83"/>
  <c r="HN127" i="83"/>
  <c r="CX101" i="83"/>
  <c r="CW101" i="83"/>
  <c r="CV101" i="83"/>
  <c r="CU101" i="83"/>
  <c r="CY101" i="83"/>
  <c r="AG121" i="83"/>
  <c r="AH121" i="83"/>
  <c r="AF121" i="83"/>
  <c r="AI121" i="83"/>
  <c r="AE121" i="83"/>
  <c r="QK123" i="83"/>
  <c r="QL117" i="83"/>
  <c r="QM117" i="83"/>
  <c r="QK122" i="83"/>
  <c r="LL101" i="83"/>
  <c r="LH101" i="83"/>
  <c r="LK101" i="83"/>
  <c r="LI101" i="83"/>
  <c r="LJ101" i="83"/>
  <c r="SN118" i="83"/>
  <c r="SQ118" i="83"/>
  <c r="SM118" i="83"/>
  <c r="SO118" i="83"/>
  <c r="SP118" i="83"/>
  <c r="BQ120" i="83"/>
  <c r="BM120" i="83"/>
  <c r="BN120" i="83"/>
  <c r="BP120" i="83"/>
  <c r="BO120" i="83"/>
  <c r="QA132" i="83"/>
  <c r="PW132" i="83"/>
  <c r="PX132" i="83"/>
  <c r="PY132" i="83"/>
  <c r="PZ132" i="83"/>
  <c r="KR142" i="83"/>
  <c r="KU142" i="83"/>
  <c r="KQ142" i="83"/>
  <c r="KS142" i="83"/>
  <c r="KT142" i="83"/>
  <c r="PC164" i="83"/>
  <c r="PC163" i="83"/>
  <c r="PE158" i="83"/>
  <c r="PD158" i="83"/>
  <c r="OP160" i="83"/>
  <c r="OS160" i="83"/>
  <c r="OO160" i="83"/>
  <c r="OR160" i="83"/>
  <c r="OQ160" i="83"/>
  <c r="KD152" i="83"/>
  <c r="JZ152" i="83"/>
  <c r="KC152" i="83"/>
  <c r="KB152" i="83"/>
  <c r="KA152" i="83"/>
  <c r="SQ112" i="83"/>
  <c r="SM112" i="83"/>
  <c r="SP112" i="83"/>
  <c r="SO112" i="83"/>
  <c r="SN112" i="83"/>
  <c r="LK121" i="83"/>
  <c r="LI121" i="83"/>
  <c r="LH121" i="83"/>
  <c r="LL121" i="83"/>
  <c r="LJ121" i="83"/>
  <c r="IB143" i="83"/>
  <c r="IE143" i="83"/>
  <c r="IA143" i="83"/>
  <c r="ID143" i="83"/>
  <c r="IC143" i="83"/>
  <c r="RS163" i="83"/>
  <c r="RS164" i="83"/>
  <c r="RU158" i="83"/>
  <c r="RT158" i="83"/>
  <c r="PG159" i="83"/>
  <c r="PH159" i="83"/>
  <c r="PF159" i="83"/>
  <c r="PI159" i="83"/>
  <c r="PJ159" i="83"/>
  <c r="RF162" i="83"/>
  <c r="RI162" i="83"/>
  <c r="RE162" i="83"/>
  <c r="RH162" i="83"/>
  <c r="RG162" i="83"/>
  <c r="DP131" i="83"/>
  <c r="DL131" i="83"/>
  <c r="DO131" i="83"/>
  <c r="DM131" i="83"/>
  <c r="DN131" i="83"/>
  <c r="AG120" i="83"/>
  <c r="AH120" i="83"/>
  <c r="AF120" i="83"/>
  <c r="AI120" i="83"/>
  <c r="AE120" i="83"/>
  <c r="LG149" i="83"/>
  <c r="LE155" i="83"/>
  <c r="LE154" i="83"/>
  <c r="LF149" i="83"/>
  <c r="IB133" i="83"/>
  <c r="IE133" i="83"/>
  <c r="IA133" i="83"/>
  <c r="ID133" i="83"/>
  <c r="IC133" i="83"/>
  <c r="TS149" i="83"/>
  <c r="TR155" i="83"/>
  <c r="TR154" i="83"/>
  <c r="TT149" i="83"/>
  <c r="FH146" i="83"/>
  <c r="FH145" i="83"/>
  <c r="FJ140" i="83"/>
  <c r="FI140" i="83"/>
  <c r="EQ164" i="83"/>
  <c r="EQ163" i="83"/>
  <c r="ES158" i="83"/>
  <c r="ER158" i="83"/>
  <c r="ED160" i="83"/>
  <c r="EG160" i="83"/>
  <c r="EC160" i="83"/>
  <c r="EF160" i="83"/>
  <c r="EE160" i="83"/>
  <c r="TV101" i="83"/>
  <c r="TY101" i="83"/>
  <c r="TU101" i="83"/>
  <c r="TW101" i="83"/>
  <c r="TX101" i="83"/>
  <c r="JV147" i="83"/>
  <c r="FH155" i="83"/>
  <c r="FH154" i="83"/>
  <c r="FJ149" i="83"/>
  <c r="FI149" i="83"/>
  <c r="Q11" i="44"/>
  <c r="Y11" i="44"/>
  <c r="I11" i="44"/>
  <c r="Y10" i="44"/>
  <c r="Y19" i="44" s="1"/>
  <c r="Y9" i="44" l="1"/>
  <c r="EQ165" i="83"/>
  <c r="FH147" i="83"/>
  <c r="LE156" i="83"/>
  <c r="TR147" i="83"/>
  <c r="LE106" i="83"/>
  <c r="MM138" i="83"/>
  <c r="FY156" i="83"/>
  <c r="JW106" i="83"/>
  <c r="QK147" i="83"/>
  <c r="CA115" i="83"/>
  <c r="EQ124" i="83"/>
  <c r="NU106" i="83"/>
  <c r="RS106" i="83"/>
  <c r="LE138" i="83"/>
  <c r="PT124" i="83"/>
  <c r="DI115" i="83"/>
  <c r="BJ138" i="83"/>
  <c r="ND115" i="83"/>
  <c r="AB156" i="83"/>
  <c r="RS124" i="83"/>
  <c r="AS115" i="83"/>
  <c r="CR165" i="83"/>
  <c r="CA124" i="83"/>
  <c r="KN147" i="83"/>
  <c r="DI124" i="83"/>
  <c r="TR165" i="83"/>
  <c r="ND165" i="83"/>
  <c r="DI147" i="83"/>
  <c r="AB165" i="83"/>
  <c r="FY147" i="83"/>
  <c r="PT165" i="83"/>
  <c r="CA147" i="83"/>
  <c r="LV124" i="83"/>
  <c r="TR138" i="83"/>
  <c r="TA106" i="83"/>
  <c r="HG124" i="83"/>
  <c r="MM115" i="83"/>
  <c r="SJ124" i="83"/>
  <c r="RS165" i="83"/>
  <c r="DZ147" i="83"/>
  <c r="AS124" i="83"/>
  <c r="OL124" i="83"/>
  <c r="LE124" i="83"/>
  <c r="EQ115" i="83"/>
  <c r="NU124" i="83"/>
  <c r="HX165" i="83"/>
  <c r="LV147" i="83"/>
  <c r="JF124" i="83"/>
  <c r="CA165" i="83"/>
  <c r="KN156" i="83"/>
  <c r="OL156" i="83"/>
  <c r="DI106" i="83"/>
  <c r="QK165" i="83"/>
  <c r="AS147" i="83"/>
  <c r="JF138" i="83"/>
  <c r="ND106" i="83"/>
  <c r="TA156" i="83"/>
  <c r="QK106" i="83"/>
  <c r="AB147" i="83"/>
  <c r="OL165" i="83"/>
  <c r="NU165" i="83"/>
  <c r="AS138" i="83"/>
  <c r="LE115" i="83"/>
  <c r="KN106" i="83"/>
  <c r="TR156" i="83"/>
  <c r="CR115" i="83"/>
  <c r="EQ156" i="83"/>
  <c r="GP115" i="83"/>
  <c r="RB165" i="83"/>
  <c r="JF156" i="83"/>
  <c r="DI138" i="83"/>
  <c r="CA106" i="83"/>
  <c r="SJ138" i="83"/>
  <c r="KN138" i="83"/>
  <c r="SJ156" i="83"/>
  <c r="RS138" i="83"/>
  <c r="TA124" i="83"/>
  <c r="RB156" i="83"/>
  <c r="TA147" i="83"/>
  <c r="EQ138" i="83"/>
  <c r="FH115" i="83"/>
  <c r="HX115" i="83"/>
  <c r="PT156" i="83"/>
  <c r="FY138" i="83"/>
  <c r="RB138" i="83"/>
  <c r="TR124" i="83"/>
  <c r="GP156" i="83"/>
  <c r="HX138" i="83"/>
  <c r="SJ147" i="83"/>
  <c r="QK115" i="83"/>
  <c r="LV165" i="83"/>
  <c r="JW165" i="83"/>
  <c r="LV106" i="83"/>
  <c r="HG106" i="83"/>
  <c r="QK156" i="83"/>
  <c r="FH124" i="83"/>
  <c r="HG165" i="83"/>
  <c r="ND138" i="83"/>
  <c r="HG156" i="83"/>
  <c r="TR115" i="83"/>
  <c r="LV115" i="83"/>
  <c r="NU147" i="83"/>
  <c r="MM156" i="83"/>
  <c r="RB147" i="83"/>
  <c r="IO115" i="83"/>
  <c r="PT138" i="83"/>
  <c r="JF115" i="83"/>
  <c r="IO156" i="83"/>
  <c r="IO138" i="83"/>
  <c r="HG138" i="83"/>
  <c r="IO165" i="83"/>
  <c r="AB106" i="83"/>
  <c r="DZ115" i="83"/>
  <c r="JF106" i="83"/>
  <c r="PC138" i="83"/>
  <c r="OL147" i="83"/>
  <c r="PC147" i="83"/>
  <c r="TS155" i="83"/>
  <c r="TS154" i="83"/>
  <c r="PE164" i="83"/>
  <c r="PE163" i="83"/>
  <c r="PG158" i="83"/>
  <c r="PJ158" i="83"/>
  <c r="PF158" i="83"/>
  <c r="PI158" i="83"/>
  <c r="PH158" i="83"/>
  <c r="AD137" i="83"/>
  <c r="AD136" i="83"/>
  <c r="AH126" i="83"/>
  <c r="AG126" i="83"/>
  <c r="AE126" i="83"/>
  <c r="AI126" i="83"/>
  <c r="AF126" i="83"/>
  <c r="TH108" i="83"/>
  <c r="TD108" i="83"/>
  <c r="TG108" i="83"/>
  <c r="TC114" i="83"/>
  <c r="TC113" i="83"/>
  <c r="TE108" i="83"/>
  <c r="TF108" i="83"/>
  <c r="HL108" i="83"/>
  <c r="HK108" i="83"/>
  <c r="HJ108" i="83"/>
  <c r="HI114" i="83"/>
  <c r="HI113" i="83"/>
  <c r="HN108" i="83"/>
  <c r="HM108" i="83"/>
  <c r="RC164" i="83"/>
  <c r="RC163" i="83"/>
  <c r="JG155" i="83"/>
  <c r="JG154" i="83"/>
  <c r="BK114" i="83"/>
  <c r="BK113" i="83"/>
  <c r="SK114" i="83"/>
  <c r="SK113" i="83"/>
  <c r="PZ99" i="83"/>
  <c r="PY99" i="83"/>
  <c r="PV105" i="83"/>
  <c r="PW99" i="83"/>
  <c r="QA99" i="83"/>
  <c r="PX99" i="83"/>
  <c r="PV104" i="83"/>
  <c r="HN140" i="83"/>
  <c r="HJ140" i="83"/>
  <c r="HI146" i="83"/>
  <c r="HM140" i="83"/>
  <c r="HI145" i="83"/>
  <c r="HK140" i="83"/>
  <c r="HL140" i="83"/>
  <c r="CX99" i="83"/>
  <c r="CW99" i="83"/>
  <c r="CV99" i="83"/>
  <c r="CT104" i="83"/>
  <c r="CY99" i="83"/>
  <c r="CU99" i="83"/>
  <c r="CT105" i="83"/>
  <c r="SK137" i="83"/>
  <c r="SK136" i="83"/>
  <c r="KO137" i="83"/>
  <c r="KO136" i="83"/>
  <c r="SK155" i="83"/>
  <c r="SK154" i="83"/>
  <c r="OM114" i="83"/>
  <c r="OM113" i="83"/>
  <c r="RU137" i="83"/>
  <c r="RU136" i="83"/>
  <c r="RX126" i="83"/>
  <c r="RW126" i="83"/>
  <c r="RY126" i="83"/>
  <c r="RV126" i="83"/>
  <c r="RZ126" i="83"/>
  <c r="ED99" i="83"/>
  <c r="EG99" i="83"/>
  <c r="EC99" i="83"/>
  <c r="EE99" i="83"/>
  <c r="EF99" i="83"/>
  <c r="EB105" i="83"/>
  <c r="EB104" i="83"/>
  <c r="ID108" i="83"/>
  <c r="IC108" i="83"/>
  <c r="IB108" i="83"/>
  <c r="HZ114" i="83"/>
  <c r="HZ113" i="83"/>
  <c r="IA108" i="83"/>
  <c r="IE108" i="83"/>
  <c r="DJ123" i="83"/>
  <c r="DJ122" i="83"/>
  <c r="FJ164" i="83"/>
  <c r="FJ163" i="83"/>
  <c r="FM158" i="83"/>
  <c r="FL158" i="83"/>
  <c r="FN158" i="83"/>
  <c r="FK158" i="83"/>
  <c r="FO158" i="83"/>
  <c r="GF99" i="83"/>
  <c r="GB99" i="83"/>
  <c r="GE99" i="83"/>
  <c r="GA105" i="83"/>
  <c r="GA104" i="83"/>
  <c r="GC99" i="83"/>
  <c r="GD99" i="83"/>
  <c r="ER105" i="83"/>
  <c r="ER104" i="83"/>
  <c r="FZ137" i="83"/>
  <c r="FZ136" i="83"/>
  <c r="RC137" i="83"/>
  <c r="RC136" i="83"/>
  <c r="TS123" i="83"/>
  <c r="TS122" i="83"/>
  <c r="GQ155" i="83"/>
  <c r="GQ154" i="83"/>
  <c r="TT164" i="83"/>
  <c r="TT163" i="83"/>
  <c r="TY158" i="83"/>
  <c r="TU158" i="83"/>
  <c r="TX158" i="83"/>
  <c r="TW158" i="83"/>
  <c r="TV158" i="83"/>
  <c r="NE164" i="83"/>
  <c r="NE163" i="83"/>
  <c r="BK146" i="83"/>
  <c r="BK145" i="83"/>
  <c r="SN140" i="83"/>
  <c r="SQ140" i="83"/>
  <c r="SM140" i="83"/>
  <c r="SL146" i="83"/>
  <c r="SL145" i="83"/>
  <c r="SP140" i="83"/>
  <c r="SO140" i="83"/>
  <c r="QL114" i="83"/>
  <c r="QL113" i="83"/>
  <c r="LW164" i="83"/>
  <c r="LW163" i="83"/>
  <c r="JX164" i="83"/>
  <c r="JX163" i="83"/>
  <c r="LZ99" i="83"/>
  <c r="MC99" i="83"/>
  <c r="LY99" i="83"/>
  <c r="MA99" i="83"/>
  <c r="LX105" i="83"/>
  <c r="LX104" i="83"/>
  <c r="MB99" i="83"/>
  <c r="FJ123" i="83"/>
  <c r="FL117" i="83"/>
  <c r="FO117" i="83"/>
  <c r="FK117" i="83"/>
  <c r="FM117" i="83"/>
  <c r="FN117" i="83"/>
  <c r="FJ122" i="83"/>
  <c r="DJ146" i="83"/>
  <c r="DJ145" i="83"/>
  <c r="LZ108" i="83"/>
  <c r="MC108" i="83"/>
  <c r="LY108" i="83"/>
  <c r="MA108" i="83"/>
  <c r="LX114" i="83"/>
  <c r="LX113" i="83"/>
  <c r="MB108" i="83"/>
  <c r="NZ140" i="83"/>
  <c r="NY140" i="83"/>
  <c r="NX140" i="83"/>
  <c r="NW146" i="83"/>
  <c r="NW145" i="83"/>
  <c r="OB140" i="83"/>
  <c r="OA140" i="83"/>
  <c r="AC114" i="83"/>
  <c r="AC113" i="83"/>
  <c r="PH108" i="83"/>
  <c r="PG108" i="83"/>
  <c r="PJ108" i="83"/>
  <c r="PE114" i="83"/>
  <c r="PI108" i="83"/>
  <c r="PE113" i="83"/>
  <c r="PF108" i="83"/>
  <c r="IP114" i="83"/>
  <c r="IP113" i="83"/>
  <c r="PE155" i="83"/>
  <c r="PE154" i="83"/>
  <c r="PI149" i="83"/>
  <c r="PH149" i="83"/>
  <c r="PF149" i="83"/>
  <c r="PG149" i="83"/>
  <c r="PJ149" i="83"/>
  <c r="IP155" i="83"/>
  <c r="IP154" i="83"/>
  <c r="IP137" i="83"/>
  <c r="IP136" i="83"/>
  <c r="HI137" i="83"/>
  <c r="HI136" i="83"/>
  <c r="HL126" i="83"/>
  <c r="HK126" i="83"/>
  <c r="HM126" i="83"/>
  <c r="HJ126" i="83"/>
  <c r="HN126" i="83"/>
  <c r="KD117" i="83"/>
  <c r="JZ117" i="83"/>
  <c r="KC117" i="83"/>
  <c r="KA117" i="83"/>
  <c r="JY122" i="83"/>
  <c r="JY123" i="83"/>
  <c r="KB117" i="83"/>
  <c r="IP164" i="83"/>
  <c r="IP163" i="83"/>
  <c r="PU164" i="83"/>
  <c r="PU163" i="83"/>
  <c r="TC164" i="83"/>
  <c r="TC163" i="83"/>
  <c r="TG158" i="83"/>
  <c r="TF158" i="83"/>
  <c r="TD158" i="83"/>
  <c r="TE158" i="83"/>
  <c r="TH158" i="83"/>
  <c r="AC105" i="83"/>
  <c r="AC104" i="83"/>
  <c r="CC145" i="83"/>
  <c r="CH140" i="83"/>
  <c r="CD140" i="83"/>
  <c r="CC146" i="83"/>
  <c r="CG140" i="83"/>
  <c r="CE140" i="83"/>
  <c r="CF140" i="83"/>
  <c r="EA114" i="83"/>
  <c r="EA113" i="83"/>
  <c r="PX140" i="83"/>
  <c r="QA140" i="83"/>
  <c r="PW140" i="83"/>
  <c r="PY140" i="83"/>
  <c r="PV146" i="83"/>
  <c r="PV145" i="83"/>
  <c r="PZ140" i="83"/>
  <c r="JG104" i="83"/>
  <c r="JG105" i="83"/>
  <c r="CS123" i="83"/>
  <c r="CS122" i="83"/>
  <c r="LX122" i="83"/>
  <c r="MB117" i="83"/>
  <c r="MA117" i="83"/>
  <c r="LZ117" i="83"/>
  <c r="LX123" i="83"/>
  <c r="LX124" i="83" s="1"/>
  <c r="LY117" i="83"/>
  <c r="MC117" i="83"/>
  <c r="FJ137" i="83"/>
  <c r="FJ136" i="83"/>
  <c r="FN126" i="83"/>
  <c r="FM126" i="83"/>
  <c r="FK126" i="83"/>
  <c r="FO126" i="83"/>
  <c r="FL126" i="83"/>
  <c r="NF155" i="83"/>
  <c r="NF154" i="83"/>
  <c r="NK149" i="83"/>
  <c r="NG149" i="83"/>
  <c r="NJ149" i="83"/>
  <c r="NH149" i="83"/>
  <c r="NI149" i="83"/>
  <c r="FH156" i="83"/>
  <c r="FI146" i="83"/>
  <c r="FI145" i="83"/>
  <c r="QP117" i="83"/>
  <c r="QM123" i="83"/>
  <c r="QM122" i="83"/>
  <c r="QO117" i="83"/>
  <c r="QN117" i="83"/>
  <c r="QR117" i="83"/>
  <c r="QQ117" i="83"/>
  <c r="TS146" i="83"/>
  <c r="TS145" i="83"/>
  <c r="MN164" i="83"/>
  <c r="MN163" i="83"/>
  <c r="MO137" i="83"/>
  <c r="MO136" i="83"/>
  <c r="MR126" i="83"/>
  <c r="MQ126" i="83"/>
  <c r="MS126" i="83"/>
  <c r="MP126" i="83"/>
  <c r="MT126" i="83"/>
  <c r="PC106" i="83"/>
  <c r="ES155" i="83"/>
  <c r="ES154" i="83"/>
  <c r="EW149" i="83"/>
  <c r="EV149" i="83"/>
  <c r="ET149" i="83"/>
  <c r="EX149" i="83"/>
  <c r="EU149" i="83"/>
  <c r="MM147" i="83"/>
  <c r="AS106" i="83"/>
  <c r="EA122" i="83"/>
  <c r="EA123" i="83"/>
  <c r="OL138" i="83"/>
  <c r="PC124" i="83"/>
  <c r="AX117" i="83"/>
  <c r="AU123" i="83"/>
  <c r="AU122" i="83"/>
  <c r="AW117" i="83"/>
  <c r="AV117" i="83"/>
  <c r="AZ117" i="83"/>
  <c r="AY117" i="83"/>
  <c r="JH155" i="83"/>
  <c r="JH154" i="83"/>
  <c r="JK149" i="83"/>
  <c r="JJ149" i="83"/>
  <c r="JM149" i="83"/>
  <c r="JL149" i="83"/>
  <c r="JI149" i="83"/>
  <c r="QP140" i="83"/>
  <c r="QO140" i="83"/>
  <c r="QR140" i="83"/>
  <c r="QQ140" i="83"/>
  <c r="QM146" i="83"/>
  <c r="QM145" i="83"/>
  <c r="QN140" i="83"/>
  <c r="MM106" i="83"/>
  <c r="JH164" i="83"/>
  <c r="JH163" i="83"/>
  <c r="JM158" i="83"/>
  <c r="JI158" i="83"/>
  <c r="JL158" i="83"/>
  <c r="JK158" i="83"/>
  <c r="JJ158" i="83"/>
  <c r="CB114" i="83"/>
  <c r="CB113" i="83"/>
  <c r="ER123" i="83"/>
  <c r="ER122" i="83"/>
  <c r="CB105" i="83"/>
  <c r="CB104" i="83"/>
  <c r="MM124" i="83"/>
  <c r="RX99" i="83"/>
  <c r="RW99" i="83"/>
  <c r="RV99" i="83"/>
  <c r="RU105" i="83"/>
  <c r="RU104" i="83"/>
  <c r="RZ99" i="83"/>
  <c r="RY99" i="83"/>
  <c r="LF137" i="83"/>
  <c r="LF136" i="83"/>
  <c r="SJ106" i="83"/>
  <c r="ER114" i="83"/>
  <c r="ER113" i="83"/>
  <c r="SL137" i="83"/>
  <c r="SL136" i="83"/>
  <c r="SP126" i="83"/>
  <c r="SO126" i="83"/>
  <c r="SQ126" i="83"/>
  <c r="SN126" i="83"/>
  <c r="SM126" i="83"/>
  <c r="GQ146" i="83"/>
  <c r="GQ145" i="83"/>
  <c r="KP137" i="83"/>
  <c r="KP136" i="83"/>
  <c r="KT126" i="83"/>
  <c r="KS126" i="83"/>
  <c r="KQ126" i="83"/>
  <c r="KU126" i="83"/>
  <c r="KR126" i="83"/>
  <c r="NZ117" i="83"/>
  <c r="NW123" i="83"/>
  <c r="NW122" i="83"/>
  <c r="NY117" i="83"/>
  <c r="OB117" i="83"/>
  <c r="NX117" i="83"/>
  <c r="OA117" i="83"/>
  <c r="SL155" i="83"/>
  <c r="SL154" i="83"/>
  <c r="SQ149" i="83"/>
  <c r="SM149" i="83"/>
  <c r="SP149" i="83"/>
  <c r="SO149" i="83"/>
  <c r="SN149" i="83"/>
  <c r="KN115" i="83"/>
  <c r="PV123" i="83"/>
  <c r="PX117" i="83"/>
  <c r="QA117" i="83"/>
  <c r="PW117" i="83"/>
  <c r="PY117" i="83"/>
  <c r="PV122" i="83"/>
  <c r="PZ117" i="83"/>
  <c r="BL137" i="83"/>
  <c r="BL136" i="83"/>
  <c r="BN126" i="83"/>
  <c r="BQ126" i="83"/>
  <c r="BM126" i="83"/>
  <c r="BP126" i="83"/>
  <c r="BO126" i="83"/>
  <c r="TB123" i="83"/>
  <c r="TB122" i="83"/>
  <c r="CT145" i="83"/>
  <c r="CV140" i="83"/>
  <c r="CY140" i="83"/>
  <c r="CU140" i="83"/>
  <c r="CT146" i="83"/>
  <c r="CT147" i="83" s="1"/>
  <c r="CX140" i="83"/>
  <c r="CW140" i="83"/>
  <c r="FI114" i="83"/>
  <c r="FI113" i="83"/>
  <c r="FI164" i="83"/>
  <c r="FI163" i="83"/>
  <c r="NJ108" i="83"/>
  <c r="NI108" i="83"/>
  <c r="NH108" i="83"/>
  <c r="NF113" i="83"/>
  <c r="NK108" i="83"/>
  <c r="NG108" i="83"/>
  <c r="NF114" i="83"/>
  <c r="RD137" i="83"/>
  <c r="RD136" i="83"/>
  <c r="RF126" i="83"/>
  <c r="RI126" i="83"/>
  <c r="RE126" i="83"/>
  <c r="RH126" i="83"/>
  <c r="RG126" i="83"/>
  <c r="TS137" i="83"/>
  <c r="TS136" i="83"/>
  <c r="TX117" i="83"/>
  <c r="TW117" i="83"/>
  <c r="TV117" i="83"/>
  <c r="TU117" i="83"/>
  <c r="TT123" i="83"/>
  <c r="TT122" i="83"/>
  <c r="TY117" i="83"/>
  <c r="SK164" i="83"/>
  <c r="SK163" i="83"/>
  <c r="RB115" i="83"/>
  <c r="BL146" i="83"/>
  <c r="BL145" i="83"/>
  <c r="BP140" i="83"/>
  <c r="BO140" i="83"/>
  <c r="BQ140" i="83"/>
  <c r="BM140" i="83"/>
  <c r="BN140" i="83"/>
  <c r="SK146" i="83"/>
  <c r="SK145" i="83"/>
  <c r="LX164" i="83"/>
  <c r="LX163" i="83"/>
  <c r="MC158" i="83"/>
  <c r="LY158" i="83"/>
  <c r="MB158" i="83"/>
  <c r="MA158" i="83"/>
  <c r="LZ158" i="83"/>
  <c r="JY164" i="83"/>
  <c r="JY163" i="83"/>
  <c r="KA158" i="83"/>
  <c r="KD158" i="83"/>
  <c r="JZ158" i="83"/>
  <c r="KB158" i="83"/>
  <c r="KC158" i="83"/>
  <c r="RS156" i="83"/>
  <c r="AU145" i="83"/>
  <c r="AX140" i="83"/>
  <c r="AW140" i="83"/>
  <c r="AZ140" i="83"/>
  <c r="AY140" i="83"/>
  <c r="AU146" i="83"/>
  <c r="AV140" i="83"/>
  <c r="QL155" i="83"/>
  <c r="QL154" i="83"/>
  <c r="EQ147" i="83"/>
  <c r="NE105" i="83"/>
  <c r="NE104" i="83"/>
  <c r="DJ164" i="83"/>
  <c r="DJ163" i="83"/>
  <c r="HI155" i="83"/>
  <c r="HI154" i="83"/>
  <c r="HM149" i="83"/>
  <c r="HL149" i="83"/>
  <c r="HN149" i="83"/>
  <c r="HK149" i="83"/>
  <c r="HJ149" i="83"/>
  <c r="GA164" i="83"/>
  <c r="GA163" i="83"/>
  <c r="GE158" i="83"/>
  <c r="GD158" i="83"/>
  <c r="GF158" i="83"/>
  <c r="GC158" i="83"/>
  <c r="GB158" i="83"/>
  <c r="TV108" i="83"/>
  <c r="TY108" i="83"/>
  <c r="TU108" i="83"/>
  <c r="TW108" i="83"/>
  <c r="TT114" i="83"/>
  <c r="TT113" i="83"/>
  <c r="TX108" i="83"/>
  <c r="TB155" i="83"/>
  <c r="TB154" i="83"/>
  <c r="QL105" i="83"/>
  <c r="QL104" i="83"/>
  <c r="NU138" i="83"/>
  <c r="LW114" i="83"/>
  <c r="LW113" i="83"/>
  <c r="NV146" i="83"/>
  <c r="NV145" i="83"/>
  <c r="LV156" i="83"/>
  <c r="MO155" i="83"/>
  <c r="MO154" i="83"/>
  <c r="MS149" i="83"/>
  <c r="MR149" i="83"/>
  <c r="MT149" i="83"/>
  <c r="MQ149" i="83"/>
  <c r="MP149" i="83"/>
  <c r="GR122" i="83"/>
  <c r="GV117" i="83"/>
  <c r="GU117" i="83"/>
  <c r="GT117" i="83"/>
  <c r="GR123" i="83"/>
  <c r="GR124" i="83" s="1"/>
  <c r="GS117" i="83"/>
  <c r="GW117" i="83"/>
  <c r="RD146" i="83"/>
  <c r="RD145" i="83"/>
  <c r="RH140" i="83"/>
  <c r="RG140" i="83"/>
  <c r="RI140" i="83"/>
  <c r="RF140" i="83"/>
  <c r="RE140" i="83"/>
  <c r="HX124" i="83"/>
  <c r="AT114" i="83"/>
  <c r="AT113" i="83"/>
  <c r="RS147" i="83"/>
  <c r="LV138" i="83"/>
  <c r="IQ155" i="83"/>
  <c r="IQ154" i="83"/>
  <c r="IS149" i="83"/>
  <c r="IV149" i="83"/>
  <c r="IR149" i="83"/>
  <c r="IU149" i="83"/>
  <c r="IT149" i="83"/>
  <c r="IQ137" i="83"/>
  <c r="IQ136" i="83"/>
  <c r="IV126" i="83"/>
  <c r="IR126" i="83"/>
  <c r="IU126" i="83"/>
  <c r="IT126" i="83"/>
  <c r="IS126" i="83"/>
  <c r="HH137" i="83"/>
  <c r="HH136" i="83"/>
  <c r="IQ164" i="83"/>
  <c r="IQ163" i="83"/>
  <c r="IU158" i="83"/>
  <c r="IT158" i="83"/>
  <c r="IR158" i="83"/>
  <c r="IS158" i="83"/>
  <c r="IV158" i="83"/>
  <c r="GP138" i="83"/>
  <c r="JW147" i="83"/>
  <c r="AH99" i="83"/>
  <c r="AG99" i="83"/>
  <c r="AD104" i="83"/>
  <c r="AE99" i="83"/>
  <c r="AI99" i="83"/>
  <c r="AF99" i="83"/>
  <c r="AD105" i="83"/>
  <c r="AD106" i="83" s="1"/>
  <c r="JJ99" i="83"/>
  <c r="JM99" i="83"/>
  <c r="JI99" i="83"/>
  <c r="JK99" i="83"/>
  <c r="JL99" i="83"/>
  <c r="JH105" i="83"/>
  <c r="JH104" i="83"/>
  <c r="AT137" i="83"/>
  <c r="AT136" i="83"/>
  <c r="LF114" i="83"/>
  <c r="LF113" i="83"/>
  <c r="PT115" i="83"/>
  <c r="ON146" i="83"/>
  <c r="ON145" i="83"/>
  <c r="OR140" i="83"/>
  <c r="OQ140" i="83"/>
  <c r="OP140" i="83"/>
  <c r="OO140" i="83"/>
  <c r="OS140" i="83"/>
  <c r="PJ140" i="83"/>
  <c r="PF140" i="83"/>
  <c r="PE146" i="83"/>
  <c r="PE145" i="83"/>
  <c r="PI140" i="83"/>
  <c r="PH140" i="83"/>
  <c r="PG140" i="83"/>
  <c r="SL123" i="83"/>
  <c r="SL122" i="83"/>
  <c r="SN117" i="83"/>
  <c r="SQ117" i="83"/>
  <c r="SM117" i="83"/>
  <c r="SO117" i="83"/>
  <c r="SP117" i="83"/>
  <c r="KO105" i="83"/>
  <c r="KO104" i="83"/>
  <c r="FI155" i="83"/>
  <c r="FI154" i="83"/>
  <c r="ES164" i="83"/>
  <c r="ES163" i="83"/>
  <c r="EU158" i="83"/>
  <c r="EX158" i="83"/>
  <c r="ET158" i="83"/>
  <c r="EW158" i="83"/>
  <c r="EV158" i="83"/>
  <c r="FL140" i="83"/>
  <c r="FO140" i="83"/>
  <c r="FK140" i="83"/>
  <c r="FM140" i="83"/>
  <c r="FJ146" i="83"/>
  <c r="FN140" i="83"/>
  <c r="FJ145" i="83"/>
  <c r="LF155" i="83"/>
  <c r="LF154" i="83"/>
  <c r="RT164" i="83"/>
  <c r="RT163" i="83"/>
  <c r="PC165" i="83"/>
  <c r="QL123" i="83"/>
  <c r="QL122" i="83"/>
  <c r="AB138" i="83"/>
  <c r="TT146" i="83"/>
  <c r="TT145" i="83"/>
  <c r="TX140" i="83"/>
  <c r="TW140" i="83"/>
  <c r="TV140" i="83"/>
  <c r="TU140" i="83"/>
  <c r="TY140" i="83"/>
  <c r="MO164" i="83"/>
  <c r="MO163" i="83"/>
  <c r="MQ158" i="83"/>
  <c r="MT158" i="83"/>
  <c r="MP158" i="83"/>
  <c r="MS158" i="83"/>
  <c r="MR158" i="83"/>
  <c r="LL99" i="83"/>
  <c r="LH99" i="83"/>
  <c r="LK99" i="83"/>
  <c r="LG105" i="83"/>
  <c r="LG104" i="83"/>
  <c r="LI99" i="83"/>
  <c r="LJ99" i="83"/>
  <c r="MN137" i="83"/>
  <c r="MN136" i="83"/>
  <c r="PH99" i="83"/>
  <c r="PG99" i="83"/>
  <c r="PJ99" i="83"/>
  <c r="PE104" i="83"/>
  <c r="PI99" i="83"/>
  <c r="PE105" i="83"/>
  <c r="PF99" i="83"/>
  <c r="TA115" i="83"/>
  <c r="MN146" i="83"/>
  <c r="MN145" i="83"/>
  <c r="FZ155" i="83"/>
  <c r="FZ154" i="83"/>
  <c r="AT105" i="83"/>
  <c r="AT104" i="83"/>
  <c r="GT99" i="83"/>
  <c r="GW99" i="83"/>
  <c r="GS99" i="83"/>
  <c r="GU99" i="83"/>
  <c r="GR105" i="83"/>
  <c r="GR104" i="83"/>
  <c r="GV99" i="83"/>
  <c r="FH106" i="83"/>
  <c r="EB122" i="83"/>
  <c r="EF117" i="83"/>
  <c r="EE117" i="83"/>
  <c r="EB123" i="83"/>
  <c r="EG117" i="83"/>
  <c r="ED117" i="83"/>
  <c r="EC117" i="83"/>
  <c r="EA146" i="83"/>
  <c r="EA145" i="83"/>
  <c r="ON137" i="83"/>
  <c r="ON136" i="83"/>
  <c r="OP126" i="83"/>
  <c r="OS126" i="83"/>
  <c r="OO126" i="83"/>
  <c r="OR126" i="83"/>
  <c r="OQ126" i="83"/>
  <c r="HG115" i="83"/>
  <c r="QL137" i="83"/>
  <c r="QL136" i="83"/>
  <c r="PD123" i="83"/>
  <c r="PD122" i="83"/>
  <c r="BJ115" i="83"/>
  <c r="AB124" i="83"/>
  <c r="SJ115" i="83"/>
  <c r="PT106" i="83"/>
  <c r="OM122" i="83"/>
  <c r="OM123" i="83"/>
  <c r="JX105" i="83"/>
  <c r="JX104" i="83"/>
  <c r="JH145" i="83"/>
  <c r="JH146" i="83"/>
  <c r="JL140" i="83"/>
  <c r="JK140" i="83"/>
  <c r="JJ140" i="83"/>
  <c r="JI140" i="83"/>
  <c r="JM140" i="83"/>
  <c r="QL146" i="83"/>
  <c r="QL145" i="83"/>
  <c r="KO164" i="83"/>
  <c r="KO163" i="83"/>
  <c r="MR99" i="83"/>
  <c r="MQ99" i="83"/>
  <c r="MP99" i="83"/>
  <c r="MO104" i="83"/>
  <c r="MT99" i="83"/>
  <c r="MS99" i="83"/>
  <c r="MO105" i="83"/>
  <c r="JF165" i="83"/>
  <c r="CF108" i="83"/>
  <c r="CE108" i="83"/>
  <c r="CD108" i="83"/>
  <c r="CC114" i="83"/>
  <c r="CC113" i="83"/>
  <c r="CH108" i="83"/>
  <c r="CG108" i="83"/>
  <c r="HG147" i="83"/>
  <c r="EX117" i="83"/>
  <c r="ET117" i="83"/>
  <c r="EW117" i="83"/>
  <c r="EU117" i="83"/>
  <c r="ES123" i="83"/>
  <c r="ES122" i="83"/>
  <c r="EV117" i="83"/>
  <c r="JY137" i="83"/>
  <c r="JY136" i="83"/>
  <c r="KB126" i="83"/>
  <c r="KA126" i="83"/>
  <c r="KD126" i="83"/>
  <c r="KC126" i="83"/>
  <c r="JZ126" i="83"/>
  <c r="CS155" i="83"/>
  <c r="CS154" i="83"/>
  <c r="MN123" i="83"/>
  <c r="MN122" i="83"/>
  <c r="OB99" i="83"/>
  <c r="NX99" i="83"/>
  <c r="OA99" i="83"/>
  <c r="NW105" i="83"/>
  <c r="NW104" i="83"/>
  <c r="NZ99" i="83"/>
  <c r="NY99" i="83"/>
  <c r="FZ114" i="83"/>
  <c r="FZ113" i="83"/>
  <c r="RT105" i="83"/>
  <c r="RT104" i="83"/>
  <c r="LJ117" i="83"/>
  <c r="LG123" i="83"/>
  <c r="LG122" i="83"/>
  <c r="LI117" i="83"/>
  <c r="LH117" i="83"/>
  <c r="LK117" i="83"/>
  <c r="LL117" i="83"/>
  <c r="LG137" i="83"/>
  <c r="LG136" i="83"/>
  <c r="LL126" i="83"/>
  <c r="LH126" i="83"/>
  <c r="LK126" i="83"/>
  <c r="LJ126" i="83"/>
  <c r="LI126" i="83"/>
  <c r="SK105" i="83"/>
  <c r="SK104" i="83"/>
  <c r="CR106" i="83"/>
  <c r="EV108" i="83"/>
  <c r="EU108" i="83"/>
  <c r="EX108" i="83"/>
  <c r="ES113" i="83"/>
  <c r="ET108" i="83"/>
  <c r="EW108" i="83"/>
  <c r="ES114" i="83"/>
  <c r="GR146" i="83"/>
  <c r="GR145" i="83"/>
  <c r="GV140" i="83"/>
  <c r="GU140" i="83"/>
  <c r="GW140" i="83"/>
  <c r="GT140" i="83"/>
  <c r="GS140" i="83"/>
  <c r="NV114" i="83"/>
  <c r="NV113" i="83"/>
  <c r="OL115" i="83"/>
  <c r="KT108" i="83"/>
  <c r="KS108" i="83"/>
  <c r="KP113" i="83"/>
  <c r="KQ108" i="83"/>
  <c r="KU108" i="83"/>
  <c r="KR108" i="83"/>
  <c r="KP114" i="83"/>
  <c r="KP115" i="83" s="1"/>
  <c r="LG164" i="83"/>
  <c r="LG163" i="83"/>
  <c r="LK158" i="83"/>
  <c r="LJ158" i="83"/>
  <c r="LL158" i="83"/>
  <c r="LI158" i="83"/>
  <c r="LH158" i="83"/>
  <c r="PU123" i="83"/>
  <c r="PU122" i="83"/>
  <c r="DP108" i="83"/>
  <c r="DL108" i="83"/>
  <c r="DO108" i="83"/>
  <c r="DK114" i="83"/>
  <c r="DK113" i="83"/>
  <c r="DM108" i="83"/>
  <c r="DN108" i="83"/>
  <c r="BK137" i="83"/>
  <c r="BK136" i="83"/>
  <c r="DZ106" i="83"/>
  <c r="RD122" i="83"/>
  <c r="RH117" i="83"/>
  <c r="RG117" i="83"/>
  <c r="RF117" i="83"/>
  <c r="RI117" i="83"/>
  <c r="RD123" i="83"/>
  <c r="RE117" i="83"/>
  <c r="CS146" i="83"/>
  <c r="CS145" i="83"/>
  <c r="DN117" i="83"/>
  <c r="DK123" i="83"/>
  <c r="DK122" i="83"/>
  <c r="DM117" i="83"/>
  <c r="DP117" i="83"/>
  <c r="DL117" i="83"/>
  <c r="DO117" i="83"/>
  <c r="FH165" i="83"/>
  <c r="FY106" i="83"/>
  <c r="HX147" i="83"/>
  <c r="LW146" i="83"/>
  <c r="LW145" i="83"/>
  <c r="IP146" i="83"/>
  <c r="IP145" i="83"/>
  <c r="JG122" i="83"/>
  <c r="JG123" i="83"/>
  <c r="NE114" i="83"/>
  <c r="NE113" i="83"/>
  <c r="EQ106" i="83"/>
  <c r="AD155" i="83"/>
  <c r="AD154" i="83"/>
  <c r="AI149" i="83"/>
  <c r="AE149" i="83"/>
  <c r="AH149" i="83"/>
  <c r="AG149" i="83"/>
  <c r="AF149" i="83"/>
  <c r="TT137" i="83"/>
  <c r="TT136" i="83"/>
  <c r="TV126" i="83"/>
  <c r="TY126" i="83"/>
  <c r="TU126" i="83"/>
  <c r="TX126" i="83"/>
  <c r="TW126" i="83"/>
  <c r="TR106" i="83"/>
  <c r="BK164" i="83"/>
  <c r="BK163" i="83"/>
  <c r="TS164" i="83"/>
  <c r="TS163" i="83"/>
  <c r="TH99" i="83"/>
  <c r="TD99" i="83"/>
  <c r="TG99" i="83"/>
  <c r="TC105" i="83"/>
  <c r="TC104" i="83"/>
  <c r="TE99" i="83"/>
  <c r="TF99" i="83"/>
  <c r="CB163" i="83"/>
  <c r="CB164" i="83"/>
  <c r="NF164" i="83"/>
  <c r="NF163" i="83"/>
  <c r="NI158" i="83"/>
  <c r="NH158" i="83"/>
  <c r="NK158" i="83"/>
  <c r="NJ158" i="83"/>
  <c r="NG158" i="83"/>
  <c r="SJ165" i="83"/>
  <c r="DK155" i="83"/>
  <c r="DK154" i="83"/>
  <c r="DM149" i="83"/>
  <c r="DP149" i="83"/>
  <c r="DL149" i="83"/>
  <c r="DO149" i="83"/>
  <c r="DN149" i="83"/>
  <c r="RF108" i="83"/>
  <c r="RI108" i="83"/>
  <c r="RE108" i="83"/>
  <c r="RG108" i="83"/>
  <c r="RD114" i="83"/>
  <c r="RD113" i="83"/>
  <c r="RH108" i="83"/>
  <c r="BJ147" i="83"/>
  <c r="BK155" i="83"/>
  <c r="BK154" i="83"/>
  <c r="NH140" i="83"/>
  <c r="NK140" i="83"/>
  <c r="NG140" i="83"/>
  <c r="NF146" i="83"/>
  <c r="NF145" i="83"/>
  <c r="NJ140" i="83"/>
  <c r="NI140" i="83"/>
  <c r="KP155" i="83"/>
  <c r="KP154" i="83"/>
  <c r="KU149" i="83"/>
  <c r="KQ149" i="83"/>
  <c r="KT149" i="83"/>
  <c r="KS149" i="83"/>
  <c r="KR149" i="83"/>
  <c r="OL106" i="83"/>
  <c r="IP105" i="83"/>
  <c r="IP104" i="83"/>
  <c r="ON155" i="83"/>
  <c r="ON154" i="83"/>
  <c r="OQ149" i="83"/>
  <c r="OP149" i="83"/>
  <c r="OS149" i="83"/>
  <c r="OO149" i="83"/>
  <c r="OR149" i="83"/>
  <c r="DP99" i="83"/>
  <c r="DL99" i="83"/>
  <c r="DO99" i="83"/>
  <c r="DK105" i="83"/>
  <c r="DK104" i="83"/>
  <c r="DM99" i="83"/>
  <c r="DN99" i="83"/>
  <c r="BL122" i="83"/>
  <c r="BP117" i="83"/>
  <c r="BO117" i="83"/>
  <c r="BN117" i="83"/>
  <c r="BL123" i="83"/>
  <c r="BL124" i="83" s="1"/>
  <c r="BM117" i="83"/>
  <c r="BQ117" i="83"/>
  <c r="JW115" i="83"/>
  <c r="CS137" i="83"/>
  <c r="CS136" i="83"/>
  <c r="RT155" i="83"/>
  <c r="RT154" i="83"/>
  <c r="QL164" i="83"/>
  <c r="QL163" i="83"/>
  <c r="CA156" i="83"/>
  <c r="HN117" i="83"/>
  <c r="HJ117" i="83"/>
  <c r="HM117" i="83"/>
  <c r="HL117" i="83"/>
  <c r="HI123" i="83"/>
  <c r="HK117" i="83"/>
  <c r="HI122" i="83"/>
  <c r="ER146" i="83"/>
  <c r="ER145" i="83"/>
  <c r="JH137" i="83"/>
  <c r="JH136" i="83"/>
  <c r="JJ126" i="83"/>
  <c r="JM126" i="83"/>
  <c r="JI126" i="83"/>
  <c r="JL126" i="83"/>
  <c r="JK126" i="83"/>
  <c r="FZ122" i="83"/>
  <c r="FZ123" i="83"/>
  <c r="NJ99" i="83"/>
  <c r="NI99" i="83"/>
  <c r="NH99" i="83"/>
  <c r="NF105" i="83"/>
  <c r="NF104" i="83"/>
  <c r="NG99" i="83"/>
  <c r="NK99" i="83"/>
  <c r="DK145" i="83"/>
  <c r="DN140" i="83"/>
  <c r="DM140" i="83"/>
  <c r="DL140" i="83"/>
  <c r="DK146" i="83"/>
  <c r="DK147" i="83" s="1"/>
  <c r="DP140" i="83"/>
  <c r="DO140" i="83"/>
  <c r="DK164" i="83"/>
  <c r="DK163" i="83"/>
  <c r="DO158" i="83"/>
  <c r="DN158" i="83"/>
  <c r="DL158" i="83"/>
  <c r="DP158" i="83"/>
  <c r="DM158" i="83"/>
  <c r="FY165" i="83"/>
  <c r="AU155" i="83"/>
  <c r="AU154" i="83"/>
  <c r="AW149" i="83"/>
  <c r="AZ149" i="83"/>
  <c r="AV149" i="83"/>
  <c r="AY149" i="83"/>
  <c r="AX149" i="83"/>
  <c r="GQ164" i="83"/>
  <c r="GQ163" i="83"/>
  <c r="TC155" i="83"/>
  <c r="TC154" i="83"/>
  <c r="TE149" i="83"/>
  <c r="TH149" i="83"/>
  <c r="TD149" i="83"/>
  <c r="TG149" i="83"/>
  <c r="TF149" i="83"/>
  <c r="EA155" i="83"/>
  <c r="EA154" i="83"/>
  <c r="QR99" i="83"/>
  <c r="QN99" i="83"/>
  <c r="QQ99" i="83"/>
  <c r="QM105" i="83"/>
  <c r="QM104" i="83"/>
  <c r="QO99" i="83"/>
  <c r="QP99" i="83"/>
  <c r="AC146" i="83"/>
  <c r="AC145" i="83"/>
  <c r="NF123" i="83"/>
  <c r="NH117" i="83"/>
  <c r="NK117" i="83"/>
  <c r="NG117" i="83"/>
  <c r="NI117" i="83"/>
  <c r="NJ117" i="83"/>
  <c r="NF122" i="83"/>
  <c r="RS115" i="83"/>
  <c r="NV137" i="83"/>
  <c r="NV136" i="83"/>
  <c r="KN124" i="83"/>
  <c r="IO124" i="83"/>
  <c r="LW155" i="83"/>
  <c r="LW154" i="83"/>
  <c r="AC164" i="83"/>
  <c r="AC163" i="83"/>
  <c r="RZ117" i="83"/>
  <c r="RV117" i="83"/>
  <c r="RY117" i="83"/>
  <c r="RW117" i="83"/>
  <c r="RX117" i="83"/>
  <c r="RU123" i="83"/>
  <c r="RU122" i="83"/>
  <c r="HY155" i="83"/>
  <c r="HY154" i="83"/>
  <c r="GP124" i="83"/>
  <c r="AB115" i="83"/>
  <c r="PC115" i="83"/>
  <c r="HY123" i="83"/>
  <c r="HY122" i="83"/>
  <c r="BJ106" i="83"/>
  <c r="AZ108" i="83"/>
  <c r="AV108" i="83"/>
  <c r="AY108" i="83"/>
  <c r="AU114" i="83"/>
  <c r="AU113" i="83"/>
  <c r="AW108" i="83"/>
  <c r="AX108" i="83"/>
  <c r="EB164" i="83"/>
  <c r="EB163" i="83"/>
  <c r="EG158" i="83"/>
  <c r="EC158" i="83"/>
  <c r="EF158" i="83"/>
  <c r="EE158" i="83"/>
  <c r="ED158" i="83"/>
  <c r="PC156" i="83"/>
  <c r="CS164" i="83"/>
  <c r="CS163" i="83"/>
  <c r="RT146" i="83"/>
  <c r="RT145" i="83"/>
  <c r="LX137" i="83"/>
  <c r="LX136" i="83"/>
  <c r="LZ126" i="83"/>
  <c r="MC126" i="83"/>
  <c r="LY126" i="83"/>
  <c r="MB126" i="83"/>
  <c r="MA126" i="83"/>
  <c r="CH117" i="83"/>
  <c r="CD117" i="83"/>
  <c r="CG117" i="83"/>
  <c r="CE117" i="83"/>
  <c r="CF117" i="83"/>
  <c r="CC123" i="83"/>
  <c r="CC122" i="83"/>
  <c r="MR108" i="83"/>
  <c r="MQ108" i="83"/>
  <c r="MP108" i="83"/>
  <c r="MO114" i="83"/>
  <c r="MO113" i="83"/>
  <c r="MT108" i="83"/>
  <c r="MS108" i="83"/>
  <c r="HY105" i="83"/>
  <c r="HY104" i="83"/>
  <c r="JW124" i="83"/>
  <c r="GD140" i="83"/>
  <c r="GA145" i="83"/>
  <c r="GC140" i="83"/>
  <c r="GF140" i="83"/>
  <c r="GE140" i="83"/>
  <c r="GA146" i="83"/>
  <c r="GA147" i="83" s="1"/>
  <c r="GB140" i="83"/>
  <c r="GR137" i="83"/>
  <c r="GR136" i="83"/>
  <c r="GT126" i="83"/>
  <c r="GW126" i="83"/>
  <c r="GS126" i="83"/>
  <c r="GV126" i="83"/>
  <c r="GU126" i="83"/>
  <c r="NV164" i="83"/>
  <c r="NV163" i="83"/>
  <c r="TA165" i="83"/>
  <c r="EB137" i="83"/>
  <c r="EB136" i="83"/>
  <c r="ED126" i="83"/>
  <c r="EG126" i="83"/>
  <c r="EC126" i="83"/>
  <c r="EF126" i="83"/>
  <c r="EE126" i="83"/>
  <c r="JX146" i="83"/>
  <c r="JX145" i="83"/>
  <c r="NU156" i="83"/>
  <c r="CB146" i="83"/>
  <c r="CB145" i="83"/>
  <c r="PT147" i="83"/>
  <c r="RB106" i="83"/>
  <c r="AU164" i="83"/>
  <c r="AU163" i="83"/>
  <c r="AY158" i="83"/>
  <c r="AX158" i="83"/>
  <c r="AZ158" i="83"/>
  <c r="AW158" i="83"/>
  <c r="AV158" i="83"/>
  <c r="CR124" i="83"/>
  <c r="JX155" i="83"/>
  <c r="JX154" i="83"/>
  <c r="AU137" i="83"/>
  <c r="AU136" i="83"/>
  <c r="AZ126" i="83"/>
  <c r="AV126" i="83"/>
  <c r="AY126" i="83"/>
  <c r="AX126" i="83"/>
  <c r="AW126" i="83"/>
  <c r="LL108" i="83"/>
  <c r="LH108" i="83"/>
  <c r="LK108" i="83"/>
  <c r="LG114" i="83"/>
  <c r="LG113" i="83"/>
  <c r="LI108" i="83"/>
  <c r="LJ108" i="83"/>
  <c r="PZ108" i="83"/>
  <c r="PY108" i="83"/>
  <c r="PV114" i="83"/>
  <c r="QA108" i="83"/>
  <c r="PX108" i="83"/>
  <c r="PV113" i="83"/>
  <c r="PW108" i="83"/>
  <c r="CA138" i="83"/>
  <c r="FH138" i="83"/>
  <c r="TA138" i="83"/>
  <c r="ND156" i="83"/>
  <c r="SK123" i="83"/>
  <c r="SK122" i="83"/>
  <c r="KT99" i="83"/>
  <c r="KS99" i="83"/>
  <c r="KP104" i="83"/>
  <c r="KQ99" i="83"/>
  <c r="KU99" i="83"/>
  <c r="KR99" i="83"/>
  <c r="KP105" i="83"/>
  <c r="KP106" i="83" s="1"/>
  <c r="LE147" i="83"/>
  <c r="CX108" i="83"/>
  <c r="CW108" i="83"/>
  <c r="CV108" i="83"/>
  <c r="CT114" i="83"/>
  <c r="CU108" i="83"/>
  <c r="CT113" i="83"/>
  <c r="CY108" i="83"/>
  <c r="ER155" i="83"/>
  <c r="ER154" i="83"/>
  <c r="GT108" i="83"/>
  <c r="GW108" i="83"/>
  <c r="GS108" i="83"/>
  <c r="GR114" i="83"/>
  <c r="GR113" i="83"/>
  <c r="GV108" i="83"/>
  <c r="GU108" i="83"/>
  <c r="FN99" i="83"/>
  <c r="FM99" i="83"/>
  <c r="FK99" i="83"/>
  <c r="FO99" i="83"/>
  <c r="FL99" i="83"/>
  <c r="FJ105" i="83"/>
  <c r="FJ104" i="83"/>
  <c r="KP145" i="83"/>
  <c r="KR140" i="83"/>
  <c r="KU140" i="83"/>
  <c r="KQ140" i="83"/>
  <c r="KS140" i="83"/>
  <c r="KP146" i="83"/>
  <c r="KT140" i="83"/>
  <c r="AC123" i="83"/>
  <c r="AC122" i="83"/>
  <c r="KP164" i="83"/>
  <c r="KP163" i="83"/>
  <c r="KS158" i="83"/>
  <c r="KR158" i="83"/>
  <c r="KT158" i="83"/>
  <c r="KQ158" i="83"/>
  <c r="KU158" i="83"/>
  <c r="DJ137" i="83"/>
  <c r="DJ136" i="83"/>
  <c r="CF99" i="83"/>
  <c r="CE99" i="83"/>
  <c r="CD99" i="83"/>
  <c r="CH99" i="83"/>
  <c r="CG99" i="83"/>
  <c r="CC105" i="83"/>
  <c r="CC104" i="83"/>
  <c r="TF117" i="83"/>
  <c r="TC123" i="83"/>
  <c r="TC122" i="83"/>
  <c r="TE117" i="83"/>
  <c r="TH117" i="83"/>
  <c r="TD117" i="83"/>
  <c r="TG117" i="83"/>
  <c r="RC155" i="83"/>
  <c r="RC154" i="83"/>
  <c r="TF140" i="83"/>
  <c r="TE140" i="83"/>
  <c r="TD140" i="83"/>
  <c r="TH140" i="83"/>
  <c r="TG140" i="83"/>
  <c r="TC146" i="83"/>
  <c r="TC145" i="83"/>
  <c r="ES137" i="83"/>
  <c r="ES136" i="83"/>
  <c r="EV126" i="83"/>
  <c r="EU126" i="83"/>
  <c r="EX126" i="83"/>
  <c r="ET126" i="83"/>
  <c r="EW126" i="83"/>
  <c r="FN108" i="83"/>
  <c r="FM108" i="83"/>
  <c r="FL108" i="83"/>
  <c r="FJ113" i="83"/>
  <c r="FK108" i="83"/>
  <c r="FO108" i="83"/>
  <c r="FJ114" i="83"/>
  <c r="PU155" i="83"/>
  <c r="PU154" i="83"/>
  <c r="HY146" i="83"/>
  <c r="HY145" i="83"/>
  <c r="IT140" i="83"/>
  <c r="IQ145" i="83"/>
  <c r="IS140" i="83"/>
  <c r="IR140" i="83"/>
  <c r="IV140" i="83"/>
  <c r="IU140" i="83"/>
  <c r="IQ146" i="83"/>
  <c r="HY137" i="83"/>
  <c r="HY136" i="83"/>
  <c r="TV99" i="83"/>
  <c r="TY99" i="83"/>
  <c r="TU99" i="83"/>
  <c r="TW99" i="83"/>
  <c r="TT105" i="83"/>
  <c r="TT104" i="83"/>
  <c r="TX99" i="83"/>
  <c r="OP99" i="83"/>
  <c r="OS99" i="83"/>
  <c r="OO99" i="83"/>
  <c r="OQ99" i="83"/>
  <c r="OR99" i="83"/>
  <c r="ON105" i="83"/>
  <c r="ON104" i="83"/>
  <c r="HL99" i="83"/>
  <c r="HK99" i="83"/>
  <c r="HJ99" i="83"/>
  <c r="HI105" i="83"/>
  <c r="HN99" i="83"/>
  <c r="HI104" i="83"/>
  <c r="HM99" i="83"/>
  <c r="KB108" i="83"/>
  <c r="KA108" i="83"/>
  <c r="KD108" i="83"/>
  <c r="JY114" i="83"/>
  <c r="JY113" i="83"/>
  <c r="KC108" i="83"/>
  <c r="JZ108" i="83"/>
  <c r="CC155" i="83"/>
  <c r="CC154" i="83"/>
  <c r="CG149" i="83"/>
  <c r="CF149" i="83"/>
  <c r="CH149" i="83"/>
  <c r="CE149" i="83"/>
  <c r="CD149" i="83"/>
  <c r="QM155" i="83"/>
  <c r="QM154" i="83"/>
  <c r="QO149" i="83"/>
  <c r="QR149" i="83"/>
  <c r="QN149" i="83"/>
  <c r="QP149" i="83"/>
  <c r="QQ149" i="83"/>
  <c r="HH164" i="83"/>
  <c r="HH163" i="83"/>
  <c r="NE137" i="83"/>
  <c r="NE136" i="83"/>
  <c r="HH155" i="83"/>
  <c r="HH154" i="83"/>
  <c r="FZ164" i="83"/>
  <c r="FZ163" i="83"/>
  <c r="TS114" i="83"/>
  <c r="TS113" i="83"/>
  <c r="RX108" i="83"/>
  <c r="RW108" i="83"/>
  <c r="RV108" i="83"/>
  <c r="RZ108" i="83"/>
  <c r="RY108" i="83"/>
  <c r="RU114" i="83"/>
  <c r="RU113" i="83"/>
  <c r="KO123" i="83"/>
  <c r="KO122" i="83"/>
  <c r="MN155" i="83"/>
  <c r="MN154" i="83"/>
  <c r="AD164" i="83"/>
  <c r="AD163" i="83"/>
  <c r="AG158" i="83"/>
  <c r="AF158" i="83"/>
  <c r="AH158" i="83"/>
  <c r="AE158" i="83"/>
  <c r="AI158" i="83"/>
  <c r="GQ122" i="83"/>
  <c r="GQ123" i="83"/>
  <c r="RC146" i="83"/>
  <c r="RC145" i="83"/>
  <c r="BK105" i="83"/>
  <c r="BK104" i="83"/>
  <c r="PU137" i="83"/>
  <c r="PU136" i="83"/>
  <c r="JJ108" i="83"/>
  <c r="JM108" i="83"/>
  <c r="JI108" i="83"/>
  <c r="JK108" i="83"/>
  <c r="JL108" i="83"/>
  <c r="JH114" i="83"/>
  <c r="JH113" i="83"/>
  <c r="EA164" i="83"/>
  <c r="EA163" i="83"/>
  <c r="FZ146" i="83"/>
  <c r="FZ145" i="83"/>
  <c r="NW155" i="83"/>
  <c r="NW154" i="83"/>
  <c r="NY149" i="83"/>
  <c r="OB149" i="83"/>
  <c r="NX149" i="83"/>
  <c r="OA149" i="83"/>
  <c r="NZ149" i="83"/>
  <c r="RC105" i="83"/>
  <c r="RC104" i="83"/>
  <c r="PE137" i="83"/>
  <c r="PE136" i="83"/>
  <c r="PH126" i="83"/>
  <c r="PG126" i="83"/>
  <c r="PJ126" i="83"/>
  <c r="PF126" i="83"/>
  <c r="PI126" i="83"/>
  <c r="CB137" i="83"/>
  <c r="CB136" i="83"/>
  <c r="OM146" i="83"/>
  <c r="OM145" i="83"/>
  <c r="TC137" i="83"/>
  <c r="TC136" i="83"/>
  <c r="TH126" i="83"/>
  <c r="TD126" i="83"/>
  <c r="TG126" i="83"/>
  <c r="TF126" i="83"/>
  <c r="TE126" i="83"/>
  <c r="PD146" i="83"/>
  <c r="PD145" i="83"/>
  <c r="LF146" i="83"/>
  <c r="LF145" i="83"/>
  <c r="ER164" i="83"/>
  <c r="ER163" i="83"/>
  <c r="TT155" i="83"/>
  <c r="TT154" i="83"/>
  <c r="TW149" i="83"/>
  <c r="TV149" i="83"/>
  <c r="TY149" i="83"/>
  <c r="TX149" i="83"/>
  <c r="TU149" i="83"/>
  <c r="LG155" i="83"/>
  <c r="LG154" i="83"/>
  <c r="LI149" i="83"/>
  <c r="LL149" i="83"/>
  <c r="LH149" i="83"/>
  <c r="LK149" i="83"/>
  <c r="LJ149" i="83"/>
  <c r="CS114" i="83"/>
  <c r="CS113" i="83"/>
  <c r="LF105" i="83"/>
  <c r="LF104" i="83"/>
  <c r="GQ114" i="83"/>
  <c r="GQ113" i="83"/>
  <c r="GA155" i="83"/>
  <c r="GA154" i="83"/>
  <c r="GC149" i="83"/>
  <c r="GF149" i="83"/>
  <c r="GB149" i="83"/>
  <c r="GE149" i="83"/>
  <c r="GD149" i="83"/>
  <c r="GP106" i="83"/>
  <c r="QK138" i="83"/>
  <c r="RD164" i="83"/>
  <c r="RD163" i="83"/>
  <c r="RI158" i="83"/>
  <c r="RE158" i="83"/>
  <c r="RH158" i="83"/>
  <c r="RG158" i="83"/>
  <c r="RF158" i="83"/>
  <c r="KB99" i="83"/>
  <c r="KA99" i="83"/>
  <c r="KD99" i="83"/>
  <c r="JY105" i="83"/>
  <c r="KC99" i="83"/>
  <c r="JY104" i="83"/>
  <c r="JZ99" i="83"/>
  <c r="JG146" i="83"/>
  <c r="JG145" i="83"/>
  <c r="DK137" i="83"/>
  <c r="DK136" i="83"/>
  <c r="DP126" i="83"/>
  <c r="DL126" i="83"/>
  <c r="DO126" i="83"/>
  <c r="DM126" i="83"/>
  <c r="DN126" i="83"/>
  <c r="JW138" i="83"/>
  <c r="CR156" i="83"/>
  <c r="NV105" i="83"/>
  <c r="NV104" i="83"/>
  <c r="FY115" i="83"/>
  <c r="NU115" i="83"/>
  <c r="RT137" i="83"/>
  <c r="RT136" i="83"/>
  <c r="LF164" i="83"/>
  <c r="LF163" i="83"/>
  <c r="DJ114" i="83"/>
  <c r="DJ113" i="83"/>
  <c r="HZ164" i="83"/>
  <c r="HZ163" i="83"/>
  <c r="IC158" i="83"/>
  <c r="IB158" i="83"/>
  <c r="IE158" i="83"/>
  <c r="ID158" i="83"/>
  <c r="IA158" i="83"/>
  <c r="RC122" i="83"/>
  <c r="RC123" i="83"/>
  <c r="RD155" i="83"/>
  <c r="RD154" i="83"/>
  <c r="RG149" i="83"/>
  <c r="RF149" i="83"/>
  <c r="RH149" i="83"/>
  <c r="RE149" i="83"/>
  <c r="RI149" i="83"/>
  <c r="TB146" i="83"/>
  <c r="TB145" i="83"/>
  <c r="ER137" i="83"/>
  <c r="ER136" i="83"/>
  <c r="HY114" i="83"/>
  <c r="HY113" i="83"/>
  <c r="PV155" i="83"/>
  <c r="PV154" i="83"/>
  <c r="QA149" i="83"/>
  <c r="PW149" i="83"/>
  <c r="PZ149" i="83"/>
  <c r="PY149" i="83"/>
  <c r="PX149" i="83"/>
  <c r="GA137" i="83"/>
  <c r="GA136" i="83"/>
  <c r="GF126" i="83"/>
  <c r="GB126" i="83"/>
  <c r="GE126" i="83"/>
  <c r="GD126" i="83"/>
  <c r="GC126" i="83"/>
  <c r="AC155" i="83"/>
  <c r="AC154" i="83"/>
  <c r="GR155" i="83"/>
  <c r="GR154" i="83"/>
  <c r="GU149" i="83"/>
  <c r="GT149" i="83"/>
  <c r="GV149" i="83"/>
  <c r="GS149" i="83"/>
  <c r="GW149" i="83"/>
  <c r="HZ137" i="83"/>
  <c r="HZ136" i="83"/>
  <c r="ID126" i="83"/>
  <c r="IC126" i="83"/>
  <c r="IE126" i="83"/>
  <c r="IB126" i="83"/>
  <c r="IA126" i="83"/>
  <c r="BJ165" i="83"/>
  <c r="TB105" i="83"/>
  <c r="TB104" i="83"/>
  <c r="DI156" i="83"/>
  <c r="BJ156" i="83"/>
  <c r="ND147" i="83"/>
  <c r="QR108" i="83"/>
  <c r="QN108" i="83"/>
  <c r="QQ108" i="83"/>
  <c r="QM114" i="83"/>
  <c r="QM113" i="83"/>
  <c r="QO108" i="83"/>
  <c r="QP108" i="83"/>
  <c r="LW105" i="83"/>
  <c r="LW104" i="83"/>
  <c r="KO155" i="83"/>
  <c r="KO154" i="83"/>
  <c r="HH105" i="83"/>
  <c r="HH104" i="83"/>
  <c r="IO106" i="83"/>
  <c r="OM155" i="83"/>
  <c r="OM154" i="83"/>
  <c r="DJ105" i="83"/>
  <c r="DJ104" i="83"/>
  <c r="BK122" i="83"/>
  <c r="BK123" i="83"/>
  <c r="CR138" i="83"/>
  <c r="FI123" i="83"/>
  <c r="FI122" i="83"/>
  <c r="HH123" i="83"/>
  <c r="HH122" i="83"/>
  <c r="JG137" i="83"/>
  <c r="JG136" i="83"/>
  <c r="HI164" i="83"/>
  <c r="HI163" i="83"/>
  <c r="HK158" i="83"/>
  <c r="HN158" i="83"/>
  <c r="HJ158" i="83"/>
  <c r="HM158" i="83"/>
  <c r="HL158" i="83"/>
  <c r="GD117" i="83"/>
  <c r="GA123" i="83"/>
  <c r="GA122" i="83"/>
  <c r="GC117" i="83"/>
  <c r="GB117" i="83"/>
  <c r="GF117" i="83"/>
  <c r="GE117" i="83"/>
  <c r="NF137" i="83"/>
  <c r="NF136" i="83"/>
  <c r="NJ126" i="83"/>
  <c r="NI126" i="83"/>
  <c r="NK126" i="83"/>
  <c r="NH126" i="83"/>
  <c r="NG126" i="83"/>
  <c r="AS156" i="83"/>
  <c r="GP165" i="83"/>
  <c r="DZ156" i="83"/>
  <c r="ND124" i="83"/>
  <c r="IP122" i="83"/>
  <c r="IP123" i="83"/>
  <c r="RT123" i="83"/>
  <c r="RT122" i="83"/>
  <c r="HX156" i="83"/>
  <c r="OM164" i="83"/>
  <c r="OM163" i="83"/>
  <c r="IV108" i="83"/>
  <c r="IR108" i="83"/>
  <c r="IU108" i="83"/>
  <c r="IQ114" i="83"/>
  <c r="IQ113" i="83"/>
  <c r="IS108" i="83"/>
  <c r="IT108" i="83"/>
  <c r="PV137" i="83"/>
  <c r="PV136" i="83"/>
  <c r="PZ126" i="83"/>
  <c r="PY126" i="83"/>
  <c r="PW126" i="83"/>
  <c r="QA126" i="83"/>
  <c r="PX126" i="83"/>
  <c r="JG114" i="83"/>
  <c r="JG113" i="83"/>
  <c r="CT164" i="83"/>
  <c r="CT163" i="83"/>
  <c r="CW158" i="83"/>
  <c r="CV158" i="83"/>
  <c r="CY158" i="83"/>
  <c r="CX158" i="83"/>
  <c r="CU158" i="83"/>
  <c r="CB123" i="83"/>
  <c r="CB122" i="83"/>
  <c r="MN114" i="83"/>
  <c r="MN113" i="83"/>
  <c r="HX106" i="83"/>
  <c r="DZ138" i="83"/>
  <c r="ED108" i="83"/>
  <c r="EG108" i="83"/>
  <c r="EC108" i="83"/>
  <c r="EE108" i="83"/>
  <c r="EF108" i="83"/>
  <c r="EB114" i="83"/>
  <c r="EB113" i="83"/>
  <c r="AT164" i="83"/>
  <c r="AT163" i="83"/>
  <c r="JW156" i="83"/>
  <c r="PD137" i="83"/>
  <c r="PD136" i="83"/>
  <c r="FJ155" i="83"/>
  <c r="FJ154" i="83"/>
  <c r="FO149" i="83"/>
  <c r="FK149" i="83"/>
  <c r="FN149" i="83"/>
  <c r="FM149" i="83"/>
  <c r="FL149" i="83"/>
  <c r="RU164" i="83"/>
  <c r="RU163" i="83"/>
  <c r="RW158" i="83"/>
  <c r="RZ158" i="83"/>
  <c r="RV158" i="83"/>
  <c r="RY158" i="83"/>
  <c r="RX158" i="83"/>
  <c r="PD164" i="83"/>
  <c r="PD163" i="83"/>
  <c r="QK124" i="83"/>
  <c r="AC137" i="83"/>
  <c r="AC136" i="83"/>
  <c r="MM165" i="83"/>
  <c r="PD105" i="83"/>
  <c r="PD104" i="83"/>
  <c r="TB114" i="83"/>
  <c r="TB113" i="83"/>
  <c r="MT140" i="83"/>
  <c r="MP140" i="83"/>
  <c r="MO146" i="83"/>
  <c r="MO145" i="83"/>
  <c r="MS140" i="83"/>
  <c r="MQ140" i="83"/>
  <c r="MR140" i="83"/>
  <c r="AZ99" i="83"/>
  <c r="AV99" i="83"/>
  <c r="AY99" i="83"/>
  <c r="AU105" i="83"/>
  <c r="AU104" i="83"/>
  <c r="AW99" i="83"/>
  <c r="AX99" i="83"/>
  <c r="GQ104" i="83"/>
  <c r="GQ105" i="83"/>
  <c r="FI105" i="83"/>
  <c r="FI104" i="83"/>
  <c r="DZ124" i="83"/>
  <c r="EB146" i="83"/>
  <c r="EB145" i="83"/>
  <c r="EF140" i="83"/>
  <c r="EE140" i="83"/>
  <c r="ED140" i="83"/>
  <c r="EC140" i="83"/>
  <c r="EG140" i="83"/>
  <c r="OM137" i="83"/>
  <c r="OM136" i="83"/>
  <c r="HH114" i="83"/>
  <c r="HH113" i="83"/>
  <c r="KO146" i="83"/>
  <c r="KO145" i="83"/>
  <c r="QM137" i="83"/>
  <c r="QM136" i="83"/>
  <c r="QR126" i="83"/>
  <c r="QN126" i="83"/>
  <c r="QQ126" i="83"/>
  <c r="QP126" i="83"/>
  <c r="QO126" i="83"/>
  <c r="PJ117" i="83"/>
  <c r="PF117" i="83"/>
  <c r="PI117" i="83"/>
  <c r="PG117" i="83"/>
  <c r="PE123" i="83"/>
  <c r="PE122" i="83"/>
  <c r="PH117" i="83"/>
  <c r="AT123" i="83"/>
  <c r="AT122" i="83"/>
  <c r="BN108" i="83"/>
  <c r="BQ108" i="83"/>
  <c r="BM108" i="83"/>
  <c r="BO108" i="83"/>
  <c r="BL114" i="83"/>
  <c r="BL113" i="83"/>
  <c r="BP108" i="83"/>
  <c r="AD123" i="83"/>
  <c r="AF117" i="83"/>
  <c r="AI117" i="83"/>
  <c r="AE117" i="83"/>
  <c r="AD122" i="83"/>
  <c r="AH117" i="83"/>
  <c r="AG117" i="83"/>
  <c r="SP108" i="83"/>
  <c r="SO108" i="83"/>
  <c r="SN108" i="83"/>
  <c r="SM108" i="83"/>
  <c r="SL114" i="83"/>
  <c r="SL113" i="83"/>
  <c r="SQ108" i="83"/>
  <c r="PU105" i="83"/>
  <c r="PU104" i="83"/>
  <c r="ON122" i="83"/>
  <c r="OR117" i="83"/>
  <c r="OQ117" i="83"/>
  <c r="ON123" i="83"/>
  <c r="OS117" i="83"/>
  <c r="OP117" i="83"/>
  <c r="OO117" i="83"/>
  <c r="JF147" i="83"/>
  <c r="KN165" i="83"/>
  <c r="MN105" i="83"/>
  <c r="MN104" i="83"/>
  <c r="JG164" i="83"/>
  <c r="JG163" i="83"/>
  <c r="HH146" i="83"/>
  <c r="HH145" i="83"/>
  <c r="JX137" i="83"/>
  <c r="JX136" i="83"/>
  <c r="CT155" i="83"/>
  <c r="CT154" i="83"/>
  <c r="CY149" i="83"/>
  <c r="CU149" i="83"/>
  <c r="CX149" i="83"/>
  <c r="CV149" i="83"/>
  <c r="CW149" i="83"/>
  <c r="MT117" i="83"/>
  <c r="MP117" i="83"/>
  <c r="MS117" i="83"/>
  <c r="MO123" i="83"/>
  <c r="MO122" i="83"/>
  <c r="MQ117" i="83"/>
  <c r="MR117" i="83"/>
  <c r="GF108" i="83"/>
  <c r="GB108" i="83"/>
  <c r="GE108" i="83"/>
  <c r="GA114" i="83"/>
  <c r="GA113" i="83"/>
  <c r="GC108" i="83"/>
  <c r="GD108" i="83"/>
  <c r="LF122" i="83"/>
  <c r="LF123" i="83"/>
  <c r="SP99" i="83"/>
  <c r="SO99" i="83"/>
  <c r="SN99" i="83"/>
  <c r="SL104" i="83"/>
  <c r="SQ99" i="83"/>
  <c r="SM99" i="83"/>
  <c r="SL105" i="83"/>
  <c r="CS105" i="83"/>
  <c r="CS104" i="83"/>
  <c r="GP147" i="83"/>
  <c r="NV123" i="83"/>
  <c r="NV122" i="83"/>
  <c r="OB108" i="83"/>
  <c r="NX108" i="83"/>
  <c r="OA108" i="83"/>
  <c r="NW114" i="83"/>
  <c r="NW113" i="83"/>
  <c r="NY108" i="83"/>
  <c r="NZ108" i="83"/>
  <c r="OP108" i="83"/>
  <c r="OS108" i="83"/>
  <c r="OO108" i="83"/>
  <c r="OQ108" i="83"/>
  <c r="OR108" i="83"/>
  <c r="ON114" i="83"/>
  <c r="ON113" i="83"/>
  <c r="KO114" i="83"/>
  <c r="KO113" i="83"/>
  <c r="LE165" i="83"/>
  <c r="HY164" i="83"/>
  <c r="HY163" i="83"/>
  <c r="EA105" i="83"/>
  <c r="EA104" i="83"/>
  <c r="RB124" i="83"/>
  <c r="CR147" i="83"/>
  <c r="FZ105" i="83"/>
  <c r="FZ104" i="83"/>
  <c r="IB140" i="83"/>
  <c r="IE140" i="83"/>
  <c r="IA140" i="83"/>
  <c r="HZ146" i="83"/>
  <c r="ID140" i="83"/>
  <c r="HZ145" i="83"/>
  <c r="IC140" i="83"/>
  <c r="LX145" i="83"/>
  <c r="LX146" i="83"/>
  <c r="MB140" i="83"/>
  <c r="MA140" i="83"/>
  <c r="MC140" i="83"/>
  <c r="LY140" i="83"/>
  <c r="LZ140" i="83"/>
  <c r="IO147" i="83"/>
  <c r="JH122" i="83"/>
  <c r="JL117" i="83"/>
  <c r="JK117" i="83"/>
  <c r="JJ117" i="83"/>
  <c r="JI117" i="83"/>
  <c r="JH123" i="83"/>
  <c r="JM117" i="83"/>
  <c r="EV99" i="83"/>
  <c r="EU99" i="83"/>
  <c r="EX99" i="83"/>
  <c r="ES104" i="83"/>
  <c r="EW99" i="83"/>
  <c r="ES105" i="83"/>
  <c r="ET99" i="83"/>
  <c r="TS105" i="83"/>
  <c r="TS104" i="83"/>
  <c r="BL164" i="83"/>
  <c r="BL163" i="83"/>
  <c r="BQ158" i="83"/>
  <c r="BM158" i="83"/>
  <c r="BP158" i="83"/>
  <c r="BO158" i="83"/>
  <c r="BN158" i="83"/>
  <c r="CC164" i="83"/>
  <c r="CC163" i="83"/>
  <c r="CE158" i="83"/>
  <c r="CH158" i="83"/>
  <c r="CD158" i="83"/>
  <c r="CG158" i="83"/>
  <c r="CF158" i="83"/>
  <c r="SL164" i="83"/>
  <c r="SL163" i="83"/>
  <c r="SO158" i="83"/>
  <c r="SN158" i="83"/>
  <c r="SQ158" i="83"/>
  <c r="SP158" i="83"/>
  <c r="SM158" i="83"/>
  <c r="DJ155" i="83"/>
  <c r="DJ154" i="83"/>
  <c r="RC114" i="83"/>
  <c r="RC113" i="83"/>
  <c r="BL155" i="83"/>
  <c r="BL154" i="83"/>
  <c r="BO149" i="83"/>
  <c r="BN149" i="83"/>
  <c r="BP149" i="83"/>
  <c r="BM149" i="83"/>
  <c r="BQ149" i="83"/>
  <c r="NE146" i="83"/>
  <c r="NE145" i="83"/>
  <c r="OM105" i="83"/>
  <c r="OM104" i="83"/>
  <c r="IV99" i="83"/>
  <c r="IR99" i="83"/>
  <c r="IU99" i="83"/>
  <c r="IQ105" i="83"/>
  <c r="IQ104" i="83"/>
  <c r="IS99" i="83"/>
  <c r="IT99" i="83"/>
  <c r="BJ124" i="83"/>
  <c r="JX114" i="83"/>
  <c r="JX113" i="83"/>
  <c r="CT137" i="83"/>
  <c r="CT136" i="83"/>
  <c r="CX126" i="83"/>
  <c r="CW126" i="83"/>
  <c r="CY126" i="83"/>
  <c r="CV126" i="83"/>
  <c r="CU126" i="83"/>
  <c r="RU155" i="83"/>
  <c r="RU154" i="83"/>
  <c r="RY149" i="83"/>
  <c r="RX149" i="83"/>
  <c r="RZ149" i="83"/>
  <c r="RW149" i="83"/>
  <c r="RV149" i="83"/>
  <c r="QM164" i="83"/>
  <c r="QM163" i="83"/>
  <c r="QQ158" i="83"/>
  <c r="QP158" i="83"/>
  <c r="QR158" i="83"/>
  <c r="QO158" i="83"/>
  <c r="QN158" i="83"/>
  <c r="AT146" i="83"/>
  <c r="AT145" i="83"/>
  <c r="CB155" i="83"/>
  <c r="CB154" i="83"/>
  <c r="EX140" i="83"/>
  <c r="ET140" i="83"/>
  <c r="ES146" i="83"/>
  <c r="EW140" i="83"/>
  <c r="ES145" i="83"/>
  <c r="EV140" i="83"/>
  <c r="EU140" i="83"/>
  <c r="FY124" i="83"/>
  <c r="DI165" i="83"/>
  <c r="AT155" i="83"/>
  <c r="AT154" i="83"/>
  <c r="GR164" i="83"/>
  <c r="GR163" i="83"/>
  <c r="GW158" i="83"/>
  <c r="GS158" i="83"/>
  <c r="GV158" i="83"/>
  <c r="GU158" i="83"/>
  <c r="GT158" i="83"/>
  <c r="EB155" i="83"/>
  <c r="EB154" i="83"/>
  <c r="EE149" i="83"/>
  <c r="ED149" i="83"/>
  <c r="EG149" i="83"/>
  <c r="EC149" i="83"/>
  <c r="EF149" i="83"/>
  <c r="AD145" i="83"/>
  <c r="AF140" i="83"/>
  <c r="AI140" i="83"/>
  <c r="AE140" i="83"/>
  <c r="AG140" i="83"/>
  <c r="AD146" i="83"/>
  <c r="AH140" i="83"/>
  <c r="NE123" i="83"/>
  <c r="NE122" i="83"/>
  <c r="RT114" i="83"/>
  <c r="RT113" i="83"/>
  <c r="NW137" i="83"/>
  <c r="NW136" i="83"/>
  <c r="OB126" i="83"/>
  <c r="NX126" i="83"/>
  <c r="OA126" i="83"/>
  <c r="NY126" i="83"/>
  <c r="NZ126" i="83"/>
  <c r="KP123" i="83"/>
  <c r="KR117" i="83"/>
  <c r="KU117" i="83"/>
  <c r="KQ117" i="83"/>
  <c r="KT117" i="83"/>
  <c r="KP122" i="83"/>
  <c r="KS117" i="83"/>
  <c r="IT117" i="83"/>
  <c r="IQ123" i="83"/>
  <c r="IQ122" i="83"/>
  <c r="IS117" i="83"/>
  <c r="IV117" i="83"/>
  <c r="IU117" i="83"/>
  <c r="IR117" i="83"/>
  <c r="LX155" i="83"/>
  <c r="LX154" i="83"/>
  <c r="MA149" i="83"/>
  <c r="LZ149" i="83"/>
  <c r="MB149" i="83"/>
  <c r="LY149" i="83"/>
  <c r="MC149" i="83"/>
  <c r="HZ155" i="83"/>
  <c r="HZ154" i="83"/>
  <c r="IE149" i="83"/>
  <c r="IA149" i="83"/>
  <c r="ID149" i="83"/>
  <c r="IC149" i="83"/>
  <c r="IB149" i="83"/>
  <c r="AH108" i="83"/>
  <c r="AG108" i="83"/>
  <c r="AI108" i="83"/>
  <c r="AF108" i="83"/>
  <c r="AD114" i="83"/>
  <c r="AD113" i="83"/>
  <c r="AE108" i="83"/>
  <c r="PD114" i="83"/>
  <c r="PD113" i="83"/>
  <c r="ON164" i="83"/>
  <c r="ON163" i="83"/>
  <c r="OS158" i="83"/>
  <c r="OO158" i="83"/>
  <c r="OR158" i="83"/>
  <c r="OQ158" i="83"/>
  <c r="OP158" i="83"/>
  <c r="HZ123" i="83"/>
  <c r="IB117" i="83"/>
  <c r="IE117" i="83"/>
  <c r="IA117" i="83"/>
  <c r="IC117" i="83"/>
  <c r="HZ122" i="83"/>
  <c r="ID117" i="83"/>
  <c r="BN99" i="83"/>
  <c r="BQ99" i="83"/>
  <c r="BM99" i="83"/>
  <c r="BO99" i="83"/>
  <c r="BL105" i="83"/>
  <c r="BL104" i="83"/>
  <c r="BP99" i="83"/>
  <c r="DZ165" i="83"/>
  <c r="PD155" i="83"/>
  <c r="PD154" i="83"/>
  <c r="RZ140" i="83"/>
  <c r="RV140" i="83"/>
  <c r="RU146" i="83"/>
  <c r="RU145" i="83"/>
  <c r="RY140" i="83"/>
  <c r="RW140" i="83"/>
  <c r="RX140" i="83"/>
  <c r="LW137" i="83"/>
  <c r="LW136" i="83"/>
  <c r="ID99" i="83"/>
  <c r="IC99" i="83"/>
  <c r="IB99" i="83"/>
  <c r="HZ105" i="83"/>
  <c r="HZ104" i="83"/>
  <c r="IE99" i="83"/>
  <c r="IA99" i="83"/>
  <c r="JX123" i="83"/>
  <c r="JX122" i="83"/>
  <c r="GQ137" i="83"/>
  <c r="GQ136" i="83"/>
  <c r="PV164" i="83"/>
  <c r="PV163" i="83"/>
  <c r="PY158" i="83"/>
  <c r="PX158" i="83"/>
  <c r="PZ158" i="83"/>
  <c r="PW158" i="83"/>
  <c r="QA158" i="83"/>
  <c r="NW164" i="83"/>
  <c r="NW163" i="83"/>
  <c r="OA158" i="83"/>
  <c r="NZ158" i="83"/>
  <c r="NX158" i="83"/>
  <c r="OB158" i="83"/>
  <c r="NY158" i="83"/>
  <c r="TB164" i="83"/>
  <c r="TB163" i="83"/>
  <c r="EA137" i="83"/>
  <c r="EA136" i="83"/>
  <c r="JY145" i="83"/>
  <c r="KD140" i="83"/>
  <c r="JZ140" i="83"/>
  <c r="JY146" i="83"/>
  <c r="KC140" i="83"/>
  <c r="KB140" i="83"/>
  <c r="KA140" i="83"/>
  <c r="NV155" i="83"/>
  <c r="NV154" i="83"/>
  <c r="PU146" i="83"/>
  <c r="PU145" i="83"/>
  <c r="RF99" i="83"/>
  <c r="RI99" i="83"/>
  <c r="RE99" i="83"/>
  <c r="RG99" i="83"/>
  <c r="RD105" i="83"/>
  <c r="RD104" i="83"/>
  <c r="RH99" i="83"/>
  <c r="AS165" i="83"/>
  <c r="CT123" i="83"/>
  <c r="CV117" i="83"/>
  <c r="CY117" i="83"/>
  <c r="CU117" i="83"/>
  <c r="CW117" i="83"/>
  <c r="CT122" i="83"/>
  <c r="CX117" i="83"/>
  <c r="LW122" i="83"/>
  <c r="LW123" i="83"/>
  <c r="JY155" i="83"/>
  <c r="JY154" i="83"/>
  <c r="KC149" i="83"/>
  <c r="KB149" i="83"/>
  <c r="JZ149" i="83"/>
  <c r="KD149" i="83"/>
  <c r="KA149" i="83"/>
  <c r="PU114" i="83"/>
  <c r="PU113" i="83"/>
  <c r="CC137" i="83"/>
  <c r="CC136" i="83"/>
  <c r="CF126" i="83"/>
  <c r="CE126" i="83"/>
  <c r="CG126" i="83"/>
  <c r="CD126" i="83"/>
  <c r="CH126" i="83"/>
  <c r="FI137" i="83"/>
  <c r="FI136" i="83"/>
  <c r="TB137" i="83"/>
  <c r="TB136" i="83"/>
  <c r="NE155" i="83"/>
  <c r="NE154" i="83"/>
  <c r="LG145" i="83"/>
  <c r="LJ140" i="83"/>
  <c r="LI140" i="83"/>
  <c r="LL140" i="83"/>
  <c r="LK140" i="83"/>
  <c r="LG146" i="83"/>
  <c r="LH140" i="83"/>
  <c r="Q10" i="44"/>
  <c r="Q19" i="44" s="1"/>
  <c r="I9" i="44"/>
  <c r="N41" i="82" l="1"/>
  <c r="N43" i="82"/>
  <c r="R41" i="82"/>
  <c r="V41" i="82" s="1"/>
  <c r="Q9" i="44"/>
  <c r="AU106" i="83"/>
  <c r="LG147" i="83"/>
  <c r="LW124" i="83"/>
  <c r="IP124" i="83"/>
  <c r="KP147" i="83"/>
  <c r="AU147" i="83"/>
  <c r="EA124" i="83"/>
  <c r="JG106" i="83"/>
  <c r="JY124" i="83"/>
  <c r="NE156" i="83"/>
  <c r="FI138" i="83"/>
  <c r="JY156" i="83"/>
  <c r="TB165" i="83"/>
  <c r="GQ138" i="83"/>
  <c r="RU147" i="83"/>
  <c r="PD156" i="83"/>
  <c r="BL106" i="83"/>
  <c r="PD115" i="83"/>
  <c r="RT115" i="83"/>
  <c r="EB156" i="83"/>
  <c r="CB156" i="83"/>
  <c r="RU156" i="83"/>
  <c r="BL156" i="83"/>
  <c r="DJ156" i="83"/>
  <c r="HY165" i="83"/>
  <c r="CT156" i="83"/>
  <c r="HH147" i="83"/>
  <c r="MN106" i="83"/>
  <c r="BL115" i="83"/>
  <c r="QM138" i="83"/>
  <c r="HH115" i="83"/>
  <c r="MO147" i="83"/>
  <c r="TB115" i="83"/>
  <c r="PD165" i="83"/>
  <c r="PD138" i="83"/>
  <c r="CB124" i="83"/>
  <c r="PV138" i="83"/>
  <c r="IQ115" i="83"/>
  <c r="RT124" i="83"/>
  <c r="OM156" i="83"/>
  <c r="AC156" i="83"/>
  <c r="HY115" i="83"/>
  <c r="TB147" i="83"/>
  <c r="HZ165" i="83"/>
  <c r="LF165" i="83"/>
  <c r="OM147" i="83"/>
  <c r="FZ147" i="83"/>
  <c r="JH115" i="83"/>
  <c r="AD165" i="83"/>
  <c r="KO124" i="83"/>
  <c r="QM156" i="83"/>
  <c r="PU156" i="83"/>
  <c r="TC147" i="83"/>
  <c r="ER156" i="83"/>
  <c r="LG115" i="83"/>
  <c r="JX156" i="83"/>
  <c r="AU165" i="83"/>
  <c r="CB147" i="83"/>
  <c r="GR138" i="83"/>
  <c r="RU124" i="83"/>
  <c r="EA156" i="83"/>
  <c r="AU156" i="83"/>
  <c r="DK165" i="83"/>
  <c r="BK156" i="83"/>
  <c r="RD115" i="83"/>
  <c r="BK165" i="83"/>
  <c r="TT138" i="83"/>
  <c r="LW147" i="83"/>
  <c r="CS147" i="83"/>
  <c r="NV115" i="83"/>
  <c r="ES115" i="83"/>
  <c r="LG138" i="83"/>
  <c r="CS156" i="83"/>
  <c r="EB124" i="83"/>
  <c r="TT147" i="83"/>
  <c r="LF156" i="83"/>
  <c r="FI156" i="83"/>
  <c r="AT138" i="83"/>
  <c r="IQ138" i="83"/>
  <c r="NV147" i="83"/>
  <c r="HI156" i="83"/>
  <c r="NE106" i="83"/>
  <c r="SK147" i="83"/>
  <c r="PV124" i="83"/>
  <c r="SL156" i="83"/>
  <c r="GQ147" i="83"/>
  <c r="LF138" i="83"/>
  <c r="RU106" i="83"/>
  <c r="ER124" i="83"/>
  <c r="AU124" i="83"/>
  <c r="FI147" i="83"/>
  <c r="NF156" i="83"/>
  <c r="CS124" i="83"/>
  <c r="AC106" i="83"/>
  <c r="PE156" i="83"/>
  <c r="JX165" i="83"/>
  <c r="QL115" i="83"/>
  <c r="SL147" i="83"/>
  <c r="GQ156" i="83"/>
  <c r="RC138" i="83"/>
  <c r="ER106" i="83"/>
  <c r="GA106" i="83"/>
  <c r="DJ124" i="83"/>
  <c r="HZ115" i="83"/>
  <c r="SK115" i="83"/>
  <c r="JG156" i="83"/>
  <c r="TS156" i="83"/>
  <c r="PU115" i="83"/>
  <c r="CT124" i="83"/>
  <c r="RD106" i="83"/>
  <c r="NV156" i="83"/>
  <c r="JY147" i="83"/>
  <c r="LX156" i="83"/>
  <c r="AT156" i="83"/>
  <c r="QM165" i="83"/>
  <c r="JX115" i="83"/>
  <c r="NE147" i="83"/>
  <c r="BL165" i="83"/>
  <c r="ES106" i="83"/>
  <c r="HZ147" i="83"/>
  <c r="ON115" i="83"/>
  <c r="PE124" i="83"/>
  <c r="EB147" i="83"/>
  <c r="AC138" i="83"/>
  <c r="EB115" i="83"/>
  <c r="JG115" i="83"/>
  <c r="OM165" i="83"/>
  <c r="NF138" i="83"/>
  <c r="JG138" i="83"/>
  <c r="FI124" i="83"/>
  <c r="KO156" i="83"/>
  <c r="DK138" i="83"/>
  <c r="RD165" i="83"/>
  <c r="GA156" i="83"/>
  <c r="LF106" i="83"/>
  <c r="TT156" i="83"/>
  <c r="LF147" i="83"/>
  <c r="PE138" i="83"/>
  <c r="BK106" i="83"/>
  <c r="TS115" i="83"/>
  <c r="HH156" i="83"/>
  <c r="HH165" i="83"/>
  <c r="HY138" i="83"/>
  <c r="FJ115" i="83"/>
  <c r="TC124" i="83"/>
  <c r="KP165" i="83"/>
  <c r="SK124" i="83"/>
  <c r="NV165" i="83"/>
  <c r="RT147" i="83"/>
  <c r="HY124" i="83"/>
  <c r="LW156" i="83"/>
  <c r="NV138" i="83"/>
  <c r="NF124" i="83"/>
  <c r="GQ165" i="83"/>
  <c r="ER147" i="83"/>
  <c r="RT156" i="83"/>
  <c r="ON156" i="83"/>
  <c r="TC106" i="83"/>
  <c r="DK124" i="83"/>
  <c r="SK106" i="83"/>
  <c r="RT106" i="83"/>
  <c r="NW106" i="83"/>
  <c r="QL147" i="83"/>
  <c r="JX106" i="83"/>
  <c r="PD124" i="83"/>
  <c r="EA147" i="83"/>
  <c r="AT106" i="83"/>
  <c r="MN147" i="83"/>
  <c r="MO165" i="83"/>
  <c r="SL124" i="83"/>
  <c r="HH138" i="83"/>
  <c r="MO156" i="83"/>
  <c r="QL106" i="83"/>
  <c r="GA165" i="83"/>
  <c r="TT124" i="83"/>
  <c r="FI115" i="83"/>
  <c r="BL138" i="83"/>
  <c r="ER115" i="83"/>
  <c r="JH165" i="83"/>
  <c r="QM147" i="83"/>
  <c r="MN165" i="83"/>
  <c r="QM124" i="83"/>
  <c r="PV147" i="83"/>
  <c r="PU165" i="83"/>
  <c r="HI138" i="83"/>
  <c r="IP156" i="83"/>
  <c r="LX115" i="83"/>
  <c r="BK147" i="83"/>
  <c r="EB106" i="83"/>
  <c r="RU138" i="83"/>
  <c r="SK156" i="83"/>
  <c r="SK138" i="83"/>
  <c r="HI147" i="83"/>
  <c r="TC115" i="83"/>
  <c r="LF124" i="83"/>
  <c r="HI106" i="83"/>
  <c r="IQ147" i="83"/>
  <c r="PV115" i="83"/>
  <c r="RD124" i="83"/>
  <c r="JH147" i="83"/>
  <c r="OM124" i="83"/>
  <c r="PE115" i="83"/>
  <c r="FJ124" i="83"/>
  <c r="LJ146" i="83"/>
  <c r="LJ145" i="83"/>
  <c r="CW122" i="83"/>
  <c r="CW123" i="83"/>
  <c r="OA164" i="83"/>
  <c r="OA163" i="83"/>
  <c r="RW146" i="83"/>
  <c r="RW145" i="83"/>
  <c r="RV146" i="83"/>
  <c r="RV145" i="83"/>
  <c r="BO105" i="83"/>
  <c r="BO104" i="83"/>
  <c r="IE123" i="83"/>
  <c r="IE122" i="83"/>
  <c r="AI114" i="83"/>
  <c r="AI113" i="83"/>
  <c r="KS122" i="83"/>
  <c r="KS123" i="83"/>
  <c r="NY136" i="83"/>
  <c r="NY137" i="83"/>
  <c r="ED155" i="83"/>
  <c r="ED154" i="83"/>
  <c r="ET145" i="83"/>
  <c r="ET146" i="83"/>
  <c r="CU137" i="83"/>
  <c r="CU136" i="83"/>
  <c r="CX137" i="83"/>
  <c r="CX136" i="83"/>
  <c r="SO164" i="83"/>
  <c r="SO163" i="83"/>
  <c r="EU105" i="83"/>
  <c r="EU104" i="83"/>
  <c r="OS114" i="83"/>
  <c r="OS113" i="83"/>
  <c r="OB114" i="83"/>
  <c r="OB113" i="83"/>
  <c r="SQ105" i="83"/>
  <c r="SQ104" i="83"/>
  <c r="GC114" i="83"/>
  <c r="GC113" i="83"/>
  <c r="CU155" i="83"/>
  <c r="CU154" i="83"/>
  <c r="OS123" i="83"/>
  <c r="OS122" i="83"/>
  <c r="AD124" i="83"/>
  <c r="QN136" i="83"/>
  <c r="QN137" i="83"/>
  <c r="ED146" i="83"/>
  <c r="ED145" i="83"/>
  <c r="AY104" i="83"/>
  <c r="AY105" i="83"/>
  <c r="MP146" i="83"/>
  <c r="MP145" i="83"/>
  <c r="RX164" i="83"/>
  <c r="RX163" i="83"/>
  <c r="RW164" i="83"/>
  <c r="RW163" i="83"/>
  <c r="HL164" i="83"/>
  <c r="HL163" i="83"/>
  <c r="QO114" i="83"/>
  <c r="QO113" i="83"/>
  <c r="QN114" i="83"/>
  <c r="QN113" i="83"/>
  <c r="IA137" i="83"/>
  <c r="IA136" i="83"/>
  <c r="GS155" i="83"/>
  <c r="GS154" i="83"/>
  <c r="GC137" i="83"/>
  <c r="GC136" i="83"/>
  <c r="PY155" i="83"/>
  <c r="PY154" i="83"/>
  <c r="RI155" i="83"/>
  <c r="RI154" i="83"/>
  <c r="DO137" i="83"/>
  <c r="DO136" i="83"/>
  <c r="GB155" i="83"/>
  <c r="GB154" i="83"/>
  <c r="TF137" i="83"/>
  <c r="TF136" i="83"/>
  <c r="AF164" i="83"/>
  <c r="AF163" i="83"/>
  <c r="CD155" i="83"/>
  <c r="CD154" i="83"/>
  <c r="KC114" i="83"/>
  <c r="KC113" i="83"/>
  <c r="HN105" i="83"/>
  <c r="HN104" i="83"/>
  <c r="OQ105" i="83"/>
  <c r="OQ104" i="83"/>
  <c r="ET137" i="83"/>
  <c r="ET136" i="83"/>
  <c r="TG146" i="83"/>
  <c r="TG145" i="83"/>
  <c r="KR146" i="83"/>
  <c r="KR145" i="83"/>
  <c r="FK105" i="83"/>
  <c r="FK104" i="83"/>
  <c r="GW114" i="83"/>
  <c r="GW113" i="83"/>
  <c r="CV114" i="83"/>
  <c r="CV113" i="83"/>
  <c r="LJ114" i="83"/>
  <c r="LJ113" i="83"/>
  <c r="AX137" i="83"/>
  <c r="AX136" i="83"/>
  <c r="EF137" i="83"/>
  <c r="EF136" i="83"/>
  <c r="GW137" i="83"/>
  <c r="GW136" i="83"/>
  <c r="GC146" i="83"/>
  <c r="GC145" i="83"/>
  <c r="EG164" i="83"/>
  <c r="EG163" i="83"/>
  <c r="QO105" i="83"/>
  <c r="QO104" i="83"/>
  <c r="TF155" i="83"/>
  <c r="TF154" i="83"/>
  <c r="TE155" i="83"/>
  <c r="TE154" i="83"/>
  <c r="DO145" i="83"/>
  <c r="DO146" i="83"/>
  <c r="NI105" i="83"/>
  <c r="NI104" i="83"/>
  <c r="BQ123" i="83"/>
  <c r="BQ122" i="83"/>
  <c r="DM105" i="83"/>
  <c r="DM104" i="83"/>
  <c r="DL105" i="83"/>
  <c r="DL104" i="83"/>
  <c r="OS155" i="83"/>
  <c r="OS154" i="83"/>
  <c r="KR155" i="83"/>
  <c r="KR154" i="83"/>
  <c r="NJ146" i="83"/>
  <c r="NJ145" i="83"/>
  <c r="DN155" i="83"/>
  <c r="DN154" i="83"/>
  <c r="NG164" i="83"/>
  <c r="NG163" i="83"/>
  <c r="NI164" i="83"/>
  <c r="NI163" i="83"/>
  <c r="TY137" i="83"/>
  <c r="TY136" i="83"/>
  <c r="AI155" i="83"/>
  <c r="AI154" i="83"/>
  <c r="DP114" i="83"/>
  <c r="DP113" i="83"/>
  <c r="KT114" i="83"/>
  <c r="KT113" i="83"/>
  <c r="GV145" i="83"/>
  <c r="GV146" i="83"/>
  <c r="LL123" i="83"/>
  <c r="LL122" i="83"/>
  <c r="JZ137" i="83"/>
  <c r="JZ136" i="83"/>
  <c r="KB137" i="83"/>
  <c r="KB136" i="83"/>
  <c r="ET123" i="83"/>
  <c r="ET122" i="83"/>
  <c r="MT105" i="83"/>
  <c r="MT104" i="83"/>
  <c r="JM145" i="83"/>
  <c r="JM146" i="83"/>
  <c r="JL145" i="83"/>
  <c r="JL146" i="83"/>
  <c r="OP137" i="83"/>
  <c r="OP136" i="83"/>
  <c r="EC123" i="83"/>
  <c r="EC122" i="83"/>
  <c r="GV105" i="83"/>
  <c r="GV104" i="83"/>
  <c r="PI105" i="83"/>
  <c r="PI104" i="83"/>
  <c r="PH105" i="83"/>
  <c r="PH104" i="83"/>
  <c r="LH105" i="83"/>
  <c r="LH104" i="83"/>
  <c r="MP164" i="83"/>
  <c r="MP163" i="83"/>
  <c r="FK145" i="83"/>
  <c r="FK146" i="83"/>
  <c r="OR146" i="83"/>
  <c r="OR145" i="83"/>
  <c r="AG105" i="83"/>
  <c r="AG104" i="83"/>
  <c r="IT155" i="83"/>
  <c r="IT154" i="83"/>
  <c r="IS155" i="83"/>
  <c r="IS154" i="83"/>
  <c r="RE146" i="83"/>
  <c r="RE145" i="83"/>
  <c r="GV123" i="83"/>
  <c r="GV122" i="83"/>
  <c r="HL155" i="83"/>
  <c r="HL154" i="83"/>
  <c r="AX146" i="83"/>
  <c r="AX145" i="83"/>
  <c r="KA164" i="83"/>
  <c r="KA163" i="83"/>
  <c r="RH137" i="83"/>
  <c r="RH136" i="83"/>
  <c r="NK114" i="83"/>
  <c r="NK113" i="83"/>
  <c r="CU146" i="83"/>
  <c r="CU145" i="83"/>
  <c r="BM137" i="83"/>
  <c r="BM136" i="83"/>
  <c r="OA123" i="83"/>
  <c r="OA122" i="83"/>
  <c r="SM137" i="83"/>
  <c r="SM136" i="83"/>
  <c r="SP137" i="83"/>
  <c r="SP136" i="83"/>
  <c r="RY105" i="83"/>
  <c r="RY104" i="83"/>
  <c r="JL164" i="83"/>
  <c r="JL163" i="83"/>
  <c r="JL155" i="83"/>
  <c r="JL154" i="83"/>
  <c r="AV123" i="83"/>
  <c r="AV122" i="83"/>
  <c r="AX123" i="83"/>
  <c r="AX122" i="83"/>
  <c r="EU155" i="83"/>
  <c r="EU154" i="83"/>
  <c r="NG155" i="83"/>
  <c r="NG154" i="83"/>
  <c r="FN137" i="83"/>
  <c r="FN136" i="83"/>
  <c r="MB123" i="83"/>
  <c r="MB122" i="83"/>
  <c r="CE146" i="83"/>
  <c r="CE145" i="83"/>
  <c r="TH164" i="83"/>
  <c r="TH163" i="83"/>
  <c r="JZ123" i="83"/>
  <c r="JZ122" i="83"/>
  <c r="PH155" i="83"/>
  <c r="PH154" i="83"/>
  <c r="PI114" i="83"/>
  <c r="PI113" i="83"/>
  <c r="OB146" i="83"/>
  <c r="OB145" i="83"/>
  <c r="NY146" i="83"/>
  <c r="NY145" i="83"/>
  <c r="MC105" i="83"/>
  <c r="MC104" i="83"/>
  <c r="SO146" i="83"/>
  <c r="SO145" i="83"/>
  <c r="SM146" i="83"/>
  <c r="SM145" i="83"/>
  <c r="TW163" i="83"/>
  <c r="TW164" i="83"/>
  <c r="GD104" i="83"/>
  <c r="GD105" i="83"/>
  <c r="FK164" i="83"/>
  <c r="FK163" i="83"/>
  <c r="IE114" i="83"/>
  <c r="IE113" i="83"/>
  <c r="EG105" i="83"/>
  <c r="EG104" i="83"/>
  <c r="RY137" i="83"/>
  <c r="RY136" i="83"/>
  <c r="HL146" i="83"/>
  <c r="HL145" i="83"/>
  <c r="PX105" i="83"/>
  <c r="PX104" i="83"/>
  <c r="PI164" i="83"/>
  <c r="PI163" i="83"/>
  <c r="LK145" i="83"/>
  <c r="LK146" i="83"/>
  <c r="KC155" i="83"/>
  <c r="KC154" i="83"/>
  <c r="CU123" i="83"/>
  <c r="CU122" i="83"/>
  <c r="RG105" i="83"/>
  <c r="RG104" i="83"/>
  <c r="KA146" i="83"/>
  <c r="KA145" i="83"/>
  <c r="EA138" i="83"/>
  <c r="PZ164" i="83"/>
  <c r="PZ163" i="83"/>
  <c r="JX124" i="83"/>
  <c r="RZ146" i="83"/>
  <c r="RZ145" i="83"/>
  <c r="BM105" i="83"/>
  <c r="BM104" i="83"/>
  <c r="IB123" i="83"/>
  <c r="IB122" i="83"/>
  <c r="ON165" i="83"/>
  <c r="AG114" i="83"/>
  <c r="AG113" i="83"/>
  <c r="ID155" i="83"/>
  <c r="ID154" i="83"/>
  <c r="LZ155" i="83"/>
  <c r="LZ154" i="83"/>
  <c r="IR123" i="83"/>
  <c r="IR122" i="83"/>
  <c r="KR123" i="83"/>
  <c r="KR122" i="83"/>
  <c r="OA137" i="83"/>
  <c r="OA136" i="83"/>
  <c r="NE124" i="83"/>
  <c r="AE146" i="83"/>
  <c r="AE145" i="83"/>
  <c r="EF155" i="83"/>
  <c r="EF154" i="83"/>
  <c r="EE155" i="83"/>
  <c r="EE154" i="83"/>
  <c r="GU164" i="83"/>
  <c r="GU163" i="83"/>
  <c r="EX145" i="83"/>
  <c r="EX146" i="83"/>
  <c r="AT147" i="83"/>
  <c r="QP164" i="83"/>
  <c r="QP163" i="83"/>
  <c r="RV155" i="83"/>
  <c r="RV154" i="83"/>
  <c r="RY155" i="83"/>
  <c r="RY154" i="83"/>
  <c r="CV137" i="83"/>
  <c r="CV136" i="83"/>
  <c r="CK208" i="83" s="1"/>
  <c r="CK209" i="83" s="1"/>
  <c r="BO155" i="83"/>
  <c r="BO154" i="83"/>
  <c r="SP164" i="83"/>
  <c r="SP163" i="83"/>
  <c r="CC165" i="83"/>
  <c r="EV105" i="83"/>
  <c r="EV104" i="83"/>
  <c r="JJ123" i="83"/>
  <c r="JJ122" i="83"/>
  <c r="MA146" i="83"/>
  <c r="MA145" i="83"/>
  <c r="IA145" i="83"/>
  <c r="IA146" i="83"/>
  <c r="EA106" i="83"/>
  <c r="OR113" i="83"/>
  <c r="OR114" i="83"/>
  <c r="OP114" i="83"/>
  <c r="OP113" i="83"/>
  <c r="GF114" i="83"/>
  <c r="GF113" i="83"/>
  <c r="CW155" i="83"/>
  <c r="CW154" i="83"/>
  <c r="JX138" i="83"/>
  <c r="ON124" i="83"/>
  <c r="SP114" i="83"/>
  <c r="SP113" i="83"/>
  <c r="BP114" i="83"/>
  <c r="BP113" i="83"/>
  <c r="AT124" i="83"/>
  <c r="QO137" i="83"/>
  <c r="QO136" i="83"/>
  <c r="QR137" i="83"/>
  <c r="QR136" i="83"/>
  <c r="KO147" i="83"/>
  <c r="EE146" i="83"/>
  <c r="EE145" i="83"/>
  <c r="FI106" i="83"/>
  <c r="AV105" i="83"/>
  <c r="AV104" i="83"/>
  <c r="MT146" i="83"/>
  <c r="MT145" i="83"/>
  <c r="FN155" i="83"/>
  <c r="FN154" i="83"/>
  <c r="EF114" i="83"/>
  <c r="EF113" i="83"/>
  <c r="MN115" i="83"/>
  <c r="PZ137" i="83"/>
  <c r="PZ136" i="83"/>
  <c r="IR114" i="83"/>
  <c r="IR113" i="83"/>
  <c r="GE123" i="83"/>
  <c r="GE122" i="83"/>
  <c r="HM164" i="83"/>
  <c r="HM163" i="83"/>
  <c r="GD137" i="83"/>
  <c r="GD136" i="83"/>
  <c r="ER138" i="83"/>
  <c r="RT138" i="83"/>
  <c r="NV106" i="83"/>
  <c r="DL137" i="83"/>
  <c r="DL136" i="83"/>
  <c r="KC105" i="83"/>
  <c r="KC104" i="83"/>
  <c r="GF155" i="83"/>
  <c r="GF154" i="83"/>
  <c r="LH155" i="83"/>
  <c r="LH154" i="83"/>
  <c r="TV155" i="83"/>
  <c r="TV154" i="83"/>
  <c r="TG137" i="83"/>
  <c r="TG136" i="83"/>
  <c r="TC138" i="83"/>
  <c r="PG137" i="83"/>
  <c r="PG136" i="83"/>
  <c r="NX154" i="83"/>
  <c r="NX155" i="83"/>
  <c r="EA165" i="83"/>
  <c r="AI163" i="83"/>
  <c r="AI164" i="83"/>
  <c r="MN156" i="83"/>
  <c r="RW114" i="83"/>
  <c r="RW113" i="83"/>
  <c r="QQ155" i="83"/>
  <c r="QQ154" i="83"/>
  <c r="CE155" i="83"/>
  <c r="CE154" i="83"/>
  <c r="OO105" i="83"/>
  <c r="OO104" i="83"/>
  <c r="TY105" i="83"/>
  <c r="TY104" i="83"/>
  <c r="IS146" i="83"/>
  <c r="IS145" i="83"/>
  <c r="ES138" i="83"/>
  <c r="DJ138" i="83"/>
  <c r="FJ106" i="83"/>
  <c r="CW114" i="83"/>
  <c r="CW113" i="83"/>
  <c r="KS104" i="83"/>
  <c r="KS105" i="83"/>
  <c r="LH114" i="83"/>
  <c r="LH113" i="83"/>
  <c r="AU138" i="83"/>
  <c r="AY164" i="83"/>
  <c r="AY163" i="83"/>
  <c r="EC137" i="83"/>
  <c r="EC136" i="83"/>
  <c r="GU137" i="83"/>
  <c r="GU136" i="83"/>
  <c r="GT137" i="83"/>
  <c r="GT136" i="83"/>
  <c r="HY106" i="83"/>
  <c r="MB137" i="83"/>
  <c r="MB136" i="83"/>
  <c r="AZ114" i="83"/>
  <c r="AZ113" i="83"/>
  <c r="HY156" i="83"/>
  <c r="NG123" i="83"/>
  <c r="NG122" i="83"/>
  <c r="TG155" i="83"/>
  <c r="TG154" i="83"/>
  <c r="AX155" i="83"/>
  <c r="AX154" i="83"/>
  <c r="DM164" i="83"/>
  <c r="DM163" i="83"/>
  <c r="DP146" i="83"/>
  <c r="DP145" i="83"/>
  <c r="JL137" i="83"/>
  <c r="JL136" i="83"/>
  <c r="BP123" i="83"/>
  <c r="BP122" i="83"/>
  <c r="DP105" i="83"/>
  <c r="DP104" i="83"/>
  <c r="RH114" i="83"/>
  <c r="RH113" i="83"/>
  <c r="DO155" i="83"/>
  <c r="DO154" i="83"/>
  <c r="TG105" i="83"/>
  <c r="TG104" i="83"/>
  <c r="TW137" i="83"/>
  <c r="TW136" i="83"/>
  <c r="AG155" i="83"/>
  <c r="AG154" i="83"/>
  <c r="NE115" i="83"/>
  <c r="DP123" i="83"/>
  <c r="DP122" i="83"/>
  <c r="RH123" i="83"/>
  <c r="RH122" i="83"/>
  <c r="DK115" i="83"/>
  <c r="LG165" i="83"/>
  <c r="KQ114" i="83"/>
  <c r="KQ113" i="83"/>
  <c r="GT146" i="83"/>
  <c r="GT145" i="83"/>
  <c r="EV114" i="83"/>
  <c r="EV113" i="83"/>
  <c r="LL137" i="83"/>
  <c r="LL136" i="83"/>
  <c r="LK123" i="83"/>
  <c r="LK122" i="83"/>
  <c r="OA105" i="83"/>
  <c r="OA104" i="83"/>
  <c r="ES124" i="83"/>
  <c r="CC115" i="83"/>
  <c r="JI145" i="83"/>
  <c r="JI146" i="83"/>
  <c r="EF123" i="83"/>
  <c r="EF122" i="83"/>
  <c r="GW105" i="83"/>
  <c r="GW104" i="83"/>
  <c r="MT164" i="83"/>
  <c r="MT163" i="83"/>
  <c r="TX146" i="83"/>
  <c r="TX145" i="83"/>
  <c r="FN146" i="83"/>
  <c r="FN145" i="83"/>
  <c r="FO145" i="83"/>
  <c r="FO146" i="83"/>
  <c r="ET164" i="83"/>
  <c r="ET163" i="83"/>
  <c r="ES165" i="83"/>
  <c r="SQ123" i="83"/>
  <c r="SQ122" i="83"/>
  <c r="PG146" i="83"/>
  <c r="PG145" i="83"/>
  <c r="PE147" i="83"/>
  <c r="OO146" i="83"/>
  <c r="OO145" i="83"/>
  <c r="LF115" i="83"/>
  <c r="JH106" i="83"/>
  <c r="JM105" i="83"/>
  <c r="JM104" i="83"/>
  <c r="AI105" i="83"/>
  <c r="AI104" i="83"/>
  <c r="AH105" i="83"/>
  <c r="AH104" i="83"/>
  <c r="IS164" i="83"/>
  <c r="IS163" i="83"/>
  <c r="IS137" i="83"/>
  <c r="IS136" i="83"/>
  <c r="IV137" i="83"/>
  <c r="IV136" i="83"/>
  <c r="IU155" i="83"/>
  <c r="IU154" i="83"/>
  <c r="RF146" i="83"/>
  <c r="RF145" i="83"/>
  <c r="MR155" i="83"/>
  <c r="MR154" i="83"/>
  <c r="LW115" i="83"/>
  <c r="TT115" i="83"/>
  <c r="TV114" i="83"/>
  <c r="TV113" i="83"/>
  <c r="GD164" i="83"/>
  <c r="GD163" i="83"/>
  <c r="HJ155" i="83"/>
  <c r="HJ154" i="83"/>
  <c r="HM155" i="83"/>
  <c r="HM154" i="83"/>
  <c r="DJ165" i="83"/>
  <c r="AY145" i="83"/>
  <c r="AY146" i="83"/>
  <c r="KB164" i="83"/>
  <c r="KB163" i="83"/>
  <c r="MB164" i="83"/>
  <c r="MB163" i="83"/>
  <c r="LX165" i="83"/>
  <c r="BM145" i="83"/>
  <c r="BM146" i="83"/>
  <c r="SK165" i="83"/>
  <c r="TU123" i="83"/>
  <c r="TU122" i="83"/>
  <c r="RE137" i="83"/>
  <c r="RE136" i="83"/>
  <c r="RD138" i="83"/>
  <c r="CW146" i="83"/>
  <c r="CW145" i="83"/>
  <c r="CY146" i="83"/>
  <c r="CY145" i="83"/>
  <c r="BQ137" i="83"/>
  <c r="BQ136" i="83"/>
  <c r="PZ123" i="83"/>
  <c r="PZ122" i="83"/>
  <c r="QA123" i="83"/>
  <c r="QA122" i="83"/>
  <c r="SN155" i="83"/>
  <c r="SN154" i="83"/>
  <c r="SQ155" i="83"/>
  <c r="SQ154" i="83"/>
  <c r="NX123" i="83"/>
  <c r="NX122" i="83"/>
  <c r="NW124" i="83"/>
  <c r="KQ137" i="83"/>
  <c r="KQ136" i="83"/>
  <c r="KP138" i="83"/>
  <c r="SN137" i="83"/>
  <c r="SN136" i="83"/>
  <c r="SC208" i="83" s="1"/>
  <c r="SC209" i="83" s="1"/>
  <c r="RZ105" i="83"/>
  <c r="RZ104" i="83"/>
  <c r="RW105" i="83"/>
  <c r="RW104" i="83"/>
  <c r="CB106" i="83"/>
  <c r="CB115" i="83"/>
  <c r="JI164" i="83"/>
  <c r="JI163" i="83"/>
  <c r="QQ146" i="83"/>
  <c r="QQ145" i="83"/>
  <c r="JM155" i="83"/>
  <c r="JM154" i="83"/>
  <c r="JH156" i="83"/>
  <c r="AW123" i="83"/>
  <c r="AW122" i="83"/>
  <c r="EX155" i="83"/>
  <c r="EX154" i="83"/>
  <c r="MP137" i="83"/>
  <c r="MP136" i="83"/>
  <c r="QN123" i="83"/>
  <c r="QN122" i="83"/>
  <c r="QP123" i="83"/>
  <c r="QP122" i="83"/>
  <c r="NI155" i="83"/>
  <c r="NI154" i="83"/>
  <c r="NK155" i="83"/>
  <c r="NK154" i="83"/>
  <c r="FO137" i="83"/>
  <c r="FO136" i="83"/>
  <c r="PY146" i="83"/>
  <c r="PY145" i="83"/>
  <c r="CG145" i="83"/>
  <c r="CG146" i="83"/>
  <c r="TE164" i="83"/>
  <c r="TE163" i="83"/>
  <c r="KD123" i="83"/>
  <c r="KD122" i="83"/>
  <c r="HK137" i="83"/>
  <c r="HK136" i="83"/>
  <c r="PJ155" i="83"/>
  <c r="PJ154" i="83"/>
  <c r="PI155" i="83"/>
  <c r="PI154" i="83"/>
  <c r="IP115" i="83"/>
  <c r="NZ146" i="83"/>
  <c r="NZ145" i="83"/>
  <c r="MA114" i="83"/>
  <c r="MA113" i="83"/>
  <c r="FM122" i="83"/>
  <c r="FM123" i="83"/>
  <c r="D208" i="83"/>
  <c r="D209" i="83" s="1"/>
  <c r="LX106" i="83"/>
  <c r="LZ105" i="83"/>
  <c r="LZ104" i="83"/>
  <c r="LW165" i="83"/>
  <c r="SP146" i="83"/>
  <c r="SP145" i="83"/>
  <c r="SQ146" i="83"/>
  <c r="SQ145" i="83"/>
  <c r="TX164" i="83"/>
  <c r="TX163" i="83"/>
  <c r="TT165" i="83"/>
  <c r="TS124" i="83"/>
  <c r="FZ138" i="83"/>
  <c r="GC105" i="83"/>
  <c r="GC104" i="83"/>
  <c r="GB105" i="83"/>
  <c r="GB104" i="83"/>
  <c r="FN164" i="83"/>
  <c r="FN163" i="83"/>
  <c r="FJ165" i="83"/>
  <c r="IA114" i="83"/>
  <c r="IA113" i="83"/>
  <c r="IC114" i="83"/>
  <c r="IC113" i="83"/>
  <c r="EF105" i="83"/>
  <c r="EF104" i="83"/>
  <c r="ED105" i="83"/>
  <c r="ED104" i="83"/>
  <c r="RW136" i="83"/>
  <c r="RW137" i="83"/>
  <c r="CT106" i="83"/>
  <c r="CV105" i="83"/>
  <c r="CV104" i="83"/>
  <c r="HK146" i="83"/>
  <c r="HK145" i="83"/>
  <c r="HJ145" i="83"/>
  <c r="HJ146" i="83"/>
  <c r="QA105" i="83"/>
  <c r="QA104" i="83"/>
  <c r="PZ105" i="83"/>
  <c r="PZ104" i="83"/>
  <c r="BK115" i="83"/>
  <c r="RC165" i="83"/>
  <c r="HI115" i="83"/>
  <c r="TF114" i="83"/>
  <c r="TF113" i="83"/>
  <c r="TG114" i="83"/>
  <c r="TG113" i="83"/>
  <c r="AI137" i="83"/>
  <c r="AI136" i="83"/>
  <c r="PF164" i="83"/>
  <c r="PF163" i="83"/>
  <c r="PE165" i="83"/>
  <c r="LL145" i="83"/>
  <c r="LL146" i="83"/>
  <c r="CG137" i="83"/>
  <c r="CG136" i="83"/>
  <c r="CC138" i="83"/>
  <c r="KD155" i="83"/>
  <c r="KD154" i="83"/>
  <c r="CX123" i="83"/>
  <c r="CX122" i="83"/>
  <c r="CY123" i="83"/>
  <c r="CY122" i="83"/>
  <c r="RH105" i="83"/>
  <c r="RH104" i="83"/>
  <c r="RE105" i="83"/>
  <c r="RE104" i="83"/>
  <c r="PU147" i="83"/>
  <c r="KB146" i="83"/>
  <c r="KB145" i="83"/>
  <c r="KD145" i="83"/>
  <c r="KD146" i="83"/>
  <c r="NX164" i="83"/>
  <c r="NX163" i="83"/>
  <c r="NW165" i="83"/>
  <c r="PX164" i="83"/>
  <c r="PX163" i="83"/>
  <c r="IA105" i="83"/>
  <c r="IA104" i="83"/>
  <c r="IB105" i="83"/>
  <c r="IB104" i="83"/>
  <c r="LW138" i="83"/>
  <c r="BQ105" i="83"/>
  <c r="BQ104" i="83"/>
  <c r="IC122" i="83"/>
  <c r="IC123" i="83"/>
  <c r="HZ124" i="83"/>
  <c r="OO164" i="83"/>
  <c r="OO163" i="83"/>
  <c r="AD115" i="83"/>
  <c r="AH114" i="83"/>
  <c r="AH113" i="83"/>
  <c r="IA155" i="83"/>
  <c r="IA154" i="83"/>
  <c r="MC155" i="83"/>
  <c r="MC154" i="83"/>
  <c r="MA155" i="83"/>
  <c r="MA154" i="83"/>
  <c r="IU123" i="83"/>
  <c r="IU122" i="83"/>
  <c r="IQ124" i="83"/>
  <c r="KT123" i="83"/>
  <c r="KT122" i="83"/>
  <c r="KP124" i="83"/>
  <c r="NX137" i="83"/>
  <c r="NX136" i="83"/>
  <c r="AH146" i="83"/>
  <c r="AH145" i="83"/>
  <c r="AI146" i="83"/>
  <c r="AI145" i="83"/>
  <c r="EC155" i="83"/>
  <c r="EC154" i="83"/>
  <c r="GV164" i="83"/>
  <c r="GV163" i="83"/>
  <c r="GR165" i="83"/>
  <c r="EW145" i="83"/>
  <c r="EW146" i="83"/>
  <c r="QN164" i="83"/>
  <c r="QN163" i="83"/>
  <c r="QQ164" i="83"/>
  <c r="QQ163" i="83"/>
  <c r="RW155" i="83"/>
  <c r="RW154" i="83"/>
  <c r="CY137" i="83"/>
  <c r="CY136" i="83"/>
  <c r="CT138" i="83"/>
  <c r="IT105" i="83"/>
  <c r="IT104" i="83"/>
  <c r="IU105" i="83"/>
  <c r="IU104" i="83"/>
  <c r="OM106" i="83"/>
  <c r="BM155" i="83"/>
  <c r="BM154" i="83"/>
  <c r="SQ164" i="83"/>
  <c r="SQ163" i="83"/>
  <c r="SL165" i="83"/>
  <c r="CH164" i="83"/>
  <c r="CH163" i="83"/>
  <c r="BN164" i="83"/>
  <c r="BN163" i="83"/>
  <c r="BQ164" i="83"/>
  <c r="BQ163" i="83"/>
  <c r="TS106" i="83"/>
  <c r="JM123" i="83"/>
  <c r="JM122" i="83"/>
  <c r="JK123" i="83"/>
  <c r="JK122" i="83"/>
  <c r="LZ146" i="83"/>
  <c r="LZ145" i="83"/>
  <c r="MB145" i="83"/>
  <c r="MB146" i="83"/>
  <c r="IE145" i="83"/>
  <c r="IE146" i="83"/>
  <c r="KO115" i="83"/>
  <c r="OQ114" i="83"/>
  <c r="OQ113" i="83"/>
  <c r="NZ114" i="83"/>
  <c r="NZ113" i="83"/>
  <c r="OA113" i="83"/>
  <c r="OA114" i="83"/>
  <c r="NV124" i="83"/>
  <c r="SL106" i="83"/>
  <c r="SN105" i="83"/>
  <c r="SN104" i="83"/>
  <c r="GA115" i="83"/>
  <c r="MR122" i="83"/>
  <c r="MR123" i="83"/>
  <c r="MS122" i="83"/>
  <c r="MS123" i="83"/>
  <c r="CV155" i="83"/>
  <c r="CV154" i="83"/>
  <c r="OO123" i="83"/>
  <c r="OO122" i="83"/>
  <c r="OQ123" i="83"/>
  <c r="OQ122" i="83"/>
  <c r="PU106" i="83"/>
  <c r="SM114" i="83"/>
  <c r="SM113" i="83"/>
  <c r="AG122" i="83"/>
  <c r="AG123" i="83"/>
  <c r="AI123" i="83"/>
  <c r="AI122" i="83"/>
  <c r="BQ114" i="83"/>
  <c r="BQ113" i="83"/>
  <c r="PH122" i="83"/>
  <c r="PH123" i="83"/>
  <c r="PI122" i="83"/>
  <c r="PI123" i="83"/>
  <c r="QP137" i="83"/>
  <c r="QP136" i="83"/>
  <c r="EG145" i="83"/>
  <c r="EG146" i="83"/>
  <c r="EF145" i="83"/>
  <c r="EF146" i="83"/>
  <c r="GQ106" i="83"/>
  <c r="AZ105" i="83"/>
  <c r="AZ104" i="83"/>
  <c r="RV164" i="83"/>
  <c r="RV163" i="83"/>
  <c r="RU165" i="83"/>
  <c r="FK155" i="83"/>
  <c r="FK154" i="83"/>
  <c r="AT165" i="83"/>
  <c r="EE114" i="83"/>
  <c r="EE113" i="83"/>
  <c r="CY164" i="83"/>
  <c r="CY163" i="83"/>
  <c r="CT165" i="83"/>
  <c r="QA137" i="83"/>
  <c r="QA136" i="83"/>
  <c r="IV114" i="83"/>
  <c r="IV113" i="83"/>
  <c r="NG137" i="83"/>
  <c r="NG136" i="83"/>
  <c r="NJ137" i="83"/>
  <c r="NJ136" i="83"/>
  <c r="GF123" i="83"/>
  <c r="GF122" i="83"/>
  <c r="GA124" i="83"/>
  <c r="HJ164" i="83"/>
  <c r="HJ163" i="83"/>
  <c r="HI165" i="83"/>
  <c r="HH124" i="83"/>
  <c r="BK124" i="83"/>
  <c r="HH106" i="83"/>
  <c r="LW106" i="83"/>
  <c r="QM115" i="83"/>
  <c r="TB106" i="83"/>
  <c r="IE137" i="83"/>
  <c r="IE136" i="83"/>
  <c r="HZ138" i="83"/>
  <c r="GT155" i="83"/>
  <c r="GT154" i="83"/>
  <c r="GE137" i="83"/>
  <c r="GE136" i="83"/>
  <c r="GA138" i="83"/>
  <c r="PW155" i="83"/>
  <c r="PW154" i="83"/>
  <c r="RH155" i="83"/>
  <c r="RH154" i="83"/>
  <c r="RD156" i="83"/>
  <c r="ID164" i="83"/>
  <c r="ID163" i="83"/>
  <c r="DN137" i="83"/>
  <c r="DN136" i="83"/>
  <c r="DP137" i="83"/>
  <c r="DP136" i="83"/>
  <c r="JG147" i="83"/>
  <c r="JY106" i="83"/>
  <c r="RF163" i="83"/>
  <c r="RF164" i="83"/>
  <c r="RI164" i="83"/>
  <c r="RI163" i="83"/>
  <c r="GD155" i="83"/>
  <c r="GD154" i="83"/>
  <c r="GC155" i="83"/>
  <c r="GC154" i="83"/>
  <c r="GQ115" i="83"/>
  <c r="CS115" i="83"/>
  <c r="LL155" i="83"/>
  <c r="LL154" i="83"/>
  <c r="TU155" i="83"/>
  <c r="TU154" i="83"/>
  <c r="TW155" i="83"/>
  <c r="TW154" i="83"/>
  <c r="ER165" i="83"/>
  <c r="PD147" i="83"/>
  <c r="TD137" i="83"/>
  <c r="TD136" i="83"/>
  <c r="PI137" i="83"/>
  <c r="PI136" i="83"/>
  <c r="PH137" i="83"/>
  <c r="PH136" i="83"/>
  <c r="RC106" i="83"/>
  <c r="OB155" i="83"/>
  <c r="OB154" i="83"/>
  <c r="JI114" i="83"/>
  <c r="JI113" i="83"/>
  <c r="PU138" i="83"/>
  <c r="RC147" i="83"/>
  <c r="AE164" i="83"/>
  <c r="AE163" i="83"/>
  <c r="RY114" i="83"/>
  <c r="RY113" i="83"/>
  <c r="RX114" i="83"/>
  <c r="RX113" i="83"/>
  <c r="FZ165" i="83"/>
  <c r="NE138" i="83"/>
  <c r="QP155" i="83"/>
  <c r="QP154" i="83"/>
  <c r="CH155" i="83"/>
  <c r="CH154" i="83"/>
  <c r="CC156" i="83"/>
  <c r="JY115" i="83"/>
  <c r="HM105" i="83"/>
  <c r="HM104" i="83"/>
  <c r="HJ105" i="83"/>
  <c r="HJ104" i="83"/>
  <c r="ON106" i="83"/>
  <c r="OS105" i="83"/>
  <c r="OS104" i="83"/>
  <c r="TT106" i="83"/>
  <c r="TV105" i="83"/>
  <c r="TV104" i="83"/>
  <c r="IU146" i="83"/>
  <c r="IU145" i="83"/>
  <c r="FK114" i="83"/>
  <c r="FK113" i="83"/>
  <c r="FN114" i="83"/>
  <c r="FN113" i="83"/>
  <c r="EU137" i="83"/>
  <c r="EU136" i="83"/>
  <c r="EJ208" i="83" s="1"/>
  <c r="EJ209" i="83" s="1"/>
  <c r="TD146" i="83"/>
  <c r="TD145" i="83"/>
  <c r="RC156" i="83"/>
  <c r="TE123" i="83"/>
  <c r="TE122" i="83"/>
  <c r="CC106" i="83"/>
  <c r="CE105" i="83"/>
  <c r="CE104" i="83"/>
  <c r="KU164" i="83"/>
  <c r="KU163" i="83"/>
  <c r="KS163" i="83"/>
  <c r="KS164" i="83"/>
  <c r="AC124" i="83"/>
  <c r="KQ145" i="83"/>
  <c r="KQ146" i="83"/>
  <c r="FL105" i="83"/>
  <c r="FL104" i="83"/>
  <c r="FN105" i="83"/>
  <c r="FN104" i="83"/>
  <c r="GR115" i="83"/>
  <c r="CU114" i="83"/>
  <c r="CU113" i="83"/>
  <c r="CX114" i="83"/>
  <c r="CX113" i="83"/>
  <c r="KU105" i="83"/>
  <c r="KU104" i="83"/>
  <c r="KT105" i="83"/>
  <c r="KT104" i="83"/>
  <c r="PY114" i="83"/>
  <c r="PY113" i="83"/>
  <c r="LL114" i="83"/>
  <c r="LL113" i="83"/>
  <c r="AV137" i="83"/>
  <c r="AV136" i="83"/>
  <c r="AW164" i="83"/>
  <c r="AW163" i="83"/>
  <c r="JX147" i="83"/>
  <c r="EG137" i="83"/>
  <c r="EG136" i="83"/>
  <c r="GV137" i="83"/>
  <c r="GV136" i="83"/>
  <c r="GE146" i="83"/>
  <c r="GE145" i="83"/>
  <c r="GD146" i="83"/>
  <c r="GD145" i="83"/>
  <c r="MS114" i="83"/>
  <c r="MS113" i="83"/>
  <c r="MP114" i="83"/>
  <c r="MP113" i="83"/>
  <c r="CC124" i="83"/>
  <c r="CD123" i="83"/>
  <c r="CD122" i="83"/>
  <c r="LY137" i="83"/>
  <c r="LY136" i="83"/>
  <c r="LX138" i="83"/>
  <c r="CS165" i="83"/>
  <c r="EF164" i="83"/>
  <c r="EF163" i="83"/>
  <c r="EB165" i="83"/>
  <c r="AU115" i="83"/>
  <c r="RY123" i="83"/>
  <c r="RY122" i="83"/>
  <c r="AC165" i="83"/>
  <c r="NK123" i="83"/>
  <c r="NK122" i="83"/>
  <c r="AC147" i="83"/>
  <c r="QM106" i="83"/>
  <c r="TD155" i="83"/>
  <c r="TD154" i="83"/>
  <c r="TC156" i="83"/>
  <c r="AY155" i="83"/>
  <c r="AY154" i="83"/>
  <c r="DP164" i="83"/>
  <c r="DP163" i="83"/>
  <c r="NF106" i="83"/>
  <c r="FZ124" i="83"/>
  <c r="JI137" i="83"/>
  <c r="JI136" i="83"/>
  <c r="JH138" i="83"/>
  <c r="HK123" i="83"/>
  <c r="HK122" i="83"/>
  <c r="HJ123" i="83"/>
  <c r="HJ122" i="83"/>
  <c r="QL165" i="83"/>
  <c r="CS138" i="83"/>
  <c r="DK106" i="83"/>
  <c r="OR155" i="83"/>
  <c r="OR154" i="83"/>
  <c r="OQ155" i="83"/>
  <c r="OQ154" i="83"/>
  <c r="IP106" i="83"/>
  <c r="KT155" i="83"/>
  <c r="KT154" i="83"/>
  <c r="KP156" i="83"/>
  <c r="NF147" i="83"/>
  <c r="RI114" i="83"/>
  <c r="RI113" i="83"/>
  <c r="DL155" i="83"/>
  <c r="DL154" i="83"/>
  <c r="DK156" i="83"/>
  <c r="NK164" i="83"/>
  <c r="NK163" i="83"/>
  <c r="NF165" i="83"/>
  <c r="TE105" i="83"/>
  <c r="TE104" i="83"/>
  <c r="TD105" i="83"/>
  <c r="TD104" i="83"/>
  <c r="TX137" i="83"/>
  <c r="TX136" i="83"/>
  <c r="AH155" i="83"/>
  <c r="AH154" i="83"/>
  <c r="AD156" i="83"/>
  <c r="JG124" i="83"/>
  <c r="DM123" i="83"/>
  <c r="DM122" i="83"/>
  <c r="RI123" i="83"/>
  <c r="RI122" i="83"/>
  <c r="DN114" i="83"/>
  <c r="DN113" i="83"/>
  <c r="DO114" i="83"/>
  <c r="DO113" i="83"/>
  <c r="PU124" i="83"/>
  <c r="LJ164" i="83"/>
  <c r="LJ163" i="83"/>
  <c r="GW145" i="83"/>
  <c r="GW146" i="83"/>
  <c r="GR147" i="83"/>
  <c r="LJ137" i="83"/>
  <c r="LJ136" i="83"/>
  <c r="LH123" i="83"/>
  <c r="LH122" i="83"/>
  <c r="LJ123" i="83"/>
  <c r="LJ122" i="83"/>
  <c r="FZ115" i="83"/>
  <c r="NZ104" i="83"/>
  <c r="NZ105" i="83"/>
  <c r="NX105" i="83"/>
  <c r="NX104" i="83"/>
  <c r="KD137" i="83"/>
  <c r="KD136" i="83"/>
  <c r="JY138" i="83"/>
  <c r="EU123" i="83"/>
  <c r="EU122" i="83"/>
  <c r="CG114" i="83"/>
  <c r="CG113" i="83"/>
  <c r="CD114" i="83"/>
  <c r="CD113" i="83"/>
  <c r="MO106" i="83"/>
  <c r="MP105" i="83"/>
  <c r="MP104" i="83"/>
  <c r="KO165" i="83"/>
  <c r="JJ146" i="83"/>
  <c r="JJ145" i="83"/>
  <c r="QL138" i="83"/>
  <c r="OO137" i="83"/>
  <c r="OO136" i="83"/>
  <c r="ON138" i="83"/>
  <c r="EG123" i="83"/>
  <c r="EG122" i="83"/>
  <c r="GR106" i="83"/>
  <c r="GT105" i="83"/>
  <c r="GT104" i="83"/>
  <c r="FZ156" i="83"/>
  <c r="PF105" i="83"/>
  <c r="PF104" i="83"/>
  <c r="PJ105" i="83"/>
  <c r="PJ104" i="83"/>
  <c r="MN138" i="83"/>
  <c r="LG106" i="83"/>
  <c r="MR164" i="83"/>
  <c r="MR163" i="83"/>
  <c r="MQ164" i="83"/>
  <c r="MQ163" i="83"/>
  <c r="TU146" i="83"/>
  <c r="TU145" i="83"/>
  <c r="QL124" i="83"/>
  <c r="FJ147" i="83"/>
  <c r="FL146" i="83"/>
  <c r="FL145" i="83"/>
  <c r="EX164" i="83"/>
  <c r="EX163" i="83"/>
  <c r="SP123" i="83"/>
  <c r="SP122" i="83"/>
  <c r="SN123" i="83"/>
  <c r="SN122" i="83"/>
  <c r="PH146" i="83"/>
  <c r="PH145" i="83"/>
  <c r="PF146" i="83"/>
  <c r="PF145" i="83"/>
  <c r="OP146" i="83"/>
  <c r="OP145" i="83"/>
  <c r="ON147" i="83"/>
  <c r="JL105" i="83"/>
  <c r="JL104" i="83"/>
  <c r="JJ105" i="83"/>
  <c r="JJ104" i="83"/>
  <c r="AE105" i="83"/>
  <c r="AE104" i="83"/>
  <c r="IR164" i="83"/>
  <c r="IR163" i="83"/>
  <c r="IQ165" i="83"/>
  <c r="IT137" i="83"/>
  <c r="IT136" i="83"/>
  <c r="IR155" i="83"/>
  <c r="IR154" i="83"/>
  <c r="IQ156" i="83"/>
  <c r="AT115" i="83"/>
  <c r="RI146" i="83"/>
  <c r="RI145" i="83"/>
  <c r="RD147" i="83"/>
  <c r="GT123" i="83"/>
  <c r="GT122" i="83"/>
  <c r="MP155" i="83"/>
  <c r="MP154" i="83"/>
  <c r="MS155" i="83"/>
  <c r="MS154" i="83"/>
  <c r="TB156" i="83"/>
  <c r="TW114" i="83"/>
  <c r="TW113" i="83"/>
  <c r="GB164" i="83"/>
  <c r="GB163" i="83"/>
  <c r="GE164" i="83"/>
  <c r="GE163" i="83"/>
  <c r="HK155" i="83"/>
  <c r="HK154" i="83"/>
  <c r="QL156" i="83"/>
  <c r="AZ146" i="83"/>
  <c r="AZ145" i="83"/>
  <c r="JZ164" i="83"/>
  <c r="JZ163" i="83"/>
  <c r="JY165" i="83"/>
  <c r="LY164" i="83"/>
  <c r="LY163" i="83"/>
  <c r="BQ146" i="83"/>
  <c r="BQ145" i="83"/>
  <c r="BL147" i="83"/>
  <c r="TY123" i="83"/>
  <c r="TY122" i="83"/>
  <c r="TV123" i="83"/>
  <c r="TV122" i="83"/>
  <c r="TS138" i="83"/>
  <c r="RI137" i="83"/>
  <c r="RI136" i="83"/>
  <c r="NF115" i="83"/>
  <c r="NH114" i="83"/>
  <c r="NH113" i="83"/>
  <c r="FI165" i="83"/>
  <c r="CX146" i="83"/>
  <c r="CX145" i="83"/>
  <c r="CV146" i="83"/>
  <c r="CV145" i="83"/>
  <c r="BO137" i="83"/>
  <c r="BO136" i="83"/>
  <c r="BN137" i="83"/>
  <c r="BN136" i="83"/>
  <c r="BC208" i="83" s="1"/>
  <c r="BC209" i="83" s="1"/>
  <c r="PX123" i="83"/>
  <c r="PX122" i="83"/>
  <c r="SO155" i="83"/>
  <c r="SO154" i="83"/>
  <c r="OB123" i="83"/>
  <c r="OB122" i="83"/>
  <c r="NZ123" i="83"/>
  <c r="NZ122" i="83"/>
  <c r="KS137" i="83"/>
  <c r="KS136" i="83"/>
  <c r="SQ136" i="83"/>
  <c r="SQ137" i="83"/>
  <c r="SL138" i="83"/>
  <c r="RX105" i="83"/>
  <c r="RX104" i="83"/>
  <c r="JJ163" i="83"/>
  <c r="JJ164" i="83"/>
  <c r="JM164" i="83"/>
  <c r="JM163" i="83"/>
  <c r="QN146" i="83"/>
  <c r="QN145" i="83"/>
  <c r="QR146" i="83"/>
  <c r="QR145" i="83"/>
  <c r="JJ154" i="83"/>
  <c r="JJ155" i="83"/>
  <c r="AY123" i="83"/>
  <c r="AY122" i="83"/>
  <c r="ET155" i="83"/>
  <c r="ET154" i="83"/>
  <c r="ES156" i="83"/>
  <c r="MS137" i="83"/>
  <c r="MS136" i="83"/>
  <c r="MO138" i="83"/>
  <c r="TS147" i="83"/>
  <c r="QO123" i="83"/>
  <c r="QO122" i="83"/>
  <c r="NH155" i="83"/>
  <c r="NH154" i="83"/>
  <c r="FK137" i="83"/>
  <c r="FK136" i="83"/>
  <c r="FJ138" i="83"/>
  <c r="LZ123" i="83"/>
  <c r="LZ122" i="83"/>
  <c r="PZ146" i="83"/>
  <c r="PZ145" i="83"/>
  <c r="PW146" i="83"/>
  <c r="PW145" i="83"/>
  <c r="EA115" i="83"/>
  <c r="CC147" i="83"/>
  <c r="TD164" i="83"/>
  <c r="TD163" i="83"/>
  <c r="TC165" i="83"/>
  <c r="IP165" i="83"/>
  <c r="KA123" i="83"/>
  <c r="KA122" i="83"/>
  <c r="HN137" i="83"/>
  <c r="HN136" i="83"/>
  <c r="HL137" i="83"/>
  <c r="HL136" i="83"/>
  <c r="IP138" i="83"/>
  <c r="PG155" i="83"/>
  <c r="PG154" i="83"/>
  <c r="PF114" i="83"/>
  <c r="PF113" i="83"/>
  <c r="PJ114" i="83"/>
  <c r="PJ113" i="83"/>
  <c r="AC115" i="83"/>
  <c r="NW147" i="83"/>
  <c r="MB114" i="83"/>
  <c r="MB113" i="83"/>
  <c r="LY114" i="83"/>
  <c r="LY113" i="83"/>
  <c r="DJ147" i="83"/>
  <c r="FK123" i="83"/>
  <c r="FK122" i="83"/>
  <c r="MA105" i="83"/>
  <c r="MA104" i="83"/>
  <c r="SN146" i="83"/>
  <c r="SN145" i="83"/>
  <c r="NE165" i="83"/>
  <c r="TU164" i="83"/>
  <c r="TU163" i="83"/>
  <c r="GF105" i="83"/>
  <c r="GF104" i="83"/>
  <c r="FL164" i="83"/>
  <c r="FL163" i="83"/>
  <c r="ID114" i="83"/>
  <c r="ID113" i="83"/>
  <c r="EE105" i="83"/>
  <c r="EE104" i="83"/>
  <c r="RZ137" i="83"/>
  <c r="RZ136" i="83"/>
  <c r="RX137" i="83"/>
  <c r="RX136" i="83"/>
  <c r="OM115" i="83"/>
  <c r="KO138" i="83"/>
  <c r="CU105" i="83"/>
  <c r="CU104" i="83"/>
  <c r="CW105" i="83"/>
  <c r="CW104" i="83"/>
  <c r="HN145" i="83"/>
  <c r="HN146" i="83"/>
  <c r="PW105" i="83"/>
  <c r="PW104" i="83"/>
  <c r="HM114" i="83"/>
  <c r="HM113" i="83"/>
  <c r="HJ114" i="83"/>
  <c r="HJ113" i="83"/>
  <c r="TE114" i="83"/>
  <c r="TE113" i="83"/>
  <c r="TD113" i="83"/>
  <c r="TD114" i="83"/>
  <c r="AE137" i="83"/>
  <c r="AE136" i="83"/>
  <c r="AD138" i="83"/>
  <c r="PJ164" i="83"/>
  <c r="PJ163" i="83"/>
  <c r="CH137" i="83"/>
  <c r="CH136" i="83"/>
  <c r="CF137" i="83"/>
  <c r="CF136" i="83"/>
  <c r="KB155" i="83"/>
  <c r="KB154" i="83"/>
  <c r="RF105" i="83"/>
  <c r="RF104" i="83"/>
  <c r="NY164" i="83"/>
  <c r="NY163" i="83"/>
  <c r="PW164" i="83"/>
  <c r="PW163" i="83"/>
  <c r="ID105" i="83"/>
  <c r="ID104" i="83"/>
  <c r="ID123" i="83"/>
  <c r="ID122" i="83"/>
  <c r="OQ164" i="83"/>
  <c r="OQ163" i="83"/>
  <c r="AE114" i="83"/>
  <c r="AE113" i="83"/>
  <c r="IC155" i="83"/>
  <c r="IC154" i="83"/>
  <c r="MB155" i="83"/>
  <c r="MB154" i="83"/>
  <c r="IS123" i="83"/>
  <c r="IS122" i="83"/>
  <c r="KU123" i="83"/>
  <c r="KU122" i="83"/>
  <c r="AG146" i="83"/>
  <c r="AG145" i="83"/>
  <c r="GT163" i="83"/>
  <c r="GT164" i="83"/>
  <c r="GW164" i="83"/>
  <c r="GW163" i="83"/>
  <c r="EV146" i="83"/>
  <c r="EV145" i="83"/>
  <c r="QR164" i="83"/>
  <c r="QR163" i="83"/>
  <c r="RX155" i="83"/>
  <c r="RX154" i="83"/>
  <c r="IV105" i="83"/>
  <c r="IV104" i="83"/>
  <c r="BN155" i="83"/>
  <c r="BN154" i="83"/>
  <c r="SM164" i="83"/>
  <c r="SM163" i="83"/>
  <c r="CG164" i="83"/>
  <c r="CG163" i="83"/>
  <c r="BP164" i="83"/>
  <c r="BP163" i="83"/>
  <c r="JI123" i="83"/>
  <c r="JI122" i="83"/>
  <c r="MC145" i="83"/>
  <c r="MC146" i="83"/>
  <c r="SP105" i="83"/>
  <c r="SP104" i="83"/>
  <c r="GB114" i="83"/>
  <c r="GB113" i="83"/>
  <c r="MT123" i="83"/>
  <c r="MT122" i="83"/>
  <c r="SO114" i="83"/>
  <c r="SO113" i="83"/>
  <c r="BO114" i="83"/>
  <c r="BO113" i="83"/>
  <c r="PJ123" i="83"/>
  <c r="PJ122" i="83"/>
  <c r="AX105" i="83"/>
  <c r="AX104" i="83"/>
  <c r="MQ146" i="83"/>
  <c r="MQ145" i="83"/>
  <c r="FM155" i="83"/>
  <c r="FM154" i="83"/>
  <c r="EG113" i="83"/>
  <c r="EG114" i="83"/>
  <c r="CU164" i="83"/>
  <c r="CU163" i="83"/>
  <c r="CW163" i="83"/>
  <c r="CW164" i="83"/>
  <c r="PY137" i="83"/>
  <c r="PY136" i="83"/>
  <c r="IT114" i="83"/>
  <c r="IT113" i="83"/>
  <c r="IU114" i="83"/>
  <c r="IU113" i="83"/>
  <c r="NK137" i="83"/>
  <c r="NK136" i="83"/>
  <c r="GC123" i="83"/>
  <c r="GC122" i="83"/>
  <c r="HK164" i="83"/>
  <c r="HK163" i="83"/>
  <c r="ID137" i="83"/>
  <c r="ID136" i="83"/>
  <c r="GF137" i="83"/>
  <c r="GF136" i="83"/>
  <c r="RG155" i="83"/>
  <c r="RG154" i="83"/>
  <c r="IB163" i="83"/>
  <c r="IB164" i="83"/>
  <c r="KA105" i="83"/>
  <c r="KA104" i="83"/>
  <c r="RH164" i="83"/>
  <c r="RH163" i="83"/>
  <c r="LK155" i="83"/>
  <c r="LK154" i="83"/>
  <c r="TY155" i="83"/>
  <c r="TY154" i="83"/>
  <c r="PJ137" i="83"/>
  <c r="PJ136" i="83"/>
  <c r="OA155" i="83"/>
  <c r="OA154" i="83"/>
  <c r="JL114" i="83"/>
  <c r="JL113" i="83"/>
  <c r="JJ114" i="83"/>
  <c r="JJ113" i="83"/>
  <c r="RV114" i="83"/>
  <c r="RV113" i="83"/>
  <c r="QR155" i="83"/>
  <c r="QR154" i="83"/>
  <c r="CG155" i="83"/>
  <c r="CG154" i="83"/>
  <c r="KA114" i="83"/>
  <c r="KA113" i="83"/>
  <c r="HL105" i="83"/>
  <c r="HL104" i="83"/>
  <c r="TX104" i="83"/>
  <c r="TX105" i="83"/>
  <c r="TU105" i="83"/>
  <c r="TU104" i="83"/>
  <c r="IR145" i="83"/>
  <c r="IR146" i="83"/>
  <c r="FL114" i="83"/>
  <c r="FL113" i="83"/>
  <c r="TF146" i="83"/>
  <c r="TF145" i="83"/>
  <c r="TD123" i="83"/>
  <c r="TD122" i="83"/>
  <c r="CH105" i="83"/>
  <c r="CH104" i="83"/>
  <c r="KT164" i="83"/>
  <c r="KT163" i="83"/>
  <c r="GV114" i="83"/>
  <c r="GV113" i="83"/>
  <c r="CY114" i="83"/>
  <c r="CY113" i="83"/>
  <c r="QA114" i="83"/>
  <c r="QA113" i="83"/>
  <c r="LK114" i="83"/>
  <c r="LK113" i="83"/>
  <c r="AX164" i="83"/>
  <c r="AX163" i="83"/>
  <c r="GB145" i="83"/>
  <c r="GB146" i="83"/>
  <c r="MR114" i="83"/>
  <c r="MR113" i="83"/>
  <c r="CE123" i="83"/>
  <c r="CE122" i="83"/>
  <c r="MA137" i="83"/>
  <c r="MA136" i="83"/>
  <c r="LZ137" i="83"/>
  <c r="LZ136" i="83"/>
  <c r="ED163" i="83"/>
  <c r="ED164" i="83"/>
  <c r="AW114" i="83"/>
  <c r="AW113" i="83"/>
  <c r="AV114" i="83"/>
  <c r="AV113" i="83"/>
  <c r="RX123" i="83"/>
  <c r="RX122" i="83"/>
  <c r="RZ123" i="83"/>
  <c r="RZ122" i="83"/>
  <c r="NI122" i="83"/>
  <c r="NI123" i="83"/>
  <c r="QN105" i="83"/>
  <c r="QN104" i="83"/>
  <c r="AZ155" i="83"/>
  <c r="AZ154" i="83"/>
  <c r="DN164" i="83"/>
  <c r="DN163" i="83"/>
  <c r="DM146" i="83"/>
  <c r="DM145" i="83"/>
  <c r="NG105" i="83"/>
  <c r="NG104" i="83"/>
  <c r="JK137" i="83"/>
  <c r="JK136" i="83"/>
  <c r="JJ137" i="83"/>
  <c r="JJ136" i="83"/>
  <c r="HL122" i="83"/>
  <c r="HL123" i="83"/>
  <c r="BO123" i="83"/>
  <c r="BO122" i="83"/>
  <c r="KU155" i="83"/>
  <c r="KU154" i="83"/>
  <c r="NK146" i="83"/>
  <c r="NK145" i="83"/>
  <c r="RG114" i="83"/>
  <c r="RG113" i="83"/>
  <c r="DM155" i="83"/>
  <c r="DM154" i="83"/>
  <c r="AF155" i="83"/>
  <c r="AF154" i="83"/>
  <c r="DL123" i="83"/>
  <c r="DL122" i="83"/>
  <c r="RE123" i="83"/>
  <c r="RE122" i="83"/>
  <c r="RG123" i="83"/>
  <c r="RG122" i="83"/>
  <c r="LI164" i="83"/>
  <c r="LI163" i="83"/>
  <c r="KU114" i="83"/>
  <c r="KU113" i="83"/>
  <c r="GS145" i="83"/>
  <c r="GS146" i="83"/>
  <c r="EW114" i="83"/>
  <c r="EW113" i="83"/>
  <c r="EU114" i="83"/>
  <c r="EU113" i="83"/>
  <c r="LH137" i="83"/>
  <c r="LH136" i="83"/>
  <c r="CF114" i="83"/>
  <c r="CF113" i="83"/>
  <c r="MR105" i="83"/>
  <c r="MR104" i="83"/>
  <c r="OQ137" i="83"/>
  <c r="OQ136" i="83"/>
  <c r="EE123" i="83"/>
  <c r="EE122" i="83"/>
  <c r="GS105" i="83"/>
  <c r="GS104" i="83"/>
  <c r="LI105" i="83"/>
  <c r="LI104" i="83"/>
  <c r="TW146" i="83"/>
  <c r="TW145" i="83"/>
  <c r="EW164" i="83"/>
  <c r="EW163" i="83"/>
  <c r="SM123" i="83"/>
  <c r="SM122" i="83"/>
  <c r="OS146" i="83"/>
  <c r="OS145" i="83"/>
  <c r="JI105" i="83"/>
  <c r="JI104" i="83"/>
  <c r="AF105" i="83"/>
  <c r="AF104" i="83"/>
  <c r="IV164" i="83"/>
  <c r="IV163" i="83"/>
  <c r="IU164" i="83"/>
  <c r="IU163" i="83"/>
  <c r="IR137" i="83"/>
  <c r="IR136" i="83"/>
  <c r="RH146" i="83"/>
  <c r="RH145" i="83"/>
  <c r="GS123" i="83"/>
  <c r="GS122" i="83"/>
  <c r="MT155" i="83"/>
  <c r="MT154" i="83"/>
  <c r="TY114" i="83"/>
  <c r="TY113" i="83"/>
  <c r="GF164" i="83"/>
  <c r="GF163" i="83"/>
  <c r="KC164" i="83"/>
  <c r="KC163" i="83"/>
  <c r="MA164" i="83"/>
  <c r="MA163" i="83"/>
  <c r="BN146" i="83"/>
  <c r="BN145" i="83"/>
  <c r="BP145" i="83"/>
  <c r="BP146" i="83"/>
  <c r="TX123" i="83"/>
  <c r="TX122" i="83"/>
  <c r="NJ114" i="83"/>
  <c r="NJ113" i="83"/>
  <c r="PW123" i="83"/>
  <c r="PW122" i="83"/>
  <c r="SM155" i="83"/>
  <c r="SM154" i="83"/>
  <c r="KU137" i="83"/>
  <c r="KU136" i="83"/>
  <c r="RV105" i="83"/>
  <c r="RV104" i="83"/>
  <c r="QP146" i="83"/>
  <c r="QP145" i="83"/>
  <c r="EW155" i="83"/>
  <c r="EW154" i="83"/>
  <c r="MT137" i="83"/>
  <c r="MT136" i="83"/>
  <c r="MR137" i="83"/>
  <c r="MR136" i="83"/>
  <c r="QR123" i="83"/>
  <c r="QR122" i="83"/>
  <c r="FL137" i="83"/>
  <c r="FL136" i="83"/>
  <c r="LY123" i="83"/>
  <c r="LY122" i="83"/>
  <c r="PX146" i="83"/>
  <c r="PX145" i="83"/>
  <c r="CH146" i="83"/>
  <c r="CH145" i="83"/>
  <c r="TG164" i="83"/>
  <c r="TG163" i="83"/>
  <c r="HM137" i="83"/>
  <c r="HM136" i="83"/>
  <c r="PH114" i="83"/>
  <c r="PH113" i="83"/>
  <c r="LZ114" i="83"/>
  <c r="LZ113" i="83"/>
  <c r="FN123" i="83"/>
  <c r="FN122" i="83"/>
  <c r="FL123" i="83"/>
  <c r="FL122" i="83"/>
  <c r="GE105" i="83"/>
  <c r="GE104" i="83"/>
  <c r="IB114" i="83"/>
  <c r="IB113" i="83"/>
  <c r="PY105" i="83"/>
  <c r="PY104" i="83"/>
  <c r="HL114" i="83"/>
  <c r="HL113" i="83"/>
  <c r="AF137" i="83"/>
  <c r="AF136" i="83"/>
  <c r="AH137" i="83"/>
  <c r="AH136" i="83"/>
  <c r="TB138" i="83"/>
  <c r="CD137" i="83"/>
  <c r="CD136" i="83"/>
  <c r="KA155" i="83"/>
  <c r="KA154" i="83"/>
  <c r="JZ145" i="83"/>
  <c r="JZ146" i="83"/>
  <c r="OB164" i="83"/>
  <c r="OB163" i="83"/>
  <c r="PV165" i="83"/>
  <c r="HZ106" i="83"/>
  <c r="RY146" i="83"/>
  <c r="RY145" i="83"/>
  <c r="BP105" i="83"/>
  <c r="BP104" i="83"/>
  <c r="OR164" i="83"/>
  <c r="OR163" i="83"/>
  <c r="HZ156" i="83"/>
  <c r="NW138" i="83"/>
  <c r="IQ106" i="83"/>
  <c r="BQ155" i="83"/>
  <c r="BQ154" i="83"/>
  <c r="RC115" i="83"/>
  <c r="CD164" i="83"/>
  <c r="CD163" i="83"/>
  <c r="BM164" i="83"/>
  <c r="BM163" i="83"/>
  <c r="EW105" i="83"/>
  <c r="EW104" i="83"/>
  <c r="IC146" i="83"/>
  <c r="IC145" i="83"/>
  <c r="FZ106" i="83"/>
  <c r="NW115" i="83"/>
  <c r="CS106" i="83"/>
  <c r="MO124" i="83"/>
  <c r="CY155" i="83"/>
  <c r="CY154" i="83"/>
  <c r="JG165" i="83"/>
  <c r="SL115" i="83"/>
  <c r="AE123" i="83"/>
  <c r="AE122" i="83"/>
  <c r="BM114" i="83"/>
  <c r="BM113" i="83"/>
  <c r="PG123" i="83"/>
  <c r="PG122" i="83"/>
  <c r="OM138" i="83"/>
  <c r="AW105" i="83"/>
  <c r="AW104" i="83"/>
  <c r="MS146" i="83"/>
  <c r="MS145" i="83"/>
  <c r="PD106" i="83"/>
  <c r="RY164" i="83"/>
  <c r="RY163" i="83"/>
  <c r="FJ156" i="83"/>
  <c r="ED114" i="83"/>
  <c r="ED113" i="83"/>
  <c r="CX164" i="83"/>
  <c r="CX163" i="83"/>
  <c r="PX137" i="83"/>
  <c r="PX136" i="83"/>
  <c r="IS114" i="83"/>
  <c r="IS113" i="83"/>
  <c r="NI137" i="83"/>
  <c r="NI136" i="83"/>
  <c r="DJ106" i="83"/>
  <c r="QR114" i="83"/>
  <c r="QR113" i="83"/>
  <c r="IB137" i="83"/>
  <c r="IB136" i="83"/>
  <c r="GV155" i="83"/>
  <c r="GV154" i="83"/>
  <c r="GR156" i="83"/>
  <c r="PZ155" i="83"/>
  <c r="PZ154" i="83"/>
  <c r="PV156" i="83"/>
  <c r="RE155" i="83"/>
  <c r="RE154" i="83"/>
  <c r="IA164" i="83"/>
  <c r="IA163" i="83"/>
  <c r="IC164" i="83"/>
  <c r="IC163" i="83"/>
  <c r="DJ115" i="83"/>
  <c r="KB105" i="83"/>
  <c r="KB104" i="83"/>
  <c r="RE164" i="83"/>
  <c r="RE163" i="83"/>
  <c r="LG156" i="83"/>
  <c r="CB138" i="83"/>
  <c r="NW156" i="83"/>
  <c r="JK114" i="83"/>
  <c r="JK113" i="83"/>
  <c r="AG164" i="83"/>
  <c r="AG163" i="83"/>
  <c r="RU115" i="83"/>
  <c r="QO155" i="83"/>
  <c r="QO154" i="83"/>
  <c r="KB114" i="83"/>
  <c r="KB113" i="83"/>
  <c r="HY147" i="83"/>
  <c r="FO114" i="83"/>
  <c r="FO113" i="83"/>
  <c r="FM114" i="83"/>
  <c r="FM113" i="83"/>
  <c r="EX137" i="83"/>
  <c r="EX136" i="83"/>
  <c r="TH146" i="83"/>
  <c r="TH145" i="83"/>
  <c r="TH123" i="83"/>
  <c r="TH122" i="83"/>
  <c r="TF123" i="83"/>
  <c r="TF122" i="83"/>
  <c r="CD105" i="83"/>
  <c r="CD104" i="83"/>
  <c r="KR164" i="83"/>
  <c r="KR163" i="83"/>
  <c r="KS146" i="83"/>
  <c r="KS145" i="83"/>
  <c r="FM104" i="83"/>
  <c r="FM105" i="83"/>
  <c r="GT114" i="83"/>
  <c r="GT113" i="83"/>
  <c r="KR105" i="83"/>
  <c r="KR104" i="83"/>
  <c r="PW114" i="83"/>
  <c r="PW113" i="83"/>
  <c r="LI114" i="83"/>
  <c r="LI113" i="83"/>
  <c r="AY137" i="83"/>
  <c r="AY136" i="83"/>
  <c r="AV164" i="83"/>
  <c r="AV163" i="83"/>
  <c r="EB138" i="83"/>
  <c r="MO115" i="83"/>
  <c r="CG122" i="83"/>
  <c r="CG123" i="83"/>
  <c r="EE164" i="83"/>
  <c r="EE163" i="83"/>
  <c r="RW123" i="83"/>
  <c r="RW122" i="83"/>
  <c r="QR105" i="83"/>
  <c r="QR104" i="83"/>
  <c r="AW155" i="83"/>
  <c r="AW154" i="83"/>
  <c r="DO164" i="83"/>
  <c r="DO163" i="83"/>
  <c r="DN146" i="83"/>
  <c r="DN145" i="83"/>
  <c r="NJ105" i="83"/>
  <c r="NJ104" i="83"/>
  <c r="HM122" i="83"/>
  <c r="HM123" i="83"/>
  <c r="BM123" i="83"/>
  <c r="BM122" i="83"/>
  <c r="OP155" i="83"/>
  <c r="OP154" i="83"/>
  <c r="KS155" i="83"/>
  <c r="KS154" i="83"/>
  <c r="NH146" i="83"/>
  <c r="NH145" i="83"/>
  <c r="RE114" i="83"/>
  <c r="RE113" i="83"/>
  <c r="NJ164" i="83"/>
  <c r="NJ163" i="83"/>
  <c r="TF105" i="83"/>
  <c r="TF104" i="83"/>
  <c r="TS165" i="83"/>
  <c r="TV137" i="83"/>
  <c r="TV136" i="83"/>
  <c r="TK208" i="83" s="1"/>
  <c r="TK209" i="83" s="1"/>
  <c r="IP147" i="83"/>
  <c r="DN123" i="83"/>
  <c r="DN122" i="83"/>
  <c r="BK138" i="83"/>
  <c r="LL164" i="83"/>
  <c r="LL163" i="83"/>
  <c r="ET114" i="83"/>
  <c r="ET113" i="83"/>
  <c r="LI137" i="83"/>
  <c r="LI136" i="83"/>
  <c r="LG124" i="83"/>
  <c r="NY105" i="83"/>
  <c r="NY104" i="83"/>
  <c r="MN124" i="83"/>
  <c r="KC137" i="83"/>
  <c r="KC136" i="83"/>
  <c r="EX123" i="83"/>
  <c r="EX122" i="83"/>
  <c r="OR137" i="83"/>
  <c r="OR136" i="83"/>
  <c r="ED123" i="83"/>
  <c r="ED122" i="83"/>
  <c r="LL105" i="83"/>
  <c r="LL104" i="83"/>
  <c r="TY146" i="83"/>
  <c r="TY145" i="83"/>
  <c r="RT165" i="83"/>
  <c r="KO106" i="83"/>
  <c r="TB124" i="83"/>
  <c r="LH145" i="83"/>
  <c r="LH146" i="83"/>
  <c r="LI146" i="83"/>
  <c r="LI145" i="83"/>
  <c r="CE137" i="83"/>
  <c r="CE136" i="83"/>
  <c r="BT208" i="83" s="1"/>
  <c r="BT209" i="83" s="1"/>
  <c r="JZ155" i="83"/>
  <c r="JZ154" i="83"/>
  <c r="CV123" i="83"/>
  <c r="CV122" i="83"/>
  <c r="RI105" i="83"/>
  <c r="RI104" i="83"/>
  <c r="KC145" i="83"/>
  <c r="KC146" i="83"/>
  <c r="NZ164" i="83"/>
  <c r="NZ163" i="83"/>
  <c r="QA164" i="83"/>
  <c r="QA163" i="83"/>
  <c r="PY164" i="83"/>
  <c r="PY163" i="83"/>
  <c r="IE105" i="83"/>
  <c r="IE104" i="83"/>
  <c r="IC105" i="83"/>
  <c r="IC104" i="83"/>
  <c r="RX146" i="83"/>
  <c r="RX145" i="83"/>
  <c r="BN105" i="83"/>
  <c r="BN104" i="83"/>
  <c r="IA123" i="83"/>
  <c r="IA122" i="83"/>
  <c r="OP163" i="83"/>
  <c r="OP164" i="83"/>
  <c r="OS164" i="83"/>
  <c r="OS163" i="83"/>
  <c r="AF114" i="83"/>
  <c r="AF113" i="83"/>
  <c r="IB155" i="83"/>
  <c r="IB154" i="83"/>
  <c r="IE155" i="83"/>
  <c r="IE154" i="83"/>
  <c r="LY155" i="83"/>
  <c r="LY154" i="83"/>
  <c r="IV123" i="83"/>
  <c r="IV122" i="83"/>
  <c r="IT123" i="83"/>
  <c r="IT122" i="83"/>
  <c r="KQ123" i="83"/>
  <c r="KQ122" i="83"/>
  <c r="NZ137" i="83"/>
  <c r="NZ136" i="83"/>
  <c r="OB137" i="83"/>
  <c r="OB136" i="83"/>
  <c r="AD147" i="83"/>
  <c r="AF146" i="83"/>
  <c r="AF145" i="83"/>
  <c r="EG155" i="83"/>
  <c r="EG154" i="83"/>
  <c r="GS164" i="83"/>
  <c r="GS163" i="83"/>
  <c r="EU146" i="83"/>
  <c r="EU145" i="83"/>
  <c r="ES147" i="83"/>
  <c r="QO164" i="83"/>
  <c r="QO163" i="83"/>
  <c r="RZ155" i="83"/>
  <c r="RZ154" i="83"/>
  <c r="CW137" i="83"/>
  <c r="CW136" i="83"/>
  <c r="IS105" i="83"/>
  <c r="IS104" i="83"/>
  <c r="IR105" i="83"/>
  <c r="IR104" i="83"/>
  <c r="BP155" i="83"/>
  <c r="BP154" i="83"/>
  <c r="SN163" i="83"/>
  <c r="SN164" i="83"/>
  <c r="CF164" i="83"/>
  <c r="CF163" i="83"/>
  <c r="CE164" i="83"/>
  <c r="CE163" i="83"/>
  <c r="BO164" i="83"/>
  <c r="BO163" i="83"/>
  <c r="ET105" i="83"/>
  <c r="ET104" i="83"/>
  <c r="EX105" i="83"/>
  <c r="EX104" i="83"/>
  <c r="JH124" i="83"/>
  <c r="JL123" i="83"/>
  <c r="JL122" i="83"/>
  <c r="LY145" i="83"/>
  <c r="LY146" i="83"/>
  <c r="LX147" i="83"/>
  <c r="ID146" i="83"/>
  <c r="ID145" i="83"/>
  <c r="IB146" i="83"/>
  <c r="IB145" i="83"/>
  <c r="OO114" i="83"/>
  <c r="OO113" i="83"/>
  <c r="NY114" i="83"/>
  <c r="NY113" i="83"/>
  <c r="NX114" i="83"/>
  <c r="NX113" i="83"/>
  <c r="SM105" i="83"/>
  <c r="SM104" i="83"/>
  <c r="SO105" i="83"/>
  <c r="SO104" i="83"/>
  <c r="GD114" i="83"/>
  <c r="GD113" i="83"/>
  <c r="GE113" i="83"/>
  <c r="GE114" i="83"/>
  <c r="MQ123" i="83"/>
  <c r="MQ122" i="83"/>
  <c r="MP123" i="83"/>
  <c r="MP122" i="83"/>
  <c r="CX155" i="83"/>
  <c r="CX154" i="83"/>
  <c r="OP123" i="83"/>
  <c r="OP122" i="83"/>
  <c r="OR123" i="83"/>
  <c r="OR122" i="83"/>
  <c r="SQ114" i="83"/>
  <c r="SQ113" i="83"/>
  <c r="SN114" i="83"/>
  <c r="SN113" i="83"/>
  <c r="AH123" i="83"/>
  <c r="AH122" i="83"/>
  <c r="AF123" i="83"/>
  <c r="AF122" i="83"/>
  <c r="BN114" i="83"/>
  <c r="BN113" i="83"/>
  <c r="PF123" i="83"/>
  <c r="PF122" i="83"/>
  <c r="QQ137" i="83"/>
  <c r="QQ136" i="83"/>
  <c r="EC145" i="83"/>
  <c r="EC146" i="83"/>
  <c r="MR146" i="83"/>
  <c r="MR145" i="83"/>
  <c r="RZ164" i="83"/>
  <c r="RZ163" i="83"/>
  <c r="FL155" i="83"/>
  <c r="FL154" i="83"/>
  <c r="FO155" i="83"/>
  <c r="FO154" i="83"/>
  <c r="EC114" i="83"/>
  <c r="EC113" i="83"/>
  <c r="CV163" i="83"/>
  <c r="CV164" i="83"/>
  <c r="PW137" i="83"/>
  <c r="PW136" i="83"/>
  <c r="NH137" i="83"/>
  <c r="NH136" i="83"/>
  <c r="MW208" i="83" s="1"/>
  <c r="MW209" i="83" s="1"/>
  <c r="GB123" i="83"/>
  <c r="GB122" i="83"/>
  <c r="GD123" i="83"/>
  <c r="GD122" i="83"/>
  <c r="HN164" i="83"/>
  <c r="HN163" i="83"/>
  <c r="QP114" i="83"/>
  <c r="QP113" i="83"/>
  <c r="QQ114" i="83"/>
  <c r="QQ113" i="83"/>
  <c r="IC137" i="83"/>
  <c r="IC136" i="83"/>
  <c r="GW155" i="83"/>
  <c r="GW154" i="83"/>
  <c r="GU155" i="83"/>
  <c r="GU154" i="83"/>
  <c r="GB137" i="83"/>
  <c r="GB136" i="83"/>
  <c r="PX155" i="83"/>
  <c r="PX154" i="83"/>
  <c r="QA155" i="83"/>
  <c r="QA154" i="83"/>
  <c r="RF155" i="83"/>
  <c r="RF154" i="83"/>
  <c r="RC124" i="83"/>
  <c r="IE164" i="83"/>
  <c r="IE163" i="83"/>
  <c r="DM137" i="83"/>
  <c r="DM136" i="83"/>
  <c r="JZ105" i="83"/>
  <c r="JZ104" i="83"/>
  <c r="KD105" i="83"/>
  <c r="KD104" i="83"/>
  <c r="RG164" i="83"/>
  <c r="RG163" i="83"/>
  <c r="GE155" i="83"/>
  <c r="GE154" i="83"/>
  <c r="LJ155" i="83"/>
  <c r="LJ154" i="83"/>
  <c r="LI155" i="83"/>
  <c r="LI154" i="83"/>
  <c r="TX155" i="83"/>
  <c r="TX154" i="83"/>
  <c r="TE137" i="83"/>
  <c r="TE136" i="83"/>
  <c r="TH137" i="83"/>
  <c r="TH136" i="83"/>
  <c r="PF137" i="83"/>
  <c r="PF136" i="83"/>
  <c r="NZ155" i="83"/>
  <c r="NZ154" i="83"/>
  <c r="NY155" i="83"/>
  <c r="NY154" i="83"/>
  <c r="JM114" i="83"/>
  <c r="JM113" i="83"/>
  <c r="GQ124" i="83"/>
  <c r="AH164" i="83"/>
  <c r="AH163" i="83"/>
  <c r="RZ114" i="83"/>
  <c r="RZ113" i="83"/>
  <c r="QN155" i="83"/>
  <c r="QN154" i="83"/>
  <c r="CF155" i="83"/>
  <c r="CF154" i="83"/>
  <c r="JZ114" i="83"/>
  <c r="JZ113" i="83"/>
  <c r="KD113" i="83"/>
  <c r="KD114" i="83"/>
  <c r="HK105" i="83"/>
  <c r="HK104" i="83"/>
  <c r="OR105" i="83"/>
  <c r="OR104" i="83"/>
  <c r="OP105" i="83"/>
  <c r="OP104" i="83"/>
  <c r="TW105" i="83"/>
  <c r="TW104" i="83"/>
  <c r="IV145" i="83"/>
  <c r="IV146" i="83"/>
  <c r="IT146" i="83"/>
  <c r="IT145" i="83"/>
  <c r="EW137" i="83"/>
  <c r="EW136" i="83"/>
  <c r="EV137" i="83"/>
  <c r="EV136" i="83"/>
  <c r="TE146" i="83"/>
  <c r="TE145" i="83"/>
  <c r="TG123" i="83"/>
  <c r="TG122" i="83"/>
  <c r="CG105" i="83"/>
  <c r="CG104" i="83"/>
  <c r="CF105" i="83"/>
  <c r="CF104" i="83"/>
  <c r="KQ164" i="83"/>
  <c r="KQ163" i="83"/>
  <c r="KT145" i="83"/>
  <c r="KT146" i="83"/>
  <c r="KU145" i="83"/>
  <c r="KU146" i="83"/>
  <c r="FO105" i="83"/>
  <c r="FO104" i="83"/>
  <c r="GU114" i="83"/>
  <c r="GU113" i="83"/>
  <c r="GS114" i="83"/>
  <c r="GS113" i="83"/>
  <c r="CT115" i="83"/>
  <c r="KQ105" i="83"/>
  <c r="KQ104" i="83"/>
  <c r="PX114" i="83"/>
  <c r="PX113" i="83"/>
  <c r="PZ114" i="83"/>
  <c r="PZ113" i="83"/>
  <c r="AW137" i="83"/>
  <c r="AW136" i="83"/>
  <c r="AZ137" i="83"/>
  <c r="AZ136" i="83"/>
  <c r="AZ164" i="83"/>
  <c r="AZ163" i="83"/>
  <c r="EE137" i="83"/>
  <c r="EE136" i="83"/>
  <c r="ED137" i="83"/>
  <c r="ED136" i="83"/>
  <c r="GS137" i="83"/>
  <c r="GS136" i="83"/>
  <c r="GF145" i="83"/>
  <c r="GF146" i="83"/>
  <c r="MT113" i="83"/>
  <c r="MT114" i="83"/>
  <c r="MQ114" i="83"/>
  <c r="MQ113" i="83"/>
  <c r="CF122" i="83"/>
  <c r="CF123" i="83"/>
  <c r="CH123" i="83"/>
  <c r="CH122" i="83"/>
  <c r="MC137" i="83"/>
  <c r="MC136" i="83"/>
  <c r="EC164" i="83"/>
  <c r="EC163" i="83"/>
  <c r="AX114" i="83"/>
  <c r="AX113" i="83"/>
  <c r="AY114" i="83"/>
  <c r="AY113" i="83"/>
  <c r="RV123" i="83"/>
  <c r="RV122" i="83"/>
  <c r="NJ123" i="83"/>
  <c r="NJ122" i="83"/>
  <c r="NH123" i="83"/>
  <c r="NH122" i="83"/>
  <c r="QP105" i="83"/>
  <c r="QP104" i="83"/>
  <c r="QQ105" i="83"/>
  <c r="QQ104" i="83"/>
  <c r="TH155" i="83"/>
  <c r="TH154" i="83"/>
  <c r="AV155" i="83"/>
  <c r="AV154" i="83"/>
  <c r="DL164" i="83"/>
  <c r="DL163" i="83"/>
  <c r="DL146" i="83"/>
  <c r="DL145" i="83"/>
  <c r="NK105" i="83"/>
  <c r="NK104" i="83"/>
  <c r="NH105" i="83"/>
  <c r="NH104" i="83"/>
  <c r="JM137" i="83"/>
  <c r="JM136" i="83"/>
  <c r="HI124" i="83"/>
  <c r="HN123" i="83"/>
  <c r="HN122" i="83"/>
  <c r="BN123" i="83"/>
  <c r="BN122" i="83"/>
  <c r="DN105" i="83"/>
  <c r="DN104" i="83"/>
  <c r="DO105" i="83"/>
  <c r="DO104" i="83"/>
  <c r="OO155" i="83"/>
  <c r="OO154" i="83"/>
  <c r="KQ155" i="83"/>
  <c r="KQ154" i="83"/>
  <c r="NI146" i="83"/>
  <c r="NI145" i="83"/>
  <c r="NG146" i="83"/>
  <c r="NG145" i="83"/>
  <c r="RF114" i="83"/>
  <c r="RF113" i="83"/>
  <c r="DP155" i="83"/>
  <c r="DP154" i="83"/>
  <c r="NH163" i="83"/>
  <c r="NH164" i="83"/>
  <c r="CB165" i="83"/>
  <c r="TH105" i="83"/>
  <c r="TH104" i="83"/>
  <c r="TU137" i="83"/>
  <c r="TU136" i="83"/>
  <c r="AE155" i="83"/>
  <c r="AE154" i="83"/>
  <c r="DO123" i="83"/>
  <c r="DO122" i="83"/>
  <c r="RF123" i="83"/>
  <c r="RF122" i="83"/>
  <c r="DM114" i="83"/>
  <c r="DM113" i="83"/>
  <c r="DL114" i="83"/>
  <c r="DL113" i="83"/>
  <c r="LH164" i="83"/>
  <c r="LH163" i="83"/>
  <c r="LK164" i="83"/>
  <c r="LK163" i="83"/>
  <c r="KR114" i="83"/>
  <c r="KR113" i="83"/>
  <c r="KS114" i="83"/>
  <c r="KS113" i="83"/>
  <c r="GU146" i="83"/>
  <c r="GU145" i="83"/>
  <c r="EX113" i="83"/>
  <c r="EX114" i="83"/>
  <c r="LK137" i="83"/>
  <c r="LK136" i="83"/>
  <c r="LI123" i="83"/>
  <c r="LI122" i="83"/>
  <c r="OB105" i="83"/>
  <c r="OB104" i="83"/>
  <c r="KA137" i="83"/>
  <c r="KA136" i="83"/>
  <c r="EV122" i="83"/>
  <c r="EV123" i="83"/>
  <c r="EW122" i="83"/>
  <c r="EW123" i="83"/>
  <c r="CH114" i="83"/>
  <c r="CH113" i="83"/>
  <c r="CE114" i="83"/>
  <c r="CE113" i="83"/>
  <c r="MS105" i="83"/>
  <c r="MS104" i="83"/>
  <c r="MQ105" i="83"/>
  <c r="MQ104" i="83"/>
  <c r="JK146" i="83"/>
  <c r="JK145" i="83"/>
  <c r="OS137" i="83"/>
  <c r="OS136" i="83"/>
  <c r="GU105" i="83"/>
  <c r="GU104" i="83"/>
  <c r="PE106" i="83"/>
  <c r="PG105" i="83"/>
  <c r="PG104" i="83"/>
  <c r="LJ104" i="83"/>
  <c r="LJ105" i="83"/>
  <c r="LK105" i="83"/>
  <c r="LK104" i="83"/>
  <c r="MS164" i="83"/>
  <c r="MS163" i="83"/>
  <c r="TV146" i="83"/>
  <c r="TV145" i="83"/>
  <c r="FM146" i="83"/>
  <c r="FM145" i="83"/>
  <c r="EV164" i="83"/>
  <c r="EV163" i="83"/>
  <c r="EU164" i="83"/>
  <c r="EU163" i="83"/>
  <c r="SO123" i="83"/>
  <c r="SO122" i="83"/>
  <c r="PI146" i="83"/>
  <c r="PI145" i="83"/>
  <c r="PJ146" i="83"/>
  <c r="PJ145" i="83"/>
  <c r="OQ146" i="83"/>
  <c r="OQ145" i="83"/>
  <c r="JK105" i="83"/>
  <c r="JK104" i="83"/>
  <c r="IT164" i="83"/>
  <c r="IT163" i="83"/>
  <c r="IU137" i="83"/>
  <c r="IU136" i="83"/>
  <c r="IV155" i="83"/>
  <c r="IV154" i="83"/>
  <c r="RG146" i="83"/>
  <c r="RG145" i="83"/>
  <c r="GW123" i="83"/>
  <c r="GW122" i="83"/>
  <c r="GU123" i="83"/>
  <c r="GU122" i="83"/>
  <c r="MQ155" i="83"/>
  <c r="MQ154" i="83"/>
  <c r="TX114" i="83"/>
  <c r="TX113" i="83"/>
  <c r="TU114" i="83"/>
  <c r="TU113" i="83"/>
  <c r="GC164" i="83"/>
  <c r="GC163" i="83"/>
  <c r="HN155" i="83"/>
  <c r="HN154" i="83"/>
  <c r="AV146" i="83"/>
  <c r="AV145" i="83"/>
  <c r="AW146" i="83"/>
  <c r="AW145" i="83"/>
  <c r="KD164" i="83"/>
  <c r="KD163" i="83"/>
  <c r="LZ163" i="83"/>
  <c r="LZ164" i="83"/>
  <c r="MC164" i="83"/>
  <c r="MC163" i="83"/>
  <c r="BO146" i="83"/>
  <c r="BO145" i="83"/>
  <c r="TW123" i="83"/>
  <c r="TW122" i="83"/>
  <c r="RG137" i="83"/>
  <c r="RG136" i="83"/>
  <c r="RF137" i="83"/>
  <c r="RF136" i="83"/>
  <c r="NG113" i="83"/>
  <c r="NG114" i="83"/>
  <c r="NI114" i="83"/>
  <c r="NI113" i="83"/>
  <c r="BP137" i="83"/>
  <c r="BP136" i="83"/>
  <c r="PY122" i="83"/>
  <c r="PY123" i="83"/>
  <c r="SP155" i="83"/>
  <c r="SP154" i="83"/>
  <c r="NY123" i="83"/>
  <c r="NY122" i="83"/>
  <c r="KR137" i="83"/>
  <c r="KR136" i="83"/>
  <c r="KT137" i="83"/>
  <c r="KT136" i="83"/>
  <c r="SO137" i="83"/>
  <c r="SO136" i="83"/>
  <c r="JK163" i="83"/>
  <c r="JK164" i="83"/>
  <c r="QO146" i="83"/>
  <c r="QO145" i="83"/>
  <c r="JI155" i="83"/>
  <c r="JI154" i="83"/>
  <c r="JK155" i="83"/>
  <c r="JK154" i="83"/>
  <c r="AZ123" i="83"/>
  <c r="AZ122" i="83"/>
  <c r="EV155" i="83"/>
  <c r="EV154" i="83"/>
  <c r="MQ137" i="83"/>
  <c r="MQ136" i="83"/>
  <c r="QQ123" i="83"/>
  <c r="QQ122" i="83"/>
  <c r="NJ155" i="83"/>
  <c r="NJ154" i="83"/>
  <c r="FM137" i="83"/>
  <c r="FM136" i="83"/>
  <c r="MC123" i="83"/>
  <c r="MC122" i="83"/>
  <c r="MA123" i="83"/>
  <c r="MA122" i="83"/>
  <c r="QA146" i="83"/>
  <c r="QA145" i="83"/>
  <c r="CF146" i="83"/>
  <c r="CF145" i="83"/>
  <c r="CD146" i="83"/>
  <c r="CD145" i="83"/>
  <c r="TF164" i="83"/>
  <c r="TF163" i="83"/>
  <c r="KB122" i="83"/>
  <c r="KB123" i="83"/>
  <c r="KC122" i="83"/>
  <c r="KC123" i="83"/>
  <c r="HJ137" i="83"/>
  <c r="HJ136" i="83"/>
  <c r="PF155" i="83"/>
  <c r="PF154" i="83"/>
  <c r="PG114" i="83"/>
  <c r="PG113" i="83"/>
  <c r="OA146" i="83"/>
  <c r="OA145" i="83"/>
  <c r="NX146" i="83"/>
  <c r="NX145" i="83"/>
  <c r="MC114" i="83"/>
  <c r="MC113" i="83"/>
  <c r="FO123" i="83"/>
  <c r="FO122" i="83"/>
  <c r="MB105" i="83"/>
  <c r="MB104" i="83"/>
  <c r="LY105" i="83"/>
  <c r="LY104" i="83"/>
  <c r="TV163" i="83"/>
  <c r="TV164" i="83"/>
  <c r="TY164" i="83"/>
  <c r="TY163" i="83"/>
  <c r="FO164" i="83"/>
  <c r="FO163" i="83"/>
  <c r="FM164" i="83"/>
  <c r="FM163" i="83"/>
  <c r="EC105" i="83"/>
  <c r="EC104" i="83"/>
  <c r="RV137" i="83"/>
  <c r="RV136" i="83"/>
  <c r="CY105" i="83"/>
  <c r="CY104" i="83"/>
  <c r="CX105" i="83"/>
  <c r="CX104" i="83"/>
  <c r="HM145" i="83"/>
  <c r="HM146" i="83"/>
  <c r="PV106" i="83"/>
  <c r="HN114" i="83"/>
  <c r="HN113" i="83"/>
  <c r="HK114" i="83"/>
  <c r="HK113" i="83"/>
  <c r="TH114" i="83"/>
  <c r="TH113" i="83"/>
  <c r="AG137" i="83"/>
  <c r="AG136" i="83"/>
  <c r="PH164" i="83"/>
  <c r="PH163" i="83"/>
  <c r="PG164" i="83"/>
  <c r="PG163" i="83"/>
  <c r="R43" i="82" l="1"/>
  <c r="V43" i="82" s="1"/>
  <c r="N42" i="82"/>
  <c r="R42" i="82"/>
  <c r="V42" i="82" s="1"/>
  <c r="BM147" i="83"/>
  <c r="JI147" i="83"/>
  <c r="KS106" i="83"/>
  <c r="NX156" i="83"/>
  <c r="OR115" i="83"/>
  <c r="NH165" i="83"/>
  <c r="KT147" i="83"/>
  <c r="KD115" i="83"/>
  <c r="LY147" i="83"/>
  <c r="TD115" i="83"/>
  <c r="JJ165" i="83"/>
  <c r="GW147" i="83"/>
  <c r="MR124" i="83"/>
  <c r="MB147" i="83"/>
  <c r="ET147" i="83"/>
  <c r="NY138" i="83"/>
  <c r="CW124" i="83"/>
  <c r="TH115" i="83"/>
  <c r="GU106" i="83"/>
  <c r="JK147" i="83"/>
  <c r="CE115" i="83"/>
  <c r="NG147" i="83"/>
  <c r="BN124" i="83"/>
  <c r="CG106" i="83"/>
  <c r="EW138" i="83"/>
  <c r="HK106" i="83"/>
  <c r="QN156" i="83"/>
  <c r="KD106" i="83"/>
  <c r="EG156" i="83"/>
  <c r="TY147" i="83"/>
  <c r="ED124" i="83"/>
  <c r="EX124" i="83"/>
  <c r="LI138" i="83"/>
  <c r="RE165" i="83"/>
  <c r="QR115" i="83"/>
  <c r="IC147" i="83"/>
  <c r="CD138" i="83"/>
  <c r="TE115" i="83"/>
  <c r="RX138" i="83"/>
  <c r="FL165" i="83"/>
  <c r="MB115" i="83"/>
  <c r="PG156" i="83"/>
  <c r="NH156" i="83"/>
  <c r="QR147" i="83"/>
  <c r="RX106" i="83"/>
  <c r="TY124" i="83"/>
  <c r="JZ165" i="83"/>
  <c r="MS156" i="83"/>
  <c r="IR165" i="83"/>
  <c r="KD138" i="83"/>
  <c r="AY156" i="83"/>
  <c r="LL115" i="83"/>
  <c r="KT106" i="83"/>
  <c r="CE106" i="83"/>
  <c r="FK115" i="83"/>
  <c r="CH156" i="83"/>
  <c r="RY115" i="83"/>
  <c r="RH156" i="83"/>
  <c r="IV115" i="83"/>
  <c r="OO124" i="83"/>
  <c r="LZ147" i="83"/>
  <c r="BM156" i="83"/>
  <c r="QQ165" i="83"/>
  <c r="PX165" i="83"/>
  <c r="RH106" i="83"/>
  <c r="TF115" i="83"/>
  <c r="EF106" i="83"/>
  <c r="TX165" i="83"/>
  <c r="NZ147" i="83"/>
  <c r="QQ147" i="83"/>
  <c r="RZ106" i="83"/>
  <c r="SN156" i="83"/>
  <c r="PZ124" i="83"/>
  <c r="HM156" i="83"/>
  <c r="IV138" i="83"/>
  <c r="AI106" i="83"/>
  <c r="TX147" i="83"/>
  <c r="MB138" i="83"/>
  <c r="SQ106" i="83"/>
  <c r="OS115" i="83"/>
  <c r="SO165" i="83"/>
  <c r="ED156" i="83"/>
  <c r="IE124" i="83"/>
  <c r="OA165" i="83"/>
  <c r="LJ147" i="83"/>
  <c r="RV138" i="83"/>
  <c r="OA147" i="83"/>
  <c r="CF147" i="83"/>
  <c r="FM138" i="83"/>
  <c r="EV156" i="83"/>
  <c r="JK156" i="83"/>
  <c r="QO147" i="83"/>
  <c r="KR138" i="83"/>
  <c r="SP156" i="83"/>
  <c r="BO147" i="83"/>
  <c r="AV147" i="83"/>
  <c r="TX115" i="83"/>
  <c r="RG147" i="83"/>
  <c r="JK106" i="83"/>
  <c r="SO124" i="83"/>
  <c r="EV165" i="83"/>
  <c r="LK106" i="83"/>
  <c r="LK138" i="83"/>
  <c r="KR115" i="83"/>
  <c r="DM115" i="83"/>
  <c r="DO124" i="83"/>
  <c r="NK106" i="83"/>
  <c r="TH156" i="83"/>
  <c r="QP106" i="83"/>
  <c r="AY115" i="83"/>
  <c r="EC165" i="83"/>
  <c r="MQ115" i="83"/>
  <c r="ED138" i="83"/>
  <c r="AW138" i="83"/>
  <c r="PF138" i="83"/>
  <c r="LI156" i="83"/>
  <c r="GU156" i="83"/>
  <c r="NH138" i="83"/>
  <c r="FO156" i="83"/>
  <c r="AF124" i="83"/>
  <c r="SN115" i="83"/>
  <c r="CX156" i="83"/>
  <c r="GD115" i="83"/>
  <c r="NY115" i="83"/>
  <c r="IB147" i="83"/>
  <c r="ET106" i="83"/>
  <c r="CE165" i="83"/>
  <c r="IR106" i="83"/>
  <c r="CW138" i="83"/>
  <c r="QO165" i="83"/>
  <c r="OB138" i="83"/>
  <c r="KQ124" i="83"/>
  <c r="IE156" i="83"/>
  <c r="AF115" i="83"/>
  <c r="BN106" i="83"/>
  <c r="IC106" i="83"/>
  <c r="PY165" i="83"/>
  <c r="NZ165" i="83"/>
  <c r="RI106" i="83"/>
  <c r="JZ156" i="83"/>
  <c r="LI147" i="83"/>
  <c r="NY106" i="83"/>
  <c r="TF106" i="83"/>
  <c r="RE115" i="83"/>
  <c r="KS156" i="83"/>
  <c r="BM124" i="83"/>
  <c r="NJ106" i="83"/>
  <c r="DO165" i="83"/>
  <c r="QR106" i="83"/>
  <c r="EE165" i="83"/>
  <c r="AY138" i="83"/>
  <c r="PW115" i="83"/>
  <c r="GT115" i="83"/>
  <c r="KS147" i="83"/>
  <c r="CD106" i="83"/>
  <c r="TH124" i="83"/>
  <c r="EX138" i="83"/>
  <c r="FO115" i="83"/>
  <c r="AG165" i="83"/>
  <c r="PZ156" i="83"/>
  <c r="IS115" i="83"/>
  <c r="CX165" i="83"/>
  <c r="MS147" i="83"/>
  <c r="BQ156" i="83"/>
  <c r="AF138" i="83"/>
  <c r="PY106" i="83"/>
  <c r="GE106" i="83"/>
  <c r="FL124" i="83"/>
  <c r="LZ115" i="83"/>
  <c r="HM138" i="83"/>
  <c r="CH147" i="83"/>
  <c r="LY124" i="83"/>
  <c r="QR124" i="83"/>
  <c r="MT138" i="83"/>
  <c r="QP147" i="83"/>
  <c r="KU138" i="83"/>
  <c r="PW124" i="83"/>
  <c r="TX124" i="83"/>
  <c r="BN147" i="83"/>
  <c r="KC165" i="83"/>
  <c r="TY115" i="83"/>
  <c r="GS124" i="83"/>
  <c r="IR138" i="83"/>
  <c r="IV165" i="83"/>
  <c r="JI106" i="83"/>
  <c r="SM124" i="83"/>
  <c r="TW147" i="83"/>
  <c r="GS106" i="83"/>
  <c r="OQ138" i="83"/>
  <c r="MR106" i="83"/>
  <c r="EU115" i="83"/>
  <c r="LI165" i="83"/>
  <c r="RE124" i="83"/>
  <c r="AF156" i="83"/>
  <c r="RG115" i="83"/>
  <c r="KU156" i="83"/>
  <c r="JK138" i="83"/>
  <c r="DM147" i="83"/>
  <c r="AZ156" i="83"/>
  <c r="RX124" i="83"/>
  <c r="AW115" i="83"/>
  <c r="LZ138" i="83"/>
  <c r="CE124" i="83"/>
  <c r="LK115" i="83"/>
  <c r="CY115" i="83"/>
  <c r="KT165" i="83"/>
  <c r="TF147" i="83"/>
  <c r="KA115" i="83"/>
  <c r="QR156" i="83"/>
  <c r="JJ115" i="83"/>
  <c r="OA156" i="83"/>
  <c r="PH165" i="83"/>
  <c r="HN115" i="83"/>
  <c r="MQ106" i="83"/>
  <c r="DP156" i="83"/>
  <c r="KQ156" i="83"/>
  <c r="DO106" i="83"/>
  <c r="GU115" i="83"/>
  <c r="KQ165" i="83"/>
  <c r="TE147" i="83"/>
  <c r="OP106" i="83"/>
  <c r="JZ115" i="83"/>
  <c r="AH165" i="83"/>
  <c r="DM138" i="83"/>
  <c r="JL124" i="83"/>
  <c r="EU147" i="83"/>
  <c r="OR138" i="83"/>
  <c r="LL165" i="83"/>
  <c r="KB115" i="83"/>
  <c r="IA165" i="83"/>
  <c r="GV156" i="83"/>
  <c r="BM115" i="83"/>
  <c r="BM165" i="83"/>
  <c r="BP106" i="83"/>
  <c r="AE138" i="83"/>
  <c r="HM115" i="83"/>
  <c r="CU106" i="83"/>
  <c r="EE106" i="83"/>
  <c r="TU165" i="83"/>
  <c r="PJ115" i="83"/>
  <c r="JM165" i="83"/>
  <c r="NH115" i="83"/>
  <c r="AZ147" i="83"/>
  <c r="GT124" i="83"/>
  <c r="JJ106" i="83"/>
  <c r="LJ165" i="83"/>
  <c r="OR156" i="83"/>
  <c r="CD124" i="83"/>
  <c r="AW165" i="83"/>
  <c r="CX115" i="83"/>
  <c r="EU138" i="83"/>
  <c r="TV106" i="83"/>
  <c r="HM106" i="83"/>
  <c r="OB156" i="83"/>
  <c r="NJ138" i="83"/>
  <c r="JM124" i="83"/>
  <c r="CY138" i="83"/>
  <c r="OO165" i="83"/>
  <c r="IB106" i="83"/>
  <c r="CX124" i="83"/>
  <c r="AI138" i="83"/>
  <c r="IA115" i="83"/>
  <c r="SP147" i="83"/>
  <c r="NX124" i="83"/>
  <c r="CY147" i="83"/>
  <c r="GD165" i="83"/>
  <c r="RF147" i="83"/>
  <c r="IS165" i="83"/>
  <c r="GW106" i="83"/>
  <c r="CU156" i="83"/>
  <c r="CU138" i="83"/>
  <c r="RV147" i="83"/>
  <c r="CX106" i="83"/>
  <c r="FM165" i="83"/>
  <c r="TY165" i="83"/>
  <c r="LY106" i="83"/>
  <c r="MC115" i="83"/>
  <c r="PF156" i="83"/>
  <c r="TF165" i="83"/>
  <c r="MA124" i="83"/>
  <c r="QQ124" i="83"/>
  <c r="SO138" i="83"/>
  <c r="BP138" i="83"/>
  <c r="RG138" i="83"/>
  <c r="GC165" i="83"/>
  <c r="GU124" i="83"/>
  <c r="IU138" i="83"/>
  <c r="PJ147" i="83"/>
  <c r="TV147" i="83"/>
  <c r="PG106" i="83"/>
  <c r="OB106" i="83"/>
  <c r="GU147" i="83"/>
  <c r="LH165" i="83"/>
  <c r="TU138" i="83"/>
  <c r="JM138" i="83"/>
  <c r="DL165" i="83"/>
  <c r="NJ124" i="83"/>
  <c r="CH124" i="83"/>
  <c r="AZ165" i="83"/>
  <c r="PX115" i="83"/>
  <c r="NY156" i="83"/>
  <c r="TE138" i="83"/>
  <c r="GE156" i="83"/>
  <c r="RF156" i="83"/>
  <c r="PX156" i="83"/>
  <c r="IC138" i="83"/>
  <c r="QP115" i="83"/>
  <c r="GD124" i="83"/>
  <c r="RZ165" i="83"/>
  <c r="PF124" i="83"/>
  <c r="OR124" i="83"/>
  <c r="MQ124" i="83"/>
  <c r="SM106" i="83"/>
  <c r="IV124" i="83"/>
  <c r="HM147" i="83"/>
  <c r="TV165" i="83"/>
  <c r="KB124" i="83"/>
  <c r="JK165" i="83"/>
  <c r="PY124" i="83"/>
  <c r="LJ106" i="83"/>
  <c r="EW124" i="83"/>
  <c r="EX115" i="83"/>
  <c r="CF124" i="83"/>
  <c r="MT115" i="83"/>
  <c r="GE115" i="83"/>
  <c r="KC147" i="83"/>
  <c r="TY156" i="83"/>
  <c r="KA106" i="83"/>
  <c r="RG156" i="83"/>
  <c r="ID138" i="83"/>
  <c r="GC124" i="83"/>
  <c r="IU115" i="83"/>
  <c r="PY138" i="83"/>
  <c r="CU165" i="83"/>
  <c r="FM156" i="83"/>
  <c r="AX106" i="83"/>
  <c r="BO115" i="83"/>
  <c r="MT124" i="83"/>
  <c r="SP106" i="83"/>
  <c r="JI124" i="83"/>
  <c r="CG165" i="83"/>
  <c r="BN156" i="83"/>
  <c r="RX156" i="83"/>
  <c r="EV147" i="83"/>
  <c r="KU124" i="83"/>
  <c r="MB156" i="83"/>
  <c r="AE115" i="83"/>
  <c r="ID124" i="83"/>
  <c r="PW165" i="83"/>
  <c r="RF106" i="83"/>
  <c r="CF138" i="83"/>
  <c r="PJ165" i="83"/>
  <c r="MA106" i="83"/>
  <c r="HN138" i="83"/>
  <c r="PZ147" i="83"/>
  <c r="ET156" i="83"/>
  <c r="KS138" i="83"/>
  <c r="OB124" i="83"/>
  <c r="PX124" i="83"/>
  <c r="BO138" i="83"/>
  <c r="CX147" i="83"/>
  <c r="LY165" i="83"/>
  <c r="GE165" i="83"/>
  <c r="TW115" i="83"/>
  <c r="IT138" i="83"/>
  <c r="OP147" i="83"/>
  <c r="PH147" i="83"/>
  <c r="SP124" i="83"/>
  <c r="FL147" i="83"/>
  <c r="TU147" i="83"/>
  <c r="MR165" i="83"/>
  <c r="PJ106" i="83"/>
  <c r="EG124" i="83"/>
  <c r="JJ147" i="83"/>
  <c r="CD115" i="83"/>
  <c r="EU124" i="83"/>
  <c r="LH124" i="83"/>
  <c r="DN115" i="83"/>
  <c r="DM124" i="83"/>
  <c r="AH156" i="83"/>
  <c r="TD106" i="83"/>
  <c r="DL156" i="83"/>
  <c r="HJ124" i="83"/>
  <c r="MS115" i="83"/>
  <c r="GE147" i="83"/>
  <c r="EG138" i="83"/>
  <c r="FN106" i="83"/>
  <c r="PI138" i="83"/>
  <c r="TU156" i="83"/>
  <c r="GD156" i="83"/>
  <c r="DP138" i="83"/>
  <c r="ID165" i="83"/>
  <c r="GE138" i="83"/>
  <c r="CY165" i="83"/>
  <c r="RV165" i="83"/>
  <c r="BQ115" i="83"/>
  <c r="SN106" i="83"/>
  <c r="OQ115" i="83"/>
  <c r="BN165" i="83"/>
  <c r="IT106" i="83"/>
  <c r="EC156" i="83"/>
  <c r="AH147" i="83"/>
  <c r="IU124" i="83"/>
  <c r="MC156" i="83"/>
  <c r="AH115" i="83"/>
  <c r="BQ106" i="83"/>
  <c r="CG138" i="83"/>
  <c r="PZ106" i="83"/>
  <c r="CV106" i="83"/>
  <c r="GB106" i="83"/>
  <c r="PJ156" i="83"/>
  <c r="KD124" i="83"/>
  <c r="FO138" i="83"/>
  <c r="NI156" i="83"/>
  <c r="QN124" i="83"/>
  <c r="EX156" i="83"/>
  <c r="KQ138" i="83"/>
  <c r="RE138" i="83"/>
  <c r="MB165" i="83"/>
  <c r="PG147" i="83"/>
  <c r="TW138" i="83"/>
  <c r="DO156" i="83"/>
  <c r="DP106" i="83"/>
  <c r="JL138" i="83"/>
  <c r="DM165" i="83"/>
  <c r="TG156" i="83"/>
  <c r="GU138" i="83"/>
  <c r="AY165" i="83"/>
  <c r="TV156" i="83"/>
  <c r="GF156" i="83"/>
  <c r="DL138" i="83"/>
  <c r="EF115" i="83"/>
  <c r="MT147" i="83"/>
  <c r="QR138" i="83"/>
  <c r="JJ124" i="83"/>
  <c r="GU165" i="83"/>
  <c r="EF156" i="83"/>
  <c r="BM106" i="83"/>
  <c r="KA147" i="83"/>
  <c r="CU124" i="83"/>
  <c r="PX106" i="83"/>
  <c r="RY138" i="83"/>
  <c r="IE115" i="83"/>
  <c r="SM147" i="83"/>
  <c r="MC106" i="83"/>
  <c r="OB147" i="83"/>
  <c r="PH156" i="83"/>
  <c r="TH165" i="83"/>
  <c r="MB124" i="83"/>
  <c r="NG156" i="83"/>
  <c r="AX124" i="83"/>
  <c r="JL156" i="83"/>
  <c r="RY106" i="83"/>
  <c r="SM138" i="83"/>
  <c r="BM138" i="83"/>
  <c r="NK115" i="83"/>
  <c r="KA165" i="83"/>
  <c r="AX147" i="83"/>
  <c r="GV124" i="83"/>
  <c r="IS156" i="83"/>
  <c r="AG106" i="83"/>
  <c r="LH106" i="83"/>
  <c r="PI106" i="83"/>
  <c r="EC124" i="83"/>
  <c r="MT106" i="83"/>
  <c r="ET124" i="83"/>
  <c r="JZ138" i="83"/>
  <c r="DP115" i="83"/>
  <c r="TY138" i="83"/>
  <c r="NG165" i="83"/>
  <c r="NJ147" i="83"/>
  <c r="OS156" i="83"/>
  <c r="DM106" i="83"/>
  <c r="NI106" i="83"/>
  <c r="TE156" i="83"/>
  <c r="QO106" i="83"/>
  <c r="GC147" i="83"/>
  <c r="EF138" i="83"/>
  <c r="LJ115" i="83"/>
  <c r="GW115" i="83"/>
  <c r="KR147" i="83"/>
  <c r="ET138" i="83"/>
  <c r="HN106" i="83"/>
  <c r="CD156" i="83"/>
  <c r="TF138" i="83"/>
  <c r="RI156" i="83"/>
  <c r="GC138" i="83"/>
  <c r="IA138" i="83"/>
  <c r="QO115" i="83"/>
  <c r="RW165" i="83"/>
  <c r="MP147" i="83"/>
  <c r="ED147" i="83"/>
  <c r="LH147" i="83"/>
  <c r="HM124" i="83"/>
  <c r="CG124" i="83"/>
  <c r="FM106" i="83"/>
  <c r="BP147" i="83"/>
  <c r="ED165" i="83"/>
  <c r="IB165" i="83"/>
  <c r="CW165" i="83"/>
  <c r="EG115" i="83"/>
  <c r="MC147" i="83"/>
  <c r="SQ138" i="83"/>
  <c r="EF147" i="83"/>
  <c r="PH124" i="83"/>
  <c r="IC124" i="83"/>
  <c r="LL147" i="83"/>
  <c r="AI165" i="83"/>
  <c r="EX147" i="83"/>
  <c r="TW165" i="83"/>
  <c r="JM147" i="83"/>
  <c r="DO147" i="83"/>
  <c r="AY106" i="83"/>
  <c r="QN138" i="83"/>
  <c r="PG165" i="83"/>
  <c r="MS106" i="83"/>
  <c r="CH115" i="83"/>
  <c r="NI147" i="83"/>
  <c r="DN106" i="83"/>
  <c r="GS115" i="83"/>
  <c r="TG124" i="83"/>
  <c r="IT147" i="83"/>
  <c r="OR106" i="83"/>
  <c r="RZ115" i="83"/>
  <c r="IE165" i="83"/>
  <c r="AF147" i="83"/>
  <c r="TV138" i="83"/>
  <c r="KB106" i="83"/>
  <c r="RE156" i="83"/>
  <c r="AE124" i="83"/>
  <c r="CD165" i="83"/>
  <c r="RY147" i="83"/>
  <c r="KA156" i="83"/>
  <c r="PW106" i="83"/>
  <c r="CW106" i="83"/>
  <c r="ID115" i="83"/>
  <c r="QO124" i="83"/>
  <c r="AE106" i="83"/>
  <c r="OO138" i="83"/>
  <c r="MP106" i="83"/>
  <c r="NK165" i="83"/>
  <c r="OQ156" i="83"/>
  <c r="JI138" i="83"/>
  <c r="DP165" i="83"/>
  <c r="RY124" i="83"/>
  <c r="EF165" i="83"/>
  <c r="LY138" i="83"/>
  <c r="AV138" i="83"/>
  <c r="PY115" i="83"/>
  <c r="KU106" i="83"/>
  <c r="CU115" i="83"/>
  <c r="KU165" i="83"/>
  <c r="TD147" i="83"/>
  <c r="FN115" i="83"/>
  <c r="IU147" i="83"/>
  <c r="HJ106" i="83"/>
  <c r="QP156" i="83"/>
  <c r="RX115" i="83"/>
  <c r="JI115" i="83"/>
  <c r="PW156" i="83"/>
  <c r="IE138" i="83"/>
  <c r="GF124" i="83"/>
  <c r="NG138" i="83"/>
  <c r="QA138" i="83"/>
  <c r="FK156" i="83"/>
  <c r="OQ124" i="83"/>
  <c r="CV156" i="83"/>
  <c r="JK124" i="83"/>
  <c r="SQ165" i="83"/>
  <c r="RW156" i="83"/>
  <c r="QN165" i="83"/>
  <c r="KT124" i="83"/>
  <c r="IA106" i="83"/>
  <c r="RE106" i="83"/>
  <c r="CY124" i="83"/>
  <c r="KD156" i="83"/>
  <c r="PF165" i="83"/>
  <c r="TG115" i="83"/>
  <c r="ED106" i="83"/>
  <c r="IC115" i="83"/>
  <c r="SQ147" i="83"/>
  <c r="MA115" i="83"/>
  <c r="JM156" i="83"/>
  <c r="JI165" i="83"/>
  <c r="RW106" i="83"/>
  <c r="SN138" i="83"/>
  <c r="SQ156" i="83"/>
  <c r="QA124" i="83"/>
  <c r="BQ138" i="83"/>
  <c r="CW147" i="83"/>
  <c r="HJ156" i="83"/>
  <c r="TV115" i="83"/>
  <c r="MR156" i="83"/>
  <c r="IU156" i="83"/>
  <c r="IS138" i="83"/>
  <c r="AH106" i="83"/>
  <c r="JM106" i="83"/>
  <c r="OO147" i="83"/>
  <c r="ET165" i="83"/>
  <c r="FN147" i="83"/>
  <c r="MT165" i="83"/>
  <c r="EF124" i="83"/>
  <c r="LK124" i="83"/>
  <c r="EV115" i="83"/>
  <c r="KQ115" i="83"/>
  <c r="RH124" i="83"/>
  <c r="AZ115" i="83"/>
  <c r="IS147" i="83"/>
  <c r="OO106" i="83"/>
  <c r="QQ156" i="83"/>
  <c r="GD138" i="83"/>
  <c r="GE124" i="83"/>
  <c r="PZ138" i="83"/>
  <c r="EE147" i="83"/>
  <c r="BP115" i="83"/>
  <c r="GF115" i="83"/>
  <c r="SP165" i="83"/>
  <c r="CV138" i="83"/>
  <c r="RV156" i="83"/>
  <c r="OA138" i="83"/>
  <c r="IR124" i="83"/>
  <c r="ID156" i="83"/>
  <c r="PZ165" i="83"/>
  <c r="OS124" i="83"/>
  <c r="GC115" i="83"/>
  <c r="OB115" i="83"/>
  <c r="EU106" i="83"/>
  <c r="CX138" i="83"/>
  <c r="AI115" i="83"/>
  <c r="BO106" i="83"/>
  <c r="RW147" i="83"/>
  <c r="CY106" i="83"/>
  <c r="EC106" i="83"/>
  <c r="FO165" i="83"/>
  <c r="MB106" i="83"/>
  <c r="FO124" i="83"/>
  <c r="NX147" i="83"/>
  <c r="PG115" i="83"/>
  <c r="HJ138" i="83"/>
  <c r="CD147" i="83"/>
  <c r="QA147" i="83"/>
  <c r="MC124" i="83"/>
  <c r="NJ156" i="83"/>
  <c r="MQ138" i="83"/>
  <c r="AZ124" i="83"/>
  <c r="JI156" i="83"/>
  <c r="KT138" i="83"/>
  <c r="NY124" i="83"/>
  <c r="NI115" i="83"/>
  <c r="RF138" i="83"/>
  <c r="TW124" i="83"/>
  <c r="MC165" i="83"/>
  <c r="KD165" i="83"/>
  <c r="AW147" i="83"/>
  <c r="HN156" i="83"/>
  <c r="TU115" i="83"/>
  <c r="MQ156" i="83"/>
  <c r="GW124" i="83"/>
  <c r="IV156" i="83"/>
  <c r="IT165" i="83"/>
  <c r="OQ147" i="83"/>
  <c r="PI147" i="83"/>
  <c r="EU165" i="83"/>
  <c r="FM147" i="83"/>
  <c r="MS165" i="83"/>
  <c r="KA138" i="83"/>
  <c r="LI124" i="83"/>
  <c r="KS115" i="83"/>
  <c r="LK165" i="83"/>
  <c r="DL115" i="83"/>
  <c r="RF124" i="83"/>
  <c r="AE156" i="83"/>
  <c r="TH106" i="83"/>
  <c r="NH106" i="83"/>
  <c r="DL147" i="83"/>
  <c r="AV156" i="83"/>
  <c r="QQ106" i="83"/>
  <c r="NH124" i="83"/>
  <c r="RV124" i="83"/>
  <c r="AX115" i="83"/>
  <c r="MC138" i="83"/>
  <c r="GS138" i="83"/>
  <c r="EE138" i="83"/>
  <c r="AZ138" i="83"/>
  <c r="PZ115" i="83"/>
  <c r="KQ106" i="83"/>
  <c r="KU147" i="83"/>
  <c r="IV147" i="83"/>
  <c r="JM115" i="83"/>
  <c r="NZ156" i="83"/>
  <c r="TH138" i="83"/>
  <c r="TX156" i="83"/>
  <c r="LJ156" i="83"/>
  <c r="QA156" i="83"/>
  <c r="GB138" i="83"/>
  <c r="GW156" i="83"/>
  <c r="QQ115" i="83"/>
  <c r="HN165" i="83"/>
  <c r="GB124" i="83"/>
  <c r="PW138" i="83"/>
  <c r="EC115" i="83"/>
  <c r="FL156" i="83"/>
  <c r="MR147" i="83"/>
  <c r="QQ138" i="83"/>
  <c r="BN115" i="83"/>
  <c r="AH124" i="83"/>
  <c r="SQ115" i="83"/>
  <c r="OP124" i="83"/>
  <c r="MP124" i="83"/>
  <c r="SO106" i="83"/>
  <c r="NX115" i="83"/>
  <c r="OO115" i="83"/>
  <c r="ID147" i="83"/>
  <c r="EX106" i="83"/>
  <c r="BO165" i="83"/>
  <c r="CF165" i="83"/>
  <c r="BP156" i="83"/>
  <c r="IS106" i="83"/>
  <c r="RZ156" i="83"/>
  <c r="NZ138" i="83"/>
  <c r="IT124" i="83"/>
  <c r="LY156" i="83"/>
  <c r="IB156" i="83"/>
  <c r="OS165" i="83"/>
  <c r="IA124" i="83"/>
  <c r="RX147" i="83"/>
  <c r="IE106" i="83"/>
  <c r="QA165" i="83"/>
  <c r="CV124" i="83"/>
  <c r="CE138" i="83"/>
  <c r="DN124" i="83"/>
  <c r="NJ165" i="83"/>
  <c r="NH147" i="83"/>
  <c r="OP156" i="83"/>
  <c r="DN147" i="83"/>
  <c r="AW156" i="83"/>
  <c r="RW124" i="83"/>
  <c r="AV165" i="83"/>
  <c r="LI115" i="83"/>
  <c r="KR106" i="83"/>
  <c r="KR165" i="83"/>
  <c r="TF124" i="83"/>
  <c r="TH147" i="83"/>
  <c r="FM115" i="83"/>
  <c r="JK115" i="83"/>
  <c r="NI138" i="83"/>
  <c r="PX138" i="83"/>
  <c r="ED115" i="83"/>
  <c r="AW106" i="83"/>
  <c r="JZ147" i="83"/>
  <c r="AH138" i="83"/>
  <c r="HL115" i="83"/>
  <c r="IB115" i="83"/>
  <c r="FN124" i="83"/>
  <c r="PH115" i="83"/>
  <c r="TG165" i="83"/>
  <c r="PX147" i="83"/>
  <c r="FL138" i="83"/>
  <c r="MR138" i="83"/>
  <c r="EW156" i="83"/>
  <c r="RV106" i="83"/>
  <c r="SM156" i="83"/>
  <c r="NJ115" i="83"/>
  <c r="MA165" i="83"/>
  <c r="GF165" i="83"/>
  <c r="MT156" i="83"/>
  <c r="RH147" i="83"/>
  <c r="IU165" i="83"/>
  <c r="AF106" i="83"/>
  <c r="OS147" i="83"/>
  <c r="EW165" i="83"/>
  <c r="LI106" i="83"/>
  <c r="EE124" i="83"/>
  <c r="CF115" i="83"/>
  <c r="LH138" i="83"/>
  <c r="EW115" i="83"/>
  <c r="KU115" i="83"/>
  <c r="RG124" i="83"/>
  <c r="DL124" i="83"/>
  <c r="DM156" i="83"/>
  <c r="NK147" i="83"/>
  <c r="BO124" i="83"/>
  <c r="JJ138" i="83"/>
  <c r="NG106" i="83"/>
  <c r="DN165" i="83"/>
  <c r="QN106" i="83"/>
  <c r="RZ124" i="83"/>
  <c r="AV115" i="83"/>
  <c r="MA138" i="83"/>
  <c r="MR115" i="83"/>
  <c r="AX165" i="83"/>
  <c r="QA115" i="83"/>
  <c r="GV115" i="83"/>
  <c r="CH106" i="83"/>
  <c r="TD124" i="83"/>
  <c r="FL115" i="83"/>
  <c r="TU106" i="83"/>
  <c r="HL106" i="83"/>
  <c r="CG156" i="83"/>
  <c r="RV115" i="83"/>
  <c r="JL115" i="83"/>
  <c r="PJ138" i="83"/>
  <c r="LK156" i="83"/>
  <c r="RH165" i="83"/>
  <c r="GF138" i="83"/>
  <c r="HK165" i="83"/>
  <c r="NK138" i="83"/>
  <c r="IT115" i="83"/>
  <c r="MQ147" i="83"/>
  <c r="PJ124" i="83"/>
  <c r="SO115" i="83"/>
  <c r="GB115" i="83"/>
  <c r="BP165" i="83"/>
  <c r="SM165" i="83"/>
  <c r="IV106" i="83"/>
  <c r="QR165" i="83"/>
  <c r="GW165" i="83"/>
  <c r="AG147" i="83"/>
  <c r="IS124" i="83"/>
  <c r="IC156" i="83"/>
  <c r="OQ165" i="83"/>
  <c r="ID106" i="83"/>
  <c r="NY165" i="83"/>
  <c r="KB156" i="83"/>
  <c r="CH138" i="83"/>
  <c r="HN147" i="83"/>
  <c r="SN147" i="83"/>
  <c r="FK124" i="83"/>
  <c r="HL138" i="83"/>
  <c r="KA124" i="83"/>
  <c r="TD165" i="83"/>
  <c r="PW147" i="83"/>
  <c r="LZ124" i="83"/>
  <c r="AY124" i="83"/>
  <c r="NZ124" i="83"/>
  <c r="SO156" i="83"/>
  <c r="BN138" i="83"/>
  <c r="CV147" i="83"/>
  <c r="RI138" i="83"/>
  <c r="BQ147" i="83"/>
  <c r="HK156" i="83"/>
  <c r="GB165" i="83"/>
  <c r="RI147" i="83"/>
  <c r="IR156" i="83"/>
  <c r="PF147" i="83"/>
  <c r="SN124" i="83"/>
  <c r="EX165" i="83"/>
  <c r="MQ165" i="83"/>
  <c r="PF106" i="83"/>
  <c r="CG115" i="83"/>
  <c r="NZ106" i="83"/>
  <c r="LJ124" i="83"/>
  <c r="LJ138" i="83"/>
  <c r="DO115" i="83"/>
  <c r="RI124" i="83"/>
  <c r="TX138" i="83"/>
  <c r="TE106" i="83"/>
  <c r="RI115" i="83"/>
  <c r="KT156" i="83"/>
  <c r="HK124" i="83"/>
  <c r="TD156" i="83"/>
  <c r="NK124" i="83"/>
  <c r="MP115" i="83"/>
  <c r="GD147" i="83"/>
  <c r="GV138" i="83"/>
  <c r="FL106" i="83"/>
  <c r="KS165" i="83"/>
  <c r="TE124" i="83"/>
  <c r="OS106" i="83"/>
  <c r="PH138" i="83"/>
  <c r="TD138" i="83"/>
  <c r="TW156" i="83"/>
  <c r="LL156" i="83"/>
  <c r="GC156" i="83"/>
  <c r="RI165" i="83"/>
  <c r="DN138" i="83"/>
  <c r="GT156" i="83"/>
  <c r="HJ165" i="83"/>
  <c r="EE115" i="83"/>
  <c r="AZ106" i="83"/>
  <c r="QP138" i="83"/>
  <c r="AI124" i="83"/>
  <c r="SM115" i="83"/>
  <c r="MS124" i="83"/>
  <c r="NZ115" i="83"/>
  <c r="IE147" i="83"/>
  <c r="BQ165" i="83"/>
  <c r="CH165" i="83"/>
  <c r="IU106" i="83"/>
  <c r="EW147" i="83"/>
  <c r="GV165" i="83"/>
  <c r="AI147" i="83"/>
  <c r="NX138" i="83"/>
  <c r="MA156" i="83"/>
  <c r="IA156" i="83"/>
  <c r="NX165" i="83"/>
  <c r="KB147" i="83"/>
  <c r="QA106" i="83"/>
  <c r="HK147" i="83"/>
  <c r="RW138" i="83"/>
  <c r="FN165" i="83"/>
  <c r="GC106" i="83"/>
  <c r="LZ106" i="83"/>
  <c r="FM124" i="83"/>
  <c r="PI156" i="83"/>
  <c r="HK138" i="83"/>
  <c r="TE165" i="83"/>
  <c r="PY147" i="83"/>
  <c r="NK156" i="83"/>
  <c r="QP124" i="83"/>
  <c r="MP138" i="83"/>
  <c r="AW124" i="83"/>
  <c r="TU124" i="83"/>
  <c r="KB165" i="83"/>
  <c r="SQ124" i="83"/>
  <c r="FO147" i="83"/>
  <c r="AG156" i="83"/>
  <c r="TG106" i="83"/>
  <c r="RH115" i="83"/>
  <c r="BP124" i="83"/>
  <c r="DP147" i="83"/>
  <c r="AX156" i="83"/>
  <c r="NG124" i="83"/>
  <c r="GT138" i="83"/>
  <c r="EC138" i="83"/>
  <c r="TG138" i="83"/>
  <c r="LH156" i="83"/>
  <c r="KC106" i="83"/>
  <c r="FN156" i="83"/>
  <c r="AV106" i="83"/>
  <c r="QO138" i="83"/>
  <c r="MA147" i="83"/>
  <c r="EV106" i="83"/>
  <c r="EE156" i="83"/>
  <c r="AE147" i="83"/>
  <c r="IB124" i="83"/>
  <c r="RZ147" i="83"/>
  <c r="RG106" i="83"/>
  <c r="KC156" i="83"/>
  <c r="PI165" i="83"/>
  <c r="HL147" i="83"/>
  <c r="EG106" i="83"/>
  <c r="FK165" i="83"/>
  <c r="SO147" i="83"/>
  <c r="NY147" i="83"/>
  <c r="PI115" i="83"/>
  <c r="JZ124" i="83"/>
  <c r="CE147" i="83"/>
  <c r="FN138" i="83"/>
  <c r="EU156" i="83"/>
  <c r="AV124" i="83"/>
  <c r="JL165" i="83"/>
  <c r="SP138" i="83"/>
  <c r="OA124" i="83"/>
  <c r="CU147" i="83"/>
  <c r="RH138" i="83"/>
  <c r="HL156" i="83"/>
  <c r="RE147" i="83"/>
  <c r="IT156" i="83"/>
  <c r="OR147" i="83"/>
  <c r="MP165" i="83"/>
  <c r="PH106" i="83"/>
  <c r="GV106" i="83"/>
  <c r="OP138" i="83"/>
  <c r="KB138" i="83"/>
  <c r="LL124" i="83"/>
  <c r="KT115" i="83"/>
  <c r="AI156" i="83"/>
  <c r="NI165" i="83"/>
  <c r="DN156" i="83"/>
  <c r="KR156" i="83"/>
  <c r="DL106" i="83"/>
  <c r="BQ124" i="83"/>
  <c r="TF156" i="83"/>
  <c r="EG165" i="83"/>
  <c r="GW138" i="83"/>
  <c r="AX138" i="83"/>
  <c r="CV115" i="83"/>
  <c r="FK106" i="83"/>
  <c r="TG147" i="83"/>
  <c r="OQ106" i="83"/>
  <c r="KC115" i="83"/>
  <c r="AF165" i="83"/>
  <c r="GB156" i="83"/>
  <c r="DO138" i="83"/>
  <c r="PY156" i="83"/>
  <c r="GS156" i="83"/>
  <c r="QN115" i="83"/>
  <c r="HL165" i="83"/>
  <c r="RX165" i="83"/>
  <c r="KS124" i="83"/>
  <c r="AG138" i="83"/>
  <c r="HK115" i="83"/>
  <c r="OS138" i="83"/>
  <c r="RF115" i="83"/>
  <c r="OO156" i="83"/>
  <c r="HN124" i="83"/>
  <c r="FO106" i="83"/>
  <c r="CF106" i="83"/>
  <c r="EV138" i="83"/>
  <c r="TW106" i="83"/>
  <c r="CF156" i="83"/>
  <c r="RG165" i="83"/>
  <c r="JZ106" i="83"/>
  <c r="GS165" i="83"/>
  <c r="LL106" i="83"/>
  <c r="KC138" i="83"/>
  <c r="ET115" i="83"/>
  <c r="QO156" i="83"/>
  <c r="IC165" i="83"/>
  <c r="IB138" i="83"/>
  <c r="RY165" i="83"/>
  <c r="PG124" i="83"/>
  <c r="CY156" i="83"/>
  <c r="EW106" i="83"/>
  <c r="OR165" i="83"/>
  <c r="OB165" i="83"/>
  <c r="HJ115" i="83"/>
  <c r="RZ138" i="83"/>
  <c r="GF106" i="83"/>
  <c r="LY115" i="83"/>
  <c r="PF115" i="83"/>
  <c r="FK138" i="83"/>
  <c r="MS138" i="83"/>
  <c r="QN147" i="83"/>
  <c r="TV124" i="83"/>
  <c r="MP156" i="83"/>
  <c r="JL106" i="83"/>
  <c r="GT106" i="83"/>
  <c r="NX106" i="83"/>
  <c r="AE165" i="83"/>
  <c r="KC124" i="83"/>
  <c r="NG115" i="83"/>
  <c r="LZ165" i="83"/>
  <c r="EV124" i="83"/>
  <c r="GF147" i="83"/>
  <c r="CV165" i="83"/>
  <c r="EC147" i="83"/>
  <c r="SN165" i="83"/>
  <c r="OP165" i="83"/>
  <c r="GS147" i="83"/>
  <c r="HL124" i="83"/>
  <c r="NI124" i="83"/>
  <c r="GB147" i="83"/>
  <c r="IR147" i="83"/>
  <c r="TX106" i="83"/>
  <c r="GT165" i="83"/>
  <c r="JJ156" i="83"/>
  <c r="KQ147" i="83"/>
  <c r="RF165" i="83"/>
  <c r="EG147" i="83"/>
  <c r="PI124" i="83"/>
  <c r="AG124" i="83"/>
  <c r="OA115" i="83"/>
  <c r="KD147" i="83"/>
  <c r="HJ147" i="83"/>
  <c r="CG147" i="83"/>
  <c r="AY147" i="83"/>
  <c r="OA106" i="83"/>
  <c r="LL138" i="83"/>
  <c r="GT147" i="83"/>
  <c r="DP124" i="83"/>
  <c r="LH115" i="83"/>
  <c r="CW115" i="83"/>
  <c r="TY106" i="83"/>
  <c r="CE156" i="83"/>
  <c r="RW115" i="83"/>
  <c r="PG138" i="83"/>
  <c r="HM165" i="83"/>
  <c r="IR115" i="83"/>
  <c r="SP115" i="83"/>
  <c r="CW156" i="83"/>
  <c r="OP115" i="83"/>
  <c r="IA147" i="83"/>
  <c r="BO156" i="83"/>
  <c r="RY156" i="83"/>
  <c r="QP165" i="83"/>
  <c r="KR124" i="83"/>
  <c r="LZ156" i="83"/>
  <c r="AG115" i="83"/>
  <c r="LK147" i="83"/>
  <c r="GD106" i="83"/>
  <c r="FK147" i="83"/>
  <c r="JL147" i="83"/>
  <c r="GV147" i="83"/>
  <c r="C39" i="67"/>
  <c r="I29" i="87" l="1"/>
  <c r="G41" i="67"/>
  <c r="I43" i="67"/>
  <c r="I44" i="67"/>
  <c r="I45" i="67"/>
  <c r="I46" i="67"/>
  <c r="I47" i="67"/>
  <c r="I48" i="67"/>
  <c r="I49" i="67"/>
  <c r="I50" i="67"/>
  <c r="I51" i="67"/>
  <c r="I52" i="67"/>
  <c r="G52" i="67"/>
  <c r="G51" i="67"/>
  <c r="G50" i="67"/>
  <c r="G49" i="67"/>
  <c r="G48" i="67"/>
  <c r="G47" i="67"/>
  <c r="G46" i="67"/>
  <c r="G45" i="67"/>
  <c r="G44" i="67"/>
  <c r="G43" i="67"/>
  <c r="G42" i="67"/>
  <c r="I42" i="67"/>
  <c r="I41" i="67"/>
  <c r="E35" i="67"/>
  <c r="E34" i="67"/>
  <c r="E33" i="67"/>
  <c r="E32" i="67"/>
  <c r="E31" i="67"/>
  <c r="E30" i="67"/>
  <c r="E29" i="47"/>
  <c r="E23" i="67"/>
  <c r="E21" i="67"/>
  <c r="E19" i="47"/>
  <c r="E20" i="67"/>
  <c r="E18" i="47"/>
  <c r="E19" i="67"/>
  <c r="E18" i="67"/>
  <c r="E16" i="67"/>
  <c r="E14" i="67"/>
  <c r="E13" i="67"/>
  <c r="E12" i="67"/>
  <c r="BW29" i="87" l="1"/>
  <c r="CC29" i="87" s="1"/>
  <c r="AE29" i="87"/>
  <c r="AK29" i="87" s="1"/>
  <c r="BL29" i="87"/>
  <c r="BR29" i="87" s="1"/>
  <c r="T29" i="87"/>
  <c r="Z29" i="87" s="1"/>
  <c r="BA29" i="87"/>
  <c r="BG29" i="87" s="1"/>
  <c r="AP29" i="87"/>
  <c r="AV29" i="87" s="1"/>
  <c r="DZ29" i="87"/>
  <c r="EF29" i="87" s="1"/>
  <c r="CH29" i="87"/>
  <c r="CN29" i="87" s="1"/>
  <c r="CS29" i="87"/>
  <c r="CY29" i="87" s="1"/>
  <c r="DD29" i="87"/>
  <c r="DJ29" i="87" s="1"/>
  <c r="DO29" i="87"/>
  <c r="DU29" i="87" s="1"/>
  <c r="C55" i="67"/>
  <c r="A34" i="14"/>
  <c r="E24" i="88"/>
  <c r="E28" i="92" l="1"/>
  <c r="E29" i="95"/>
  <c r="I43" i="96"/>
  <c r="E43" i="96"/>
  <c r="C43" i="96"/>
  <c r="C41" i="95"/>
  <c r="E28" i="88"/>
  <c r="E33" i="91"/>
  <c r="E28" i="90"/>
  <c r="A35" i="14"/>
  <c r="C45" i="88" s="1"/>
  <c r="E29" i="80"/>
  <c r="E29" i="81"/>
  <c r="E29" i="67"/>
  <c r="E28" i="67"/>
  <c r="E28" i="80"/>
  <c r="E28" i="81"/>
  <c r="C41" i="81"/>
  <c r="C41" i="80"/>
  <c r="C41" i="67"/>
  <c r="C45" i="90" l="1"/>
  <c r="C45" i="47"/>
  <c r="C45" i="97"/>
  <c r="C45" i="92"/>
  <c r="C51" i="91"/>
  <c r="TF215" i="1"/>
  <c r="UP215" i="1"/>
  <c r="PB215" i="1"/>
  <c r="SN215" i="1"/>
  <c r="ER215" i="1"/>
  <c r="NR215" i="1"/>
  <c r="BX215" i="1"/>
  <c r="CP215" i="1"/>
  <c r="BF215" i="1"/>
  <c r="C16" i="18"/>
  <c r="M34" i="82" s="1"/>
  <c r="D265" i="1" l="1"/>
  <c r="F265" i="1" s="1"/>
  <c r="D225" i="1"/>
  <c r="O47" i="14" l="1"/>
  <c r="O49" i="14"/>
  <c r="I52" i="97" l="1"/>
  <c r="I51" i="97"/>
  <c r="I58" i="91"/>
  <c r="I52" i="92"/>
  <c r="I57" i="91"/>
  <c r="I51" i="92"/>
  <c r="I52" i="90"/>
  <c r="I52" i="47"/>
  <c r="K52" i="47"/>
  <c r="I51" i="90"/>
  <c r="K51" i="47"/>
  <c r="I51" i="47"/>
  <c r="K52" i="88"/>
  <c r="I52" i="88"/>
  <c r="K51" i="88"/>
  <c r="I51" i="88"/>
  <c r="G48" i="80"/>
  <c r="G48" i="81"/>
  <c r="G47" i="81"/>
  <c r="G47" i="80"/>
  <c r="G48" i="78"/>
  <c r="G47" i="78"/>
  <c r="D48" i="78"/>
  <c r="D47" i="78"/>
  <c r="E31" i="78"/>
  <c r="E30" i="78"/>
  <c r="E29" i="78"/>
  <c r="D40" i="78" l="1"/>
  <c r="D44" i="78"/>
  <c r="G38" i="78"/>
  <c r="G42" i="78"/>
  <c r="G46" i="78"/>
  <c r="D42" i="78"/>
  <c r="G43" i="78"/>
  <c r="D46" i="78"/>
  <c r="G44" i="78"/>
  <c r="D41" i="78"/>
  <c r="D45" i="78"/>
  <c r="G39" i="78"/>
  <c r="G40" i="78"/>
  <c r="D39" i="78"/>
  <c r="D43" i="78"/>
  <c r="G37" i="78"/>
  <c r="G41" i="78"/>
  <c r="G45" i="78"/>
  <c r="D38" i="78"/>
  <c r="C38" i="78"/>
  <c r="C42" i="78"/>
  <c r="C46" i="78"/>
  <c r="C37" i="78"/>
  <c r="C39" i="78"/>
  <c r="C41" i="78"/>
  <c r="C43" i="78"/>
  <c r="C47" i="78"/>
  <c r="C40" i="78"/>
  <c r="C44" i="78"/>
  <c r="C48" i="78"/>
  <c r="C45" i="78"/>
  <c r="U53" i="78"/>
  <c r="C58" i="78"/>
  <c r="D58" i="78"/>
  <c r="G58" i="78"/>
  <c r="H58" i="78"/>
  <c r="K58" i="78" s="1"/>
  <c r="C59" i="78"/>
  <c r="D59" i="78"/>
  <c r="G59" i="78"/>
  <c r="H59" i="78"/>
  <c r="K59" i="78" s="1"/>
  <c r="C60" i="78"/>
  <c r="D60" i="78"/>
  <c r="G60" i="78"/>
  <c r="H60" i="78"/>
  <c r="K60" i="78" s="1"/>
  <c r="C61" i="78"/>
  <c r="D61" i="78"/>
  <c r="G61" i="78"/>
  <c r="H61" i="78"/>
  <c r="K61" i="78" s="1"/>
  <c r="U78" i="78"/>
  <c r="E28" i="78" l="1"/>
  <c r="E25" i="78"/>
  <c r="E16" i="78"/>
  <c r="C275" i="75" l="1"/>
  <c r="C257" i="75"/>
  <c r="F219" i="75"/>
  <c r="C92" i="75"/>
  <c r="C164" i="75" s="1"/>
  <c r="D87" i="75"/>
  <c r="D88" i="75" s="1"/>
  <c r="C87" i="75"/>
  <c r="D85" i="75"/>
  <c r="D86" i="75" s="1"/>
  <c r="C85" i="75"/>
  <c r="C81" i="75"/>
  <c r="D80" i="75"/>
  <c r="C80" i="75"/>
  <c r="O32" i="75"/>
  <c r="N28" i="75"/>
  <c r="M28" i="75"/>
  <c r="L28" i="75"/>
  <c r="J28" i="75"/>
  <c r="I28" i="75"/>
  <c r="N27" i="75"/>
  <c r="L27" i="75"/>
  <c r="J27" i="75"/>
  <c r="I27" i="75"/>
  <c r="N26" i="75"/>
  <c r="L26" i="75"/>
  <c r="J26" i="75"/>
  <c r="I26" i="75"/>
  <c r="N25" i="75"/>
  <c r="M25" i="75"/>
  <c r="L25" i="75"/>
  <c r="J25" i="75"/>
  <c r="N24" i="75"/>
  <c r="M24" i="75"/>
  <c r="L24" i="75"/>
  <c r="J24" i="75"/>
  <c r="N23" i="75"/>
  <c r="M23" i="75"/>
  <c r="L23" i="75"/>
  <c r="J23" i="75"/>
  <c r="N22" i="75"/>
  <c r="M22" i="75"/>
  <c r="L22" i="75"/>
  <c r="J22" i="75"/>
  <c r="N21" i="75"/>
  <c r="L21" i="75"/>
  <c r="J21" i="75"/>
  <c r="N20" i="75"/>
  <c r="M20" i="75"/>
  <c r="L20" i="75"/>
  <c r="J20" i="75"/>
  <c r="N19" i="75"/>
  <c r="M19" i="75"/>
  <c r="L19" i="75"/>
  <c r="J19" i="75"/>
  <c r="O28" i="75" l="1"/>
  <c r="C221" i="75"/>
  <c r="C203" i="75"/>
  <c r="C256" i="73"/>
  <c r="I27" i="73" s="1"/>
  <c r="F218" i="73"/>
  <c r="C91" i="73"/>
  <c r="C202" i="73" s="1"/>
  <c r="D86" i="73"/>
  <c r="D87" i="73" s="1"/>
  <c r="C86" i="73"/>
  <c r="D84" i="73"/>
  <c r="D85" i="73" s="1"/>
  <c r="C84" i="73"/>
  <c r="C80" i="73"/>
  <c r="D79" i="73"/>
  <c r="C79" i="73"/>
  <c r="O31" i="73"/>
  <c r="N27" i="73"/>
  <c r="L27" i="73"/>
  <c r="J27" i="73"/>
  <c r="N26" i="73"/>
  <c r="L26" i="73"/>
  <c r="J26" i="73"/>
  <c r="I26" i="73"/>
  <c r="N25" i="73"/>
  <c r="M25" i="73"/>
  <c r="L25" i="73"/>
  <c r="J25" i="73"/>
  <c r="N24" i="73"/>
  <c r="M24" i="73"/>
  <c r="L24" i="73"/>
  <c r="J24" i="73"/>
  <c r="N23" i="73"/>
  <c r="M23" i="73"/>
  <c r="L23" i="73"/>
  <c r="J23" i="73"/>
  <c r="N22" i="73"/>
  <c r="M22" i="73"/>
  <c r="L22" i="73"/>
  <c r="J22" i="73"/>
  <c r="N21" i="73"/>
  <c r="L21" i="73"/>
  <c r="J21" i="73"/>
  <c r="N20" i="73"/>
  <c r="M20" i="73"/>
  <c r="L20" i="73"/>
  <c r="J20" i="73"/>
  <c r="N19" i="73"/>
  <c r="M19" i="73"/>
  <c r="L19" i="73"/>
  <c r="J19" i="73"/>
  <c r="C163" i="73" l="1"/>
  <c r="C220" i="73"/>
  <c r="N25" i="38"/>
  <c r="M25" i="38"/>
  <c r="J25" i="38"/>
  <c r="F219" i="38"/>
  <c r="C221" i="38" s="1"/>
  <c r="N24" i="38"/>
  <c r="M24" i="38"/>
  <c r="J24" i="38"/>
  <c r="N23" i="38"/>
  <c r="J23" i="38"/>
  <c r="N22" i="38"/>
  <c r="J22" i="38"/>
  <c r="M23" i="38"/>
  <c r="M22" i="38"/>
  <c r="L22" i="38"/>
  <c r="L23" i="38"/>
  <c r="L24" i="38"/>
  <c r="L25" i="38"/>
  <c r="A38" i="14" l="1"/>
  <c r="C43" i="95" l="1"/>
  <c r="E16" i="86"/>
  <c r="A39" i="14"/>
  <c r="C53" i="91" s="1"/>
  <c r="C43" i="81"/>
  <c r="C43" i="80"/>
  <c r="C43" i="67"/>
  <c r="O38" i="14"/>
  <c r="E43" i="95" s="1"/>
  <c r="C47" i="90" l="1"/>
  <c r="E47" i="97"/>
  <c r="C47" i="97"/>
  <c r="C47" i="92"/>
  <c r="E47" i="88"/>
  <c r="E47" i="92"/>
  <c r="R38" i="14"/>
  <c r="C47" i="47"/>
  <c r="E53" i="91"/>
  <c r="C47" i="88"/>
  <c r="E47" i="90"/>
  <c r="E47" i="47"/>
  <c r="G47" i="47"/>
  <c r="G47" i="88"/>
  <c r="E43" i="81"/>
  <c r="E43" i="80"/>
  <c r="E43" i="67"/>
  <c r="O34" i="14"/>
  <c r="E45" i="97" s="1"/>
  <c r="E41" i="95" l="1"/>
  <c r="R34" i="14"/>
  <c r="E45" i="92"/>
  <c r="E51" i="91"/>
  <c r="G45" i="47"/>
  <c r="E45" i="88"/>
  <c r="E45" i="47"/>
  <c r="E45" i="90"/>
  <c r="G45" i="88"/>
  <c r="E41" i="80"/>
  <c r="E41" i="81"/>
  <c r="I19" i="37"/>
  <c r="E41" i="67"/>
  <c r="S34" i="14"/>
  <c r="C55" i="72"/>
  <c r="C47" i="72"/>
  <c r="R40" i="72"/>
  <c r="N40" i="72"/>
  <c r="M35" i="72"/>
  <c r="M34" i="72"/>
  <c r="M33" i="72"/>
  <c r="M32" i="72"/>
  <c r="M31" i="72"/>
  <c r="M30" i="72"/>
  <c r="M29" i="72"/>
  <c r="M28" i="72"/>
  <c r="M23" i="72"/>
  <c r="A5" i="72"/>
  <c r="AK63" i="72" s="1"/>
  <c r="L20" i="44"/>
  <c r="M20" i="44" s="1"/>
  <c r="N20" i="44" s="1"/>
  <c r="T20" i="44"/>
  <c r="U20" i="44" s="1"/>
  <c r="AB20" i="44"/>
  <c r="AC20" i="44" l="1"/>
  <c r="I20" i="70"/>
  <c r="E21" i="70"/>
  <c r="J10" i="70"/>
  <c r="J9" i="70"/>
  <c r="J8" i="70"/>
  <c r="J3" i="70"/>
  <c r="J5" i="70" s="1"/>
  <c r="J10" i="69" l="1"/>
  <c r="J9" i="69"/>
  <c r="J8" i="69"/>
  <c r="J3" i="69"/>
  <c r="J5" i="69" s="1"/>
  <c r="O56" i="14" l="1"/>
  <c r="E52" i="95" l="1"/>
  <c r="E52" i="80"/>
  <c r="E52" i="81"/>
  <c r="A46" i="14"/>
  <c r="R47" i="14" s="1"/>
  <c r="C47" i="95" l="1"/>
  <c r="E20" i="86"/>
  <c r="C47" i="81"/>
  <c r="C47" i="80"/>
  <c r="A47" i="14"/>
  <c r="C51" i="88" s="1"/>
  <c r="E19" i="70"/>
  <c r="C51" i="97" l="1"/>
  <c r="C51" i="92"/>
  <c r="C57" i="91"/>
  <c r="C51" i="47"/>
  <c r="C51" i="90"/>
  <c r="A5" i="67"/>
  <c r="AK22" i="68" l="1"/>
  <c r="AK21" i="68"/>
  <c r="W22" i="68"/>
  <c r="W21" i="68"/>
  <c r="I22" i="68"/>
  <c r="I21" i="68"/>
  <c r="F182" i="68"/>
  <c r="D166" i="68"/>
  <c r="D165" i="68"/>
  <c r="D164" i="68"/>
  <c r="D163" i="68"/>
  <c r="D162" i="68"/>
  <c r="D161" i="68"/>
  <c r="D160" i="68"/>
  <c r="D159" i="68"/>
  <c r="D158" i="68"/>
  <c r="D157" i="68"/>
  <c r="D156" i="68"/>
  <c r="FR36" i="68"/>
  <c r="FK36" i="68"/>
  <c r="FD36" i="68"/>
  <c r="EW36" i="68"/>
  <c r="EP36" i="68"/>
  <c r="EI36" i="68"/>
  <c r="EB36" i="68"/>
  <c r="DU36" i="68"/>
  <c r="DN36" i="68"/>
  <c r="DG36" i="68"/>
  <c r="CZ36" i="68"/>
  <c r="CS36" i="68"/>
  <c r="CL36" i="68"/>
  <c r="CE36" i="68"/>
  <c r="BX36" i="68"/>
  <c r="BQ36" i="68"/>
  <c r="BJ36" i="68"/>
  <c r="BC36" i="68"/>
  <c r="AV36" i="68"/>
  <c r="AO36" i="68"/>
  <c r="AH36" i="68"/>
  <c r="AA36" i="68"/>
  <c r="T36" i="68"/>
  <c r="M36" i="68"/>
  <c r="FQ33" i="68"/>
  <c r="FN33" i="68"/>
  <c r="FJ33" i="68"/>
  <c r="FG33" i="68"/>
  <c r="FC33" i="68"/>
  <c r="EZ33" i="68"/>
  <c r="EV33" i="68"/>
  <c r="ES33" i="68"/>
  <c r="EO33" i="68"/>
  <c r="EL33" i="68"/>
  <c r="EH33" i="68"/>
  <c r="EE33" i="68"/>
  <c r="EA33" i="68"/>
  <c r="DX33" i="68"/>
  <c r="DT33" i="68"/>
  <c r="DQ33" i="68"/>
  <c r="DM33" i="68"/>
  <c r="DJ33" i="68"/>
  <c r="DF33" i="68"/>
  <c r="DC33" i="68"/>
  <c r="CY33" i="68"/>
  <c r="CV33" i="68"/>
  <c r="CR33" i="68"/>
  <c r="CO33" i="68"/>
  <c r="CK33" i="68"/>
  <c r="CH33" i="68"/>
  <c r="CD33" i="68"/>
  <c r="CA33" i="68"/>
  <c r="BW33" i="68"/>
  <c r="BT33" i="68"/>
  <c r="BP33" i="68"/>
  <c r="BM33" i="68"/>
  <c r="BI33" i="68"/>
  <c r="BF33" i="68"/>
  <c r="BB33" i="68"/>
  <c r="AY33" i="68"/>
  <c r="AU33" i="68"/>
  <c r="AR33" i="68"/>
  <c r="AN33" i="68"/>
  <c r="AK33" i="68"/>
  <c r="AG33" i="68"/>
  <c r="AD33" i="68"/>
  <c r="Z33" i="68"/>
  <c r="W33" i="68"/>
  <c r="S33" i="68"/>
  <c r="P33" i="68"/>
  <c r="L33" i="68"/>
  <c r="I33" i="68"/>
  <c r="FQ32" i="68"/>
  <c r="FJ32" i="68"/>
  <c r="FC32" i="68"/>
  <c r="EV32" i="68"/>
  <c r="EO32" i="68"/>
  <c r="EH32" i="68"/>
  <c r="EA32" i="68"/>
  <c r="DT32" i="68"/>
  <c r="DM32" i="68"/>
  <c r="DF32" i="68"/>
  <c r="CY32" i="68"/>
  <c r="CR32" i="68"/>
  <c r="CK32" i="68"/>
  <c r="CD32" i="68"/>
  <c r="BW32" i="68"/>
  <c r="BP32" i="68"/>
  <c r="BI32" i="68"/>
  <c r="BB32" i="68"/>
  <c r="AU32" i="68"/>
  <c r="AN32" i="68"/>
  <c r="AG32" i="68"/>
  <c r="Z32" i="68"/>
  <c r="S32" i="68"/>
  <c r="L32" i="68"/>
  <c r="FQ31" i="68"/>
  <c r="FJ31" i="68"/>
  <c r="FC31" i="68"/>
  <c r="EV31" i="68"/>
  <c r="EO31" i="68"/>
  <c r="EH31" i="68"/>
  <c r="EA31" i="68"/>
  <c r="DT31" i="68"/>
  <c r="DM31" i="68"/>
  <c r="DF31" i="68"/>
  <c r="CY31" i="68"/>
  <c r="CR31" i="68"/>
  <c r="CK31" i="68"/>
  <c r="CD31" i="68"/>
  <c r="BW31" i="68"/>
  <c r="BP31" i="68"/>
  <c r="BI31" i="68"/>
  <c r="BB31" i="68"/>
  <c r="AU31" i="68"/>
  <c r="AN31" i="68"/>
  <c r="AG31" i="68"/>
  <c r="Z31" i="68"/>
  <c r="S31" i="68"/>
  <c r="L31" i="68"/>
  <c r="FQ30" i="68"/>
  <c r="FJ30" i="68"/>
  <c r="FC30" i="68"/>
  <c r="EV30" i="68"/>
  <c r="EO30" i="68"/>
  <c r="EH30" i="68"/>
  <c r="EA30" i="68"/>
  <c r="DT30" i="68"/>
  <c r="DM30" i="68"/>
  <c r="DF30" i="68"/>
  <c r="CY30" i="68"/>
  <c r="CR30" i="68"/>
  <c r="CK30" i="68"/>
  <c r="CD30" i="68"/>
  <c r="BW30" i="68"/>
  <c r="BP30" i="68"/>
  <c r="BI30" i="68"/>
  <c r="BB30" i="68"/>
  <c r="AU30" i="68"/>
  <c r="AN30" i="68"/>
  <c r="AG30" i="68"/>
  <c r="Z30" i="68"/>
  <c r="S30" i="68"/>
  <c r="L30" i="68"/>
  <c r="FQ29" i="68"/>
  <c r="FJ29" i="68"/>
  <c r="FC29" i="68"/>
  <c r="EV29" i="68"/>
  <c r="EO29" i="68"/>
  <c r="EH29" i="68"/>
  <c r="EA29" i="68"/>
  <c r="DT29" i="68"/>
  <c r="DM29" i="68"/>
  <c r="DF29" i="68"/>
  <c r="CY29" i="68"/>
  <c r="CR29" i="68"/>
  <c r="CK29" i="68"/>
  <c r="CD29" i="68"/>
  <c r="BW29" i="68"/>
  <c r="BP29" i="68"/>
  <c r="BI29" i="68"/>
  <c r="BB29" i="68"/>
  <c r="AU29" i="68"/>
  <c r="AN29" i="68"/>
  <c r="AG29" i="68"/>
  <c r="Z29" i="68"/>
  <c r="S29" i="68"/>
  <c r="L29" i="68"/>
  <c r="FQ28" i="68"/>
  <c r="FJ28" i="68"/>
  <c r="FC28" i="68"/>
  <c r="EV28" i="68"/>
  <c r="EO28" i="68"/>
  <c r="EH28" i="68"/>
  <c r="EA28" i="68"/>
  <c r="DT28" i="68"/>
  <c r="DM28" i="68"/>
  <c r="DF28" i="68"/>
  <c r="CY28" i="68"/>
  <c r="CR28" i="68"/>
  <c r="CK28" i="68"/>
  <c r="CD28" i="68"/>
  <c r="BW28" i="68"/>
  <c r="BP28" i="68"/>
  <c r="BI28" i="68"/>
  <c r="BB28" i="68"/>
  <c r="AU28" i="68"/>
  <c r="AN28" i="68"/>
  <c r="AG28" i="68"/>
  <c r="Z28" i="68"/>
  <c r="S28" i="68"/>
  <c r="L28" i="68"/>
  <c r="FQ27" i="68"/>
  <c r="FJ27" i="68"/>
  <c r="FC27" i="68"/>
  <c r="EV27" i="68"/>
  <c r="EO27" i="68"/>
  <c r="EH27" i="68"/>
  <c r="EA27" i="68"/>
  <c r="DT27" i="68"/>
  <c r="DM27" i="68"/>
  <c r="DF27" i="68"/>
  <c r="CY27" i="68"/>
  <c r="CR27" i="68"/>
  <c r="CK27" i="68"/>
  <c r="CD27" i="68"/>
  <c r="BW27" i="68"/>
  <c r="BP27" i="68"/>
  <c r="BI27" i="68"/>
  <c r="BB27" i="68"/>
  <c r="AU27" i="68"/>
  <c r="AN27" i="68"/>
  <c r="AG27" i="68"/>
  <c r="Z27" i="68"/>
  <c r="S27" i="68"/>
  <c r="L27" i="68"/>
  <c r="FQ26" i="68"/>
  <c r="FJ26" i="68"/>
  <c r="FC26" i="68"/>
  <c r="EV26" i="68"/>
  <c r="EO26" i="68"/>
  <c r="EH26" i="68"/>
  <c r="EA26" i="68"/>
  <c r="DT26" i="68"/>
  <c r="DM26" i="68"/>
  <c r="DF26" i="68"/>
  <c r="CY26" i="68"/>
  <c r="CR26" i="68"/>
  <c r="CK26" i="68"/>
  <c r="CD26" i="68"/>
  <c r="BW26" i="68"/>
  <c r="BP26" i="68"/>
  <c r="BI26" i="68"/>
  <c r="BB26" i="68"/>
  <c r="AU26" i="68"/>
  <c r="AN26" i="68"/>
  <c r="AG26" i="68"/>
  <c r="Z26" i="68"/>
  <c r="S26" i="68"/>
  <c r="L26" i="68"/>
  <c r="FQ25" i="68"/>
  <c r="FJ25" i="68"/>
  <c r="FC25" i="68"/>
  <c r="EV25" i="68"/>
  <c r="EO25" i="68"/>
  <c r="EH25" i="68"/>
  <c r="EA25" i="68"/>
  <c r="DT25" i="68"/>
  <c r="DM25" i="68"/>
  <c r="DF25" i="68"/>
  <c r="CY25" i="68"/>
  <c r="CR25" i="68"/>
  <c r="CK25" i="68"/>
  <c r="CD25" i="68"/>
  <c r="BW25" i="68"/>
  <c r="BP25" i="68"/>
  <c r="BI25" i="68"/>
  <c r="BB25" i="68"/>
  <c r="AU25" i="68"/>
  <c r="AN25" i="68"/>
  <c r="AG25" i="68"/>
  <c r="Z25" i="68"/>
  <c r="S25" i="68"/>
  <c r="L25" i="68"/>
  <c r="FN22" i="68"/>
  <c r="FG22" i="68"/>
  <c r="EZ22" i="68"/>
  <c r="ES22" i="68"/>
  <c r="EL22" i="68"/>
  <c r="EE22" i="68"/>
  <c r="DX22" i="68"/>
  <c r="DQ22" i="68"/>
  <c r="DJ22" i="68"/>
  <c r="DC22" i="68"/>
  <c r="CV22" i="68"/>
  <c r="CO22" i="68"/>
  <c r="CH22" i="68"/>
  <c r="CA22" i="68"/>
  <c r="BT22" i="68"/>
  <c r="BM22" i="68"/>
  <c r="BF22" i="68"/>
  <c r="AY22" i="68"/>
  <c r="AR22" i="68"/>
  <c r="AD22" i="68"/>
  <c r="P22" i="68"/>
  <c r="FN21" i="68"/>
  <c r="FG21" i="68"/>
  <c r="EZ21" i="68"/>
  <c r="ES21" i="68"/>
  <c r="EL21" i="68"/>
  <c r="EE21" i="68"/>
  <c r="DX21" i="68"/>
  <c r="DQ21" i="68"/>
  <c r="DJ21" i="68"/>
  <c r="DC21" i="68"/>
  <c r="CV21" i="68"/>
  <c r="CO21" i="68"/>
  <c r="CH21" i="68"/>
  <c r="CA21" i="68"/>
  <c r="BT21" i="68"/>
  <c r="BM21" i="68"/>
  <c r="BF21" i="68"/>
  <c r="AY21" i="68"/>
  <c r="AR21" i="68"/>
  <c r="AD21" i="68"/>
  <c r="P21" i="68"/>
  <c r="FG19" i="68"/>
  <c r="E52" i="67" l="1"/>
  <c r="Q64" i="67"/>
  <c r="I19" i="68" l="1"/>
  <c r="M33" i="68" s="1"/>
  <c r="AK19" i="68"/>
  <c r="AO33" i="68" s="1"/>
  <c r="AK18" i="68"/>
  <c r="W18" i="68"/>
  <c r="W19" i="68"/>
  <c r="AA33" i="68" s="1"/>
  <c r="W32" i="68"/>
  <c r="AA32" i="68" s="1"/>
  <c r="AK32" i="68"/>
  <c r="AO32" i="68" s="1"/>
  <c r="AK20" i="68"/>
  <c r="AK27" i="68" s="1"/>
  <c r="AO27" i="68" s="1"/>
  <c r="I18" i="68"/>
  <c r="I32" i="68"/>
  <c r="M32" i="68" s="1"/>
  <c r="E21" i="62"/>
  <c r="E20" i="62"/>
  <c r="E19" i="62"/>
  <c r="P22" i="64"/>
  <c r="P21" i="64"/>
  <c r="I22" i="64"/>
  <c r="I21" i="64"/>
  <c r="V38" i="63"/>
  <c r="S38" i="63" s="1"/>
  <c r="V39" i="63"/>
  <c r="S39" i="63" s="1"/>
  <c r="V40" i="63"/>
  <c r="S40" i="63" s="1"/>
  <c r="V37" i="63"/>
  <c r="S37" i="63" s="1"/>
  <c r="V36" i="63"/>
  <c r="S36" i="63" s="1"/>
  <c r="V35" i="63"/>
  <c r="V34" i="63"/>
  <c r="S34" i="63" s="1"/>
  <c r="F182" i="64"/>
  <c r="D166" i="64"/>
  <c r="D165" i="64"/>
  <c r="D164" i="64"/>
  <c r="D163" i="64"/>
  <c r="D162" i="64"/>
  <c r="D161" i="64"/>
  <c r="D160" i="64"/>
  <c r="D159" i="64"/>
  <c r="D158" i="64"/>
  <c r="D157" i="64"/>
  <c r="D156" i="64"/>
  <c r="FR36" i="64"/>
  <c r="FK36" i="64"/>
  <c r="FD36" i="64"/>
  <c r="EW36" i="64"/>
  <c r="EP36" i="64"/>
  <c r="EI36" i="64"/>
  <c r="EB36" i="64"/>
  <c r="DU36" i="64"/>
  <c r="DN36" i="64"/>
  <c r="DG36" i="64"/>
  <c r="CZ36" i="64"/>
  <c r="CS36" i="64"/>
  <c r="CL36" i="64"/>
  <c r="CE36" i="64"/>
  <c r="BX36" i="64"/>
  <c r="BQ36" i="64"/>
  <c r="BJ36" i="64"/>
  <c r="BC36" i="64"/>
  <c r="AV36" i="64"/>
  <c r="AO36" i="64"/>
  <c r="AH36" i="64"/>
  <c r="AA36" i="64"/>
  <c r="T36" i="64"/>
  <c r="M36" i="64"/>
  <c r="FQ33" i="64"/>
  <c r="FN33" i="64"/>
  <c r="FJ33" i="64"/>
  <c r="FG33" i="64"/>
  <c r="FC33" i="64"/>
  <c r="EZ33" i="64"/>
  <c r="EV33" i="64"/>
  <c r="ES33" i="64"/>
  <c r="EO33" i="64"/>
  <c r="EL33" i="64"/>
  <c r="EH33" i="64"/>
  <c r="EE33" i="64"/>
  <c r="EA33" i="64"/>
  <c r="DX33" i="64"/>
  <c r="DT33" i="64"/>
  <c r="DQ33" i="64"/>
  <c r="DM33" i="64"/>
  <c r="DJ33" i="64"/>
  <c r="DF33" i="64"/>
  <c r="DC33" i="64"/>
  <c r="CY33" i="64"/>
  <c r="CV33" i="64"/>
  <c r="CR33" i="64"/>
  <c r="CO33" i="64"/>
  <c r="CK33" i="64"/>
  <c r="CH33" i="64"/>
  <c r="CD33" i="64"/>
  <c r="CA33" i="64"/>
  <c r="BW33" i="64"/>
  <c r="BT33" i="64"/>
  <c r="BP33" i="64"/>
  <c r="BM33" i="64"/>
  <c r="BI33" i="64"/>
  <c r="BF33" i="64"/>
  <c r="BB33" i="64"/>
  <c r="AY33" i="64"/>
  <c r="AU33" i="64"/>
  <c r="AR33" i="64"/>
  <c r="AN33" i="64"/>
  <c r="AK33" i="64"/>
  <c r="AG33" i="64"/>
  <c r="AD33" i="64"/>
  <c r="Z33" i="64"/>
  <c r="W33" i="64"/>
  <c r="S33" i="64"/>
  <c r="P33" i="64"/>
  <c r="L33" i="64"/>
  <c r="I33" i="64"/>
  <c r="FQ32" i="64"/>
  <c r="FJ32" i="64"/>
  <c r="FC32" i="64"/>
  <c r="EV32" i="64"/>
  <c r="EO32" i="64"/>
  <c r="EH32" i="64"/>
  <c r="EA32" i="64"/>
  <c r="DT32" i="64"/>
  <c r="DM32" i="64"/>
  <c r="DF32" i="64"/>
  <c r="CY32" i="64"/>
  <c r="CR32" i="64"/>
  <c r="CK32" i="64"/>
  <c r="CD32" i="64"/>
  <c r="BW32" i="64"/>
  <c r="BP32" i="64"/>
  <c r="BI32" i="64"/>
  <c r="BB32" i="64"/>
  <c r="AU32" i="64"/>
  <c r="AN32" i="64"/>
  <c r="AG32" i="64"/>
  <c r="Z32" i="64"/>
  <c r="S32" i="64"/>
  <c r="L32" i="64"/>
  <c r="FQ31" i="64"/>
  <c r="FJ31" i="64"/>
  <c r="FC31" i="64"/>
  <c r="EV31" i="64"/>
  <c r="EO31" i="64"/>
  <c r="EH31" i="64"/>
  <c r="EA31" i="64"/>
  <c r="DT31" i="64"/>
  <c r="DM31" i="64"/>
  <c r="DF31" i="64"/>
  <c r="CY31" i="64"/>
  <c r="CR31" i="64"/>
  <c r="CK31" i="64"/>
  <c r="CD31" i="64"/>
  <c r="BW31" i="64"/>
  <c r="BP31" i="64"/>
  <c r="BI31" i="64"/>
  <c r="BB31" i="64"/>
  <c r="AU31" i="64"/>
  <c r="AN31" i="64"/>
  <c r="AG31" i="64"/>
  <c r="Z31" i="64"/>
  <c r="S31" i="64"/>
  <c r="L31" i="64"/>
  <c r="FQ30" i="64"/>
  <c r="FJ30" i="64"/>
  <c r="FC30" i="64"/>
  <c r="EV30" i="64"/>
  <c r="EO30" i="64"/>
  <c r="EH30" i="64"/>
  <c r="EA30" i="64"/>
  <c r="DT30" i="64"/>
  <c r="DM30" i="64"/>
  <c r="DF30" i="64"/>
  <c r="CY30" i="64"/>
  <c r="CR30" i="64"/>
  <c r="CK30" i="64"/>
  <c r="CD30" i="64"/>
  <c r="BW30" i="64"/>
  <c r="BP30" i="64"/>
  <c r="BI30" i="64"/>
  <c r="BB30" i="64"/>
  <c r="AU30" i="64"/>
  <c r="AN30" i="64"/>
  <c r="AG30" i="64"/>
  <c r="Z30" i="64"/>
  <c r="S30" i="64"/>
  <c r="L30" i="64"/>
  <c r="FQ29" i="64"/>
  <c r="FJ29" i="64"/>
  <c r="FC29" i="64"/>
  <c r="EV29" i="64"/>
  <c r="EO29" i="64"/>
  <c r="EH29" i="64"/>
  <c r="EA29" i="64"/>
  <c r="DT29" i="64"/>
  <c r="DM29" i="64"/>
  <c r="DF29" i="64"/>
  <c r="CY29" i="64"/>
  <c r="CR29" i="64"/>
  <c r="CK29" i="64"/>
  <c r="CD29" i="64"/>
  <c r="BW29" i="64"/>
  <c r="BP29" i="64"/>
  <c r="BI29" i="64"/>
  <c r="BB29" i="64"/>
  <c r="AU29" i="64"/>
  <c r="AN29" i="64"/>
  <c r="AG29" i="64"/>
  <c r="Z29" i="64"/>
  <c r="S29" i="64"/>
  <c r="L29" i="64"/>
  <c r="FQ28" i="64"/>
  <c r="FJ28" i="64"/>
  <c r="FC28" i="64"/>
  <c r="EV28" i="64"/>
  <c r="EO28" i="64"/>
  <c r="EH28" i="64"/>
  <c r="EA28" i="64"/>
  <c r="DT28" i="64"/>
  <c r="DM28" i="64"/>
  <c r="DF28" i="64"/>
  <c r="CY28" i="64"/>
  <c r="CR28" i="64"/>
  <c r="CK28" i="64"/>
  <c r="CD28" i="64"/>
  <c r="BW28" i="64"/>
  <c r="BP28" i="64"/>
  <c r="BI28" i="64"/>
  <c r="BB28" i="64"/>
  <c r="AU28" i="64"/>
  <c r="AN28" i="64"/>
  <c r="AG28" i="64"/>
  <c r="Z28" i="64"/>
  <c r="S28" i="64"/>
  <c r="L28" i="64"/>
  <c r="FQ27" i="64"/>
  <c r="FJ27" i="64"/>
  <c r="FC27" i="64"/>
  <c r="EV27" i="64"/>
  <c r="EO27" i="64"/>
  <c r="EH27" i="64"/>
  <c r="EA27" i="64"/>
  <c r="DT27" i="64"/>
  <c r="DM27" i="64"/>
  <c r="DF27" i="64"/>
  <c r="CY27" i="64"/>
  <c r="CR27" i="64"/>
  <c r="CK27" i="64"/>
  <c r="CD27" i="64"/>
  <c r="BW27" i="64"/>
  <c r="BP27" i="64"/>
  <c r="BI27" i="64"/>
  <c r="BB27" i="64"/>
  <c r="AU27" i="64"/>
  <c r="AN27" i="64"/>
  <c r="AG27" i="64"/>
  <c r="Z27" i="64"/>
  <c r="S27" i="64"/>
  <c r="L27" i="64"/>
  <c r="FQ26" i="64"/>
  <c r="FJ26" i="64"/>
  <c r="FC26" i="64"/>
  <c r="EV26" i="64"/>
  <c r="EO26" i="64"/>
  <c r="EH26" i="64"/>
  <c r="EA26" i="64"/>
  <c r="DT26" i="64"/>
  <c r="DM26" i="64"/>
  <c r="DF26" i="64"/>
  <c r="CY26" i="64"/>
  <c r="CR26" i="64"/>
  <c r="CK26" i="64"/>
  <c r="CD26" i="64"/>
  <c r="BW26" i="64"/>
  <c r="BP26" i="64"/>
  <c r="BI26" i="64"/>
  <c r="BB26" i="64"/>
  <c r="AU26" i="64"/>
  <c r="AN26" i="64"/>
  <c r="AG26" i="64"/>
  <c r="Z26" i="64"/>
  <c r="S26" i="64"/>
  <c r="L26" i="64"/>
  <c r="FQ25" i="64"/>
  <c r="FJ25" i="64"/>
  <c r="FC25" i="64"/>
  <c r="EV25" i="64"/>
  <c r="EO25" i="64"/>
  <c r="EH25" i="64"/>
  <c r="EA25" i="64"/>
  <c r="DT25" i="64"/>
  <c r="DM25" i="64"/>
  <c r="DF25" i="64"/>
  <c r="CY25" i="64"/>
  <c r="CR25" i="64"/>
  <c r="CK25" i="64"/>
  <c r="CD25" i="64"/>
  <c r="BW25" i="64"/>
  <c r="BP25" i="64"/>
  <c r="BI25" i="64"/>
  <c r="BB25" i="64"/>
  <c r="AU25" i="64"/>
  <c r="AN25" i="64"/>
  <c r="AG25" i="64"/>
  <c r="Z25" i="64"/>
  <c r="S25" i="64"/>
  <c r="L25" i="64"/>
  <c r="FN22" i="64"/>
  <c r="FG22" i="64"/>
  <c r="EZ22" i="64"/>
  <c r="ES22" i="64"/>
  <c r="EL22" i="64"/>
  <c r="EE22" i="64"/>
  <c r="DX22" i="64"/>
  <c r="DQ22" i="64"/>
  <c r="DJ22" i="64"/>
  <c r="DC22" i="64"/>
  <c r="CV22" i="64"/>
  <c r="CO22" i="64"/>
  <c r="CH22" i="64"/>
  <c r="CA22" i="64"/>
  <c r="BT22" i="64"/>
  <c r="BM22" i="64"/>
  <c r="BF22" i="64"/>
  <c r="AY22" i="64"/>
  <c r="AR22" i="64"/>
  <c r="AK22" i="64"/>
  <c r="AD22" i="64"/>
  <c r="W22" i="64"/>
  <c r="FN21" i="64"/>
  <c r="FG21" i="64"/>
  <c r="EZ21" i="64"/>
  <c r="ES21" i="64"/>
  <c r="EL21" i="64"/>
  <c r="EE21" i="64"/>
  <c r="DX21" i="64"/>
  <c r="DQ21" i="64"/>
  <c r="DJ21" i="64"/>
  <c r="DC21" i="64"/>
  <c r="CV21" i="64"/>
  <c r="CO21" i="64"/>
  <c r="CH21" i="64"/>
  <c r="CA21" i="64"/>
  <c r="BT21" i="64"/>
  <c r="BM21" i="64"/>
  <c r="BF21" i="64"/>
  <c r="AY21" i="64"/>
  <c r="AR21" i="64"/>
  <c r="AK21" i="64"/>
  <c r="AD21" i="64"/>
  <c r="W21" i="64"/>
  <c r="FG19" i="64"/>
  <c r="G39" i="62"/>
  <c r="E39" i="62"/>
  <c r="C58" i="62"/>
  <c r="I51" i="62"/>
  <c r="I50" i="62"/>
  <c r="I49" i="62"/>
  <c r="I48" i="62"/>
  <c r="I47" i="62"/>
  <c r="I46" i="62"/>
  <c r="I45" i="62"/>
  <c r="I44" i="62"/>
  <c r="I43" i="62"/>
  <c r="I42" i="62"/>
  <c r="E51" i="62"/>
  <c r="E34" i="62"/>
  <c r="E33" i="62"/>
  <c r="E32" i="62"/>
  <c r="E31" i="62"/>
  <c r="E30" i="62"/>
  <c r="E29" i="62"/>
  <c r="E28" i="62"/>
  <c r="E23" i="62"/>
  <c r="E18" i="62"/>
  <c r="E16" i="62"/>
  <c r="E14" i="62"/>
  <c r="E13" i="62"/>
  <c r="E12" i="62"/>
  <c r="A5" i="62"/>
  <c r="Q64" i="62" s="1"/>
  <c r="E72" i="63"/>
  <c r="C61" i="63"/>
  <c r="C60" i="63"/>
  <c r="V57" i="63"/>
  <c r="S57" i="63" s="1"/>
  <c r="T57" i="63"/>
  <c r="Q57" i="63"/>
  <c r="P57" i="63"/>
  <c r="O57" i="63"/>
  <c r="L72" i="63" s="1"/>
  <c r="V56" i="63"/>
  <c r="S56" i="63" s="1"/>
  <c r="T56" i="63"/>
  <c r="Q56" i="63"/>
  <c r="P56" i="63"/>
  <c r="A56" i="63"/>
  <c r="D72" i="63" s="1"/>
  <c r="V55" i="63"/>
  <c r="S55" i="63" s="1"/>
  <c r="T55" i="63"/>
  <c r="Q55" i="63"/>
  <c r="P55" i="63"/>
  <c r="O55" i="63"/>
  <c r="G50" i="62" s="1"/>
  <c r="V54" i="63"/>
  <c r="S54" i="63" s="1"/>
  <c r="T54" i="63"/>
  <c r="Q54" i="63"/>
  <c r="P54" i="63"/>
  <c r="O54" i="63"/>
  <c r="E71" i="63" s="1"/>
  <c r="A54" i="63"/>
  <c r="D71" i="63" s="1"/>
  <c r="V53" i="63"/>
  <c r="S53" i="63" s="1"/>
  <c r="T53" i="63"/>
  <c r="Q53" i="63"/>
  <c r="P53" i="63"/>
  <c r="O53" i="63"/>
  <c r="L70" i="63" s="1"/>
  <c r="V52" i="63"/>
  <c r="S52" i="63" s="1"/>
  <c r="T52" i="63"/>
  <c r="Q52" i="63"/>
  <c r="P52" i="63"/>
  <c r="O52" i="63"/>
  <c r="E70" i="63" s="1"/>
  <c r="A52" i="63"/>
  <c r="D70" i="63" s="1"/>
  <c r="V51" i="63"/>
  <c r="S51" i="63" s="1"/>
  <c r="T51" i="63"/>
  <c r="Q51" i="63"/>
  <c r="P51" i="63"/>
  <c r="O51" i="63"/>
  <c r="L69" i="63" s="1"/>
  <c r="V50" i="63"/>
  <c r="S50" i="63" s="1"/>
  <c r="T50" i="63"/>
  <c r="Q50" i="63"/>
  <c r="P50" i="63"/>
  <c r="O50" i="63"/>
  <c r="E69" i="63" s="1"/>
  <c r="A50" i="63"/>
  <c r="D69" i="63" s="1"/>
  <c r="V49" i="63"/>
  <c r="S49" i="63" s="1"/>
  <c r="T49" i="63"/>
  <c r="Q49" i="63"/>
  <c r="P49" i="63"/>
  <c r="O49" i="63"/>
  <c r="L68" i="63" s="1"/>
  <c r="V48" i="63"/>
  <c r="R48" i="63" s="1"/>
  <c r="F68" i="63" s="1"/>
  <c r="T48" i="63"/>
  <c r="Q48" i="63"/>
  <c r="P48" i="63"/>
  <c r="O48" i="63"/>
  <c r="E68" i="63" s="1"/>
  <c r="A48" i="63"/>
  <c r="D68" i="63" s="1"/>
  <c r="V47" i="63"/>
  <c r="S47" i="63" s="1"/>
  <c r="T47" i="63"/>
  <c r="Q47" i="63"/>
  <c r="P47" i="63"/>
  <c r="O47" i="63"/>
  <c r="L67" i="63" s="1"/>
  <c r="V46" i="63"/>
  <c r="R46" i="63" s="1"/>
  <c r="F67" i="63" s="1"/>
  <c r="T46" i="63"/>
  <c r="Q46" i="63"/>
  <c r="P46" i="63"/>
  <c r="O46" i="63"/>
  <c r="E67" i="63" s="1"/>
  <c r="A46" i="63"/>
  <c r="D67" i="63" s="1"/>
  <c r="V45" i="63"/>
  <c r="S45" i="63" s="1"/>
  <c r="T45" i="63"/>
  <c r="Q45" i="63"/>
  <c r="P45" i="63"/>
  <c r="O45" i="63"/>
  <c r="L66" i="63" s="1"/>
  <c r="V44" i="63"/>
  <c r="R44" i="63" s="1"/>
  <c r="F66" i="63" s="1"/>
  <c r="T44" i="63"/>
  <c r="Q44" i="63"/>
  <c r="P44" i="63"/>
  <c r="O44" i="63"/>
  <c r="E66" i="63" s="1"/>
  <c r="A44" i="63"/>
  <c r="D66" i="63" s="1"/>
  <c r="V43" i="63"/>
  <c r="S43" i="63" s="1"/>
  <c r="T43" i="63"/>
  <c r="Q43" i="63"/>
  <c r="P43" i="63"/>
  <c r="O43" i="63"/>
  <c r="L65" i="63" s="1"/>
  <c r="V42" i="63"/>
  <c r="S42" i="63" s="1"/>
  <c r="T42" i="63"/>
  <c r="Q42" i="63"/>
  <c r="P42" i="63"/>
  <c r="O42" i="63"/>
  <c r="E65" i="63" s="1"/>
  <c r="A42" i="63"/>
  <c r="D65" i="63" s="1"/>
  <c r="V41" i="63"/>
  <c r="S41" i="63" s="1"/>
  <c r="T41" i="63"/>
  <c r="Q41" i="63"/>
  <c r="P41" i="63"/>
  <c r="O41" i="63"/>
  <c r="L64" i="63" s="1"/>
  <c r="T40" i="63"/>
  <c r="Q40" i="63"/>
  <c r="P40" i="63"/>
  <c r="O40" i="63"/>
  <c r="E64" i="63" s="1"/>
  <c r="A40" i="63"/>
  <c r="D64" i="63" s="1"/>
  <c r="T39" i="63"/>
  <c r="Q39" i="63"/>
  <c r="P39" i="63"/>
  <c r="O39" i="63"/>
  <c r="L63" i="63" s="1"/>
  <c r="T38" i="63"/>
  <c r="R38" i="63"/>
  <c r="F63" i="63" s="1"/>
  <c r="Q38" i="63"/>
  <c r="P38" i="63"/>
  <c r="O38" i="63"/>
  <c r="E63" i="63" s="1"/>
  <c r="A38" i="63"/>
  <c r="D63" i="63" s="1"/>
  <c r="O37" i="63"/>
  <c r="O36" i="63"/>
  <c r="E62" i="63" s="1"/>
  <c r="A36" i="63"/>
  <c r="D62" i="63" s="1"/>
  <c r="O35" i="63"/>
  <c r="O34" i="63"/>
  <c r="A34" i="63"/>
  <c r="D61" i="63" s="1"/>
  <c r="L62" i="63" l="1"/>
  <c r="L15" i="86"/>
  <c r="M43" i="62"/>
  <c r="R40" i="63"/>
  <c r="F64" i="63" s="1"/>
  <c r="L61" i="63"/>
  <c r="L14" i="86"/>
  <c r="M46" i="62"/>
  <c r="U34" i="63"/>
  <c r="G61" i="63" s="1"/>
  <c r="M45" i="62"/>
  <c r="M44" i="62"/>
  <c r="P32" i="64"/>
  <c r="T32" i="64" s="1"/>
  <c r="S44" i="63"/>
  <c r="S46" i="63"/>
  <c r="S48" i="63"/>
  <c r="R50" i="63"/>
  <c r="F69" i="63" s="1"/>
  <c r="M49" i="62"/>
  <c r="G43" i="62"/>
  <c r="G47" i="62"/>
  <c r="M42" i="62"/>
  <c r="R54" i="63"/>
  <c r="F71" i="63" s="1"/>
  <c r="U56" i="63"/>
  <c r="G72" i="63" s="1"/>
  <c r="E49" i="62"/>
  <c r="G51" i="62"/>
  <c r="E45" i="62"/>
  <c r="P34" i="63"/>
  <c r="I20" i="64" s="1"/>
  <c r="I27" i="64" s="1"/>
  <c r="M27" i="64" s="1"/>
  <c r="U41" i="63"/>
  <c r="N64" i="63" s="1"/>
  <c r="M47" i="62"/>
  <c r="M48" i="62"/>
  <c r="M50" i="62"/>
  <c r="L71" i="63"/>
  <c r="E42" i="62"/>
  <c r="E46" i="62"/>
  <c r="E50" i="62"/>
  <c r="G44" i="62"/>
  <c r="G48" i="62"/>
  <c r="C55" i="62"/>
  <c r="I19" i="64"/>
  <c r="P19" i="64"/>
  <c r="T33" i="64" s="1"/>
  <c r="R35" i="63"/>
  <c r="K14" i="86" s="1"/>
  <c r="S35" i="63"/>
  <c r="U47" i="63"/>
  <c r="N67" i="63" s="1"/>
  <c r="U53" i="63"/>
  <c r="N70" i="63" s="1"/>
  <c r="E43" i="62"/>
  <c r="E47" i="62"/>
  <c r="G45" i="62"/>
  <c r="G49" i="62"/>
  <c r="R36" i="63"/>
  <c r="F62" i="63" s="1"/>
  <c r="I32" i="64"/>
  <c r="M32" i="64" s="1"/>
  <c r="R42" i="63"/>
  <c r="F65" i="63" s="1"/>
  <c r="M51" i="62"/>
  <c r="E44" i="62"/>
  <c r="E48" i="62"/>
  <c r="G42" i="62"/>
  <c r="G46" i="62"/>
  <c r="R37" i="63"/>
  <c r="K15" i="86" s="1"/>
  <c r="B52" i="63"/>
  <c r="A57" i="63"/>
  <c r="B54" i="63"/>
  <c r="B55" i="63"/>
  <c r="B57" i="63"/>
  <c r="C51" i="62"/>
  <c r="B56" i="63"/>
  <c r="C50" i="62"/>
  <c r="A55" i="63"/>
  <c r="C49" i="62"/>
  <c r="A53" i="63"/>
  <c r="B53" i="63"/>
  <c r="B51" i="63"/>
  <c r="C48" i="62"/>
  <c r="A51" i="63"/>
  <c r="B50" i="63"/>
  <c r="B48" i="63"/>
  <c r="B46" i="63"/>
  <c r="B47" i="63"/>
  <c r="A49" i="63"/>
  <c r="C47" i="62"/>
  <c r="B49" i="63"/>
  <c r="A47" i="63"/>
  <c r="C46" i="62"/>
  <c r="B44" i="63"/>
  <c r="B45" i="63"/>
  <c r="A45" i="63"/>
  <c r="C45" i="62"/>
  <c r="B40" i="63"/>
  <c r="B43" i="63"/>
  <c r="B42" i="63"/>
  <c r="C44" i="62"/>
  <c r="A43" i="63"/>
  <c r="B41" i="63"/>
  <c r="C43" i="62"/>
  <c r="A41" i="63"/>
  <c r="B38" i="63"/>
  <c r="B39" i="63"/>
  <c r="A37" i="63"/>
  <c r="W20" i="68"/>
  <c r="W27" i="68" s="1"/>
  <c r="AA27" i="68" s="1"/>
  <c r="A39" i="63"/>
  <c r="C42" i="62"/>
  <c r="C41" i="62"/>
  <c r="D15" i="86" s="1"/>
  <c r="I18" i="64"/>
  <c r="A35" i="63"/>
  <c r="C40" i="62"/>
  <c r="D14" i="86" s="1"/>
  <c r="P18" i="64"/>
  <c r="I20" i="68"/>
  <c r="I27" i="68" s="1"/>
  <c r="M27" i="68" s="1"/>
  <c r="R34" i="63"/>
  <c r="F61" i="63" s="1"/>
  <c r="R56" i="63"/>
  <c r="F72" i="63" s="1"/>
  <c r="R55" i="63"/>
  <c r="U55" i="63"/>
  <c r="N71" i="63" s="1"/>
  <c r="R52" i="63"/>
  <c r="F70" i="63" s="1"/>
  <c r="R53" i="63"/>
  <c r="U51" i="63"/>
  <c r="N69" i="63" s="1"/>
  <c r="U49" i="63"/>
  <c r="N68" i="63" s="1"/>
  <c r="U45" i="63"/>
  <c r="N66" i="63" s="1"/>
  <c r="U43" i="63"/>
  <c r="N65" i="63" s="1"/>
  <c r="U39" i="63"/>
  <c r="N63" i="63" s="1"/>
  <c r="E41" i="62"/>
  <c r="G15" i="86" s="1"/>
  <c r="E40" i="62"/>
  <c r="G14" i="86" s="1"/>
  <c r="U37" i="63"/>
  <c r="N62" i="63" s="1"/>
  <c r="P37" i="63"/>
  <c r="Q37" i="63" s="1"/>
  <c r="G41" i="62"/>
  <c r="I15" i="86" s="1"/>
  <c r="U35" i="63"/>
  <c r="N61" i="63" s="1"/>
  <c r="P35" i="63"/>
  <c r="P20" i="64" s="1"/>
  <c r="P27" i="64" s="1"/>
  <c r="T27" i="64" s="1"/>
  <c r="G40" i="62"/>
  <c r="I14" i="86" s="1"/>
  <c r="R57" i="63"/>
  <c r="E61" i="63"/>
  <c r="R39" i="63"/>
  <c r="R41" i="63"/>
  <c r="R43" i="63"/>
  <c r="R45" i="63"/>
  <c r="R47" i="63"/>
  <c r="Q34" i="63"/>
  <c r="P36" i="63"/>
  <c r="Q36" i="63" s="1"/>
  <c r="R49" i="63"/>
  <c r="R51" i="63"/>
  <c r="U36" i="63"/>
  <c r="G62" i="63" s="1"/>
  <c r="U38" i="63"/>
  <c r="G63" i="63" s="1"/>
  <c r="U40" i="63"/>
  <c r="G64" i="63" s="1"/>
  <c r="U42" i="63"/>
  <c r="G65" i="63" s="1"/>
  <c r="U44" i="63"/>
  <c r="G66" i="63" s="1"/>
  <c r="U46" i="63"/>
  <c r="G67" i="63" s="1"/>
  <c r="U48" i="63"/>
  <c r="G68" i="63" s="1"/>
  <c r="U50" i="63"/>
  <c r="G69" i="63" s="1"/>
  <c r="U52" i="63"/>
  <c r="G70" i="63" s="1"/>
  <c r="U54" i="63"/>
  <c r="G71" i="63" s="1"/>
  <c r="U57" i="63"/>
  <c r="N72" i="63" s="1"/>
  <c r="O54" i="14"/>
  <c r="O52" i="14"/>
  <c r="O48" i="14"/>
  <c r="E51" i="95" l="1"/>
  <c r="E50" i="95"/>
  <c r="E48" i="95"/>
  <c r="Q35" i="63"/>
  <c r="E51" i="80"/>
  <c r="E51" i="81"/>
  <c r="E50" i="81"/>
  <c r="E50" i="80"/>
  <c r="E48" i="80"/>
  <c r="E48" i="81"/>
  <c r="ES19" i="68"/>
  <c r="E51" i="67"/>
  <c r="ES19" i="64"/>
  <c r="EE19" i="68"/>
  <c r="E50" i="67"/>
  <c r="EE19" i="64"/>
  <c r="DC19" i="68"/>
  <c r="E48" i="67"/>
  <c r="DC19" i="64"/>
  <c r="K49" i="62"/>
  <c r="H61" i="63"/>
  <c r="H73" i="63" s="1"/>
  <c r="K50" i="62"/>
  <c r="M71" i="63"/>
  <c r="K71" i="63" s="1"/>
  <c r="M70" i="63"/>
  <c r="K70" i="63" s="1"/>
  <c r="M65" i="63"/>
  <c r="K65" i="63" s="1"/>
  <c r="K44" i="62"/>
  <c r="M69" i="63"/>
  <c r="K69" i="63" s="1"/>
  <c r="K48" i="62"/>
  <c r="M64" i="63"/>
  <c r="K64" i="63" s="1"/>
  <c r="K43" i="62"/>
  <c r="M68" i="63"/>
  <c r="K68" i="63" s="1"/>
  <c r="K47" i="62"/>
  <c r="M67" i="63"/>
  <c r="K67" i="63" s="1"/>
  <c r="K46" i="62"/>
  <c r="M63" i="63"/>
  <c r="K63" i="63" s="1"/>
  <c r="K42" i="62"/>
  <c r="M72" i="63"/>
  <c r="K72" i="63" s="1"/>
  <c r="K51" i="62"/>
  <c r="M66" i="63"/>
  <c r="K66" i="63" s="1"/>
  <c r="K45" i="62"/>
  <c r="M62" i="63"/>
  <c r="K62" i="63" s="1"/>
  <c r="K41" i="62"/>
  <c r="M61" i="63"/>
  <c r="J61" i="63" s="1"/>
  <c r="K40" i="62"/>
  <c r="C52" i="62" s="1"/>
  <c r="O40" i="14"/>
  <c r="E44" i="95" s="1"/>
  <c r="O39" i="14"/>
  <c r="I47" i="97" s="1"/>
  <c r="O37" i="14"/>
  <c r="I46" i="97" s="1"/>
  <c r="O36" i="14"/>
  <c r="E42" i="95" s="1"/>
  <c r="O35" i="14"/>
  <c r="I45" i="97" s="1"/>
  <c r="J10" i="61"/>
  <c r="J9" i="61"/>
  <c r="J8" i="61"/>
  <c r="J4" i="61"/>
  <c r="J3" i="61"/>
  <c r="J5" i="61" s="1"/>
  <c r="AK19" i="64"/>
  <c r="I51" i="91" l="1"/>
  <c r="R35" i="14"/>
  <c r="M45" i="97" s="1"/>
  <c r="I53" i="91"/>
  <c r="R39" i="14"/>
  <c r="M47" i="97" s="1"/>
  <c r="I46" i="90"/>
  <c r="I46" i="47"/>
  <c r="K46" i="47"/>
  <c r="I47" i="90"/>
  <c r="K47" i="47"/>
  <c r="I47" i="47"/>
  <c r="I45" i="90"/>
  <c r="I45" i="47"/>
  <c r="K45" i="47"/>
  <c r="K46" i="88"/>
  <c r="I46" i="88"/>
  <c r="K47" i="88"/>
  <c r="I47" i="88"/>
  <c r="K45" i="88"/>
  <c r="I45" i="88"/>
  <c r="G42" i="80"/>
  <c r="G42" i="81"/>
  <c r="G43" i="81"/>
  <c r="G43" i="80"/>
  <c r="P19" i="68"/>
  <c r="G41" i="81"/>
  <c r="G41" i="80"/>
  <c r="E44" i="80"/>
  <c r="E44" i="81"/>
  <c r="E42" i="81"/>
  <c r="E42" i="80"/>
  <c r="W19" i="64"/>
  <c r="E42" i="67"/>
  <c r="E44" i="67"/>
  <c r="AR19" i="68"/>
  <c r="AR19" i="64"/>
  <c r="AD19" i="68"/>
  <c r="AD19" i="64"/>
  <c r="AY19" i="68"/>
  <c r="AY19" i="64"/>
  <c r="K61" i="63"/>
  <c r="O61" i="63"/>
  <c r="O73" i="63" s="1"/>
  <c r="C54" i="62"/>
  <c r="K41" i="95" l="1"/>
  <c r="C53" i="95" s="1"/>
  <c r="M45" i="92"/>
  <c r="K43" i="95"/>
  <c r="M47" i="92"/>
  <c r="E21" i="59" l="1"/>
  <c r="E20" i="59"/>
  <c r="E19" i="59"/>
  <c r="E18" i="59"/>
  <c r="E16" i="59"/>
  <c r="E14" i="59"/>
  <c r="E13" i="59"/>
  <c r="E12" i="59"/>
  <c r="A7" i="59"/>
  <c r="O44" i="14" l="1"/>
  <c r="E46" i="95" s="1"/>
  <c r="E46" i="80" l="1"/>
  <c r="E46" i="81"/>
  <c r="CA19" i="68"/>
  <c r="E46" i="67"/>
  <c r="CA19" i="64"/>
  <c r="E45" i="81" l="1"/>
  <c r="E45" i="80"/>
  <c r="BM19" i="68"/>
  <c r="E45" i="67"/>
  <c r="BM19" i="64"/>
  <c r="H16" i="58"/>
  <c r="R43" i="49" l="1"/>
  <c r="N43" i="49"/>
  <c r="C12" i="18" l="1"/>
  <c r="I11" i="58" s="1"/>
  <c r="C15" i="18" l="1"/>
  <c r="I14" i="58" s="1"/>
  <c r="C14" i="18"/>
  <c r="I13" i="58" s="1"/>
  <c r="C13" i="18"/>
  <c r="I12" i="58" s="1"/>
  <c r="C11" i="18"/>
  <c r="I10" i="58" s="1"/>
  <c r="C10" i="18"/>
  <c r="I9" i="58" s="1"/>
  <c r="C9" i="18"/>
  <c r="V8" i="18"/>
  <c r="R8" i="18"/>
  <c r="M8" i="18"/>
  <c r="I8" i="18"/>
  <c r="C8" i="18"/>
  <c r="C7" i="18"/>
  <c r="C6" i="18"/>
  <c r="M21" i="72" l="1"/>
  <c r="M19" i="82"/>
  <c r="M21" i="82"/>
  <c r="M20" i="82"/>
  <c r="M13" i="72"/>
  <c r="M13" i="82"/>
  <c r="M12" i="72"/>
  <c r="M12" i="82"/>
  <c r="M14" i="82"/>
  <c r="M16" i="72"/>
  <c r="M16" i="82"/>
  <c r="M18" i="72"/>
  <c r="M18" i="82"/>
  <c r="M14" i="72"/>
  <c r="M19" i="72"/>
  <c r="M20" i="72"/>
  <c r="I4" i="58"/>
  <c r="I6" i="58" s="1"/>
  <c r="M34" i="49"/>
  <c r="M21" i="49"/>
  <c r="M19" i="49"/>
  <c r="M18" i="49"/>
  <c r="M17" i="49"/>
  <c r="M16" i="49"/>
  <c r="M12" i="49"/>
  <c r="M9" i="49"/>
  <c r="M8" i="49"/>
  <c r="FN22" i="37" l="1"/>
  <c r="FG22" i="37"/>
  <c r="EZ22" i="37"/>
  <c r="ES22" i="37"/>
  <c r="EL22" i="37"/>
  <c r="EE22" i="37"/>
  <c r="CO22" i="37"/>
  <c r="FN21" i="37"/>
  <c r="FG21" i="37"/>
  <c r="EZ21" i="37"/>
  <c r="ES21" i="37"/>
  <c r="EL21" i="37"/>
  <c r="EE21" i="37"/>
  <c r="FR37" i="37"/>
  <c r="CZ37" i="37"/>
  <c r="CS37" i="37"/>
  <c r="FQ33" i="37"/>
  <c r="FQ32" i="37"/>
  <c r="FQ31" i="37"/>
  <c r="FQ30" i="37"/>
  <c r="FQ29" i="37"/>
  <c r="FQ27" i="37"/>
  <c r="FQ28" i="37"/>
  <c r="FQ26" i="37"/>
  <c r="FQ25" i="37"/>
  <c r="CR33" i="37"/>
  <c r="CR32" i="37"/>
  <c r="CR31" i="37"/>
  <c r="CR30" i="37"/>
  <c r="CR29" i="37"/>
  <c r="CR28" i="37"/>
  <c r="CR27" i="37"/>
  <c r="CR26" i="37"/>
  <c r="FJ25" i="37"/>
  <c r="FC25" i="37"/>
  <c r="EV25" i="37"/>
  <c r="EO25" i="37"/>
  <c r="EH25" i="37"/>
  <c r="EA25" i="37"/>
  <c r="DT25" i="37"/>
  <c r="DM25" i="37"/>
  <c r="DF25" i="37"/>
  <c r="CY25" i="37"/>
  <c r="CR25" i="37"/>
  <c r="FK37" i="37"/>
  <c r="FN33" i="37"/>
  <c r="FJ33" i="37"/>
  <c r="FG33" i="37"/>
  <c r="FJ32" i="37"/>
  <c r="FJ31" i="37"/>
  <c r="FJ30" i="37"/>
  <c r="FJ29" i="37"/>
  <c r="FJ28" i="37"/>
  <c r="FJ27" i="37"/>
  <c r="FJ26" i="37"/>
  <c r="FD37" i="37"/>
  <c r="EW37" i="37"/>
  <c r="FC33" i="37"/>
  <c r="EZ33" i="37"/>
  <c r="EV33" i="37"/>
  <c r="ES33" i="37"/>
  <c r="FC32" i="37"/>
  <c r="EV32" i="37"/>
  <c r="FC31" i="37"/>
  <c r="EV31" i="37"/>
  <c r="FC30" i="37"/>
  <c r="EV30" i="37"/>
  <c r="FC29" i="37"/>
  <c r="EV29" i="37"/>
  <c r="FC28" i="37"/>
  <c r="EV28" i="37"/>
  <c r="FC27" i="37"/>
  <c r="EV27" i="37"/>
  <c r="FC26" i="37"/>
  <c r="EV26" i="37"/>
  <c r="EP37" i="37"/>
  <c r="EI37" i="37"/>
  <c r="EO33" i="37"/>
  <c r="EL33" i="37"/>
  <c r="EH33" i="37"/>
  <c r="EE33" i="37"/>
  <c r="EO32" i="37"/>
  <c r="EH32" i="37"/>
  <c r="EO31" i="37"/>
  <c r="EH31" i="37"/>
  <c r="EO30" i="37"/>
  <c r="EH30" i="37"/>
  <c r="EO29" i="37"/>
  <c r="EH29" i="37"/>
  <c r="EO28" i="37"/>
  <c r="EH28" i="37"/>
  <c r="EO27" i="37"/>
  <c r="EH27" i="37"/>
  <c r="EO26" i="37"/>
  <c r="EH26" i="37"/>
  <c r="DJ19" i="68" l="1"/>
  <c r="DJ19" i="64"/>
  <c r="O55" i="14"/>
  <c r="O57" i="14"/>
  <c r="A56" i="14"/>
  <c r="A54" i="14"/>
  <c r="A52" i="14"/>
  <c r="O53" i="14"/>
  <c r="R53" i="14" l="1"/>
  <c r="I54" i="97"/>
  <c r="R57" i="14"/>
  <c r="I56" i="97"/>
  <c r="E54" i="97"/>
  <c r="R55" i="14"/>
  <c r="I55" i="97"/>
  <c r="E55" i="97"/>
  <c r="E56" i="97"/>
  <c r="C50" i="95"/>
  <c r="R52" i="14"/>
  <c r="C51" i="95"/>
  <c r="R54" i="14"/>
  <c r="C52" i="95"/>
  <c r="R56" i="14"/>
  <c r="I62" i="91"/>
  <c r="I56" i="92"/>
  <c r="I61" i="91"/>
  <c r="I55" i="92"/>
  <c r="I60" i="91"/>
  <c r="I54" i="92"/>
  <c r="E54" i="92"/>
  <c r="E55" i="92"/>
  <c r="E56" i="92"/>
  <c r="E62" i="91"/>
  <c r="E56" i="88"/>
  <c r="E56" i="90"/>
  <c r="E56" i="47"/>
  <c r="E61" i="91"/>
  <c r="E60" i="91"/>
  <c r="I56" i="90"/>
  <c r="K56" i="47"/>
  <c r="I56" i="47"/>
  <c r="I54" i="90"/>
  <c r="K54" i="47"/>
  <c r="I54" i="47"/>
  <c r="I55" i="90"/>
  <c r="K55" i="47"/>
  <c r="I55" i="47"/>
  <c r="E55" i="88"/>
  <c r="E55" i="47"/>
  <c r="E55" i="90"/>
  <c r="E54" i="90"/>
  <c r="E54" i="88"/>
  <c r="E54" i="47"/>
  <c r="K55" i="88"/>
  <c r="I55" i="88"/>
  <c r="K54" i="88"/>
  <c r="I54" i="88"/>
  <c r="K56" i="88"/>
  <c r="I56" i="88"/>
  <c r="G50" i="80"/>
  <c r="G50" i="81"/>
  <c r="G51" i="81"/>
  <c r="G51" i="80"/>
  <c r="G52" i="80"/>
  <c r="G52" i="81"/>
  <c r="C52" i="80"/>
  <c r="C52" i="81"/>
  <c r="A57" i="14"/>
  <c r="C62" i="91" s="1"/>
  <c r="C51" i="81"/>
  <c r="C51" i="80"/>
  <c r="A55" i="14"/>
  <c r="C55" i="47" s="1"/>
  <c r="C50" i="80"/>
  <c r="C50" i="81"/>
  <c r="A53" i="14"/>
  <c r="C54" i="88" s="1"/>
  <c r="EZ32" i="68"/>
  <c r="FD32" i="68" s="1"/>
  <c r="EZ32" i="64"/>
  <c r="FD32" i="64" s="1"/>
  <c r="EZ19" i="68"/>
  <c r="FD33" i="68" s="1"/>
  <c r="EZ19" i="64"/>
  <c r="FD33" i="64" s="1"/>
  <c r="EL32" i="68"/>
  <c r="EP32" i="68" s="1"/>
  <c r="EL32" i="64"/>
  <c r="EP32" i="64" s="1"/>
  <c r="EL19" i="68"/>
  <c r="EP33" i="68" s="1"/>
  <c r="EL19" i="64"/>
  <c r="EP33" i="64" s="1"/>
  <c r="S57" i="14"/>
  <c r="FN32" i="68"/>
  <c r="FR32" i="68" s="1"/>
  <c r="FN32" i="64"/>
  <c r="FR32" i="64" s="1"/>
  <c r="FN19" i="68"/>
  <c r="FR33" i="68" s="1"/>
  <c r="FN19" i="64"/>
  <c r="FR33" i="64" s="1"/>
  <c r="FG32" i="68"/>
  <c r="FK32" i="68" s="1"/>
  <c r="FK33" i="68"/>
  <c r="FK33" i="64"/>
  <c r="FG32" i="64"/>
  <c r="FK32" i="64" s="1"/>
  <c r="ES32" i="68"/>
  <c r="EW32" i="68" s="1"/>
  <c r="EW33" i="68"/>
  <c r="EW33" i="64"/>
  <c r="ES32" i="64"/>
  <c r="EW32" i="64" s="1"/>
  <c r="EI33" i="68"/>
  <c r="EE32" i="68"/>
  <c r="EI32" i="68" s="1"/>
  <c r="EI33" i="64"/>
  <c r="EE32" i="64"/>
  <c r="EI32" i="64" s="1"/>
  <c r="FN18" i="68"/>
  <c r="FG18" i="68"/>
  <c r="C52" i="67"/>
  <c r="FG18" i="64"/>
  <c r="FN18" i="64"/>
  <c r="EZ18" i="68"/>
  <c r="ES18" i="68"/>
  <c r="C51" i="67"/>
  <c r="ES18" i="64"/>
  <c r="EZ18" i="64"/>
  <c r="EE18" i="68"/>
  <c r="EL18" i="68"/>
  <c r="C50" i="67"/>
  <c r="EL18" i="64"/>
  <c r="EE18" i="64"/>
  <c r="S53" i="14"/>
  <c r="S55" i="14"/>
  <c r="S54" i="14"/>
  <c r="EE19" i="37"/>
  <c r="L70" i="14"/>
  <c r="FN19" i="37"/>
  <c r="ES19" i="37"/>
  <c r="P55" i="14"/>
  <c r="P53" i="14"/>
  <c r="S56" i="14"/>
  <c r="L72" i="14"/>
  <c r="S52" i="14"/>
  <c r="B57" i="14"/>
  <c r="FG18" i="37"/>
  <c r="FN18" i="37"/>
  <c r="B55" i="14"/>
  <c r="ES18" i="37"/>
  <c r="EZ18" i="37"/>
  <c r="B53" i="14"/>
  <c r="EE18" i="37"/>
  <c r="EL18" i="37"/>
  <c r="EP32" i="37"/>
  <c r="EI32" i="37"/>
  <c r="EL19" i="37"/>
  <c r="FR32" i="37"/>
  <c r="P57" i="14"/>
  <c r="P56" i="14"/>
  <c r="FG19" i="37"/>
  <c r="FK32" i="37"/>
  <c r="L71" i="14"/>
  <c r="EZ19" i="37"/>
  <c r="FD32" i="37"/>
  <c r="EW32" i="37"/>
  <c r="E72" i="14"/>
  <c r="E71" i="14"/>
  <c r="P54" i="14"/>
  <c r="E70" i="14"/>
  <c r="P52" i="14"/>
  <c r="D72" i="14"/>
  <c r="D71" i="14"/>
  <c r="D70" i="14"/>
  <c r="B56" i="14"/>
  <c r="B54" i="14"/>
  <c r="B52" i="14"/>
  <c r="C56" i="97" l="1"/>
  <c r="C55" i="92"/>
  <c r="C55" i="97"/>
  <c r="C54" i="97"/>
  <c r="M55" i="97"/>
  <c r="M56" i="97"/>
  <c r="M54" i="97"/>
  <c r="C69" i="97" s="1"/>
  <c r="C56" i="92"/>
  <c r="C54" i="92"/>
  <c r="M56" i="92"/>
  <c r="K52" i="95"/>
  <c r="K50" i="95"/>
  <c r="M54" i="92"/>
  <c r="M55" i="92"/>
  <c r="K51" i="95"/>
  <c r="C56" i="88"/>
  <c r="C56" i="90"/>
  <c r="C55" i="88"/>
  <c r="M62" i="91"/>
  <c r="C60" i="91"/>
  <c r="C56" i="47"/>
  <c r="C61" i="91"/>
  <c r="M61" i="91"/>
  <c r="M60" i="91"/>
  <c r="C74" i="91" s="1"/>
  <c r="M56" i="90"/>
  <c r="M56" i="47"/>
  <c r="M55" i="90"/>
  <c r="M55" i="47"/>
  <c r="C55" i="90"/>
  <c r="M54" i="90"/>
  <c r="M54" i="47"/>
  <c r="C54" i="47"/>
  <c r="C54" i="90"/>
  <c r="G54" i="88"/>
  <c r="G54" i="47"/>
  <c r="G56" i="88"/>
  <c r="G56" i="47"/>
  <c r="G55" i="88"/>
  <c r="G55" i="47"/>
  <c r="M54" i="88"/>
  <c r="C69" i="88" s="1"/>
  <c r="G19" i="105" s="1"/>
  <c r="M55" i="88"/>
  <c r="M56" i="88"/>
  <c r="K52" i="80"/>
  <c r="K52" i="81"/>
  <c r="K51" i="81"/>
  <c r="K51" i="80"/>
  <c r="K50" i="80"/>
  <c r="K50" i="81"/>
  <c r="F72" i="14"/>
  <c r="K52" i="67"/>
  <c r="F71" i="14"/>
  <c r="K51" i="67"/>
  <c r="F70" i="14"/>
  <c r="K50" i="67"/>
  <c r="EZ20" i="37"/>
  <c r="FD27" i="37" s="1"/>
  <c r="EZ20" i="68"/>
  <c r="EZ27" i="68" s="1"/>
  <c r="FD27" i="68" s="1"/>
  <c r="EZ20" i="64"/>
  <c r="EZ27" i="64" s="1"/>
  <c r="FD27" i="64" s="1"/>
  <c r="EL20" i="37"/>
  <c r="EP27" i="37" s="1"/>
  <c r="EL20" i="68"/>
  <c r="EL27" i="68" s="1"/>
  <c r="EP27" i="68" s="1"/>
  <c r="EL20" i="64"/>
  <c r="EL27" i="64" s="1"/>
  <c r="EP27" i="64" s="1"/>
  <c r="FN20" i="68"/>
  <c r="FN27" i="68" s="1"/>
  <c r="FR27" i="68" s="1"/>
  <c r="FN20" i="64"/>
  <c r="FN27" i="64" s="1"/>
  <c r="FR27" i="64" s="1"/>
  <c r="FG20" i="37"/>
  <c r="FK27" i="37" s="1"/>
  <c r="FG20" i="68"/>
  <c r="FG27" i="68" s="1"/>
  <c r="FK27" i="68" s="1"/>
  <c r="FG20" i="64"/>
  <c r="FG27" i="64" s="1"/>
  <c r="FK27" i="64" s="1"/>
  <c r="ES20" i="68"/>
  <c r="ES27" i="68" s="1"/>
  <c r="EW27" i="68" s="1"/>
  <c r="ES20" i="64"/>
  <c r="ES27" i="64" s="1"/>
  <c r="EW27" i="64" s="1"/>
  <c r="EE20" i="68"/>
  <c r="EE27" i="68" s="1"/>
  <c r="EI27" i="68" s="1"/>
  <c r="EE20" i="64"/>
  <c r="EE27" i="64" s="1"/>
  <c r="EI27" i="64" s="1"/>
  <c r="Q55" i="14"/>
  <c r="M70" i="14"/>
  <c r="M72" i="14"/>
  <c r="K72" i="14" s="1"/>
  <c r="M71" i="14"/>
  <c r="K71" i="14" s="1"/>
  <c r="Q53" i="14"/>
  <c r="Q56" i="14"/>
  <c r="Q52" i="14"/>
  <c r="EE20" i="37"/>
  <c r="EI27" i="37" s="1"/>
  <c r="FN20" i="37"/>
  <c r="FR27" i="37" s="1"/>
  <c r="Q57" i="14"/>
  <c r="Q54" i="14"/>
  <c r="ES20" i="37"/>
  <c r="EW27" i="37" s="1"/>
  <c r="O46" i="14"/>
  <c r="E51" i="97" s="1"/>
  <c r="O41" i="14"/>
  <c r="I48" i="97" s="1"/>
  <c r="E47" i="95" l="1"/>
  <c r="R46" i="14"/>
  <c r="E51" i="92"/>
  <c r="I54" i="91"/>
  <c r="G51" i="47"/>
  <c r="E57" i="91"/>
  <c r="G51" i="88"/>
  <c r="E51" i="47"/>
  <c r="E51" i="90"/>
  <c r="E51" i="88"/>
  <c r="I48" i="90"/>
  <c r="K48" i="47"/>
  <c r="K48" i="88"/>
  <c r="I48" i="47"/>
  <c r="I48" i="88"/>
  <c r="C65" i="81"/>
  <c r="G44" i="81"/>
  <c r="G44" i="80"/>
  <c r="E47" i="81"/>
  <c r="E47" i="80"/>
  <c r="K70" i="14"/>
  <c r="CO19" i="68"/>
  <c r="E47" i="67"/>
  <c r="CO19" i="64"/>
  <c r="BF19" i="68"/>
  <c r="BF19" i="64"/>
  <c r="M51" i="97" l="1"/>
  <c r="K47" i="95"/>
  <c r="M51" i="92"/>
  <c r="O51" i="14"/>
  <c r="O50" i="14"/>
  <c r="O45" i="14"/>
  <c r="I50" i="97" s="1"/>
  <c r="O43" i="14"/>
  <c r="I49" i="97" s="1"/>
  <c r="P38" i="14"/>
  <c r="P34" i="14"/>
  <c r="Q34" i="14" s="1"/>
  <c r="P36" i="14"/>
  <c r="I53" i="97" l="1"/>
  <c r="E49" i="95"/>
  <c r="I59" i="91"/>
  <c r="I53" i="92"/>
  <c r="I55" i="91"/>
  <c r="I49" i="92"/>
  <c r="I56" i="91"/>
  <c r="I50" i="92"/>
  <c r="R45" i="14"/>
  <c r="I49" i="90"/>
  <c r="K49" i="88"/>
  <c r="K49" i="47"/>
  <c r="I49" i="47"/>
  <c r="I50" i="90"/>
  <c r="K50" i="47"/>
  <c r="K50" i="88"/>
  <c r="I50" i="47"/>
  <c r="I53" i="90"/>
  <c r="K53" i="47"/>
  <c r="I53" i="47"/>
  <c r="I50" i="88"/>
  <c r="I49" i="88"/>
  <c r="K53" i="88"/>
  <c r="I53" i="88"/>
  <c r="G46" i="80"/>
  <c r="G46" i="81"/>
  <c r="G49" i="81"/>
  <c r="G49" i="80"/>
  <c r="G45" i="80"/>
  <c r="G45" i="81"/>
  <c r="E49" i="81"/>
  <c r="E49" i="80"/>
  <c r="DX19" i="68"/>
  <c r="DX19" i="64"/>
  <c r="DQ19" i="68"/>
  <c r="E49" i="67"/>
  <c r="DQ19" i="64"/>
  <c r="CV19" i="68"/>
  <c r="CV19" i="64"/>
  <c r="CH19" i="68"/>
  <c r="CH19" i="64"/>
  <c r="BT19" i="68"/>
  <c r="BT19" i="64"/>
  <c r="Q38" i="14"/>
  <c r="AK20" i="64"/>
  <c r="Q36" i="14"/>
  <c r="W20" i="64"/>
  <c r="E69" i="14"/>
  <c r="L69" i="14"/>
  <c r="P50" i="14"/>
  <c r="P44" i="14"/>
  <c r="P51" i="14"/>
  <c r="P49" i="14"/>
  <c r="P47" i="14"/>
  <c r="P45" i="14"/>
  <c r="P48" i="14"/>
  <c r="P46" i="14"/>
  <c r="P43" i="14"/>
  <c r="P41" i="14"/>
  <c r="P39" i="14"/>
  <c r="P37" i="14"/>
  <c r="P35" i="14"/>
  <c r="P42" i="14"/>
  <c r="P40" i="14"/>
  <c r="A50" i="14"/>
  <c r="R51" i="14" s="1"/>
  <c r="A48" i="14"/>
  <c r="R49" i="14" s="1"/>
  <c r="A44" i="14"/>
  <c r="A42" i="14"/>
  <c r="R43" i="14" s="1"/>
  <c r="A40" i="14"/>
  <c r="R41" i="14" s="1"/>
  <c r="A36" i="14"/>
  <c r="R37" i="14" s="1"/>
  <c r="E10" i="47"/>
  <c r="W19" i="37"/>
  <c r="Z25" i="37"/>
  <c r="DX22" i="37"/>
  <c r="DQ22" i="37"/>
  <c r="DX21" i="37"/>
  <c r="DX32" i="37" s="1"/>
  <c r="DQ21" i="37"/>
  <c r="EB37" i="37"/>
  <c r="EA33" i="37"/>
  <c r="DX33" i="37"/>
  <c r="EA32" i="37"/>
  <c r="EA31" i="37"/>
  <c r="EA30" i="37"/>
  <c r="EA29" i="37"/>
  <c r="EA28" i="37"/>
  <c r="EA27" i="37"/>
  <c r="EA26" i="37"/>
  <c r="DJ22" i="37"/>
  <c r="DC22" i="37"/>
  <c r="DJ21" i="37"/>
  <c r="DJ32" i="37" s="1"/>
  <c r="DC21" i="37"/>
  <c r="DN37" i="37"/>
  <c r="DM33" i="37"/>
  <c r="DJ33" i="37"/>
  <c r="DM32" i="37"/>
  <c r="DM31" i="37"/>
  <c r="DM30" i="37"/>
  <c r="DM29" i="37"/>
  <c r="DM28" i="37"/>
  <c r="DM27" i="37"/>
  <c r="DM26" i="37"/>
  <c r="CV22" i="37"/>
  <c r="CV21" i="37"/>
  <c r="CV32" i="37" s="1"/>
  <c r="CY33" i="37"/>
  <c r="CV33" i="37"/>
  <c r="CY32" i="37"/>
  <c r="CY31" i="37"/>
  <c r="CY30" i="37"/>
  <c r="CY29" i="37"/>
  <c r="CY28" i="37"/>
  <c r="CY27" i="37"/>
  <c r="CY26" i="37"/>
  <c r="CH22" i="37"/>
  <c r="CA22" i="37"/>
  <c r="CH21" i="37"/>
  <c r="CA21" i="37"/>
  <c r="CL37" i="37"/>
  <c r="CK33" i="37"/>
  <c r="CH33" i="37"/>
  <c r="CK32" i="37"/>
  <c r="CK31" i="37"/>
  <c r="CK30" i="37"/>
  <c r="CK29" i="37"/>
  <c r="CK28" i="37"/>
  <c r="CK27" i="37"/>
  <c r="CK26" i="37"/>
  <c r="CK25" i="37"/>
  <c r="BT22" i="37"/>
  <c r="BM22" i="37"/>
  <c r="BT21" i="37"/>
  <c r="BT32" i="37" s="1"/>
  <c r="BX37" i="37"/>
  <c r="BW33" i="37"/>
  <c r="BT33" i="37"/>
  <c r="BW32" i="37"/>
  <c r="BW31" i="37"/>
  <c r="BW30" i="37"/>
  <c r="BW29" i="37"/>
  <c r="BW28" i="37"/>
  <c r="BW27" i="37"/>
  <c r="BW26" i="37"/>
  <c r="BW25" i="37"/>
  <c r="BF22" i="37"/>
  <c r="AY22" i="37"/>
  <c r="BF21" i="37"/>
  <c r="BF32" i="37" s="1"/>
  <c r="BJ37" i="37"/>
  <c r="BI33" i="37"/>
  <c r="BF33" i="37"/>
  <c r="BI32" i="37"/>
  <c r="BI31" i="37"/>
  <c r="BI30" i="37"/>
  <c r="BI29" i="37"/>
  <c r="BI28" i="37"/>
  <c r="BI27" i="37"/>
  <c r="BI26" i="37"/>
  <c r="BI25" i="37"/>
  <c r="AR22" i="37"/>
  <c r="AK22" i="37"/>
  <c r="AR21" i="37"/>
  <c r="AV37" i="37"/>
  <c r="AU33" i="37"/>
  <c r="AR33" i="37"/>
  <c r="AU32" i="37"/>
  <c r="AU31" i="37"/>
  <c r="AU30" i="37"/>
  <c r="AU29" i="37"/>
  <c r="AU28" i="37"/>
  <c r="AU27" i="37"/>
  <c r="AV27" i="37" s="1"/>
  <c r="AU26" i="37"/>
  <c r="AU25" i="37"/>
  <c r="AD33" i="37"/>
  <c r="AD22" i="37"/>
  <c r="W22" i="37"/>
  <c r="AD21" i="37"/>
  <c r="AD32" i="37" s="1"/>
  <c r="AH37" i="37"/>
  <c r="AG33" i="37"/>
  <c r="AG32" i="37"/>
  <c r="AG31" i="37"/>
  <c r="AG30" i="37"/>
  <c r="AG29" i="37"/>
  <c r="AG28" i="37"/>
  <c r="AG27" i="37"/>
  <c r="AG26" i="37"/>
  <c r="AG25" i="37"/>
  <c r="P22" i="37"/>
  <c r="I22" i="37"/>
  <c r="P21" i="37"/>
  <c r="P32" i="37" s="1"/>
  <c r="T37" i="37"/>
  <c r="S33" i="37"/>
  <c r="P33" i="37"/>
  <c r="S32" i="37"/>
  <c r="S31" i="37"/>
  <c r="S30" i="37"/>
  <c r="S29" i="37"/>
  <c r="S28" i="37"/>
  <c r="S27" i="37"/>
  <c r="S26" i="37"/>
  <c r="S25" i="37"/>
  <c r="W21" i="37"/>
  <c r="Z26" i="37"/>
  <c r="Z27" i="37"/>
  <c r="Z28" i="37"/>
  <c r="Z29" i="37"/>
  <c r="Z30" i="37"/>
  <c r="Z31" i="37"/>
  <c r="Z32" i="37"/>
  <c r="W33" i="37"/>
  <c r="Z33" i="37"/>
  <c r="AA37" i="37"/>
  <c r="W20" i="37"/>
  <c r="I20" i="37"/>
  <c r="C60" i="14"/>
  <c r="DQ19" i="37"/>
  <c r="DC19" i="37"/>
  <c r="CO19" i="37"/>
  <c r="CA19" i="37"/>
  <c r="BM19" i="37"/>
  <c r="AY19" i="37"/>
  <c r="AK19" i="37"/>
  <c r="I27" i="37" l="1"/>
  <c r="E52" i="97"/>
  <c r="C49" i="95"/>
  <c r="E53" i="97"/>
  <c r="E49" i="97"/>
  <c r="E50" i="97"/>
  <c r="C44" i="95"/>
  <c r="E48" i="97"/>
  <c r="C42" i="95"/>
  <c r="E46" i="97"/>
  <c r="C48" i="95"/>
  <c r="R48" i="14"/>
  <c r="R50" i="14"/>
  <c r="R44" i="14"/>
  <c r="C46" i="95"/>
  <c r="R42" i="14"/>
  <c r="M49" i="97" s="1"/>
  <c r="C45" i="95"/>
  <c r="R40" i="14"/>
  <c r="E48" i="92"/>
  <c r="E49" i="92"/>
  <c r="E50" i="92"/>
  <c r="E53" i="92"/>
  <c r="R36" i="14"/>
  <c r="E46" i="92"/>
  <c r="E52" i="92"/>
  <c r="E59" i="91"/>
  <c r="E58" i="91"/>
  <c r="E56" i="91"/>
  <c r="E55" i="91"/>
  <c r="E54" i="91"/>
  <c r="E52" i="91"/>
  <c r="E46" i="90"/>
  <c r="E46" i="88"/>
  <c r="E46" i="47"/>
  <c r="E53" i="88"/>
  <c r="E53" i="90"/>
  <c r="E53" i="47"/>
  <c r="E52" i="88"/>
  <c r="E52" i="47"/>
  <c r="E52" i="90"/>
  <c r="E50" i="90"/>
  <c r="E50" i="88"/>
  <c r="E50" i="47"/>
  <c r="E49" i="88"/>
  <c r="E49" i="90"/>
  <c r="E49" i="47"/>
  <c r="E48" i="90"/>
  <c r="E48" i="88"/>
  <c r="E48" i="47"/>
  <c r="E18" i="86"/>
  <c r="E19" i="86"/>
  <c r="E17" i="86"/>
  <c r="C49" i="81"/>
  <c r="C49" i="80"/>
  <c r="A51" i="14"/>
  <c r="C53" i="88" s="1"/>
  <c r="C48" i="81"/>
  <c r="C48" i="80"/>
  <c r="A49" i="14"/>
  <c r="C52" i="88" s="1"/>
  <c r="C46" i="80"/>
  <c r="C46" i="81"/>
  <c r="A45" i="14"/>
  <c r="C50" i="90" s="1"/>
  <c r="C45" i="81"/>
  <c r="C45" i="80"/>
  <c r="A43" i="14"/>
  <c r="C49" i="88" s="1"/>
  <c r="C44" i="81"/>
  <c r="C44" i="80"/>
  <c r="C42" i="80"/>
  <c r="C42" i="81"/>
  <c r="A41" i="14"/>
  <c r="C48" i="47" s="1"/>
  <c r="C44" i="67"/>
  <c r="A37" i="14"/>
  <c r="G46" i="47" s="1"/>
  <c r="C42" i="67"/>
  <c r="E16" i="70"/>
  <c r="E14" i="70"/>
  <c r="E17" i="70"/>
  <c r="E18" i="70"/>
  <c r="E13" i="70"/>
  <c r="I18" i="37"/>
  <c r="E15" i="70"/>
  <c r="Q51" i="14"/>
  <c r="DX20" i="68"/>
  <c r="DX20" i="64"/>
  <c r="Q50" i="14"/>
  <c r="DQ20" i="68"/>
  <c r="DQ20" i="64"/>
  <c r="DX18" i="68"/>
  <c r="DQ18" i="68"/>
  <c r="C49" i="67"/>
  <c r="DX18" i="64"/>
  <c r="DQ18" i="64"/>
  <c r="Q49" i="14"/>
  <c r="DJ20" i="68"/>
  <c r="DJ20" i="64"/>
  <c r="Q47" i="14"/>
  <c r="CV20" i="68"/>
  <c r="CV20" i="64"/>
  <c r="Q45" i="14"/>
  <c r="CH20" i="68"/>
  <c r="CH20" i="64"/>
  <c r="Q43" i="14"/>
  <c r="BT20" i="68"/>
  <c r="BT20" i="64"/>
  <c r="Q48" i="14"/>
  <c r="DC20" i="68"/>
  <c r="DC20" i="64"/>
  <c r="Q46" i="14"/>
  <c r="CO20" i="68"/>
  <c r="CO20" i="64"/>
  <c r="CA20" i="37"/>
  <c r="CA20" i="68"/>
  <c r="CA20" i="64"/>
  <c r="Q42" i="14"/>
  <c r="BM20" i="68"/>
  <c r="BM20" i="64"/>
  <c r="DC18" i="68"/>
  <c r="DJ18" i="68"/>
  <c r="C48" i="67"/>
  <c r="DC18" i="64"/>
  <c r="DJ18" i="64"/>
  <c r="CV18" i="68"/>
  <c r="CO18" i="68"/>
  <c r="C47" i="67"/>
  <c r="CV18" i="64"/>
  <c r="CO18" i="64"/>
  <c r="CA18" i="68"/>
  <c r="CH18" i="68"/>
  <c r="C46" i="67"/>
  <c r="CA18" i="64"/>
  <c r="CH18" i="64"/>
  <c r="Q41" i="14"/>
  <c r="BF20" i="68"/>
  <c r="BF20" i="64"/>
  <c r="Q39" i="14"/>
  <c r="AR20" i="68"/>
  <c r="AR20" i="64"/>
  <c r="Q37" i="14"/>
  <c r="AD20" i="68"/>
  <c r="AD20" i="64"/>
  <c r="Q35" i="14"/>
  <c r="P20" i="68"/>
  <c r="Q40" i="14"/>
  <c r="AY20" i="68"/>
  <c r="AY20" i="64"/>
  <c r="BT18" i="68"/>
  <c r="BM18" i="68"/>
  <c r="C45" i="67"/>
  <c r="BT18" i="64"/>
  <c r="BM18" i="64"/>
  <c r="BF18" i="68"/>
  <c r="AY18" i="68"/>
  <c r="AY18" i="64"/>
  <c r="BF18" i="64"/>
  <c r="AR18" i="68"/>
  <c r="AR18" i="64"/>
  <c r="AK18" i="64"/>
  <c r="AD18" i="68"/>
  <c r="W18" i="64"/>
  <c r="AD18" i="64"/>
  <c r="P18" i="68"/>
  <c r="E16" i="61"/>
  <c r="E19" i="61"/>
  <c r="E18" i="61"/>
  <c r="E17" i="61"/>
  <c r="E15" i="61"/>
  <c r="E14" i="61"/>
  <c r="E13" i="61"/>
  <c r="D69" i="14"/>
  <c r="DQ20" i="37"/>
  <c r="Q44" i="14"/>
  <c r="B40" i="14"/>
  <c r="B51" i="14"/>
  <c r="DJ18" i="37"/>
  <c r="B46" i="14"/>
  <c r="B45" i="14"/>
  <c r="DC20" i="37"/>
  <c r="CO20" i="37"/>
  <c r="CO27" i="37" s="1"/>
  <c r="DX18" i="37"/>
  <c r="CH18" i="37"/>
  <c r="BM20" i="37"/>
  <c r="BT18" i="37"/>
  <c r="B41" i="14"/>
  <c r="B44" i="14"/>
  <c r="B50" i="14"/>
  <c r="DC18" i="37"/>
  <c r="B48" i="14"/>
  <c r="B49" i="14"/>
  <c r="B47" i="14"/>
  <c r="CV18" i="37"/>
  <c r="BF18" i="37"/>
  <c r="B39" i="14"/>
  <c r="B38" i="14"/>
  <c r="AR18" i="37"/>
  <c r="AD18" i="37"/>
  <c r="B37" i="14"/>
  <c r="W18" i="37"/>
  <c r="B36" i="14"/>
  <c r="B34" i="14"/>
  <c r="P18" i="37"/>
  <c r="B35" i="14"/>
  <c r="B42" i="14"/>
  <c r="B43" i="14"/>
  <c r="AK20" i="37"/>
  <c r="AK27" i="37" s="1"/>
  <c r="AY20" i="37"/>
  <c r="I33" i="37"/>
  <c r="C53" i="97" l="1"/>
  <c r="C52" i="97"/>
  <c r="C48" i="90"/>
  <c r="C46" i="90"/>
  <c r="C49" i="90"/>
  <c r="C46" i="97"/>
  <c r="C50" i="97"/>
  <c r="C49" i="97"/>
  <c r="C48" i="97"/>
  <c r="K49" i="95"/>
  <c r="DQ27" i="37"/>
  <c r="DU33" i="37"/>
  <c r="DQ32" i="37"/>
  <c r="M53" i="97"/>
  <c r="DC32" i="37"/>
  <c r="DC27" i="37"/>
  <c r="M52" i="97"/>
  <c r="C68" i="97" s="1"/>
  <c r="K44" i="95"/>
  <c r="M48" i="97"/>
  <c r="K45" i="95"/>
  <c r="BM27" i="37"/>
  <c r="K46" i="95"/>
  <c r="CE33" i="37"/>
  <c r="CA27" i="37"/>
  <c r="CA32" i="37"/>
  <c r="M50" i="97"/>
  <c r="K42" i="95"/>
  <c r="C54" i="95" s="1"/>
  <c r="W27" i="37"/>
  <c r="AA27" i="37" s="1"/>
  <c r="W32" i="37"/>
  <c r="AA32" i="37" s="1"/>
  <c r="M46" i="97"/>
  <c r="C66" i="97" s="1"/>
  <c r="M53" i="92"/>
  <c r="C53" i="92"/>
  <c r="M49" i="92"/>
  <c r="K48" i="95"/>
  <c r="M52" i="92"/>
  <c r="M50" i="92"/>
  <c r="C52" i="92"/>
  <c r="C49" i="92"/>
  <c r="M46" i="92"/>
  <c r="AA33" i="37"/>
  <c r="C50" i="92"/>
  <c r="C46" i="92"/>
  <c r="M48" i="92"/>
  <c r="AY27" i="37"/>
  <c r="C48" i="92"/>
  <c r="C58" i="91"/>
  <c r="C55" i="91"/>
  <c r="C56" i="91"/>
  <c r="C54" i="91"/>
  <c r="C59" i="91"/>
  <c r="C46" i="47"/>
  <c r="C46" i="88"/>
  <c r="C52" i="91"/>
  <c r="C53" i="47"/>
  <c r="C53" i="90"/>
  <c r="C52" i="90"/>
  <c r="C52" i="47"/>
  <c r="C50" i="47"/>
  <c r="C50" i="88"/>
  <c r="C49" i="47"/>
  <c r="C48" i="88"/>
  <c r="G48" i="88"/>
  <c r="G48" i="47"/>
  <c r="G49" i="88"/>
  <c r="G49" i="47"/>
  <c r="G53" i="88"/>
  <c r="G53" i="47"/>
  <c r="G46" i="88"/>
  <c r="G52" i="88"/>
  <c r="G52" i="47"/>
  <c r="G50" i="88"/>
  <c r="G50" i="47"/>
  <c r="S51" i="14"/>
  <c r="DX32" i="68"/>
  <c r="EB32" i="68" s="1"/>
  <c r="EB33" i="68"/>
  <c r="DX27" i="68"/>
  <c r="EB27" i="68" s="1"/>
  <c r="EB33" i="64"/>
  <c r="DX27" i="64"/>
  <c r="EB27" i="64" s="1"/>
  <c r="DX32" i="64"/>
  <c r="EB32" i="64" s="1"/>
  <c r="DQ32" i="68"/>
  <c r="DU32" i="68" s="1"/>
  <c r="DU33" i="68"/>
  <c r="DQ27" i="68"/>
  <c r="DU27" i="68" s="1"/>
  <c r="DQ32" i="64"/>
  <c r="DU32" i="64" s="1"/>
  <c r="DQ27" i="64"/>
  <c r="DU27" i="64" s="1"/>
  <c r="DU33" i="64"/>
  <c r="S49" i="14"/>
  <c r="DN33" i="68"/>
  <c r="DJ27" i="68"/>
  <c r="DN27" i="68" s="1"/>
  <c r="DJ32" i="68"/>
  <c r="DN32" i="68" s="1"/>
  <c r="DN33" i="64"/>
  <c r="DJ27" i="64"/>
  <c r="DN27" i="64" s="1"/>
  <c r="DJ32" i="64"/>
  <c r="DN32" i="64" s="1"/>
  <c r="CV27" i="68"/>
  <c r="CZ27" i="68" s="1"/>
  <c r="CZ33" i="68"/>
  <c r="CV32" i="68"/>
  <c r="CZ32" i="68" s="1"/>
  <c r="CZ33" i="64"/>
  <c r="CV32" i="64"/>
  <c r="CZ32" i="64" s="1"/>
  <c r="CV27" i="64"/>
  <c r="CZ27" i="64" s="1"/>
  <c r="S45" i="14"/>
  <c r="CH27" i="68"/>
  <c r="CL27" i="68" s="1"/>
  <c r="CL33" i="68"/>
  <c r="CH32" i="68"/>
  <c r="CL32" i="68" s="1"/>
  <c r="CL33" i="64"/>
  <c r="CH32" i="64"/>
  <c r="CL32" i="64" s="1"/>
  <c r="CH27" i="64"/>
  <c r="CL27" i="64" s="1"/>
  <c r="S43" i="14"/>
  <c r="BT32" i="68"/>
  <c r="BX32" i="68" s="1"/>
  <c r="BX33" i="68"/>
  <c r="BT27" i="68"/>
  <c r="BX27" i="68" s="1"/>
  <c r="BX33" i="64"/>
  <c r="BT27" i="64"/>
  <c r="BX27" i="64" s="1"/>
  <c r="BT32" i="64"/>
  <c r="BX32" i="64" s="1"/>
  <c r="DC32" i="68"/>
  <c r="DG32" i="68" s="1"/>
  <c r="DG33" i="68"/>
  <c r="DC27" i="68"/>
  <c r="DG27" i="68" s="1"/>
  <c r="DG33" i="64"/>
  <c r="DC32" i="64"/>
  <c r="DG32" i="64" s="1"/>
  <c r="DC27" i="64"/>
  <c r="DG27" i="64" s="1"/>
  <c r="CS33" i="68"/>
  <c r="CO32" i="68"/>
  <c r="CS32" i="68" s="1"/>
  <c r="CO27" i="68"/>
  <c r="CS27" i="68" s="1"/>
  <c r="CS33" i="64"/>
  <c r="CO32" i="64"/>
  <c r="CS32" i="64" s="1"/>
  <c r="CO27" i="64"/>
  <c r="CS27" i="64" s="1"/>
  <c r="S44" i="14"/>
  <c r="CA27" i="68"/>
  <c r="CE27" i="68" s="1"/>
  <c r="CA32" i="68"/>
  <c r="CE32" i="68" s="1"/>
  <c r="CE33" i="68"/>
  <c r="CE33" i="64"/>
  <c r="CA32" i="64"/>
  <c r="CE32" i="64" s="1"/>
  <c r="CA27" i="64"/>
  <c r="CE27" i="64" s="1"/>
  <c r="S42" i="14"/>
  <c r="BM27" i="68"/>
  <c r="BQ27" i="68" s="1"/>
  <c r="BQ33" i="68"/>
  <c r="BM32" i="68"/>
  <c r="BQ32" i="68" s="1"/>
  <c r="BQ33" i="64"/>
  <c r="BM32" i="64"/>
  <c r="BQ32" i="64" s="1"/>
  <c r="BM27" i="64"/>
  <c r="BQ27" i="64" s="1"/>
  <c r="S41" i="14"/>
  <c r="BJ33" i="68"/>
  <c r="BF27" i="68"/>
  <c r="BJ27" i="68" s="1"/>
  <c r="BF32" i="68"/>
  <c r="BJ32" i="68" s="1"/>
  <c r="BF27" i="64"/>
  <c r="BJ27" i="64" s="1"/>
  <c r="BF32" i="64"/>
  <c r="BJ32" i="64" s="1"/>
  <c r="BJ33" i="64"/>
  <c r="AV33" i="68"/>
  <c r="AR32" i="68"/>
  <c r="AV32" i="68" s="1"/>
  <c r="AR27" i="68"/>
  <c r="AV27" i="68" s="1"/>
  <c r="AR32" i="64"/>
  <c r="AV32" i="64" s="1"/>
  <c r="AR27" i="64"/>
  <c r="AV27" i="64" s="1"/>
  <c r="AV33" i="64"/>
  <c r="AD27" i="68"/>
  <c r="AH27" i="68" s="1"/>
  <c r="AH33" i="68"/>
  <c r="AD32" i="68"/>
  <c r="AH32" i="68" s="1"/>
  <c r="AD32" i="64"/>
  <c r="AH32" i="64" s="1"/>
  <c r="AH33" i="64"/>
  <c r="AD27" i="64"/>
  <c r="AH27" i="64" s="1"/>
  <c r="T33" i="68"/>
  <c r="P27" i="68"/>
  <c r="T27" i="68" s="1"/>
  <c r="P32" i="68"/>
  <c r="T32" i="68" s="1"/>
  <c r="S40" i="14"/>
  <c r="AY32" i="68"/>
  <c r="BC32" i="68" s="1"/>
  <c r="BC33" i="68"/>
  <c r="AY27" i="68"/>
  <c r="BC27" i="68" s="1"/>
  <c r="AY32" i="64"/>
  <c r="BC32" i="64" s="1"/>
  <c r="BC33" i="64"/>
  <c r="AY27" i="64"/>
  <c r="BC27" i="64" s="1"/>
  <c r="AK27" i="64"/>
  <c r="AO27" i="64" s="1"/>
  <c r="AO33" i="64"/>
  <c r="AK32" i="64"/>
  <c r="AO32" i="64" s="1"/>
  <c r="S36" i="14"/>
  <c r="W27" i="64"/>
  <c r="AA27" i="64" s="1"/>
  <c r="W32" i="64"/>
  <c r="AA32" i="64" s="1"/>
  <c r="AA33" i="64"/>
  <c r="M33" i="64"/>
  <c r="S37" i="14"/>
  <c r="S35" i="14"/>
  <c r="S39" i="14"/>
  <c r="DN32" i="37"/>
  <c r="S47" i="14"/>
  <c r="CZ32" i="37"/>
  <c r="S46" i="14"/>
  <c r="CS27" i="37"/>
  <c r="EB32" i="37"/>
  <c r="S48" i="14"/>
  <c r="S50" i="14"/>
  <c r="S38" i="14"/>
  <c r="BX32" i="37"/>
  <c r="CL32" i="37"/>
  <c r="M58" i="91"/>
  <c r="BJ32" i="37"/>
  <c r="AV32" i="37"/>
  <c r="AH32" i="37"/>
  <c r="M52" i="91"/>
  <c r="M51" i="91"/>
  <c r="T32" i="37"/>
  <c r="P19" i="37"/>
  <c r="C67" i="97" l="1"/>
  <c r="T33" i="37"/>
  <c r="T26" i="37"/>
  <c r="T29" i="37"/>
  <c r="C59" i="92"/>
  <c r="M59" i="91"/>
  <c r="M57" i="91"/>
  <c r="M56" i="91"/>
  <c r="M55" i="91"/>
  <c r="M54" i="91"/>
  <c r="M47" i="90"/>
  <c r="M53" i="91"/>
  <c r="C71" i="91" s="1"/>
  <c r="M46" i="88"/>
  <c r="M46" i="90"/>
  <c r="M48" i="90"/>
  <c r="M46" i="47"/>
  <c r="M47" i="47"/>
  <c r="M53" i="88"/>
  <c r="M53" i="90"/>
  <c r="M53" i="47"/>
  <c r="M52" i="90"/>
  <c r="M52" i="47"/>
  <c r="M51" i="90"/>
  <c r="M51" i="47"/>
  <c r="M50" i="90"/>
  <c r="M50" i="47"/>
  <c r="M49" i="90"/>
  <c r="M49" i="47"/>
  <c r="M48" i="47"/>
  <c r="M45" i="88"/>
  <c r="M45" i="90"/>
  <c r="M45" i="47"/>
  <c r="M52" i="88"/>
  <c r="M47" i="88"/>
  <c r="M48" i="88"/>
  <c r="M50" i="88"/>
  <c r="M51" i="88"/>
  <c r="M49" i="88"/>
  <c r="K16" i="86"/>
  <c r="K20" i="86"/>
  <c r="K19" i="86"/>
  <c r="K18" i="86"/>
  <c r="K17" i="86"/>
  <c r="K49" i="81"/>
  <c r="K49" i="80"/>
  <c r="K48" i="80"/>
  <c r="K48" i="81"/>
  <c r="K47" i="81"/>
  <c r="K47" i="80"/>
  <c r="K46" i="80"/>
  <c r="K46" i="81"/>
  <c r="K45" i="81"/>
  <c r="K45" i="80"/>
  <c r="K44" i="81"/>
  <c r="K44" i="80"/>
  <c r="K43" i="81"/>
  <c r="K43" i="80"/>
  <c r="K42" i="80"/>
  <c r="K42" i="81"/>
  <c r="K41" i="81"/>
  <c r="K41" i="80"/>
  <c r="F69" i="14"/>
  <c r="K49" i="67"/>
  <c r="K48" i="67"/>
  <c r="K47" i="67"/>
  <c r="K46" i="67"/>
  <c r="K45" i="67"/>
  <c r="K44" i="67"/>
  <c r="K43" i="67"/>
  <c r="K42" i="67"/>
  <c r="K41" i="67"/>
  <c r="K17" i="70"/>
  <c r="K13" i="70"/>
  <c r="K19" i="70"/>
  <c r="K18" i="70"/>
  <c r="K15" i="70"/>
  <c r="K14" i="70"/>
  <c r="K16" i="70"/>
  <c r="K17" i="61"/>
  <c r="K19" i="61"/>
  <c r="K18" i="61"/>
  <c r="M61" i="14"/>
  <c r="M62" i="14"/>
  <c r="M69" i="14"/>
  <c r="AD20" i="37"/>
  <c r="P20" i="37"/>
  <c r="BF19" i="37"/>
  <c r="E34" i="47"/>
  <c r="E33" i="47"/>
  <c r="E28" i="47"/>
  <c r="E21" i="47"/>
  <c r="E16" i="47"/>
  <c r="E12" i="47"/>
  <c r="E9" i="47"/>
  <c r="E8" i="47"/>
  <c r="AD27" i="37" l="1"/>
  <c r="AH27" i="37" s="1"/>
  <c r="BJ33" i="37"/>
  <c r="C68" i="88"/>
  <c r="C73" i="91"/>
  <c r="C67" i="88"/>
  <c r="C72" i="91"/>
  <c r="C66" i="88"/>
  <c r="T27" i="37"/>
  <c r="C59" i="47"/>
  <c r="J20" i="70" s="1"/>
  <c r="C59" i="90"/>
  <c r="E23" i="86"/>
  <c r="C64" i="81"/>
  <c r="C63" i="81"/>
  <c r="C62" i="81"/>
  <c r="C53" i="80"/>
  <c r="C54" i="80"/>
  <c r="C53" i="67"/>
  <c r="C54" i="67"/>
  <c r="K69" i="14"/>
  <c r="AD19" i="37"/>
  <c r="G15" i="69" l="1"/>
  <c r="G18" i="105"/>
  <c r="G14" i="69"/>
  <c r="G17" i="105"/>
  <c r="G16" i="105"/>
  <c r="AH33" i="37"/>
  <c r="L16" i="44"/>
  <c r="T16" i="44"/>
  <c r="AB16" i="44"/>
  <c r="L19" i="44"/>
  <c r="T19" i="44"/>
  <c r="U19" i="44" s="1"/>
  <c r="AB19" i="44"/>
  <c r="M112" i="46"/>
  <c r="L112" i="46"/>
  <c r="M110" i="46"/>
  <c r="L110" i="46"/>
  <c r="M108" i="46"/>
  <c r="L108" i="46"/>
  <c r="M106" i="46"/>
  <c r="L106" i="46"/>
  <c r="M86" i="46"/>
  <c r="L86" i="46"/>
  <c r="M84" i="46"/>
  <c r="L84" i="46"/>
  <c r="M82" i="46"/>
  <c r="L82" i="46"/>
  <c r="M80" i="46"/>
  <c r="L80" i="46"/>
  <c r="M59" i="46"/>
  <c r="L59" i="46"/>
  <c r="M57" i="46"/>
  <c r="L57" i="46"/>
  <c r="M55" i="46"/>
  <c r="L55" i="46"/>
  <c r="M53" i="46"/>
  <c r="L53" i="46"/>
  <c r="M76" i="45"/>
  <c r="L76" i="45"/>
  <c r="M74" i="45"/>
  <c r="L74" i="45"/>
  <c r="M72" i="45"/>
  <c r="L72" i="45"/>
  <c r="M70" i="45"/>
  <c r="L70" i="45"/>
  <c r="M68" i="45"/>
  <c r="L68" i="45"/>
  <c r="M66" i="45"/>
  <c r="L66" i="45"/>
  <c r="M64" i="45"/>
  <c r="L64" i="45"/>
  <c r="M62" i="45"/>
  <c r="L62" i="45"/>
  <c r="M60" i="45"/>
  <c r="L60" i="45"/>
  <c r="M58" i="45"/>
  <c r="L58" i="45"/>
  <c r="M120" i="45"/>
  <c r="L120" i="45"/>
  <c r="M118" i="45"/>
  <c r="L118" i="45"/>
  <c r="M116" i="45"/>
  <c r="L116" i="45"/>
  <c r="M114" i="45"/>
  <c r="L114" i="45"/>
  <c r="M112" i="45"/>
  <c r="L112" i="45"/>
  <c r="M110" i="45"/>
  <c r="L110" i="45"/>
  <c r="M108" i="45"/>
  <c r="L108" i="45"/>
  <c r="M106" i="45"/>
  <c r="L106" i="45"/>
  <c r="M104" i="45"/>
  <c r="L104" i="45"/>
  <c r="M102" i="45"/>
  <c r="L102" i="45"/>
  <c r="I15" i="44"/>
  <c r="M37" i="37"/>
  <c r="N86" i="46" l="1"/>
  <c r="N108" i="46"/>
  <c r="N112" i="46"/>
  <c r="N57" i="46"/>
  <c r="N80" i="46"/>
  <c r="N84" i="46"/>
  <c r="O55" i="46"/>
  <c r="O59" i="46"/>
  <c r="O82" i="46"/>
  <c r="N82" i="46"/>
  <c r="N106" i="46"/>
  <c r="N110" i="46"/>
  <c r="O108" i="46"/>
  <c r="O112" i="46"/>
  <c r="O110" i="46"/>
  <c r="N55" i="46"/>
  <c r="N53" i="46"/>
  <c r="O57" i="46"/>
  <c r="O86" i="46"/>
  <c r="N59" i="46"/>
  <c r="O84" i="46"/>
  <c r="N104" i="45"/>
  <c r="O120" i="45"/>
  <c r="N108" i="45"/>
  <c r="N112" i="45"/>
  <c r="N116" i="45"/>
  <c r="N120" i="45"/>
  <c r="N60" i="45"/>
  <c r="N64" i="45"/>
  <c r="N68" i="45"/>
  <c r="N76" i="45"/>
  <c r="O62" i="45"/>
  <c r="O74" i="45"/>
  <c r="N58" i="45"/>
  <c r="N62" i="45"/>
  <c r="N66" i="45"/>
  <c r="N70" i="45"/>
  <c r="N74" i="45"/>
  <c r="O66" i="45"/>
  <c r="O70" i="45"/>
  <c r="O60" i="45"/>
  <c r="O64" i="45"/>
  <c r="O68" i="45"/>
  <c r="O72" i="45"/>
  <c r="O76" i="45"/>
  <c r="N72" i="45"/>
  <c r="N102" i="45"/>
  <c r="N106" i="45"/>
  <c r="N110" i="45"/>
  <c r="N114" i="45"/>
  <c r="N118" i="45"/>
  <c r="O104" i="45"/>
  <c r="O106" i="45"/>
  <c r="O108" i="45"/>
  <c r="O110" i="45"/>
  <c r="O112" i="45"/>
  <c r="O114" i="45"/>
  <c r="O116" i="45"/>
  <c r="O118" i="45"/>
  <c r="C127" i="44" l="1"/>
  <c r="Q17" i="44" s="1"/>
  <c r="C157" i="44"/>
  <c r="Q18" i="44" s="1"/>
  <c r="C76" i="44"/>
  <c r="I16" i="44" s="1"/>
  <c r="M16" i="44" s="1"/>
  <c r="E92" i="44"/>
  <c r="F143" i="44"/>
  <c r="F173" i="44"/>
  <c r="F171" i="44"/>
  <c r="F141" i="44"/>
  <c r="F145" i="44"/>
  <c r="F175" i="44"/>
  <c r="C125" i="44"/>
  <c r="I17" i="44" s="1"/>
  <c r="C155" i="44"/>
  <c r="I18" i="44" s="1"/>
  <c r="G95" i="45"/>
  <c r="C78" i="44"/>
  <c r="Q16" i="44" s="1"/>
  <c r="U16" i="44" s="1"/>
  <c r="E94" i="44"/>
  <c r="C159" i="44"/>
  <c r="Y18" i="44" s="1"/>
  <c r="C129" i="44"/>
  <c r="Y17" i="44" s="1"/>
  <c r="G43" i="45"/>
  <c r="G51" i="45"/>
  <c r="E47" i="45"/>
  <c r="E43" i="45"/>
  <c r="I47" i="45"/>
  <c r="I51" i="45"/>
  <c r="E51" i="45"/>
  <c r="I43" i="45"/>
  <c r="E87" i="45"/>
  <c r="I95" i="45"/>
  <c r="E91" i="45"/>
  <c r="I87" i="45"/>
  <c r="E95" i="45"/>
  <c r="G87" i="45"/>
  <c r="I91" i="45"/>
  <c r="L148" i="45"/>
  <c r="N16" i="44" l="1"/>
  <c r="V16" i="44"/>
  <c r="L150" i="45"/>
  <c r="L152" i="45"/>
  <c r="L154" i="45"/>
  <c r="L156" i="45"/>
  <c r="L158" i="45"/>
  <c r="L160" i="45"/>
  <c r="L162" i="45"/>
  <c r="L164" i="45"/>
  <c r="M164" i="45"/>
  <c r="M162" i="45"/>
  <c r="M160" i="45"/>
  <c r="M158" i="45"/>
  <c r="M156" i="45"/>
  <c r="M154" i="45"/>
  <c r="M152" i="45"/>
  <c r="M150" i="45"/>
  <c r="M148" i="45"/>
  <c r="M146" i="45"/>
  <c r="L146" i="45"/>
  <c r="O148" i="45" s="1"/>
  <c r="AD23" i="44"/>
  <c r="V23" i="44"/>
  <c r="N23" i="44"/>
  <c r="AB18" i="44"/>
  <c r="AC18" i="44" s="1"/>
  <c r="AD18" i="44" s="1"/>
  <c r="T18" i="44"/>
  <c r="U18" i="44" s="1"/>
  <c r="V18" i="44" s="1"/>
  <c r="L18" i="44"/>
  <c r="M18" i="44" s="1"/>
  <c r="N18" i="44" s="1"/>
  <c r="AB17" i="44"/>
  <c r="AC17" i="44" s="1"/>
  <c r="AD17" i="44" s="1"/>
  <c r="T17" i="44"/>
  <c r="U17" i="44" s="1"/>
  <c r="V17" i="44" s="1"/>
  <c r="L17" i="44"/>
  <c r="M17" i="44" s="1"/>
  <c r="N17" i="44" s="1"/>
  <c r="AB15" i="44"/>
  <c r="AD15" i="44" s="1"/>
  <c r="T15" i="44"/>
  <c r="V15" i="44" s="1"/>
  <c r="L15" i="44"/>
  <c r="N15" i="44" s="1"/>
  <c r="E96" i="44" l="1"/>
  <c r="O162" i="45"/>
  <c r="G139" i="45" s="1"/>
  <c r="O154" i="45"/>
  <c r="I131" i="45" s="1"/>
  <c r="O160" i="45"/>
  <c r="E139" i="45" s="1"/>
  <c r="O152" i="45"/>
  <c r="G131" i="45" s="1"/>
  <c r="O158" i="45"/>
  <c r="I135" i="45" s="1"/>
  <c r="O150" i="45"/>
  <c r="O164" i="45"/>
  <c r="I139" i="45" s="1"/>
  <c r="O156" i="45"/>
  <c r="E135" i="45" s="1"/>
  <c r="N148" i="45"/>
  <c r="N154" i="45"/>
  <c r="N158" i="45"/>
  <c r="N146" i="45"/>
  <c r="N160" i="45"/>
  <c r="N164" i="45"/>
  <c r="N152" i="45"/>
  <c r="N162" i="45"/>
  <c r="N156" i="45"/>
  <c r="N150" i="45"/>
  <c r="C80" i="44" l="1"/>
  <c r="Y16" i="44" s="1"/>
  <c r="AC16" i="44" s="1"/>
  <c r="AD16" i="44" s="1"/>
  <c r="E131" i="45"/>
  <c r="DQ18" i="37" l="1"/>
  <c r="DT33" i="37"/>
  <c r="DQ33" i="37"/>
  <c r="DT32" i="37"/>
  <c r="DT31" i="37"/>
  <c r="DT30" i="37"/>
  <c r="DT29" i="37"/>
  <c r="DT28" i="37"/>
  <c r="DT27" i="37"/>
  <c r="DU27" i="37" s="1"/>
  <c r="DT26" i="37"/>
  <c r="DF33" i="37"/>
  <c r="DC33" i="37"/>
  <c r="DF32" i="37"/>
  <c r="DF31" i="37"/>
  <c r="DF30" i="37"/>
  <c r="DF29" i="37"/>
  <c r="DF28" i="37"/>
  <c r="DF27" i="37"/>
  <c r="DG27" i="37" s="1"/>
  <c r="DF26" i="37"/>
  <c r="CO21" i="37"/>
  <c r="CO32" i="37" s="1"/>
  <c r="CO18" i="37"/>
  <c r="CO33" i="37"/>
  <c r="CS33" i="37" s="1"/>
  <c r="CA18" i="37"/>
  <c r="CD33" i="37"/>
  <c r="CA33" i="37"/>
  <c r="CD32" i="37"/>
  <c r="CE32" i="37" s="1"/>
  <c r="CD31" i="37"/>
  <c r="CD30" i="37"/>
  <c r="CD29" i="37"/>
  <c r="CD28" i="37"/>
  <c r="CD27" i="37"/>
  <c r="CD26" i="37"/>
  <c r="CD25" i="37"/>
  <c r="DU37" i="37"/>
  <c r="DG37" i="37"/>
  <c r="CE37" i="37"/>
  <c r="BQ37" i="37"/>
  <c r="BC37" i="37"/>
  <c r="AO37" i="37"/>
  <c r="BM21" i="37"/>
  <c r="BM32" i="37" s="1"/>
  <c r="BM18" i="37"/>
  <c r="BP33" i="37"/>
  <c r="BM33" i="37"/>
  <c r="BP32" i="37"/>
  <c r="BP31" i="37"/>
  <c r="BP30" i="37"/>
  <c r="BP29" i="37"/>
  <c r="BP28" i="37"/>
  <c r="BP27" i="37"/>
  <c r="BP26" i="37"/>
  <c r="BP25" i="37"/>
  <c r="AY21" i="37"/>
  <c r="AY32" i="37" s="1"/>
  <c r="AY18" i="37"/>
  <c r="BB33" i="37"/>
  <c r="AY33" i="37"/>
  <c r="BB32" i="37"/>
  <c r="BB31" i="37"/>
  <c r="BB30" i="37"/>
  <c r="BB29" i="37"/>
  <c r="BB28" i="37"/>
  <c r="BB27" i="37"/>
  <c r="BB26" i="37"/>
  <c r="BB25" i="37"/>
  <c r="AK21" i="37"/>
  <c r="AK32" i="37" s="1"/>
  <c r="AK18" i="37"/>
  <c r="AN33" i="37"/>
  <c r="AK33" i="37"/>
  <c r="AN32" i="37"/>
  <c r="AN31" i="37"/>
  <c r="AN30" i="37"/>
  <c r="AN29" i="37"/>
  <c r="AN28" i="37"/>
  <c r="AN27" i="37"/>
  <c r="AN26" i="37"/>
  <c r="AN25" i="37"/>
  <c r="DG33" i="37" l="1"/>
  <c r="BQ33" i="37"/>
  <c r="AO33" i="37"/>
  <c r="BC33" i="37"/>
  <c r="CS32" i="37"/>
  <c r="DU32" i="37"/>
  <c r="DG32" i="37"/>
  <c r="BC32" i="37"/>
  <c r="BQ32" i="37"/>
  <c r="I21" i="37"/>
  <c r="I32" i="37" s="1"/>
  <c r="L33" i="37"/>
  <c r="M33" i="37" s="1"/>
  <c r="L32" i="37"/>
  <c r="L31" i="37"/>
  <c r="L30" i="37"/>
  <c r="L29" i="37"/>
  <c r="L28" i="37"/>
  <c r="L27" i="37"/>
  <c r="M27" i="37" s="1"/>
  <c r="L26" i="37"/>
  <c r="L25" i="37"/>
  <c r="M32" i="37" l="1"/>
  <c r="L26" i="38" l="1"/>
  <c r="N26" i="38"/>
  <c r="J26" i="38"/>
  <c r="Q131" i="41"/>
  <c r="P131" i="41"/>
  <c r="O131" i="41"/>
  <c r="N131" i="41"/>
  <c r="M131" i="41"/>
  <c r="F131" i="41"/>
  <c r="E131" i="41"/>
  <c r="D131" i="41"/>
  <c r="C131" i="41"/>
  <c r="B131" i="41"/>
  <c r="Q130" i="41"/>
  <c r="P130" i="41"/>
  <c r="O130" i="41"/>
  <c r="N130" i="41"/>
  <c r="M130" i="41"/>
  <c r="F130" i="41"/>
  <c r="E130" i="41"/>
  <c r="D130" i="41"/>
  <c r="C130" i="41"/>
  <c r="B130" i="41"/>
  <c r="H129" i="41"/>
  <c r="J129" i="41" s="1"/>
  <c r="H128" i="41"/>
  <c r="J128" i="41" s="1"/>
  <c r="H127" i="41"/>
  <c r="J127" i="41" s="1"/>
  <c r="H126" i="41"/>
  <c r="J126" i="41" s="1"/>
  <c r="H125" i="41"/>
  <c r="J125" i="41" s="1"/>
  <c r="H124" i="41"/>
  <c r="J124" i="41" s="1"/>
  <c r="H123" i="41"/>
  <c r="J123" i="41" s="1"/>
  <c r="H122" i="41"/>
  <c r="J122" i="41" s="1"/>
  <c r="H121" i="41"/>
  <c r="J121" i="41" s="1"/>
  <c r="H120" i="41"/>
  <c r="Q118" i="41"/>
  <c r="P118" i="41"/>
  <c r="O118" i="41"/>
  <c r="N118" i="41"/>
  <c r="M118" i="41"/>
  <c r="F118" i="41"/>
  <c r="E118" i="41"/>
  <c r="D118" i="41"/>
  <c r="C118" i="41"/>
  <c r="B118" i="41"/>
  <c r="Q117" i="41"/>
  <c r="P117" i="41"/>
  <c r="O117" i="41"/>
  <c r="N117" i="41"/>
  <c r="M117" i="41"/>
  <c r="F117" i="41"/>
  <c r="E117" i="41"/>
  <c r="D117" i="41"/>
  <c r="C117" i="41"/>
  <c r="B117" i="41"/>
  <c r="H116" i="41"/>
  <c r="J116" i="41" s="1"/>
  <c r="H115" i="41"/>
  <c r="J115" i="41" s="1"/>
  <c r="H114" i="41"/>
  <c r="J114" i="41" s="1"/>
  <c r="H113" i="41"/>
  <c r="J113" i="41" s="1"/>
  <c r="H112" i="41"/>
  <c r="J112" i="41" s="1"/>
  <c r="H111" i="41"/>
  <c r="J111" i="41" s="1"/>
  <c r="H110" i="41"/>
  <c r="J110" i="41" s="1"/>
  <c r="H109" i="41"/>
  <c r="J109" i="41" s="1"/>
  <c r="H108" i="41"/>
  <c r="J108" i="41" s="1"/>
  <c r="H107" i="41"/>
  <c r="J107" i="41" s="1"/>
  <c r="Q105" i="41"/>
  <c r="P105" i="41"/>
  <c r="O105" i="41"/>
  <c r="N105" i="41"/>
  <c r="M105" i="41"/>
  <c r="F105" i="41"/>
  <c r="E105" i="41"/>
  <c r="D105" i="41"/>
  <c r="C105" i="41"/>
  <c r="B105" i="41"/>
  <c r="Q104" i="41"/>
  <c r="P104" i="41"/>
  <c r="O104" i="41"/>
  <c r="N104" i="41"/>
  <c r="M104" i="41"/>
  <c r="F104" i="41"/>
  <c r="E104" i="41"/>
  <c r="D104" i="41"/>
  <c r="C104" i="41"/>
  <c r="B104" i="41"/>
  <c r="H103" i="41"/>
  <c r="J103" i="41" s="1"/>
  <c r="H102" i="41"/>
  <c r="J102" i="41" s="1"/>
  <c r="H101" i="41"/>
  <c r="J101" i="41" s="1"/>
  <c r="H100" i="41"/>
  <c r="J100" i="41" s="1"/>
  <c r="H99" i="41"/>
  <c r="J99" i="41" s="1"/>
  <c r="H98" i="41"/>
  <c r="J98" i="41" s="1"/>
  <c r="H97" i="41"/>
  <c r="J97" i="41" s="1"/>
  <c r="H96" i="41"/>
  <c r="J96" i="41" s="1"/>
  <c r="H95" i="41"/>
  <c r="H94" i="41"/>
  <c r="J94" i="41" s="1"/>
  <c r="Q92" i="41"/>
  <c r="P92" i="41"/>
  <c r="O92" i="41"/>
  <c r="N92" i="41"/>
  <c r="M92" i="41"/>
  <c r="F92" i="41"/>
  <c r="E92" i="41"/>
  <c r="D92" i="41"/>
  <c r="C92" i="41"/>
  <c r="B92" i="41"/>
  <c r="Q91" i="41"/>
  <c r="P91" i="41"/>
  <c r="O91" i="41"/>
  <c r="N91" i="41"/>
  <c r="M91" i="41"/>
  <c r="F91" i="41"/>
  <c r="E91" i="41"/>
  <c r="D91" i="41"/>
  <c r="D93" i="41" s="1"/>
  <c r="C91" i="41"/>
  <c r="B91" i="41"/>
  <c r="H90" i="41"/>
  <c r="J90" i="41" s="1"/>
  <c r="H89" i="41"/>
  <c r="J89" i="41" s="1"/>
  <c r="H88" i="41"/>
  <c r="J88" i="41" s="1"/>
  <c r="H87" i="41"/>
  <c r="J87" i="41" s="1"/>
  <c r="H86" i="41"/>
  <c r="J86" i="41" s="1"/>
  <c r="H85" i="41"/>
  <c r="J85" i="41" s="1"/>
  <c r="H84" i="41"/>
  <c r="J84" i="41" s="1"/>
  <c r="H83" i="41"/>
  <c r="J83" i="41" s="1"/>
  <c r="H82" i="41"/>
  <c r="J82" i="41" s="1"/>
  <c r="H81" i="41"/>
  <c r="Q79" i="41"/>
  <c r="P79" i="41"/>
  <c r="O79" i="41"/>
  <c r="N79" i="41"/>
  <c r="M79" i="41"/>
  <c r="F79" i="41"/>
  <c r="E79" i="41"/>
  <c r="D79" i="41"/>
  <c r="C79" i="41"/>
  <c r="B79" i="41"/>
  <c r="Q78" i="41"/>
  <c r="P78" i="41"/>
  <c r="O78" i="41"/>
  <c r="N78" i="41"/>
  <c r="M78" i="41"/>
  <c r="F78" i="41"/>
  <c r="E78" i="41"/>
  <c r="D78" i="41"/>
  <c r="C78" i="41"/>
  <c r="B78" i="41"/>
  <c r="H77" i="41"/>
  <c r="J77" i="41" s="1"/>
  <c r="H76" i="41"/>
  <c r="J76" i="41" s="1"/>
  <c r="H75" i="41"/>
  <c r="J75" i="41" s="1"/>
  <c r="H74" i="41"/>
  <c r="J74" i="41" s="1"/>
  <c r="H73" i="41"/>
  <c r="J73" i="41" s="1"/>
  <c r="H72" i="41"/>
  <c r="J72" i="41" s="1"/>
  <c r="H71" i="41"/>
  <c r="J71" i="41" s="1"/>
  <c r="H70" i="41"/>
  <c r="J70" i="41" s="1"/>
  <c r="H69" i="41"/>
  <c r="J69" i="41" s="1"/>
  <c r="H68" i="41"/>
  <c r="E46" i="41"/>
  <c r="E45" i="41"/>
  <c r="E44" i="41"/>
  <c r="E43" i="41"/>
  <c r="E42" i="41"/>
  <c r="E41" i="41"/>
  <c r="I33" i="41"/>
  <c r="F26" i="41"/>
  <c r="E26" i="41"/>
  <c r="F25" i="41"/>
  <c r="E25" i="41"/>
  <c r="D12" i="41"/>
  <c r="J21" i="38"/>
  <c r="L21" i="38"/>
  <c r="N21" i="38"/>
  <c r="I27" i="38"/>
  <c r="J27" i="38"/>
  <c r="L27" i="38"/>
  <c r="N27" i="38"/>
  <c r="J28" i="38"/>
  <c r="L28" i="38"/>
  <c r="N28" i="38"/>
  <c r="J19" i="38"/>
  <c r="L19" i="38"/>
  <c r="M19" i="38"/>
  <c r="N19" i="38"/>
  <c r="J20" i="38"/>
  <c r="L20" i="38"/>
  <c r="M20" i="38"/>
  <c r="N20" i="38"/>
  <c r="C276" i="38"/>
  <c r="I28" i="38" s="1"/>
  <c r="P71" i="39"/>
  <c r="O38" i="26"/>
  <c r="Q84" i="39"/>
  <c r="P84" i="39"/>
  <c r="O84" i="39"/>
  <c r="N84" i="39"/>
  <c r="M84" i="39"/>
  <c r="F84" i="39"/>
  <c r="E84" i="39"/>
  <c r="D84" i="39"/>
  <c r="C84" i="39"/>
  <c r="B84" i="39"/>
  <c r="Q83" i="39"/>
  <c r="P83" i="39"/>
  <c r="O83" i="39"/>
  <c r="N83" i="39"/>
  <c r="M83" i="39"/>
  <c r="F83" i="39"/>
  <c r="E83" i="39"/>
  <c r="D83" i="39"/>
  <c r="C83" i="39"/>
  <c r="B83" i="39"/>
  <c r="H82" i="39"/>
  <c r="J82" i="39" s="1"/>
  <c r="H81" i="39"/>
  <c r="J81" i="39" s="1"/>
  <c r="H80" i="39"/>
  <c r="J80" i="39" s="1"/>
  <c r="H79" i="39"/>
  <c r="J79" i="39" s="1"/>
  <c r="H78" i="39"/>
  <c r="J78" i="39" s="1"/>
  <c r="H77" i="39"/>
  <c r="J77" i="39" s="1"/>
  <c r="H76" i="39"/>
  <c r="J76" i="39" s="1"/>
  <c r="H75" i="39"/>
  <c r="H74" i="39"/>
  <c r="J74" i="39" s="1"/>
  <c r="H73" i="39"/>
  <c r="J73" i="39" s="1"/>
  <c r="Q71" i="39"/>
  <c r="O71" i="39"/>
  <c r="N71" i="39"/>
  <c r="M71" i="39"/>
  <c r="M72" i="39" s="1"/>
  <c r="F71" i="39"/>
  <c r="E71" i="39"/>
  <c r="D71" i="39"/>
  <c r="C71" i="39"/>
  <c r="B71" i="39"/>
  <c r="Q70" i="39"/>
  <c r="O70" i="39"/>
  <c r="N70" i="39"/>
  <c r="F70" i="39"/>
  <c r="E70" i="39"/>
  <c r="D70" i="39"/>
  <c r="C70" i="39"/>
  <c r="B70" i="39"/>
  <c r="H69" i="39"/>
  <c r="J69" i="39" s="1"/>
  <c r="E47" i="39"/>
  <c r="E46" i="39"/>
  <c r="E45" i="39"/>
  <c r="E44" i="39"/>
  <c r="E43" i="39"/>
  <c r="E42" i="39"/>
  <c r="I34" i="39"/>
  <c r="C29" i="39"/>
  <c r="B29" i="39"/>
  <c r="A29" i="39"/>
  <c r="C28" i="39"/>
  <c r="B28" i="39"/>
  <c r="A28" i="39"/>
  <c r="C27" i="39"/>
  <c r="B27" i="39"/>
  <c r="A27" i="39"/>
  <c r="F26" i="39"/>
  <c r="E26" i="39"/>
  <c r="F25" i="39"/>
  <c r="E25" i="39"/>
  <c r="D12" i="39"/>
  <c r="D87" i="38"/>
  <c r="D88" i="38" s="1"/>
  <c r="D85" i="38"/>
  <c r="D86" i="38" s="1"/>
  <c r="D80" i="38"/>
  <c r="O32" i="38"/>
  <c r="F80" i="41" l="1"/>
  <c r="D80" i="41"/>
  <c r="B93" i="41"/>
  <c r="F93" i="41"/>
  <c r="B106" i="41"/>
  <c r="F106" i="41"/>
  <c r="C80" i="41"/>
  <c r="C164" i="38"/>
  <c r="B119" i="41"/>
  <c r="F119" i="41"/>
  <c r="P119" i="41"/>
  <c r="D132" i="41"/>
  <c r="T77" i="41"/>
  <c r="C106" i="41"/>
  <c r="E106" i="41"/>
  <c r="N132" i="41"/>
  <c r="S70" i="41"/>
  <c r="C119" i="41"/>
  <c r="Q119" i="41"/>
  <c r="E132" i="41"/>
  <c r="N93" i="41"/>
  <c r="D106" i="41"/>
  <c r="D119" i="41"/>
  <c r="B132" i="41"/>
  <c r="F132" i="41"/>
  <c r="B80" i="41"/>
  <c r="Q93" i="41"/>
  <c r="E93" i="41"/>
  <c r="E119" i="41"/>
  <c r="C132" i="41"/>
  <c r="Q132" i="41"/>
  <c r="M93" i="41"/>
  <c r="N106" i="41"/>
  <c r="P80" i="41"/>
  <c r="P132" i="41"/>
  <c r="O132" i="41"/>
  <c r="M132" i="41"/>
  <c r="M119" i="41"/>
  <c r="O106" i="41"/>
  <c r="T69" i="41"/>
  <c r="K72" i="41"/>
  <c r="S73" i="41"/>
  <c r="H78" i="41"/>
  <c r="H80" i="41" s="1"/>
  <c r="J91" i="41"/>
  <c r="J93" i="41" s="1"/>
  <c r="H104" i="41"/>
  <c r="H106" i="41" s="1"/>
  <c r="M106" i="41"/>
  <c r="Q106" i="41"/>
  <c r="N119" i="41"/>
  <c r="H130" i="41"/>
  <c r="H131" i="41" s="1"/>
  <c r="L75" i="41"/>
  <c r="I70" i="41"/>
  <c r="M80" i="41"/>
  <c r="Q80" i="41"/>
  <c r="O93" i="41"/>
  <c r="P106" i="41"/>
  <c r="O119" i="41"/>
  <c r="O80" i="41"/>
  <c r="J68" i="41"/>
  <c r="L68" i="41" s="1"/>
  <c r="T68" i="41"/>
  <c r="L69" i="41"/>
  <c r="K70" i="41"/>
  <c r="T71" i="41"/>
  <c r="I72" i="41"/>
  <c r="S72" i="41"/>
  <c r="L73" i="41"/>
  <c r="K74" i="41"/>
  <c r="J78" i="41"/>
  <c r="E80" i="41"/>
  <c r="N80" i="41"/>
  <c r="L128" i="41"/>
  <c r="L124" i="41"/>
  <c r="L114" i="41"/>
  <c r="L129" i="41"/>
  <c r="L125" i="41"/>
  <c r="L121" i="41"/>
  <c r="L115" i="41"/>
  <c r="L126" i="41"/>
  <c r="L122" i="41"/>
  <c r="L116" i="41"/>
  <c r="L112" i="41"/>
  <c r="L127" i="41"/>
  <c r="L123" i="41"/>
  <c r="L113" i="41"/>
  <c r="L110" i="41"/>
  <c r="L100" i="41"/>
  <c r="L96" i="41"/>
  <c r="L107" i="41"/>
  <c r="L101" i="41"/>
  <c r="L97" i="41"/>
  <c r="L108" i="41"/>
  <c r="L102" i="41"/>
  <c r="L98" i="41"/>
  <c r="L94" i="41"/>
  <c r="L89" i="41"/>
  <c r="L86" i="41"/>
  <c r="L82" i="41"/>
  <c r="L76" i="41"/>
  <c r="L90" i="41"/>
  <c r="L87" i="41"/>
  <c r="L83" i="41"/>
  <c r="L77" i="41"/>
  <c r="L111" i="41"/>
  <c r="L99" i="41"/>
  <c r="L88" i="41"/>
  <c r="L84" i="41"/>
  <c r="L74" i="41"/>
  <c r="L109" i="41"/>
  <c r="L103" i="41"/>
  <c r="L85" i="41"/>
  <c r="I129" i="41"/>
  <c r="T126" i="41"/>
  <c r="I125" i="41"/>
  <c r="T122" i="41"/>
  <c r="I121" i="41"/>
  <c r="T116" i="41"/>
  <c r="I115" i="41"/>
  <c r="T112" i="41"/>
  <c r="T127" i="41"/>
  <c r="I126" i="41"/>
  <c r="T123" i="41"/>
  <c r="I122" i="41"/>
  <c r="I116" i="41"/>
  <c r="T113" i="41"/>
  <c r="T128" i="41"/>
  <c r="I127" i="41"/>
  <c r="T124" i="41"/>
  <c r="I123" i="41"/>
  <c r="T120" i="41"/>
  <c r="T114" i="41"/>
  <c r="I113" i="41"/>
  <c r="T129" i="41"/>
  <c r="I128" i="41"/>
  <c r="T125" i="41"/>
  <c r="I124" i="41"/>
  <c r="T121" i="41"/>
  <c r="I120" i="41"/>
  <c r="T115" i="41"/>
  <c r="I114" i="41"/>
  <c r="T111" i="41"/>
  <c r="I112" i="41"/>
  <c r="T108" i="41"/>
  <c r="I107" i="41"/>
  <c r="T102" i="41"/>
  <c r="I101" i="41"/>
  <c r="T98" i="41"/>
  <c r="I97" i="41"/>
  <c r="T94" i="41"/>
  <c r="I111" i="41"/>
  <c r="T109" i="41"/>
  <c r="I108" i="41"/>
  <c r="T103" i="41"/>
  <c r="I102" i="41"/>
  <c r="T99" i="41"/>
  <c r="I98" i="41"/>
  <c r="T95" i="41"/>
  <c r="I94" i="41"/>
  <c r="T110" i="41"/>
  <c r="I109" i="41"/>
  <c r="I103" i="41"/>
  <c r="T100" i="41"/>
  <c r="I99" i="41"/>
  <c r="T96" i="41"/>
  <c r="I95" i="41"/>
  <c r="T90" i="41"/>
  <c r="I89" i="41"/>
  <c r="T107" i="41"/>
  <c r="T101" i="41"/>
  <c r="T88" i="41"/>
  <c r="I87" i="41"/>
  <c r="T84" i="41"/>
  <c r="I83" i="41"/>
  <c r="I77" i="41"/>
  <c r="I96" i="41"/>
  <c r="I88" i="41"/>
  <c r="T85" i="41"/>
  <c r="I84" i="41"/>
  <c r="T81" i="41"/>
  <c r="T75" i="41"/>
  <c r="I74" i="41"/>
  <c r="I100" i="41"/>
  <c r="T86" i="41"/>
  <c r="I85" i="41"/>
  <c r="T82" i="41"/>
  <c r="I81" i="41"/>
  <c r="T76" i="41"/>
  <c r="I75" i="41"/>
  <c r="I110" i="41"/>
  <c r="T97" i="41"/>
  <c r="I90" i="41"/>
  <c r="T89" i="41"/>
  <c r="T87" i="41"/>
  <c r="I86" i="41"/>
  <c r="T83" i="41"/>
  <c r="I82" i="41"/>
  <c r="I69" i="41"/>
  <c r="S69" i="41"/>
  <c r="L70" i="41"/>
  <c r="K71" i="41"/>
  <c r="T72" i="41"/>
  <c r="I73" i="41"/>
  <c r="T74" i="41"/>
  <c r="L71" i="41"/>
  <c r="T73" i="41"/>
  <c r="I76" i="41"/>
  <c r="K127" i="41"/>
  <c r="K123" i="41"/>
  <c r="K113" i="41"/>
  <c r="K128" i="41"/>
  <c r="K124" i="41"/>
  <c r="K114" i="41"/>
  <c r="K129" i="41"/>
  <c r="K125" i="41"/>
  <c r="K121" i="41"/>
  <c r="K115" i="41"/>
  <c r="K126" i="41"/>
  <c r="K122" i="41"/>
  <c r="K116" i="41"/>
  <c r="K112" i="41"/>
  <c r="K111" i="41"/>
  <c r="K109" i="41"/>
  <c r="K103" i="41"/>
  <c r="K99" i="41"/>
  <c r="K110" i="41"/>
  <c r="K100" i="41"/>
  <c r="K96" i="41"/>
  <c r="K107" i="41"/>
  <c r="K101" i="41"/>
  <c r="K97" i="41"/>
  <c r="K85" i="41"/>
  <c r="K94" i="41"/>
  <c r="K89" i="41"/>
  <c r="K86" i="41"/>
  <c r="K82" i="41"/>
  <c r="K76" i="41"/>
  <c r="K98" i="41"/>
  <c r="K90" i="41"/>
  <c r="K87" i="41"/>
  <c r="K83" i="41"/>
  <c r="K77" i="41"/>
  <c r="K108" i="41"/>
  <c r="K102" i="41"/>
  <c r="K88" i="41"/>
  <c r="K84" i="41"/>
  <c r="S129" i="41"/>
  <c r="S125" i="41"/>
  <c r="S121" i="41"/>
  <c r="S115" i="41"/>
  <c r="S126" i="41"/>
  <c r="S122" i="41"/>
  <c r="S116" i="41"/>
  <c r="S127" i="41"/>
  <c r="S123" i="41"/>
  <c r="S113" i="41"/>
  <c r="S128" i="41"/>
  <c r="S124" i="41"/>
  <c r="S120" i="41"/>
  <c r="S114" i="41"/>
  <c r="S107" i="41"/>
  <c r="S101" i="41"/>
  <c r="S97" i="41"/>
  <c r="S108" i="41"/>
  <c r="S102" i="41"/>
  <c r="S98" i="41"/>
  <c r="S94" i="41"/>
  <c r="S111" i="41"/>
  <c r="S109" i="41"/>
  <c r="S103" i="41"/>
  <c r="S99" i="41"/>
  <c r="S95" i="41"/>
  <c r="S89" i="41"/>
  <c r="S96" i="41"/>
  <c r="S90" i="41"/>
  <c r="S87" i="41"/>
  <c r="S83" i="41"/>
  <c r="S77" i="41"/>
  <c r="S100" i="41"/>
  <c r="S88" i="41"/>
  <c r="S84" i="41"/>
  <c r="S74" i="41"/>
  <c r="S110" i="41"/>
  <c r="S85" i="41"/>
  <c r="S81" i="41"/>
  <c r="S75" i="41"/>
  <c r="S112" i="41"/>
  <c r="S86" i="41"/>
  <c r="S82" i="41"/>
  <c r="I68" i="41"/>
  <c r="S68" i="41"/>
  <c r="K69" i="41"/>
  <c r="T70" i="41"/>
  <c r="I71" i="41"/>
  <c r="S71" i="41"/>
  <c r="L72" i="41"/>
  <c r="K73" i="41"/>
  <c r="K75" i="41"/>
  <c r="S76" i="41"/>
  <c r="C93" i="41"/>
  <c r="J104" i="41"/>
  <c r="J95" i="41"/>
  <c r="K95" i="41" s="1"/>
  <c r="J81" i="41"/>
  <c r="K81" i="41" s="1"/>
  <c r="H91" i="41"/>
  <c r="P93" i="41"/>
  <c r="J117" i="41"/>
  <c r="H117" i="41"/>
  <c r="J130" i="41"/>
  <c r="J120" i="41"/>
  <c r="L120" i="41" s="1"/>
  <c r="D72" i="39"/>
  <c r="T74" i="39"/>
  <c r="P70" i="39"/>
  <c r="P72" i="39" s="1"/>
  <c r="S69" i="39"/>
  <c r="C85" i="39"/>
  <c r="M85" i="39"/>
  <c r="Q85" i="39"/>
  <c r="T69" i="39"/>
  <c r="C72" i="39"/>
  <c r="D85" i="39"/>
  <c r="Q72" i="39"/>
  <c r="P85" i="39"/>
  <c r="I69" i="39"/>
  <c r="I70" i="39" s="1"/>
  <c r="E72" i="39"/>
  <c r="T73" i="39"/>
  <c r="N72" i="39"/>
  <c r="B72" i="39"/>
  <c r="F72" i="39"/>
  <c r="O85" i="39"/>
  <c r="J75" i="39"/>
  <c r="K75" i="39" s="1"/>
  <c r="J83" i="39"/>
  <c r="H83" i="39"/>
  <c r="I80" i="39"/>
  <c r="I77" i="39"/>
  <c r="I76" i="39"/>
  <c r="I81" i="39"/>
  <c r="K80" i="39"/>
  <c r="K76" i="39"/>
  <c r="K81" i="39"/>
  <c r="K77" i="39"/>
  <c r="K73" i="39"/>
  <c r="K82" i="39"/>
  <c r="K78" i="39"/>
  <c r="K74" i="39"/>
  <c r="K79" i="39"/>
  <c r="K69" i="39"/>
  <c r="S82" i="39"/>
  <c r="S78" i="39"/>
  <c r="S74" i="39"/>
  <c r="S79" i="39"/>
  <c r="S75" i="39"/>
  <c r="S81" i="39"/>
  <c r="S80" i="39"/>
  <c r="S77" i="39"/>
  <c r="S76" i="39"/>
  <c r="S73" i="39"/>
  <c r="H70" i="39"/>
  <c r="I73" i="39"/>
  <c r="T77" i="39"/>
  <c r="T78" i="39"/>
  <c r="T81" i="39"/>
  <c r="T82" i="39"/>
  <c r="I82" i="39"/>
  <c r="T79" i="39"/>
  <c r="I78" i="39"/>
  <c r="T75" i="39"/>
  <c r="I74" i="39"/>
  <c r="T80" i="39"/>
  <c r="I79" i="39"/>
  <c r="T76" i="39"/>
  <c r="I75" i="39"/>
  <c r="L76" i="39"/>
  <c r="L80" i="39"/>
  <c r="E85" i="39"/>
  <c r="L81" i="39"/>
  <c r="L77" i="39"/>
  <c r="L73" i="39"/>
  <c r="L82" i="39"/>
  <c r="L78" i="39"/>
  <c r="L74" i="39"/>
  <c r="L69" i="39"/>
  <c r="T71" i="39"/>
  <c r="O72" i="39"/>
  <c r="L79" i="39"/>
  <c r="B85" i="39"/>
  <c r="F85" i="39"/>
  <c r="N85" i="39"/>
  <c r="J92" i="41" l="1"/>
  <c r="H105" i="41"/>
  <c r="H132" i="41"/>
  <c r="K68" i="41"/>
  <c r="K79" i="41" s="1"/>
  <c r="H79" i="41"/>
  <c r="L79" i="41"/>
  <c r="L78" i="41"/>
  <c r="L131" i="41"/>
  <c r="L130" i="41"/>
  <c r="K92" i="41"/>
  <c r="K91" i="41"/>
  <c r="H119" i="41"/>
  <c r="H118" i="41"/>
  <c r="I78" i="41"/>
  <c r="I79" i="41"/>
  <c r="K120" i="41"/>
  <c r="T118" i="41"/>
  <c r="T117" i="41"/>
  <c r="I118" i="41"/>
  <c r="I117" i="41"/>
  <c r="J80" i="41"/>
  <c r="J79" i="41"/>
  <c r="T79" i="41"/>
  <c r="T78" i="41"/>
  <c r="J132" i="41"/>
  <c r="J131" i="41"/>
  <c r="J119" i="41"/>
  <c r="J118" i="41"/>
  <c r="S92" i="41"/>
  <c r="S91" i="41"/>
  <c r="S117" i="41"/>
  <c r="S118" i="41"/>
  <c r="K118" i="41"/>
  <c r="K117" i="41"/>
  <c r="T92" i="41"/>
  <c r="T91" i="41"/>
  <c r="L81" i="41"/>
  <c r="L95" i="41"/>
  <c r="I92" i="41"/>
  <c r="I91" i="41"/>
  <c r="I105" i="41"/>
  <c r="I104" i="41"/>
  <c r="I130" i="41"/>
  <c r="I131" i="41"/>
  <c r="T131" i="41"/>
  <c r="T130" i="41"/>
  <c r="L105" i="41"/>
  <c r="L104" i="41"/>
  <c r="L118" i="41"/>
  <c r="L117" i="41"/>
  <c r="H93" i="41"/>
  <c r="H92" i="41"/>
  <c r="J105" i="41"/>
  <c r="J106" i="41"/>
  <c r="S79" i="41"/>
  <c r="S78" i="41"/>
  <c r="S105" i="41"/>
  <c r="S104" i="41"/>
  <c r="S131" i="41"/>
  <c r="S130" i="41"/>
  <c r="K104" i="41"/>
  <c r="K105" i="41"/>
  <c r="T104" i="41"/>
  <c r="T105" i="41"/>
  <c r="I71" i="39"/>
  <c r="I72" i="39" s="1"/>
  <c r="L75" i="39"/>
  <c r="T83" i="39"/>
  <c r="I83" i="39"/>
  <c r="I84" i="39"/>
  <c r="T84" i="39"/>
  <c r="H72" i="39"/>
  <c r="H71" i="39"/>
  <c r="J85" i="39"/>
  <c r="J84" i="39"/>
  <c r="J72" i="39"/>
  <c r="J71" i="39"/>
  <c r="H84" i="39"/>
  <c r="H85" i="39"/>
  <c r="K84" i="39"/>
  <c r="K83" i="39"/>
  <c r="T70" i="39"/>
  <c r="T72" i="39" s="1"/>
  <c r="L71" i="39"/>
  <c r="L70" i="39"/>
  <c r="L84" i="39"/>
  <c r="L83" i="39"/>
  <c r="S84" i="39"/>
  <c r="S83" i="39"/>
  <c r="S71" i="39"/>
  <c r="S70" i="39"/>
  <c r="K70" i="39"/>
  <c r="K71" i="39"/>
  <c r="D158" i="37"/>
  <c r="D159" i="37"/>
  <c r="D160" i="37"/>
  <c r="D161" i="37"/>
  <c r="D162" i="37"/>
  <c r="D163" i="37"/>
  <c r="D164" i="37"/>
  <c r="D165" i="37"/>
  <c r="D166" i="37"/>
  <c r="D167" i="37"/>
  <c r="D157" i="37"/>
  <c r="K78" i="41" l="1"/>
  <c r="K80" i="41" s="1"/>
  <c r="L80" i="41"/>
  <c r="S93" i="41"/>
  <c r="S106" i="41"/>
  <c r="S132" i="41"/>
  <c r="S80" i="41"/>
  <c r="L106" i="41"/>
  <c r="I93" i="41"/>
  <c r="T93" i="41"/>
  <c r="I119" i="41"/>
  <c r="I80" i="41"/>
  <c r="T106" i="41"/>
  <c r="K106" i="41"/>
  <c r="T80" i="41"/>
  <c r="T119" i="41"/>
  <c r="L132" i="41"/>
  <c r="L119" i="41"/>
  <c r="T132" i="41"/>
  <c r="I106" i="41"/>
  <c r="L92" i="41"/>
  <c r="L91" i="41"/>
  <c r="K131" i="41"/>
  <c r="K130" i="41"/>
  <c r="I132" i="41"/>
  <c r="K119" i="41"/>
  <c r="K93" i="41"/>
  <c r="S119" i="41"/>
  <c r="S72" i="39"/>
  <c r="K72" i="39"/>
  <c r="K85" i="39"/>
  <c r="T85" i="39"/>
  <c r="S85" i="39"/>
  <c r="I85" i="39"/>
  <c r="L85" i="39"/>
  <c r="L72" i="39"/>
  <c r="K132" i="41" l="1"/>
  <c r="L93" i="41"/>
  <c r="F183" i="37" l="1"/>
  <c r="N32" i="34" l="1"/>
  <c r="N20" i="34"/>
  <c r="C127" i="34"/>
  <c r="I20" i="34" s="1"/>
  <c r="L20" i="34"/>
  <c r="C83" i="34"/>
  <c r="L20" i="26"/>
  <c r="N20" i="26"/>
  <c r="L32" i="34" l="1"/>
  <c r="C92" i="34"/>
  <c r="H93" i="36"/>
  <c r="H91" i="35"/>
  <c r="H92" i="35"/>
  <c r="H93" i="35"/>
  <c r="H94" i="35"/>
  <c r="H95" i="35"/>
  <c r="H96" i="35"/>
  <c r="H97" i="35"/>
  <c r="H98" i="35"/>
  <c r="H99" i="35"/>
  <c r="H100" i="35"/>
  <c r="F102" i="36"/>
  <c r="E102" i="36"/>
  <c r="C185" i="34" s="1"/>
  <c r="D102" i="36"/>
  <c r="C102" i="36"/>
  <c r="B102" i="36"/>
  <c r="F101" i="36"/>
  <c r="C86" i="34" s="1"/>
  <c r="E101" i="36"/>
  <c r="C85" i="34" s="1"/>
  <c r="D101" i="36"/>
  <c r="C101" i="36"/>
  <c r="B101" i="36"/>
  <c r="C90" i="34" s="1"/>
  <c r="I100" i="36"/>
  <c r="H100" i="36"/>
  <c r="I99" i="36"/>
  <c r="H99" i="36"/>
  <c r="I98" i="36"/>
  <c r="H98" i="36"/>
  <c r="I97" i="36"/>
  <c r="H97" i="36"/>
  <c r="I96" i="36"/>
  <c r="H96" i="36"/>
  <c r="I95" i="36"/>
  <c r="H95" i="36"/>
  <c r="I94" i="36"/>
  <c r="H94" i="36"/>
  <c r="I93" i="36"/>
  <c r="I92" i="36"/>
  <c r="H92" i="36"/>
  <c r="I91" i="36"/>
  <c r="H91" i="36"/>
  <c r="E81" i="36"/>
  <c r="E82" i="36" s="1"/>
  <c r="D12" i="36"/>
  <c r="F102" i="35"/>
  <c r="E102" i="35"/>
  <c r="D102" i="35"/>
  <c r="C102" i="35"/>
  <c r="B102" i="35"/>
  <c r="F101" i="35"/>
  <c r="E101" i="35"/>
  <c r="D101" i="35"/>
  <c r="C101" i="35"/>
  <c r="B101" i="35"/>
  <c r="I100" i="35"/>
  <c r="I99" i="35"/>
  <c r="I98" i="35"/>
  <c r="I97" i="35"/>
  <c r="I96" i="35"/>
  <c r="I95" i="35"/>
  <c r="I94" i="35"/>
  <c r="I93" i="35"/>
  <c r="I92" i="35"/>
  <c r="I91" i="35"/>
  <c r="D12" i="35"/>
  <c r="C83" i="75" l="1"/>
  <c r="C82" i="73"/>
  <c r="D103" i="36"/>
  <c r="J95" i="36"/>
  <c r="K95" i="36" s="1"/>
  <c r="J93" i="36"/>
  <c r="L93" i="36" s="1"/>
  <c r="P93" i="36" s="1"/>
  <c r="C88" i="34"/>
  <c r="J92" i="36"/>
  <c r="K92" i="36" s="1"/>
  <c r="J92" i="35"/>
  <c r="J91" i="35"/>
  <c r="L91" i="35" s="1"/>
  <c r="J91" i="36"/>
  <c r="J94" i="36"/>
  <c r="L94" i="36" s="1"/>
  <c r="J96" i="36"/>
  <c r="K96" i="36" s="1"/>
  <c r="J98" i="36"/>
  <c r="K98" i="36" s="1"/>
  <c r="J100" i="36"/>
  <c r="K100" i="36" s="1"/>
  <c r="J99" i="36"/>
  <c r="K99" i="36" s="1"/>
  <c r="E103" i="36"/>
  <c r="J97" i="36"/>
  <c r="L97" i="36" s="1"/>
  <c r="C103" i="36"/>
  <c r="H101" i="36"/>
  <c r="B103" i="36"/>
  <c r="I102" i="36"/>
  <c r="F103" i="36"/>
  <c r="I101" i="36"/>
  <c r="H102" i="36"/>
  <c r="F103" i="35"/>
  <c r="B103" i="35"/>
  <c r="D103" i="35"/>
  <c r="E103" i="35"/>
  <c r="C103" i="35"/>
  <c r="E81" i="35"/>
  <c r="E82" i="35" s="1"/>
  <c r="I102" i="35"/>
  <c r="I101" i="35"/>
  <c r="J93" i="35"/>
  <c r="J100" i="35"/>
  <c r="J97" i="35"/>
  <c r="J95" i="35"/>
  <c r="J98" i="35"/>
  <c r="J99" i="35"/>
  <c r="H101" i="35"/>
  <c r="H102" i="35"/>
  <c r="J94" i="35"/>
  <c r="J96" i="35"/>
  <c r="L95" i="36" l="1"/>
  <c r="P95" i="36" s="1"/>
  <c r="L92" i="36"/>
  <c r="N92" i="36" s="1"/>
  <c r="K93" i="36"/>
  <c r="L100" i="36"/>
  <c r="M100" i="36" s="1"/>
  <c r="L96" i="36"/>
  <c r="P96" i="36" s="1"/>
  <c r="K94" i="36"/>
  <c r="K97" i="36"/>
  <c r="L98" i="36"/>
  <c r="N98" i="36" s="1"/>
  <c r="L99" i="36"/>
  <c r="P99" i="36" s="1"/>
  <c r="N93" i="36"/>
  <c r="M93" i="36"/>
  <c r="M97" i="36"/>
  <c r="N97" i="36"/>
  <c r="P97" i="36"/>
  <c r="O97" i="36"/>
  <c r="O93" i="36"/>
  <c r="H103" i="36"/>
  <c r="I103" i="36"/>
  <c r="P94" i="36"/>
  <c r="M94" i="36"/>
  <c r="O94" i="36"/>
  <c r="N94" i="36"/>
  <c r="P92" i="36"/>
  <c r="M92" i="36"/>
  <c r="J102" i="36"/>
  <c r="K91" i="36"/>
  <c r="J101" i="36"/>
  <c r="L91" i="36"/>
  <c r="N96" i="36"/>
  <c r="N95" i="36"/>
  <c r="M95" i="36"/>
  <c r="K96" i="35"/>
  <c r="L96" i="35"/>
  <c r="K94" i="35"/>
  <c r="L94" i="35"/>
  <c r="K99" i="35"/>
  <c r="L99" i="35"/>
  <c r="K100" i="35"/>
  <c r="L100" i="35"/>
  <c r="K97" i="35"/>
  <c r="L97" i="35"/>
  <c r="K98" i="35"/>
  <c r="L98" i="35"/>
  <c r="K93" i="35"/>
  <c r="L93" i="35"/>
  <c r="N93" i="35" s="1"/>
  <c r="K95" i="35"/>
  <c r="L95" i="35"/>
  <c r="K92" i="35"/>
  <c r="L92" i="35"/>
  <c r="K91" i="35"/>
  <c r="I103" i="35"/>
  <c r="H103" i="35"/>
  <c r="J102" i="35"/>
  <c r="J101" i="35"/>
  <c r="O95" i="36" l="1"/>
  <c r="O100" i="36"/>
  <c r="O96" i="36"/>
  <c r="M96" i="36"/>
  <c r="O92" i="36"/>
  <c r="N100" i="36"/>
  <c r="P100" i="36"/>
  <c r="O98" i="36"/>
  <c r="M98" i="36"/>
  <c r="P98" i="36"/>
  <c r="M99" i="36"/>
  <c r="N99" i="36"/>
  <c r="O99" i="36"/>
  <c r="K102" i="36"/>
  <c r="K101" i="36"/>
  <c r="L101" i="36"/>
  <c r="O91" i="36"/>
  <c r="M91" i="36"/>
  <c r="P91" i="36"/>
  <c r="N91" i="36"/>
  <c r="L102" i="36"/>
  <c r="J103" i="36"/>
  <c r="O91" i="35"/>
  <c r="P91" i="35"/>
  <c r="M91" i="35"/>
  <c r="N91" i="35"/>
  <c r="J103" i="35"/>
  <c r="L103" i="36" l="1"/>
  <c r="K103" i="36"/>
  <c r="O101" i="36"/>
  <c r="O102" i="36"/>
  <c r="P101" i="36"/>
  <c r="P102" i="36"/>
  <c r="N102" i="36"/>
  <c r="N101" i="36"/>
  <c r="M102" i="36"/>
  <c r="M101" i="36"/>
  <c r="P97" i="35"/>
  <c r="O97" i="35"/>
  <c r="N97" i="35"/>
  <c r="M97" i="35"/>
  <c r="N100" i="35"/>
  <c r="P100" i="35"/>
  <c r="O100" i="35"/>
  <c r="M100" i="35"/>
  <c r="N103" i="36" l="1"/>
  <c r="O103" i="36"/>
  <c r="P103" i="36"/>
  <c r="M103" i="36"/>
  <c r="M99" i="35"/>
  <c r="P99" i="35"/>
  <c r="O99" i="35"/>
  <c r="N99" i="35"/>
  <c r="L102" i="35"/>
  <c r="L101" i="35"/>
  <c r="Q94" i="36" s="1"/>
  <c r="M96" i="35"/>
  <c r="P96" i="35"/>
  <c r="O96" i="35"/>
  <c r="N96" i="35"/>
  <c r="P93" i="35"/>
  <c r="O93" i="35"/>
  <c r="M93" i="35"/>
  <c r="K101" i="35"/>
  <c r="K102" i="35"/>
  <c r="O94" i="35"/>
  <c r="N94" i="35"/>
  <c r="M94" i="35"/>
  <c r="P94" i="35"/>
  <c r="N95" i="35"/>
  <c r="M95" i="35"/>
  <c r="P95" i="35"/>
  <c r="O95" i="35"/>
  <c r="N98" i="35"/>
  <c r="M98" i="35"/>
  <c r="P98" i="35"/>
  <c r="O98" i="35"/>
  <c r="M92" i="35"/>
  <c r="P92" i="35"/>
  <c r="O92" i="35"/>
  <c r="N92" i="35"/>
  <c r="Q91" i="36" l="1"/>
  <c r="C91" i="34"/>
  <c r="Q100" i="36"/>
  <c r="Q96" i="36"/>
  <c r="Q98" i="36"/>
  <c r="Q93" i="36"/>
  <c r="Q97" i="36"/>
  <c r="Q99" i="36"/>
  <c r="Q95" i="36"/>
  <c r="Q92" i="36"/>
  <c r="K103" i="35"/>
  <c r="M102" i="35"/>
  <c r="M101" i="35"/>
  <c r="L103" i="35"/>
  <c r="N101" i="35"/>
  <c r="N102" i="35"/>
  <c r="O101" i="35"/>
  <c r="O102" i="35"/>
  <c r="P102" i="35"/>
  <c r="P101" i="35"/>
  <c r="Q101" i="36" l="1"/>
  <c r="C82" i="34" s="1"/>
  <c r="Q102" i="36"/>
  <c r="O103" i="35"/>
  <c r="M103" i="35"/>
  <c r="P103" i="35"/>
  <c r="N103" i="35"/>
  <c r="Q103" i="36" l="1"/>
  <c r="C349" i="34" l="1"/>
  <c r="I32" i="34" s="1"/>
  <c r="D340" i="34"/>
  <c r="N31" i="34" s="1"/>
  <c r="C330" i="34"/>
  <c r="I31" i="34" s="1"/>
  <c r="C311" i="34"/>
  <c r="I30" i="34" s="1"/>
  <c r="D302" i="34"/>
  <c r="C295" i="34"/>
  <c r="I29" i="34" s="1"/>
  <c r="D279" i="34"/>
  <c r="C279" i="34"/>
  <c r="I28" i="34" s="1"/>
  <c r="F259" i="34"/>
  <c r="C147" i="34"/>
  <c r="I21" i="34" s="1"/>
  <c r="C204" i="34"/>
  <c r="D89" i="34"/>
  <c r="D90" i="34" s="1"/>
  <c r="D87" i="34"/>
  <c r="D88" i="34" s="1"/>
  <c r="C87" i="34"/>
  <c r="D82" i="34"/>
  <c r="O36" i="34"/>
  <c r="L31" i="34"/>
  <c r="N30" i="34"/>
  <c r="L30" i="34"/>
  <c r="N29" i="34"/>
  <c r="L29" i="34"/>
  <c r="N28" i="34"/>
  <c r="L28" i="34"/>
  <c r="M27" i="34"/>
  <c r="L27" i="34"/>
  <c r="M26" i="34"/>
  <c r="L26" i="34"/>
  <c r="M25" i="34"/>
  <c r="L25" i="34"/>
  <c r="M24" i="34"/>
  <c r="L24" i="34"/>
  <c r="L23" i="34"/>
  <c r="M22" i="34"/>
  <c r="L22" i="34"/>
  <c r="N21" i="34"/>
  <c r="L21" i="34"/>
  <c r="N19" i="34"/>
  <c r="L19" i="34"/>
  <c r="N33" i="26"/>
  <c r="I33" i="26"/>
  <c r="L33" i="26"/>
  <c r="C138" i="34" l="1"/>
  <c r="M20" i="34" s="1"/>
  <c r="O20" i="34" s="1"/>
  <c r="Q20" i="34" s="1"/>
  <c r="R20" i="34" s="1"/>
  <c r="C155" i="34"/>
  <c r="C195" i="34" s="1"/>
  <c r="M23" i="34" s="1"/>
  <c r="C118" i="34"/>
  <c r="M19" i="34" s="1"/>
  <c r="C261" i="34"/>
  <c r="C243" i="34"/>
  <c r="D374" i="26" l="1"/>
  <c r="N32" i="26" s="1"/>
  <c r="D336" i="26"/>
  <c r="M28" i="26" l="1"/>
  <c r="M27" i="26"/>
  <c r="M26" i="26"/>
  <c r="M25" i="26"/>
  <c r="M23" i="26" l="1"/>
  <c r="I21" i="26"/>
  <c r="D152" i="26"/>
  <c r="L32" i="26" l="1"/>
  <c r="L23" i="26" l="1"/>
  <c r="L26" i="26"/>
  <c r="L31" i="26"/>
  <c r="N31" i="26"/>
  <c r="L30" i="26"/>
  <c r="N30" i="26"/>
  <c r="L29" i="26"/>
  <c r="N29" i="26"/>
  <c r="L28" i="26"/>
  <c r="L27" i="26"/>
  <c r="L25" i="26"/>
  <c r="L24" i="26"/>
  <c r="L22" i="26"/>
  <c r="N22" i="26"/>
  <c r="L21" i="26"/>
  <c r="N21" i="26"/>
  <c r="L19" i="26"/>
  <c r="N19" i="26"/>
  <c r="I19" i="26"/>
  <c r="C364" i="26" l="1"/>
  <c r="I32" i="26" s="1"/>
  <c r="C345" i="26"/>
  <c r="I31" i="26" s="1"/>
  <c r="C329" i="26" l="1"/>
  <c r="I30" i="26" s="1"/>
  <c r="D313" i="26"/>
  <c r="I29" i="26"/>
  <c r="F293" i="26" l="1"/>
  <c r="Q93" i="28"/>
  <c r="P93" i="28"/>
  <c r="O93" i="28"/>
  <c r="N93" i="28"/>
  <c r="M93" i="28"/>
  <c r="F93" i="28"/>
  <c r="E93" i="28"/>
  <c r="D93" i="28"/>
  <c r="C93" i="28"/>
  <c r="B93" i="28"/>
  <c r="Q92" i="28"/>
  <c r="P92" i="28"/>
  <c r="O92" i="28"/>
  <c r="N92" i="28"/>
  <c r="M92" i="28"/>
  <c r="F92" i="28"/>
  <c r="E92" i="28"/>
  <c r="D92" i="28"/>
  <c r="D94" i="28" s="1"/>
  <c r="C92" i="28"/>
  <c r="B92" i="28"/>
  <c r="H91" i="28"/>
  <c r="J91" i="28" s="1"/>
  <c r="H90" i="28"/>
  <c r="J90" i="28" s="1"/>
  <c r="H89" i="28"/>
  <c r="J89" i="28" s="1"/>
  <c r="H88" i="28"/>
  <c r="J88" i="28" s="1"/>
  <c r="H87" i="28"/>
  <c r="J87" i="28" s="1"/>
  <c r="H86" i="28"/>
  <c r="J86" i="28" s="1"/>
  <c r="H85" i="28"/>
  <c r="J85" i="28" s="1"/>
  <c r="H84" i="28"/>
  <c r="J84" i="28" s="1"/>
  <c r="H83" i="28"/>
  <c r="J83" i="28" s="1"/>
  <c r="H82" i="28"/>
  <c r="J82" i="28" s="1"/>
  <c r="Q80" i="28"/>
  <c r="P80" i="28"/>
  <c r="O80" i="28"/>
  <c r="N80" i="28"/>
  <c r="M80" i="28"/>
  <c r="F80" i="28"/>
  <c r="E80" i="28"/>
  <c r="D80" i="28"/>
  <c r="C80" i="28"/>
  <c r="B80" i="28"/>
  <c r="Q79" i="28"/>
  <c r="P79" i="28"/>
  <c r="O79" i="28"/>
  <c r="N79" i="28"/>
  <c r="M79" i="28"/>
  <c r="F79" i="28"/>
  <c r="E79" i="28"/>
  <c r="D79" i="28"/>
  <c r="C79" i="28"/>
  <c r="B79" i="28"/>
  <c r="H78" i="28"/>
  <c r="J78" i="28" s="1"/>
  <c r="H77" i="28"/>
  <c r="J77" i="28" s="1"/>
  <c r="H76" i="28"/>
  <c r="J76" i="28" s="1"/>
  <c r="H75" i="28"/>
  <c r="J75" i="28" s="1"/>
  <c r="H74" i="28"/>
  <c r="J74" i="28" s="1"/>
  <c r="H73" i="28"/>
  <c r="J73" i="28" s="1"/>
  <c r="H72" i="28"/>
  <c r="J72" i="28" s="1"/>
  <c r="H71" i="28"/>
  <c r="J71" i="28" s="1"/>
  <c r="H70" i="28"/>
  <c r="J70" i="28" s="1"/>
  <c r="H69" i="28"/>
  <c r="E47" i="28"/>
  <c r="E46" i="28"/>
  <c r="E45" i="28"/>
  <c r="E44" i="28"/>
  <c r="E43" i="28"/>
  <c r="E42" i="28"/>
  <c r="I34" i="28"/>
  <c r="C29" i="28"/>
  <c r="B29" i="28"/>
  <c r="A29" i="28"/>
  <c r="C28" i="28"/>
  <c r="B28" i="28"/>
  <c r="A28" i="28"/>
  <c r="C27" i="28"/>
  <c r="B27" i="28"/>
  <c r="A27" i="28"/>
  <c r="F26" i="28"/>
  <c r="E26" i="28"/>
  <c r="F25" i="28"/>
  <c r="E25" i="28"/>
  <c r="D12" i="28"/>
  <c r="C94" i="26"/>
  <c r="C118" i="64" l="1"/>
  <c r="C184" i="64"/>
  <c r="C168" i="64"/>
  <c r="C169" i="37"/>
  <c r="C295" i="26"/>
  <c r="C119" i="37"/>
  <c r="C185" i="37"/>
  <c r="C277" i="26"/>
  <c r="O94" i="28"/>
  <c r="N81" i="28"/>
  <c r="B94" i="28"/>
  <c r="K87" i="28"/>
  <c r="C168" i="68"/>
  <c r="C118" i="68"/>
  <c r="C184" i="68"/>
  <c r="E81" i="28"/>
  <c r="F94" i="28"/>
  <c r="C94" i="28"/>
  <c r="M94" i="28"/>
  <c r="B81" i="28"/>
  <c r="F81" i="28"/>
  <c r="P81" i="28"/>
  <c r="C238" i="26"/>
  <c r="K73" i="28"/>
  <c r="S75" i="28"/>
  <c r="K75" i="28"/>
  <c r="L88" i="28"/>
  <c r="Q94" i="28"/>
  <c r="L86" i="28"/>
  <c r="K89" i="28"/>
  <c r="K91" i="28"/>
  <c r="C81" i="28"/>
  <c r="K85" i="28"/>
  <c r="N94" i="28"/>
  <c r="K76" i="28"/>
  <c r="E94" i="28"/>
  <c r="H79" i="28"/>
  <c r="H80" i="28" s="1"/>
  <c r="K72" i="28"/>
  <c r="O81" i="28"/>
  <c r="P94" i="28"/>
  <c r="K77" i="28"/>
  <c r="L77" i="28"/>
  <c r="K71" i="28"/>
  <c r="L71" i="28"/>
  <c r="T91" i="28"/>
  <c r="I90" i="28"/>
  <c r="T87" i="28"/>
  <c r="I86" i="28"/>
  <c r="T83" i="28"/>
  <c r="I82" i="28"/>
  <c r="T89" i="28"/>
  <c r="I88" i="28"/>
  <c r="T85" i="28"/>
  <c r="I84" i="28"/>
  <c r="I70" i="28"/>
  <c r="T73" i="28"/>
  <c r="I74" i="28"/>
  <c r="T75" i="28"/>
  <c r="S78" i="28"/>
  <c r="T82" i="28"/>
  <c r="L89" i="28"/>
  <c r="L85" i="28"/>
  <c r="L91" i="28"/>
  <c r="L87" i="28"/>
  <c r="L83" i="28"/>
  <c r="I71" i="28"/>
  <c r="I77" i="28"/>
  <c r="T78" i="28"/>
  <c r="Q81" i="28"/>
  <c r="S85" i="28"/>
  <c r="T86" i="28"/>
  <c r="S70" i="28"/>
  <c r="S74" i="28"/>
  <c r="J92" i="28"/>
  <c r="H92" i="28"/>
  <c r="T84" i="28"/>
  <c r="S71" i="28"/>
  <c r="S77" i="28"/>
  <c r="M81" i="28"/>
  <c r="S87" i="28"/>
  <c r="T88" i="28"/>
  <c r="L90" i="28"/>
  <c r="K88" i="28"/>
  <c r="K84" i="28"/>
  <c r="K90" i="28"/>
  <c r="K86" i="28"/>
  <c r="S90" i="28"/>
  <c r="S86" i="28"/>
  <c r="S82" i="28"/>
  <c r="S88" i="28"/>
  <c r="S84" i="28"/>
  <c r="I69" i="28"/>
  <c r="S69" i="28"/>
  <c r="K70" i="28"/>
  <c r="T71" i="28"/>
  <c r="I72" i="28"/>
  <c r="S72" i="28"/>
  <c r="L73" i="28"/>
  <c r="K74" i="28"/>
  <c r="L75" i="28"/>
  <c r="I76" i="28"/>
  <c r="S76" i="28"/>
  <c r="T77" i="28"/>
  <c r="K78" i="28"/>
  <c r="K82" i="28"/>
  <c r="I83" i="28"/>
  <c r="I85" i="28"/>
  <c r="S89" i="28"/>
  <c r="T90" i="28"/>
  <c r="S91" i="28"/>
  <c r="I78" i="28"/>
  <c r="S83" i="28"/>
  <c r="I91" i="28"/>
  <c r="T70" i="28"/>
  <c r="L72" i="28"/>
  <c r="T74" i="28"/>
  <c r="L76" i="28"/>
  <c r="J79" i="28"/>
  <c r="D81" i="28"/>
  <c r="J69" i="28"/>
  <c r="K69" i="28" s="1"/>
  <c r="T69" i="28"/>
  <c r="L70" i="28"/>
  <c r="T72" i="28"/>
  <c r="I73" i="28"/>
  <c r="S73" i="28"/>
  <c r="L74" i="28"/>
  <c r="I75" i="28"/>
  <c r="T76" i="28"/>
  <c r="L78" i="28"/>
  <c r="L82" i="28"/>
  <c r="K83" i="28"/>
  <c r="L84" i="28"/>
  <c r="I87" i="28"/>
  <c r="I89" i="28"/>
  <c r="H81" i="28" l="1"/>
  <c r="K93" i="28"/>
  <c r="K92" i="28"/>
  <c r="L92" i="28"/>
  <c r="L93" i="28"/>
  <c r="T80" i="28"/>
  <c r="T79" i="28"/>
  <c r="S80" i="28"/>
  <c r="S79" i="28"/>
  <c r="I93" i="28"/>
  <c r="I92" i="28"/>
  <c r="S92" i="28"/>
  <c r="S93" i="28"/>
  <c r="J94" i="28"/>
  <c r="J93" i="28"/>
  <c r="T93" i="28"/>
  <c r="T92" i="28"/>
  <c r="J81" i="28"/>
  <c r="J80" i="28"/>
  <c r="K80" i="28"/>
  <c r="K79" i="28"/>
  <c r="L69" i="28"/>
  <c r="I80" i="28"/>
  <c r="I79" i="28"/>
  <c r="H94" i="28"/>
  <c r="H93" i="28"/>
  <c r="L94" i="28" l="1"/>
  <c r="T81" i="28"/>
  <c r="L79" i="28"/>
  <c r="L80" i="28"/>
  <c r="S81" i="28"/>
  <c r="K81" i="28"/>
  <c r="I94" i="28"/>
  <c r="I81" i="28"/>
  <c r="T94" i="28"/>
  <c r="S94" i="28"/>
  <c r="K94" i="28"/>
  <c r="L81" i="28" l="1"/>
  <c r="Q132" i="27" l="1"/>
  <c r="P132" i="27"/>
  <c r="O132" i="27"/>
  <c r="N132" i="27"/>
  <c r="M132" i="27"/>
  <c r="F132" i="27"/>
  <c r="E132" i="27"/>
  <c r="D132" i="27"/>
  <c r="C132" i="27"/>
  <c r="B132" i="27"/>
  <c r="Q131" i="27"/>
  <c r="P131" i="27"/>
  <c r="O131" i="27"/>
  <c r="N131" i="27"/>
  <c r="M131" i="27"/>
  <c r="F131" i="27"/>
  <c r="E131" i="27"/>
  <c r="D131" i="27"/>
  <c r="C131" i="27"/>
  <c r="B131" i="27"/>
  <c r="H130" i="27"/>
  <c r="J130" i="27" s="1"/>
  <c r="H129" i="27"/>
  <c r="J129" i="27" s="1"/>
  <c r="H128" i="27"/>
  <c r="J128" i="27" s="1"/>
  <c r="H127" i="27"/>
  <c r="J127" i="27" s="1"/>
  <c r="H126" i="27"/>
  <c r="J126" i="27" s="1"/>
  <c r="H125" i="27"/>
  <c r="J125" i="27" s="1"/>
  <c r="H124" i="27"/>
  <c r="J124" i="27" s="1"/>
  <c r="H123" i="27"/>
  <c r="J123" i="27" s="1"/>
  <c r="H122" i="27"/>
  <c r="J122" i="27" s="1"/>
  <c r="H121" i="27"/>
  <c r="Q119" i="27"/>
  <c r="P119" i="27"/>
  <c r="O119" i="27"/>
  <c r="N119" i="27"/>
  <c r="M119" i="27"/>
  <c r="F119" i="27"/>
  <c r="E119" i="27"/>
  <c r="D119" i="27"/>
  <c r="C119" i="27"/>
  <c r="B119" i="27"/>
  <c r="Q118" i="27"/>
  <c r="P118" i="27"/>
  <c r="O118" i="27"/>
  <c r="N118" i="27"/>
  <c r="M118" i="27"/>
  <c r="F118" i="27"/>
  <c r="E118" i="27"/>
  <c r="D118" i="27"/>
  <c r="C118" i="27"/>
  <c r="B118" i="27"/>
  <c r="H117" i="27"/>
  <c r="J117" i="27" s="1"/>
  <c r="H116" i="27"/>
  <c r="J116" i="27" s="1"/>
  <c r="H115" i="27"/>
  <c r="J115" i="27" s="1"/>
  <c r="H114" i="27"/>
  <c r="J114" i="27" s="1"/>
  <c r="H113" i="27"/>
  <c r="J113" i="27" s="1"/>
  <c r="H112" i="27"/>
  <c r="J112" i="27" s="1"/>
  <c r="H111" i="27"/>
  <c r="J111" i="27" s="1"/>
  <c r="H110" i="27"/>
  <c r="J110" i="27" s="1"/>
  <c r="H109" i="27"/>
  <c r="J109" i="27" s="1"/>
  <c r="H108" i="27"/>
  <c r="Q106" i="27"/>
  <c r="P106" i="27"/>
  <c r="O106" i="27"/>
  <c r="N106" i="27"/>
  <c r="M106" i="27"/>
  <c r="F106" i="27"/>
  <c r="E106" i="27"/>
  <c r="D106" i="27"/>
  <c r="C106" i="27"/>
  <c r="B106" i="27"/>
  <c r="Q105" i="27"/>
  <c r="P105" i="27"/>
  <c r="O105" i="27"/>
  <c r="N105" i="27"/>
  <c r="M105" i="27"/>
  <c r="F105" i="27"/>
  <c r="E105" i="27"/>
  <c r="D105" i="27"/>
  <c r="C105" i="27"/>
  <c r="B105" i="27"/>
  <c r="H104" i="27"/>
  <c r="J104" i="27" s="1"/>
  <c r="H103" i="27"/>
  <c r="J103" i="27" s="1"/>
  <c r="H102" i="27"/>
  <c r="J102" i="27" s="1"/>
  <c r="H101" i="27"/>
  <c r="H100" i="27"/>
  <c r="J100" i="27" s="1"/>
  <c r="H99" i="27"/>
  <c r="J99" i="27" s="1"/>
  <c r="H98" i="27"/>
  <c r="J98" i="27" s="1"/>
  <c r="H97" i="27"/>
  <c r="H96" i="27"/>
  <c r="J96" i="27" s="1"/>
  <c r="H95" i="27"/>
  <c r="Q93" i="27"/>
  <c r="P93" i="27"/>
  <c r="O93" i="27"/>
  <c r="N93" i="27"/>
  <c r="M93" i="27"/>
  <c r="F93" i="27"/>
  <c r="E93" i="27"/>
  <c r="D93" i="27"/>
  <c r="C93" i="27"/>
  <c r="B93" i="27"/>
  <c r="Q92" i="27"/>
  <c r="P92" i="27"/>
  <c r="O92" i="27"/>
  <c r="N92" i="27"/>
  <c r="M92" i="27"/>
  <c r="F92" i="27"/>
  <c r="E92" i="27"/>
  <c r="D92" i="27"/>
  <c r="C92" i="27"/>
  <c r="B92" i="27"/>
  <c r="H91" i="27"/>
  <c r="H90" i="27"/>
  <c r="J90" i="27" s="1"/>
  <c r="H89" i="27"/>
  <c r="J89" i="27" s="1"/>
  <c r="H88" i="27"/>
  <c r="J88" i="27" s="1"/>
  <c r="H87" i="27"/>
  <c r="H86" i="27"/>
  <c r="J86" i="27" s="1"/>
  <c r="H85" i="27"/>
  <c r="J85" i="27" s="1"/>
  <c r="H84" i="27"/>
  <c r="J84" i="27" s="1"/>
  <c r="H83" i="27"/>
  <c r="H82" i="27"/>
  <c r="H70" i="27"/>
  <c r="H71" i="27"/>
  <c r="H72" i="27"/>
  <c r="J72" i="27" s="1"/>
  <c r="H73" i="27"/>
  <c r="H74" i="27"/>
  <c r="H75" i="27"/>
  <c r="H76" i="27"/>
  <c r="J76" i="27" s="1"/>
  <c r="H77" i="27"/>
  <c r="H78" i="27"/>
  <c r="H69" i="27"/>
  <c r="E43" i="27"/>
  <c r="E44" i="27"/>
  <c r="E45" i="27"/>
  <c r="E46" i="27"/>
  <c r="E47" i="27"/>
  <c r="E42" i="27"/>
  <c r="I34" i="27"/>
  <c r="F26" i="27"/>
  <c r="F25" i="27"/>
  <c r="E26" i="27"/>
  <c r="E25" i="27"/>
  <c r="C29" i="27"/>
  <c r="C28" i="27"/>
  <c r="C27" i="27"/>
  <c r="B29" i="27"/>
  <c r="A29" i="27"/>
  <c r="B28" i="27"/>
  <c r="B27" i="27"/>
  <c r="A28" i="27"/>
  <c r="A27" i="27"/>
  <c r="Q80" i="27"/>
  <c r="P80" i="27"/>
  <c r="O80" i="27"/>
  <c r="N80" i="27"/>
  <c r="M80" i="27"/>
  <c r="F80" i="27"/>
  <c r="E80" i="27"/>
  <c r="D80" i="27"/>
  <c r="C80" i="27"/>
  <c r="B80" i="27"/>
  <c r="Q79" i="27"/>
  <c r="P79" i="27"/>
  <c r="O79" i="27"/>
  <c r="N79" i="27"/>
  <c r="M79" i="27"/>
  <c r="F79" i="27"/>
  <c r="E79" i="27"/>
  <c r="D79" i="27"/>
  <c r="C79" i="27"/>
  <c r="B79" i="27"/>
  <c r="D12" i="27"/>
  <c r="C181" i="26"/>
  <c r="I22" i="26" s="1"/>
  <c r="I76" i="27" l="1"/>
  <c r="C94" i="27"/>
  <c r="M94" i="27"/>
  <c r="I74" i="27"/>
  <c r="I70" i="27"/>
  <c r="T77" i="27"/>
  <c r="I72" i="27"/>
  <c r="T130" i="27"/>
  <c r="L100" i="27"/>
  <c r="L114" i="27"/>
  <c r="L84" i="27"/>
  <c r="K88" i="27"/>
  <c r="D107" i="27"/>
  <c r="S109" i="27"/>
  <c r="C107" i="27"/>
  <c r="L109" i="27"/>
  <c r="S113" i="27"/>
  <c r="H92" i="27"/>
  <c r="H93" i="27" s="1"/>
  <c r="H94" i="27" s="1"/>
  <c r="B94" i="27"/>
  <c r="F94" i="27"/>
  <c r="P120" i="27"/>
  <c r="L126" i="27"/>
  <c r="L130" i="27"/>
  <c r="T88" i="27"/>
  <c r="S96" i="27"/>
  <c r="S98" i="27"/>
  <c r="I101" i="27"/>
  <c r="J101" i="27" s="1"/>
  <c r="L101" i="27" s="1"/>
  <c r="I104" i="27"/>
  <c r="T109" i="27"/>
  <c r="S111" i="27"/>
  <c r="S112" i="27"/>
  <c r="I115" i="27"/>
  <c r="T70" i="27"/>
  <c r="T72" i="27"/>
  <c r="T74" i="27"/>
  <c r="S76" i="27"/>
  <c r="I78" i="27"/>
  <c r="C81" i="27"/>
  <c r="I82" i="27"/>
  <c r="I92" i="27" s="1"/>
  <c r="I83" i="27"/>
  <c r="I84" i="27"/>
  <c r="I85" i="27"/>
  <c r="I86" i="27"/>
  <c r="I87" i="27"/>
  <c r="I88" i="27"/>
  <c r="T96" i="27"/>
  <c r="T97" i="27"/>
  <c r="T98" i="27"/>
  <c r="T99" i="27"/>
  <c r="S100" i="27"/>
  <c r="S101" i="27"/>
  <c r="S102" i="27"/>
  <c r="S103" i="27"/>
  <c r="S104" i="27"/>
  <c r="P107" i="27"/>
  <c r="I108" i="27"/>
  <c r="I118" i="27" s="1"/>
  <c r="I109" i="27"/>
  <c r="T110" i="27"/>
  <c r="T111" i="27"/>
  <c r="T112" i="27"/>
  <c r="T113" i="27"/>
  <c r="S114" i="27"/>
  <c r="S115" i="27"/>
  <c r="S116" i="27"/>
  <c r="S117" i="27"/>
  <c r="S121" i="27"/>
  <c r="L122" i="27"/>
  <c r="I123" i="27"/>
  <c r="I124" i="27"/>
  <c r="I125" i="27"/>
  <c r="I126" i="27"/>
  <c r="I127" i="27"/>
  <c r="I128" i="27"/>
  <c r="I129" i="27"/>
  <c r="I130" i="27"/>
  <c r="O133" i="27"/>
  <c r="T89" i="27"/>
  <c r="T91" i="27"/>
  <c r="I103" i="27"/>
  <c r="I117" i="27"/>
  <c r="I122" i="27"/>
  <c r="I69" i="27"/>
  <c r="J69" i="27" s="1"/>
  <c r="I71" i="27"/>
  <c r="I73" i="27"/>
  <c r="I75" i="27"/>
  <c r="J75" i="27" s="1"/>
  <c r="T76" i="27"/>
  <c r="S82" i="27"/>
  <c r="S83" i="27"/>
  <c r="S84" i="27"/>
  <c r="S85" i="27"/>
  <c r="S86" i="27"/>
  <c r="S87" i="27"/>
  <c r="I89" i="27"/>
  <c r="I90" i="27"/>
  <c r="I91" i="27"/>
  <c r="J91" i="27" s="1"/>
  <c r="L91" i="27" s="1"/>
  <c r="E94" i="27"/>
  <c r="I95" i="27"/>
  <c r="I105" i="27" s="1"/>
  <c r="I96" i="27"/>
  <c r="T100" i="27"/>
  <c r="T101" i="27"/>
  <c r="T102" i="27"/>
  <c r="T103" i="27"/>
  <c r="T104" i="27"/>
  <c r="S108" i="27"/>
  <c r="I110" i="27"/>
  <c r="L113" i="27"/>
  <c r="T114" i="27"/>
  <c r="T115" i="27"/>
  <c r="T116" i="27"/>
  <c r="T117" i="27"/>
  <c r="C120" i="27"/>
  <c r="M120" i="27"/>
  <c r="Q120" i="27"/>
  <c r="T121" i="27"/>
  <c r="S122" i="27"/>
  <c r="S123" i="27"/>
  <c r="S124" i="27"/>
  <c r="S125" i="27"/>
  <c r="S126" i="27"/>
  <c r="S127" i="27"/>
  <c r="S128" i="27"/>
  <c r="S129" i="27"/>
  <c r="S130" i="27"/>
  <c r="B133" i="27"/>
  <c r="F133" i="27"/>
  <c r="P133" i="27"/>
  <c r="T90" i="27"/>
  <c r="T95" i="27"/>
  <c r="S97" i="27"/>
  <c r="S99" i="27"/>
  <c r="I102" i="27"/>
  <c r="S110" i="27"/>
  <c r="I116" i="27"/>
  <c r="I121" i="27"/>
  <c r="I131" i="27" s="1"/>
  <c r="T69" i="27"/>
  <c r="T71" i="27"/>
  <c r="T73" i="27"/>
  <c r="T75" i="27"/>
  <c r="I77" i="27"/>
  <c r="T82" i="27"/>
  <c r="T83" i="27"/>
  <c r="T84" i="27"/>
  <c r="T85" i="27"/>
  <c r="T86" i="27"/>
  <c r="T87" i="27"/>
  <c r="S88" i="27"/>
  <c r="S89" i="27"/>
  <c r="S90" i="27"/>
  <c r="S91" i="27"/>
  <c r="S95" i="27"/>
  <c r="L96" i="27"/>
  <c r="I97" i="27"/>
  <c r="J97" i="27" s="1"/>
  <c r="K97" i="27" s="1"/>
  <c r="I98" i="27"/>
  <c r="I99" i="27"/>
  <c r="I100" i="27"/>
  <c r="L104" i="27"/>
  <c r="T108" i="27"/>
  <c r="L110" i="27"/>
  <c r="I111" i="27"/>
  <c r="I112" i="27"/>
  <c r="I113" i="27"/>
  <c r="I114" i="27"/>
  <c r="L117" i="27"/>
  <c r="T122" i="27"/>
  <c r="T123" i="27"/>
  <c r="T124" i="27"/>
  <c r="T125" i="27"/>
  <c r="T126" i="27"/>
  <c r="T127" i="27"/>
  <c r="T128" i="27"/>
  <c r="T129" i="27"/>
  <c r="C133" i="27"/>
  <c r="M133" i="27"/>
  <c r="Q133" i="27"/>
  <c r="N133" i="27"/>
  <c r="N120" i="27"/>
  <c r="O120" i="27"/>
  <c r="N107" i="27"/>
  <c r="O107" i="27"/>
  <c r="M107" i="27"/>
  <c r="Q107" i="27"/>
  <c r="Q94" i="27"/>
  <c r="P94" i="27"/>
  <c r="N94" i="27"/>
  <c r="O94" i="27"/>
  <c r="D133" i="27"/>
  <c r="H131" i="27"/>
  <c r="H133" i="27" s="1"/>
  <c r="E133" i="27"/>
  <c r="K114" i="27"/>
  <c r="D120" i="27"/>
  <c r="H118" i="27"/>
  <c r="H120" i="27" s="1"/>
  <c r="K110" i="27"/>
  <c r="E120" i="27"/>
  <c r="B120" i="27"/>
  <c r="F120" i="27"/>
  <c r="H105" i="27"/>
  <c r="H106" i="27" s="1"/>
  <c r="H107" i="27" s="1"/>
  <c r="E107" i="27"/>
  <c r="B107" i="27"/>
  <c r="F107" i="27"/>
  <c r="J83" i="27"/>
  <c r="L83" i="27" s="1"/>
  <c r="J87" i="27"/>
  <c r="K87" i="27" s="1"/>
  <c r="D94" i="27"/>
  <c r="J78" i="27"/>
  <c r="J77" i="27"/>
  <c r="J74" i="27"/>
  <c r="J73" i="27"/>
  <c r="L73" i="27" s="1"/>
  <c r="J71" i="27"/>
  <c r="L71" i="27" s="1"/>
  <c r="J70" i="27"/>
  <c r="L70" i="27" s="1"/>
  <c r="K123" i="27"/>
  <c r="L123" i="27"/>
  <c r="L125" i="27"/>
  <c r="K125" i="27"/>
  <c r="L129" i="27"/>
  <c r="K129" i="27"/>
  <c r="K124" i="27"/>
  <c r="L124" i="27"/>
  <c r="K127" i="27"/>
  <c r="L127" i="27"/>
  <c r="K128" i="27"/>
  <c r="L128" i="27"/>
  <c r="J121" i="27"/>
  <c r="K122" i="27"/>
  <c r="K126" i="27"/>
  <c r="K130" i="27"/>
  <c r="K115" i="27"/>
  <c r="L115" i="27"/>
  <c r="L116" i="27"/>
  <c r="K116" i="27"/>
  <c r="K111" i="27"/>
  <c r="L111" i="27"/>
  <c r="L112" i="27"/>
  <c r="K112" i="27"/>
  <c r="J108" i="27"/>
  <c r="K109" i="27"/>
  <c r="K113" i="27"/>
  <c r="K117" i="27"/>
  <c r="J118" i="27"/>
  <c r="K98" i="27"/>
  <c r="L98" i="27"/>
  <c r="L99" i="27"/>
  <c r="K99" i="27"/>
  <c r="K102" i="27"/>
  <c r="L102" i="27"/>
  <c r="L103" i="27"/>
  <c r="K103" i="27"/>
  <c r="J105" i="27"/>
  <c r="J95" i="27"/>
  <c r="K96" i="27"/>
  <c r="K100" i="27"/>
  <c r="K104" i="27"/>
  <c r="K85" i="27"/>
  <c r="L85" i="27"/>
  <c r="K86" i="27"/>
  <c r="L86" i="27"/>
  <c r="K89" i="27"/>
  <c r="L89" i="27"/>
  <c r="L90" i="27"/>
  <c r="K90" i="27"/>
  <c r="K84" i="27"/>
  <c r="J82" i="27"/>
  <c r="L88" i="27"/>
  <c r="J92" i="27"/>
  <c r="H79" i="27"/>
  <c r="E81" i="27"/>
  <c r="S77" i="27"/>
  <c r="S69" i="27"/>
  <c r="S70" i="27"/>
  <c r="S75" i="27"/>
  <c r="S71" i="27"/>
  <c r="S72" i="27"/>
  <c r="S73" i="27"/>
  <c r="S74" i="27"/>
  <c r="S78" i="27"/>
  <c r="T78" i="27"/>
  <c r="K72" i="27"/>
  <c r="N81" i="27"/>
  <c r="B81" i="27"/>
  <c r="F81" i="27"/>
  <c r="P81" i="27"/>
  <c r="M81" i="27"/>
  <c r="Q81" i="27"/>
  <c r="D81" i="27"/>
  <c r="O81" i="27"/>
  <c r="I106" i="27" l="1"/>
  <c r="I107" i="27" s="1"/>
  <c r="L97" i="27"/>
  <c r="I119" i="27"/>
  <c r="I120" i="27" s="1"/>
  <c r="I79" i="27"/>
  <c r="I132" i="27"/>
  <c r="I133" i="27" s="1"/>
  <c r="K91" i="27"/>
  <c r="S106" i="27"/>
  <c r="T131" i="27"/>
  <c r="S92" i="27"/>
  <c r="I80" i="27"/>
  <c r="T80" i="27"/>
  <c r="T132" i="27"/>
  <c r="T133" i="27" s="1"/>
  <c r="T92" i="27"/>
  <c r="S132" i="27"/>
  <c r="S93" i="27"/>
  <c r="T118" i="27"/>
  <c r="S105" i="27"/>
  <c r="T106" i="27"/>
  <c r="S119" i="27"/>
  <c r="T105" i="27"/>
  <c r="K101" i="27"/>
  <c r="H119" i="27"/>
  <c r="S131" i="27"/>
  <c r="I93" i="27"/>
  <c r="I94" i="27" s="1"/>
  <c r="H132" i="27"/>
  <c r="T93" i="27"/>
  <c r="T119" i="27"/>
  <c r="S118" i="27"/>
  <c r="K83" i="27"/>
  <c r="L87" i="27"/>
  <c r="T79" i="27"/>
  <c r="J79" i="27"/>
  <c r="J80" i="27" s="1"/>
  <c r="J81" i="27" s="1"/>
  <c r="L74" i="27"/>
  <c r="H80" i="27"/>
  <c r="H81" i="27" s="1"/>
  <c r="L121" i="27"/>
  <c r="K121" i="27"/>
  <c r="J131" i="27"/>
  <c r="L108" i="27"/>
  <c r="K108" i="27"/>
  <c r="J119" i="27"/>
  <c r="J120" i="27" s="1"/>
  <c r="J106" i="27"/>
  <c r="J107" i="27" s="1"/>
  <c r="L95" i="27"/>
  <c r="K95" i="27"/>
  <c r="K82" i="27"/>
  <c r="L82" i="27"/>
  <c r="J93" i="27"/>
  <c r="J94" i="27" s="1"/>
  <c r="L72" i="27"/>
  <c r="K74" i="27"/>
  <c r="L76" i="27"/>
  <c r="K76" i="27"/>
  <c r="S80" i="27"/>
  <c r="K70" i="27"/>
  <c r="S79" i="27"/>
  <c r="K73" i="27"/>
  <c r="K78" i="27"/>
  <c r="L78" i="27"/>
  <c r="K71" i="27"/>
  <c r="L75" i="27"/>
  <c r="K75" i="27"/>
  <c r="L77" i="27"/>
  <c r="K77" i="27"/>
  <c r="L69" i="27"/>
  <c r="K69" i="27"/>
  <c r="T107" i="27" l="1"/>
  <c r="I81" i="27"/>
  <c r="S133" i="27"/>
  <c r="T81" i="27"/>
  <c r="S120" i="27"/>
  <c r="S107" i="27"/>
  <c r="S94" i="27"/>
  <c r="T120" i="27"/>
  <c r="T94" i="27"/>
  <c r="J132" i="27"/>
  <c r="J133" i="27" s="1"/>
  <c r="K132" i="27"/>
  <c r="K131" i="27"/>
  <c r="L132" i="27"/>
  <c r="L131" i="27"/>
  <c r="K119" i="27"/>
  <c r="K118" i="27"/>
  <c r="L119" i="27"/>
  <c r="L118" i="27"/>
  <c r="K106" i="27"/>
  <c r="K105" i="27"/>
  <c r="L106" i="27"/>
  <c r="L105" i="27"/>
  <c r="L93" i="27"/>
  <c r="L92" i="27"/>
  <c r="K93" i="27"/>
  <c r="K92" i="27"/>
  <c r="S81" i="27"/>
  <c r="K80" i="27"/>
  <c r="K79" i="27"/>
  <c r="L79" i="27"/>
  <c r="L80" i="27"/>
  <c r="L107" i="27" l="1"/>
  <c r="L133" i="27"/>
  <c r="K133" i="27"/>
  <c r="K107" i="27"/>
  <c r="L94" i="27"/>
  <c r="L120" i="27"/>
  <c r="K120" i="27"/>
  <c r="K94" i="27"/>
  <c r="L81" i="27"/>
  <c r="K81" i="27"/>
  <c r="I20" i="26" l="1"/>
  <c r="D91" i="26"/>
  <c r="D92" i="26" s="1"/>
  <c r="D89" i="26"/>
  <c r="D90" i="26" s="1"/>
  <c r="C91" i="26"/>
  <c r="C89" i="26"/>
  <c r="D84" i="26"/>
  <c r="C87" i="38" l="1"/>
  <c r="C87" i="87"/>
  <c r="C85" i="38"/>
  <c r="C85" i="87"/>
  <c r="C40" i="19"/>
  <c r="C39" i="19"/>
  <c r="C38" i="19"/>
  <c r="DX20" i="37" l="1"/>
  <c r="DJ20" i="37"/>
  <c r="CV20" i="37"/>
  <c r="CH20" i="37"/>
  <c r="CL27" i="37" s="1"/>
  <c r="BT20" i="37"/>
  <c r="BF20" i="37"/>
  <c r="DJ19" i="37"/>
  <c r="CV19" i="37"/>
  <c r="CH19" i="37"/>
  <c r="BT19" i="37"/>
  <c r="AR19" i="37"/>
  <c r="DX27" i="37" l="1"/>
  <c r="EB27" i="37" s="1"/>
  <c r="DJ27" i="37"/>
  <c r="DN27" i="37" s="1"/>
  <c r="DN33" i="37"/>
  <c r="CZ33" i="37"/>
  <c r="CV27" i="37"/>
  <c r="CZ27" i="37" s="1"/>
  <c r="BT27" i="37"/>
  <c r="BX27" i="37" s="1"/>
  <c r="BX33" i="37"/>
  <c r="BF27" i="37"/>
  <c r="BJ27" i="37" s="1"/>
  <c r="DX19" i="37"/>
  <c r="AR20" i="37"/>
  <c r="AO32" i="37"/>
  <c r="F68" i="14"/>
  <c r="F64" i="14"/>
  <c r="E66" i="14"/>
  <c r="EB33" i="37" l="1"/>
  <c r="BC27" i="37"/>
  <c r="AO27" i="37"/>
  <c r="BQ27" i="37"/>
  <c r="CE27" i="37"/>
  <c r="C61" i="14"/>
  <c r="D68" i="14" l="1"/>
  <c r="D67" i="14"/>
  <c r="D66" i="14"/>
  <c r="D65" i="14"/>
  <c r="D64" i="14"/>
  <c r="D63" i="14"/>
  <c r="D62" i="14"/>
  <c r="D61" i="14"/>
  <c r="L68" i="14" l="1"/>
  <c r="L61" i="14"/>
  <c r="E68" i="14"/>
  <c r="E61" i="14"/>
  <c r="F61" i="14"/>
  <c r="M68" i="14"/>
  <c r="K68" i="14" s="1"/>
  <c r="K61" i="14" l="1"/>
  <c r="J61" i="14"/>
  <c r="AE8" i="9"/>
  <c r="AF8" i="9"/>
  <c r="AG8" i="9"/>
  <c r="AE12" i="9"/>
  <c r="AF12" i="9"/>
  <c r="AG12" i="9"/>
  <c r="AH12" i="9"/>
  <c r="AE14" i="9"/>
  <c r="AF14" i="9"/>
  <c r="AH14" i="9"/>
  <c r="AF15" i="9"/>
  <c r="AH15" i="9"/>
  <c r="AE16" i="9"/>
  <c r="AF16" i="9"/>
  <c r="AH16" i="9"/>
  <c r="AF17" i="9"/>
  <c r="AH17" i="9"/>
  <c r="AE18" i="9"/>
  <c r="AF18" i="9"/>
  <c r="AH18" i="9"/>
  <c r="AF19" i="9"/>
  <c r="AH19" i="9"/>
  <c r="AE20" i="9"/>
  <c r="AF20" i="9"/>
  <c r="AH20" i="9"/>
  <c r="AF21" i="9"/>
  <c r="AH21" i="9"/>
  <c r="AE22" i="9"/>
  <c r="AF22" i="9"/>
  <c r="AH22" i="9"/>
  <c r="AF23" i="9"/>
  <c r="AH23" i="9"/>
  <c r="AE24" i="9"/>
  <c r="AF24" i="9"/>
  <c r="AH24" i="9"/>
  <c r="AF25" i="9"/>
  <c r="AH25" i="9"/>
  <c r="AE26" i="9"/>
  <c r="AF26" i="9"/>
  <c r="AH26" i="9"/>
  <c r="AF27" i="9"/>
  <c r="AH27" i="9"/>
  <c r="AE29" i="9"/>
  <c r="AF29" i="9"/>
  <c r="AH29" i="9"/>
  <c r="AF30" i="9"/>
  <c r="AH30" i="9"/>
  <c r="AE31" i="9"/>
  <c r="AF31" i="9"/>
  <c r="AH31" i="9"/>
  <c r="AF32" i="9"/>
  <c r="AH32" i="9"/>
  <c r="AE33" i="9"/>
  <c r="AF33" i="9"/>
  <c r="AH33" i="9"/>
  <c r="AF34" i="9"/>
  <c r="AH34" i="9"/>
  <c r="AE35" i="9"/>
  <c r="AF35" i="9"/>
  <c r="AH35" i="9"/>
  <c r="AF36" i="9"/>
  <c r="AH36" i="9"/>
  <c r="AE37" i="9"/>
  <c r="AF37" i="9"/>
  <c r="AH37" i="9"/>
  <c r="AF38" i="9"/>
  <c r="AH38" i="9"/>
  <c r="AE39" i="9"/>
  <c r="AF39" i="9"/>
  <c r="AH39" i="9"/>
  <c r="AF40" i="9"/>
  <c r="AH40" i="9"/>
  <c r="D288" i="1" l="1"/>
  <c r="BX225" i="1"/>
  <c r="D278" i="1" s="1"/>
  <c r="BX222" i="1"/>
  <c r="D277" i="1" s="1"/>
  <c r="TF225" i="1"/>
  <c r="TF222" i="1"/>
  <c r="BF225" i="1"/>
  <c r="BF222" i="1"/>
  <c r="CP225" i="1"/>
  <c r="D268" i="1" s="1"/>
  <c r="CP222" i="1"/>
  <c r="D266" i="1"/>
  <c r="AG38" i="9" l="1"/>
  <c r="AG17" i="9"/>
  <c r="F268" i="1"/>
  <c r="D267" i="1"/>
  <c r="AG26" i="9"/>
  <c r="AG27" i="9"/>
  <c r="AI14" i="9"/>
  <c r="AG14" i="9"/>
  <c r="ES130" i="1"/>
  <c r="MZ144" i="1"/>
  <c r="MZ145" i="1"/>
  <c r="AG16" i="9" l="1"/>
  <c r="G266" i="1"/>
  <c r="AJ17" i="9" s="1"/>
  <c r="AG15" i="9"/>
  <c r="J17" i="9" s="1"/>
  <c r="UR153" i="1"/>
  <c r="N17" i="9" l="1"/>
  <c r="V20" i="44"/>
  <c r="AC19" i="44"/>
  <c r="AD20" i="44"/>
  <c r="I10" i="44"/>
  <c r="I19" i="44" l="1"/>
  <c r="M19" i="44" s="1"/>
  <c r="N19" i="44" s="1"/>
  <c r="V19" i="44"/>
  <c r="AD19" i="44"/>
  <c r="AD21" i="44" s="1"/>
  <c r="AE19" i="44" s="1"/>
  <c r="N21" i="44" l="1"/>
  <c r="O20" i="44" s="1"/>
  <c r="R42" i="72"/>
  <c r="V42" i="72" s="1"/>
  <c r="N42" i="72"/>
  <c r="R41" i="72"/>
  <c r="V41" i="72" s="1"/>
  <c r="N41" i="72"/>
  <c r="R43" i="72"/>
  <c r="V43" i="72" s="1"/>
  <c r="N43" i="72"/>
  <c r="AE20" i="44"/>
  <c r="N44" i="49"/>
  <c r="N45" i="49"/>
  <c r="N46" i="49"/>
  <c r="AE16" i="44"/>
  <c r="AD24" i="44"/>
  <c r="W55" i="18" s="1"/>
  <c r="MZ153" i="1"/>
  <c r="EB153" i="1"/>
  <c r="J136" i="1"/>
  <c r="AB136" i="1"/>
  <c r="AT136" i="1"/>
  <c r="BL136" i="1"/>
  <c r="CD136" i="1"/>
  <c r="CV136" i="1"/>
  <c r="DN136" i="1"/>
  <c r="EF136" i="1"/>
  <c r="EX136" i="1"/>
  <c r="FP136" i="1"/>
  <c r="GH136" i="1"/>
  <c r="GZ136" i="1"/>
  <c r="HR136" i="1"/>
  <c r="IJ136" i="1"/>
  <c r="JB136" i="1"/>
  <c r="JT136" i="1"/>
  <c r="KL136" i="1"/>
  <c r="LD136" i="1"/>
  <c r="LV136" i="1"/>
  <c r="MN136" i="1"/>
  <c r="NF136" i="1"/>
  <c r="NX136" i="1"/>
  <c r="OP136" i="1"/>
  <c r="PH136" i="1"/>
  <c r="PZ136" i="1"/>
  <c r="QR136" i="1"/>
  <c r="RJ136" i="1"/>
  <c r="SB136" i="1"/>
  <c r="ST136" i="1"/>
  <c r="TL136" i="1"/>
  <c r="UD136" i="1"/>
  <c r="UV136" i="1"/>
  <c r="J137" i="1"/>
  <c r="AB137" i="1"/>
  <c r="AT137" i="1"/>
  <c r="BL137" i="1"/>
  <c r="CD137" i="1"/>
  <c r="CV137" i="1"/>
  <c r="DN137" i="1"/>
  <c r="EF137" i="1"/>
  <c r="EX137" i="1"/>
  <c r="FP137" i="1"/>
  <c r="GH137" i="1"/>
  <c r="GZ137" i="1"/>
  <c r="HR137" i="1"/>
  <c r="IJ137" i="1"/>
  <c r="JB137" i="1"/>
  <c r="JT137" i="1"/>
  <c r="KL137" i="1"/>
  <c r="LD137" i="1"/>
  <c r="LV137" i="1"/>
  <c r="MN137" i="1"/>
  <c r="NF137" i="1"/>
  <c r="NX137" i="1"/>
  <c r="OP137" i="1"/>
  <c r="PH137" i="1"/>
  <c r="PZ137" i="1"/>
  <c r="QR137" i="1"/>
  <c r="RJ137" i="1"/>
  <c r="SB137" i="1"/>
  <c r="ST137" i="1"/>
  <c r="TL137" i="1"/>
  <c r="UD137" i="1"/>
  <c r="UV137" i="1"/>
  <c r="J138" i="1"/>
  <c r="K138" i="1" s="1"/>
  <c r="L138" i="1" s="1"/>
  <c r="AB138" i="1"/>
  <c r="AT138" i="1"/>
  <c r="BL138" i="1"/>
  <c r="CD138" i="1"/>
  <c r="CV138" i="1"/>
  <c r="DN138" i="1"/>
  <c r="EF138" i="1"/>
  <c r="EX138" i="1"/>
  <c r="FP138" i="1"/>
  <c r="GH138" i="1"/>
  <c r="GZ138" i="1"/>
  <c r="HR138" i="1"/>
  <c r="IJ138" i="1"/>
  <c r="JB138" i="1"/>
  <c r="JT138" i="1"/>
  <c r="KL138" i="1"/>
  <c r="LD138" i="1"/>
  <c r="LV138" i="1"/>
  <c r="MN138" i="1"/>
  <c r="NF138" i="1"/>
  <c r="NX138" i="1"/>
  <c r="OP138" i="1"/>
  <c r="PH138" i="1"/>
  <c r="PZ138" i="1"/>
  <c r="QR138" i="1"/>
  <c r="RJ138" i="1"/>
  <c r="SB138" i="1"/>
  <c r="ST138" i="1"/>
  <c r="TL138" i="1"/>
  <c r="UD138" i="1"/>
  <c r="UV138" i="1"/>
  <c r="J139" i="1"/>
  <c r="AB139" i="1"/>
  <c r="AT139" i="1"/>
  <c r="BL139" i="1"/>
  <c r="CD139" i="1"/>
  <c r="CV139" i="1"/>
  <c r="DN139" i="1"/>
  <c r="EF139" i="1"/>
  <c r="EX139" i="1"/>
  <c r="FP139" i="1"/>
  <c r="GH139" i="1"/>
  <c r="GZ139" i="1"/>
  <c r="HR139" i="1"/>
  <c r="IJ139" i="1"/>
  <c r="JB139" i="1"/>
  <c r="JT139" i="1"/>
  <c r="KL139" i="1"/>
  <c r="LD139" i="1"/>
  <c r="LV139" i="1"/>
  <c r="MN139" i="1"/>
  <c r="NF139" i="1"/>
  <c r="NX139" i="1"/>
  <c r="OP139" i="1"/>
  <c r="PH139" i="1"/>
  <c r="PZ139" i="1"/>
  <c r="QR139" i="1"/>
  <c r="RJ139" i="1"/>
  <c r="SB139" i="1"/>
  <c r="ST139" i="1"/>
  <c r="TL139" i="1"/>
  <c r="UD139" i="1"/>
  <c r="UV139" i="1"/>
  <c r="J140" i="1"/>
  <c r="AB140" i="1"/>
  <c r="AT140" i="1"/>
  <c r="BL140" i="1"/>
  <c r="CD140" i="1"/>
  <c r="CV140" i="1"/>
  <c r="DN140" i="1"/>
  <c r="EF140" i="1"/>
  <c r="EX140" i="1"/>
  <c r="FP140" i="1"/>
  <c r="GH140" i="1"/>
  <c r="GZ140" i="1"/>
  <c r="HR140" i="1"/>
  <c r="IJ140" i="1"/>
  <c r="JB140" i="1"/>
  <c r="JT140" i="1"/>
  <c r="KL140" i="1"/>
  <c r="LD140" i="1"/>
  <c r="LV140" i="1"/>
  <c r="MN140" i="1"/>
  <c r="NF140" i="1"/>
  <c r="NX140" i="1"/>
  <c r="OP140" i="1"/>
  <c r="PH140" i="1"/>
  <c r="PZ140" i="1"/>
  <c r="QR140" i="1"/>
  <c r="RJ140" i="1"/>
  <c r="SB140" i="1"/>
  <c r="ST140" i="1"/>
  <c r="TL140" i="1"/>
  <c r="UD140" i="1"/>
  <c r="UV140" i="1"/>
  <c r="J141" i="1"/>
  <c r="AB141" i="1"/>
  <c r="AT141" i="1"/>
  <c r="BL141" i="1"/>
  <c r="CD141" i="1"/>
  <c r="CV141" i="1"/>
  <c r="DN141" i="1"/>
  <c r="EF141" i="1"/>
  <c r="EX141" i="1"/>
  <c r="FP141" i="1"/>
  <c r="GH141" i="1"/>
  <c r="GZ141" i="1"/>
  <c r="HR141" i="1"/>
  <c r="IJ141" i="1"/>
  <c r="JB141" i="1"/>
  <c r="JT141" i="1"/>
  <c r="KL141" i="1"/>
  <c r="LD141" i="1"/>
  <c r="LV141" i="1"/>
  <c r="MN141" i="1"/>
  <c r="NF141" i="1"/>
  <c r="NX141" i="1"/>
  <c r="OP141" i="1"/>
  <c r="PH141" i="1"/>
  <c r="PZ141" i="1"/>
  <c r="QR141" i="1"/>
  <c r="RJ141" i="1"/>
  <c r="SB141" i="1"/>
  <c r="ST141" i="1"/>
  <c r="TL141" i="1"/>
  <c r="UD141" i="1"/>
  <c r="UV141" i="1"/>
  <c r="J142" i="1"/>
  <c r="AB142" i="1"/>
  <c r="AT142" i="1"/>
  <c r="BL142" i="1"/>
  <c r="CD142" i="1"/>
  <c r="CV142" i="1"/>
  <c r="DN142" i="1"/>
  <c r="EF142" i="1"/>
  <c r="EX142" i="1"/>
  <c r="FP142" i="1"/>
  <c r="GH142" i="1"/>
  <c r="GZ142" i="1"/>
  <c r="HR142" i="1"/>
  <c r="IJ142" i="1"/>
  <c r="JB142" i="1"/>
  <c r="JT142" i="1"/>
  <c r="KL142" i="1"/>
  <c r="LD142" i="1"/>
  <c r="LV142" i="1"/>
  <c r="MN142" i="1"/>
  <c r="NF142" i="1"/>
  <c r="NX142" i="1"/>
  <c r="OP142" i="1"/>
  <c r="PH142" i="1"/>
  <c r="PZ142" i="1"/>
  <c r="QR142" i="1"/>
  <c r="RJ142" i="1"/>
  <c r="SB142" i="1"/>
  <c r="ST142" i="1"/>
  <c r="TL142" i="1"/>
  <c r="UD142" i="1"/>
  <c r="UV142" i="1"/>
  <c r="W56" i="18" l="1"/>
  <c r="X56" i="18" s="1"/>
  <c r="N24" i="44"/>
  <c r="W51" i="18" s="1"/>
  <c r="O16" i="44"/>
  <c r="O19" i="44"/>
  <c r="R45" i="49"/>
  <c r="V45" i="49" s="1"/>
  <c r="R46" i="49"/>
  <c r="V46" i="49" s="1"/>
  <c r="R44" i="49"/>
  <c r="V44" i="49" s="1"/>
  <c r="O15" i="44"/>
  <c r="X55" i="18" l="1"/>
  <c r="AD43" i="82"/>
  <c r="W52" i="18"/>
  <c r="X52" i="18" s="1"/>
  <c r="H19" i="89"/>
  <c r="AD46" i="49"/>
  <c r="K19" i="89" s="1"/>
  <c r="AD43" i="72"/>
  <c r="H18" i="58" l="1"/>
  <c r="H18" i="89"/>
  <c r="H17" i="58"/>
  <c r="H17" i="89"/>
  <c r="X51" i="18"/>
  <c r="AD41" i="82"/>
  <c r="H19" i="58"/>
  <c r="K19" i="58"/>
  <c r="I145" i="1" l="1"/>
  <c r="I146" i="1" l="1"/>
  <c r="E65" i="14" l="1"/>
  <c r="E63" i="14"/>
  <c r="E67" i="14" l="1"/>
  <c r="E62" i="14"/>
  <c r="L67" i="14"/>
  <c r="L66" i="14"/>
  <c r="L65" i="14"/>
  <c r="L64" i="14"/>
  <c r="L63" i="14"/>
  <c r="L62" i="14"/>
  <c r="E64" i="14"/>
  <c r="F66" i="14"/>
  <c r="M64" i="14"/>
  <c r="K64" i="14" s="1"/>
  <c r="M66" i="14"/>
  <c r="K66" i="14" s="1"/>
  <c r="F62" i="14"/>
  <c r="F63" i="14"/>
  <c r="F67" i="14"/>
  <c r="F65" i="14"/>
  <c r="M63" i="14"/>
  <c r="M65" i="14"/>
  <c r="K65" i="14" s="1"/>
  <c r="M67" i="14"/>
  <c r="O61" i="14" l="1"/>
  <c r="O73" i="14" s="1"/>
  <c r="H61" i="14"/>
  <c r="H73" i="14" s="1"/>
  <c r="K67" i="14"/>
  <c r="K63" i="14"/>
  <c r="K62" i="14"/>
  <c r="F41" i="10" l="1"/>
  <c r="UR172" i="1" l="1"/>
  <c r="UR171" i="1"/>
  <c r="UV170" i="1"/>
  <c r="UV169" i="1"/>
  <c r="UV168" i="1"/>
  <c r="UV167" i="1"/>
  <c r="UV166" i="1"/>
  <c r="UR163" i="1"/>
  <c r="UR162" i="1"/>
  <c r="UV161" i="1"/>
  <c r="UV160" i="1"/>
  <c r="UV159" i="1"/>
  <c r="UV158" i="1"/>
  <c r="UV157" i="1"/>
  <c r="UR154" i="1"/>
  <c r="UV152" i="1"/>
  <c r="UV151" i="1"/>
  <c r="UV150" i="1"/>
  <c r="UV149" i="1"/>
  <c r="UV148" i="1"/>
  <c r="UR145" i="1"/>
  <c r="UV143" i="1"/>
  <c r="UV135" i="1"/>
  <c r="UV134" i="1"/>
  <c r="UR131" i="1"/>
  <c r="UR130" i="1"/>
  <c r="UV129" i="1"/>
  <c r="UV128" i="1"/>
  <c r="UV127" i="1"/>
  <c r="UV126" i="1"/>
  <c r="UV125" i="1"/>
  <c r="UR122" i="1"/>
  <c r="UR121" i="1"/>
  <c r="UV120" i="1"/>
  <c r="UV119" i="1"/>
  <c r="UV118" i="1"/>
  <c r="UV117" i="1"/>
  <c r="UV116" i="1"/>
  <c r="UR113" i="1"/>
  <c r="UR112" i="1"/>
  <c r="UV111" i="1"/>
  <c r="UV110" i="1"/>
  <c r="UV109" i="1"/>
  <c r="UV108" i="1"/>
  <c r="UV107" i="1"/>
  <c r="TZ172" i="1"/>
  <c r="TZ171" i="1"/>
  <c r="UD170" i="1"/>
  <c r="UD169" i="1"/>
  <c r="UD168" i="1"/>
  <c r="UD167" i="1"/>
  <c r="UD166" i="1"/>
  <c r="TZ163" i="1"/>
  <c r="TZ162" i="1"/>
  <c r="UD161" i="1"/>
  <c r="UD160" i="1"/>
  <c r="UD159" i="1"/>
  <c r="UD158" i="1"/>
  <c r="UD157" i="1"/>
  <c r="TZ154" i="1"/>
  <c r="TZ153" i="1"/>
  <c r="UD152" i="1"/>
  <c r="UD151" i="1"/>
  <c r="UD150" i="1"/>
  <c r="UD149" i="1"/>
  <c r="UD148" i="1"/>
  <c r="TZ145" i="1"/>
  <c r="TZ144" i="1"/>
  <c r="UD143" i="1"/>
  <c r="UD135" i="1"/>
  <c r="UD134" i="1"/>
  <c r="TZ131" i="1"/>
  <c r="TZ130" i="1"/>
  <c r="UD129" i="1"/>
  <c r="UD128" i="1"/>
  <c r="UD127" i="1"/>
  <c r="UD126" i="1"/>
  <c r="UD125" i="1"/>
  <c r="TZ122" i="1"/>
  <c r="TZ121" i="1"/>
  <c r="UD120" i="1"/>
  <c r="UD119" i="1"/>
  <c r="UD118" i="1"/>
  <c r="UD117" i="1"/>
  <c r="UD116" i="1"/>
  <c r="TZ113" i="1"/>
  <c r="TZ112" i="1"/>
  <c r="UD111" i="1"/>
  <c r="UD110" i="1"/>
  <c r="UD109" i="1"/>
  <c r="UD108" i="1"/>
  <c r="UD107" i="1"/>
  <c r="TH172" i="1"/>
  <c r="TH171" i="1"/>
  <c r="TL170" i="1"/>
  <c r="TL169" i="1"/>
  <c r="TL168" i="1"/>
  <c r="TL167" i="1"/>
  <c r="TL166" i="1"/>
  <c r="TH163" i="1"/>
  <c r="TH162" i="1"/>
  <c r="TL161" i="1"/>
  <c r="TL160" i="1"/>
  <c r="TL159" i="1"/>
  <c r="TL158" i="1"/>
  <c r="TL157" i="1"/>
  <c r="TH154" i="1"/>
  <c r="TH153" i="1"/>
  <c r="TL152" i="1"/>
  <c r="TL151" i="1"/>
  <c r="TL150" i="1"/>
  <c r="TL149" i="1"/>
  <c r="TL148" i="1"/>
  <c r="TH145" i="1"/>
  <c r="TL143" i="1"/>
  <c r="TL135" i="1"/>
  <c r="TL134" i="1"/>
  <c r="TH131" i="1"/>
  <c r="TH130" i="1"/>
  <c r="TL129" i="1"/>
  <c r="TL128" i="1"/>
  <c r="TL127" i="1"/>
  <c r="TL126" i="1"/>
  <c r="TL125" i="1"/>
  <c r="TH122" i="1"/>
  <c r="TH121" i="1"/>
  <c r="TL120" i="1"/>
  <c r="TL119" i="1"/>
  <c r="TL118" i="1"/>
  <c r="TL117" i="1"/>
  <c r="TL116" i="1"/>
  <c r="TH113" i="1"/>
  <c r="TH112" i="1"/>
  <c r="TL111" i="1"/>
  <c r="TL110" i="1"/>
  <c r="TL109" i="1"/>
  <c r="TL108" i="1"/>
  <c r="TL107" i="1"/>
  <c r="SP172" i="1"/>
  <c r="SP171" i="1"/>
  <c r="ST170" i="1"/>
  <c r="ST169" i="1"/>
  <c r="ST168" i="1"/>
  <c r="ST167" i="1"/>
  <c r="ST166" i="1"/>
  <c r="SP163" i="1"/>
  <c r="SP162" i="1"/>
  <c r="ST161" i="1"/>
  <c r="ST160" i="1"/>
  <c r="ST159" i="1"/>
  <c r="ST158" i="1"/>
  <c r="ST157" i="1"/>
  <c r="SP154" i="1"/>
  <c r="SP153" i="1"/>
  <c r="ST152" i="1"/>
  <c r="ST151" i="1"/>
  <c r="ST150" i="1"/>
  <c r="ST149" i="1"/>
  <c r="ST148" i="1"/>
  <c r="SP145" i="1"/>
  <c r="ST143" i="1"/>
  <c r="ST135" i="1"/>
  <c r="ST134" i="1"/>
  <c r="ST144" i="1" s="1"/>
  <c r="SP131" i="1"/>
  <c r="SP130" i="1"/>
  <c r="ST129" i="1"/>
  <c r="ST128" i="1"/>
  <c r="ST127" i="1"/>
  <c r="ST126" i="1"/>
  <c r="ST125" i="1"/>
  <c r="SP122" i="1"/>
  <c r="SP121" i="1"/>
  <c r="ST120" i="1"/>
  <c r="ST119" i="1"/>
  <c r="ST118" i="1"/>
  <c r="ST117" i="1"/>
  <c r="ST116" i="1"/>
  <c r="SP113" i="1"/>
  <c r="SP112" i="1"/>
  <c r="ST111" i="1"/>
  <c r="ST110" i="1"/>
  <c r="ST109" i="1"/>
  <c r="ST108" i="1"/>
  <c r="ST107" i="1"/>
  <c r="RX172" i="1"/>
  <c r="RX171" i="1"/>
  <c r="SB170" i="1"/>
  <c r="SB169" i="1"/>
  <c r="SB168" i="1"/>
  <c r="SB167" i="1"/>
  <c r="SB166" i="1"/>
  <c r="RX163" i="1"/>
  <c r="RX162" i="1"/>
  <c r="SB161" i="1"/>
  <c r="SB160" i="1"/>
  <c r="SB159" i="1"/>
  <c r="SB158" i="1"/>
  <c r="SB157" i="1"/>
  <c r="RX154" i="1"/>
  <c r="RX153" i="1"/>
  <c r="SB152" i="1"/>
  <c r="SB151" i="1"/>
  <c r="SB150" i="1"/>
  <c r="SB149" i="1"/>
  <c r="SB148" i="1"/>
  <c r="RX145" i="1"/>
  <c r="RX144" i="1"/>
  <c r="SB143" i="1"/>
  <c r="SB135" i="1"/>
  <c r="SB134" i="1"/>
  <c r="RX131" i="1"/>
  <c r="RX130" i="1"/>
  <c r="SB129" i="1"/>
  <c r="SB128" i="1"/>
  <c r="SB127" i="1"/>
  <c r="SB126" i="1"/>
  <c r="SB125" i="1"/>
  <c r="RX122" i="1"/>
  <c r="RX121" i="1"/>
  <c r="SB120" i="1"/>
  <c r="SB119" i="1"/>
  <c r="SB118" i="1"/>
  <c r="SB117" i="1"/>
  <c r="SB116" i="1"/>
  <c r="RX113" i="1"/>
  <c r="RX112" i="1"/>
  <c r="SB111" i="1"/>
  <c r="SB110" i="1"/>
  <c r="SB109" i="1"/>
  <c r="SB108" i="1"/>
  <c r="SB107" i="1"/>
  <c r="RF172" i="1"/>
  <c r="RF171" i="1"/>
  <c r="RJ170" i="1"/>
  <c r="RJ169" i="1"/>
  <c r="RJ168" i="1"/>
  <c r="RJ167" i="1"/>
  <c r="RJ166" i="1"/>
  <c r="RF163" i="1"/>
  <c r="RF162" i="1"/>
  <c r="RJ161" i="1"/>
  <c r="RJ160" i="1"/>
  <c r="RJ159" i="1"/>
  <c r="RJ158" i="1"/>
  <c r="RJ157" i="1"/>
  <c r="RF154" i="1"/>
  <c r="RF153" i="1"/>
  <c r="RJ152" i="1"/>
  <c r="RJ151" i="1"/>
  <c r="RJ150" i="1"/>
  <c r="RJ149" i="1"/>
  <c r="RJ148" i="1"/>
  <c r="RF145" i="1"/>
  <c r="RF144" i="1"/>
  <c r="RJ143" i="1"/>
  <c r="RJ135" i="1"/>
  <c r="RJ134" i="1"/>
  <c r="RF131" i="1"/>
  <c r="RF130" i="1"/>
  <c r="RJ129" i="1"/>
  <c r="RJ128" i="1"/>
  <c r="RJ127" i="1"/>
  <c r="RJ126" i="1"/>
  <c r="RJ125" i="1"/>
  <c r="RF122" i="1"/>
  <c r="RF121" i="1"/>
  <c r="RJ120" i="1"/>
  <c r="RJ119" i="1"/>
  <c r="RJ118" i="1"/>
  <c r="RJ117" i="1"/>
  <c r="RJ116" i="1"/>
  <c r="RF113" i="1"/>
  <c r="RF112" i="1"/>
  <c r="RJ111" i="1"/>
  <c r="RJ110" i="1"/>
  <c r="RJ109" i="1"/>
  <c r="RJ108" i="1"/>
  <c r="RJ107" i="1"/>
  <c r="QN172" i="1"/>
  <c r="QN171" i="1"/>
  <c r="QR170" i="1"/>
  <c r="QR169" i="1"/>
  <c r="QR168" i="1"/>
  <c r="QR167" i="1"/>
  <c r="QR166" i="1"/>
  <c r="QN163" i="1"/>
  <c r="QN162" i="1"/>
  <c r="QR161" i="1"/>
  <c r="QR160" i="1"/>
  <c r="QR159" i="1"/>
  <c r="QR158" i="1"/>
  <c r="QR157" i="1"/>
  <c r="QN154" i="1"/>
  <c r="QN153" i="1"/>
  <c r="QR152" i="1"/>
  <c r="QR151" i="1"/>
  <c r="QR150" i="1"/>
  <c r="QR149" i="1"/>
  <c r="QR148" i="1"/>
  <c r="QN145" i="1"/>
  <c r="QN144" i="1"/>
  <c r="QR143" i="1"/>
  <c r="QR135" i="1"/>
  <c r="QR134" i="1"/>
  <c r="QN131" i="1"/>
  <c r="QN130" i="1"/>
  <c r="QR129" i="1"/>
  <c r="QR128" i="1"/>
  <c r="QR127" i="1"/>
  <c r="QR126" i="1"/>
  <c r="QR125" i="1"/>
  <c r="QN122" i="1"/>
  <c r="QN121" i="1"/>
  <c r="QR120" i="1"/>
  <c r="QR119" i="1"/>
  <c r="QR118" i="1"/>
  <c r="QR117" i="1"/>
  <c r="QR116" i="1"/>
  <c r="QN113" i="1"/>
  <c r="QN112" i="1"/>
  <c r="QR111" i="1"/>
  <c r="QR110" i="1"/>
  <c r="QR109" i="1"/>
  <c r="QR108" i="1"/>
  <c r="QR107" i="1"/>
  <c r="PV172" i="1"/>
  <c r="PV171" i="1"/>
  <c r="PZ170" i="1"/>
  <c r="PZ169" i="1"/>
  <c r="PZ168" i="1"/>
  <c r="PZ167" i="1"/>
  <c r="PZ166" i="1"/>
  <c r="PV163" i="1"/>
  <c r="PV162" i="1"/>
  <c r="PZ161" i="1"/>
  <c r="PZ160" i="1"/>
  <c r="PZ159" i="1"/>
  <c r="PZ158" i="1"/>
  <c r="PZ157" i="1"/>
  <c r="PV154" i="1"/>
  <c r="PV153" i="1"/>
  <c r="PZ152" i="1"/>
  <c r="PZ151" i="1"/>
  <c r="PZ150" i="1"/>
  <c r="PZ149" i="1"/>
  <c r="PZ148" i="1"/>
  <c r="PV145" i="1"/>
  <c r="PV144" i="1"/>
  <c r="PZ143" i="1"/>
  <c r="PZ135" i="1"/>
  <c r="PZ134" i="1"/>
  <c r="PV131" i="1"/>
  <c r="PV130" i="1"/>
  <c r="PZ129" i="1"/>
  <c r="PZ128" i="1"/>
  <c r="PZ127" i="1"/>
  <c r="PZ126" i="1"/>
  <c r="PZ125" i="1"/>
  <c r="PV122" i="1"/>
  <c r="PV121" i="1"/>
  <c r="PZ120" i="1"/>
  <c r="PZ119" i="1"/>
  <c r="PZ118" i="1"/>
  <c r="PZ117" i="1"/>
  <c r="PZ116" i="1"/>
  <c r="PV113" i="1"/>
  <c r="PV112" i="1"/>
  <c r="PZ111" i="1"/>
  <c r="PZ110" i="1"/>
  <c r="PZ109" i="1"/>
  <c r="PZ108" i="1"/>
  <c r="PZ107" i="1"/>
  <c r="PD172" i="1"/>
  <c r="PD171" i="1"/>
  <c r="PH170" i="1"/>
  <c r="PH169" i="1"/>
  <c r="PH168" i="1"/>
  <c r="PH167" i="1"/>
  <c r="PH166" i="1"/>
  <c r="PD163" i="1"/>
  <c r="PD162" i="1"/>
  <c r="PH161" i="1"/>
  <c r="PH160" i="1"/>
  <c r="PH159" i="1"/>
  <c r="PH158" i="1"/>
  <c r="PH157" i="1"/>
  <c r="PD154" i="1"/>
  <c r="PD153" i="1"/>
  <c r="PH152" i="1"/>
  <c r="PH151" i="1"/>
  <c r="PH150" i="1"/>
  <c r="PH149" i="1"/>
  <c r="PH148" i="1"/>
  <c r="PD145" i="1"/>
  <c r="PH143" i="1"/>
  <c r="PH135" i="1"/>
  <c r="PH134" i="1"/>
  <c r="PD131" i="1"/>
  <c r="PD130" i="1"/>
  <c r="PH129" i="1"/>
  <c r="PH128" i="1"/>
  <c r="PH127" i="1"/>
  <c r="PH126" i="1"/>
  <c r="PH125" i="1"/>
  <c r="PD122" i="1"/>
  <c r="PD121" i="1"/>
  <c r="PH120" i="1"/>
  <c r="PH119" i="1"/>
  <c r="PH118" i="1"/>
  <c r="PH117" i="1"/>
  <c r="PH116" i="1"/>
  <c r="PD113" i="1"/>
  <c r="PD112" i="1"/>
  <c r="PH111" i="1"/>
  <c r="PH110" i="1"/>
  <c r="PH109" i="1"/>
  <c r="PH108" i="1"/>
  <c r="PH107" i="1"/>
  <c r="OL172" i="1"/>
  <c r="OL171" i="1"/>
  <c r="OP170" i="1"/>
  <c r="OP169" i="1"/>
  <c r="OP168" i="1"/>
  <c r="OP167" i="1"/>
  <c r="OP166" i="1"/>
  <c r="OL163" i="1"/>
  <c r="OL162" i="1"/>
  <c r="OP161" i="1"/>
  <c r="OP160" i="1"/>
  <c r="OP159" i="1"/>
  <c r="OP158" i="1"/>
  <c r="OP157" i="1"/>
  <c r="OL154" i="1"/>
  <c r="OL153" i="1"/>
  <c r="OP152" i="1"/>
  <c r="OP151" i="1"/>
  <c r="OP150" i="1"/>
  <c r="OP149" i="1"/>
  <c r="OP148" i="1"/>
  <c r="OL145" i="1"/>
  <c r="OL144" i="1"/>
  <c r="OP143" i="1"/>
  <c r="OP135" i="1"/>
  <c r="OP134" i="1"/>
  <c r="OL131" i="1"/>
  <c r="OL130" i="1"/>
  <c r="OP129" i="1"/>
  <c r="OP128" i="1"/>
  <c r="OP127" i="1"/>
  <c r="OP126" i="1"/>
  <c r="OP125" i="1"/>
  <c r="OL122" i="1"/>
  <c r="OL121" i="1"/>
  <c r="OP120" i="1"/>
  <c r="OP119" i="1"/>
  <c r="OP118" i="1"/>
  <c r="OP117" i="1"/>
  <c r="OP116" i="1"/>
  <c r="OL113" i="1"/>
  <c r="OL112" i="1"/>
  <c r="OP111" i="1"/>
  <c r="OP110" i="1"/>
  <c r="OP109" i="1"/>
  <c r="OP108" i="1"/>
  <c r="OP107" i="1"/>
  <c r="NT172" i="1"/>
  <c r="NT171" i="1"/>
  <c r="NX170" i="1"/>
  <c r="NX169" i="1"/>
  <c r="NX168" i="1"/>
  <c r="NX167" i="1"/>
  <c r="NX166" i="1"/>
  <c r="NT163" i="1"/>
  <c r="NT162" i="1"/>
  <c r="NX161" i="1"/>
  <c r="NX160" i="1"/>
  <c r="NX159" i="1"/>
  <c r="NX158" i="1"/>
  <c r="NX157" i="1"/>
  <c r="NT154" i="1"/>
  <c r="NT153" i="1"/>
  <c r="NX152" i="1"/>
  <c r="NX151" i="1"/>
  <c r="NX150" i="1"/>
  <c r="NX149" i="1"/>
  <c r="NX148" i="1"/>
  <c r="NT145" i="1"/>
  <c r="NX143" i="1"/>
  <c r="NX135" i="1"/>
  <c r="NX134" i="1"/>
  <c r="NT131" i="1"/>
  <c r="NT130" i="1"/>
  <c r="NX129" i="1"/>
  <c r="NX128" i="1"/>
  <c r="NX127" i="1"/>
  <c r="NX126" i="1"/>
  <c r="NX125" i="1"/>
  <c r="NT122" i="1"/>
  <c r="NT121" i="1"/>
  <c r="NX120" i="1"/>
  <c r="NX119" i="1"/>
  <c r="NX118" i="1"/>
  <c r="NX117" i="1"/>
  <c r="NX116" i="1"/>
  <c r="NT113" i="1"/>
  <c r="NT112" i="1"/>
  <c r="NX111" i="1"/>
  <c r="NX110" i="1"/>
  <c r="NX109" i="1"/>
  <c r="NX108" i="1"/>
  <c r="NX107" i="1"/>
  <c r="NB172" i="1"/>
  <c r="NB171" i="1"/>
  <c r="NF170" i="1"/>
  <c r="NF169" i="1"/>
  <c r="NF168" i="1"/>
  <c r="NF167" i="1"/>
  <c r="NF166" i="1"/>
  <c r="NB163" i="1"/>
  <c r="NB162" i="1"/>
  <c r="NF161" i="1"/>
  <c r="NF160" i="1"/>
  <c r="NF159" i="1"/>
  <c r="NF158" i="1"/>
  <c r="NF157" i="1"/>
  <c r="NB154" i="1"/>
  <c r="NB153" i="1"/>
  <c r="NF152" i="1"/>
  <c r="NF151" i="1"/>
  <c r="NF150" i="1"/>
  <c r="NF149" i="1"/>
  <c r="NF148" i="1"/>
  <c r="NB145" i="1"/>
  <c r="NB144" i="1"/>
  <c r="NF143" i="1"/>
  <c r="NF135" i="1"/>
  <c r="NF134" i="1"/>
  <c r="NB131" i="1"/>
  <c r="NB130" i="1"/>
  <c r="NF129" i="1"/>
  <c r="NF128" i="1"/>
  <c r="NF127" i="1"/>
  <c r="NF126" i="1"/>
  <c r="NF125" i="1"/>
  <c r="NB122" i="1"/>
  <c r="NB121" i="1"/>
  <c r="NF120" i="1"/>
  <c r="NF119" i="1"/>
  <c r="NF118" i="1"/>
  <c r="NF117" i="1"/>
  <c r="NF116" i="1"/>
  <c r="NB113" i="1"/>
  <c r="NB112" i="1"/>
  <c r="NF111" i="1"/>
  <c r="NF110" i="1"/>
  <c r="NF109" i="1"/>
  <c r="NF108" i="1"/>
  <c r="NF107" i="1"/>
  <c r="MJ172" i="1"/>
  <c r="MJ171" i="1"/>
  <c r="MN170" i="1"/>
  <c r="MN169" i="1"/>
  <c r="MN168" i="1"/>
  <c r="MN167" i="1"/>
  <c r="MN166" i="1"/>
  <c r="MJ163" i="1"/>
  <c r="MJ162" i="1"/>
  <c r="MN161" i="1"/>
  <c r="MN160" i="1"/>
  <c r="MN159" i="1"/>
  <c r="MN158" i="1"/>
  <c r="MN157" i="1"/>
  <c r="MJ154" i="1"/>
  <c r="MJ153" i="1"/>
  <c r="MN152" i="1"/>
  <c r="MN151" i="1"/>
  <c r="MN150" i="1"/>
  <c r="MN149" i="1"/>
  <c r="MN148" i="1"/>
  <c r="MJ145" i="1"/>
  <c r="MJ144" i="1"/>
  <c r="MN143" i="1"/>
  <c r="MN135" i="1"/>
  <c r="MN134" i="1"/>
  <c r="MJ131" i="1"/>
  <c r="MJ130" i="1"/>
  <c r="MN129" i="1"/>
  <c r="MN128" i="1"/>
  <c r="MN127" i="1"/>
  <c r="MN126" i="1"/>
  <c r="MN125" i="1"/>
  <c r="MJ122" i="1"/>
  <c r="MJ121" i="1"/>
  <c r="MN120" i="1"/>
  <c r="MN119" i="1"/>
  <c r="MN118" i="1"/>
  <c r="MN117" i="1"/>
  <c r="MN116" i="1"/>
  <c r="MJ113" i="1"/>
  <c r="MJ112" i="1"/>
  <c r="MN111" i="1"/>
  <c r="MN110" i="1"/>
  <c r="MN109" i="1"/>
  <c r="MN108" i="1"/>
  <c r="MN107" i="1"/>
  <c r="LR172" i="1"/>
  <c r="LR171" i="1"/>
  <c r="LV170" i="1"/>
  <c r="LV169" i="1"/>
  <c r="LV168" i="1"/>
  <c r="LV167" i="1"/>
  <c r="LV166" i="1"/>
  <c r="LR163" i="1"/>
  <c r="LR162" i="1"/>
  <c r="LV161" i="1"/>
  <c r="LV160" i="1"/>
  <c r="LV159" i="1"/>
  <c r="LV158" i="1"/>
  <c r="LV157" i="1"/>
  <c r="LR154" i="1"/>
  <c r="LR153" i="1"/>
  <c r="LV152" i="1"/>
  <c r="LV151" i="1"/>
  <c r="LV150" i="1"/>
  <c r="LV149" i="1"/>
  <c r="LV148" i="1"/>
  <c r="LR145" i="1"/>
  <c r="LR144" i="1"/>
  <c r="LV143" i="1"/>
  <c r="LV135" i="1"/>
  <c r="LV134" i="1"/>
  <c r="LR131" i="1"/>
  <c r="LR130" i="1"/>
  <c r="LV129" i="1"/>
  <c r="LV128" i="1"/>
  <c r="LV127" i="1"/>
  <c r="LV126" i="1"/>
  <c r="LV125" i="1"/>
  <c r="LR122" i="1"/>
  <c r="LR121" i="1"/>
  <c r="LV120" i="1"/>
  <c r="LV119" i="1"/>
  <c r="LV118" i="1"/>
  <c r="LV117" i="1"/>
  <c r="LV116" i="1"/>
  <c r="LR113" i="1"/>
  <c r="LR112" i="1"/>
  <c r="LV111" i="1"/>
  <c r="LV110" i="1"/>
  <c r="LV109" i="1"/>
  <c r="LV108" i="1"/>
  <c r="LV107" i="1"/>
  <c r="KZ172" i="1"/>
  <c r="KZ171" i="1"/>
  <c r="LD170" i="1"/>
  <c r="LD169" i="1"/>
  <c r="LD168" i="1"/>
  <c r="LD167" i="1"/>
  <c r="LD166" i="1"/>
  <c r="KZ163" i="1"/>
  <c r="KZ162" i="1"/>
  <c r="LD161" i="1"/>
  <c r="LD160" i="1"/>
  <c r="LD159" i="1"/>
  <c r="LD158" i="1"/>
  <c r="LD157" i="1"/>
  <c r="KZ154" i="1"/>
  <c r="KZ153" i="1"/>
  <c r="LD152" i="1"/>
  <c r="LD151" i="1"/>
  <c r="LD150" i="1"/>
  <c r="LD149" i="1"/>
  <c r="LD148" i="1"/>
  <c r="KZ145" i="1"/>
  <c r="KZ144" i="1"/>
  <c r="LD143" i="1"/>
  <c r="LD135" i="1"/>
  <c r="LD134" i="1"/>
  <c r="KZ131" i="1"/>
  <c r="KZ130" i="1"/>
  <c r="LD129" i="1"/>
  <c r="LD128" i="1"/>
  <c r="LD127" i="1"/>
  <c r="LD126" i="1"/>
  <c r="LD125" i="1"/>
  <c r="KZ122" i="1"/>
  <c r="KZ121" i="1"/>
  <c r="LD120" i="1"/>
  <c r="LD119" i="1"/>
  <c r="LD118" i="1"/>
  <c r="LD117" i="1"/>
  <c r="LD116" i="1"/>
  <c r="KZ113" i="1"/>
  <c r="KZ112" i="1"/>
  <c r="LD111" i="1"/>
  <c r="LD110" i="1"/>
  <c r="LD109" i="1"/>
  <c r="LD108" i="1"/>
  <c r="LD107" i="1"/>
  <c r="KH172" i="1"/>
  <c r="KH171" i="1"/>
  <c r="KL170" i="1"/>
  <c r="KL169" i="1"/>
  <c r="KL168" i="1"/>
  <c r="KL167" i="1"/>
  <c r="KL166" i="1"/>
  <c r="KH163" i="1"/>
  <c r="KH162" i="1"/>
  <c r="KL161" i="1"/>
  <c r="KL160" i="1"/>
  <c r="KL159" i="1"/>
  <c r="KL158" i="1"/>
  <c r="KL157" i="1"/>
  <c r="KH154" i="1"/>
  <c r="KH153" i="1"/>
  <c r="KL152" i="1"/>
  <c r="KL151" i="1"/>
  <c r="KL150" i="1"/>
  <c r="KL149" i="1"/>
  <c r="KL148" i="1"/>
  <c r="KH145" i="1"/>
  <c r="KH144" i="1"/>
  <c r="KL143" i="1"/>
  <c r="KL135" i="1"/>
  <c r="KL134" i="1"/>
  <c r="KH131" i="1"/>
  <c r="KH130" i="1"/>
  <c r="KL129" i="1"/>
  <c r="KL128" i="1"/>
  <c r="KL127" i="1"/>
  <c r="KL126" i="1"/>
  <c r="KL125" i="1"/>
  <c r="KH122" i="1"/>
  <c r="KH121" i="1"/>
  <c r="KL120" i="1"/>
  <c r="KL119" i="1"/>
  <c r="KL118" i="1"/>
  <c r="KL117" i="1"/>
  <c r="KL116" i="1"/>
  <c r="KH113" i="1"/>
  <c r="KH112" i="1"/>
  <c r="KL111" i="1"/>
  <c r="KL110" i="1"/>
  <c r="KL109" i="1"/>
  <c r="KL108" i="1"/>
  <c r="KL107" i="1"/>
  <c r="JP172" i="1"/>
  <c r="JP171" i="1"/>
  <c r="JT170" i="1"/>
  <c r="JT169" i="1"/>
  <c r="JT168" i="1"/>
  <c r="JT167" i="1"/>
  <c r="JT166" i="1"/>
  <c r="JP163" i="1"/>
  <c r="JP162" i="1"/>
  <c r="JT161" i="1"/>
  <c r="JT160" i="1"/>
  <c r="JT159" i="1"/>
  <c r="JT158" i="1"/>
  <c r="JT157" i="1"/>
  <c r="JP154" i="1"/>
  <c r="JP153" i="1"/>
  <c r="JT152" i="1"/>
  <c r="JT151" i="1"/>
  <c r="JT150" i="1"/>
  <c r="JT149" i="1"/>
  <c r="JT148" i="1"/>
  <c r="JP145" i="1"/>
  <c r="JP144" i="1"/>
  <c r="JT143" i="1"/>
  <c r="JT135" i="1"/>
  <c r="JT134" i="1"/>
  <c r="JP131" i="1"/>
  <c r="JP130" i="1"/>
  <c r="JT129" i="1"/>
  <c r="JT128" i="1"/>
  <c r="JT127" i="1"/>
  <c r="JT126" i="1"/>
  <c r="JT125" i="1"/>
  <c r="JP122" i="1"/>
  <c r="JP121" i="1"/>
  <c r="JT120" i="1"/>
  <c r="JT119" i="1"/>
  <c r="JT118" i="1"/>
  <c r="JT117" i="1"/>
  <c r="JT116" i="1"/>
  <c r="JP113" i="1"/>
  <c r="JP112" i="1"/>
  <c r="JT111" i="1"/>
  <c r="JT110" i="1"/>
  <c r="JT109" i="1"/>
  <c r="JT108" i="1"/>
  <c r="JT107" i="1"/>
  <c r="IX172" i="1"/>
  <c r="IX171" i="1"/>
  <c r="JB170" i="1"/>
  <c r="JB169" i="1"/>
  <c r="JB168" i="1"/>
  <c r="JB167" i="1"/>
  <c r="JB166" i="1"/>
  <c r="IX163" i="1"/>
  <c r="IX162" i="1"/>
  <c r="JB161" i="1"/>
  <c r="JB160" i="1"/>
  <c r="JB159" i="1"/>
  <c r="JB158" i="1"/>
  <c r="JB157" i="1"/>
  <c r="IX154" i="1"/>
  <c r="IX153" i="1"/>
  <c r="JB152" i="1"/>
  <c r="JB151" i="1"/>
  <c r="JB150" i="1"/>
  <c r="JB149" i="1"/>
  <c r="JB148" i="1"/>
  <c r="IX145" i="1"/>
  <c r="IX144" i="1"/>
  <c r="JB143" i="1"/>
  <c r="JB135" i="1"/>
  <c r="JB134" i="1"/>
  <c r="IX131" i="1"/>
  <c r="IX130" i="1"/>
  <c r="JB129" i="1"/>
  <c r="JB128" i="1"/>
  <c r="JB127" i="1"/>
  <c r="JB126" i="1"/>
  <c r="JB125" i="1"/>
  <c r="IX122" i="1"/>
  <c r="IX121" i="1"/>
  <c r="JB120" i="1"/>
  <c r="JB119" i="1"/>
  <c r="JB118" i="1"/>
  <c r="JB117" i="1"/>
  <c r="JB116" i="1"/>
  <c r="IX113" i="1"/>
  <c r="IX112" i="1"/>
  <c r="JB111" i="1"/>
  <c r="JB110" i="1"/>
  <c r="JB109" i="1"/>
  <c r="JB108" i="1"/>
  <c r="JB107" i="1"/>
  <c r="IF172" i="1"/>
  <c r="IF171" i="1"/>
  <c r="IJ170" i="1"/>
  <c r="IJ169" i="1"/>
  <c r="IJ168" i="1"/>
  <c r="IJ167" i="1"/>
  <c r="IJ166" i="1"/>
  <c r="IF163" i="1"/>
  <c r="IF162" i="1"/>
  <c r="IJ161" i="1"/>
  <c r="IJ160" i="1"/>
  <c r="IJ159" i="1"/>
  <c r="IJ158" i="1"/>
  <c r="IJ157" i="1"/>
  <c r="IF154" i="1"/>
  <c r="IF153" i="1"/>
  <c r="IJ152" i="1"/>
  <c r="IJ151" i="1"/>
  <c r="IJ150" i="1"/>
  <c r="IJ149" i="1"/>
  <c r="IJ148" i="1"/>
  <c r="IF145" i="1"/>
  <c r="IF144" i="1"/>
  <c r="IJ143" i="1"/>
  <c r="IJ135" i="1"/>
  <c r="IJ134" i="1"/>
  <c r="IF131" i="1"/>
  <c r="IF130" i="1"/>
  <c r="IJ129" i="1"/>
  <c r="IJ128" i="1"/>
  <c r="IJ127" i="1"/>
  <c r="IJ126" i="1"/>
  <c r="IJ125" i="1"/>
  <c r="IF122" i="1"/>
  <c r="IF121" i="1"/>
  <c r="IJ120" i="1"/>
  <c r="IJ119" i="1"/>
  <c r="IJ118" i="1"/>
  <c r="IJ117" i="1"/>
  <c r="IJ116" i="1"/>
  <c r="IF113" i="1"/>
  <c r="IF112" i="1"/>
  <c r="IJ111" i="1"/>
  <c r="IJ110" i="1"/>
  <c r="IJ109" i="1"/>
  <c r="IJ108" i="1"/>
  <c r="IJ107" i="1"/>
  <c r="HN172" i="1"/>
  <c r="HN171" i="1"/>
  <c r="HR170" i="1"/>
  <c r="HR169" i="1"/>
  <c r="HR168" i="1"/>
  <c r="HR167" i="1"/>
  <c r="HR166" i="1"/>
  <c r="HN163" i="1"/>
  <c r="HN162" i="1"/>
  <c r="HR161" i="1"/>
  <c r="HR160" i="1"/>
  <c r="HR159" i="1"/>
  <c r="HR158" i="1"/>
  <c r="HR157" i="1"/>
  <c r="HN154" i="1"/>
  <c r="HN153" i="1"/>
  <c r="HR152" i="1"/>
  <c r="HR151" i="1"/>
  <c r="HR150" i="1"/>
  <c r="HR149" i="1"/>
  <c r="HR148" i="1"/>
  <c r="HN145" i="1"/>
  <c r="HN144" i="1"/>
  <c r="HR143" i="1"/>
  <c r="HR135" i="1"/>
  <c r="HR134" i="1"/>
  <c r="HN131" i="1"/>
  <c r="HN130" i="1"/>
  <c r="HR129" i="1"/>
  <c r="HR128" i="1"/>
  <c r="HR127" i="1"/>
  <c r="HR126" i="1"/>
  <c r="HR125" i="1"/>
  <c r="HN122" i="1"/>
  <c r="HN121" i="1"/>
  <c r="HR120" i="1"/>
  <c r="HR119" i="1"/>
  <c r="HR118" i="1"/>
  <c r="HR117" i="1"/>
  <c r="HR116" i="1"/>
  <c r="HN113" i="1"/>
  <c r="HN112" i="1"/>
  <c r="HR111" i="1"/>
  <c r="HR110" i="1"/>
  <c r="HR109" i="1"/>
  <c r="HR108" i="1"/>
  <c r="HR107" i="1"/>
  <c r="GV172" i="1"/>
  <c r="GV171" i="1"/>
  <c r="GZ170" i="1"/>
  <c r="GZ169" i="1"/>
  <c r="GZ168" i="1"/>
  <c r="GZ167" i="1"/>
  <c r="GZ166" i="1"/>
  <c r="GV163" i="1"/>
  <c r="GV162" i="1"/>
  <c r="GZ161" i="1"/>
  <c r="GZ160" i="1"/>
  <c r="GZ159" i="1"/>
  <c r="GZ158" i="1"/>
  <c r="GZ157" i="1"/>
  <c r="GV154" i="1"/>
  <c r="GV153" i="1"/>
  <c r="GZ152" i="1"/>
  <c r="GZ151" i="1"/>
  <c r="GZ150" i="1"/>
  <c r="GZ149" i="1"/>
  <c r="GZ148" i="1"/>
  <c r="GV145" i="1"/>
  <c r="GV144" i="1"/>
  <c r="GZ143" i="1"/>
  <c r="GZ135" i="1"/>
  <c r="GZ134" i="1"/>
  <c r="GV131" i="1"/>
  <c r="GV130" i="1"/>
  <c r="GZ129" i="1"/>
  <c r="GZ128" i="1"/>
  <c r="GZ127" i="1"/>
  <c r="GZ126" i="1"/>
  <c r="GZ125" i="1"/>
  <c r="GV122" i="1"/>
  <c r="GV121" i="1"/>
  <c r="GZ120" i="1"/>
  <c r="GZ119" i="1"/>
  <c r="GZ118" i="1"/>
  <c r="GZ117" i="1"/>
  <c r="GZ116" i="1"/>
  <c r="GV113" i="1"/>
  <c r="GV112" i="1"/>
  <c r="GZ111" i="1"/>
  <c r="GZ110" i="1"/>
  <c r="GZ109" i="1"/>
  <c r="GZ108" i="1"/>
  <c r="GZ107" i="1"/>
  <c r="GD172" i="1"/>
  <c r="GD171" i="1"/>
  <c r="GH170" i="1"/>
  <c r="GH169" i="1"/>
  <c r="GH168" i="1"/>
  <c r="GH167" i="1"/>
  <c r="GH166" i="1"/>
  <c r="GD163" i="1"/>
  <c r="GD162" i="1"/>
  <c r="GH161" i="1"/>
  <c r="GH160" i="1"/>
  <c r="GH159" i="1"/>
  <c r="GH158" i="1"/>
  <c r="GH157" i="1"/>
  <c r="GD154" i="1"/>
  <c r="GD153" i="1"/>
  <c r="GH152" i="1"/>
  <c r="GH151" i="1"/>
  <c r="GH150" i="1"/>
  <c r="GH149" i="1"/>
  <c r="GH148" i="1"/>
  <c r="GD145" i="1"/>
  <c r="GD144" i="1"/>
  <c r="GH143" i="1"/>
  <c r="GH135" i="1"/>
  <c r="GH134" i="1"/>
  <c r="GD131" i="1"/>
  <c r="GD130" i="1"/>
  <c r="GH129" i="1"/>
  <c r="GH128" i="1"/>
  <c r="GH127" i="1"/>
  <c r="GH126" i="1"/>
  <c r="GH125" i="1"/>
  <c r="GD122" i="1"/>
  <c r="GD121" i="1"/>
  <c r="GH120" i="1"/>
  <c r="GH119" i="1"/>
  <c r="GH118" i="1"/>
  <c r="GH117" i="1"/>
  <c r="GH116" i="1"/>
  <c r="GD113" i="1"/>
  <c r="GD112" i="1"/>
  <c r="GH111" i="1"/>
  <c r="GH110" i="1"/>
  <c r="GH109" i="1"/>
  <c r="GH108" i="1"/>
  <c r="GH107" i="1"/>
  <c r="FL172" i="1"/>
  <c r="FL171" i="1"/>
  <c r="FP170" i="1"/>
  <c r="FP169" i="1"/>
  <c r="FP168" i="1"/>
  <c r="FP167" i="1"/>
  <c r="FP166" i="1"/>
  <c r="FL163" i="1"/>
  <c r="FL162" i="1"/>
  <c r="FP161" i="1"/>
  <c r="FP160" i="1"/>
  <c r="FP159" i="1"/>
  <c r="FP158" i="1"/>
  <c r="FP157" i="1"/>
  <c r="FL154" i="1"/>
  <c r="FL153" i="1"/>
  <c r="FP152" i="1"/>
  <c r="FP151" i="1"/>
  <c r="FP150" i="1"/>
  <c r="FP149" i="1"/>
  <c r="FP148" i="1"/>
  <c r="FL145" i="1"/>
  <c r="FL144" i="1"/>
  <c r="FP143" i="1"/>
  <c r="FP135" i="1"/>
  <c r="FP134" i="1"/>
  <c r="FL131" i="1"/>
  <c r="FL130" i="1"/>
  <c r="FP129" i="1"/>
  <c r="FP128" i="1"/>
  <c r="FP127" i="1"/>
  <c r="FP126" i="1"/>
  <c r="FP125" i="1"/>
  <c r="FL122" i="1"/>
  <c r="FL121" i="1"/>
  <c r="FP120" i="1"/>
  <c r="FP119" i="1"/>
  <c r="FP118" i="1"/>
  <c r="FP117" i="1"/>
  <c r="FP116" i="1"/>
  <c r="FL113" i="1"/>
  <c r="FL112" i="1"/>
  <c r="FP111" i="1"/>
  <c r="FP110" i="1"/>
  <c r="FP109" i="1"/>
  <c r="FP108" i="1"/>
  <c r="FP107" i="1"/>
  <c r="ET172" i="1"/>
  <c r="ET171" i="1"/>
  <c r="EX170" i="1"/>
  <c r="EX169" i="1"/>
  <c r="EX168" i="1"/>
  <c r="EX167" i="1"/>
  <c r="EX166" i="1"/>
  <c r="ET163" i="1"/>
  <c r="ET162" i="1"/>
  <c r="EX161" i="1"/>
  <c r="EX160" i="1"/>
  <c r="EX159" i="1"/>
  <c r="EX158" i="1"/>
  <c r="EX157" i="1"/>
  <c r="ET154" i="1"/>
  <c r="ET153" i="1"/>
  <c r="EX152" i="1"/>
  <c r="EX151" i="1"/>
  <c r="EX150" i="1"/>
  <c r="EX149" i="1"/>
  <c r="EX148" i="1"/>
  <c r="ET145" i="1"/>
  <c r="EX143" i="1"/>
  <c r="EX135" i="1"/>
  <c r="EX134" i="1"/>
  <c r="EX144" i="1" s="1"/>
  <c r="ET131" i="1"/>
  <c r="ET130" i="1"/>
  <c r="EX129" i="1"/>
  <c r="EX128" i="1"/>
  <c r="EX127" i="1"/>
  <c r="EX126" i="1"/>
  <c r="EX125" i="1"/>
  <c r="ET122" i="1"/>
  <c r="ET121" i="1"/>
  <c r="EX120" i="1"/>
  <c r="EX119" i="1"/>
  <c r="EX118" i="1"/>
  <c r="EX117" i="1"/>
  <c r="EX116" i="1"/>
  <c r="ET113" i="1"/>
  <c r="ET112" i="1"/>
  <c r="EX111" i="1"/>
  <c r="EX110" i="1"/>
  <c r="EX109" i="1"/>
  <c r="EX108" i="1"/>
  <c r="EX107" i="1"/>
  <c r="EB172" i="1"/>
  <c r="EB171" i="1"/>
  <c r="EF170" i="1"/>
  <c r="EF169" i="1"/>
  <c r="EF168" i="1"/>
  <c r="EF167" i="1"/>
  <c r="EF166" i="1"/>
  <c r="EB163" i="1"/>
  <c r="EB162" i="1"/>
  <c r="EF161" i="1"/>
  <c r="EF160" i="1"/>
  <c r="EF159" i="1"/>
  <c r="EF158" i="1"/>
  <c r="EF157" i="1"/>
  <c r="EB154" i="1"/>
  <c r="EF152" i="1"/>
  <c r="EF151" i="1"/>
  <c r="EF150" i="1"/>
  <c r="EF149" i="1"/>
  <c r="EF148" i="1"/>
  <c r="EB145" i="1"/>
  <c r="EB144" i="1"/>
  <c r="EF143" i="1"/>
  <c r="EF135" i="1"/>
  <c r="EF134" i="1"/>
  <c r="EB131" i="1"/>
  <c r="EB130" i="1"/>
  <c r="EF129" i="1"/>
  <c r="EF128" i="1"/>
  <c r="EF127" i="1"/>
  <c r="EF126" i="1"/>
  <c r="EF125" i="1"/>
  <c r="EB122" i="1"/>
  <c r="EB121" i="1"/>
  <c r="EF120" i="1"/>
  <c r="EF119" i="1"/>
  <c r="EF118" i="1"/>
  <c r="EF117" i="1"/>
  <c r="EF116" i="1"/>
  <c r="EB113" i="1"/>
  <c r="EB112" i="1"/>
  <c r="EF111" i="1"/>
  <c r="EF110" i="1"/>
  <c r="EF109" i="1"/>
  <c r="EF108" i="1"/>
  <c r="EF107" i="1"/>
  <c r="DJ172" i="1"/>
  <c r="DJ171" i="1"/>
  <c r="DN170" i="1"/>
  <c r="DN169" i="1"/>
  <c r="DN168" i="1"/>
  <c r="DN167" i="1"/>
  <c r="DN166" i="1"/>
  <c r="DJ163" i="1"/>
  <c r="DJ162" i="1"/>
  <c r="DN161" i="1"/>
  <c r="DN160" i="1"/>
  <c r="DN159" i="1"/>
  <c r="DN158" i="1"/>
  <c r="DN157" i="1"/>
  <c r="DJ154" i="1"/>
  <c r="DJ153" i="1"/>
  <c r="DN152" i="1"/>
  <c r="DN151" i="1"/>
  <c r="DN150" i="1"/>
  <c r="DN149" i="1"/>
  <c r="DN148" i="1"/>
  <c r="DJ145" i="1"/>
  <c r="DJ144" i="1"/>
  <c r="DN143" i="1"/>
  <c r="DN135" i="1"/>
  <c r="DN134" i="1"/>
  <c r="DJ131" i="1"/>
  <c r="DJ130" i="1"/>
  <c r="DN129" i="1"/>
  <c r="DN128" i="1"/>
  <c r="DN127" i="1"/>
  <c r="DN126" i="1"/>
  <c r="DN125" i="1"/>
  <c r="DJ122" i="1"/>
  <c r="DJ121" i="1"/>
  <c r="DN120" i="1"/>
  <c r="DN119" i="1"/>
  <c r="DN118" i="1"/>
  <c r="DN117" i="1"/>
  <c r="DN116" i="1"/>
  <c r="DJ113" i="1"/>
  <c r="DJ112" i="1"/>
  <c r="DN111" i="1"/>
  <c r="DN110" i="1"/>
  <c r="DN109" i="1"/>
  <c r="DN108" i="1"/>
  <c r="DN107" i="1"/>
  <c r="CR172" i="1"/>
  <c r="CR171" i="1"/>
  <c r="CV170" i="1"/>
  <c r="CV169" i="1"/>
  <c r="CV168" i="1"/>
  <c r="CV167" i="1"/>
  <c r="CV166" i="1"/>
  <c r="CR163" i="1"/>
  <c r="CR162" i="1"/>
  <c r="CV161" i="1"/>
  <c r="CV160" i="1"/>
  <c r="CV159" i="1"/>
  <c r="CV158" i="1"/>
  <c r="CV157" i="1"/>
  <c r="CR154" i="1"/>
  <c r="CR153" i="1"/>
  <c r="CV152" i="1"/>
  <c r="CV151" i="1"/>
  <c r="CV150" i="1"/>
  <c r="CV149" i="1"/>
  <c r="CV148" i="1"/>
  <c r="CR145" i="1"/>
  <c r="CV143" i="1"/>
  <c r="CV135" i="1"/>
  <c r="CV134" i="1"/>
  <c r="CV144" i="1" s="1"/>
  <c r="CR131" i="1"/>
  <c r="CR130" i="1"/>
  <c r="CV129" i="1"/>
  <c r="CV128" i="1"/>
  <c r="CV127" i="1"/>
  <c r="CV126" i="1"/>
  <c r="CV125" i="1"/>
  <c r="CR122" i="1"/>
  <c r="CR121" i="1"/>
  <c r="CV120" i="1"/>
  <c r="CV119" i="1"/>
  <c r="CV118" i="1"/>
  <c r="CV117" i="1"/>
  <c r="CV116" i="1"/>
  <c r="CR113" i="1"/>
  <c r="CV111" i="1"/>
  <c r="CV110" i="1"/>
  <c r="CV109" i="1"/>
  <c r="CV108" i="1"/>
  <c r="CV107" i="1"/>
  <c r="CV112" i="1" s="1"/>
  <c r="BZ172" i="1"/>
  <c r="BZ171" i="1"/>
  <c r="CD170" i="1"/>
  <c r="CD169" i="1"/>
  <c r="CD168" i="1"/>
  <c r="CD167" i="1"/>
  <c r="CD166" i="1"/>
  <c r="BZ163" i="1"/>
  <c r="BZ162" i="1"/>
  <c r="CD161" i="1"/>
  <c r="CD160" i="1"/>
  <c r="CD159" i="1"/>
  <c r="CD158" i="1"/>
  <c r="CD157" i="1"/>
  <c r="BZ154" i="1"/>
  <c r="BZ153" i="1"/>
  <c r="CD152" i="1"/>
  <c r="CD151" i="1"/>
  <c r="CD150" i="1"/>
  <c r="CD149" i="1"/>
  <c r="CD148" i="1"/>
  <c r="BZ145" i="1"/>
  <c r="CD143" i="1"/>
  <c r="CD135" i="1"/>
  <c r="CD134" i="1"/>
  <c r="CD144" i="1" s="1"/>
  <c r="BZ131" i="1"/>
  <c r="BZ130" i="1"/>
  <c r="CD129" i="1"/>
  <c r="CD128" i="1"/>
  <c r="CD127" i="1"/>
  <c r="CD126" i="1"/>
  <c r="CE126" i="1" s="1"/>
  <c r="CF126" i="1" s="1"/>
  <c r="CD125" i="1"/>
  <c r="BZ122" i="1"/>
  <c r="BZ121" i="1"/>
  <c r="CD120" i="1"/>
  <c r="CD119" i="1"/>
  <c r="CD118" i="1"/>
  <c r="CD117" i="1"/>
  <c r="CD116" i="1"/>
  <c r="BZ113" i="1"/>
  <c r="CD111" i="1"/>
  <c r="CD110" i="1"/>
  <c r="CD109" i="1"/>
  <c r="CD108" i="1"/>
  <c r="CD107" i="1"/>
  <c r="CD112" i="1" s="1"/>
  <c r="BH172" i="1"/>
  <c r="BH171" i="1"/>
  <c r="BL170" i="1"/>
  <c r="BL169" i="1"/>
  <c r="BL168" i="1"/>
  <c r="BL167" i="1"/>
  <c r="BL166" i="1"/>
  <c r="BH163" i="1"/>
  <c r="BH162" i="1"/>
  <c r="BL161" i="1"/>
  <c r="BL160" i="1"/>
  <c r="BL159" i="1"/>
  <c r="BL158" i="1"/>
  <c r="BL157" i="1"/>
  <c r="BH154" i="1"/>
  <c r="BH153" i="1"/>
  <c r="BL152" i="1"/>
  <c r="BL151" i="1"/>
  <c r="BL150" i="1"/>
  <c r="BL149" i="1"/>
  <c r="BL148" i="1"/>
  <c r="BH145" i="1"/>
  <c r="BL143" i="1"/>
  <c r="BL135" i="1"/>
  <c r="BL134" i="1"/>
  <c r="BH131" i="1"/>
  <c r="BH130" i="1"/>
  <c r="BL129" i="1"/>
  <c r="BL128" i="1"/>
  <c r="BL127" i="1"/>
  <c r="BL126" i="1"/>
  <c r="BL125" i="1"/>
  <c r="BH122" i="1"/>
  <c r="BH121" i="1"/>
  <c r="BL120" i="1"/>
  <c r="BL119" i="1"/>
  <c r="BL118" i="1"/>
  <c r="BL117" i="1"/>
  <c r="BL116" i="1"/>
  <c r="BL111" i="1"/>
  <c r="BL110" i="1"/>
  <c r="BL109" i="1"/>
  <c r="BL108" i="1"/>
  <c r="BL107" i="1"/>
  <c r="AP172" i="1"/>
  <c r="AO172" i="1"/>
  <c r="AN172" i="1"/>
  <c r="AM172" i="1"/>
  <c r="AL172" i="1"/>
  <c r="AP171" i="1"/>
  <c r="AO171" i="1"/>
  <c r="AN171" i="1"/>
  <c r="AM171" i="1"/>
  <c r="AL171" i="1"/>
  <c r="AT170" i="1"/>
  <c r="AT169" i="1"/>
  <c r="AT168" i="1"/>
  <c r="AT167" i="1"/>
  <c r="AT166" i="1"/>
  <c r="AP163" i="1"/>
  <c r="AO163" i="1"/>
  <c r="AN163" i="1"/>
  <c r="AM163" i="1"/>
  <c r="AL163" i="1"/>
  <c r="AP162" i="1"/>
  <c r="AO162" i="1"/>
  <c r="AN162" i="1"/>
  <c r="AM162" i="1"/>
  <c r="AL162" i="1"/>
  <c r="AT161" i="1"/>
  <c r="AT160" i="1"/>
  <c r="AT159" i="1"/>
  <c r="AT158" i="1"/>
  <c r="AT157" i="1"/>
  <c r="AP154" i="1"/>
  <c r="AO154" i="1"/>
  <c r="AN154" i="1"/>
  <c r="AM154" i="1"/>
  <c r="AL154" i="1"/>
  <c r="AP153" i="1"/>
  <c r="AO153" i="1"/>
  <c r="AN153" i="1"/>
  <c r="AM153" i="1"/>
  <c r="AL153" i="1"/>
  <c r="AT152" i="1"/>
  <c r="AT151" i="1"/>
  <c r="AT150" i="1"/>
  <c r="AT149" i="1"/>
  <c r="AT148" i="1"/>
  <c r="AP145" i="1"/>
  <c r="AO145" i="1"/>
  <c r="AN145" i="1"/>
  <c r="AM145" i="1"/>
  <c r="AL145" i="1"/>
  <c r="AP144" i="1"/>
  <c r="AO144" i="1"/>
  <c r="AN144" i="1"/>
  <c r="AM144" i="1"/>
  <c r="AL144" i="1"/>
  <c r="AT143" i="1"/>
  <c r="AT135" i="1"/>
  <c r="AT134" i="1"/>
  <c r="AP131" i="1"/>
  <c r="AO131" i="1"/>
  <c r="AN131" i="1"/>
  <c r="AM131" i="1"/>
  <c r="AL131" i="1"/>
  <c r="AP130" i="1"/>
  <c r="AO130" i="1"/>
  <c r="AN130" i="1"/>
  <c r="AM130" i="1"/>
  <c r="AL130" i="1"/>
  <c r="AT129" i="1"/>
  <c r="AT128" i="1"/>
  <c r="AT127" i="1"/>
  <c r="AT126" i="1"/>
  <c r="AT125" i="1"/>
  <c r="AP122" i="1"/>
  <c r="AO122" i="1"/>
  <c r="AN122" i="1"/>
  <c r="AM122" i="1"/>
  <c r="AL122" i="1"/>
  <c r="AP121" i="1"/>
  <c r="AO121" i="1"/>
  <c r="AN121" i="1"/>
  <c r="AM121" i="1"/>
  <c r="AL121" i="1"/>
  <c r="AT120" i="1"/>
  <c r="AT119" i="1"/>
  <c r="AT118" i="1"/>
  <c r="AT117" i="1"/>
  <c r="AT116" i="1"/>
  <c r="AP113" i="1"/>
  <c r="AO113" i="1"/>
  <c r="AN113" i="1"/>
  <c r="AM113" i="1"/>
  <c r="AL113" i="1"/>
  <c r="AP112" i="1"/>
  <c r="AO112" i="1"/>
  <c r="AN112" i="1"/>
  <c r="AM112" i="1"/>
  <c r="AL112" i="1"/>
  <c r="AT111" i="1"/>
  <c r="AT110" i="1"/>
  <c r="AT109" i="1"/>
  <c r="AT108" i="1"/>
  <c r="AT107" i="1"/>
  <c r="AB170" i="1"/>
  <c r="AB169" i="1"/>
  <c r="AB168" i="1"/>
  <c r="AB167" i="1"/>
  <c r="AB166" i="1"/>
  <c r="AB161" i="1"/>
  <c r="AB160" i="1"/>
  <c r="AB159" i="1"/>
  <c r="AB158" i="1"/>
  <c r="AB157" i="1"/>
  <c r="AB152" i="1"/>
  <c r="AB151" i="1"/>
  <c r="AB150" i="1"/>
  <c r="AB149" i="1"/>
  <c r="AB148" i="1"/>
  <c r="AB143" i="1"/>
  <c r="AB135" i="1"/>
  <c r="AB134" i="1"/>
  <c r="AB129" i="1"/>
  <c r="AB128" i="1"/>
  <c r="AB127" i="1"/>
  <c r="AB126" i="1"/>
  <c r="AB125" i="1"/>
  <c r="AB120" i="1"/>
  <c r="AB119" i="1"/>
  <c r="AB118" i="1"/>
  <c r="AB117" i="1"/>
  <c r="AB116" i="1"/>
  <c r="AB111" i="1"/>
  <c r="AB110" i="1"/>
  <c r="AB109" i="1"/>
  <c r="AB108" i="1"/>
  <c r="AB107" i="1"/>
  <c r="X172" i="1"/>
  <c r="X171" i="1"/>
  <c r="X163" i="1"/>
  <c r="X162" i="1"/>
  <c r="X154" i="1"/>
  <c r="X153" i="1"/>
  <c r="X145" i="1"/>
  <c r="X144" i="1"/>
  <c r="X131" i="1"/>
  <c r="X130" i="1"/>
  <c r="X122" i="1"/>
  <c r="X121" i="1"/>
  <c r="X112" i="1"/>
  <c r="W112" i="1"/>
  <c r="X113" i="1"/>
  <c r="W113" i="1"/>
  <c r="J170" i="1"/>
  <c r="J169" i="1"/>
  <c r="J168" i="1"/>
  <c r="J167" i="1"/>
  <c r="J166" i="1"/>
  <c r="J161" i="1"/>
  <c r="J160" i="1"/>
  <c r="J159" i="1"/>
  <c r="J158" i="1"/>
  <c r="J157" i="1"/>
  <c r="J152" i="1"/>
  <c r="J151" i="1"/>
  <c r="J150" i="1"/>
  <c r="J149" i="1"/>
  <c r="J148" i="1"/>
  <c r="J143" i="1"/>
  <c r="J135" i="1"/>
  <c r="J134" i="1"/>
  <c r="J129" i="1"/>
  <c r="J128" i="1"/>
  <c r="J127" i="1"/>
  <c r="J126" i="1"/>
  <c r="J125" i="1"/>
  <c r="K125" i="1" s="1"/>
  <c r="L125" i="1" s="1"/>
  <c r="J120" i="1"/>
  <c r="J119" i="1"/>
  <c r="J118" i="1"/>
  <c r="J117" i="1"/>
  <c r="J116" i="1"/>
  <c r="K116" i="1" s="1"/>
  <c r="L116" i="1" s="1"/>
  <c r="F172" i="1"/>
  <c r="F171" i="1"/>
  <c r="F163" i="1"/>
  <c r="F162" i="1"/>
  <c r="F154" i="1"/>
  <c r="F153" i="1"/>
  <c r="F145" i="1"/>
  <c r="F131" i="1"/>
  <c r="F130" i="1"/>
  <c r="F122" i="1"/>
  <c r="F121" i="1"/>
  <c r="J111" i="1"/>
  <c r="J110" i="1"/>
  <c r="J109" i="1"/>
  <c r="J108" i="1"/>
  <c r="K108" i="1" s="1"/>
  <c r="J107" i="1"/>
  <c r="N78" i="1" s="1"/>
  <c r="J144" i="1" l="1"/>
  <c r="NX144" i="1"/>
  <c r="BL144" i="1"/>
  <c r="PH144" i="1"/>
  <c r="TL144" i="1"/>
  <c r="K107" i="1"/>
  <c r="L108" i="1"/>
  <c r="L107" i="1"/>
  <c r="P82" i="1" s="1"/>
  <c r="J113" i="1"/>
  <c r="J112" i="1"/>
  <c r="BL113" i="1"/>
  <c r="BL112" i="1"/>
  <c r="C84" i="75"/>
  <c r="C83" i="73"/>
  <c r="C88" i="26"/>
  <c r="UR132" i="1"/>
  <c r="UR155" i="1"/>
  <c r="NX121" i="1"/>
  <c r="OP112" i="1"/>
  <c r="OP171" i="1"/>
  <c r="PH162" i="1"/>
  <c r="PZ131" i="1"/>
  <c r="PZ153" i="1"/>
  <c r="SB121" i="1"/>
  <c r="ST112" i="1"/>
  <c r="ST171" i="1"/>
  <c r="TL162" i="1"/>
  <c r="UD130" i="1"/>
  <c r="UD153" i="1"/>
  <c r="UV121" i="1"/>
  <c r="NX112" i="1"/>
  <c r="NX171" i="1"/>
  <c r="QR113" i="1"/>
  <c r="QR172" i="1"/>
  <c r="SB112" i="1"/>
  <c r="ST162" i="1"/>
  <c r="UV171" i="1"/>
  <c r="NX162" i="1"/>
  <c r="OP130" i="1"/>
  <c r="OP153" i="1"/>
  <c r="PH121" i="1"/>
  <c r="PZ171" i="1"/>
  <c r="RJ171" i="1"/>
  <c r="TL121" i="1"/>
  <c r="UD112" i="1"/>
  <c r="UD171" i="1"/>
  <c r="UV162" i="1"/>
  <c r="PH112" i="1"/>
  <c r="PH171" i="1"/>
  <c r="QR131" i="1"/>
  <c r="QR154" i="1"/>
  <c r="RJ162" i="1"/>
  <c r="ST121" i="1"/>
  <c r="TL112" i="1"/>
  <c r="TL171" i="1"/>
  <c r="SB162" i="1"/>
  <c r="SB171" i="1"/>
  <c r="NF112" i="1"/>
  <c r="SP155" i="1"/>
  <c r="TZ173" i="1"/>
  <c r="J163" i="1"/>
  <c r="AB112" i="1"/>
  <c r="AB122" i="1"/>
  <c r="AB163" i="1"/>
  <c r="BL121" i="1"/>
  <c r="BL171" i="1"/>
  <c r="CD171" i="1"/>
  <c r="CV121" i="1"/>
  <c r="CV171" i="1"/>
  <c r="DN112" i="1"/>
  <c r="DN130" i="1"/>
  <c r="EF130" i="1"/>
  <c r="EF171" i="1"/>
  <c r="EX112" i="1"/>
  <c r="EX121" i="1"/>
  <c r="EX171" i="1"/>
  <c r="FP121" i="1"/>
  <c r="FP162" i="1"/>
  <c r="GH130" i="1"/>
  <c r="GH153" i="1"/>
  <c r="GH171" i="1"/>
  <c r="GZ112" i="1"/>
  <c r="GZ130" i="1"/>
  <c r="HR112" i="1"/>
  <c r="HR130" i="1"/>
  <c r="IJ112" i="1"/>
  <c r="JB130" i="1"/>
  <c r="JT112" i="1"/>
  <c r="JT153" i="1"/>
  <c r="KL130" i="1"/>
  <c r="LD112" i="1"/>
  <c r="LV130" i="1"/>
  <c r="LV153" i="1"/>
  <c r="LV171" i="1"/>
  <c r="MN112" i="1"/>
  <c r="MN130" i="1"/>
  <c r="MN153" i="1"/>
  <c r="MN171" i="1"/>
  <c r="UV112" i="1"/>
  <c r="J171" i="1"/>
  <c r="AT113" i="1"/>
  <c r="AT171" i="1"/>
  <c r="BL162" i="1"/>
  <c r="CD121" i="1"/>
  <c r="CD162" i="1"/>
  <c r="CV162" i="1"/>
  <c r="DN153" i="1"/>
  <c r="DN171" i="1"/>
  <c r="EF112" i="1"/>
  <c r="EF153" i="1"/>
  <c r="EX162" i="1"/>
  <c r="FP112" i="1"/>
  <c r="FP171" i="1"/>
  <c r="GH112" i="1"/>
  <c r="GZ153" i="1"/>
  <c r="GZ171" i="1"/>
  <c r="HR153" i="1"/>
  <c r="HR171" i="1"/>
  <c r="IJ130" i="1"/>
  <c r="IJ153" i="1"/>
  <c r="IJ171" i="1"/>
  <c r="JB112" i="1"/>
  <c r="JB153" i="1"/>
  <c r="JB171" i="1"/>
  <c r="JT130" i="1"/>
  <c r="JT171" i="1"/>
  <c r="KL112" i="1"/>
  <c r="KL153" i="1"/>
  <c r="KL171" i="1"/>
  <c r="LD130" i="1"/>
  <c r="LD153" i="1"/>
  <c r="LD171" i="1"/>
  <c r="LV112" i="1"/>
  <c r="J122" i="1"/>
  <c r="AB172" i="1"/>
  <c r="TH155" i="1"/>
  <c r="UR173" i="1"/>
  <c r="UR114" i="1"/>
  <c r="RX155" i="1"/>
  <c r="TZ114" i="1"/>
  <c r="TZ155" i="1"/>
  <c r="UR123" i="1"/>
  <c r="UV144" i="1"/>
  <c r="UR146" i="1"/>
  <c r="UR164" i="1"/>
  <c r="TZ132" i="1"/>
  <c r="UV130" i="1"/>
  <c r="UV153" i="1"/>
  <c r="UV113" i="1"/>
  <c r="UV122" i="1"/>
  <c r="UV131" i="1"/>
  <c r="UV145" i="1"/>
  <c r="UV154" i="1"/>
  <c r="UV163" i="1"/>
  <c r="UV172" i="1"/>
  <c r="RX114" i="1"/>
  <c r="TH173" i="1"/>
  <c r="UD121" i="1"/>
  <c r="TZ123" i="1"/>
  <c r="UD144" i="1"/>
  <c r="TZ146" i="1"/>
  <c r="UD162" i="1"/>
  <c r="TZ164" i="1"/>
  <c r="TH132" i="1"/>
  <c r="UD113" i="1"/>
  <c r="UD114" i="1" s="1"/>
  <c r="UD122" i="1"/>
  <c r="UD131" i="1"/>
  <c r="UD145" i="1"/>
  <c r="UD154" i="1"/>
  <c r="UD155" i="1" s="1"/>
  <c r="UD163" i="1"/>
  <c r="UD172" i="1"/>
  <c r="RF155" i="1"/>
  <c r="RF173" i="1"/>
  <c r="SP132" i="1"/>
  <c r="SP173" i="1"/>
  <c r="TH114" i="1"/>
  <c r="TH123" i="1"/>
  <c r="TH146" i="1"/>
  <c r="TH164" i="1"/>
  <c r="TL130" i="1"/>
  <c r="TL153" i="1"/>
  <c r="TL113" i="1"/>
  <c r="TL122" i="1"/>
  <c r="TL131" i="1"/>
  <c r="TL145" i="1"/>
  <c r="TL154" i="1"/>
  <c r="TL163" i="1"/>
  <c r="TL172" i="1"/>
  <c r="RF132" i="1"/>
  <c r="RX173" i="1"/>
  <c r="SP114" i="1"/>
  <c r="SP123" i="1"/>
  <c r="SP146" i="1"/>
  <c r="SP164" i="1"/>
  <c r="RX132" i="1"/>
  <c r="ST130" i="1"/>
  <c r="ST153" i="1"/>
  <c r="ST113" i="1"/>
  <c r="ST122" i="1"/>
  <c r="ST123" i="1" s="1"/>
  <c r="ST131" i="1"/>
  <c r="ST145" i="1"/>
  <c r="ST154" i="1"/>
  <c r="ST163" i="1"/>
  <c r="ST172" i="1"/>
  <c r="QN146" i="1"/>
  <c r="RX123" i="1"/>
  <c r="SB144" i="1"/>
  <c r="RX146" i="1"/>
  <c r="RX164" i="1"/>
  <c r="SB130" i="1"/>
  <c r="SB153" i="1"/>
  <c r="SB113" i="1"/>
  <c r="SB122" i="1"/>
  <c r="SB131" i="1"/>
  <c r="SB132" i="1" s="1"/>
  <c r="SB145" i="1"/>
  <c r="SB154" i="1"/>
  <c r="SB163" i="1"/>
  <c r="SB172" i="1"/>
  <c r="RJ121" i="1"/>
  <c r="PZ122" i="1"/>
  <c r="QR163" i="1"/>
  <c r="RJ112" i="1"/>
  <c r="RF123" i="1"/>
  <c r="RJ130" i="1"/>
  <c r="RF146" i="1"/>
  <c r="RF164" i="1"/>
  <c r="QR112" i="1"/>
  <c r="QR114" i="1" s="1"/>
  <c r="QN155" i="1"/>
  <c r="RF114" i="1"/>
  <c r="RJ144" i="1"/>
  <c r="RJ153" i="1"/>
  <c r="RJ113" i="1"/>
  <c r="RJ122" i="1"/>
  <c r="RJ131" i="1"/>
  <c r="RJ145" i="1"/>
  <c r="RJ154" i="1"/>
  <c r="RJ163" i="1"/>
  <c r="RJ172" i="1"/>
  <c r="QR162" i="1"/>
  <c r="OL173" i="1"/>
  <c r="PD114" i="1"/>
  <c r="PD173" i="1"/>
  <c r="PV164" i="1"/>
  <c r="PV173" i="1"/>
  <c r="QR144" i="1"/>
  <c r="QR153" i="1"/>
  <c r="QN173" i="1"/>
  <c r="QR121" i="1"/>
  <c r="QN132" i="1"/>
  <c r="QR145" i="1"/>
  <c r="QR171" i="1"/>
  <c r="QN114" i="1"/>
  <c r="QR122" i="1"/>
  <c r="QN123" i="1"/>
  <c r="QR130" i="1"/>
  <c r="QN164" i="1"/>
  <c r="PD132" i="1"/>
  <c r="PV114" i="1"/>
  <c r="PV123" i="1"/>
  <c r="PV155" i="1"/>
  <c r="NT114" i="1"/>
  <c r="NT155" i="1"/>
  <c r="OL146" i="1"/>
  <c r="PD155" i="1"/>
  <c r="PV132" i="1"/>
  <c r="PV146" i="1"/>
  <c r="PZ162" i="1"/>
  <c r="PZ112" i="1"/>
  <c r="PZ121" i="1"/>
  <c r="PZ130" i="1"/>
  <c r="PZ113" i="1"/>
  <c r="PZ144" i="1"/>
  <c r="PZ145" i="1"/>
  <c r="PZ154" i="1"/>
  <c r="PZ163" i="1"/>
  <c r="PZ172" i="1"/>
  <c r="PD123" i="1"/>
  <c r="PD146" i="1"/>
  <c r="PD164" i="1"/>
  <c r="OP144" i="1"/>
  <c r="OL155" i="1"/>
  <c r="OL132" i="1"/>
  <c r="PH130" i="1"/>
  <c r="PH153" i="1"/>
  <c r="PH113" i="1"/>
  <c r="PH122" i="1"/>
  <c r="PH131" i="1"/>
  <c r="PH145" i="1"/>
  <c r="PH154" i="1"/>
  <c r="PH163" i="1"/>
  <c r="PH172" i="1"/>
  <c r="NB155" i="1"/>
  <c r="NT132" i="1"/>
  <c r="NT173" i="1"/>
  <c r="OP162" i="1"/>
  <c r="OL164" i="1"/>
  <c r="OP121" i="1"/>
  <c r="OL123" i="1"/>
  <c r="OL114" i="1"/>
  <c r="OP113" i="1"/>
  <c r="OP114" i="1" s="1"/>
  <c r="OP122" i="1"/>
  <c r="OP131" i="1"/>
  <c r="OP145" i="1"/>
  <c r="OP154" i="1"/>
  <c r="OP163" i="1"/>
  <c r="OP172" i="1"/>
  <c r="JP155" i="1"/>
  <c r="KH114" i="1"/>
  <c r="KH155" i="1"/>
  <c r="MJ155" i="1"/>
  <c r="NB132" i="1"/>
  <c r="NB173" i="1"/>
  <c r="NT123" i="1"/>
  <c r="NT146" i="1"/>
  <c r="NT164" i="1"/>
  <c r="NB114" i="1"/>
  <c r="NX130" i="1"/>
  <c r="NX153" i="1"/>
  <c r="NX113" i="1"/>
  <c r="NX114" i="1" s="1"/>
  <c r="NX122" i="1"/>
  <c r="NX131" i="1"/>
  <c r="NX132" i="1" s="1"/>
  <c r="NX145" i="1"/>
  <c r="NX154" i="1"/>
  <c r="NX163" i="1"/>
  <c r="NX172" i="1"/>
  <c r="LR155" i="1"/>
  <c r="MJ132" i="1"/>
  <c r="MJ173" i="1"/>
  <c r="NF121" i="1"/>
  <c r="NB123" i="1"/>
  <c r="NF144" i="1"/>
  <c r="NB146" i="1"/>
  <c r="NF162" i="1"/>
  <c r="NB164" i="1"/>
  <c r="MJ114" i="1"/>
  <c r="NF130" i="1"/>
  <c r="NF153" i="1"/>
  <c r="NF171" i="1"/>
  <c r="NF113" i="1"/>
  <c r="NF122" i="1"/>
  <c r="NF131" i="1"/>
  <c r="NF145" i="1"/>
  <c r="NF154" i="1"/>
  <c r="NF163" i="1"/>
  <c r="NF172" i="1"/>
  <c r="KZ155" i="1"/>
  <c r="LR132" i="1"/>
  <c r="LR173" i="1"/>
  <c r="MN121" i="1"/>
  <c r="MJ123" i="1"/>
  <c r="MN144" i="1"/>
  <c r="MJ146" i="1"/>
  <c r="MN162" i="1"/>
  <c r="MJ164" i="1"/>
  <c r="KZ114" i="1"/>
  <c r="LR114" i="1"/>
  <c r="MN113" i="1"/>
  <c r="MN122" i="1"/>
  <c r="MN131" i="1"/>
  <c r="MN145" i="1"/>
  <c r="MN154" i="1"/>
  <c r="MN163" i="1"/>
  <c r="MN172" i="1"/>
  <c r="KH132" i="1"/>
  <c r="KZ132" i="1"/>
  <c r="KZ173" i="1"/>
  <c r="LV121" i="1"/>
  <c r="LR123" i="1"/>
  <c r="LV144" i="1"/>
  <c r="LR146" i="1"/>
  <c r="LV162" i="1"/>
  <c r="LR164" i="1"/>
  <c r="LV113" i="1"/>
  <c r="LV122" i="1"/>
  <c r="LV131" i="1"/>
  <c r="LV145" i="1"/>
  <c r="LV154" i="1"/>
  <c r="LV163" i="1"/>
  <c r="LV172" i="1"/>
  <c r="JP132" i="1"/>
  <c r="KH173" i="1"/>
  <c r="LD121" i="1"/>
  <c r="KZ123" i="1"/>
  <c r="LD144" i="1"/>
  <c r="KZ146" i="1"/>
  <c r="LD162" i="1"/>
  <c r="KZ164" i="1"/>
  <c r="LD113" i="1"/>
  <c r="LD122" i="1"/>
  <c r="LD131" i="1"/>
  <c r="LD145" i="1"/>
  <c r="LD154" i="1"/>
  <c r="LD163" i="1"/>
  <c r="LD172" i="1"/>
  <c r="JP173" i="1"/>
  <c r="KL121" i="1"/>
  <c r="KH123" i="1"/>
  <c r="KL144" i="1"/>
  <c r="KH146" i="1"/>
  <c r="KL162" i="1"/>
  <c r="KH164" i="1"/>
  <c r="JP114" i="1"/>
  <c r="KL113" i="1"/>
  <c r="KL122" i="1"/>
  <c r="KL131" i="1"/>
  <c r="KL145" i="1"/>
  <c r="KL154" i="1"/>
  <c r="KL163" i="1"/>
  <c r="KL172" i="1"/>
  <c r="IX114" i="1"/>
  <c r="JP123" i="1"/>
  <c r="JP146" i="1"/>
  <c r="IF155" i="1"/>
  <c r="IX173" i="1"/>
  <c r="JT121" i="1"/>
  <c r="JT144" i="1"/>
  <c r="JT162" i="1"/>
  <c r="JP164" i="1"/>
  <c r="JT113" i="1"/>
  <c r="JT122" i="1"/>
  <c r="JT131" i="1"/>
  <c r="JT145" i="1"/>
  <c r="JT154" i="1"/>
  <c r="JT163" i="1"/>
  <c r="JT172" i="1"/>
  <c r="IX132" i="1"/>
  <c r="IX155" i="1"/>
  <c r="IF114" i="1"/>
  <c r="IF173" i="1"/>
  <c r="JB121" i="1"/>
  <c r="IX123" i="1"/>
  <c r="JB144" i="1"/>
  <c r="IX146" i="1"/>
  <c r="JB162" i="1"/>
  <c r="IX164" i="1"/>
  <c r="IF132" i="1"/>
  <c r="JB113" i="1"/>
  <c r="JB122" i="1"/>
  <c r="JB131" i="1"/>
  <c r="JB145" i="1"/>
  <c r="JB154" i="1"/>
  <c r="JB163" i="1"/>
  <c r="JB164" i="1" s="1"/>
  <c r="JB172" i="1"/>
  <c r="HN114" i="1"/>
  <c r="HN123" i="1"/>
  <c r="HN132" i="1"/>
  <c r="HN146" i="1"/>
  <c r="HN155" i="1"/>
  <c r="HN164" i="1"/>
  <c r="HN173" i="1"/>
  <c r="IJ121" i="1"/>
  <c r="IF123" i="1"/>
  <c r="IJ144" i="1"/>
  <c r="IF146" i="1"/>
  <c r="IJ162" i="1"/>
  <c r="IF164" i="1"/>
  <c r="IJ113" i="1"/>
  <c r="IJ122" i="1"/>
  <c r="IJ131" i="1"/>
  <c r="IJ145" i="1"/>
  <c r="IJ154" i="1"/>
  <c r="IJ163" i="1"/>
  <c r="IJ172" i="1"/>
  <c r="HR121" i="1"/>
  <c r="HR144" i="1"/>
  <c r="HR162" i="1"/>
  <c r="HR113" i="1"/>
  <c r="HR122" i="1"/>
  <c r="HR131" i="1"/>
  <c r="HR145" i="1"/>
  <c r="HR154" i="1"/>
  <c r="HR163" i="1"/>
  <c r="HR172" i="1"/>
  <c r="DJ173" i="1"/>
  <c r="EB114" i="1"/>
  <c r="EB155" i="1"/>
  <c r="FL155" i="1"/>
  <c r="GD132" i="1"/>
  <c r="GD173" i="1"/>
  <c r="GZ121" i="1"/>
  <c r="GV123" i="1"/>
  <c r="GZ144" i="1"/>
  <c r="GV146" i="1"/>
  <c r="GZ162" i="1"/>
  <c r="GV164" i="1"/>
  <c r="ET173" i="1"/>
  <c r="GD114" i="1"/>
  <c r="GD155" i="1"/>
  <c r="GV114" i="1"/>
  <c r="GV132" i="1"/>
  <c r="GV155" i="1"/>
  <c r="GV173" i="1"/>
  <c r="GZ113" i="1"/>
  <c r="GZ122" i="1"/>
  <c r="GZ131" i="1"/>
  <c r="GZ145" i="1"/>
  <c r="GZ154" i="1"/>
  <c r="GZ163" i="1"/>
  <c r="GZ172" i="1"/>
  <c r="FL123" i="1"/>
  <c r="FL132" i="1"/>
  <c r="FL173" i="1"/>
  <c r="GH121" i="1"/>
  <c r="GD123" i="1"/>
  <c r="GH144" i="1"/>
  <c r="GD146" i="1"/>
  <c r="GH162" i="1"/>
  <c r="GD164" i="1"/>
  <c r="GH113" i="1"/>
  <c r="GH122" i="1"/>
  <c r="GH131" i="1"/>
  <c r="GH145" i="1"/>
  <c r="GH154" i="1"/>
  <c r="GH163" i="1"/>
  <c r="GH172" i="1"/>
  <c r="EB132" i="1"/>
  <c r="ET132" i="1"/>
  <c r="FL114" i="1"/>
  <c r="FP144" i="1"/>
  <c r="FL146" i="1"/>
  <c r="FL164" i="1"/>
  <c r="CR132" i="1"/>
  <c r="CR146" i="1"/>
  <c r="CR155" i="1"/>
  <c r="CR164" i="1"/>
  <c r="ET114" i="1"/>
  <c r="ET155" i="1"/>
  <c r="FP153" i="1"/>
  <c r="FP130" i="1"/>
  <c r="FP113" i="1"/>
  <c r="FP122" i="1"/>
  <c r="FP131" i="1"/>
  <c r="FP145" i="1"/>
  <c r="FP154" i="1"/>
  <c r="FP163" i="1"/>
  <c r="FP172" i="1"/>
  <c r="DJ132" i="1"/>
  <c r="EB173" i="1"/>
  <c r="ET123" i="1"/>
  <c r="ET146" i="1"/>
  <c r="ET164" i="1"/>
  <c r="EX130" i="1"/>
  <c r="EX153" i="1"/>
  <c r="EX113" i="1"/>
  <c r="EX122" i="1"/>
  <c r="EX131" i="1"/>
  <c r="EX145" i="1"/>
  <c r="EX154" i="1"/>
  <c r="EX163" i="1"/>
  <c r="EX172" i="1"/>
  <c r="CR173" i="1"/>
  <c r="EF121" i="1"/>
  <c r="EB123" i="1"/>
  <c r="EF144" i="1"/>
  <c r="EB146" i="1"/>
  <c r="EF162" i="1"/>
  <c r="EB164" i="1"/>
  <c r="BZ173" i="1"/>
  <c r="CR114" i="1"/>
  <c r="DJ114" i="1"/>
  <c r="DJ155" i="1"/>
  <c r="AT131" i="1"/>
  <c r="AT154" i="1"/>
  <c r="EF113" i="1"/>
  <c r="EF122" i="1"/>
  <c r="EF131" i="1"/>
  <c r="EF145" i="1"/>
  <c r="EF154" i="1"/>
  <c r="EF163" i="1"/>
  <c r="EF172" i="1"/>
  <c r="CV130" i="1"/>
  <c r="DN121" i="1"/>
  <c r="DJ123" i="1"/>
  <c r="DN144" i="1"/>
  <c r="DJ146" i="1"/>
  <c r="DN162" i="1"/>
  <c r="DJ164" i="1"/>
  <c r="CV153" i="1"/>
  <c r="CR123" i="1"/>
  <c r="DN113" i="1"/>
  <c r="DN122" i="1"/>
  <c r="DN131" i="1"/>
  <c r="DN145" i="1"/>
  <c r="DN154" i="1"/>
  <c r="DN163" i="1"/>
  <c r="DN172" i="1"/>
  <c r="AN173" i="1"/>
  <c r="BH155" i="1"/>
  <c r="BZ132" i="1"/>
  <c r="BZ114" i="1"/>
  <c r="BZ155" i="1"/>
  <c r="CV113" i="1"/>
  <c r="CV122" i="1"/>
  <c r="CV131" i="1"/>
  <c r="CV145" i="1"/>
  <c r="CV154" i="1"/>
  <c r="CV163" i="1"/>
  <c r="CV172" i="1"/>
  <c r="AO173" i="1"/>
  <c r="BH132" i="1"/>
  <c r="BH173" i="1"/>
  <c r="BZ123" i="1"/>
  <c r="BZ146" i="1"/>
  <c r="BZ164" i="1"/>
  <c r="BH114" i="1"/>
  <c r="CD130" i="1"/>
  <c r="CD153" i="1"/>
  <c r="CD113" i="1"/>
  <c r="CD122" i="1"/>
  <c r="CD131" i="1"/>
  <c r="CD132" i="1" s="1"/>
  <c r="CD145" i="1"/>
  <c r="CD154" i="1"/>
  <c r="CD163" i="1"/>
  <c r="CD172" i="1"/>
  <c r="X146" i="1"/>
  <c r="X164" i="1"/>
  <c r="AL114" i="1"/>
  <c r="AP114" i="1"/>
  <c r="AL132" i="1"/>
  <c r="AP132" i="1"/>
  <c r="AL146" i="1"/>
  <c r="AP146" i="1"/>
  <c r="AL155" i="1"/>
  <c r="AP155" i="1"/>
  <c r="AL164" i="1"/>
  <c r="AP164" i="1"/>
  <c r="AL173" i="1"/>
  <c r="AP173" i="1"/>
  <c r="BH123" i="1"/>
  <c r="BH146" i="1"/>
  <c r="BH164" i="1"/>
  <c r="AO114" i="1"/>
  <c r="AO132" i="1"/>
  <c r="AO146" i="1"/>
  <c r="AO155" i="1"/>
  <c r="AO164" i="1"/>
  <c r="BL130" i="1"/>
  <c r="BL153" i="1"/>
  <c r="BL122" i="1"/>
  <c r="BL131" i="1"/>
  <c r="BL145" i="1"/>
  <c r="BL154" i="1"/>
  <c r="BL163" i="1"/>
  <c r="BL172" i="1"/>
  <c r="AN114" i="1"/>
  <c r="AN132" i="1"/>
  <c r="AN146" i="1"/>
  <c r="AN155" i="1"/>
  <c r="AN164" i="1"/>
  <c r="AM114" i="1"/>
  <c r="AM132" i="1"/>
  <c r="AM155" i="1"/>
  <c r="AM146" i="1"/>
  <c r="AM164" i="1"/>
  <c r="AM173" i="1"/>
  <c r="AT112" i="1"/>
  <c r="AT153" i="1"/>
  <c r="AT121" i="1"/>
  <c r="AT144" i="1"/>
  <c r="AT162" i="1"/>
  <c r="AT163" i="1"/>
  <c r="AT130" i="1"/>
  <c r="AT122" i="1"/>
  <c r="AT145" i="1"/>
  <c r="AT172" i="1"/>
  <c r="J131" i="1"/>
  <c r="J154" i="1"/>
  <c r="X123" i="1"/>
  <c r="W114" i="1"/>
  <c r="AB153" i="1"/>
  <c r="F114" i="1"/>
  <c r="AB113" i="1"/>
  <c r="AB131" i="1"/>
  <c r="AB154" i="1"/>
  <c r="AB162" i="1"/>
  <c r="X132" i="1"/>
  <c r="X155" i="1"/>
  <c r="X173" i="1"/>
  <c r="AB121" i="1"/>
  <c r="AB145" i="1"/>
  <c r="AB130" i="1"/>
  <c r="AB171" i="1"/>
  <c r="AB144" i="1"/>
  <c r="X114" i="1"/>
  <c r="J145" i="1"/>
  <c r="F132" i="1"/>
  <c r="F155" i="1"/>
  <c r="F173" i="1"/>
  <c r="F123" i="1"/>
  <c r="F164" i="1"/>
  <c r="F146" i="1"/>
  <c r="J172" i="1"/>
  <c r="J162" i="1"/>
  <c r="J153" i="1"/>
  <c r="J130" i="1"/>
  <c r="J121" i="1"/>
  <c r="BL132" i="1" l="1"/>
  <c r="N107" i="1"/>
  <c r="M107" i="1"/>
  <c r="C84" i="38"/>
  <c r="C84" i="87"/>
  <c r="TL132" i="1"/>
  <c r="SB114" i="1"/>
  <c r="UV164" i="1"/>
  <c r="TL173" i="1"/>
  <c r="PZ155" i="1"/>
  <c r="QR155" i="1"/>
  <c r="RJ173" i="1"/>
  <c r="TL164" i="1"/>
  <c r="SB173" i="1"/>
  <c r="ST114" i="1"/>
  <c r="OP155" i="1"/>
  <c r="NX164" i="1"/>
  <c r="J123" i="1"/>
  <c r="J164" i="1"/>
  <c r="AB114" i="1"/>
  <c r="UD123" i="1"/>
  <c r="ST173" i="1"/>
  <c r="UV123" i="1"/>
  <c r="MN155" i="1"/>
  <c r="NX173" i="1"/>
  <c r="OP173" i="1"/>
  <c r="OP132" i="1"/>
  <c r="PH123" i="1"/>
  <c r="QR132" i="1"/>
  <c r="QR173" i="1"/>
  <c r="ST164" i="1"/>
  <c r="NX123" i="1"/>
  <c r="PH114" i="1"/>
  <c r="PZ132" i="1"/>
  <c r="TL123" i="1"/>
  <c r="RJ164" i="1"/>
  <c r="SB164" i="1"/>
  <c r="SB123" i="1"/>
  <c r="TL114" i="1"/>
  <c r="UD173" i="1"/>
  <c r="UD132" i="1"/>
  <c r="UV173" i="1"/>
  <c r="UV114" i="1"/>
  <c r="NF114" i="1"/>
  <c r="PZ173" i="1"/>
  <c r="PH173" i="1"/>
  <c r="PH164" i="1"/>
  <c r="KL173" i="1"/>
  <c r="LV155" i="1"/>
  <c r="KL132" i="1"/>
  <c r="JT173" i="1"/>
  <c r="JT132" i="1"/>
  <c r="IJ114" i="1"/>
  <c r="GH114" i="1"/>
  <c r="HR173" i="1"/>
  <c r="HR132" i="1"/>
  <c r="GZ114" i="1"/>
  <c r="GH155" i="1"/>
  <c r="EF155" i="1"/>
  <c r="EF114" i="1"/>
  <c r="DN155" i="1"/>
  <c r="DN114" i="1"/>
  <c r="J114" i="1"/>
  <c r="BL164" i="1"/>
  <c r="CD173" i="1"/>
  <c r="BL123" i="1"/>
  <c r="J173" i="1"/>
  <c r="AT114" i="1"/>
  <c r="CD123" i="1"/>
  <c r="LD114" i="1"/>
  <c r="AB173" i="1"/>
  <c r="BL173" i="1"/>
  <c r="CV114" i="1"/>
  <c r="EX123" i="1"/>
  <c r="FP114" i="1"/>
  <c r="LD173" i="1"/>
  <c r="LD132" i="1"/>
  <c r="AB123" i="1"/>
  <c r="EF173" i="1"/>
  <c r="EF132" i="1"/>
  <c r="EX173" i="1"/>
  <c r="GZ173" i="1"/>
  <c r="IJ173" i="1"/>
  <c r="IJ132" i="1"/>
  <c r="JB173" i="1"/>
  <c r="JB132" i="1"/>
  <c r="JT155" i="1"/>
  <c r="JT114" i="1"/>
  <c r="LV173" i="1"/>
  <c r="LV132" i="1"/>
  <c r="EX164" i="1"/>
  <c r="AT173" i="1"/>
  <c r="GZ155" i="1"/>
  <c r="JB155" i="1"/>
  <c r="LV114" i="1"/>
  <c r="MN114" i="1"/>
  <c r="CD164" i="1"/>
  <c r="FP173" i="1"/>
  <c r="LD155" i="1"/>
  <c r="EX114" i="1"/>
  <c r="IJ155" i="1"/>
  <c r="JB114" i="1"/>
  <c r="BL114" i="1"/>
  <c r="CV173" i="1"/>
  <c r="AB164" i="1"/>
  <c r="CD114" i="1"/>
  <c r="CV164" i="1"/>
  <c r="CV123" i="1"/>
  <c r="DN173" i="1"/>
  <c r="DN132" i="1"/>
  <c r="FP164" i="1"/>
  <c r="FP123" i="1"/>
  <c r="GH173" i="1"/>
  <c r="GH132" i="1"/>
  <c r="GZ132" i="1"/>
  <c r="HR155" i="1"/>
  <c r="HR114" i="1"/>
  <c r="KL155" i="1"/>
  <c r="KL114" i="1"/>
  <c r="MN173" i="1"/>
  <c r="MN132" i="1"/>
  <c r="MN146" i="1"/>
  <c r="EX132" i="1"/>
  <c r="LV146" i="1"/>
  <c r="IJ123" i="1"/>
  <c r="GZ164" i="1"/>
  <c r="AB132" i="1"/>
  <c r="GH164" i="1"/>
  <c r="DN164" i="1"/>
  <c r="AT146" i="1"/>
  <c r="CV132" i="1"/>
  <c r="BL146" i="1"/>
  <c r="UV132" i="1"/>
  <c r="UD164" i="1"/>
  <c r="UV146" i="1"/>
  <c r="UV155" i="1"/>
  <c r="RJ155" i="1"/>
  <c r="TL146" i="1"/>
  <c r="UD146" i="1"/>
  <c r="ST155" i="1"/>
  <c r="TL155" i="1"/>
  <c r="ST146" i="1"/>
  <c r="ST132" i="1"/>
  <c r="QR164" i="1"/>
  <c r="SB155" i="1"/>
  <c r="RJ123" i="1"/>
  <c r="RJ146" i="1"/>
  <c r="SB146" i="1"/>
  <c r="RJ114" i="1"/>
  <c r="PZ123" i="1"/>
  <c r="QR146" i="1"/>
  <c r="RJ132" i="1"/>
  <c r="QR123" i="1"/>
  <c r="OP146" i="1"/>
  <c r="PH155" i="1"/>
  <c r="PZ164" i="1"/>
  <c r="PZ114" i="1"/>
  <c r="NF132" i="1"/>
  <c r="NX155" i="1"/>
  <c r="PZ146" i="1"/>
  <c r="PH132" i="1"/>
  <c r="OP164" i="1"/>
  <c r="OP123" i="1"/>
  <c r="PH146" i="1"/>
  <c r="NF164" i="1"/>
  <c r="NF123" i="1"/>
  <c r="NX146" i="1"/>
  <c r="NF155" i="1"/>
  <c r="NF173" i="1"/>
  <c r="NF146" i="1"/>
  <c r="MN164" i="1"/>
  <c r="MN123" i="1"/>
  <c r="LV123" i="1"/>
  <c r="LD164" i="1"/>
  <c r="LV164" i="1"/>
  <c r="JT146" i="1"/>
  <c r="KL123" i="1"/>
  <c r="LD146" i="1"/>
  <c r="LD123" i="1"/>
  <c r="KL164" i="1"/>
  <c r="JT164" i="1"/>
  <c r="JT123" i="1"/>
  <c r="KL146" i="1"/>
  <c r="GZ146" i="1"/>
  <c r="JB146" i="1"/>
  <c r="JB123" i="1"/>
  <c r="IJ164" i="1"/>
  <c r="HR146" i="1"/>
  <c r="IJ146" i="1"/>
  <c r="HR164" i="1"/>
  <c r="HR123" i="1"/>
  <c r="GH123" i="1"/>
  <c r="GZ123" i="1"/>
  <c r="FP146" i="1"/>
  <c r="GH146" i="1"/>
  <c r="FP155" i="1"/>
  <c r="EX146" i="1"/>
  <c r="FP132" i="1"/>
  <c r="AT155" i="1"/>
  <c r="EX155" i="1"/>
  <c r="EF123" i="1"/>
  <c r="CV155" i="1"/>
  <c r="AT132" i="1"/>
  <c r="EF164" i="1"/>
  <c r="DN146" i="1"/>
  <c r="EF146" i="1"/>
  <c r="DN123" i="1"/>
  <c r="CV146" i="1"/>
  <c r="CD146" i="1"/>
  <c r="BL155" i="1"/>
  <c r="CD155" i="1"/>
  <c r="AT123" i="1"/>
  <c r="AT164" i="1"/>
  <c r="J132" i="1"/>
  <c r="J155" i="1"/>
  <c r="AB146" i="1"/>
  <c r="AB155" i="1"/>
  <c r="J146" i="1"/>
  <c r="P84" i="1" l="1"/>
  <c r="P88" i="1"/>
  <c r="P90" i="1"/>
  <c r="P86" i="1"/>
  <c r="P80" i="1"/>
  <c r="M113" i="1"/>
  <c r="M112" i="1"/>
  <c r="P107" i="1"/>
  <c r="I23" i="34"/>
  <c r="O23" i="34" s="1"/>
  <c r="Q23" i="34" l="1"/>
  <c r="R23" i="34" s="1"/>
  <c r="C245" i="34"/>
  <c r="I26" i="34" s="1"/>
  <c r="C263" i="34"/>
  <c r="I27" i="34" s="1"/>
  <c r="C208" i="34"/>
  <c r="I24" i="34" s="1"/>
  <c r="O27" i="34" l="1"/>
  <c r="Q27" i="34" s="1"/>
  <c r="R27" i="34" s="1"/>
  <c r="O26" i="34"/>
  <c r="Q26" i="34" s="1"/>
  <c r="R26" i="34" s="1"/>
  <c r="O24" i="34"/>
  <c r="Q24" i="34" s="1"/>
  <c r="R24" i="34" s="1"/>
  <c r="D290" i="1"/>
  <c r="AG40" i="9" s="1"/>
  <c r="PB225" i="1"/>
  <c r="PB222" i="1"/>
  <c r="PB217" i="1"/>
  <c r="D272" i="1"/>
  <c r="D271" i="1"/>
  <c r="D270" i="1"/>
  <c r="D269" i="1"/>
  <c r="F267" i="1"/>
  <c r="AI16" i="9" s="1"/>
  <c r="F266" i="1"/>
  <c r="AI15" i="9" s="1"/>
  <c r="D289" i="1" l="1"/>
  <c r="AG39" i="9" s="1"/>
  <c r="AG19" i="9"/>
  <c r="AG18" i="9"/>
  <c r="F271" i="1"/>
  <c r="AI20" i="9" s="1"/>
  <c r="AG20" i="9"/>
  <c r="F272" i="1"/>
  <c r="AI21" i="9" s="1"/>
  <c r="AG21" i="9"/>
  <c r="F269" i="1"/>
  <c r="AI18" i="9" s="1"/>
  <c r="F290" i="1"/>
  <c r="AI40" i="9" s="1"/>
  <c r="D274" i="1"/>
  <c r="D273" i="1"/>
  <c r="AI17" i="9"/>
  <c r="G268" i="1"/>
  <c r="AJ19" i="9" s="1"/>
  <c r="F270" i="1"/>
  <c r="AI19" i="9" s="1"/>
  <c r="G270" i="1"/>
  <c r="AJ21" i="9" s="1"/>
  <c r="F289" i="1" l="1"/>
  <c r="AI39" i="9" s="1"/>
  <c r="G272" i="1"/>
  <c r="AJ23" i="9" s="1"/>
  <c r="F273" i="1"/>
  <c r="AI22" i="9" s="1"/>
  <c r="AG22" i="9"/>
  <c r="F274" i="1"/>
  <c r="AI23" i="9" s="1"/>
  <c r="AG23" i="9"/>
  <c r="UP225" i="1"/>
  <c r="D280" i="1" s="1"/>
  <c r="UP222" i="1"/>
  <c r="SN225" i="1"/>
  <c r="D282" i="1" s="1"/>
  <c r="SN222" i="1"/>
  <c r="D281" i="1" s="1"/>
  <c r="SN217" i="1"/>
  <c r="D287" i="1"/>
  <c r="D286" i="1"/>
  <c r="NR225" i="1"/>
  <c r="D276" i="1" s="1"/>
  <c r="NR222" i="1"/>
  <c r="ER222" i="1"/>
  <c r="D283" i="1" s="1"/>
  <c r="ER225" i="1"/>
  <c r="D284" i="1" s="1"/>
  <c r="AG30" i="9" l="1"/>
  <c r="AG31" i="9"/>
  <c r="AG32" i="9"/>
  <c r="AG37" i="9"/>
  <c r="AG36" i="9"/>
  <c r="AG25" i="9"/>
  <c r="AG34" i="9"/>
  <c r="AG33" i="9"/>
  <c r="D285" i="1"/>
  <c r="G282" i="1"/>
  <c r="AJ34" i="9" s="1"/>
  <c r="G276" i="1"/>
  <c r="AJ27" i="9" s="1"/>
  <c r="F282" i="1"/>
  <c r="AI32" i="9" s="1"/>
  <c r="F276" i="1"/>
  <c r="AI25" i="9" s="1"/>
  <c r="D275" i="1"/>
  <c r="D279" i="1"/>
  <c r="DX130" i="1"/>
  <c r="DY130" i="1"/>
  <c r="DZ130" i="1"/>
  <c r="EA130" i="1"/>
  <c r="AG29" i="9" l="1"/>
  <c r="C295" i="1"/>
  <c r="AG24" i="9"/>
  <c r="G284" i="1"/>
  <c r="AJ36" i="9" s="1"/>
  <c r="AG35" i="9"/>
  <c r="D295" i="1"/>
  <c r="F283" i="1"/>
  <c r="AI33" i="9" s="1"/>
  <c r="F280" i="1"/>
  <c r="AI30" i="9" s="1"/>
  <c r="G280" i="1"/>
  <c r="AJ32" i="9" s="1"/>
  <c r="F286" i="1"/>
  <c r="AI36" i="9" s="1"/>
  <c r="G286" i="1"/>
  <c r="AJ38" i="9" s="1"/>
  <c r="F281" i="1"/>
  <c r="AI31" i="9" s="1"/>
  <c r="F275" i="1"/>
  <c r="AI24" i="9" s="1"/>
  <c r="G274" i="1"/>
  <c r="AJ25" i="9" s="1"/>
  <c r="F278" i="1"/>
  <c r="AI27" i="9" s="1"/>
  <c r="G278" i="1"/>
  <c r="AJ29" i="9" s="1"/>
  <c r="F287" i="1"/>
  <c r="AI37" i="9" s="1"/>
  <c r="F288" i="1"/>
  <c r="AI38" i="9" s="1"/>
  <c r="G288" i="1"/>
  <c r="AJ40" i="9" s="1"/>
  <c r="F279" i="1"/>
  <c r="AI29" i="9" s="1"/>
  <c r="F284" i="1"/>
  <c r="AI34" i="9" s="1"/>
  <c r="F285" i="1"/>
  <c r="AI35" i="9" s="1"/>
  <c r="F277" i="1"/>
  <c r="AI26" i="9" s="1"/>
  <c r="NA153" i="1"/>
  <c r="N22" i="9" l="1"/>
  <c r="CH31" i="37" s="1"/>
  <c r="N23" i="9"/>
  <c r="J23" i="9"/>
  <c r="N24" i="9"/>
  <c r="J24" i="9"/>
  <c r="J22" i="9"/>
  <c r="N27" i="9"/>
  <c r="J27" i="9"/>
  <c r="N26" i="9"/>
  <c r="J28" i="9"/>
  <c r="N28" i="9"/>
  <c r="N25" i="9"/>
  <c r="DX31" i="37" s="1"/>
  <c r="J25" i="9"/>
  <c r="J26" i="9"/>
  <c r="N18" i="9"/>
  <c r="AG9" i="9"/>
  <c r="J19" i="9"/>
  <c r="N20" i="9"/>
  <c r="BF31" i="37" s="1"/>
  <c r="J18" i="9"/>
  <c r="AF9" i="9"/>
  <c r="N19" i="9"/>
  <c r="N21" i="9"/>
  <c r="J21" i="9"/>
  <c r="J20" i="9"/>
  <c r="C170" i="64" l="1"/>
  <c r="C186" i="64"/>
  <c r="C187" i="37"/>
  <c r="C122" i="64"/>
  <c r="C123" i="37"/>
  <c r="C171" i="37"/>
  <c r="FG31" i="37"/>
  <c r="FN31" i="37"/>
  <c r="ES31" i="37"/>
  <c r="EZ31" i="37"/>
  <c r="EE31" i="37"/>
  <c r="EL31" i="37"/>
  <c r="DX30" i="37"/>
  <c r="DQ31" i="37"/>
  <c r="DC31" i="37"/>
  <c r="DJ31" i="37"/>
  <c r="CO31" i="37"/>
  <c r="CV31" i="37"/>
  <c r="CH30" i="37"/>
  <c r="CA31" i="37"/>
  <c r="BM31" i="37"/>
  <c r="BT31" i="37"/>
  <c r="BF30" i="37"/>
  <c r="AY31" i="37"/>
  <c r="AK31" i="37"/>
  <c r="AR31" i="37"/>
  <c r="W31" i="37"/>
  <c r="AD31" i="37"/>
  <c r="I31" i="37"/>
  <c r="P31" i="37"/>
  <c r="FG30" i="37"/>
  <c r="FN30" i="37"/>
  <c r="ES30" i="37"/>
  <c r="EZ30" i="37"/>
  <c r="EE30" i="37"/>
  <c r="EL30" i="37"/>
  <c r="DQ30" i="37"/>
  <c r="DC30" i="37"/>
  <c r="DJ30" i="37"/>
  <c r="CO30" i="37"/>
  <c r="CV30" i="37"/>
  <c r="CH28" i="37"/>
  <c r="CA30" i="37"/>
  <c r="BM30" i="37"/>
  <c r="BT30" i="37"/>
  <c r="BF28" i="37"/>
  <c r="AY30" i="37"/>
  <c r="AK30" i="37"/>
  <c r="AR30" i="37"/>
  <c r="W30" i="37"/>
  <c r="AD30" i="37"/>
  <c r="P30" i="37"/>
  <c r="I30" i="37"/>
  <c r="M30" i="37" s="1"/>
  <c r="I28" i="37"/>
  <c r="M28" i="37" s="1"/>
  <c r="FG28" i="37"/>
  <c r="FN28" i="37"/>
  <c r="ES28" i="37"/>
  <c r="EZ28" i="37"/>
  <c r="EE28" i="37"/>
  <c r="EL28" i="37"/>
  <c r="DQ28" i="37"/>
  <c r="DX28" i="37"/>
  <c r="DC28" i="37"/>
  <c r="DJ28" i="37"/>
  <c r="CO28" i="37"/>
  <c r="CV28" i="37"/>
  <c r="CA28" i="37"/>
  <c r="BM28" i="37"/>
  <c r="BT28" i="37"/>
  <c r="AY28" i="37"/>
  <c r="AK28" i="37"/>
  <c r="AR28" i="37"/>
  <c r="W28" i="37"/>
  <c r="AD28" i="37"/>
  <c r="P28" i="37"/>
  <c r="I23" i="68"/>
  <c r="I23" i="64"/>
  <c r="P23" i="68"/>
  <c r="P23" i="64"/>
  <c r="C170" i="68"/>
  <c r="AY30" i="68" s="1"/>
  <c r="BC30" i="68" s="1"/>
  <c r="P23" i="37"/>
  <c r="I23" i="37"/>
  <c r="C122" i="68"/>
  <c r="I28" i="68" s="1"/>
  <c r="M28" i="68" s="1"/>
  <c r="C186" i="68"/>
  <c r="AY31" i="68" s="1"/>
  <c r="BC31" i="68" s="1"/>
  <c r="FN23" i="68"/>
  <c r="FG23" i="68"/>
  <c r="FN23" i="64"/>
  <c r="FG23" i="64"/>
  <c r="ES23" i="68"/>
  <c r="EZ23" i="68"/>
  <c r="ES23" i="64"/>
  <c r="EZ23" i="64"/>
  <c r="DJ23" i="68"/>
  <c r="DC23" i="68"/>
  <c r="DJ23" i="64"/>
  <c r="DC23" i="64"/>
  <c r="CO23" i="68"/>
  <c r="CV23" i="68"/>
  <c r="CV23" i="64"/>
  <c r="CO23" i="64"/>
  <c r="CH23" i="68"/>
  <c r="CA23" i="68"/>
  <c r="CH23" i="64"/>
  <c r="CA23" i="64"/>
  <c r="BM23" i="68"/>
  <c r="BT23" i="68"/>
  <c r="BT23" i="64"/>
  <c r="BM23" i="64"/>
  <c r="BF23" i="68"/>
  <c r="AY23" i="68"/>
  <c r="AY23" i="64"/>
  <c r="BF23" i="64"/>
  <c r="AR23" i="68"/>
  <c r="AK23" i="68"/>
  <c r="AR23" i="64"/>
  <c r="AK23" i="64"/>
  <c r="W23" i="68"/>
  <c r="AD23" i="68"/>
  <c r="AD23" i="64"/>
  <c r="W23" i="64"/>
  <c r="DX23" i="68"/>
  <c r="DQ23" i="68"/>
  <c r="DQ23" i="64"/>
  <c r="DX23" i="64"/>
  <c r="EE23" i="68"/>
  <c r="EL23" i="68"/>
  <c r="EL23" i="64"/>
  <c r="EE23" i="64"/>
  <c r="FN23" i="37"/>
  <c r="FG23" i="37"/>
  <c r="ES23" i="37"/>
  <c r="EZ23" i="37"/>
  <c r="EL23" i="37"/>
  <c r="EE23" i="37"/>
  <c r="W23" i="37"/>
  <c r="AD23" i="37"/>
  <c r="AK23" i="37"/>
  <c r="AR23" i="37"/>
  <c r="AY23" i="37"/>
  <c r="BF23" i="37"/>
  <c r="DX23" i="37"/>
  <c r="DQ23" i="37"/>
  <c r="DJ23" i="37"/>
  <c r="DC23" i="37"/>
  <c r="CV23" i="37"/>
  <c r="CO23" i="37"/>
  <c r="CH23" i="37"/>
  <c r="CA23" i="37"/>
  <c r="BM23" i="37"/>
  <c r="BT23" i="37"/>
  <c r="UQ172" i="1"/>
  <c r="UP172" i="1"/>
  <c r="UO172" i="1"/>
  <c r="UN172" i="1"/>
  <c r="TY172" i="1"/>
  <c r="TX172" i="1"/>
  <c r="TW172" i="1"/>
  <c r="TV172" i="1"/>
  <c r="TG172" i="1"/>
  <c r="TF172" i="1"/>
  <c r="TE172" i="1"/>
  <c r="TD172" i="1"/>
  <c r="SO172" i="1"/>
  <c r="SN172" i="1"/>
  <c r="SM172" i="1"/>
  <c r="SL172" i="1"/>
  <c r="RW172" i="1"/>
  <c r="RV172" i="1"/>
  <c r="RU172" i="1"/>
  <c r="RT172" i="1"/>
  <c r="RE172" i="1"/>
  <c r="RD172" i="1"/>
  <c r="RC172" i="1"/>
  <c r="RB172" i="1"/>
  <c r="QM172" i="1"/>
  <c r="QL172" i="1"/>
  <c r="QK172" i="1"/>
  <c r="QJ172" i="1"/>
  <c r="PU172" i="1"/>
  <c r="PT172" i="1"/>
  <c r="PS172" i="1"/>
  <c r="PR172" i="1"/>
  <c r="PC172" i="1"/>
  <c r="PB172" i="1"/>
  <c r="PA172" i="1"/>
  <c r="OZ172" i="1"/>
  <c r="OK172" i="1"/>
  <c r="OJ172" i="1"/>
  <c r="OI172" i="1"/>
  <c r="OH172" i="1"/>
  <c r="NS172" i="1"/>
  <c r="NR172" i="1"/>
  <c r="NQ172" i="1"/>
  <c r="NP172" i="1"/>
  <c r="NA172" i="1"/>
  <c r="MZ172" i="1"/>
  <c r="MY172" i="1"/>
  <c r="MX172" i="1"/>
  <c r="MI172" i="1"/>
  <c r="MH172" i="1"/>
  <c r="MG172" i="1"/>
  <c r="MF172" i="1"/>
  <c r="LQ172" i="1"/>
  <c r="LP172" i="1"/>
  <c r="LO172" i="1"/>
  <c r="LN172" i="1"/>
  <c r="KY172" i="1"/>
  <c r="KX172" i="1"/>
  <c r="KW172" i="1"/>
  <c r="KV172" i="1"/>
  <c r="KG172" i="1"/>
  <c r="KF172" i="1"/>
  <c r="KE172" i="1"/>
  <c r="KD172" i="1"/>
  <c r="JO172" i="1"/>
  <c r="JN172" i="1"/>
  <c r="JM172" i="1"/>
  <c r="JL172" i="1"/>
  <c r="IW172" i="1"/>
  <c r="IV172" i="1"/>
  <c r="IU172" i="1"/>
  <c r="IT172" i="1"/>
  <c r="IE172" i="1"/>
  <c r="ID172" i="1"/>
  <c r="IC172" i="1"/>
  <c r="IB172" i="1"/>
  <c r="HM172" i="1"/>
  <c r="HL172" i="1"/>
  <c r="HK172" i="1"/>
  <c r="HJ172" i="1"/>
  <c r="GU172" i="1"/>
  <c r="GT172" i="1"/>
  <c r="GS172" i="1"/>
  <c r="GR172" i="1"/>
  <c r="GC172" i="1"/>
  <c r="GB172" i="1"/>
  <c r="GA172" i="1"/>
  <c r="FZ172" i="1"/>
  <c r="FK172" i="1"/>
  <c r="FJ172" i="1"/>
  <c r="FI172" i="1"/>
  <c r="FH172" i="1"/>
  <c r="ES172" i="1"/>
  <c r="ER172" i="1"/>
  <c r="EQ172" i="1"/>
  <c r="EP172" i="1"/>
  <c r="EA172" i="1"/>
  <c r="DZ172" i="1"/>
  <c r="DY172" i="1"/>
  <c r="DX172" i="1"/>
  <c r="DI172" i="1"/>
  <c r="DH172" i="1"/>
  <c r="DG172" i="1"/>
  <c r="DF172" i="1"/>
  <c r="CQ172" i="1"/>
  <c r="CP172" i="1"/>
  <c r="CO172" i="1"/>
  <c r="CN172" i="1"/>
  <c r="BY172" i="1"/>
  <c r="BX172" i="1"/>
  <c r="BW172" i="1"/>
  <c r="BV172" i="1"/>
  <c r="BG172" i="1"/>
  <c r="BF172" i="1"/>
  <c r="BE172" i="1"/>
  <c r="BD172" i="1"/>
  <c r="W172" i="1"/>
  <c r="V172" i="1"/>
  <c r="U172" i="1"/>
  <c r="T172" i="1"/>
  <c r="E172" i="1"/>
  <c r="D172" i="1"/>
  <c r="C172" i="1"/>
  <c r="B172" i="1"/>
  <c r="UQ171" i="1"/>
  <c r="UP171" i="1"/>
  <c r="UO171" i="1"/>
  <c r="UN171" i="1"/>
  <c r="TY171" i="1"/>
  <c r="TX171" i="1"/>
  <c r="TW171" i="1"/>
  <c r="TV171" i="1"/>
  <c r="TG171" i="1"/>
  <c r="TF171" i="1"/>
  <c r="TE171" i="1"/>
  <c r="TD171" i="1"/>
  <c r="SO171" i="1"/>
  <c r="SN171" i="1"/>
  <c r="SM171" i="1"/>
  <c r="SL171" i="1"/>
  <c r="RW171" i="1"/>
  <c r="RV171" i="1"/>
  <c r="RU171" i="1"/>
  <c r="RT171" i="1"/>
  <c r="RE171" i="1"/>
  <c r="RD171" i="1"/>
  <c r="RC171" i="1"/>
  <c r="RB171" i="1"/>
  <c r="QM171" i="1"/>
  <c r="QL171" i="1"/>
  <c r="QK171" i="1"/>
  <c r="QJ171" i="1"/>
  <c r="PU171" i="1"/>
  <c r="PT171" i="1"/>
  <c r="PS171" i="1"/>
  <c r="PR171" i="1"/>
  <c r="PC171" i="1"/>
  <c r="PB171" i="1"/>
  <c r="PA171" i="1"/>
  <c r="OZ171" i="1"/>
  <c r="OK171" i="1"/>
  <c r="OJ171" i="1"/>
  <c r="OI171" i="1"/>
  <c r="OH171" i="1"/>
  <c r="NS171" i="1"/>
  <c r="NR171" i="1"/>
  <c r="NQ171" i="1"/>
  <c r="NP171" i="1"/>
  <c r="NA171" i="1"/>
  <c r="MZ171" i="1"/>
  <c r="MY171" i="1"/>
  <c r="MX171" i="1"/>
  <c r="MI171" i="1"/>
  <c r="MH171" i="1"/>
  <c r="MG171" i="1"/>
  <c r="MF171" i="1"/>
  <c r="LQ171" i="1"/>
  <c r="LP171" i="1"/>
  <c r="LO171" i="1"/>
  <c r="LN171" i="1"/>
  <c r="KY171" i="1"/>
  <c r="KX171" i="1"/>
  <c r="KW171" i="1"/>
  <c r="KV171" i="1"/>
  <c r="KG171" i="1"/>
  <c r="KF171" i="1"/>
  <c r="KE171" i="1"/>
  <c r="KD171" i="1"/>
  <c r="JO171" i="1"/>
  <c r="JN171" i="1"/>
  <c r="JM171" i="1"/>
  <c r="JL171" i="1"/>
  <c r="IW171" i="1"/>
  <c r="IV171" i="1"/>
  <c r="IU171" i="1"/>
  <c r="IT171" i="1"/>
  <c r="IE171" i="1"/>
  <c r="ID171" i="1"/>
  <c r="IC171" i="1"/>
  <c r="IB171" i="1"/>
  <c r="HM171" i="1"/>
  <c r="HL171" i="1"/>
  <c r="HK171" i="1"/>
  <c r="HJ171" i="1"/>
  <c r="GU171" i="1"/>
  <c r="GT171" i="1"/>
  <c r="GS171" i="1"/>
  <c r="GR171" i="1"/>
  <c r="GC171" i="1"/>
  <c r="GB171" i="1"/>
  <c r="GA171" i="1"/>
  <c r="FZ171" i="1"/>
  <c r="FK171" i="1"/>
  <c r="FJ171" i="1"/>
  <c r="FI171" i="1"/>
  <c r="FH171" i="1"/>
  <c r="ES171" i="1"/>
  <c r="ER171" i="1"/>
  <c r="EQ171" i="1"/>
  <c r="EP171" i="1"/>
  <c r="EA171" i="1"/>
  <c r="DZ171" i="1"/>
  <c r="DY171" i="1"/>
  <c r="DX171" i="1"/>
  <c r="DI171" i="1"/>
  <c r="DH171" i="1"/>
  <c r="DG171" i="1"/>
  <c r="DF171" i="1"/>
  <c r="CQ171" i="1"/>
  <c r="CP171" i="1"/>
  <c r="CO171" i="1"/>
  <c r="CN171" i="1"/>
  <c r="BY171" i="1"/>
  <c r="BX171" i="1"/>
  <c r="BW171" i="1"/>
  <c r="BV171" i="1"/>
  <c r="BG171" i="1"/>
  <c r="BF171" i="1"/>
  <c r="BE171" i="1"/>
  <c r="BD171" i="1"/>
  <c r="W171" i="1"/>
  <c r="V171" i="1"/>
  <c r="U171" i="1"/>
  <c r="T171" i="1"/>
  <c r="E171" i="1"/>
  <c r="D171" i="1"/>
  <c r="C171" i="1"/>
  <c r="B171" i="1"/>
  <c r="UQ163" i="1"/>
  <c r="UP163" i="1"/>
  <c r="UO163" i="1"/>
  <c r="UN163" i="1"/>
  <c r="TY163" i="1"/>
  <c r="TX163" i="1"/>
  <c r="TW163" i="1"/>
  <c r="TV163" i="1"/>
  <c r="TG163" i="1"/>
  <c r="TF163" i="1"/>
  <c r="TE163" i="1"/>
  <c r="TD163" i="1"/>
  <c r="SO163" i="1"/>
  <c r="SN163" i="1"/>
  <c r="SM163" i="1"/>
  <c r="SL163" i="1"/>
  <c r="RW163" i="1"/>
  <c r="RV163" i="1"/>
  <c r="RU163" i="1"/>
  <c r="RT163" i="1"/>
  <c r="RE163" i="1"/>
  <c r="RD163" i="1"/>
  <c r="RC163" i="1"/>
  <c r="RB163" i="1"/>
  <c r="QM163" i="1"/>
  <c r="QL163" i="1"/>
  <c r="QK163" i="1"/>
  <c r="QJ163" i="1"/>
  <c r="PU163" i="1"/>
  <c r="PT163" i="1"/>
  <c r="PS163" i="1"/>
  <c r="PR163" i="1"/>
  <c r="PC163" i="1"/>
  <c r="PB163" i="1"/>
  <c r="PA163" i="1"/>
  <c r="OZ163" i="1"/>
  <c r="OK163" i="1"/>
  <c r="OJ163" i="1"/>
  <c r="OI163" i="1"/>
  <c r="OH163" i="1"/>
  <c r="NS163" i="1"/>
  <c r="NR163" i="1"/>
  <c r="NQ163" i="1"/>
  <c r="NP163" i="1"/>
  <c r="NA163" i="1"/>
  <c r="MZ163" i="1"/>
  <c r="MY163" i="1"/>
  <c r="MX163" i="1"/>
  <c r="MI163" i="1"/>
  <c r="MH163" i="1"/>
  <c r="MG163" i="1"/>
  <c r="MF163" i="1"/>
  <c r="LQ163" i="1"/>
  <c r="LP163" i="1"/>
  <c r="LO163" i="1"/>
  <c r="LN163" i="1"/>
  <c r="KY163" i="1"/>
  <c r="KX163" i="1"/>
  <c r="KW163" i="1"/>
  <c r="KV163" i="1"/>
  <c r="KG163" i="1"/>
  <c r="KF163" i="1"/>
  <c r="KE163" i="1"/>
  <c r="KD163" i="1"/>
  <c r="JO163" i="1"/>
  <c r="JN163" i="1"/>
  <c r="JM163" i="1"/>
  <c r="JL163" i="1"/>
  <c r="IW163" i="1"/>
  <c r="IV163" i="1"/>
  <c r="IU163" i="1"/>
  <c r="IT163" i="1"/>
  <c r="IE163" i="1"/>
  <c r="ID163" i="1"/>
  <c r="IC163" i="1"/>
  <c r="IB163" i="1"/>
  <c r="HM163" i="1"/>
  <c r="HL163" i="1"/>
  <c r="HK163" i="1"/>
  <c r="HJ163" i="1"/>
  <c r="GU163" i="1"/>
  <c r="GT163" i="1"/>
  <c r="GS163" i="1"/>
  <c r="GR163" i="1"/>
  <c r="GC163" i="1"/>
  <c r="GB163" i="1"/>
  <c r="GA163" i="1"/>
  <c r="FZ163" i="1"/>
  <c r="FK163" i="1"/>
  <c r="FJ163" i="1"/>
  <c r="FI163" i="1"/>
  <c r="FH163" i="1"/>
  <c r="ES163" i="1"/>
  <c r="ER163" i="1"/>
  <c r="EQ163" i="1"/>
  <c r="EP163" i="1"/>
  <c r="EA163" i="1"/>
  <c r="DZ163" i="1"/>
  <c r="DY163" i="1"/>
  <c r="DX163" i="1"/>
  <c r="DI163" i="1"/>
  <c r="DH163" i="1"/>
  <c r="DG163" i="1"/>
  <c r="DF163" i="1"/>
  <c r="CQ163" i="1"/>
  <c r="CP163" i="1"/>
  <c r="CO163" i="1"/>
  <c r="CN163" i="1"/>
  <c r="BY163" i="1"/>
  <c r="BX163" i="1"/>
  <c r="BW163" i="1"/>
  <c r="BV163" i="1"/>
  <c r="BG163" i="1"/>
  <c r="BF163" i="1"/>
  <c r="BE163" i="1"/>
  <c r="BD163" i="1"/>
  <c r="W163" i="1"/>
  <c r="V163" i="1"/>
  <c r="U163" i="1"/>
  <c r="T163" i="1"/>
  <c r="E163" i="1"/>
  <c r="D163" i="1"/>
  <c r="C163" i="1"/>
  <c r="B163" i="1"/>
  <c r="UQ162" i="1"/>
  <c r="UP162" i="1"/>
  <c r="UO162" i="1"/>
  <c r="UN162" i="1"/>
  <c r="TY162" i="1"/>
  <c r="TX162" i="1"/>
  <c r="TW162" i="1"/>
  <c r="TV162" i="1"/>
  <c r="TG162" i="1"/>
  <c r="TF162" i="1"/>
  <c r="TE162" i="1"/>
  <c r="TD162" i="1"/>
  <c r="SO162" i="1"/>
  <c r="SN162" i="1"/>
  <c r="SM162" i="1"/>
  <c r="SL162" i="1"/>
  <c r="RW162" i="1"/>
  <c r="RV162" i="1"/>
  <c r="RU162" i="1"/>
  <c r="RT162" i="1"/>
  <c r="RE162" i="1"/>
  <c r="RD162" i="1"/>
  <c r="RC162" i="1"/>
  <c r="RB162" i="1"/>
  <c r="QM162" i="1"/>
  <c r="QL162" i="1"/>
  <c r="QK162" i="1"/>
  <c r="QJ162" i="1"/>
  <c r="PU162" i="1"/>
  <c r="PT162" i="1"/>
  <c r="PS162" i="1"/>
  <c r="PR162" i="1"/>
  <c r="PC162" i="1"/>
  <c r="PB162" i="1"/>
  <c r="PA162" i="1"/>
  <c r="OZ162" i="1"/>
  <c r="OK162" i="1"/>
  <c r="OJ162" i="1"/>
  <c r="OI162" i="1"/>
  <c r="OH162" i="1"/>
  <c r="NS162" i="1"/>
  <c r="NR162" i="1"/>
  <c r="NQ162" i="1"/>
  <c r="NP162" i="1"/>
  <c r="NA162" i="1"/>
  <c r="MZ162" i="1"/>
  <c r="MY162" i="1"/>
  <c r="MX162" i="1"/>
  <c r="MI162" i="1"/>
  <c r="MH162" i="1"/>
  <c r="MG162" i="1"/>
  <c r="MF162" i="1"/>
  <c r="LQ162" i="1"/>
  <c r="LP162" i="1"/>
  <c r="LO162" i="1"/>
  <c r="LN162" i="1"/>
  <c r="KY162" i="1"/>
  <c r="KX162" i="1"/>
  <c r="KW162" i="1"/>
  <c r="KV162" i="1"/>
  <c r="KG162" i="1"/>
  <c r="KF162" i="1"/>
  <c r="KE162" i="1"/>
  <c r="KD162" i="1"/>
  <c r="JO162" i="1"/>
  <c r="JN162" i="1"/>
  <c r="JM162" i="1"/>
  <c r="JL162" i="1"/>
  <c r="IW162" i="1"/>
  <c r="IV162" i="1"/>
  <c r="IU162" i="1"/>
  <c r="IT162" i="1"/>
  <c r="IE162" i="1"/>
  <c r="ID162" i="1"/>
  <c r="IC162" i="1"/>
  <c r="IB162" i="1"/>
  <c r="HM162" i="1"/>
  <c r="HL162" i="1"/>
  <c r="HK162" i="1"/>
  <c r="HJ162" i="1"/>
  <c r="GU162" i="1"/>
  <c r="GT162" i="1"/>
  <c r="GS162" i="1"/>
  <c r="GR162" i="1"/>
  <c r="GC162" i="1"/>
  <c r="GB162" i="1"/>
  <c r="GA162" i="1"/>
  <c r="FZ162" i="1"/>
  <c r="FK162" i="1"/>
  <c r="FJ162" i="1"/>
  <c r="FI162" i="1"/>
  <c r="FH162" i="1"/>
  <c r="ES162" i="1"/>
  <c r="ER162" i="1"/>
  <c r="EQ162" i="1"/>
  <c r="EP162" i="1"/>
  <c r="EA162" i="1"/>
  <c r="DZ162" i="1"/>
  <c r="DY162" i="1"/>
  <c r="DX162" i="1"/>
  <c r="DI162" i="1"/>
  <c r="DH162" i="1"/>
  <c r="DG162" i="1"/>
  <c r="DF162" i="1"/>
  <c r="CQ162" i="1"/>
  <c r="CP162" i="1"/>
  <c r="CO162" i="1"/>
  <c r="CN162" i="1"/>
  <c r="BY162" i="1"/>
  <c r="BX162" i="1"/>
  <c r="BW162" i="1"/>
  <c r="BV162" i="1"/>
  <c r="BG162" i="1"/>
  <c r="BF162" i="1"/>
  <c r="BE162" i="1"/>
  <c r="BD162" i="1"/>
  <c r="W162" i="1"/>
  <c r="V162" i="1"/>
  <c r="U162" i="1"/>
  <c r="T162" i="1"/>
  <c r="E162" i="1"/>
  <c r="D162" i="1"/>
  <c r="C162" i="1"/>
  <c r="B162" i="1"/>
  <c r="UQ154" i="1"/>
  <c r="UP154" i="1"/>
  <c r="UO154" i="1"/>
  <c r="UN154" i="1"/>
  <c r="TY154" i="1"/>
  <c r="TX154" i="1"/>
  <c r="TW154" i="1"/>
  <c r="TV154" i="1"/>
  <c r="TG154" i="1"/>
  <c r="TF154" i="1"/>
  <c r="TE154" i="1"/>
  <c r="TD154" i="1"/>
  <c r="SO154" i="1"/>
  <c r="SN154" i="1"/>
  <c r="SM154" i="1"/>
  <c r="SL154" i="1"/>
  <c r="RW154" i="1"/>
  <c r="RV154" i="1"/>
  <c r="RU154" i="1"/>
  <c r="RT154" i="1"/>
  <c r="RE154" i="1"/>
  <c r="RD154" i="1"/>
  <c r="RC154" i="1"/>
  <c r="RB154" i="1"/>
  <c r="QM154" i="1"/>
  <c r="QL154" i="1"/>
  <c r="QK154" i="1"/>
  <c r="QJ154" i="1"/>
  <c r="PU154" i="1"/>
  <c r="PT154" i="1"/>
  <c r="PS154" i="1"/>
  <c r="PR154" i="1"/>
  <c r="PC154" i="1"/>
  <c r="PB154" i="1"/>
  <c r="PA154" i="1"/>
  <c r="OZ154" i="1"/>
  <c r="OK154" i="1"/>
  <c r="OJ154" i="1"/>
  <c r="OI154" i="1"/>
  <c r="OH154" i="1"/>
  <c r="NS154" i="1"/>
  <c r="NR154" i="1"/>
  <c r="NQ154" i="1"/>
  <c r="NP154" i="1"/>
  <c r="NA154" i="1"/>
  <c r="MZ154" i="1"/>
  <c r="MY154" i="1"/>
  <c r="MX154" i="1"/>
  <c r="MI154" i="1"/>
  <c r="MH154" i="1"/>
  <c r="MG154" i="1"/>
  <c r="MF154" i="1"/>
  <c r="LQ154" i="1"/>
  <c r="LP154" i="1"/>
  <c r="LO154" i="1"/>
  <c r="LN154" i="1"/>
  <c r="KY154" i="1"/>
  <c r="KX154" i="1"/>
  <c r="KW154" i="1"/>
  <c r="KV154" i="1"/>
  <c r="KG154" i="1"/>
  <c r="KF154" i="1"/>
  <c r="KE154" i="1"/>
  <c r="KD154" i="1"/>
  <c r="JO154" i="1"/>
  <c r="JN154" i="1"/>
  <c r="JM154" i="1"/>
  <c r="JL154" i="1"/>
  <c r="IW154" i="1"/>
  <c r="IV154" i="1"/>
  <c r="IU154" i="1"/>
  <c r="IT154" i="1"/>
  <c r="IE154" i="1"/>
  <c r="ID154" i="1"/>
  <c r="IC154" i="1"/>
  <c r="IB154" i="1"/>
  <c r="HM154" i="1"/>
  <c r="HL154" i="1"/>
  <c r="HK154" i="1"/>
  <c r="HJ154" i="1"/>
  <c r="GU154" i="1"/>
  <c r="GT154" i="1"/>
  <c r="GS154" i="1"/>
  <c r="GR154" i="1"/>
  <c r="GC154" i="1"/>
  <c r="GB154" i="1"/>
  <c r="GA154" i="1"/>
  <c r="FZ154" i="1"/>
  <c r="FK154" i="1"/>
  <c r="FJ154" i="1"/>
  <c r="FI154" i="1"/>
  <c r="FH154" i="1"/>
  <c r="ES154" i="1"/>
  <c r="ER154" i="1"/>
  <c r="EQ154" i="1"/>
  <c r="EP154" i="1"/>
  <c r="EA154" i="1"/>
  <c r="DZ154" i="1"/>
  <c r="DY154" i="1"/>
  <c r="DX154" i="1"/>
  <c r="DI154" i="1"/>
  <c r="DH154" i="1"/>
  <c r="DG154" i="1"/>
  <c r="DF154" i="1"/>
  <c r="CQ154" i="1"/>
  <c r="CP154" i="1"/>
  <c r="CO154" i="1"/>
  <c r="CN154" i="1"/>
  <c r="BY154" i="1"/>
  <c r="BX154" i="1"/>
  <c r="BW154" i="1"/>
  <c r="BV154" i="1"/>
  <c r="BG154" i="1"/>
  <c r="BF154" i="1"/>
  <c r="BE154" i="1"/>
  <c r="BD154" i="1"/>
  <c r="W154" i="1"/>
  <c r="V154" i="1"/>
  <c r="U154" i="1"/>
  <c r="T154" i="1"/>
  <c r="E154" i="1"/>
  <c r="D154" i="1"/>
  <c r="C154" i="1"/>
  <c r="B154" i="1"/>
  <c r="UQ153" i="1"/>
  <c r="UP153" i="1"/>
  <c r="UO153" i="1"/>
  <c r="UN153" i="1"/>
  <c r="TY153" i="1"/>
  <c r="TX153" i="1"/>
  <c r="TW153" i="1"/>
  <c r="TV153" i="1"/>
  <c r="TG153" i="1"/>
  <c r="TF153" i="1"/>
  <c r="TE153" i="1"/>
  <c r="TD153" i="1"/>
  <c r="SO153" i="1"/>
  <c r="SN153" i="1"/>
  <c r="SM153" i="1"/>
  <c r="SL153" i="1"/>
  <c r="RW153" i="1"/>
  <c r="RV153" i="1"/>
  <c r="RU153" i="1"/>
  <c r="RT153" i="1"/>
  <c r="RE153" i="1"/>
  <c r="RD153" i="1"/>
  <c r="RC153" i="1"/>
  <c r="RB153" i="1"/>
  <c r="QM153" i="1"/>
  <c r="QL153" i="1"/>
  <c r="QK153" i="1"/>
  <c r="QJ153" i="1"/>
  <c r="PU153" i="1"/>
  <c r="PT153" i="1"/>
  <c r="PS153" i="1"/>
  <c r="PR153" i="1"/>
  <c r="PC153" i="1"/>
  <c r="PB153" i="1"/>
  <c r="PA153" i="1"/>
  <c r="OZ153" i="1"/>
  <c r="OK153" i="1"/>
  <c r="OJ153" i="1"/>
  <c r="OI153" i="1"/>
  <c r="OH153" i="1"/>
  <c r="NS153" i="1"/>
  <c r="NR153" i="1"/>
  <c r="NQ153" i="1"/>
  <c r="NP153" i="1"/>
  <c r="MI153" i="1"/>
  <c r="MH153" i="1"/>
  <c r="MG153" i="1"/>
  <c r="MF153" i="1"/>
  <c r="LQ153" i="1"/>
  <c r="LP153" i="1"/>
  <c r="LO153" i="1"/>
  <c r="LN153" i="1"/>
  <c r="KY153" i="1"/>
  <c r="KX153" i="1"/>
  <c r="KW153" i="1"/>
  <c r="KV153" i="1"/>
  <c r="KG153" i="1"/>
  <c r="KF153" i="1"/>
  <c r="KE153" i="1"/>
  <c r="KD153" i="1"/>
  <c r="JO153" i="1"/>
  <c r="JN153" i="1"/>
  <c r="JM153" i="1"/>
  <c r="JL153" i="1"/>
  <c r="IW153" i="1"/>
  <c r="IV153" i="1"/>
  <c r="IU153" i="1"/>
  <c r="IT153" i="1"/>
  <c r="IE153" i="1"/>
  <c r="ID153" i="1"/>
  <c r="IC153" i="1"/>
  <c r="IB153" i="1"/>
  <c r="HM153" i="1"/>
  <c r="HL153" i="1"/>
  <c r="HK153" i="1"/>
  <c r="HJ153" i="1"/>
  <c r="GU153" i="1"/>
  <c r="GT153" i="1"/>
  <c r="GS153" i="1"/>
  <c r="GR153" i="1"/>
  <c r="GC153" i="1"/>
  <c r="GB153" i="1"/>
  <c r="GA153" i="1"/>
  <c r="FZ153" i="1"/>
  <c r="FK153" i="1"/>
  <c r="FJ153" i="1"/>
  <c r="FI153" i="1"/>
  <c r="FH153" i="1"/>
  <c r="ES153" i="1"/>
  <c r="ER153" i="1"/>
  <c r="EQ153" i="1"/>
  <c r="EP153" i="1"/>
  <c r="EA153" i="1"/>
  <c r="DZ153" i="1"/>
  <c r="DY153" i="1"/>
  <c r="DX153" i="1"/>
  <c r="DI153" i="1"/>
  <c r="DH153" i="1"/>
  <c r="DG153" i="1"/>
  <c r="DF153" i="1"/>
  <c r="CQ153" i="1"/>
  <c r="CP153" i="1"/>
  <c r="CO153" i="1"/>
  <c r="CN153" i="1"/>
  <c r="BY153" i="1"/>
  <c r="BX153" i="1"/>
  <c r="BW153" i="1"/>
  <c r="BV153" i="1"/>
  <c r="BG153" i="1"/>
  <c r="BF153" i="1"/>
  <c r="BE153" i="1"/>
  <c r="BD153" i="1"/>
  <c r="W153" i="1"/>
  <c r="V153" i="1"/>
  <c r="U153" i="1"/>
  <c r="T153" i="1"/>
  <c r="E153" i="1"/>
  <c r="D153" i="1"/>
  <c r="C153" i="1"/>
  <c r="B153" i="1"/>
  <c r="UQ145" i="1"/>
  <c r="UP145" i="1"/>
  <c r="UO145" i="1"/>
  <c r="UN145" i="1"/>
  <c r="TY145" i="1"/>
  <c r="TX145" i="1"/>
  <c r="TW145" i="1"/>
  <c r="TV145" i="1"/>
  <c r="TG145" i="1"/>
  <c r="TF145" i="1"/>
  <c r="TE145" i="1"/>
  <c r="TD145" i="1"/>
  <c r="SO145" i="1"/>
  <c r="SN145" i="1"/>
  <c r="SM145" i="1"/>
  <c r="SL145" i="1"/>
  <c r="RW145" i="1"/>
  <c r="RV145" i="1"/>
  <c r="RU145" i="1"/>
  <c r="RT145" i="1"/>
  <c r="RE145" i="1"/>
  <c r="RD145" i="1"/>
  <c r="RC145" i="1"/>
  <c r="RB145" i="1"/>
  <c r="QM145" i="1"/>
  <c r="QL145" i="1"/>
  <c r="QK145" i="1"/>
  <c r="QJ145" i="1"/>
  <c r="PU145" i="1"/>
  <c r="PT145" i="1"/>
  <c r="PS145" i="1"/>
  <c r="PR145" i="1"/>
  <c r="PC145" i="1"/>
  <c r="PB145" i="1"/>
  <c r="PA145" i="1"/>
  <c r="OZ145" i="1"/>
  <c r="OK145" i="1"/>
  <c r="OJ145" i="1"/>
  <c r="OI145" i="1"/>
  <c r="OH145" i="1"/>
  <c r="NS145" i="1"/>
  <c r="NR145" i="1"/>
  <c r="NQ145" i="1"/>
  <c r="NP145" i="1"/>
  <c r="NA145" i="1"/>
  <c r="MY145" i="1"/>
  <c r="MX145" i="1"/>
  <c r="MI145" i="1"/>
  <c r="MH145" i="1"/>
  <c r="MG145" i="1"/>
  <c r="MF145" i="1"/>
  <c r="LQ145" i="1"/>
  <c r="LP145" i="1"/>
  <c r="LO145" i="1"/>
  <c r="LN145" i="1"/>
  <c r="KY145" i="1"/>
  <c r="KX145" i="1"/>
  <c r="KW145" i="1"/>
  <c r="KV145" i="1"/>
  <c r="KG145" i="1"/>
  <c r="KF145" i="1"/>
  <c r="KE145" i="1"/>
  <c r="KD145" i="1"/>
  <c r="JO145" i="1"/>
  <c r="JN145" i="1"/>
  <c r="JM145" i="1"/>
  <c r="JL145" i="1"/>
  <c r="IW145" i="1"/>
  <c r="IV145" i="1"/>
  <c r="IU145" i="1"/>
  <c r="IT145" i="1"/>
  <c r="IE145" i="1"/>
  <c r="ID145" i="1"/>
  <c r="IC145" i="1"/>
  <c r="IB145" i="1"/>
  <c r="HM145" i="1"/>
  <c r="HL145" i="1"/>
  <c r="HK145" i="1"/>
  <c r="HJ145" i="1"/>
  <c r="GU145" i="1"/>
  <c r="GT145" i="1"/>
  <c r="GS145" i="1"/>
  <c r="GR145" i="1"/>
  <c r="GC145" i="1"/>
  <c r="GB145" i="1"/>
  <c r="GA145" i="1"/>
  <c r="FZ145" i="1"/>
  <c r="FK145" i="1"/>
  <c r="FJ145" i="1"/>
  <c r="FI145" i="1"/>
  <c r="FH145" i="1"/>
  <c r="ES145" i="1"/>
  <c r="ER145" i="1"/>
  <c r="EQ145" i="1"/>
  <c r="EP145" i="1"/>
  <c r="EA145" i="1"/>
  <c r="DZ145" i="1"/>
  <c r="DY145" i="1"/>
  <c r="DX145" i="1"/>
  <c r="DI145" i="1"/>
  <c r="DH145" i="1"/>
  <c r="DG145" i="1"/>
  <c r="DF145" i="1"/>
  <c r="CQ145" i="1"/>
  <c r="CP145" i="1"/>
  <c r="CO145" i="1"/>
  <c r="CN145" i="1"/>
  <c r="BY145" i="1"/>
  <c r="BX145" i="1"/>
  <c r="BW145" i="1"/>
  <c r="BV145" i="1"/>
  <c r="BG145" i="1"/>
  <c r="BF145" i="1"/>
  <c r="BE145" i="1"/>
  <c r="BD145" i="1"/>
  <c r="W145" i="1"/>
  <c r="V145" i="1"/>
  <c r="U145" i="1"/>
  <c r="T145" i="1"/>
  <c r="E145" i="1"/>
  <c r="D145" i="1"/>
  <c r="C145" i="1"/>
  <c r="B145" i="1"/>
  <c r="TY144" i="1"/>
  <c r="TX144" i="1"/>
  <c r="TW144" i="1"/>
  <c r="TV144" i="1"/>
  <c r="RW144" i="1"/>
  <c r="RV144" i="1"/>
  <c r="RU144" i="1"/>
  <c r="RT144" i="1"/>
  <c r="RE144" i="1"/>
  <c r="RD144" i="1"/>
  <c r="RC144" i="1"/>
  <c r="RB144" i="1"/>
  <c r="QM144" i="1"/>
  <c r="QL144" i="1"/>
  <c r="QK144" i="1"/>
  <c r="QJ144" i="1"/>
  <c r="PU144" i="1"/>
  <c r="PT144" i="1"/>
  <c r="PS144" i="1"/>
  <c r="PR144" i="1"/>
  <c r="OK144" i="1"/>
  <c r="OJ144" i="1"/>
  <c r="OI144" i="1"/>
  <c r="OH144" i="1"/>
  <c r="NA144" i="1"/>
  <c r="MY144" i="1"/>
  <c r="MX144" i="1"/>
  <c r="MI144" i="1"/>
  <c r="MH144" i="1"/>
  <c r="MG144" i="1"/>
  <c r="MF144" i="1"/>
  <c r="LQ144" i="1"/>
  <c r="LP144" i="1"/>
  <c r="LO144" i="1"/>
  <c r="LN144" i="1"/>
  <c r="KY144" i="1"/>
  <c r="KX144" i="1"/>
  <c r="KW144" i="1"/>
  <c r="KV144" i="1"/>
  <c r="KG144" i="1"/>
  <c r="KF144" i="1"/>
  <c r="KE144" i="1"/>
  <c r="KD144" i="1"/>
  <c r="JO144" i="1"/>
  <c r="JN144" i="1"/>
  <c r="JM144" i="1"/>
  <c r="JL144" i="1"/>
  <c r="IW144" i="1"/>
  <c r="IV144" i="1"/>
  <c r="IU144" i="1"/>
  <c r="IT144" i="1"/>
  <c r="IE144" i="1"/>
  <c r="ID144" i="1"/>
  <c r="IC144" i="1"/>
  <c r="IB144" i="1"/>
  <c r="HM144" i="1"/>
  <c r="HL144" i="1"/>
  <c r="HK144" i="1"/>
  <c r="HJ144" i="1"/>
  <c r="GU144" i="1"/>
  <c r="GT144" i="1"/>
  <c r="GS144" i="1"/>
  <c r="GR144" i="1"/>
  <c r="GC144" i="1"/>
  <c r="GB144" i="1"/>
  <c r="GA144" i="1"/>
  <c r="FZ144" i="1"/>
  <c r="FK144" i="1"/>
  <c r="FJ144" i="1"/>
  <c r="FI144" i="1"/>
  <c r="FH144" i="1"/>
  <c r="EA144" i="1"/>
  <c r="DZ144" i="1"/>
  <c r="DY144" i="1"/>
  <c r="DX144" i="1"/>
  <c r="DI144" i="1"/>
  <c r="DH144" i="1"/>
  <c r="DG144" i="1"/>
  <c r="DF144" i="1"/>
  <c r="W144" i="1"/>
  <c r="V144" i="1"/>
  <c r="U144" i="1"/>
  <c r="T144" i="1"/>
  <c r="C87" i="26"/>
  <c r="UQ131" i="1"/>
  <c r="UP131" i="1"/>
  <c r="UO131" i="1"/>
  <c r="UN131" i="1"/>
  <c r="TY131" i="1"/>
  <c r="TX131" i="1"/>
  <c r="TW131" i="1"/>
  <c r="TV131" i="1"/>
  <c r="TG131" i="1"/>
  <c r="TF131" i="1"/>
  <c r="TE131" i="1"/>
  <c r="TD131" i="1"/>
  <c r="SO131" i="1"/>
  <c r="SN131" i="1"/>
  <c r="SM131" i="1"/>
  <c r="SL131" i="1"/>
  <c r="RW131" i="1"/>
  <c r="RV131" i="1"/>
  <c r="RU131" i="1"/>
  <c r="RT131" i="1"/>
  <c r="RE131" i="1"/>
  <c r="RD131" i="1"/>
  <c r="RC131" i="1"/>
  <c r="RB131" i="1"/>
  <c r="QM131" i="1"/>
  <c r="QL131" i="1"/>
  <c r="QK131" i="1"/>
  <c r="QJ131" i="1"/>
  <c r="PU131" i="1"/>
  <c r="PT131" i="1"/>
  <c r="PS131" i="1"/>
  <c r="PR131" i="1"/>
  <c r="PC131" i="1"/>
  <c r="PB131" i="1"/>
  <c r="PA131" i="1"/>
  <c r="OZ131" i="1"/>
  <c r="OK131" i="1"/>
  <c r="OJ131" i="1"/>
  <c r="OI131" i="1"/>
  <c r="OH131" i="1"/>
  <c r="NS131" i="1"/>
  <c r="NR131" i="1"/>
  <c r="NQ131" i="1"/>
  <c r="NP131" i="1"/>
  <c r="NA131" i="1"/>
  <c r="MZ131" i="1"/>
  <c r="MY131" i="1"/>
  <c r="MX131" i="1"/>
  <c r="MI131" i="1"/>
  <c r="MH131" i="1"/>
  <c r="MG131" i="1"/>
  <c r="MF131" i="1"/>
  <c r="LQ131" i="1"/>
  <c r="LP131" i="1"/>
  <c r="LO131" i="1"/>
  <c r="LN131" i="1"/>
  <c r="KY131" i="1"/>
  <c r="KX131" i="1"/>
  <c r="KW131" i="1"/>
  <c r="KV131" i="1"/>
  <c r="KG131" i="1"/>
  <c r="KF131" i="1"/>
  <c r="KE131" i="1"/>
  <c r="KD131" i="1"/>
  <c r="JO131" i="1"/>
  <c r="JN131" i="1"/>
  <c r="JM131" i="1"/>
  <c r="JL131" i="1"/>
  <c r="IW131" i="1"/>
  <c r="IV131" i="1"/>
  <c r="IU131" i="1"/>
  <c r="IT131" i="1"/>
  <c r="IE131" i="1"/>
  <c r="ID131" i="1"/>
  <c r="IC131" i="1"/>
  <c r="IB131" i="1"/>
  <c r="HM131" i="1"/>
  <c r="HL131" i="1"/>
  <c r="HK131" i="1"/>
  <c r="HJ131" i="1"/>
  <c r="GU131" i="1"/>
  <c r="GT131" i="1"/>
  <c r="GS131" i="1"/>
  <c r="GR131" i="1"/>
  <c r="GC131" i="1"/>
  <c r="GB131" i="1"/>
  <c r="GA131" i="1"/>
  <c r="FZ131" i="1"/>
  <c r="FK131" i="1"/>
  <c r="FJ131" i="1"/>
  <c r="FI131" i="1"/>
  <c r="FH131" i="1"/>
  <c r="ES131" i="1"/>
  <c r="ER131" i="1"/>
  <c r="EQ131" i="1"/>
  <c r="EP131" i="1"/>
  <c r="EA131" i="1"/>
  <c r="DZ131" i="1"/>
  <c r="DY131" i="1"/>
  <c r="DX131" i="1"/>
  <c r="DX132" i="1" s="1"/>
  <c r="DI131" i="1"/>
  <c r="DH131" i="1"/>
  <c r="DG131" i="1"/>
  <c r="DF131" i="1"/>
  <c r="CQ131" i="1"/>
  <c r="CP131" i="1"/>
  <c r="CO131" i="1"/>
  <c r="CN131" i="1"/>
  <c r="BY131" i="1"/>
  <c r="BX131" i="1"/>
  <c r="BW131" i="1"/>
  <c r="BV131" i="1"/>
  <c r="BG131" i="1"/>
  <c r="BF131" i="1"/>
  <c r="BE131" i="1"/>
  <c r="BD131" i="1"/>
  <c r="W131" i="1"/>
  <c r="V131" i="1"/>
  <c r="U131" i="1"/>
  <c r="T131" i="1"/>
  <c r="E131" i="1"/>
  <c r="D131" i="1"/>
  <c r="C131" i="1"/>
  <c r="B131" i="1"/>
  <c r="UQ130" i="1"/>
  <c r="UP130" i="1"/>
  <c r="UO130" i="1"/>
  <c r="UN130" i="1"/>
  <c r="TY130" i="1"/>
  <c r="TX130" i="1"/>
  <c r="TW130" i="1"/>
  <c r="TV130" i="1"/>
  <c r="TG130" i="1"/>
  <c r="TF130" i="1"/>
  <c r="TE130" i="1"/>
  <c r="TD130" i="1"/>
  <c r="SO130" i="1"/>
  <c r="SN130" i="1"/>
  <c r="SM130" i="1"/>
  <c r="SL130" i="1"/>
  <c r="RW130" i="1"/>
  <c r="RV130" i="1"/>
  <c r="RU130" i="1"/>
  <c r="RT130" i="1"/>
  <c r="RE130" i="1"/>
  <c r="RD130" i="1"/>
  <c r="RC130" i="1"/>
  <c r="RB130" i="1"/>
  <c r="QM130" i="1"/>
  <c r="QL130" i="1"/>
  <c r="QK130" i="1"/>
  <c r="QJ130" i="1"/>
  <c r="PU130" i="1"/>
  <c r="PT130" i="1"/>
  <c r="PS130" i="1"/>
  <c r="PR130" i="1"/>
  <c r="PC130" i="1"/>
  <c r="PB130" i="1"/>
  <c r="PA130" i="1"/>
  <c r="OZ130" i="1"/>
  <c r="OK130" i="1"/>
  <c r="OJ130" i="1"/>
  <c r="OI130" i="1"/>
  <c r="OH130" i="1"/>
  <c r="NS130" i="1"/>
  <c r="NR130" i="1"/>
  <c r="NQ130" i="1"/>
  <c r="NP130" i="1"/>
  <c r="NA130" i="1"/>
  <c r="MZ130" i="1"/>
  <c r="MY130" i="1"/>
  <c r="MX130" i="1"/>
  <c r="MI130" i="1"/>
  <c r="MH130" i="1"/>
  <c r="MG130" i="1"/>
  <c r="MF130" i="1"/>
  <c r="LQ130" i="1"/>
  <c r="LP130" i="1"/>
  <c r="LO130" i="1"/>
  <c r="LN130" i="1"/>
  <c r="KY130" i="1"/>
  <c r="KX130" i="1"/>
  <c r="KW130" i="1"/>
  <c r="KV130" i="1"/>
  <c r="KG130" i="1"/>
  <c r="KF130" i="1"/>
  <c r="KE130" i="1"/>
  <c r="KD130" i="1"/>
  <c r="JO130" i="1"/>
  <c r="JN130" i="1"/>
  <c r="JM130" i="1"/>
  <c r="JL130" i="1"/>
  <c r="IW130" i="1"/>
  <c r="IV130" i="1"/>
  <c r="IU130" i="1"/>
  <c r="IT130" i="1"/>
  <c r="IE130" i="1"/>
  <c r="ID130" i="1"/>
  <c r="IC130" i="1"/>
  <c r="IB130" i="1"/>
  <c r="HM130" i="1"/>
  <c r="HL130" i="1"/>
  <c r="HK130" i="1"/>
  <c r="HJ130" i="1"/>
  <c r="GU130" i="1"/>
  <c r="GT130" i="1"/>
  <c r="GS130" i="1"/>
  <c r="GR130" i="1"/>
  <c r="GC130" i="1"/>
  <c r="GB130" i="1"/>
  <c r="GA130" i="1"/>
  <c r="FZ130" i="1"/>
  <c r="FK130" i="1"/>
  <c r="FJ130" i="1"/>
  <c r="FI130" i="1"/>
  <c r="FH130" i="1"/>
  <c r="ER130" i="1"/>
  <c r="EQ130" i="1"/>
  <c r="EP130" i="1"/>
  <c r="DI130" i="1"/>
  <c r="DH130" i="1"/>
  <c r="DG130" i="1"/>
  <c r="DF130" i="1"/>
  <c r="CQ130" i="1"/>
  <c r="CP130" i="1"/>
  <c r="CO130" i="1"/>
  <c r="CN130" i="1"/>
  <c r="BY130" i="1"/>
  <c r="BX130" i="1"/>
  <c r="BW130" i="1"/>
  <c r="BV130" i="1"/>
  <c r="BG130" i="1"/>
  <c r="BF130" i="1"/>
  <c r="BE130" i="1"/>
  <c r="BD130" i="1"/>
  <c r="W130" i="1"/>
  <c r="V130" i="1"/>
  <c r="U130" i="1"/>
  <c r="T130" i="1"/>
  <c r="E130" i="1"/>
  <c r="D130" i="1"/>
  <c r="C130" i="1"/>
  <c r="B130" i="1"/>
  <c r="UQ122" i="1"/>
  <c r="UP122" i="1"/>
  <c r="UO122" i="1"/>
  <c r="UN122" i="1"/>
  <c r="TY122" i="1"/>
  <c r="TX122" i="1"/>
  <c r="TW122" i="1"/>
  <c r="TV122" i="1"/>
  <c r="TG122" i="1"/>
  <c r="TF122" i="1"/>
  <c r="TE122" i="1"/>
  <c r="TD122" i="1"/>
  <c r="SO122" i="1"/>
  <c r="SN122" i="1"/>
  <c r="SM122" i="1"/>
  <c r="SL122" i="1"/>
  <c r="RW122" i="1"/>
  <c r="RV122" i="1"/>
  <c r="RU122" i="1"/>
  <c r="RT122" i="1"/>
  <c r="RE122" i="1"/>
  <c r="RD122" i="1"/>
  <c r="RC122" i="1"/>
  <c r="RB122" i="1"/>
  <c r="QM122" i="1"/>
  <c r="QL122" i="1"/>
  <c r="QK122" i="1"/>
  <c r="QJ122" i="1"/>
  <c r="PU122" i="1"/>
  <c r="PT122" i="1"/>
  <c r="PS122" i="1"/>
  <c r="PR122" i="1"/>
  <c r="PC122" i="1"/>
  <c r="PB122" i="1"/>
  <c r="PA122" i="1"/>
  <c r="OZ122" i="1"/>
  <c r="OK122" i="1"/>
  <c r="OJ122" i="1"/>
  <c r="OI122" i="1"/>
  <c r="OH122" i="1"/>
  <c r="NS122" i="1"/>
  <c r="NR122" i="1"/>
  <c r="NQ122" i="1"/>
  <c r="NP122" i="1"/>
  <c r="NA122" i="1"/>
  <c r="MZ122" i="1"/>
  <c r="MY122" i="1"/>
  <c r="MX122" i="1"/>
  <c r="MI122" i="1"/>
  <c r="MH122" i="1"/>
  <c r="MG122" i="1"/>
  <c r="MF122" i="1"/>
  <c r="LQ122" i="1"/>
  <c r="LP122" i="1"/>
  <c r="LO122" i="1"/>
  <c r="LN122" i="1"/>
  <c r="KY122" i="1"/>
  <c r="KX122" i="1"/>
  <c r="KW122" i="1"/>
  <c r="KV122" i="1"/>
  <c r="KG122" i="1"/>
  <c r="KF122" i="1"/>
  <c r="KE122" i="1"/>
  <c r="KD122" i="1"/>
  <c r="JO122" i="1"/>
  <c r="JN122" i="1"/>
  <c r="JM122" i="1"/>
  <c r="JL122" i="1"/>
  <c r="IW122" i="1"/>
  <c r="IV122" i="1"/>
  <c r="IU122" i="1"/>
  <c r="IT122" i="1"/>
  <c r="IE122" i="1"/>
  <c r="ID122" i="1"/>
  <c r="IC122" i="1"/>
  <c r="IB122" i="1"/>
  <c r="HM122" i="1"/>
  <c r="HL122" i="1"/>
  <c r="HK122" i="1"/>
  <c r="HJ122" i="1"/>
  <c r="GU122" i="1"/>
  <c r="GT122" i="1"/>
  <c r="GS122" i="1"/>
  <c r="GR122" i="1"/>
  <c r="GC122" i="1"/>
  <c r="GB122" i="1"/>
  <c r="GA122" i="1"/>
  <c r="FZ122" i="1"/>
  <c r="FK122" i="1"/>
  <c r="FJ122" i="1"/>
  <c r="FI122" i="1"/>
  <c r="FH122" i="1"/>
  <c r="ES122" i="1"/>
  <c r="ER122" i="1"/>
  <c r="EQ122" i="1"/>
  <c r="EP122" i="1"/>
  <c r="EA122" i="1"/>
  <c r="DZ122" i="1"/>
  <c r="DY122" i="1"/>
  <c r="DX122" i="1"/>
  <c r="DI122" i="1"/>
  <c r="DH122" i="1"/>
  <c r="DG122" i="1"/>
  <c r="DF122" i="1"/>
  <c r="CQ122" i="1"/>
  <c r="CP122" i="1"/>
  <c r="CO122" i="1"/>
  <c r="CN122" i="1"/>
  <c r="BY122" i="1"/>
  <c r="BX122" i="1"/>
  <c r="BW122" i="1"/>
  <c r="BV122" i="1"/>
  <c r="BG122" i="1"/>
  <c r="BF122" i="1"/>
  <c r="BE122" i="1"/>
  <c r="BD122" i="1"/>
  <c r="W122" i="1"/>
  <c r="V122" i="1"/>
  <c r="U122" i="1"/>
  <c r="T122" i="1"/>
  <c r="E122" i="1"/>
  <c r="D122" i="1"/>
  <c r="C122" i="1"/>
  <c r="B122" i="1"/>
  <c r="UQ121" i="1"/>
  <c r="UP121" i="1"/>
  <c r="UO121" i="1"/>
  <c r="UN121" i="1"/>
  <c r="TY121" i="1"/>
  <c r="TX121" i="1"/>
  <c r="TW121" i="1"/>
  <c r="TV121" i="1"/>
  <c r="TG121" i="1"/>
  <c r="TF121" i="1"/>
  <c r="TE121" i="1"/>
  <c r="TD121" i="1"/>
  <c r="SO121" i="1"/>
  <c r="SN121" i="1"/>
  <c r="SM121" i="1"/>
  <c r="SL121" i="1"/>
  <c r="RW121" i="1"/>
  <c r="RV121" i="1"/>
  <c r="RU121" i="1"/>
  <c r="RT121" i="1"/>
  <c r="RE121" i="1"/>
  <c r="RD121" i="1"/>
  <c r="RC121" i="1"/>
  <c r="RB121" i="1"/>
  <c r="QM121" i="1"/>
  <c r="QL121" i="1"/>
  <c r="QK121" i="1"/>
  <c r="QJ121" i="1"/>
  <c r="PU121" i="1"/>
  <c r="PT121" i="1"/>
  <c r="PS121" i="1"/>
  <c r="PR121" i="1"/>
  <c r="PC121" i="1"/>
  <c r="PB121" i="1"/>
  <c r="PA121" i="1"/>
  <c r="OZ121" i="1"/>
  <c r="OK121" i="1"/>
  <c r="OJ121" i="1"/>
  <c r="OI121" i="1"/>
  <c r="OH121" i="1"/>
  <c r="NS121" i="1"/>
  <c r="NR121" i="1"/>
  <c r="NQ121" i="1"/>
  <c r="NP121" i="1"/>
  <c r="NA121" i="1"/>
  <c r="MZ121" i="1"/>
  <c r="MY121" i="1"/>
  <c r="MX121" i="1"/>
  <c r="MI121" i="1"/>
  <c r="MH121" i="1"/>
  <c r="MG121" i="1"/>
  <c r="MF121" i="1"/>
  <c r="LQ121" i="1"/>
  <c r="LP121" i="1"/>
  <c r="LO121" i="1"/>
  <c r="LN121" i="1"/>
  <c r="KY121" i="1"/>
  <c r="KX121" i="1"/>
  <c r="KW121" i="1"/>
  <c r="KV121" i="1"/>
  <c r="KG121" i="1"/>
  <c r="KF121" i="1"/>
  <c r="KE121" i="1"/>
  <c r="KD121" i="1"/>
  <c r="JO121" i="1"/>
  <c r="JN121" i="1"/>
  <c r="JM121" i="1"/>
  <c r="JL121" i="1"/>
  <c r="IW121" i="1"/>
  <c r="IV121" i="1"/>
  <c r="IU121" i="1"/>
  <c r="IT121" i="1"/>
  <c r="IE121" i="1"/>
  <c r="ID121" i="1"/>
  <c r="IC121" i="1"/>
  <c r="IB121" i="1"/>
  <c r="HM121" i="1"/>
  <c r="HL121" i="1"/>
  <c r="HK121" i="1"/>
  <c r="HJ121" i="1"/>
  <c r="GU121" i="1"/>
  <c r="GT121" i="1"/>
  <c r="GS121" i="1"/>
  <c r="GR121" i="1"/>
  <c r="GC121" i="1"/>
  <c r="GB121" i="1"/>
  <c r="GA121" i="1"/>
  <c r="FZ121" i="1"/>
  <c r="FK121" i="1"/>
  <c r="FJ121" i="1"/>
  <c r="FI121" i="1"/>
  <c r="FH121" i="1"/>
  <c r="ES121" i="1"/>
  <c r="ER121" i="1"/>
  <c r="EQ121" i="1"/>
  <c r="EP121" i="1"/>
  <c r="EA121" i="1"/>
  <c r="DZ121" i="1"/>
  <c r="DY121" i="1"/>
  <c r="DX121" i="1"/>
  <c r="DI121" i="1"/>
  <c r="DH121" i="1"/>
  <c r="DG121" i="1"/>
  <c r="DF121" i="1"/>
  <c r="CQ121" i="1"/>
  <c r="CP121" i="1"/>
  <c r="CO121" i="1"/>
  <c r="CN121" i="1"/>
  <c r="BY121" i="1"/>
  <c r="BX121" i="1"/>
  <c r="BW121" i="1"/>
  <c r="BV121" i="1"/>
  <c r="BG121" i="1"/>
  <c r="BF121" i="1"/>
  <c r="BE121" i="1"/>
  <c r="BD121" i="1"/>
  <c r="W121" i="1"/>
  <c r="V121" i="1"/>
  <c r="U121" i="1"/>
  <c r="T121" i="1"/>
  <c r="E121" i="1"/>
  <c r="D121" i="1"/>
  <c r="C121" i="1"/>
  <c r="B121" i="1"/>
  <c r="UQ113" i="1"/>
  <c r="UP113" i="1"/>
  <c r="UO113" i="1"/>
  <c r="UN113" i="1"/>
  <c r="TY113" i="1"/>
  <c r="TX113" i="1"/>
  <c r="TW113" i="1"/>
  <c r="TV113" i="1"/>
  <c r="TG113" i="1"/>
  <c r="TF113" i="1"/>
  <c r="TE113" i="1"/>
  <c r="TD113" i="1"/>
  <c r="SO113" i="1"/>
  <c r="SN113" i="1"/>
  <c r="SM113" i="1"/>
  <c r="SL113" i="1"/>
  <c r="RW113" i="1"/>
  <c r="RV113" i="1"/>
  <c r="RU113" i="1"/>
  <c r="RT113" i="1"/>
  <c r="RE113" i="1"/>
  <c r="RD113" i="1"/>
  <c r="RC113" i="1"/>
  <c r="RB113" i="1"/>
  <c r="QM113" i="1"/>
  <c r="QL113" i="1"/>
  <c r="QK113" i="1"/>
  <c r="QJ113" i="1"/>
  <c r="PU113" i="1"/>
  <c r="PT113" i="1"/>
  <c r="PS113" i="1"/>
  <c r="PR113" i="1"/>
  <c r="PC113" i="1"/>
  <c r="PB113" i="1"/>
  <c r="PA113" i="1"/>
  <c r="OZ113" i="1"/>
  <c r="OK113" i="1"/>
  <c r="OJ113" i="1"/>
  <c r="OI113" i="1"/>
  <c r="OH113" i="1"/>
  <c r="NS113" i="1"/>
  <c r="NR113" i="1"/>
  <c r="NQ113" i="1"/>
  <c r="NP113" i="1"/>
  <c r="NA113" i="1"/>
  <c r="MZ113" i="1"/>
  <c r="MY113" i="1"/>
  <c r="MX113" i="1"/>
  <c r="MI113" i="1"/>
  <c r="MH113" i="1"/>
  <c r="MG113" i="1"/>
  <c r="MF113" i="1"/>
  <c r="LQ113" i="1"/>
  <c r="LP113" i="1"/>
  <c r="LO113" i="1"/>
  <c r="LN113" i="1"/>
  <c r="KY113" i="1"/>
  <c r="KX113" i="1"/>
  <c r="KW113" i="1"/>
  <c r="KV113" i="1"/>
  <c r="KG113" i="1"/>
  <c r="KF113" i="1"/>
  <c r="KE113" i="1"/>
  <c r="KD113" i="1"/>
  <c r="JO113" i="1"/>
  <c r="JN113" i="1"/>
  <c r="JM113" i="1"/>
  <c r="JL113" i="1"/>
  <c r="IW113" i="1"/>
  <c r="IV113" i="1"/>
  <c r="IU113" i="1"/>
  <c r="IT113" i="1"/>
  <c r="IE113" i="1"/>
  <c r="ID113" i="1"/>
  <c r="IC113" i="1"/>
  <c r="IB113" i="1"/>
  <c r="HM113" i="1"/>
  <c r="HL113" i="1"/>
  <c r="HK113" i="1"/>
  <c r="HJ113" i="1"/>
  <c r="GU113" i="1"/>
  <c r="GT113" i="1"/>
  <c r="GS113" i="1"/>
  <c r="GR113" i="1"/>
  <c r="GC113" i="1"/>
  <c r="GB113" i="1"/>
  <c r="GA113" i="1"/>
  <c r="FZ113" i="1"/>
  <c r="FK113" i="1"/>
  <c r="FJ113" i="1"/>
  <c r="FI113" i="1"/>
  <c r="FH113" i="1"/>
  <c r="ES113" i="1"/>
  <c r="ER113" i="1"/>
  <c r="EQ113" i="1"/>
  <c r="EP113" i="1"/>
  <c r="EA113" i="1"/>
  <c r="DZ113" i="1"/>
  <c r="DY113" i="1"/>
  <c r="DX113" i="1"/>
  <c r="DI113" i="1"/>
  <c r="DH113" i="1"/>
  <c r="DG113" i="1"/>
  <c r="DF113" i="1"/>
  <c r="CQ113" i="1"/>
  <c r="CP113" i="1"/>
  <c r="CO113" i="1"/>
  <c r="CN113" i="1"/>
  <c r="BY113" i="1"/>
  <c r="BX113" i="1"/>
  <c r="BW113" i="1"/>
  <c r="BV113" i="1"/>
  <c r="V113" i="1"/>
  <c r="U113" i="1"/>
  <c r="T113" i="1"/>
  <c r="UQ112" i="1"/>
  <c r="UP112" i="1"/>
  <c r="UO112" i="1"/>
  <c r="UN112" i="1"/>
  <c r="TY112" i="1"/>
  <c r="TX112" i="1"/>
  <c r="TW112" i="1"/>
  <c r="TV112" i="1"/>
  <c r="TG112" i="1"/>
  <c r="TF112" i="1"/>
  <c r="TE112" i="1"/>
  <c r="TD112" i="1"/>
  <c r="SO112" i="1"/>
  <c r="SN112" i="1"/>
  <c r="SM112" i="1"/>
  <c r="SL112" i="1"/>
  <c r="RW112" i="1"/>
  <c r="RV112" i="1"/>
  <c r="RU112" i="1"/>
  <c r="RT112" i="1"/>
  <c r="RE112" i="1"/>
  <c r="RD112" i="1"/>
  <c r="RC112" i="1"/>
  <c r="RB112" i="1"/>
  <c r="QM112" i="1"/>
  <c r="QL112" i="1"/>
  <c r="QK112" i="1"/>
  <c r="QJ112" i="1"/>
  <c r="PU112" i="1"/>
  <c r="PT112" i="1"/>
  <c r="PS112" i="1"/>
  <c r="PR112" i="1"/>
  <c r="PC112" i="1"/>
  <c r="PB112" i="1"/>
  <c r="PA112" i="1"/>
  <c r="OZ112" i="1"/>
  <c r="OK112" i="1"/>
  <c r="OJ112" i="1"/>
  <c r="OI112" i="1"/>
  <c r="OH112" i="1"/>
  <c r="NS112" i="1"/>
  <c r="NR112" i="1"/>
  <c r="NQ112" i="1"/>
  <c r="NP112" i="1"/>
  <c r="NA112" i="1"/>
  <c r="MZ112" i="1"/>
  <c r="MY112" i="1"/>
  <c r="MX112" i="1"/>
  <c r="MI112" i="1"/>
  <c r="MH112" i="1"/>
  <c r="MG112" i="1"/>
  <c r="MF112" i="1"/>
  <c r="LQ112" i="1"/>
  <c r="LP112" i="1"/>
  <c r="LO112" i="1"/>
  <c r="LN112" i="1"/>
  <c r="KY112" i="1"/>
  <c r="KX112" i="1"/>
  <c r="KW112" i="1"/>
  <c r="KV112" i="1"/>
  <c r="KG112" i="1"/>
  <c r="KF112" i="1"/>
  <c r="KE112" i="1"/>
  <c r="KD112" i="1"/>
  <c r="JO112" i="1"/>
  <c r="JN112" i="1"/>
  <c r="JM112" i="1"/>
  <c r="JL112" i="1"/>
  <c r="IW112" i="1"/>
  <c r="IV112" i="1"/>
  <c r="IU112" i="1"/>
  <c r="IT112" i="1"/>
  <c r="IE112" i="1"/>
  <c r="ID112" i="1"/>
  <c r="IC112" i="1"/>
  <c r="IB112" i="1"/>
  <c r="HM112" i="1"/>
  <c r="HL112" i="1"/>
  <c r="HK112" i="1"/>
  <c r="HJ112" i="1"/>
  <c r="GU112" i="1"/>
  <c r="GT112" i="1"/>
  <c r="GS112" i="1"/>
  <c r="GR112" i="1"/>
  <c r="GC112" i="1"/>
  <c r="GB112" i="1"/>
  <c r="GA112" i="1"/>
  <c r="FZ112" i="1"/>
  <c r="FK112" i="1"/>
  <c r="FJ112" i="1"/>
  <c r="FI112" i="1"/>
  <c r="FH112" i="1"/>
  <c r="ES112" i="1"/>
  <c r="ER112" i="1"/>
  <c r="EQ112" i="1"/>
  <c r="EP112" i="1"/>
  <c r="EA112" i="1"/>
  <c r="DZ112" i="1"/>
  <c r="DY112" i="1"/>
  <c r="DX112" i="1"/>
  <c r="DI112" i="1"/>
  <c r="DH112" i="1"/>
  <c r="DG112" i="1"/>
  <c r="DF112" i="1"/>
  <c r="V112" i="1"/>
  <c r="U112" i="1"/>
  <c r="T112" i="1"/>
  <c r="FG28" i="64" l="1"/>
  <c r="FK28" i="64" s="1"/>
  <c r="I28" i="64"/>
  <c r="M28" i="64" s="1"/>
  <c r="FN31" i="64"/>
  <c r="FR31" i="64" s="1"/>
  <c r="I31" i="64"/>
  <c r="M31" i="64" s="1"/>
  <c r="BF30" i="64"/>
  <c r="BJ30" i="64" s="1"/>
  <c r="I30" i="64"/>
  <c r="M30" i="64" s="1"/>
  <c r="C219" i="26"/>
  <c r="I24" i="26" s="1"/>
  <c r="C83" i="87"/>
  <c r="C83" i="38"/>
  <c r="BT31" i="64"/>
  <c r="BX31" i="64" s="1"/>
  <c r="AD31" i="64"/>
  <c r="AH31" i="64" s="1"/>
  <c r="EE31" i="64"/>
  <c r="EI31" i="64" s="1"/>
  <c r="P31" i="64"/>
  <c r="T31" i="64" s="1"/>
  <c r="BM31" i="64"/>
  <c r="BQ31" i="64" s="1"/>
  <c r="CO31" i="64"/>
  <c r="CS31" i="64" s="1"/>
  <c r="AR31" i="64"/>
  <c r="AV31" i="64" s="1"/>
  <c r="EL31" i="64"/>
  <c r="EP31" i="64" s="1"/>
  <c r="CA31" i="64"/>
  <c r="CE31" i="64" s="1"/>
  <c r="P30" i="64"/>
  <c r="T30" i="64" s="1"/>
  <c r="EE30" i="64"/>
  <c r="EI30" i="64" s="1"/>
  <c r="ES30" i="64"/>
  <c r="EW30" i="64" s="1"/>
  <c r="FG30" i="64"/>
  <c r="FK30" i="64" s="1"/>
  <c r="FN28" i="64"/>
  <c r="FR28" i="64" s="1"/>
  <c r="CO28" i="64"/>
  <c r="CS28" i="64" s="1"/>
  <c r="CA28" i="64"/>
  <c r="CE28" i="64" s="1"/>
  <c r="AK28" i="64"/>
  <c r="AO28" i="64" s="1"/>
  <c r="EL28" i="64"/>
  <c r="EP28" i="64" s="1"/>
  <c r="AD28" i="64"/>
  <c r="AH28" i="64" s="1"/>
  <c r="BT30" i="64"/>
  <c r="BX30" i="64" s="1"/>
  <c r="CH30" i="64"/>
  <c r="CL30" i="64" s="1"/>
  <c r="AR30" i="64"/>
  <c r="AV30" i="64" s="1"/>
  <c r="DJ30" i="64"/>
  <c r="DN30" i="64" s="1"/>
  <c r="BT28" i="64"/>
  <c r="BX28" i="64" s="1"/>
  <c r="EZ28" i="64"/>
  <c r="FD28" i="64" s="1"/>
  <c r="P28" i="64"/>
  <c r="T28" i="64" s="1"/>
  <c r="ES28" i="64"/>
  <c r="EW28" i="64" s="1"/>
  <c r="DQ30" i="64"/>
  <c r="DU30" i="64" s="1"/>
  <c r="CA30" i="64"/>
  <c r="CE30" i="64" s="1"/>
  <c r="AK30" i="64"/>
  <c r="AO30" i="64" s="1"/>
  <c r="AY30" i="64"/>
  <c r="BC30" i="64" s="1"/>
  <c r="BF28" i="64"/>
  <c r="BJ28" i="64" s="1"/>
  <c r="W28" i="64"/>
  <c r="AA28" i="64" s="1"/>
  <c r="CH28" i="64"/>
  <c r="CL28" i="64" s="1"/>
  <c r="W30" i="64"/>
  <c r="AA30" i="64" s="1"/>
  <c r="EL30" i="64"/>
  <c r="EP30" i="64" s="1"/>
  <c r="CV30" i="64"/>
  <c r="CZ30" i="64" s="1"/>
  <c r="EE28" i="64"/>
  <c r="EI28" i="64" s="1"/>
  <c r="AR28" i="64"/>
  <c r="AV28" i="64" s="1"/>
  <c r="CV28" i="64"/>
  <c r="CZ28" i="64" s="1"/>
  <c r="DX28" i="64"/>
  <c r="EB28" i="64" s="1"/>
  <c r="AY28" i="64"/>
  <c r="BC28" i="64" s="1"/>
  <c r="FN30" i="64"/>
  <c r="FR30" i="64" s="1"/>
  <c r="DC30" i="64"/>
  <c r="DG30" i="64" s="1"/>
  <c r="ES31" i="68"/>
  <c r="EW31" i="68" s="1"/>
  <c r="W31" i="68"/>
  <c r="AA31" i="68" s="1"/>
  <c r="ES31" i="64"/>
  <c r="EW31" i="64" s="1"/>
  <c r="FG31" i="64"/>
  <c r="FK31" i="64" s="1"/>
  <c r="CV31" i="64"/>
  <c r="CZ31" i="64" s="1"/>
  <c r="W31" i="64"/>
  <c r="AA31" i="64" s="1"/>
  <c r="AK31" i="64"/>
  <c r="AO31" i="64" s="1"/>
  <c r="DQ31" i="64"/>
  <c r="DU31" i="64" s="1"/>
  <c r="EZ31" i="64"/>
  <c r="FD31" i="64" s="1"/>
  <c r="BF31" i="64"/>
  <c r="BJ31" i="64" s="1"/>
  <c r="AD31" i="68"/>
  <c r="AH31" i="68" s="1"/>
  <c r="P31" i="68"/>
  <c r="T31" i="68" s="1"/>
  <c r="DJ31" i="68"/>
  <c r="DN31" i="68" s="1"/>
  <c r="DC31" i="68"/>
  <c r="DG31" i="68" s="1"/>
  <c r="BM30" i="64"/>
  <c r="BQ30" i="64" s="1"/>
  <c r="DX30" i="64"/>
  <c r="EB30" i="64" s="1"/>
  <c r="AD30" i="64"/>
  <c r="AH30" i="64" s="1"/>
  <c r="CO30" i="64"/>
  <c r="CS30" i="64" s="1"/>
  <c r="EZ30" i="64"/>
  <c r="FD30" i="64" s="1"/>
  <c r="BM28" i="64"/>
  <c r="BQ28" i="64" s="1"/>
  <c r="DC28" i="64"/>
  <c r="DG28" i="64" s="1"/>
  <c r="DJ28" i="64"/>
  <c r="DN28" i="64" s="1"/>
  <c r="DQ28" i="64"/>
  <c r="DU28" i="64" s="1"/>
  <c r="DX28" i="68"/>
  <c r="EB28" i="68" s="1"/>
  <c r="DX31" i="68"/>
  <c r="EB31" i="68" s="1"/>
  <c r="I31" i="68"/>
  <c r="M31" i="68" s="1"/>
  <c r="FN31" i="68"/>
  <c r="FR31" i="68" s="1"/>
  <c r="CO31" i="68"/>
  <c r="CS31" i="68" s="1"/>
  <c r="BT31" i="68"/>
  <c r="BX31" i="68" s="1"/>
  <c r="FG31" i="68"/>
  <c r="FK31" i="68" s="1"/>
  <c r="DX31" i="64"/>
  <c r="EB31" i="64" s="1"/>
  <c r="AY31" i="64"/>
  <c r="BC31" i="64" s="1"/>
  <c r="DC31" i="64"/>
  <c r="DG31" i="64" s="1"/>
  <c r="CH31" i="64"/>
  <c r="CL31" i="64" s="1"/>
  <c r="DJ31" i="64"/>
  <c r="DN31" i="64" s="1"/>
  <c r="AK28" i="68"/>
  <c r="AO28" i="68" s="1"/>
  <c r="CA28" i="68"/>
  <c r="CE28" i="68" s="1"/>
  <c r="DC30" i="68"/>
  <c r="DG30" i="68" s="1"/>
  <c r="BM30" i="68"/>
  <c r="BQ30" i="68" s="1"/>
  <c r="FG30" i="68"/>
  <c r="FK30" i="68" s="1"/>
  <c r="DC28" i="68"/>
  <c r="DG28" i="68" s="1"/>
  <c r="W28" i="68"/>
  <c r="AA28" i="68" s="1"/>
  <c r="BT30" i="68"/>
  <c r="BX30" i="68" s="1"/>
  <c r="CV28" i="68"/>
  <c r="CZ28" i="68" s="1"/>
  <c r="P30" i="68"/>
  <c r="T30" i="68" s="1"/>
  <c r="DQ30" i="68"/>
  <c r="DU30" i="68" s="1"/>
  <c r="FG28" i="68"/>
  <c r="FK28" i="68" s="1"/>
  <c r="BF28" i="68"/>
  <c r="BJ28" i="68" s="1"/>
  <c r="BM28" i="68"/>
  <c r="BQ28" i="68" s="1"/>
  <c r="ES28" i="68"/>
  <c r="EW28" i="68" s="1"/>
  <c r="FN28" i="68"/>
  <c r="FR28" i="68" s="1"/>
  <c r="P28" i="68"/>
  <c r="T28" i="68" s="1"/>
  <c r="AD30" i="68"/>
  <c r="AH30" i="68" s="1"/>
  <c r="DX30" i="68"/>
  <c r="EB30" i="68" s="1"/>
  <c r="BF30" i="68"/>
  <c r="BJ30" i="68" s="1"/>
  <c r="EL30" i="68"/>
  <c r="EP30" i="68" s="1"/>
  <c r="W30" i="68"/>
  <c r="AA30" i="68" s="1"/>
  <c r="FN30" i="68"/>
  <c r="FR30" i="68" s="1"/>
  <c r="BM31" i="68"/>
  <c r="BQ31" i="68" s="1"/>
  <c r="CA31" i="68"/>
  <c r="CE31" i="68" s="1"/>
  <c r="AR31" i="68"/>
  <c r="AV31" i="68" s="1"/>
  <c r="DQ31" i="68"/>
  <c r="DU31" i="68" s="1"/>
  <c r="EE31" i="68"/>
  <c r="EI31" i="68" s="1"/>
  <c r="CV31" i="68"/>
  <c r="CZ31" i="68" s="1"/>
  <c r="AD28" i="68"/>
  <c r="AH28" i="68" s="1"/>
  <c r="AR28" i="68"/>
  <c r="AV28" i="68" s="1"/>
  <c r="BT28" i="68"/>
  <c r="BX28" i="68" s="1"/>
  <c r="EE28" i="68"/>
  <c r="EI28" i="68" s="1"/>
  <c r="EZ28" i="68"/>
  <c r="FD28" i="68" s="1"/>
  <c r="CH28" i="68"/>
  <c r="CL28" i="68" s="1"/>
  <c r="AK30" i="68"/>
  <c r="AO30" i="68" s="1"/>
  <c r="CA30" i="68"/>
  <c r="CE30" i="68" s="1"/>
  <c r="AR30" i="68"/>
  <c r="AV30" i="68" s="1"/>
  <c r="CO30" i="68"/>
  <c r="CS30" i="68" s="1"/>
  <c r="EE30" i="68"/>
  <c r="EI30" i="68" s="1"/>
  <c r="CV30" i="68"/>
  <c r="CZ30" i="68" s="1"/>
  <c r="BF31" i="68"/>
  <c r="BJ31" i="68" s="1"/>
  <c r="CH31" i="68"/>
  <c r="CL31" i="68" s="1"/>
  <c r="EZ31" i="68"/>
  <c r="FD31" i="68" s="1"/>
  <c r="EL31" i="68"/>
  <c r="EP31" i="68" s="1"/>
  <c r="AK31" i="68"/>
  <c r="AO31" i="68" s="1"/>
  <c r="DQ28" i="68"/>
  <c r="DU28" i="68" s="1"/>
  <c r="AY28" i="68"/>
  <c r="BC28" i="68" s="1"/>
  <c r="DJ28" i="68"/>
  <c r="DN28" i="68" s="1"/>
  <c r="EL28" i="68"/>
  <c r="EP28" i="68" s="1"/>
  <c r="CO28" i="68"/>
  <c r="CS28" i="68" s="1"/>
  <c r="ES30" i="68"/>
  <c r="EW30" i="68" s="1"/>
  <c r="CH30" i="68"/>
  <c r="CL30" i="68" s="1"/>
  <c r="EZ30" i="68"/>
  <c r="FD30" i="68" s="1"/>
  <c r="DJ30" i="68"/>
  <c r="DN30" i="68" s="1"/>
  <c r="I30" i="68"/>
  <c r="M30" i="68" s="1"/>
  <c r="C88" i="75"/>
  <c r="C87" i="73"/>
  <c r="C86" i="75"/>
  <c r="C85" i="73"/>
  <c r="EB30" i="37"/>
  <c r="FK30" i="37"/>
  <c r="EW30" i="37"/>
  <c r="EI30" i="37"/>
  <c r="FR30" i="37"/>
  <c r="FD30" i="37"/>
  <c r="EP30" i="37"/>
  <c r="EB28" i="37"/>
  <c r="FR28" i="37"/>
  <c r="EW28" i="37"/>
  <c r="EP28" i="37"/>
  <c r="EI28" i="37"/>
  <c r="FK28" i="37"/>
  <c r="FD28" i="37"/>
  <c r="EB31" i="37"/>
  <c r="FR31" i="37"/>
  <c r="EW31" i="37"/>
  <c r="EP31" i="37"/>
  <c r="FK31" i="37"/>
  <c r="EI31" i="37"/>
  <c r="FD31" i="37"/>
  <c r="CZ31" i="37"/>
  <c r="DN31" i="37"/>
  <c r="CZ30" i="37"/>
  <c r="DN30" i="37"/>
  <c r="CZ28" i="37"/>
  <c r="DN28" i="37"/>
  <c r="BX31" i="37"/>
  <c r="CL31" i="37"/>
  <c r="BX30" i="37"/>
  <c r="CL30" i="37"/>
  <c r="BX28" i="37"/>
  <c r="CL28" i="37"/>
  <c r="BJ31" i="37"/>
  <c r="BJ30" i="37"/>
  <c r="BJ28" i="37"/>
  <c r="AH31" i="37"/>
  <c r="AV31" i="37"/>
  <c r="AH30" i="37"/>
  <c r="AV30" i="37"/>
  <c r="AH28" i="37"/>
  <c r="AV28" i="37"/>
  <c r="AA31" i="37"/>
  <c r="T31" i="37"/>
  <c r="AA30" i="37"/>
  <c r="T30" i="37"/>
  <c r="AA28" i="37"/>
  <c r="T28" i="37"/>
  <c r="M31" i="37"/>
  <c r="CS31" i="37"/>
  <c r="DG31" i="37"/>
  <c r="DU31" i="37"/>
  <c r="CE31" i="37"/>
  <c r="DU30" i="37"/>
  <c r="DG30" i="37"/>
  <c r="CE30" i="37"/>
  <c r="CS30" i="37"/>
  <c r="DG28" i="37"/>
  <c r="CS28" i="37"/>
  <c r="DU28" i="37"/>
  <c r="CE28" i="37"/>
  <c r="AO30" i="37"/>
  <c r="BQ30" i="37"/>
  <c r="BC30" i="37"/>
  <c r="AO28" i="37"/>
  <c r="BC28" i="37"/>
  <c r="BQ28" i="37"/>
  <c r="AO31" i="37"/>
  <c r="BQ31" i="37"/>
  <c r="BC31" i="37"/>
  <c r="M21" i="34"/>
  <c r="O21" i="34" s="1"/>
  <c r="C90" i="26"/>
  <c r="C86" i="87" s="1"/>
  <c r="C92" i="26"/>
  <c r="FZ123" i="1"/>
  <c r="MF146" i="1"/>
  <c r="JO123" i="1"/>
  <c r="KY123" i="1"/>
  <c r="MI123" i="1"/>
  <c r="NS123" i="1"/>
  <c r="PC123" i="1"/>
  <c r="QM123" i="1"/>
  <c r="DG132" i="1"/>
  <c r="GA132" i="1"/>
  <c r="BD132" i="1"/>
  <c r="GR132" i="1"/>
  <c r="JL132" i="1"/>
  <c r="MF132" i="1"/>
  <c r="OZ132" i="1"/>
  <c r="BV173" i="1"/>
  <c r="DF173" i="1"/>
  <c r="EP173" i="1"/>
  <c r="FZ173" i="1"/>
  <c r="HJ173" i="1"/>
  <c r="IT173" i="1"/>
  <c r="KD173" i="1"/>
  <c r="LN173" i="1"/>
  <c r="RT132" i="1"/>
  <c r="MX173" i="1"/>
  <c r="UN132" i="1"/>
  <c r="MX132" i="1"/>
  <c r="SM123" i="1"/>
  <c r="TE123" i="1"/>
  <c r="RB123" i="1"/>
  <c r="FZ146" i="1"/>
  <c r="DX123" i="1"/>
  <c r="IT123" i="1"/>
  <c r="PS164" i="1"/>
  <c r="CN164" i="1"/>
  <c r="IB164" i="1"/>
  <c r="D114" i="1"/>
  <c r="V114" i="1"/>
  <c r="BF114" i="1"/>
  <c r="BX114" i="1"/>
  <c r="CP114" i="1"/>
  <c r="DH114" i="1"/>
  <c r="DZ114" i="1"/>
  <c r="ER114" i="1"/>
  <c r="V123" i="1"/>
  <c r="BF123" i="1"/>
  <c r="DZ123" i="1"/>
  <c r="FJ123" i="1"/>
  <c r="LN123" i="1"/>
  <c r="OH123" i="1"/>
  <c r="W132" i="1"/>
  <c r="CQ132" i="1"/>
  <c r="FK132" i="1"/>
  <c r="NR146" i="1"/>
  <c r="MI164" i="1"/>
  <c r="E132" i="1"/>
  <c r="BG132" i="1"/>
  <c r="ES132" i="1"/>
  <c r="T164" i="1"/>
  <c r="FH164" i="1"/>
  <c r="PT123" i="1"/>
  <c r="RV123" i="1"/>
  <c r="TX123" i="1"/>
  <c r="UP123" i="1"/>
  <c r="HJ132" i="1"/>
  <c r="KD132" i="1"/>
  <c r="PR132" i="1"/>
  <c r="SL132" i="1"/>
  <c r="DX146" i="1"/>
  <c r="IB146" i="1"/>
  <c r="LO164" i="1"/>
  <c r="MY164" i="1"/>
  <c r="OI164" i="1"/>
  <c r="BY132" i="1"/>
  <c r="EA132" i="1"/>
  <c r="BD164" i="1"/>
  <c r="GR164" i="1"/>
  <c r="KV164" i="1"/>
  <c r="QJ164" i="1"/>
  <c r="TD164" i="1"/>
  <c r="T114" i="1"/>
  <c r="BD114" i="1"/>
  <c r="BV114" i="1"/>
  <c r="CN114" i="1"/>
  <c r="DF114" i="1"/>
  <c r="DX114" i="1"/>
  <c r="EP114" i="1"/>
  <c r="W123" i="1"/>
  <c r="BX123" i="1"/>
  <c r="KD123" i="1"/>
  <c r="MX123" i="1"/>
  <c r="D155" i="1"/>
  <c r="V155" i="1"/>
  <c r="BF155" i="1"/>
  <c r="BX155" i="1"/>
  <c r="DI132" i="1"/>
  <c r="GC132" i="1"/>
  <c r="DX164" i="1"/>
  <c r="JL164" i="1"/>
  <c r="B173" i="1"/>
  <c r="TW114" i="1"/>
  <c r="B123" i="1"/>
  <c r="PR123" i="1"/>
  <c r="RT123" i="1"/>
  <c r="TV123" i="1"/>
  <c r="UN123" i="1"/>
  <c r="V146" i="1"/>
  <c r="BX146" i="1"/>
  <c r="KF146" i="1"/>
  <c r="PC164" i="1"/>
  <c r="CP123" i="1"/>
  <c r="HM123" i="1"/>
  <c r="FH123" i="1"/>
  <c r="E114" i="1"/>
  <c r="BG114" i="1"/>
  <c r="BY114" i="1"/>
  <c r="CQ114" i="1"/>
  <c r="DI114" i="1"/>
  <c r="EA114" i="1"/>
  <c r="ES114" i="1"/>
  <c r="FK114" i="1"/>
  <c r="GC114" i="1"/>
  <c r="GU114" i="1"/>
  <c r="HM114" i="1"/>
  <c r="IE114" i="1"/>
  <c r="IW114" i="1"/>
  <c r="JO114" i="1"/>
  <c r="KG114" i="1"/>
  <c r="KY114" i="1"/>
  <c r="LQ114" i="1"/>
  <c r="MI114" i="1"/>
  <c r="NA114" i="1"/>
  <c r="NS114" i="1"/>
  <c r="OK114" i="1"/>
  <c r="PC114" i="1"/>
  <c r="PU114" i="1"/>
  <c r="QM114" i="1"/>
  <c r="RE114" i="1"/>
  <c r="SN114" i="1"/>
  <c r="TF114" i="1"/>
  <c r="T123" i="1"/>
  <c r="BY123" i="1"/>
  <c r="HJ123" i="1"/>
  <c r="KF123" i="1"/>
  <c r="MG123" i="1"/>
  <c r="OI123" i="1"/>
  <c r="TG114" i="1"/>
  <c r="TY114" i="1"/>
  <c r="BV123" i="1"/>
  <c r="ER123" i="1"/>
  <c r="GS123" i="1"/>
  <c r="IU123" i="1"/>
  <c r="NR123" i="1"/>
  <c r="QJ123" i="1"/>
  <c r="C132" i="1"/>
  <c r="BE132" i="1"/>
  <c r="BW132" i="1"/>
  <c r="DY132" i="1"/>
  <c r="EQ132" i="1"/>
  <c r="LO114" i="1"/>
  <c r="MY114" i="1"/>
  <c r="OI114" i="1"/>
  <c r="PS114" i="1"/>
  <c r="RC114" i="1"/>
  <c r="SL114" i="1"/>
  <c r="TD114" i="1"/>
  <c r="D123" i="1"/>
  <c r="BE123" i="1"/>
  <c r="DG123" i="1"/>
  <c r="FK123" i="1"/>
  <c r="ID123" i="1"/>
  <c r="KV123" i="1"/>
  <c r="NA123" i="1"/>
  <c r="FJ114" i="1"/>
  <c r="GB114" i="1"/>
  <c r="GT114" i="1"/>
  <c r="HL114" i="1"/>
  <c r="ID114" i="1"/>
  <c r="IV114" i="1"/>
  <c r="JN114" i="1"/>
  <c r="KF114" i="1"/>
  <c r="KX114" i="1"/>
  <c r="LP114" i="1"/>
  <c r="MH114" i="1"/>
  <c r="MZ114" i="1"/>
  <c r="NR114" i="1"/>
  <c r="OJ114" i="1"/>
  <c r="PB114" i="1"/>
  <c r="PT114" i="1"/>
  <c r="QL114" i="1"/>
  <c r="RD114" i="1"/>
  <c r="RV114" i="1"/>
  <c r="SM114" i="1"/>
  <c r="TV114" i="1"/>
  <c r="UN114" i="1"/>
  <c r="UQ114" i="1"/>
  <c r="U123" i="1"/>
  <c r="BW123" i="1"/>
  <c r="DH123" i="1"/>
  <c r="EA123" i="1"/>
  <c r="FI123" i="1"/>
  <c r="GC123" i="1"/>
  <c r="GT123" i="1"/>
  <c r="HK123" i="1"/>
  <c r="IV123" i="1"/>
  <c r="JL123" i="1"/>
  <c r="KW123" i="1"/>
  <c r="LQ123" i="1"/>
  <c r="MH123" i="1"/>
  <c r="MY123" i="1"/>
  <c r="OJ123" i="1"/>
  <c r="OZ123" i="1"/>
  <c r="QK123" i="1"/>
  <c r="RE123" i="1"/>
  <c r="RW123" i="1"/>
  <c r="SN123" i="1"/>
  <c r="TF123" i="1"/>
  <c r="TW123" i="1"/>
  <c r="UO123" i="1"/>
  <c r="E123" i="1"/>
  <c r="CN123" i="1"/>
  <c r="CQ123" i="1"/>
  <c r="DY123" i="1"/>
  <c r="EP123" i="1"/>
  <c r="ES123" i="1"/>
  <c r="GA123" i="1"/>
  <c r="HL123" i="1"/>
  <c r="IB123" i="1"/>
  <c r="IE123" i="1"/>
  <c r="JM123" i="1"/>
  <c r="KG123" i="1"/>
  <c r="KX123" i="1"/>
  <c r="LO123" i="1"/>
  <c r="MZ123" i="1"/>
  <c r="NP123" i="1"/>
  <c r="PA123" i="1"/>
  <c r="PU123" i="1"/>
  <c r="QL123" i="1"/>
  <c r="RC123" i="1"/>
  <c r="SO123" i="1"/>
  <c r="TG123" i="1"/>
  <c r="E146" i="1"/>
  <c r="BG146" i="1"/>
  <c r="BY146" i="1"/>
  <c r="DI146" i="1"/>
  <c r="EA146" i="1"/>
  <c r="ES146" i="1"/>
  <c r="GC146" i="1"/>
  <c r="GU146" i="1"/>
  <c r="HM146" i="1"/>
  <c r="IW146" i="1"/>
  <c r="JO146" i="1"/>
  <c r="KG146" i="1"/>
  <c r="LQ146" i="1"/>
  <c r="MI146" i="1"/>
  <c r="FH114" i="1"/>
  <c r="FZ114" i="1"/>
  <c r="GR114" i="1"/>
  <c r="HJ114" i="1"/>
  <c r="IB114" i="1"/>
  <c r="IT114" i="1"/>
  <c r="JL114" i="1"/>
  <c r="KD114" i="1"/>
  <c r="KV114" i="1"/>
  <c r="LN114" i="1"/>
  <c r="MF114" i="1"/>
  <c r="MX114" i="1"/>
  <c r="NP114" i="1"/>
  <c r="OH114" i="1"/>
  <c r="OZ114" i="1"/>
  <c r="PR114" i="1"/>
  <c r="QJ114" i="1"/>
  <c r="RB114" i="1"/>
  <c r="RT114" i="1"/>
  <c r="RW114" i="1"/>
  <c r="SO114" i="1"/>
  <c r="TX114" i="1"/>
  <c r="UP114" i="1"/>
  <c r="C123" i="1"/>
  <c r="BD123" i="1"/>
  <c r="BG123" i="1"/>
  <c r="CO123" i="1"/>
  <c r="DF123" i="1"/>
  <c r="DI123" i="1"/>
  <c r="EQ123" i="1"/>
  <c r="GB123" i="1"/>
  <c r="GR123" i="1"/>
  <c r="GU123" i="1"/>
  <c r="IC123" i="1"/>
  <c r="IW123" i="1"/>
  <c r="JN123" i="1"/>
  <c r="KE123" i="1"/>
  <c r="LP123" i="1"/>
  <c r="MF123" i="1"/>
  <c r="NQ123" i="1"/>
  <c r="OK123" i="1"/>
  <c r="PB123" i="1"/>
  <c r="PS123" i="1"/>
  <c r="RD123" i="1"/>
  <c r="RU123" i="1"/>
  <c r="SL123" i="1"/>
  <c r="TD123" i="1"/>
  <c r="TY123" i="1"/>
  <c r="UQ123" i="1"/>
  <c r="D132" i="1"/>
  <c r="V132" i="1"/>
  <c r="BF132" i="1"/>
  <c r="BX132" i="1"/>
  <c r="CP132" i="1"/>
  <c r="DH132" i="1"/>
  <c r="DZ132" i="1"/>
  <c r="ER132" i="1"/>
  <c r="FJ132" i="1"/>
  <c r="GB132" i="1"/>
  <c r="GT132" i="1"/>
  <c r="HL132" i="1"/>
  <c r="ID132" i="1"/>
  <c r="IV132" i="1"/>
  <c r="JN132" i="1"/>
  <c r="KF132" i="1"/>
  <c r="KX132" i="1"/>
  <c r="LP132" i="1"/>
  <c r="MH132" i="1"/>
  <c r="MZ132" i="1"/>
  <c r="NR132" i="1"/>
  <c r="OJ132" i="1"/>
  <c r="PB132" i="1"/>
  <c r="PT132" i="1"/>
  <c r="QL132" i="1"/>
  <c r="RD132" i="1"/>
  <c r="RV132" i="1"/>
  <c r="SN132" i="1"/>
  <c r="TF132" i="1"/>
  <c r="TX132" i="1"/>
  <c r="UP132" i="1"/>
  <c r="B146" i="1"/>
  <c r="T146" i="1"/>
  <c r="BD146" i="1"/>
  <c r="BV146" i="1"/>
  <c r="CN146" i="1"/>
  <c r="DF146" i="1"/>
  <c r="FH146" i="1"/>
  <c r="GR146" i="1"/>
  <c r="HJ146" i="1"/>
  <c r="IT146" i="1"/>
  <c r="JL146" i="1"/>
  <c r="KD146" i="1"/>
  <c r="KV146" i="1"/>
  <c r="LN146" i="1"/>
  <c r="MX146" i="1"/>
  <c r="NP146" i="1"/>
  <c r="OH146" i="1"/>
  <c r="OZ146" i="1"/>
  <c r="QJ146" i="1"/>
  <c r="RB146" i="1"/>
  <c r="TV146" i="1"/>
  <c r="HM132" i="1"/>
  <c r="IE132" i="1"/>
  <c r="IW132" i="1"/>
  <c r="KG132" i="1"/>
  <c r="KY132" i="1"/>
  <c r="LQ132" i="1"/>
  <c r="NA132" i="1"/>
  <c r="NS132" i="1"/>
  <c r="OK132" i="1"/>
  <c r="PU132" i="1"/>
  <c r="QM132" i="1"/>
  <c r="RE132" i="1"/>
  <c r="SO132" i="1"/>
  <c r="TG132" i="1"/>
  <c r="TY132" i="1"/>
  <c r="C146" i="1"/>
  <c r="U146" i="1"/>
  <c r="BE146" i="1"/>
  <c r="BW146" i="1"/>
  <c r="CO146" i="1"/>
  <c r="DG146" i="1"/>
  <c r="DY146" i="1"/>
  <c r="EQ146" i="1"/>
  <c r="FI146" i="1"/>
  <c r="GA146" i="1"/>
  <c r="GS146" i="1"/>
  <c r="HK146" i="1"/>
  <c r="IC146" i="1"/>
  <c r="IU146" i="1"/>
  <c r="JM146" i="1"/>
  <c r="KE146" i="1"/>
  <c r="KW146" i="1"/>
  <c r="LO146" i="1"/>
  <c r="MG146" i="1"/>
  <c r="MY146" i="1"/>
  <c r="NQ146" i="1"/>
  <c r="OI146" i="1"/>
  <c r="PA146" i="1"/>
  <c r="PS146" i="1"/>
  <c r="QK146" i="1"/>
  <c r="RC146" i="1"/>
  <c r="B132" i="1"/>
  <c r="T132" i="1"/>
  <c r="BV132" i="1"/>
  <c r="CN132" i="1"/>
  <c r="EP132" i="1"/>
  <c r="FH132" i="1"/>
  <c r="IB132" i="1"/>
  <c r="IT132" i="1"/>
  <c r="KV132" i="1"/>
  <c r="LN132" i="1"/>
  <c r="NP132" i="1"/>
  <c r="OH132" i="1"/>
  <c r="QJ132" i="1"/>
  <c r="RB132" i="1"/>
  <c r="TD132" i="1"/>
  <c r="TV132" i="1"/>
  <c r="D146" i="1"/>
  <c r="BF146" i="1"/>
  <c r="CP146" i="1"/>
  <c r="DZ146" i="1"/>
  <c r="ER146" i="1"/>
  <c r="FJ146" i="1"/>
  <c r="GT146" i="1"/>
  <c r="HL146" i="1"/>
  <c r="ID146" i="1"/>
  <c r="JN146" i="1"/>
  <c r="KX146" i="1"/>
  <c r="MH146" i="1"/>
  <c r="MZ146" i="1"/>
  <c r="NA146" i="1"/>
  <c r="RT146" i="1"/>
  <c r="TD146" i="1"/>
  <c r="UN146" i="1"/>
  <c r="EA155" i="1"/>
  <c r="GU155" i="1"/>
  <c r="JO155" i="1"/>
  <c r="MI155" i="1"/>
  <c r="OK155" i="1"/>
  <c r="PC155" i="1"/>
  <c r="PU155" i="1"/>
  <c r="QM155" i="1"/>
  <c r="RE155" i="1"/>
  <c r="RW155" i="1"/>
  <c r="SO155" i="1"/>
  <c r="TG155" i="1"/>
  <c r="TY155" i="1"/>
  <c r="UQ155" i="1"/>
  <c r="RU146" i="1"/>
  <c r="SM146" i="1"/>
  <c r="TE146" i="1"/>
  <c r="TW146" i="1"/>
  <c r="UO146" i="1"/>
  <c r="DX155" i="1"/>
  <c r="FH155" i="1"/>
  <c r="GR155" i="1"/>
  <c r="JL155" i="1"/>
  <c r="KV155" i="1"/>
  <c r="MF155" i="1"/>
  <c r="OH155" i="1"/>
  <c r="OZ155" i="1"/>
  <c r="PR155" i="1"/>
  <c r="QJ155" i="1"/>
  <c r="RB155" i="1"/>
  <c r="RT155" i="1"/>
  <c r="SL155" i="1"/>
  <c r="TD155" i="1"/>
  <c r="TV155" i="1"/>
  <c r="UN155" i="1"/>
  <c r="D164" i="1"/>
  <c r="V164" i="1"/>
  <c r="BF164" i="1"/>
  <c r="BX164" i="1"/>
  <c r="CP164" i="1"/>
  <c r="DH164" i="1"/>
  <c r="DZ164" i="1"/>
  <c r="ER164" i="1"/>
  <c r="FJ164" i="1"/>
  <c r="GB164" i="1"/>
  <c r="GT164" i="1"/>
  <c r="HL164" i="1"/>
  <c r="ID164" i="1"/>
  <c r="IV164" i="1"/>
  <c r="JN164" i="1"/>
  <c r="KF164" i="1"/>
  <c r="KX164" i="1"/>
  <c r="LP164" i="1"/>
  <c r="MH164" i="1"/>
  <c r="MZ164" i="1"/>
  <c r="NR164" i="1"/>
  <c r="OJ164" i="1"/>
  <c r="PB164" i="1"/>
  <c r="PT164" i="1"/>
  <c r="QL164" i="1"/>
  <c r="RD164" i="1"/>
  <c r="RV164" i="1"/>
  <c r="SN164" i="1"/>
  <c r="TF164" i="1"/>
  <c r="TX164" i="1"/>
  <c r="UP164" i="1"/>
  <c r="CP155" i="1"/>
  <c r="DH155" i="1"/>
  <c r="DZ155" i="1"/>
  <c r="ER155" i="1"/>
  <c r="FJ155" i="1"/>
  <c r="GB155" i="1"/>
  <c r="GT155" i="1"/>
  <c r="HL155" i="1"/>
  <c r="ID155" i="1"/>
  <c r="IV155" i="1"/>
  <c r="JN155" i="1"/>
  <c r="KF155" i="1"/>
  <c r="KX155" i="1"/>
  <c r="LP155" i="1"/>
  <c r="MH155" i="1"/>
  <c r="MZ155" i="1"/>
  <c r="NR155" i="1"/>
  <c r="OJ155" i="1"/>
  <c r="PB155" i="1"/>
  <c r="PT155" i="1"/>
  <c r="QL155" i="1"/>
  <c r="RD155" i="1"/>
  <c r="RV155" i="1"/>
  <c r="SN155" i="1"/>
  <c r="TF155" i="1"/>
  <c r="TX155" i="1"/>
  <c r="UP155" i="1"/>
  <c r="E164" i="1"/>
  <c r="W164" i="1"/>
  <c r="BG164" i="1"/>
  <c r="BY164" i="1"/>
  <c r="CQ164" i="1"/>
  <c r="DI164" i="1"/>
  <c r="EA164" i="1"/>
  <c r="ES164" i="1"/>
  <c r="FK164" i="1"/>
  <c r="GC164" i="1"/>
  <c r="GU164" i="1"/>
  <c r="HM164" i="1"/>
  <c r="IE164" i="1"/>
  <c r="IW164" i="1"/>
  <c r="JO164" i="1"/>
  <c r="KG164" i="1"/>
  <c r="KY164" i="1"/>
  <c r="NS164" i="1"/>
  <c r="V173" i="1"/>
  <c r="BF173" i="1"/>
  <c r="DZ173" i="1"/>
  <c r="GT173" i="1"/>
  <c r="JN173" i="1"/>
  <c r="MH173" i="1"/>
  <c r="B164" i="1"/>
  <c r="BV164" i="1"/>
  <c r="DF164" i="1"/>
  <c r="EP164" i="1"/>
  <c r="FZ164" i="1"/>
  <c r="HJ164" i="1"/>
  <c r="IT164" i="1"/>
  <c r="KD164" i="1"/>
  <c r="RB164" i="1"/>
  <c r="RT164" i="1"/>
  <c r="SL164" i="1"/>
  <c r="TV164" i="1"/>
  <c r="UN164" i="1"/>
  <c r="DI173" i="1"/>
  <c r="RW173" i="1"/>
  <c r="SO173" i="1"/>
  <c r="TG173" i="1"/>
  <c r="TY173" i="1"/>
  <c r="UQ173" i="1"/>
  <c r="C164" i="1"/>
  <c r="U164" i="1"/>
  <c r="BE164" i="1"/>
  <c r="BW164" i="1"/>
  <c r="CO164" i="1"/>
  <c r="DG164" i="1"/>
  <c r="DY164" i="1"/>
  <c r="EQ164" i="1"/>
  <c r="FI164" i="1"/>
  <c r="GA164" i="1"/>
  <c r="GS164" i="1"/>
  <c r="HK164" i="1"/>
  <c r="IC164" i="1"/>
  <c r="IU164" i="1"/>
  <c r="JM164" i="1"/>
  <c r="KE164" i="1"/>
  <c r="KW164" i="1"/>
  <c r="MG164" i="1"/>
  <c r="NQ164" i="1"/>
  <c r="PA164" i="1"/>
  <c r="CN173" i="1"/>
  <c r="NP173" i="1"/>
  <c r="OH173" i="1"/>
  <c r="OZ173" i="1"/>
  <c r="PR173" i="1"/>
  <c r="QJ173" i="1"/>
  <c r="RB173" i="1"/>
  <c r="RT173" i="1"/>
  <c r="SL173" i="1"/>
  <c r="TD173" i="1"/>
  <c r="TV173" i="1"/>
  <c r="UN173" i="1"/>
  <c r="DY114" i="1"/>
  <c r="JM114" i="1"/>
  <c r="UQ132" i="1"/>
  <c r="DG114" i="1"/>
  <c r="GA114" i="1"/>
  <c r="IU114" i="1"/>
  <c r="IC132" i="1"/>
  <c r="MI132" i="1"/>
  <c r="TE132" i="1"/>
  <c r="IV146" i="1"/>
  <c r="GS114" i="1"/>
  <c r="FI132" i="1"/>
  <c r="JO132" i="1"/>
  <c r="U114" i="1"/>
  <c r="CO114" i="1"/>
  <c r="FI114" i="1"/>
  <c r="IC114" i="1"/>
  <c r="KW114" i="1"/>
  <c r="MG114" i="1"/>
  <c r="NQ114" i="1"/>
  <c r="PA114" i="1"/>
  <c r="QK114" i="1"/>
  <c r="RU114" i="1"/>
  <c r="TE114" i="1"/>
  <c r="UO114" i="1"/>
  <c r="U132" i="1"/>
  <c r="DF132" i="1"/>
  <c r="KW132" i="1"/>
  <c r="PC132" i="1"/>
  <c r="EP146" i="1"/>
  <c r="FK146" i="1"/>
  <c r="TX146" i="1"/>
  <c r="BE114" i="1"/>
  <c r="QK132" i="1"/>
  <c r="C114" i="1"/>
  <c r="BW114" i="1"/>
  <c r="EQ114" i="1"/>
  <c r="HK114" i="1"/>
  <c r="KE114" i="1"/>
  <c r="CO132" i="1"/>
  <c r="FZ132" i="1"/>
  <c r="GU132" i="1"/>
  <c r="NQ132" i="1"/>
  <c r="RW132" i="1"/>
  <c r="PR146" i="1"/>
  <c r="QM146" i="1"/>
  <c r="IU132" i="1"/>
  <c r="LO132" i="1"/>
  <c r="OI132" i="1"/>
  <c r="RC132" i="1"/>
  <c r="TW132" i="1"/>
  <c r="IE146" i="1"/>
  <c r="LP146" i="1"/>
  <c r="SL146" i="1"/>
  <c r="TG146" i="1"/>
  <c r="GS132" i="1"/>
  <c r="JM132" i="1"/>
  <c r="MG132" i="1"/>
  <c r="PA132" i="1"/>
  <c r="RU132" i="1"/>
  <c r="UO132" i="1"/>
  <c r="W146" i="1"/>
  <c r="DH146" i="1"/>
  <c r="KY146" i="1"/>
  <c r="OJ146" i="1"/>
  <c r="HK132" i="1"/>
  <c r="KE132" i="1"/>
  <c r="MY132" i="1"/>
  <c r="PS132" i="1"/>
  <c r="SM132" i="1"/>
  <c r="CQ146" i="1"/>
  <c r="GB146" i="1"/>
  <c r="NS146" i="1"/>
  <c r="RD146" i="1"/>
  <c r="OK146" i="1"/>
  <c r="PB146" i="1"/>
  <c r="RE146" i="1"/>
  <c r="RV146" i="1"/>
  <c r="TY146" i="1"/>
  <c r="UP146" i="1"/>
  <c r="PC146" i="1"/>
  <c r="PT146" i="1"/>
  <c r="RW146" i="1"/>
  <c r="SN146" i="1"/>
  <c r="UQ146" i="1"/>
  <c r="PU146" i="1"/>
  <c r="QL146" i="1"/>
  <c r="SO146" i="1"/>
  <c r="TF146" i="1"/>
  <c r="CQ155" i="1"/>
  <c r="FK155" i="1"/>
  <c r="IE155" i="1"/>
  <c r="KY155" i="1"/>
  <c r="NS155" i="1"/>
  <c r="W155" i="1"/>
  <c r="CN155" i="1"/>
  <c r="IB155" i="1"/>
  <c r="NP155" i="1"/>
  <c r="T155" i="1"/>
  <c r="B155" i="1"/>
  <c r="E155" i="1"/>
  <c r="U155" i="1"/>
  <c r="BV155" i="1"/>
  <c r="BY155" i="1"/>
  <c r="CO155" i="1"/>
  <c r="DY155" i="1"/>
  <c r="FI155" i="1"/>
  <c r="GS155" i="1"/>
  <c r="IC155" i="1"/>
  <c r="JM155" i="1"/>
  <c r="KW155" i="1"/>
  <c r="MG155" i="1"/>
  <c r="NQ155" i="1"/>
  <c r="PA155" i="1"/>
  <c r="QK155" i="1"/>
  <c r="RU155" i="1"/>
  <c r="TE155" i="1"/>
  <c r="UO155" i="1"/>
  <c r="C155" i="1"/>
  <c r="BD155" i="1"/>
  <c r="BG155" i="1"/>
  <c r="BW155" i="1"/>
  <c r="DF155" i="1"/>
  <c r="DI155" i="1"/>
  <c r="EP155" i="1"/>
  <c r="ES155" i="1"/>
  <c r="FZ155" i="1"/>
  <c r="GC155" i="1"/>
  <c r="HJ155" i="1"/>
  <c r="HM155" i="1"/>
  <c r="IT155" i="1"/>
  <c r="IW155" i="1"/>
  <c r="KD155" i="1"/>
  <c r="KG155" i="1"/>
  <c r="LN155" i="1"/>
  <c r="LQ155" i="1"/>
  <c r="MX155" i="1"/>
  <c r="NA155" i="1"/>
  <c r="BE155" i="1"/>
  <c r="DG155" i="1"/>
  <c r="EQ155" i="1"/>
  <c r="GA155" i="1"/>
  <c r="HK155" i="1"/>
  <c r="IU155" i="1"/>
  <c r="KE155" i="1"/>
  <c r="LO155" i="1"/>
  <c r="MY155" i="1"/>
  <c r="OI155" i="1"/>
  <c r="PS155" i="1"/>
  <c r="RC155" i="1"/>
  <c r="SM155" i="1"/>
  <c r="TW155" i="1"/>
  <c r="LQ164" i="1"/>
  <c r="NA164" i="1"/>
  <c r="OK164" i="1"/>
  <c r="PU164" i="1"/>
  <c r="QM164" i="1"/>
  <c r="RE164" i="1"/>
  <c r="RW164" i="1"/>
  <c r="SO164" i="1"/>
  <c r="TG164" i="1"/>
  <c r="TY164" i="1"/>
  <c r="UQ164" i="1"/>
  <c r="LN164" i="1"/>
  <c r="MF164" i="1"/>
  <c r="MX164" i="1"/>
  <c r="NP164" i="1"/>
  <c r="OH164" i="1"/>
  <c r="OZ164" i="1"/>
  <c r="PR164" i="1"/>
  <c r="QK164" i="1"/>
  <c r="RC164" i="1"/>
  <c r="RU164" i="1"/>
  <c r="SM164" i="1"/>
  <c r="TE164" i="1"/>
  <c r="TW164" i="1"/>
  <c r="UO164" i="1"/>
  <c r="FH173" i="1"/>
  <c r="GC173" i="1"/>
  <c r="IB173" i="1"/>
  <c r="IW173" i="1"/>
  <c r="KV173" i="1"/>
  <c r="LQ173" i="1"/>
  <c r="C173" i="1"/>
  <c r="W173" i="1"/>
  <c r="BG173" i="1"/>
  <c r="BX173" i="1"/>
  <c r="EA173" i="1"/>
  <c r="ER173" i="1"/>
  <c r="GU173" i="1"/>
  <c r="HL173" i="1"/>
  <c r="JO173" i="1"/>
  <c r="KF173" i="1"/>
  <c r="MI173" i="1"/>
  <c r="MZ173" i="1"/>
  <c r="D173" i="1"/>
  <c r="T173" i="1"/>
  <c r="BD173" i="1"/>
  <c r="BY173" i="1"/>
  <c r="CP173" i="1"/>
  <c r="DX173" i="1"/>
  <c r="ES173" i="1"/>
  <c r="FJ173" i="1"/>
  <c r="GR173" i="1"/>
  <c r="HM173" i="1"/>
  <c r="ID173" i="1"/>
  <c r="JL173" i="1"/>
  <c r="KG173" i="1"/>
  <c r="KX173" i="1"/>
  <c r="MF173" i="1"/>
  <c r="NA173" i="1"/>
  <c r="NR173" i="1"/>
  <c r="E173" i="1"/>
  <c r="U173" i="1"/>
  <c r="BE173" i="1"/>
  <c r="CQ173" i="1"/>
  <c r="DH173" i="1"/>
  <c r="FK173" i="1"/>
  <c r="GB173" i="1"/>
  <c r="IE173" i="1"/>
  <c r="IV173" i="1"/>
  <c r="KY173" i="1"/>
  <c r="LP173" i="1"/>
  <c r="NS173" i="1"/>
  <c r="OK173" i="1"/>
  <c r="PC173" i="1"/>
  <c r="PU173" i="1"/>
  <c r="QM173" i="1"/>
  <c r="RE173" i="1"/>
  <c r="OI173" i="1"/>
  <c r="PA173" i="1"/>
  <c r="PS173" i="1"/>
  <c r="QK173" i="1"/>
  <c r="RC173" i="1"/>
  <c r="RU173" i="1"/>
  <c r="SM173" i="1"/>
  <c r="TE173" i="1"/>
  <c r="TW173" i="1"/>
  <c r="UO173" i="1"/>
  <c r="OJ173" i="1"/>
  <c r="PB173" i="1"/>
  <c r="PT173" i="1"/>
  <c r="QL173" i="1"/>
  <c r="RD173" i="1"/>
  <c r="RV173" i="1"/>
  <c r="SN173" i="1"/>
  <c r="TF173" i="1"/>
  <c r="TX173" i="1"/>
  <c r="UP173" i="1"/>
  <c r="BW173" i="1"/>
  <c r="CO173" i="1"/>
  <c r="DG173" i="1"/>
  <c r="DY173" i="1"/>
  <c r="EQ173" i="1"/>
  <c r="FI173" i="1"/>
  <c r="GA173" i="1"/>
  <c r="GS173" i="1"/>
  <c r="HK173" i="1"/>
  <c r="IC173" i="1"/>
  <c r="IU173" i="1"/>
  <c r="JM173" i="1"/>
  <c r="KE173" i="1"/>
  <c r="KW173" i="1"/>
  <c r="LO173" i="1"/>
  <c r="MG173" i="1"/>
  <c r="MY173" i="1"/>
  <c r="NQ173" i="1"/>
  <c r="C88" i="38" l="1"/>
  <c r="C88" i="87"/>
  <c r="C123" i="26"/>
  <c r="C320" i="26"/>
  <c r="C336" i="26" s="1"/>
  <c r="M30" i="26" s="1"/>
  <c r="O30" i="26" s="1"/>
  <c r="C86" i="38"/>
  <c r="C172" i="26"/>
  <c r="M21" i="26" s="1"/>
  <c r="Q21" i="34"/>
  <c r="R21" i="34" s="1"/>
  <c r="C356" i="34"/>
  <c r="M32" i="34" s="1"/>
  <c r="O32" i="34" s="1"/>
  <c r="Q32" i="34" s="1"/>
  <c r="R32" i="34" s="1"/>
  <c r="C286" i="34"/>
  <c r="C321" i="34"/>
  <c r="C390" i="26"/>
  <c r="M33" i="26" s="1"/>
  <c r="O33" i="26" s="1"/>
  <c r="C189" i="26"/>
  <c r="C355" i="26"/>
  <c r="M22" i="26" l="1"/>
  <c r="O22" i="26" s="1"/>
  <c r="C229" i="26"/>
  <c r="M24" i="26" s="1"/>
  <c r="O24" i="26" s="1"/>
  <c r="U24" i="26" s="1"/>
  <c r="C302" i="34"/>
  <c r="M29" i="34" s="1"/>
  <c r="O29" i="34" s="1"/>
  <c r="M28" i="34"/>
  <c r="O28" i="34" s="1"/>
  <c r="M30" i="34"/>
  <c r="O30" i="34" s="1"/>
  <c r="C340" i="34"/>
  <c r="M31" i="34" s="1"/>
  <c r="O31" i="34" s="1"/>
  <c r="C152" i="26"/>
  <c r="M20" i="26" s="1"/>
  <c r="O20" i="26" s="1"/>
  <c r="M19" i="26"/>
  <c r="O19" i="26" s="1"/>
  <c r="C374" i="26"/>
  <c r="M31" i="26"/>
  <c r="O31" i="26" s="1"/>
  <c r="M29" i="26"/>
  <c r="O29" i="26" s="1"/>
  <c r="O21" i="26"/>
  <c r="M32" i="26" l="1"/>
  <c r="O32" i="26" s="1"/>
  <c r="Q31" i="34"/>
  <c r="R31" i="34" s="1"/>
  <c r="Q30" i="34"/>
  <c r="R30" i="34" s="1"/>
  <c r="Q28" i="34"/>
  <c r="R28" i="34" s="1"/>
  <c r="Q29" i="34"/>
  <c r="R29" i="34" s="1"/>
  <c r="E12" i="1" l="1"/>
  <c r="V21" i="44" l="1"/>
  <c r="W20" i="44" s="1"/>
  <c r="AE15" i="44"/>
  <c r="W16" i="44" l="1"/>
  <c r="W15" i="44"/>
  <c r="W19" i="44"/>
  <c r="AE18" i="44"/>
  <c r="AE17" i="44"/>
  <c r="AD41" i="72"/>
  <c r="O17" i="44"/>
  <c r="O18" i="44"/>
  <c r="W17" i="44"/>
  <c r="W18" i="44"/>
  <c r="V24" i="44"/>
  <c r="W53" i="18" s="1"/>
  <c r="W54" i="18" l="1"/>
  <c r="X54" i="18" s="1"/>
  <c r="AD42" i="82"/>
  <c r="AD44" i="49"/>
  <c r="K17" i="89" s="1"/>
  <c r="AD42" i="72" l="1"/>
  <c r="X53" i="18"/>
  <c r="AD45" i="49"/>
  <c r="K18" i="89" s="1"/>
  <c r="K17" i="58"/>
  <c r="K18" i="58" l="1"/>
  <c r="F98" i="1"/>
  <c r="EG142" i="1"/>
  <c r="EH142" i="1" s="1"/>
  <c r="FQ138" i="1"/>
  <c r="QS138" i="1"/>
  <c r="QT138" i="1" s="1"/>
  <c r="KM142" i="1"/>
  <c r="KN142" i="1" s="1"/>
  <c r="NY135" i="1"/>
  <c r="NZ135" i="1" s="1"/>
  <c r="OQ126" i="1"/>
  <c r="OR126" i="1" s="1"/>
  <c r="UE169" i="1"/>
  <c r="UF169" i="1" s="1"/>
  <c r="QA160" i="1"/>
  <c r="QB160" i="1" s="1"/>
  <c r="HS127" i="1"/>
  <c r="HT127" i="1" s="1"/>
  <c r="OQ136" i="1"/>
  <c r="OR136" i="1" s="1"/>
  <c r="MO136" i="1"/>
  <c r="MP136" i="1" s="1"/>
  <c r="IK138" i="1"/>
  <c r="IL138" i="1" s="1"/>
  <c r="OQ108" i="1"/>
  <c r="OR108" i="1" s="1"/>
  <c r="SC158" i="1"/>
  <c r="SD158" i="1" s="1"/>
  <c r="UW142" i="1"/>
  <c r="UX142" i="1" s="1"/>
  <c r="MO141" i="1"/>
  <c r="JC139" i="1"/>
  <c r="JD139" i="1" s="1"/>
  <c r="EG136" i="1"/>
  <c r="EH136" i="1" s="1"/>
  <c r="GI150" i="1"/>
  <c r="GJ150" i="1" s="1"/>
  <c r="BM167" i="1"/>
  <c r="BN167" i="1" s="1"/>
  <c r="HS139" i="1"/>
  <c r="OQ111" i="1"/>
  <c r="OR111" i="1" s="1"/>
  <c r="AC141" i="1"/>
  <c r="AD141" i="1" s="1"/>
  <c r="IK142" i="1"/>
  <c r="IL142" i="1" s="1"/>
  <c r="DO141" i="1"/>
  <c r="DP141" i="1" s="1"/>
  <c r="SC142" i="1"/>
  <c r="JU170" i="1"/>
  <c r="JV170" i="1" s="1"/>
  <c r="LE110" i="1"/>
  <c r="LF110" i="1" s="1"/>
  <c r="SU137" i="1"/>
  <c r="SV137" i="1" s="1"/>
  <c r="LE137" i="1"/>
  <c r="TM139" i="1"/>
  <c r="TN139" i="1" s="1"/>
  <c r="UW152" i="1"/>
  <c r="UX152" i="1" s="1"/>
  <c r="JU159" i="1"/>
  <c r="JV159" i="1" s="1"/>
  <c r="BM136" i="1"/>
  <c r="BN136" i="1" s="1"/>
  <c r="FQ111" i="1"/>
  <c r="NY158" i="1"/>
  <c r="NZ158" i="1" s="1"/>
  <c r="RK127" i="1"/>
  <c r="LE168" i="1"/>
  <c r="QA141" i="1"/>
  <c r="QB141" i="1" s="1"/>
  <c r="NG161" i="1"/>
  <c r="NH161" i="1" s="1"/>
  <c r="QA126" i="1"/>
  <c r="QB126" i="1" s="1"/>
  <c r="DO137" i="1"/>
  <c r="DP137" i="1" s="1"/>
  <c r="TM111" i="1"/>
  <c r="TN111" i="1" s="1"/>
  <c r="QA140" i="1"/>
  <c r="QB140" i="1" s="1"/>
  <c r="MO139" i="1"/>
  <c r="DO136" i="1"/>
  <c r="DP136" i="1" s="1"/>
  <c r="LE159" i="1"/>
  <c r="UE109" i="1"/>
  <c r="UF109" i="1" s="1"/>
  <c r="EY141" i="1"/>
  <c r="EZ141" i="1" s="1"/>
  <c r="KM139" i="1"/>
  <c r="KN139" i="1" s="1"/>
  <c r="NG141" i="1"/>
  <c r="NH141" i="1" s="1"/>
  <c r="K141" i="1"/>
  <c r="L141" i="1" s="1"/>
  <c r="LW136" i="1"/>
  <c r="LX136" i="1" s="1"/>
  <c r="LE129" i="1"/>
  <c r="LF129" i="1" s="1"/>
  <c r="OQ159" i="1"/>
  <c r="OR159" i="1" s="1"/>
  <c r="TM158" i="1"/>
  <c r="TN158" i="1" s="1"/>
  <c r="CW136" i="1"/>
  <c r="CX136" i="1" s="1"/>
  <c r="UW167" i="1"/>
  <c r="UX167" i="1" s="1"/>
  <c r="OQ127" i="1"/>
  <c r="OR127" i="1" s="1"/>
  <c r="UE136" i="1"/>
  <c r="UW143" i="1"/>
  <c r="UX143" i="1" s="1"/>
  <c r="SU139" i="1"/>
  <c r="SV139" i="1" s="1"/>
  <c r="KM136" i="1"/>
  <c r="KN136" i="1" s="1"/>
  <c r="AC139" i="1"/>
  <c r="AD139" i="1" s="1"/>
  <c r="SC136" i="1"/>
  <c r="SD136" i="1" s="1"/>
  <c r="RK167" i="1"/>
  <c r="RL167" i="1" s="1"/>
  <c r="CW159" i="1"/>
  <c r="CX159" i="1" s="1"/>
  <c r="MO140" i="1"/>
  <c r="SC111" i="1"/>
  <c r="SD111" i="1" s="1"/>
  <c r="SC161" i="1"/>
  <c r="KM168" i="1"/>
  <c r="JC150" i="1"/>
  <c r="JD150" i="1" s="1"/>
  <c r="CE136" i="1"/>
  <c r="CF136" i="1" s="1"/>
  <c r="TM161" i="1"/>
  <c r="TN161" i="1" s="1"/>
  <c r="NY142" i="1"/>
  <c r="NZ142" i="1" s="1"/>
  <c r="JC142" i="1"/>
  <c r="JD142" i="1" s="1"/>
  <c r="QA159" i="1"/>
  <c r="RK142" i="1"/>
  <c r="RL142" i="1" s="1"/>
  <c r="EG159" i="1"/>
  <c r="EH159" i="1" s="1"/>
  <c r="UE152" i="1"/>
  <c r="JC168" i="1"/>
  <c r="JD168" i="1" s="1"/>
  <c r="HS135" i="1"/>
  <c r="HT135" i="1" s="1"/>
  <c r="RK128" i="1"/>
  <c r="RL128" i="1" s="1"/>
  <c r="TM150" i="1"/>
  <c r="TN150" i="1" s="1"/>
  <c r="NY137" i="1"/>
  <c r="NZ137" i="1" s="1"/>
  <c r="AU136" i="1"/>
  <c r="AV136" i="1" s="1"/>
  <c r="QS168" i="1"/>
  <c r="QT168" i="1" s="1"/>
  <c r="LW110" i="1"/>
  <c r="LW141" i="1"/>
  <c r="LX141" i="1" s="1"/>
  <c r="AU151" i="1"/>
  <c r="AV151" i="1" s="1"/>
  <c r="SU151" i="1"/>
  <c r="SV151" i="1" s="1"/>
  <c r="QA143" i="1"/>
  <c r="QB143" i="1" s="1"/>
  <c r="QS136" i="1"/>
  <c r="QT136" i="1" s="1"/>
  <c r="IK140" i="1"/>
  <c r="IL140" i="1" s="1"/>
  <c r="HA170" i="1"/>
  <c r="HB170" i="1" s="1"/>
  <c r="SU143" i="1"/>
  <c r="SV143" i="1" s="1"/>
  <c r="QS170" i="1"/>
  <c r="K149" i="1"/>
  <c r="L149" i="1" s="1"/>
  <c r="JU128" i="1"/>
  <c r="JV128" i="1" s="1"/>
  <c r="PI110" i="1"/>
  <c r="PJ110" i="1" s="1"/>
  <c r="LE170" i="1"/>
  <c r="LF170" i="1" s="1"/>
  <c r="PI161" i="1"/>
  <c r="PJ161" i="1" s="1"/>
  <c r="UE150" i="1"/>
  <c r="UF150" i="1" s="1"/>
  <c r="AU139" i="1"/>
  <c r="AV139" i="1" s="1"/>
  <c r="QS161" i="1"/>
  <c r="LW160" i="1"/>
  <c r="LX160" i="1" s="1"/>
  <c r="CW169" i="1"/>
  <c r="CX169" i="1" s="1"/>
  <c r="QS120" i="1"/>
  <c r="QT120" i="1" s="1"/>
  <c r="HA139" i="1"/>
  <c r="HB139" i="1" s="1"/>
  <c r="HS136" i="1"/>
  <c r="HT136" i="1" s="1"/>
  <c r="IK139" i="1"/>
  <c r="IL139" i="1" s="1"/>
  <c r="IK141" i="1"/>
  <c r="IL141" i="1" s="1"/>
  <c r="QA137" i="1"/>
  <c r="EY136" i="1"/>
  <c r="EZ136" i="1" s="1"/>
  <c r="TM136" i="1"/>
  <c r="TN136" i="1" s="1"/>
  <c r="JU139" i="1"/>
  <c r="UE161" i="1"/>
  <c r="UF161" i="1" s="1"/>
  <c r="IK149" i="1"/>
  <c r="IL149" i="1" s="1"/>
  <c r="UW111" i="1"/>
  <c r="UX111" i="1" s="1"/>
  <c r="RK143" i="1"/>
  <c r="OQ168" i="1"/>
  <c r="OR168" i="1" s="1"/>
  <c r="KM138" i="1"/>
  <c r="TM152" i="1"/>
  <c r="TN152" i="1" s="1"/>
  <c r="OQ170" i="1"/>
  <c r="OR170" i="1" s="1"/>
  <c r="AU141" i="1"/>
  <c r="RK136" i="1"/>
  <c r="RL136" i="1" s="1"/>
  <c r="FQ136" i="1"/>
  <c r="RK110" i="1"/>
  <c r="RL110" i="1" s="1"/>
  <c r="DO169" i="1"/>
  <c r="DP169" i="1" s="1"/>
  <c r="TM149" i="1"/>
  <c r="TN149" i="1" s="1"/>
  <c r="FQ168" i="1"/>
  <c r="FR168" i="1" s="1"/>
  <c r="NG129" i="1"/>
  <c r="NH129" i="1" s="1"/>
  <c r="PI109" i="1"/>
  <c r="PJ109" i="1" s="1"/>
  <c r="GI170" i="1"/>
  <c r="GJ170" i="1" s="1"/>
  <c r="TM117" i="1"/>
  <c r="TN117" i="1" s="1"/>
  <c r="SU119" i="1"/>
  <c r="SV119" i="1" s="1"/>
  <c r="QA128" i="1"/>
  <c r="QB128" i="1" s="1"/>
  <c r="OQ117" i="1"/>
  <c r="OR117" i="1" s="1"/>
  <c r="NY120" i="1"/>
  <c r="NZ120" i="1" s="1"/>
  <c r="EG117" i="1"/>
  <c r="EH117" i="1" s="1"/>
  <c r="UW118" i="1"/>
  <c r="UX118" i="1" s="1"/>
  <c r="PI119" i="1"/>
  <c r="PJ119" i="1" s="1"/>
  <c r="PI120" i="1"/>
  <c r="PJ120" i="1" s="1"/>
  <c r="SC143" i="1"/>
  <c r="HA169" i="1"/>
  <c r="HB169" i="1" s="1"/>
  <c r="SU120" i="1"/>
  <c r="SV120" i="1" s="1"/>
  <c r="LE141" i="1"/>
  <c r="SU161" i="1"/>
  <c r="SV161" i="1" s="1"/>
  <c r="PI169" i="1"/>
  <c r="PJ169" i="1" s="1"/>
  <c r="K142" i="1"/>
  <c r="L142" i="1" s="1"/>
  <c r="UW140" i="1"/>
  <c r="UX140" i="1" s="1"/>
  <c r="LW139" i="1"/>
  <c r="LX139" i="1" s="1"/>
  <c r="PI111" i="1"/>
  <c r="PJ111" i="1" s="1"/>
  <c r="UW128" i="1"/>
  <c r="UX128" i="1" s="1"/>
  <c r="SU169" i="1"/>
  <c r="SV169" i="1" s="1"/>
  <c r="NY167" i="1"/>
  <c r="NZ167" i="1" s="1"/>
  <c r="UE108" i="1"/>
  <c r="UF108" i="1" s="1"/>
  <c r="QA111" i="1"/>
  <c r="QB111" i="1" s="1"/>
  <c r="JU143" i="1"/>
  <c r="JV143" i="1" s="1"/>
  <c r="IK135" i="1"/>
  <c r="IL135" i="1" s="1"/>
  <c r="EY167" i="1"/>
  <c r="EZ167" i="1" s="1"/>
  <c r="NG159" i="1"/>
  <c r="NH159" i="1" s="1"/>
  <c r="UE140" i="1"/>
  <c r="UF140" i="1" s="1"/>
  <c r="PI139" i="1"/>
  <c r="PJ139" i="1" s="1"/>
  <c r="K127" i="1"/>
  <c r="L127" i="1" s="1"/>
  <c r="OQ120" i="1"/>
  <c r="OR120" i="1" s="1"/>
  <c r="QA118" i="1"/>
  <c r="QB118" i="1" s="1"/>
  <c r="GI126" i="1"/>
  <c r="GJ126" i="1" s="1"/>
  <c r="UW127" i="1"/>
  <c r="UX127" i="1" s="1"/>
  <c r="HS137" i="1"/>
  <c r="HT137" i="1" s="1"/>
  <c r="PI140" i="1"/>
  <c r="PJ140" i="1" s="1"/>
  <c r="SC138" i="1"/>
  <c r="SD138" i="1" s="1"/>
  <c r="PI152" i="1"/>
  <c r="PJ152" i="1" s="1"/>
  <c r="NG140" i="1"/>
  <c r="NH140" i="1" s="1"/>
  <c r="UE160" i="1"/>
  <c r="QA135" i="1"/>
  <c r="QB135" i="1" s="1"/>
  <c r="KM149" i="1"/>
  <c r="MO168" i="1"/>
  <c r="MP168" i="1" s="1"/>
  <c r="NY151" i="1"/>
  <c r="NZ151" i="1" s="1"/>
  <c r="HA150" i="1"/>
  <c r="HB150" i="1" s="1"/>
  <c r="PI117" i="1"/>
  <c r="PJ117" i="1" s="1"/>
  <c r="NG137" i="1"/>
  <c r="NH137" i="1" s="1"/>
  <c r="SC127" i="1"/>
  <c r="SD127" i="1" s="1"/>
  <c r="JC159" i="1"/>
  <c r="JD159" i="1" s="1"/>
  <c r="JC158" i="1"/>
  <c r="JD158" i="1" s="1"/>
  <c r="TM167" i="1"/>
  <c r="TN167" i="1" s="1"/>
  <c r="HS170" i="1"/>
  <c r="PI159" i="1"/>
  <c r="PJ159" i="1" s="1"/>
  <c r="MO118" i="1"/>
  <c r="MP118" i="1" s="1"/>
  <c r="NG118" i="1"/>
  <c r="GI140" i="1"/>
  <c r="GJ140" i="1" s="1"/>
  <c r="NG109" i="1"/>
  <c r="JU141" i="1"/>
  <c r="JV141" i="1" s="1"/>
  <c r="JC136" i="1"/>
  <c r="GI136" i="1"/>
  <c r="PI137" i="1"/>
  <c r="PJ137" i="1" s="1"/>
  <c r="BM138" i="1"/>
  <c r="BN138" i="1" s="1"/>
  <c r="PI142" i="1"/>
  <c r="PJ142" i="1" s="1"/>
  <c r="CE140" i="1"/>
  <c r="CF140" i="1" s="1"/>
  <c r="IK117" i="1"/>
  <c r="IL117" i="1" s="1"/>
  <c r="BM142" i="1"/>
  <c r="BN142" i="1" s="1"/>
  <c r="TM140" i="1"/>
  <c r="TN140" i="1" s="1"/>
  <c r="NY168" i="1"/>
  <c r="NZ168" i="1" s="1"/>
  <c r="LW137" i="1"/>
  <c r="IK111" i="1"/>
  <c r="QS119" i="1"/>
  <c r="QT119" i="1" s="1"/>
  <c r="QS117" i="1"/>
  <c r="OQ160" i="1"/>
  <c r="NG110" i="1"/>
  <c r="NH110" i="1" s="1"/>
  <c r="AU158" i="1"/>
  <c r="CW170" i="1"/>
  <c r="CX170" i="1" s="1"/>
  <c r="PI170" i="1"/>
  <c r="PJ170" i="1" s="1"/>
  <c r="AC127" i="1"/>
  <c r="JU108" i="1"/>
  <c r="JV108" i="1" s="1"/>
  <c r="SU159" i="1"/>
  <c r="SV159" i="1" s="1"/>
  <c r="RK117" i="1"/>
  <c r="AU118" i="1"/>
  <c r="BM140" i="1"/>
  <c r="BN140" i="1" s="1"/>
  <c r="AC142" i="1"/>
  <c r="AD142" i="1" s="1"/>
  <c r="NY108" i="1"/>
  <c r="NZ108" i="1" s="1"/>
  <c r="JC141" i="1"/>
  <c r="JD141" i="1" s="1"/>
  <c r="GI138" i="1"/>
  <c r="RK140" i="1"/>
  <c r="RL140" i="1" s="1"/>
  <c r="IK127" i="1"/>
  <c r="IL127" i="1" s="1"/>
  <c r="BM129" i="1"/>
  <c r="BN129" i="1" s="1"/>
  <c r="JC138" i="1"/>
  <c r="JD138" i="1" s="1"/>
  <c r="UW160" i="1"/>
  <c r="UX160" i="1" s="1"/>
  <c r="NY161" i="1"/>
  <c r="NZ161" i="1" s="1"/>
  <c r="HS169" i="1"/>
  <c r="HT169" i="1" s="1"/>
  <c r="FQ170" i="1"/>
  <c r="FR170" i="1" s="1"/>
  <c r="GI152" i="1"/>
  <c r="GJ152" i="1" s="1"/>
  <c r="EY118" i="1"/>
  <c r="EZ118" i="1" s="1"/>
  <c r="QS110" i="1"/>
  <c r="QT110" i="1" s="1"/>
  <c r="KM126" i="1"/>
  <c r="KN126" i="1" s="1"/>
  <c r="AU149" i="1"/>
  <c r="HA135" i="1"/>
  <c r="HB135" i="1" s="1"/>
  <c r="GI110" i="1"/>
  <c r="EY128" i="1"/>
  <c r="EZ128" i="1" s="1"/>
  <c r="BM111" i="1"/>
  <c r="BN111" i="1" s="1"/>
  <c r="TM108" i="1"/>
  <c r="TN108" i="1" s="1"/>
  <c r="QS140" i="1"/>
  <c r="KM109" i="1"/>
  <c r="OQ167" i="1"/>
  <c r="OR167" i="1" s="1"/>
  <c r="HA140" i="1"/>
  <c r="HB140" i="1" s="1"/>
  <c r="TM143" i="1"/>
  <c r="TN143" i="1" s="1"/>
  <c r="LW168" i="1"/>
  <c r="LX168" i="1" s="1"/>
  <c r="RK161" i="1"/>
  <c r="RL161" i="1" s="1"/>
  <c r="MO159" i="1"/>
  <c r="MP159" i="1" s="1"/>
  <c r="LW118" i="1"/>
  <c r="LX118" i="1" s="1"/>
  <c r="HS129" i="1"/>
  <c r="NG160" i="1"/>
  <c r="NH160" i="1" s="1"/>
  <c r="RK109" i="1"/>
  <c r="UE139" i="1"/>
  <c r="UF139" i="1" s="1"/>
  <c r="CE142" i="1"/>
  <c r="CF142" i="1" s="1"/>
  <c r="SU108" i="1"/>
  <c r="SV108" i="1" s="1"/>
  <c r="RK120" i="1"/>
  <c r="RL120" i="1" s="1"/>
  <c r="QS126" i="1"/>
  <c r="QT126" i="1" s="1"/>
  <c r="TM137" i="1"/>
  <c r="TN137" i="1" s="1"/>
  <c r="TM138" i="1"/>
  <c r="TN138" i="1" s="1"/>
  <c r="SC152" i="1"/>
  <c r="SD152" i="1" s="1"/>
  <c r="GI142" i="1"/>
  <c r="GJ142" i="1" s="1"/>
  <c r="NY141" i="1"/>
  <c r="NZ141" i="1" s="1"/>
  <c r="SC151" i="1"/>
  <c r="SU158" i="1"/>
  <c r="SV158" i="1" s="1"/>
  <c r="CW149" i="1"/>
  <c r="CX149" i="1" s="1"/>
  <c r="DO158" i="1"/>
  <c r="UE126" i="1"/>
  <c r="UF126" i="1" s="1"/>
  <c r="UW170" i="1"/>
  <c r="UX170" i="1" s="1"/>
  <c r="OQ135" i="1"/>
  <c r="OR135" i="1" s="1"/>
  <c r="LE158" i="1"/>
  <c r="RK160" i="1"/>
  <c r="RL160" i="1" s="1"/>
  <c r="UW135" i="1"/>
  <c r="UX135" i="1" s="1"/>
  <c r="LW150" i="1"/>
  <c r="LX150" i="1" s="1"/>
  <c r="JU140" i="1"/>
  <c r="JV140" i="1" s="1"/>
  <c r="QS151" i="1"/>
  <c r="QT151" i="1" s="1"/>
  <c r="RK159" i="1"/>
  <c r="RL159" i="1" s="1"/>
  <c r="GI158" i="1"/>
  <c r="OQ139" i="1"/>
  <c r="OR139" i="1" s="1"/>
  <c r="PI168" i="1"/>
  <c r="PJ168" i="1" s="1"/>
  <c r="TM109" i="1"/>
  <c r="TN109" i="1" s="1"/>
  <c r="AC170" i="1"/>
  <c r="AD170" i="1" s="1"/>
  <c r="UW141" i="1"/>
  <c r="UX141" i="1" s="1"/>
  <c r="QA136" i="1"/>
  <c r="QB136" i="1" s="1"/>
  <c r="SU149" i="1"/>
  <c r="SV149" i="1" s="1"/>
  <c r="HS152" i="1"/>
  <c r="HT152" i="1" s="1"/>
  <c r="UE128" i="1"/>
  <c r="UF128" i="1" s="1"/>
  <c r="CE169" i="1"/>
  <c r="CF169" i="1" s="1"/>
  <c r="QS111" i="1"/>
  <c r="QT111" i="1" s="1"/>
  <c r="QA167" i="1"/>
  <c r="QB167" i="1" s="1"/>
  <c r="JC151" i="1"/>
  <c r="JD151" i="1" s="1"/>
  <c r="AU111" i="1"/>
  <c r="AV111" i="1" s="1"/>
  <c r="JU126" i="1"/>
  <c r="JV126" i="1" s="1"/>
  <c r="GI127" i="1"/>
  <c r="GJ127" i="1" s="1"/>
  <c r="UE149" i="1"/>
  <c r="UF149" i="1" s="1"/>
  <c r="NY126" i="1"/>
  <c r="NZ126" i="1" s="1"/>
  <c r="BM141" i="1"/>
  <c r="BN141" i="1" s="1"/>
  <c r="AU138" i="1"/>
  <c r="AV138" i="1" s="1"/>
  <c r="GI137" i="1"/>
  <c r="GJ137" i="1" s="1"/>
  <c r="JC111" i="1"/>
  <c r="JD111" i="1" s="1"/>
  <c r="LW161" i="1"/>
  <c r="MO137" i="1"/>
  <c r="GI167" i="1"/>
  <c r="GJ167" i="1" s="1"/>
  <c r="AU143" i="1"/>
  <c r="K111" i="1"/>
  <c r="L111" i="1" s="1"/>
  <c r="OQ129" i="1"/>
  <c r="OR129" i="1" s="1"/>
  <c r="K140" i="1"/>
  <c r="L140" i="1" s="1"/>
  <c r="KM151" i="1"/>
  <c r="KN151" i="1" s="1"/>
  <c r="EG139" i="1"/>
  <c r="HS138" i="1"/>
  <c r="MO160" i="1"/>
  <c r="MP160" i="1" s="1"/>
  <c r="AC126" i="1"/>
  <c r="DO120" i="1"/>
  <c r="DP120" i="1" s="1"/>
  <c r="PI118" i="1"/>
  <c r="PJ118" i="1" s="1"/>
  <c r="LW120" i="1"/>
  <c r="LX120" i="1" s="1"/>
  <c r="CE118" i="1"/>
  <c r="CF118" i="1" s="1"/>
  <c r="UE119" i="1"/>
  <c r="JU118" i="1"/>
  <c r="DO150" i="1"/>
  <c r="LW128" i="1"/>
  <c r="LX128" i="1" s="1"/>
  <c r="CE149" i="1"/>
  <c r="CF149" i="1" s="1"/>
  <c r="CW111" i="1"/>
  <c r="CX111" i="1" s="1"/>
  <c r="CE143" i="1"/>
  <c r="CF143" i="1" s="1"/>
  <c r="NG108" i="1"/>
  <c r="PI136" i="1"/>
  <c r="PJ136" i="1" s="1"/>
  <c r="NY140" i="1"/>
  <c r="NZ140" i="1" s="1"/>
  <c r="QS129" i="1"/>
  <c r="QT129" i="1" s="1"/>
  <c r="TM168" i="1"/>
  <c r="TN168" i="1" s="1"/>
  <c r="CE135" i="1"/>
  <c r="CF135" i="1" s="1"/>
  <c r="SU128" i="1"/>
  <c r="SV128" i="1" s="1"/>
  <c r="UW159" i="1"/>
  <c r="UX159" i="1" s="1"/>
  <c r="EG149" i="1"/>
  <c r="EH149" i="1" s="1"/>
  <c r="QS127" i="1"/>
  <c r="HS161" i="1"/>
  <c r="HT161" i="1" s="1"/>
  <c r="JC137" i="1"/>
  <c r="JD137" i="1" s="1"/>
  <c r="AU126" i="1"/>
  <c r="AV126" i="1" s="1"/>
  <c r="AC168" i="1"/>
  <c r="AD168" i="1" s="1"/>
  <c r="AU108" i="1"/>
  <c r="AV108" i="1" s="1"/>
  <c r="KM135" i="1"/>
  <c r="KN135" i="1" s="1"/>
  <c r="UE135" i="1"/>
  <c r="UF135" i="1" s="1"/>
  <c r="SU167" i="1"/>
  <c r="SV167" i="1" s="1"/>
  <c r="FQ142" i="1"/>
  <c r="RK141" i="1"/>
  <c r="RL141" i="1" s="1"/>
  <c r="HA129" i="1"/>
  <c r="HB129" i="1" s="1"/>
  <c r="LW149" i="1"/>
  <c r="LX149" i="1" s="1"/>
  <c r="UE117" i="1"/>
  <c r="UF117" i="1" s="1"/>
  <c r="GI118" i="1"/>
  <c r="GJ118" i="1" s="1"/>
  <c r="QA117" i="1"/>
  <c r="QB117" i="1" s="1"/>
  <c r="QS118" i="1"/>
  <c r="QT118" i="1" s="1"/>
  <c r="HA117" i="1"/>
  <c r="HB117" i="1" s="1"/>
  <c r="EG161" i="1"/>
  <c r="EH161" i="1" s="1"/>
  <c r="DO127" i="1"/>
  <c r="DP127" i="1" s="1"/>
  <c r="BM109" i="1"/>
  <c r="BN109" i="1" s="1"/>
  <c r="RK168" i="1"/>
  <c r="RL168" i="1" s="1"/>
  <c r="HA167" i="1"/>
  <c r="EG128" i="1"/>
  <c r="EH128" i="1" s="1"/>
  <c r="KM143" i="1"/>
  <c r="KN143" i="1" s="1"/>
  <c r="UE142" i="1"/>
  <c r="UF142" i="1" s="1"/>
  <c r="AU137" i="1"/>
  <c r="AV137" i="1" s="1"/>
  <c r="AC140" i="1"/>
  <c r="AD140" i="1" s="1"/>
  <c r="MO135" i="1"/>
  <c r="SU142" i="1"/>
  <c r="SV142" i="1" s="1"/>
  <c r="CE128" i="1"/>
  <c r="CF128" i="1" s="1"/>
  <c r="GI149" i="1"/>
  <c r="GJ149" i="1" s="1"/>
  <c r="LE152" i="1"/>
  <c r="LF152" i="1" s="1"/>
  <c r="SC109" i="1"/>
  <c r="SD109" i="1" s="1"/>
  <c r="MO142" i="1"/>
  <c r="MP142" i="1" s="1"/>
  <c r="HA158" i="1"/>
  <c r="BM110" i="1"/>
  <c r="BN110" i="1" s="1"/>
  <c r="IK126" i="1"/>
  <c r="NG142" i="1"/>
  <c r="NH142" i="1" s="1"/>
  <c r="AU168" i="1"/>
  <c r="AV168" i="1" s="1"/>
  <c r="K118" i="1"/>
  <c r="L118" i="1" s="1"/>
  <c r="HA118" i="1"/>
  <c r="HB118" i="1" s="1"/>
  <c r="NG158" i="1"/>
  <c r="NH158" i="1" s="1"/>
  <c r="IK158" i="1"/>
  <c r="IL158" i="1" s="1"/>
  <c r="CW161" i="1"/>
  <c r="CX161" i="1" s="1"/>
  <c r="NY159" i="1"/>
  <c r="NZ159" i="1" s="1"/>
  <c r="LW159" i="1"/>
  <c r="LX159" i="1" s="1"/>
  <c r="IK169" i="1"/>
  <c r="IL169" i="1" s="1"/>
  <c r="QS169" i="1"/>
  <c r="LE139" i="1"/>
  <c r="LF139" i="1" s="1"/>
  <c r="HA137" i="1"/>
  <c r="HB137" i="1" s="1"/>
  <c r="CW137" i="1"/>
  <c r="CX137" i="1" s="1"/>
  <c r="AC135" i="1"/>
  <c r="AD135" i="1" s="1"/>
  <c r="CE109" i="1"/>
  <c r="CF109" i="1" s="1"/>
  <c r="NG128" i="1"/>
  <c r="NH128" i="1" s="1"/>
  <c r="EG118" i="1"/>
  <c r="EH118" i="1" s="1"/>
  <c r="UW120" i="1"/>
  <c r="UX120" i="1" s="1"/>
  <c r="FQ117" i="1"/>
  <c r="AC117" i="1"/>
  <c r="AD117" i="1" s="1"/>
  <c r="BM119" i="1"/>
  <c r="BN119" i="1" s="1"/>
  <c r="K168" i="1"/>
  <c r="L168" i="1" s="1"/>
  <c r="SU127" i="1"/>
  <c r="SV127" i="1" s="1"/>
  <c r="MO150" i="1"/>
  <c r="MP150" i="1" s="1"/>
  <c r="IK167" i="1"/>
  <c r="IL167" i="1" s="1"/>
  <c r="NY127" i="1"/>
  <c r="NZ127" i="1" s="1"/>
  <c r="IK129" i="1"/>
  <c r="IL129" i="1" s="1"/>
  <c r="NY149" i="1"/>
  <c r="NZ149" i="1" s="1"/>
  <c r="CE139" i="1"/>
  <c r="CF139" i="1" s="1"/>
  <c r="TM126" i="1"/>
  <c r="TN126" i="1" s="1"/>
  <c r="AU142" i="1"/>
  <c r="AV142" i="1" s="1"/>
  <c r="K110" i="1"/>
  <c r="L110" i="1" s="1"/>
  <c r="AC160" i="1"/>
  <c r="AD160" i="1" s="1"/>
  <c r="JC109" i="1"/>
  <c r="JD109" i="1" s="1"/>
  <c r="NY160" i="1"/>
  <c r="NZ160" i="1" s="1"/>
  <c r="NG169" i="1"/>
  <c r="NH169" i="1" s="1"/>
  <c r="CE111" i="1"/>
  <c r="CF111" i="1" s="1"/>
  <c r="GI139" i="1"/>
  <c r="GJ139" i="1" s="1"/>
  <c r="TM142" i="1"/>
  <c r="TN142" i="1" s="1"/>
  <c r="GI169" i="1"/>
  <c r="GJ169" i="1" s="1"/>
  <c r="PI141" i="1"/>
  <c r="PJ141" i="1" s="1"/>
  <c r="LE167" i="1"/>
  <c r="LF167" i="1" s="1"/>
  <c r="RK129" i="1"/>
  <c r="RL129" i="1" s="1"/>
  <c r="MO127" i="1"/>
  <c r="MP127" i="1" s="1"/>
  <c r="GI160" i="1"/>
  <c r="GJ160" i="1" s="1"/>
  <c r="HS108" i="1"/>
  <c r="HT108" i="1" s="1"/>
  <c r="JU152" i="1"/>
  <c r="JV152" i="1" s="1"/>
  <c r="DO140" i="1"/>
  <c r="DP140" i="1" s="1"/>
  <c r="NY143" i="1"/>
  <c r="NZ143" i="1" s="1"/>
  <c r="QA139" i="1"/>
  <c r="QB139" i="1" s="1"/>
  <c r="RK139" i="1"/>
  <c r="RL139" i="1" s="1"/>
  <c r="AC136" i="1"/>
  <c r="AD136" i="1" s="1"/>
  <c r="PI149" i="1"/>
  <c r="PJ149" i="1" s="1"/>
  <c r="SU129" i="1"/>
  <c r="SV129" i="1" s="1"/>
  <c r="NY129" i="1"/>
  <c r="NZ129" i="1" s="1"/>
  <c r="HS120" i="1"/>
  <c r="HT120" i="1" s="1"/>
  <c r="GI119" i="1"/>
  <c r="GJ119" i="1" s="1"/>
  <c r="KM118" i="1"/>
  <c r="KN118" i="1" s="1"/>
  <c r="AC120" i="1"/>
  <c r="AD120" i="1" s="1"/>
  <c r="DO118" i="1"/>
  <c r="DP118" i="1" s="1"/>
  <c r="CE117" i="1"/>
  <c r="CF117" i="1" s="1"/>
  <c r="FQ169" i="1"/>
  <c r="FR169" i="1" s="1"/>
  <c r="EY129" i="1"/>
  <c r="EZ129" i="1" s="1"/>
  <c r="QS149" i="1"/>
  <c r="QT149" i="1" s="1"/>
  <c r="QS159" i="1"/>
  <c r="QT159" i="1" s="1"/>
  <c r="NG149" i="1"/>
  <c r="NH149" i="1" s="1"/>
  <c r="UW137" i="1"/>
  <c r="UX137" i="1" s="1"/>
  <c r="NG139" i="1"/>
  <c r="NH139" i="1" s="1"/>
  <c r="EY139" i="1"/>
  <c r="EZ139" i="1" s="1"/>
  <c r="HS128" i="1"/>
  <c r="HT128" i="1" s="1"/>
  <c r="SC170" i="1"/>
  <c r="SD170" i="1" s="1"/>
  <c r="EG129" i="1"/>
  <c r="SC150" i="1"/>
  <c r="SD150" i="1" s="1"/>
  <c r="EY135" i="1"/>
  <c r="EZ135" i="1" s="1"/>
  <c r="NG138" i="1"/>
  <c r="NH138" i="1" s="1"/>
  <c r="SU109" i="1"/>
  <c r="SV109" i="1" s="1"/>
  <c r="AC108" i="1"/>
  <c r="AD108" i="1" s="1"/>
  <c r="PI150" i="1"/>
  <c r="PJ150" i="1" s="1"/>
  <c r="DO161" i="1"/>
  <c r="DP161" i="1" s="1"/>
  <c r="LW152" i="1"/>
  <c r="LX152" i="1" s="1"/>
  <c r="FQ141" i="1"/>
  <c r="FR141" i="1" s="1"/>
  <c r="AC149" i="1"/>
  <c r="AD149" i="1" s="1"/>
  <c r="AU119" i="1"/>
  <c r="AV119" i="1" s="1"/>
  <c r="HS119" i="1"/>
  <c r="HT119" i="1" s="1"/>
  <c r="AC118" i="1"/>
  <c r="AD118" i="1" s="1"/>
  <c r="JC120" i="1"/>
  <c r="NG119" i="1"/>
  <c r="FQ159" i="1"/>
  <c r="FR159" i="1" s="1"/>
  <c r="CW126" i="1"/>
  <c r="CX126" i="1" s="1"/>
  <c r="HA168" i="1"/>
  <c r="DO151" i="1"/>
  <c r="DP151" i="1" s="1"/>
  <c r="HS149" i="1"/>
  <c r="HT149" i="1" s="1"/>
  <c r="JC127" i="1"/>
  <c r="JD127" i="1" s="1"/>
  <c r="KM161" i="1"/>
  <c r="HA141" i="1"/>
  <c r="HB141" i="1" s="1"/>
  <c r="NY111" i="1"/>
  <c r="NZ111" i="1" s="1"/>
  <c r="QS137" i="1"/>
  <c r="QT137" i="1" s="1"/>
  <c r="UE118" i="1"/>
  <c r="UF118" i="1" s="1"/>
  <c r="SC119" i="1"/>
  <c r="HA110" i="1"/>
  <c r="DO149" i="1"/>
  <c r="DP149" i="1" s="1"/>
  <c r="CE168" i="1"/>
  <c r="CF168" i="1" s="1"/>
  <c r="GI108" i="1"/>
  <c r="GJ108" i="1" s="1"/>
  <c r="FQ129" i="1"/>
  <c r="LW108" i="1"/>
  <c r="K109" i="1"/>
  <c r="JC152" i="1"/>
  <c r="SC149" i="1"/>
  <c r="TM159" i="1"/>
  <c r="TN159" i="1" s="1"/>
  <c r="JU169" i="1"/>
  <c r="HA160" i="1"/>
  <c r="TM160" i="1"/>
  <c r="TN160" i="1" s="1"/>
  <c r="AC167" i="1"/>
  <c r="IK128" i="1"/>
  <c r="SU152" i="1"/>
  <c r="SV152" i="1" s="1"/>
  <c r="KM111" i="1"/>
  <c r="KN111" i="1" s="1"/>
  <c r="UE170" i="1"/>
  <c r="JC160" i="1"/>
  <c r="JD160" i="1" s="1"/>
  <c r="QA142" i="1"/>
  <c r="CW139" i="1"/>
  <c r="CX139" i="1" s="1"/>
  <c r="HA136" i="1"/>
  <c r="BM137" i="1"/>
  <c r="BN137" i="1" s="1"/>
  <c r="NY136" i="1"/>
  <c r="NZ136" i="1" s="1"/>
  <c r="EG111" i="1"/>
  <c r="CE127" i="1"/>
  <c r="CF127" i="1" s="1"/>
  <c r="QA151" i="1"/>
  <c r="EG108" i="1"/>
  <c r="EH108" i="1" s="1"/>
  <c r="AU150" i="1"/>
  <c r="AV150" i="1" s="1"/>
  <c r="JU161" i="1"/>
  <c r="JV161" i="1" s="1"/>
  <c r="CW119" i="1"/>
  <c r="CX119" i="1" s="1"/>
  <c r="TM118" i="1"/>
  <c r="TN118" i="1" s="1"/>
  <c r="AU161" i="1"/>
  <c r="AV161" i="1" s="1"/>
  <c r="K129" i="1"/>
  <c r="L129" i="1" s="1"/>
  <c r="EY170" i="1"/>
  <c r="EZ170" i="1" s="1"/>
  <c r="LW143" i="1"/>
  <c r="LX143" i="1" s="1"/>
  <c r="HS159" i="1"/>
  <c r="HT159" i="1" s="1"/>
  <c r="CE167" i="1"/>
  <c r="CF167" i="1" s="1"/>
  <c r="RK135" i="1"/>
  <c r="RK138" i="1"/>
  <c r="LE136" i="1"/>
  <c r="LF136" i="1" s="1"/>
  <c r="GI120" i="1"/>
  <c r="CW128" i="1"/>
  <c r="CX128" i="1" s="1"/>
  <c r="EY168" i="1"/>
  <c r="EZ168" i="1" s="1"/>
  <c r="OQ128" i="1"/>
  <c r="FQ135" i="1"/>
  <c r="DO167" i="1"/>
  <c r="DP167" i="1" s="1"/>
  <c r="EY160" i="1"/>
  <c r="EZ160" i="1" s="1"/>
  <c r="HS126" i="1"/>
  <c r="HT126" i="1" s="1"/>
  <c r="EY149" i="1"/>
  <c r="EZ149" i="1" s="1"/>
  <c r="QS128" i="1"/>
  <c r="LE127" i="1"/>
  <c r="CE129" i="1"/>
  <c r="CF129" i="1" s="1"/>
  <c r="EY150" i="1"/>
  <c r="EZ150" i="1" s="1"/>
  <c r="IK110" i="1"/>
  <c r="LW167" i="1"/>
  <c r="IK150" i="1"/>
  <c r="IL150" i="1" s="1"/>
  <c r="KM141" i="1"/>
  <c r="KN141" i="1" s="1"/>
  <c r="HS150" i="1"/>
  <c r="JU137" i="1"/>
  <c r="JV137" i="1" s="1"/>
  <c r="EG141" i="1"/>
  <c r="EH141" i="1" s="1"/>
  <c r="CW138" i="1"/>
  <c r="CX138" i="1" s="1"/>
  <c r="UW138" i="1"/>
  <c r="UX138" i="1" s="1"/>
  <c r="BM127" i="1"/>
  <c r="BN127" i="1" s="1"/>
  <c r="JC161" i="1"/>
  <c r="JD161" i="1" s="1"/>
  <c r="AC137" i="1"/>
  <c r="AD137" i="1" s="1"/>
  <c r="EY111" i="1"/>
  <c r="EZ111" i="1" s="1"/>
  <c r="BM152" i="1"/>
  <c r="BN152" i="1" s="1"/>
  <c r="TM169" i="1"/>
  <c r="TN169" i="1" s="1"/>
  <c r="BM149" i="1"/>
  <c r="BN149" i="1" s="1"/>
  <c r="CW127" i="1"/>
  <c r="CX127" i="1" s="1"/>
  <c r="FQ118" i="1"/>
  <c r="FR118" i="1" s="1"/>
  <c r="JC119" i="1"/>
  <c r="JD119" i="1" s="1"/>
  <c r="DO110" i="1"/>
  <c r="DP110" i="1" s="1"/>
  <c r="FQ160" i="1"/>
  <c r="FR160" i="1" s="1"/>
  <c r="BM126" i="1"/>
  <c r="BN126" i="1" s="1"/>
  <c r="UW169" i="1"/>
  <c r="UX169" i="1" s="1"/>
  <c r="AC159" i="1"/>
  <c r="AD159" i="1" s="1"/>
  <c r="TM128" i="1"/>
  <c r="TN128" i="1" s="1"/>
  <c r="SC169" i="1"/>
  <c r="SD169" i="1" s="1"/>
  <c r="QS167" i="1"/>
  <c r="QT167" i="1" s="1"/>
  <c r="GI141" i="1"/>
  <c r="GJ141" i="1" s="1"/>
  <c r="NY139" i="1"/>
  <c r="NZ139" i="1" s="1"/>
  <c r="CE119" i="1"/>
  <c r="CF119" i="1" s="1"/>
  <c r="EG150" i="1"/>
  <c r="IK109" i="1"/>
  <c r="FQ108" i="1"/>
  <c r="FR108" i="1" s="1"/>
  <c r="CE151" i="1"/>
  <c r="CF151" i="1" s="1"/>
  <c r="EG135" i="1"/>
  <c r="EH135" i="1" s="1"/>
  <c r="NY128" i="1"/>
  <c r="NZ128" i="1" s="1"/>
  <c r="PI129" i="1"/>
  <c r="PJ129" i="1" s="1"/>
  <c r="QA170" i="1"/>
  <c r="QB170" i="1" s="1"/>
  <c r="EY108" i="1"/>
  <c r="EZ108" i="1" s="1"/>
  <c r="UW126" i="1"/>
  <c r="UX126" i="1" s="1"/>
  <c r="BM150" i="1"/>
  <c r="BN150" i="1" s="1"/>
  <c r="JU151" i="1"/>
  <c r="JV151" i="1" s="1"/>
  <c r="SU160" i="1"/>
  <c r="SV160" i="1" s="1"/>
  <c r="JC140" i="1"/>
  <c r="JD140" i="1" s="1"/>
  <c r="OQ169" i="1"/>
  <c r="OR169" i="1" s="1"/>
  <c r="TM127" i="1"/>
  <c r="TN127" i="1" s="1"/>
  <c r="RK137" i="1"/>
  <c r="RL137" i="1" s="1"/>
  <c r="UW136" i="1"/>
  <c r="UX136" i="1" s="1"/>
  <c r="HS142" i="1"/>
  <c r="HT142" i="1" s="1"/>
  <c r="MO138" i="1"/>
  <c r="SU170" i="1"/>
  <c r="SV170" i="1" s="1"/>
  <c r="QS135" i="1"/>
  <c r="QT135" i="1" s="1"/>
  <c r="IK136" i="1"/>
  <c r="IL136" i="1" s="1"/>
  <c r="DO128" i="1"/>
  <c r="DP128" i="1" s="1"/>
  <c r="AC150" i="1"/>
  <c r="AD150" i="1" s="1"/>
  <c r="MO126" i="1"/>
  <c r="MP126" i="1" s="1"/>
  <c r="K151" i="1"/>
  <c r="L151" i="1" s="1"/>
  <c r="UE137" i="1"/>
  <c r="UF137" i="1" s="1"/>
  <c r="DO117" i="1"/>
  <c r="DP117" i="1" s="1"/>
  <c r="LE119" i="1"/>
  <c r="LF119" i="1" s="1"/>
  <c r="AC110" i="1"/>
  <c r="AD110" i="1" s="1"/>
  <c r="QA108" i="1"/>
  <c r="QB108" i="1" s="1"/>
  <c r="EY126" i="1"/>
  <c r="EZ126" i="1" s="1"/>
  <c r="MO167" i="1"/>
  <c r="MP167" i="1" s="1"/>
  <c r="HS111" i="1"/>
  <c r="CW110" i="1"/>
  <c r="CX110" i="1" s="1"/>
  <c r="KM167" i="1"/>
  <c r="KN167" i="1" s="1"/>
  <c r="CW160" i="1"/>
  <c r="CX160" i="1" s="1"/>
  <c r="UE143" i="1"/>
  <c r="UF143" i="1" s="1"/>
  <c r="IK160" i="1"/>
  <c r="IL160" i="1" s="1"/>
  <c r="NY138" i="1"/>
  <c r="NZ138" i="1" s="1"/>
  <c r="JU117" i="1"/>
  <c r="JV117" i="1" s="1"/>
  <c r="JU120" i="1"/>
  <c r="JV120" i="1" s="1"/>
  <c r="K126" i="1"/>
  <c r="L126" i="1" s="1"/>
  <c r="GI135" i="1"/>
  <c r="GJ135" i="1" s="1"/>
  <c r="DO129" i="1"/>
  <c r="DP129" i="1" s="1"/>
  <c r="BM160" i="1"/>
  <c r="BN160" i="1" s="1"/>
  <c r="K170" i="1"/>
  <c r="L170" i="1" s="1"/>
  <c r="PI108" i="1"/>
  <c r="PJ108" i="1" s="1"/>
  <c r="MO158" i="1"/>
  <c r="OQ150" i="1"/>
  <c r="OR150" i="1" s="1"/>
  <c r="TM129" i="1"/>
  <c r="TN129" i="1" s="1"/>
  <c r="K152" i="1"/>
  <c r="L152" i="1" s="1"/>
  <c r="RK152" i="1"/>
  <c r="RL152" i="1" s="1"/>
  <c r="K160" i="1"/>
  <c r="L160" i="1" s="1"/>
  <c r="NG168" i="1"/>
  <c r="NH168" i="1" s="1"/>
  <c r="OQ152" i="1"/>
  <c r="OR152" i="1" s="1"/>
  <c r="MO143" i="1"/>
  <c r="UW151" i="1"/>
  <c r="UX151" i="1" s="1"/>
  <c r="OQ143" i="1"/>
  <c r="OR143" i="1" s="1"/>
  <c r="CW142" i="1"/>
  <c r="CX142" i="1" s="1"/>
  <c r="JU142" i="1"/>
  <c r="JV142" i="1" s="1"/>
  <c r="AC138" i="1"/>
  <c r="AD138" i="1" s="1"/>
  <c r="EY138" i="1"/>
  <c r="EZ138" i="1" s="1"/>
  <c r="IK161" i="1"/>
  <c r="IL161" i="1" s="1"/>
  <c r="AC169" i="1"/>
  <c r="AD169" i="1" s="1"/>
  <c r="AU110" i="1"/>
  <c r="AV110" i="1" s="1"/>
  <c r="JU150" i="1"/>
  <c r="JV150" i="1" s="1"/>
  <c r="EG109" i="1"/>
  <c r="HS158" i="1"/>
  <c r="HT158" i="1" s="1"/>
  <c r="DO168" i="1"/>
  <c r="DP168" i="1" s="1"/>
  <c r="SU135" i="1"/>
  <c r="SV135" i="1" s="1"/>
  <c r="JU158" i="1"/>
  <c r="JV158" i="1" s="1"/>
  <c r="UW168" i="1"/>
  <c r="UX168" i="1" s="1"/>
  <c r="SC139" i="1"/>
  <c r="SD139" i="1" s="1"/>
  <c r="SU140" i="1"/>
  <c r="SV140" i="1" s="1"/>
  <c r="MO110" i="1"/>
  <c r="MP110" i="1" s="1"/>
  <c r="SC168" i="1"/>
  <c r="PI127" i="1"/>
  <c r="PJ127" i="1" s="1"/>
  <c r="OQ137" i="1"/>
  <c r="UW129" i="1"/>
  <c r="UX129" i="1" s="1"/>
  <c r="MO169" i="1"/>
  <c r="MP169" i="1" s="1"/>
  <c r="SU168" i="1"/>
  <c r="SV168" i="1" s="1"/>
  <c r="UE127" i="1"/>
  <c r="UF127" i="1" s="1"/>
  <c r="NG152" i="1"/>
  <c r="NH152" i="1" s="1"/>
  <c r="LE135" i="1"/>
  <c r="LF135" i="1" s="1"/>
  <c r="EG138" i="1"/>
  <c r="EH138" i="1" s="1"/>
  <c r="QA161" i="1"/>
  <c r="QB161" i="1" s="1"/>
  <c r="HS109" i="1"/>
  <c r="HT109" i="1" s="1"/>
  <c r="QA129" i="1"/>
  <c r="QB129" i="1" s="1"/>
  <c r="IK137" i="1"/>
  <c r="IL137" i="1" s="1"/>
  <c r="QS160" i="1"/>
  <c r="QT160" i="1" s="1"/>
  <c r="JU168" i="1"/>
  <c r="HS167" i="1"/>
  <c r="HT167" i="1" s="1"/>
  <c r="AU160" i="1"/>
  <c r="AV160" i="1" s="1"/>
  <c r="CE159" i="1"/>
  <c r="CF159" i="1" s="1"/>
  <c r="K167" i="1"/>
  <c r="L167" i="1" s="1"/>
  <c r="GI129" i="1"/>
  <c r="JC108" i="1"/>
  <c r="JD108" i="1" s="1"/>
  <c r="LE160" i="1"/>
  <c r="LF160" i="1" s="1"/>
  <c r="FQ152" i="1"/>
  <c r="FR152" i="1" s="1"/>
  <c r="LE138" i="1"/>
  <c r="LF138" i="1" s="1"/>
  <c r="JC110" i="1"/>
  <c r="JD110" i="1" s="1"/>
  <c r="AC161" i="1"/>
  <c r="AD161" i="1" s="1"/>
  <c r="LE151" i="1"/>
  <c r="LF151" i="1" s="1"/>
  <c r="OQ161" i="1"/>
  <c r="OR161" i="1" s="1"/>
  <c r="SU126" i="1"/>
  <c r="SV126" i="1" s="1"/>
  <c r="UE110" i="1"/>
  <c r="UF110" i="1" s="1"/>
  <c r="KM137" i="1"/>
  <c r="KN137" i="1" s="1"/>
  <c r="HS140" i="1"/>
  <c r="HT140" i="1" s="1"/>
  <c r="NG126" i="1"/>
  <c r="NH126" i="1" s="1"/>
  <c r="HA109" i="1"/>
  <c r="PI160" i="1"/>
  <c r="PJ160" i="1" s="1"/>
  <c r="IK168" i="1"/>
  <c r="IL168" i="1" s="1"/>
  <c r="HA126" i="1"/>
  <c r="HB126" i="1" s="1"/>
  <c r="JC129" i="1"/>
  <c r="JD129" i="1" s="1"/>
  <c r="SC167" i="1"/>
  <c r="SD167" i="1" s="1"/>
  <c r="QA138" i="1"/>
  <c r="JU160" i="1"/>
  <c r="JV160" i="1" s="1"/>
  <c r="NG151" i="1"/>
  <c r="NH151" i="1" s="1"/>
  <c r="DO152" i="1"/>
  <c r="CE161" i="1"/>
  <c r="CF161" i="1" s="1"/>
  <c r="PI135" i="1"/>
  <c r="PJ135" i="1" s="1"/>
  <c r="OQ149" i="1"/>
  <c r="OR149" i="1" s="1"/>
  <c r="MO117" i="1"/>
  <c r="MP117" i="1" s="1"/>
  <c r="QA150" i="1"/>
  <c r="QB150" i="1" s="1"/>
  <c r="JC128" i="1"/>
  <c r="GI111" i="1"/>
  <c r="GJ111" i="1" s="1"/>
  <c r="EY152" i="1"/>
  <c r="EZ152" i="1" s="1"/>
  <c r="EG168" i="1"/>
  <c r="EH168" i="1" s="1"/>
  <c r="HS110" i="1"/>
  <c r="HT110" i="1" s="1"/>
  <c r="LW151" i="1"/>
  <c r="LX151" i="1" s="1"/>
  <c r="UW161" i="1"/>
  <c r="UX161" i="1" s="1"/>
  <c r="EG126" i="1"/>
  <c r="EH126" i="1" s="1"/>
  <c r="LW111" i="1"/>
  <c r="PI138" i="1"/>
  <c r="PJ138" i="1" s="1"/>
  <c r="RK111" i="1"/>
  <c r="RL111" i="1" s="1"/>
  <c r="UE141" i="1"/>
  <c r="UF141" i="1" s="1"/>
  <c r="DO160" i="1"/>
  <c r="DP160" i="1" s="1"/>
  <c r="LE143" i="1"/>
  <c r="LF143" i="1" s="1"/>
  <c r="OQ158" i="1"/>
  <c r="OR158" i="1" s="1"/>
  <c r="EY109" i="1"/>
  <c r="EZ109" i="1" s="1"/>
  <c r="FQ150" i="1"/>
  <c r="FR150" i="1" s="1"/>
  <c r="TM110" i="1"/>
  <c r="TN110" i="1" s="1"/>
  <c r="EG127" i="1"/>
  <c r="EH127" i="1" s="1"/>
  <c r="NY110" i="1"/>
  <c r="NZ110" i="1" s="1"/>
  <c r="RK108" i="1"/>
  <c r="RL108" i="1" s="1"/>
  <c r="QS109" i="1"/>
  <c r="HS168" i="1"/>
  <c r="HT168" i="1" s="1"/>
  <c r="QS108" i="1"/>
  <c r="QT108" i="1" s="1"/>
  <c r="FQ158" i="1"/>
  <c r="FR158" i="1" s="1"/>
  <c r="JC143" i="1"/>
  <c r="JD143" i="1" s="1"/>
  <c r="CW152" i="1"/>
  <c r="CX152" i="1" s="1"/>
  <c r="NY152" i="1"/>
  <c r="NZ152" i="1" s="1"/>
  <c r="CW168" i="1"/>
  <c r="CX168" i="1" s="1"/>
  <c r="BM135" i="1"/>
  <c r="BN135" i="1" s="1"/>
  <c r="HS143" i="1"/>
  <c r="NY170" i="1"/>
  <c r="NZ170" i="1" s="1"/>
  <c r="HS141" i="1"/>
  <c r="UE129" i="1"/>
  <c r="UF129" i="1" s="1"/>
  <c r="CW141" i="1"/>
  <c r="CX141" i="1" s="1"/>
  <c r="IK143" i="1"/>
  <c r="IL143" i="1" s="1"/>
  <c r="AC111" i="1"/>
  <c r="AD111" i="1" s="1"/>
  <c r="BM161" i="1"/>
  <c r="BN161" i="1" s="1"/>
  <c r="MO152" i="1"/>
  <c r="HS118" i="1"/>
  <c r="HT118" i="1" s="1"/>
  <c r="SC159" i="1"/>
  <c r="LE149" i="1"/>
  <c r="LF149" i="1" s="1"/>
  <c r="AC128" i="1"/>
  <c r="AD128" i="1" s="1"/>
  <c r="LE161" i="1"/>
  <c r="RK126" i="1"/>
  <c r="RL126" i="1" s="1"/>
  <c r="KM169" i="1"/>
  <c r="KN169" i="1" s="1"/>
  <c r="AC158" i="1"/>
  <c r="AD158" i="1" s="1"/>
  <c r="JC135" i="1"/>
  <c r="JD135" i="1" s="1"/>
  <c r="HA143" i="1"/>
  <c r="HB143" i="1" s="1"/>
  <c r="SC140" i="1"/>
  <c r="LW170" i="1"/>
  <c r="LX170" i="1" s="1"/>
  <c r="PI167" i="1"/>
  <c r="PJ167" i="1" s="1"/>
  <c r="AU128" i="1"/>
  <c r="AV128" i="1" s="1"/>
  <c r="QS150" i="1"/>
  <c r="QA149" i="1"/>
  <c r="QB149" i="1" s="1"/>
  <c r="FQ109" i="1"/>
  <c r="FR109" i="1" s="1"/>
  <c r="JU136" i="1"/>
  <c r="DO143" i="1"/>
  <c r="QS143" i="1"/>
  <c r="QT143" i="1" s="1"/>
  <c r="K137" i="1"/>
  <c r="L137" i="1" s="1"/>
  <c r="AU167" i="1"/>
  <c r="AV167" i="1" s="1"/>
  <c r="SC128" i="1"/>
  <c r="CE150" i="1"/>
  <c r="CF150" i="1" s="1"/>
  <c r="PI143" i="1"/>
  <c r="PJ143" i="1" s="1"/>
  <c r="TM135" i="1"/>
  <c r="TN135" i="1" s="1"/>
  <c r="MO108" i="1"/>
  <c r="CW150" i="1"/>
  <c r="CX150" i="1" s="1"/>
  <c r="LE140" i="1"/>
  <c r="FQ137" i="1"/>
  <c r="FQ127" i="1"/>
  <c r="FR127" i="1" s="1"/>
  <c r="UE168" i="1"/>
  <c r="UF168" i="1" s="1"/>
  <c r="LW109" i="1"/>
  <c r="LX109" i="1" s="1"/>
  <c r="QA152" i="1"/>
  <c r="QB152" i="1" s="1"/>
  <c r="BM159" i="1"/>
  <c r="BN159" i="1" s="1"/>
  <c r="GI143" i="1"/>
  <c r="JU111" i="1"/>
  <c r="JV111" i="1" s="1"/>
  <c r="MO170" i="1"/>
  <c r="MP170" i="1" s="1"/>
  <c r="UW150" i="1"/>
  <c r="UX150" i="1" s="1"/>
  <c r="AC152" i="1"/>
  <c r="AD152" i="1" s="1"/>
  <c r="RK150" i="1"/>
  <c r="RL150" i="1" s="1"/>
  <c r="MO151" i="1"/>
  <c r="MP151" i="1" s="1"/>
  <c r="EY169" i="1"/>
  <c r="EZ169" i="1" s="1"/>
  <c r="EY161" i="1"/>
  <c r="EZ161" i="1" s="1"/>
  <c r="JC170" i="1"/>
  <c r="JD170" i="1" s="1"/>
  <c r="UE159" i="1"/>
  <c r="UF159" i="1" s="1"/>
  <c r="UE158" i="1"/>
  <c r="LE142" i="1"/>
  <c r="IK170" i="1"/>
  <c r="KM140" i="1"/>
  <c r="KN140" i="1" s="1"/>
  <c r="HA127" i="1"/>
  <c r="HB127" i="1" s="1"/>
  <c r="AC129" i="1"/>
  <c r="AD129" i="1" s="1"/>
  <c r="CW158" i="1"/>
  <c r="CX158" i="1" s="1"/>
  <c r="CW140" i="1"/>
  <c r="CX140" i="1" s="1"/>
  <c r="HA142" i="1"/>
  <c r="HB142" i="1" s="1"/>
  <c r="HS151" i="1"/>
  <c r="HT151" i="1" s="1"/>
  <c r="LE117" i="1"/>
  <c r="UW119" i="1"/>
  <c r="UX119" i="1" s="1"/>
  <c r="UE120" i="1"/>
  <c r="NG120" i="1"/>
  <c r="NH120" i="1" s="1"/>
  <c r="AU159" i="1"/>
  <c r="AV159" i="1" s="1"/>
  <c r="GI151" i="1"/>
  <c r="GJ151" i="1" s="1"/>
  <c r="EG158" i="1"/>
  <c r="EY110" i="1"/>
  <c r="EZ110" i="1" s="1"/>
  <c r="LE128" i="1"/>
  <c r="LF128" i="1" s="1"/>
  <c r="CW167" i="1"/>
  <c r="CX167" i="1" s="1"/>
  <c r="LW142" i="1"/>
  <c r="LX142" i="1" s="1"/>
  <c r="CE110" i="1"/>
  <c r="CF110" i="1" s="1"/>
  <c r="UE151" i="1"/>
  <c r="UF151" i="1" s="1"/>
  <c r="SC126" i="1"/>
  <c r="SD126" i="1" s="1"/>
  <c r="OQ118" i="1"/>
  <c r="OR118" i="1" s="1"/>
  <c r="AU120" i="1"/>
  <c r="AV120" i="1" s="1"/>
  <c r="NY119" i="1"/>
  <c r="NZ119" i="1" s="1"/>
  <c r="SC117" i="1"/>
  <c r="EY120" i="1"/>
  <c r="EZ120" i="1" s="1"/>
  <c r="SC118" i="1"/>
  <c r="SD118" i="1" s="1"/>
  <c r="UW117" i="1"/>
  <c r="UX117" i="1" s="1"/>
  <c r="KM117" i="1"/>
  <c r="FQ120" i="1"/>
  <c r="FR120" i="1" s="1"/>
  <c r="QA120" i="1"/>
  <c r="QB120" i="1" s="1"/>
  <c r="LW119" i="1"/>
  <c r="LX119" i="1" s="1"/>
  <c r="CW143" i="1"/>
  <c r="CX143" i="1" s="1"/>
  <c r="CW129" i="1"/>
  <c r="CX129" i="1" s="1"/>
  <c r="UW108" i="1"/>
  <c r="UX108" i="1" s="1"/>
  <c r="DO126" i="1"/>
  <c r="IK151" i="1"/>
  <c r="IL151" i="1" s="1"/>
  <c r="JC126" i="1"/>
  <c r="JD126" i="1" s="1"/>
  <c r="DO111" i="1"/>
  <c r="SU110" i="1"/>
  <c r="SV110" i="1" s="1"/>
  <c r="RK149" i="1"/>
  <c r="RL149" i="1" s="1"/>
  <c r="FQ151" i="1"/>
  <c r="FR151" i="1" s="1"/>
  <c r="LW158" i="1"/>
  <c r="LX158" i="1" s="1"/>
  <c r="FQ149" i="1"/>
  <c r="EG170" i="1"/>
  <c r="EH170" i="1" s="1"/>
  <c r="UE111" i="1"/>
  <c r="UF111" i="1" s="1"/>
  <c r="EG160" i="1"/>
  <c r="EH160" i="1" s="1"/>
  <c r="DO135" i="1"/>
  <c r="DP135" i="1" s="1"/>
  <c r="QS152" i="1"/>
  <c r="BM143" i="1"/>
  <c r="BN143" i="1" s="1"/>
  <c r="AU169" i="1"/>
  <c r="PI126" i="1"/>
  <c r="PJ126" i="1" s="1"/>
  <c r="LW138" i="1"/>
  <c r="LX138" i="1" s="1"/>
  <c r="HS160" i="1"/>
  <c r="NG143" i="1"/>
  <c r="NH143" i="1" s="1"/>
  <c r="K120" i="1"/>
  <c r="L120" i="1" s="1"/>
  <c r="KM120" i="1"/>
  <c r="KN120" i="1" s="1"/>
  <c r="RK118" i="1"/>
  <c r="RL118" i="1" s="1"/>
  <c r="CW120" i="1"/>
  <c r="CX120" i="1" s="1"/>
  <c r="QS158" i="1"/>
  <c r="QT158" i="1" s="1"/>
  <c r="AU109" i="1"/>
  <c r="EG167" i="1"/>
  <c r="EH167" i="1" s="1"/>
  <c r="GI168" i="1"/>
  <c r="GJ168" i="1" s="1"/>
  <c r="KM152" i="1"/>
  <c r="KN152" i="1" s="1"/>
  <c r="EY151" i="1"/>
  <c r="EZ151" i="1" s="1"/>
  <c r="K169" i="1"/>
  <c r="L169" i="1" s="1"/>
  <c r="UW158" i="1"/>
  <c r="UX158" i="1" s="1"/>
  <c r="EG140" i="1"/>
  <c r="EH140" i="1" s="1"/>
  <c r="DO139" i="1"/>
  <c r="DP139" i="1" s="1"/>
  <c r="KM119" i="1"/>
  <c r="KN119" i="1" s="1"/>
  <c r="HS117" i="1"/>
  <c r="SU118" i="1"/>
  <c r="SV118" i="1" s="1"/>
  <c r="QA119" i="1"/>
  <c r="QB119" i="1" s="1"/>
  <c r="CE120" i="1"/>
  <c r="CF120" i="1" s="1"/>
  <c r="TM119" i="1"/>
  <c r="TN119" i="1" s="1"/>
  <c r="NY118" i="1"/>
  <c r="NZ118" i="1" s="1"/>
  <c r="AC119" i="1"/>
  <c r="AD119" i="1" s="1"/>
  <c r="K117" i="1"/>
  <c r="L117" i="1" s="1"/>
  <c r="LW117" i="1"/>
  <c r="HA119" i="1"/>
  <c r="CE160" i="1"/>
  <c r="CF160" i="1" s="1"/>
  <c r="CW135" i="1"/>
  <c r="CX135" i="1" s="1"/>
  <c r="PI158" i="1"/>
  <c r="PJ158" i="1" s="1"/>
  <c r="BM108" i="1"/>
  <c r="BN108" i="1" s="1"/>
  <c r="HA111" i="1"/>
  <c r="HB111" i="1" s="1"/>
  <c r="AU152" i="1"/>
  <c r="LE111" i="1"/>
  <c r="RK170" i="1"/>
  <c r="RL170" i="1" s="1"/>
  <c r="EG151" i="1"/>
  <c r="EH151" i="1" s="1"/>
  <c r="QA127" i="1"/>
  <c r="QB127" i="1" s="1"/>
  <c r="CW108" i="1"/>
  <c r="CX108" i="1" s="1"/>
  <c r="JU149" i="1"/>
  <c r="QA168" i="1"/>
  <c r="NG150" i="1"/>
  <c r="MO128" i="1"/>
  <c r="MO149" i="1"/>
  <c r="MP149" i="1" s="1"/>
  <c r="NG111" i="1"/>
  <c r="BM168" i="1"/>
  <c r="BN168" i="1" s="1"/>
  <c r="IK152" i="1"/>
  <c r="IL152" i="1" s="1"/>
  <c r="JU167" i="1"/>
  <c r="JV167" i="1" s="1"/>
  <c r="JU135" i="1"/>
  <c r="JV135" i="1" s="1"/>
  <c r="UE167" i="1"/>
  <c r="UF167" i="1" s="1"/>
  <c r="SC141" i="1"/>
  <c r="SD141" i="1" s="1"/>
  <c r="FQ119" i="1"/>
  <c r="FR119" i="1" s="1"/>
  <c r="JU119" i="1"/>
  <c r="JV119" i="1" s="1"/>
  <c r="NG117" i="1"/>
  <c r="OQ119" i="1"/>
  <c r="OR119" i="1" s="1"/>
  <c r="JC167" i="1"/>
  <c r="JD167" i="1" s="1"/>
  <c r="CE170" i="1"/>
  <c r="CF170" i="1" s="1"/>
  <c r="EG169" i="1"/>
  <c r="CE108" i="1"/>
  <c r="CF108" i="1" s="1"/>
  <c r="NG127" i="1"/>
  <c r="NH127" i="1" s="1"/>
  <c r="UW110" i="1"/>
  <c r="UX110" i="1" s="1"/>
  <c r="QA158" i="1"/>
  <c r="QB158" i="1" s="1"/>
  <c r="DO170" i="1"/>
  <c r="DP170" i="1" s="1"/>
  <c r="OQ141" i="1"/>
  <c r="OR141" i="1" s="1"/>
  <c r="FQ139" i="1"/>
  <c r="FR139" i="1" s="1"/>
  <c r="K135" i="1"/>
  <c r="L135" i="1" s="1"/>
  <c r="K119" i="1"/>
  <c r="L119" i="1" s="1"/>
  <c r="BM118" i="1"/>
  <c r="BN118" i="1" s="1"/>
  <c r="AU117" i="1"/>
  <c r="AV117" i="1" s="1"/>
  <c r="NY117" i="1"/>
  <c r="NZ117" i="1" s="1"/>
  <c r="LE118" i="1"/>
  <c r="MO120" i="1"/>
  <c r="MP120" i="1" s="1"/>
  <c r="TM120" i="1"/>
  <c r="TN120" i="1" s="1"/>
  <c r="SU117" i="1"/>
  <c r="SV117" i="1" s="1"/>
  <c r="JC118" i="1"/>
  <c r="IK119" i="1"/>
  <c r="IL119" i="1" s="1"/>
  <c r="EG120" i="1"/>
  <c r="EH120" i="1" s="1"/>
  <c r="CW118" i="1"/>
  <c r="CX118" i="1" s="1"/>
  <c r="JU109" i="1"/>
  <c r="HA108" i="1"/>
  <c r="HB108" i="1" s="1"/>
  <c r="FQ126" i="1"/>
  <c r="FR126" i="1" s="1"/>
  <c r="CW151" i="1"/>
  <c r="CX151" i="1" s="1"/>
  <c r="EG110" i="1"/>
  <c r="EH110" i="1" s="1"/>
  <c r="DO109" i="1"/>
  <c r="DP109" i="1" s="1"/>
  <c r="AU127" i="1"/>
  <c r="AV127" i="1" s="1"/>
  <c r="GI161" i="1"/>
  <c r="GJ161" i="1" s="1"/>
  <c r="EY143" i="1"/>
  <c r="EZ143" i="1" s="1"/>
  <c r="NG167" i="1"/>
  <c r="HA151" i="1"/>
  <c r="HB151" i="1" s="1"/>
  <c r="SC135" i="1"/>
  <c r="SD135" i="1" s="1"/>
  <c r="LE169" i="1"/>
  <c r="LF169" i="1" s="1"/>
  <c r="SU150" i="1"/>
  <c r="SV150" i="1" s="1"/>
  <c r="RK151" i="1"/>
  <c r="RL151" i="1" s="1"/>
  <c r="LW140" i="1"/>
  <c r="LX140" i="1" s="1"/>
  <c r="MO129" i="1"/>
  <c r="MP129" i="1" s="1"/>
  <c r="DO119" i="1"/>
  <c r="DP119" i="1" s="1"/>
  <c r="EY119" i="1"/>
  <c r="EZ119" i="1" s="1"/>
  <c r="RK119" i="1"/>
  <c r="RL119" i="1" s="1"/>
  <c r="LE120" i="1"/>
  <c r="LF120" i="1" s="1"/>
  <c r="AC109" i="1"/>
  <c r="AD109" i="1" s="1"/>
  <c r="K159" i="1"/>
  <c r="L159" i="1" s="1"/>
  <c r="AU170" i="1"/>
  <c r="AV170" i="1" s="1"/>
  <c r="KM150" i="1"/>
  <c r="KN150" i="1" s="1"/>
  <c r="QA109" i="1"/>
  <c r="QB109" i="1" s="1"/>
  <c r="FQ143" i="1"/>
  <c r="FR143" i="1" s="1"/>
  <c r="HA161" i="1"/>
  <c r="HB161" i="1" s="1"/>
  <c r="EY117" i="1"/>
  <c r="EZ117" i="1" s="1"/>
  <c r="MO119" i="1"/>
  <c r="JC117" i="1"/>
  <c r="JD117" i="1" s="1"/>
  <c r="HA120" i="1"/>
  <c r="HB120" i="1" s="1"/>
  <c r="BM151" i="1"/>
  <c r="BN151" i="1" s="1"/>
  <c r="EG119" i="1"/>
  <c r="IK120" i="1"/>
  <c r="IL120" i="1" s="1"/>
  <c r="BM117" i="1"/>
  <c r="BN117" i="1" s="1"/>
  <c r="CW117" i="1"/>
  <c r="CX117" i="1" s="1"/>
  <c r="GI117" i="1"/>
  <c r="IK118" i="1"/>
  <c r="IL118" i="1" s="1"/>
  <c r="SC120" i="1"/>
  <c r="SD120" i="1" s="1"/>
  <c r="AU129" i="1"/>
  <c r="AV129" i="1" s="1"/>
  <c r="K150" i="1"/>
  <c r="L150" i="1" s="1"/>
  <c r="AC143" i="1"/>
  <c r="AD143" i="1" s="1"/>
  <c r="CE158" i="1"/>
  <c r="CF158" i="1" s="1"/>
  <c r="EY159" i="1"/>
  <c r="EZ159" i="1" s="1"/>
  <c r="CE137" i="1"/>
  <c r="CF137" i="1" s="1"/>
  <c r="LW169" i="1"/>
  <c r="LX169" i="1" s="1"/>
  <c r="K158" i="1"/>
  <c r="L158" i="1" s="1"/>
  <c r="BM128" i="1"/>
  <c r="BN128" i="1" s="1"/>
  <c r="EY127" i="1"/>
  <c r="EZ127" i="1" s="1"/>
  <c r="SC108" i="1"/>
  <c r="SD108" i="1" s="1"/>
  <c r="AC151" i="1"/>
  <c r="AD151" i="1" s="1"/>
  <c r="DO159" i="1"/>
  <c r="KM128" i="1"/>
  <c r="KN128" i="1" s="1"/>
  <c r="BM139" i="1"/>
  <c r="BN139" i="1" s="1"/>
  <c r="NY109" i="1"/>
  <c r="NZ109" i="1" s="1"/>
  <c r="JC149" i="1"/>
  <c r="JD149" i="1" s="1"/>
  <c r="RK158" i="1"/>
  <c r="EG137" i="1"/>
  <c r="EH137" i="1" s="1"/>
  <c r="UE138" i="1"/>
  <c r="DO108" i="1"/>
  <c r="LW126" i="1"/>
  <c r="LX126" i="1" s="1"/>
  <c r="KM160" i="1"/>
  <c r="KN160" i="1" s="1"/>
  <c r="EY158" i="1"/>
  <c r="EZ158" i="1" s="1"/>
  <c r="FQ128" i="1"/>
  <c r="FR128" i="1" s="1"/>
  <c r="UW149" i="1"/>
  <c r="UX149" i="1" s="1"/>
  <c r="KM110" i="1"/>
  <c r="SC129" i="1"/>
  <c r="LW129" i="1"/>
  <c r="LX129" i="1" s="1"/>
  <c r="UW109" i="1"/>
  <c r="UX109" i="1" s="1"/>
  <c r="EY137" i="1"/>
  <c r="EZ137" i="1" s="1"/>
  <c r="JU127" i="1"/>
  <c r="JV127" i="1" s="1"/>
  <c r="AU140" i="1"/>
  <c r="AV140" i="1" s="1"/>
  <c r="FQ110" i="1"/>
  <c r="CE152" i="1"/>
  <c r="CF152" i="1" s="1"/>
  <c r="OQ109" i="1"/>
  <c r="OR109" i="1" s="1"/>
  <c r="MO111" i="1"/>
  <c r="TM141" i="1"/>
  <c r="TN141" i="1" s="1"/>
  <c r="GI128" i="1"/>
  <c r="GJ128" i="1" s="1"/>
  <c r="KM108" i="1"/>
  <c r="K128" i="1"/>
  <c r="L128" i="1" s="1"/>
  <c r="SU136" i="1"/>
  <c r="SV136" i="1" s="1"/>
  <c r="LW135" i="1"/>
  <c r="LX135" i="1" s="1"/>
  <c r="JU138" i="1"/>
  <c r="JV138" i="1" s="1"/>
  <c r="OQ142" i="1"/>
  <c r="DO138" i="1"/>
  <c r="HA159" i="1"/>
  <c r="NY150" i="1"/>
  <c r="NZ150" i="1" s="1"/>
  <c r="KM159" i="1"/>
  <c r="KN159" i="1" s="1"/>
  <c r="FQ167" i="1"/>
  <c r="OQ151" i="1"/>
  <c r="RK169" i="1"/>
  <c r="RL169" i="1" s="1"/>
  <c r="NY169" i="1"/>
  <c r="NZ169" i="1" s="1"/>
  <c r="TM151" i="1"/>
  <c r="TN151" i="1" s="1"/>
  <c r="QA110" i="1"/>
  <c r="MO161" i="1"/>
  <c r="EG152" i="1"/>
  <c r="EH152" i="1" s="1"/>
  <c r="AU135" i="1"/>
  <c r="K143" i="1"/>
  <c r="L143" i="1" s="1"/>
  <c r="LE126" i="1"/>
  <c r="LF126" i="1" s="1"/>
  <c r="IK159" i="1"/>
  <c r="IL159" i="1" s="1"/>
  <c r="SC137" i="1"/>
  <c r="SD137" i="1" s="1"/>
  <c r="OQ140" i="1"/>
  <c r="QS139" i="1"/>
  <c r="QT139" i="1" s="1"/>
  <c r="SC110" i="1"/>
  <c r="SD110" i="1" s="1"/>
  <c r="QA169" i="1"/>
  <c r="QB169" i="1" s="1"/>
  <c r="KM170" i="1"/>
  <c r="KN170" i="1" s="1"/>
  <c r="QS142" i="1"/>
  <c r="QT142" i="1" s="1"/>
  <c r="NG136" i="1"/>
  <c r="NH136" i="1" s="1"/>
  <c r="KM127" i="1"/>
  <c r="KN127" i="1" s="1"/>
  <c r="LE108" i="1"/>
  <c r="BM170" i="1"/>
  <c r="BN170" i="1" s="1"/>
  <c r="LE150" i="1"/>
  <c r="LF150" i="1" s="1"/>
  <c r="NG135" i="1"/>
  <c r="NH135" i="1" s="1"/>
  <c r="HA152" i="1"/>
  <c r="HB152" i="1" s="1"/>
  <c r="OQ110" i="1"/>
  <c r="JU129" i="1"/>
  <c r="JV129" i="1" s="1"/>
  <c r="HA138" i="1"/>
  <c r="HB138" i="1" s="1"/>
  <c r="SU138" i="1"/>
  <c r="SV138" i="1" s="1"/>
  <c r="BM169" i="1"/>
  <c r="BN169" i="1" s="1"/>
  <c r="KM158" i="1"/>
  <c r="KN158" i="1" s="1"/>
  <c r="GI159" i="1"/>
  <c r="GJ159" i="1" s="1"/>
  <c r="JU110" i="1"/>
  <c r="JV110" i="1" s="1"/>
  <c r="QS141" i="1"/>
  <c r="QT141" i="1" s="1"/>
  <c r="K136" i="1"/>
  <c r="L136" i="1" s="1"/>
  <c r="SU141" i="1"/>
  <c r="SV141" i="1" s="1"/>
  <c r="FQ161" i="1"/>
  <c r="FR161" i="1" s="1"/>
  <c r="CE141" i="1"/>
  <c r="CF141" i="1" s="1"/>
  <c r="PI151" i="1"/>
  <c r="PJ151" i="1" s="1"/>
  <c r="OQ138" i="1"/>
  <c r="OR138" i="1" s="1"/>
  <c r="UW139" i="1"/>
  <c r="UX139" i="1" s="1"/>
  <c r="FQ140" i="1"/>
  <c r="FR140" i="1" s="1"/>
  <c r="BM158" i="1"/>
  <c r="BN158" i="1" s="1"/>
  <c r="HA149" i="1"/>
  <c r="HB149" i="1" s="1"/>
  <c r="LW127" i="1"/>
  <c r="IK108" i="1"/>
  <c r="IL108" i="1" s="1"/>
  <c r="GI109" i="1"/>
  <c r="GJ109" i="1" s="1"/>
  <c r="MO109" i="1"/>
  <c r="MP109" i="1" s="1"/>
  <c r="EG143" i="1"/>
  <c r="PI128" i="1"/>
  <c r="PJ128" i="1" s="1"/>
  <c r="KM129" i="1"/>
  <c r="KN129" i="1" s="1"/>
  <c r="CE138" i="1"/>
  <c r="CF138" i="1" s="1"/>
  <c r="TM170" i="1"/>
  <c r="TN170" i="1" s="1"/>
  <c r="K161" i="1"/>
  <c r="L161" i="1" s="1"/>
  <c r="NG170" i="1"/>
  <c r="NH170" i="1" s="1"/>
  <c r="SC160" i="1"/>
  <c r="SD160" i="1" s="1"/>
  <c r="JC169" i="1"/>
  <c r="JD169" i="1" s="1"/>
  <c r="EY142" i="1"/>
  <c r="EZ142" i="1" s="1"/>
  <c r="LE109" i="1"/>
  <c r="LF109" i="1" s="1"/>
  <c r="K139" i="1"/>
  <c r="L139" i="1" s="1"/>
  <c r="DO142" i="1"/>
  <c r="DP142" i="1" s="1"/>
  <c r="SU111" i="1"/>
  <c r="SV111" i="1" s="1"/>
  <c r="CW109" i="1"/>
  <c r="CX109" i="1" s="1"/>
  <c r="HA128" i="1"/>
  <c r="HB128" i="1" s="1"/>
  <c r="EY140" i="1"/>
  <c r="EZ140" i="1" s="1"/>
  <c r="BM107" i="1"/>
  <c r="OQ125" i="1"/>
  <c r="MO166" i="1"/>
  <c r="MP166" i="1" s="1"/>
  <c r="KM107" i="1"/>
  <c r="KN107" i="1" s="1"/>
  <c r="UW166" i="1"/>
  <c r="UX166" i="1" s="1"/>
  <c r="RK134" i="1"/>
  <c r="TM166" i="1"/>
  <c r="TN166" i="1" s="1"/>
  <c r="PI107" i="1"/>
  <c r="PJ107" i="1" s="1"/>
  <c r="FQ157" i="1"/>
  <c r="FR157" i="1" s="1"/>
  <c r="QA166" i="1"/>
  <c r="EY107" i="1"/>
  <c r="EZ107" i="1" s="1"/>
  <c r="PI134" i="1"/>
  <c r="N125" i="1"/>
  <c r="CE148" i="1"/>
  <c r="CF148" i="1" s="1"/>
  <c r="NG148" i="1"/>
  <c r="NH148" i="1" s="1"/>
  <c r="RK157" i="1"/>
  <c r="GI125" i="1"/>
  <c r="TM125" i="1"/>
  <c r="TN125" i="1" s="1"/>
  <c r="GI134" i="1"/>
  <c r="GJ134" i="1" s="1"/>
  <c r="NY166" i="1"/>
  <c r="NZ166" i="1" s="1"/>
  <c r="NY148" i="1"/>
  <c r="NZ148" i="1" s="1"/>
  <c r="HS134" i="1"/>
  <c r="HT134" i="1" s="1"/>
  <c r="NY125" i="1"/>
  <c r="NZ125" i="1" s="1"/>
  <c r="DO134" i="1"/>
  <c r="DP134" i="1" s="1"/>
  <c r="TM157" i="1"/>
  <c r="TN157" i="1" s="1"/>
  <c r="HA157" i="1"/>
  <c r="HB157" i="1" s="1"/>
  <c r="CE125" i="1"/>
  <c r="CF125" i="1" s="1"/>
  <c r="LW148" i="1"/>
  <c r="LX148" i="1" s="1"/>
  <c r="IK125" i="1"/>
  <c r="IL125" i="1" s="1"/>
  <c r="JC148" i="1"/>
  <c r="JD148" i="1" s="1"/>
  <c r="NY134" i="1"/>
  <c r="MO148" i="1"/>
  <c r="MP148" i="1" s="1"/>
  <c r="EY148" i="1"/>
  <c r="EZ148" i="1" s="1"/>
  <c r="HA125" i="1"/>
  <c r="HB125" i="1" s="1"/>
  <c r="LE107" i="1"/>
  <c r="LF107" i="1" s="1"/>
  <c r="AU157" i="1"/>
  <c r="AV157" i="1" s="1"/>
  <c r="TM134" i="1"/>
  <c r="HS148" i="1"/>
  <c r="HT148" i="1" s="1"/>
  <c r="KM157" i="1"/>
  <c r="KM148" i="1"/>
  <c r="KN148" i="1" s="1"/>
  <c r="KM125" i="1"/>
  <c r="KN125" i="1" s="1"/>
  <c r="SU157" i="1"/>
  <c r="SV157" i="1" s="1"/>
  <c r="QA125" i="1"/>
  <c r="QB125" i="1" s="1"/>
  <c r="JC166" i="1"/>
  <c r="FQ148" i="1"/>
  <c r="JC107" i="1"/>
  <c r="JD107" i="1" s="1"/>
  <c r="MO107" i="1"/>
  <c r="MP107" i="1" s="1"/>
  <c r="TM148" i="1"/>
  <c r="TN148" i="1" s="1"/>
  <c r="EG107" i="1"/>
  <c r="EH107" i="1" s="1"/>
  <c r="UW148" i="1"/>
  <c r="UX148" i="1" s="1"/>
  <c r="PI125" i="1"/>
  <c r="PJ125" i="1" s="1"/>
  <c r="TM107" i="1"/>
  <c r="TN107" i="1" s="1"/>
  <c r="LE157" i="1"/>
  <c r="QA134" i="1"/>
  <c r="QB134" i="1" s="1"/>
  <c r="JU134" i="1"/>
  <c r="JV134" i="1" s="1"/>
  <c r="SC125" i="1"/>
  <c r="HA166" i="1"/>
  <c r="HB166" i="1" s="1"/>
  <c r="RK125" i="1"/>
  <c r="RL125" i="1" s="1"/>
  <c r="HA107" i="1"/>
  <c r="HB107" i="1" s="1"/>
  <c r="PI148" i="1"/>
  <c r="PJ148" i="1" s="1"/>
  <c r="PI166" i="1"/>
  <c r="PJ166" i="1" s="1"/>
  <c r="LW157" i="1"/>
  <c r="LX157" i="1" s="1"/>
  <c r="CW125" i="1"/>
  <c r="CX125" i="1" s="1"/>
  <c r="GI148" i="1"/>
  <c r="GJ148" i="1" s="1"/>
  <c r="SC148" i="1"/>
  <c r="SD148" i="1" s="1"/>
  <c r="QA148" i="1"/>
  <c r="QB148" i="1" s="1"/>
  <c r="QS148" i="1"/>
  <c r="QT148" i="1" s="1"/>
  <c r="RK166" i="1"/>
  <c r="RL166" i="1" s="1"/>
  <c r="LE125" i="1"/>
  <c r="LF125" i="1" s="1"/>
  <c r="HS157" i="1"/>
  <c r="HT157" i="1" s="1"/>
  <c r="EY166" i="1"/>
  <c r="EZ166" i="1" s="1"/>
  <c r="MO157" i="1"/>
  <c r="MP157" i="1" s="1"/>
  <c r="OQ107" i="1"/>
  <c r="OR107" i="1" s="1"/>
  <c r="JU166" i="1"/>
  <c r="JV166" i="1" s="1"/>
  <c r="EY116" i="1"/>
  <c r="EZ116" i="1" s="1"/>
  <c r="UE157" i="1"/>
  <c r="UF157" i="1" s="1"/>
  <c r="MO134" i="1"/>
  <c r="MP134" i="1" s="1"/>
  <c r="TM116" i="1"/>
  <c r="TN116" i="1" s="1"/>
  <c r="JU148" i="1"/>
  <c r="AC148" i="1"/>
  <c r="AD148" i="1" s="1"/>
  <c r="DO116" i="1"/>
  <c r="DP116" i="1" s="1"/>
  <c r="QA107" i="1"/>
  <c r="QB107" i="1" s="1"/>
  <c r="SU134" i="1"/>
  <c r="SU148" i="1"/>
  <c r="SV148" i="1" s="1"/>
  <c r="EY125" i="1"/>
  <c r="EZ125" i="1" s="1"/>
  <c r="HS107" i="1"/>
  <c r="HT107" i="1" s="1"/>
  <c r="CW148" i="1"/>
  <c r="CX148" i="1" s="1"/>
  <c r="LW125" i="1"/>
  <c r="LX125" i="1" s="1"/>
  <c r="JU125" i="1"/>
  <c r="JV125" i="1" s="1"/>
  <c r="NY107" i="1"/>
  <c r="NZ107" i="1" s="1"/>
  <c r="KM166" i="1"/>
  <c r="EG157" i="1"/>
  <c r="GI166" i="1"/>
  <c r="GJ166" i="1" s="1"/>
  <c r="SC157" i="1"/>
  <c r="SD157" i="1" s="1"/>
  <c r="NG107" i="1"/>
  <c r="NH107" i="1" s="1"/>
  <c r="EY157" i="1"/>
  <c r="EZ157" i="1" s="1"/>
  <c r="JC125" i="1"/>
  <c r="JD125" i="1" s="1"/>
  <c r="OQ157" i="1"/>
  <c r="OR157" i="1" s="1"/>
  <c r="UE166" i="1"/>
  <c r="UF166" i="1" s="1"/>
  <c r="BM166" i="1"/>
  <c r="BN166" i="1" s="1"/>
  <c r="DO148" i="1"/>
  <c r="DP148" i="1" s="1"/>
  <c r="SU107" i="1"/>
  <c r="SV107" i="1" s="1"/>
  <c r="EG166" i="1"/>
  <c r="EH166" i="1" s="1"/>
  <c r="DO157" i="1"/>
  <c r="DP157" i="1" s="1"/>
  <c r="UE148" i="1"/>
  <c r="UF148" i="1" s="1"/>
  <c r="DO166" i="1"/>
  <c r="HS166" i="1"/>
  <c r="HT166" i="1" s="1"/>
  <c r="LE134" i="1"/>
  <c r="LF134" i="1" s="1"/>
  <c r="GI107" i="1"/>
  <c r="GJ107" i="1" s="1"/>
  <c r="LE166" i="1"/>
  <c r="LF166" i="1" s="1"/>
  <c r="UW125" i="1"/>
  <c r="UX125" i="1" s="1"/>
  <c r="EG134" i="1"/>
  <c r="EH134" i="1" s="1"/>
  <c r="HA116" i="1"/>
  <c r="HB116" i="1" s="1"/>
  <c r="LW116" i="1"/>
  <c r="LX116" i="1" s="1"/>
  <c r="AU166" i="1"/>
  <c r="AV166" i="1" s="1"/>
  <c r="IK107" i="1"/>
  <c r="IL107" i="1" s="1"/>
  <c r="BM116" i="1"/>
  <c r="BN116" i="1" s="1"/>
  <c r="AC125" i="1"/>
  <c r="QS116" i="1"/>
  <c r="QT116" i="1" s="1"/>
  <c r="DO107" i="1"/>
  <c r="DP107" i="1" s="1"/>
  <c r="QS166" i="1"/>
  <c r="CE134" i="1"/>
  <c r="FQ125" i="1"/>
  <c r="FR125" i="1" s="1"/>
  <c r="KM116" i="1"/>
  <c r="UE116" i="1"/>
  <c r="UF116" i="1" s="1"/>
  <c r="SU116" i="1"/>
  <c r="SV116" i="1" s="1"/>
  <c r="NG116" i="1"/>
  <c r="NH116" i="1" s="1"/>
  <c r="AC157" i="1"/>
  <c r="CE157" i="1"/>
  <c r="CF157" i="1" s="1"/>
  <c r="IK134" i="1"/>
  <c r="IL134" i="1" s="1"/>
  <c r="NG157" i="1"/>
  <c r="NH157" i="1" s="1"/>
  <c r="AC134" i="1"/>
  <c r="AD134" i="1" s="1"/>
  <c r="SU166" i="1"/>
  <c r="SV166" i="1" s="1"/>
  <c r="BM157" i="1"/>
  <c r="BN157" i="1" s="1"/>
  <c r="UW134" i="1"/>
  <c r="MO125" i="1"/>
  <c r="MP125" i="1" s="1"/>
  <c r="CE107" i="1"/>
  <c r="K166" i="1"/>
  <c r="L166" i="1" s="1"/>
  <c r="UE125" i="1"/>
  <c r="UF125" i="1" s="1"/>
  <c r="HS125" i="1"/>
  <c r="HT125" i="1" s="1"/>
  <c r="CW134" i="1"/>
  <c r="UW107" i="1"/>
  <c r="UX107" i="1" s="1"/>
  <c r="DO125" i="1"/>
  <c r="DP125" i="1" s="1"/>
  <c r="KM134" i="1"/>
  <c r="KN134" i="1" s="1"/>
  <c r="RK116" i="1"/>
  <c r="RL116" i="1" s="1"/>
  <c r="OQ116" i="1"/>
  <c r="OR116" i="1" s="1"/>
  <c r="FQ116" i="1"/>
  <c r="FR116" i="1" s="1"/>
  <c r="K148" i="1"/>
  <c r="L148" i="1" s="1"/>
  <c r="AU134" i="1"/>
  <c r="AV134" i="1" s="1"/>
  <c r="QS134" i="1"/>
  <c r="QT134" i="1" s="1"/>
  <c r="GI157" i="1"/>
  <c r="GJ157" i="1" s="1"/>
  <c r="IK166" i="1"/>
  <c r="IL166" i="1" s="1"/>
  <c r="FQ134" i="1"/>
  <c r="FR134" i="1" s="1"/>
  <c r="JC157" i="1"/>
  <c r="JD157" i="1" s="1"/>
  <c r="JU107" i="1"/>
  <c r="JV107" i="1" s="1"/>
  <c r="JC134" i="1"/>
  <c r="JD134" i="1" s="1"/>
  <c r="FQ166" i="1"/>
  <c r="FR166" i="1" s="1"/>
  <c r="AU107" i="1"/>
  <c r="AV107" i="1" s="1"/>
  <c r="OQ134" i="1"/>
  <c r="OR134" i="1" s="1"/>
  <c r="RK107" i="1"/>
  <c r="RL107" i="1" s="1"/>
  <c r="QS125" i="1"/>
  <c r="QT125" i="1" s="1"/>
  <c r="OQ166" i="1"/>
  <c r="OR166" i="1" s="1"/>
  <c r="UE107" i="1"/>
  <c r="UF107" i="1" s="1"/>
  <c r="SC166" i="1"/>
  <c r="SD166" i="1" s="1"/>
  <c r="IK157" i="1"/>
  <c r="IL157" i="1" s="1"/>
  <c r="UE134" i="1"/>
  <c r="UF134" i="1" s="1"/>
  <c r="QS157" i="1"/>
  <c r="HA148" i="1"/>
  <c r="HB148" i="1" s="1"/>
  <c r="LW166" i="1"/>
  <c r="NY157" i="1"/>
  <c r="NZ157" i="1" s="1"/>
  <c r="CW157" i="1"/>
  <c r="CX157" i="1" s="1"/>
  <c r="CW166" i="1"/>
  <c r="CX166" i="1" s="1"/>
  <c r="LE116" i="1"/>
  <c r="LF116" i="1" s="1"/>
  <c r="FQ107" i="1"/>
  <c r="FR107" i="1" s="1"/>
  <c r="AU116" i="1"/>
  <c r="AV116" i="1" s="1"/>
  <c r="LE148" i="1"/>
  <c r="LF148" i="1" s="1"/>
  <c r="SC107" i="1"/>
  <c r="SD107" i="1" s="1"/>
  <c r="GI116" i="1"/>
  <c r="QA157" i="1"/>
  <c r="UW116" i="1"/>
  <c r="UX116" i="1" s="1"/>
  <c r="AU125" i="1"/>
  <c r="AV125" i="1" s="1"/>
  <c r="OQ148" i="1"/>
  <c r="OR148" i="1" s="1"/>
  <c r="IK148" i="1"/>
  <c r="IL148" i="1" s="1"/>
  <c r="JC116" i="1"/>
  <c r="SC134" i="1"/>
  <c r="SD134" i="1" s="1"/>
  <c r="CE116" i="1"/>
  <c r="CF116" i="1" s="1"/>
  <c r="EY134" i="1"/>
  <c r="MO116" i="1"/>
  <c r="MP116" i="1" s="1"/>
  <c r="EG125" i="1"/>
  <c r="EH125" i="1" s="1"/>
  <c r="UW157" i="1"/>
  <c r="UX157" i="1" s="1"/>
  <c r="AC116" i="1"/>
  <c r="AD116" i="1" s="1"/>
  <c r="PI116" i="1"/>
  <c r="PJ116" i="1" s="1"/>
  <c r="HS116" i="1"/>
  <c r="HT116" i="1" s="1"/>
  <c r="NY116" i="1"/>
  <c r="NZ116" i="1" s="1"/>
  <c r="QS107" i="1"/>
  <c r="QT107" i="1" s="1"/>
  <c r="NG134" i="1"/>
  <c r="NH134" i="1" s="1"/>
  <c r="LW107" i="1"/>
  <c r="LX107" i="1" s="1"/>
  <c r="CW107" i="1"/>
  <c r="SU125" i="1"/>
  <c r="SV125" i="1" s="1"/>
  <c r="BM148" i="1"/>
  <c r="BN148" i="1" s="1"/>
  <c r="EG148" i="1"/>
  <c r="EH148" i="1" s="1"/>
  <c r="NG166" i="1"/>
  <c r="NH166" i="1" s="1"/>
  <c r="PI157" i="1"/>
  <c r="PJ157" i="1" s="1"/>
  <c r="IK116" i="1"/>
  <c r="IL116" i="1" s="1"/>
  <c r="JU157" i="1"/>
  <c r="JV157" i="1" s="1"/>
  <c r="SC116" i="1"/>
  <c r="BM134" i="1"/>
  <c r="RK148" i="1"/>
  <c r="RL148" i="1" s="1"/>
  <c r="CE166" i="1"/>
  <c r="CF166" i="1" s="1"/>
  <c r="LW134" i="1"/>
  <c r="CW116" i="1"/>
  <c r="CX116" i="1" s="1"/>
  <c r="AC166" i="1"/>
  <c r="AD166" i="1" s="1"/>
  <c r="BM125" i="1"/>
  <c r="BN125" i="1" s="1"/>
  <c r="AC107" i="1"/>
  <c r="AD107" i="1" s="1"/>
  <c r="EG116" i="1"/>
  <c r="EH116" i="1" s="1"/>
  <c r="K157" i="1"/>
  <c r="L157" i="1" s="1"/>
  <c r="QA116" i="1"/>
  <c r="QB116" i="1" s="1"/>
  <c r="AU148" i="1"/>
  <c r="AV148" i="1" s="1"/>
  <c r="JU116" i="1"/>
  <c r="JV116" i="1" s="1"/>
  <c r="NG125" i="1"/>
  <c r="NH125" i="1" s="1"/>
  <c r="HA134" i="1"/>
  <c r="HB134" i="1" s="1"/>
  <c r="E60" i="39"/>
  <c r="U73" i="39" s="1"/>
  <c r="E59" i="41"/>
  <c r="K134" i="1"/>
  <c r="E60" i="28"/>
  <c r="E60" i="27"/>
  <c r="UX134" i="1" l="1"/>
  <c r="UX144" i="1" s="1"/>
  <c r="UW144" i="1"/>
  <c r="BN134" i="1"/>
  <c r="BN144" i="1" s="1"/>
  <c r="BM144" i="1"/>
  <c r="NZ134" i="1"/>
  <c r="NZ144" i="1" s="1"/>
  <c r="NY144" i="1"/>
  <c r="CF134" i="1"/>
  <c r="CF144" i="1" s="1"/>
  <c r="CE144" i="1"/>
  <c r="CX134" i="1"/>
  <c r="CX144" i="1" s="1"/>
  <c r="CW144" i="1"/>
  <c r="TN134" i="1"/>
  <c r="TN144" i="1" s="1"/>
  <c r="TM144" i="1"/>
  <c r="EZ134" i="1"/>
  <c r="EZ144" i="1" s="1"/>
  <c r="EY144" i="1"/>
  <c r="SV134" i="1"/>
  <c r="SV144" i="1" s="1"/>
  <c r="SU144" i="1"/>
  <c r="L134" i="1"/>
  <c r="L144" i="1" s="1"/>
  <c r="K144" i="1"/>
  <c r="PJ134" i="1"/>
  <c r="PJ144" i="1" s="1"/>
  <c r="PI144" i="1"/>
  <c r="CX107" i="1"/>
  <c r="CX112" i="1" s="1"/>
  <c r="CW112" i="1"/>
  <c r="CF107" i="1"/>
  <c r="CF112" i="1" s="1"/>
  <c r="CE112" i="1"/>
  <c r="Q125" i="1"/>
  <c r="P125" i="1"/>
  <c r="BN107" i="1"/>
  <c r="BN112" i="1" s="1"/>
  <c r="BM112" i="1"/>
  <c r="BM113" i="1"/>
  <c r="L109" i="1"/>
  <c r="K112" i="1"/>
  <c r="K115" i="1" s="1"/>
  <c r="K113" i="1"/>
  <c r="UX172" i="1"/>
  <c r="UX171" i="1"/>
  <c r="UX145" i="1"/>
  <c r="UX130" i="1"/>
  <c r="UX131" i="1"/>
  <c r="UX121" i="1"/>
  <c r="UX122" i="1"/>
  <c r="UX163" i="1"/>
  <c r="UX162" i="1"/>
  <c r="UX113" i="1"/>
  <c r="UX112" i="1"/>
  <c r="UX154" i="1"/>
  <c r="UX153" i="1"/>
  <c r="UF122" i="1"/>
  <c r="UF121" i="1"/>
  <c r="UF154" i="1"/>
  <c r="UF153" i="1"/>
  <c r="UF138" i="1"/>
  <c r="UG138" i="1" s="1"/>
  <c r="UF120" i="1"/>
  <c r="UG120" i="1" s="1"/>
  <c r="UF158" i="1"/>
  <c r="UG158" i="1" s="1"/>
  <c r="UF163" i="1"/>
  <c r="UF162" i="1"/>
  <c r="UF119" i="1"/>
  <c r="UH119" i="1" s="1"/>
  <c r="UF152" i="1"/>
  <c r="UH152" i="1" s="1"/>
  <c r="UF136" i="1"/>
  <c r="UG136" i="1" s="1"/>
  <c r="UF113" i="1"/>
  <c r="UF112" i="1"/>
  <c r="UF131" i="1"/>
  <c r="UF130" i="1"/>
  <c r="UF172" i="1"/>
  <c r="UF171" i="1"/>
  <c r="UF170" i="1"/>
  <c r="UG170" i="1" s="1"/>
  <c r="UF160" i="1"/>
  <c r="UH160" i="1" s="1"/>
  <c r="UF145" i="1"/>
  <c r="UF144" i="1"/>
  <c r="TN113" i="1"/>
  <c r="TN112" i="1"/>
  <c r="TN154" i="1"/>
  <c r="TN153" i="1"/>
  <c r="TN172" i="1"/>
  <c r="TN171" i="1"/>
  <c r="TN145" i="1"/>
  <c r="TN163" i="1"/>
  <c r="TN162" i="1"/>
  <c r="TN121" i="1"/>
  <c r="TN122" i="1"/>
  <c r="TN131" i="1"/>
  <c r="TN130" i="1"/>
  <c r="SV154" i="1"/>
  <c r="SV153" i="1"/>
  <c r="SV130" i="1"/>
  <c r="SV131" i="1"/>
  <c r="SV145" i="1"/>
  <c r="SV172" i="1"/>
  <c r="SV171" i="1"/>
  <c r="SV121" i="1"/>
  <c r="SV122" i="1"/>
  <c r="SV113" i="1"/>
  <c r="SV112" i="1"/>
  <c r="SV163" i="1"/>
  <c r="SV162" i="1"/>
  <c r="SD129" i="1"/>
  <c r="SE129" i="1" s="1"/>
  <c r="SD172" i="1"/>
  <c r="SD171" i="1"/>
  <c r="SD125" i="1"/>
  <c r="SE125" i="1" s="1"/>
  <c r="SD117" i="1"/>
  <c r="SE117" i="1" s="1"/>
  <c r="SD159" i="1"/>
  <c r="SE159" i="1" s="1"/>
  <c r="SD143" i="1"/>
  <c r="SE143" i="1" s="1"/>
  <c r="SD145" i="1"/>
  <c r="SD144" i="1"/>
  <c r="SD168" i="1"/>
  <c r="SE168" i="1" s="1"/>
  <c r="SD151" i="1"/>
  <c r="SF151" i="1" s="1"/>
  <c r="SD113" i="1"/>
  <c r="SD112" i="1"/>
  <c r="SD154" i="1"/>
  <c r="SD153" i="1"/>
  <c r="SD128" i="1"/>
  <c r="SE128" i="1" s="1"/>
  <c r="SD140" i="1"/>
  <c r="SE140" i="1" s="1"/>
  <c r="SD119" i="1"/>
  <c r="SE119" i="1" s="1"/>
  <c r="SD116" i="1"/>
  <c r="SE116" i="1" s="1"/>
  <c r="SD163" i="1"/>
  <c r="SD162" i="1"/>
  <c r="SD149" i="1"/>
  <c r="SE149" i="1" s="1"/>
  <c r="SD161" i="1"/>
  <c r="SE161" i="1" s="1"/>
  <c r="SD142" i="1"/>
  <c r="SE142" i="1" s="1"/>
  <c r="RL121" i="1"/>
  <c r="RL122" i="1"/>
  <c r="RL127" i="1"/>
  <c r="RM127" i="1" s="1"/>
  <c r="RL154" i="1"/>
  <c r="RL153" i="1"/>
  <c r="RL113" i="1"/>
  <c r="RL112" i="1"/>
  <c r="RL172" i="1"/>
  <c r="RL171" i="1"/>
  <c r="RL157" i="1"/>
  <c r="RM157" i="1" s="1"/>
  <c r="RL135" i="1"/>
  <c r="RM135" i="1" s="1"/>
  <c r="RL109" i="1"/>
  <c r="RM109" i="1" s="1"/>
  <c r="RL117" i="1"/>
  <c r="RM117" i="1" s="1"/>
  <c r="RL143" i="1"/>
  <c r="RN143" i="1" s="1"/>
  <c r="RL138" i="1"/>
  <c r="RN138" i="1" s="1"/>
  <c r="RQ138" i="1" s="1"/>
  <c r="RL158" i="1"/>
  <c r="RM158" i="1" s="1"/>
  <c r="RL130" i="1"/>
  <c r="RL131" i="1"/>
  <c r="RL134" i="1"/>
  <c r="RM134" i="1" s="1"/>
  <c r="QT130" i="1"/>
  <c r="QT131" i="1"/>
  <c r="QT150" i="1"/>
  <c r="QU150" i="1" s="1"/>
  <c r="QT109" i="1"/>
  <c r="QU109" i="1" s="1"/>
  <c r="QT140" i="1"/>
  <c r="QU140" i="1" s="1"/>
  <c r="QT152" i="1"/>
  <c r="QU152" i="1" s="1"/>
  <c r="QT169" i="1"/>
  <c r="QV169" i="1" s="1"/>
  <c r="QY169" i="1" s="1"/>
  <c r="QT127" i="1"/>
  <c r="QU127" i="1" s="1"/>
  <c r="QT161" i="1"/>
  <c r="QU161" i="1" s="1"/>
  <c r="QT170" i="1"/>
  <c r="QU170" i="1" s="1"/>
  <c r="QT113" i="1"/>
  <c r="QT112" i="1"/>
  <c r="QT157" i="1"/>
  <c r="QU157" i="1" s="1"/>
  <c r="QT122" i="1"/>
  <c r="QT121" i="1"/>
  <c r="QT154" i="1"/>
  <c r="QT153" i="1"/>
  <c r="QT117" i="1"/>
  <c r="QV117" i="1" s="1"/>
  <c r="QY117" i="1" s="1"/>
  <c r="QT166" i="1"/>
  <c r="QU166" i="1" s="1"/>
  <c r="QT128" i="1"/>
  <c r="QU128" i="1" s="1"/>
  <c r="QT145" i="1"/>
  <c r="QT144" i="1"/>
  <c r="QB137" i="1"/>
  <c r="QD137" i="1" s="1"/>
  <c r="QB159" i="1"/>
  <c r="QD159" i="1" s="1"/>
  <c r="QG159" i="1" s="1"/>
  <c r="QB121" i="1"/>
  <c r="QB122" i="1"/>
  <c r="QB142" i="1"/>
  <c r="QD142" i="1" s="1"/>
  <c r="QG142" i="1" s="1"/>
  <c r="QB110" i="1"/>
  <c r="QC110" i="1" s="1"/>
  <c r="QB168" i="1"/>
  <c r="QC168" i="1" s="1"/>
  <c r="QB151" i="1"/>
  <c r="QC151" i="1" s="1"/>
  <c r="QA162" i="1"/>
  <c r="QB157" i="1"/>
  <c r="QB138" i="1"/>
  <c r="QC138" i="1" s="1"/>
  <c r="QB130" i="1"/>
  <c r="QB131" i="1"/>
  <c r="QB112" i="1"/>
  <c r="QB113" i="1"/>
  <c r="QB154" i="1"/>
  <c r="QB153" i="1"/>
  <c r="QB145" i="1"/>
  <c r="QB144" i="1"/>
  <c r="QB166" i="1"/>
  <c r="QD166" i="1" s="1"/>
  <c r="PJ172" i="1"/>
  <c r="PJ171" i="1"/>
  <c r="PJ121" i="1"/>
  <c r="PJ122" i="1"/>
  <c r="PJ154" i="1"/>
  <c r="PJ153" i="1"/>
  <c r="PJ145" i="1"/>
  <c r="PJ113" i="1"/>
  <c r="PJ112" i="1"/>
  <c r="PJ163" i="1"/>
  <c r="PJ162" i="1"/>
  <c r="PJ130" i="1"/>
  <c r="PJ131" i="1"/>
  <c r="OR140" i="1"/>
  <c r="OS140" i="1" s="1"/>
  <c r="OR151" i="1"/>
  <c r="OS151" i="1" s="1"/>
  <c r="OR160" i="1"/>
  <c r="OS160" i="1" s="1"/>
  <c r="OR112" i="1"/>
  <c r="OR113" i="1"/>
  <c r="OR110" i="1"/>
  <c r="OS110" i="1" s="1"/>
  <c r="OR145" i="1"/>
  <c r="OR144" i="1"/>
  <c r="OR137" i="1"/>
  <c r="OS137" i="1" s="1"/>
  <c r="OR154" i="1"/>
  <c r="OR153" i="1"/>
  <c r="OR172" i="1"/>
  <c r="OR171" i="1"/>
  <c r="OR122" i="1"/>
  <c r="OR121" i="1"/>
  <c r="OR163" i="1"/>
  <c r="OR162" i="1"/>
  <c r="OR125" i="1"/>
  <c r="OR142" i="1"/>
  <c r="OS142" i="1" s="1"/>
  <c r="OR128" i="1"/>
  <c r="OS128" i="1" s="1"/>
  <c r="NZ154" i="1"/>
  <c r="NZ153" i="1"/>
  <c r="NZ172" i="1"/>
  <c r="NZ171" i="1"/>
  <c r="NZ145" i="1"/>
  <c r="NZ131" i="1"/>
  <c r="NZ130" i="1"/>
  <c r="NZ122" i="1"/>
  <c r="NZ121" i="1"/>
  <c r="NZ162" i="1"/>
  <c r="NZ163" i="1"/>
  <c r="NZ113" i="1"/>
  <c r="NZ112" i="1"/>
  <c r="NH145" i="1"/>
  <c r="NH144" i="1"/>
  <c r="NH111" i="1"/>
  <c r="NI111" i="1" s="1"/>
  <c r="NH109" i="1"/>
  <c r="NI109" i="1" s="1"/>
  <c r="NH117" i="1"/>
  <c r="NI117" i="1" s="1"/>
  <c r="NH150" i="1"/>
  <c r="NI150" i="1" s="1"/>
  <c r="NH131" i="1"/>
  <c r="NH130" i="1"/>
  <c r="NH163" i="1"/>
  <c r="NH162" i="1"/>
  <c r="NH122" i="1"/>
  <c r="NH121" i="1"/>
  <c r="NH113" i="1"/>
  <c r="NH112" i="1"/>
  <c r="NH154" i="1"/>
  <c r="NH153" i="1"/>
  <c r="NH167" i="1"/>
  <c r="NI167" i="1" s="1"/>
  <c r="NH108" i="1"/>
  <c r="NI108" i="1" s="1"/>
  <c r="NH119" i="1"/>
  <c r="NI119" i="1" s="1"/>
  <c r="NH172" i="1"/>
  <c r="NH171" i="1"/>
  <c r="NH118" i="1"/>
  <c r="NI118" i="1" s="1"/>
  <c r="MP131" i="1"/>
  <c r="MP130" i="1"/>
  <c r="MP163" i="1"/>
  <c r="MP162" i="1"/>
  <c r="MP145" i="1"/>
  <c r="MP144" i="1"/>
  <c r="MP161" i="1"/>
  <c r="MQ161" i="1" s="1"/>
  <c r="MP108" i="1"/>
  <c r="MQ108" i="1" s="1"/>
  <c r="MP138" i="1"/>
  <c r="MQ138" i="1" s="1"/>
  <c r="MP137" i="1"/>
  <c r="MQ137" i="1" s="1"/>
  <c r="MP139" i="1"/>
  <c r="MQ139" i="1" s="1"/>
  <c r="MP140" i="1"/>
  <c r="MR140" i="1" s="1"/>
  <c r="MP141" i="1"/>
  <c r="MQ141" i="1" s="1"/>
  <c r="MP154" i="1"/>
  <c r="MP153" i="1"/>
  <c r="MP135" i="1"/>
  <c r="MQ135" i="1" s="1"/>
  <c r="MP113" i="1"/>
  <c r="MP112" i="1"/>
  <c r="MP172" i="1"/>
  <c r="MP171" i="1"/>
  <c r="MP119" i="1"/>
  <c r="MR119" i="1" s="1"/>
  <c r="MU119" i="1" s="1"/>
  <c r="MP143" i="1"/>
  <c r="MQ143" i="1" s="1"/>
  <c r="MP158" i="1"/>
  <c r="MQ158" i="1" s="1"/>
  <c r="MP121" i="1"/>
  <c r="MP122" i="1"/>
  <c r="MP111" i="1"/>
  <c r="MQ111" i="1" s="1"/>
  <c r="MP128" i="1"/>
  <c r="MQ128" i="1" s="1"/>
  <c r="MP152" i="1"/>
  <c r="MQ152" i="1" s="1"/>
  <c r="LX163" i="1"/>
  <c r="LX162" i="1"/>
  <c r="LX113" i="1"/>
  <c r="LX112" i="1"/>
  <c r="LX134" i="1"/>
  <c r="LZ134" i="1" s="1"/>
  <c r="LX122" i="1"/>
  <c r="LX121" i="1"/>
  <c r="LX167" i="1"/>
  <c r="LY167" i="1" s="1"/>
  <c r="LX131" i="1"/>
  <c r="LX130" i="1"/>
  <c r="LX154" i="1"/>
  <c r="LX153" i="1"/>
  <c r="LX127" i="1"/>
  <c r="LY127" i="1" s="1"/>
  <c r="LX111" i="1"/>
  <c r="LZ111" i="1" s="1"/>
  <c r="LX161" i="1"/>
  <c r="LY161" i="1" s="1"/>
  <c r="LX137" i="1"/>
  <c r="LZ137" i="1" s="1"/>
  <c r="LX110" i="1"/>
  <c r="LY110" i="1" s="1"/>
  <c r="LX166" i="1"/>
  <c r="LZ166" i="1" s="1"/>
  <c r="LX108" i="1"/>
  <c r="LY108" i="1" s="1"/>
  <c r="LX117" i="1"/>
  <c r="LY117" i="1" s="1"/>
  <c r="LF154" i="1"/>
  <c r="LF153" i="1"/>
  <c r="LF145" i="1"/>
  <c r="LF144" i="1"/>
  <c r="LF108" i="1"/>
  <c r="LG108" i="1" s="1"/>
  <c r="LF122" i="1"/>
  <c r="LF121" i="1"/>
  <c r="LF157" i="1"/>
  <c r="LH157" i="1" s="1"/>
  <c r="LF127" i="1"/>
  <c r="LH127" i="1" s="1"/>
  <c r="LF112" i="1"/>
  <c r="LF113" i="1"/>
  <c r="LF117" i="1"/>
  <c r="LG117" i="1" s="1"/>
  <c r="LF140" i="1"/>
  <c r="LG140" i="1" s="1"/>
  <c r="LF161" i="1"/>
  <c r="LH161" i="1" s="1"/>
  <c r="LK161" i="1" s="1"/>
  <c r="LF141" i="1"/>
  <c r="LG141" i="1" s="1"/>
  <c r="LF159" i="1"/>
  <c r="LH159" i="1" s="1"/>
  <c r="LK159" i="1" s="1"/>
  <c r="LF130" i="1"/>
  <c r="LF131" i="1"/>
  <c r="LF172" i="1"/>
  <c r="LF171" i="1"/>
  <c r="LF118" i="1"/>
  <c r="LG118" i="1" s="1"/>
  <c r="LF111" i="1"/>
  <c r="LG111" i="1" s="1"/>
  <c r="LF142" i="1"/>
  <c r="LG142" i="1" s="1"/>
  <c r="LF158" i="1"/>
  <c r="LG158" i="1" s="1"/>
  <c r="LF168" i="1"/>
  <c r="LH168" i="1" s="1"/>
  <c r="LF137" i="1"/>
  <c r="LG137" i="1" s="1"/>
  <c r="KN130" i="1"/>
  <c r="KN131" i="1"/>
  <c r="KN108" i="1"/>
  <c r="KP108" i="1" s="1"/>
  <c r="KS108" i="1" s="1"/>
  <c r="KN145" i="1"/>
  <c r="KN144" i="1"/>
  <c r="KN116" i="1"/>
  <c r="KP116" i="1" s="1"/>
  <c r="KN154" i="1"/>
  <c r="KN153" i="1"/>
  <c r="KN112" i="1"/>
  <c r="KN113" i="1"/>
  <c r="KN110" i="1"/>
  <c r="KO110" i="1" s="1"/>
  <c r="KN117" i="1"/>
  <c r="KP117" i="1" s="1"/>
  <c r="KS117" i="1" s="1"/>
  <c r="KN161" i="1"/>
  <c r="KO161" i="1" s="1"/>
  <c r="KN149" i="1"/>
  <c r="KP149" i="1" s="1"/>
  <c r="KN166" i="1"/>
  <c r="KP166" i="1" s="1"/>
  <c r="KN157" i="1"/>
  <c r="KP157" i="1" s="1"/>
  <c r="KN168" i="1"/>
  <c r="KO168" i="1" s="1"/>
  <c r="KN109" i="1"/>
  <c r="KO109" i="1" s="1"/>
  <c r="KN138" i="1"/>
  <c r="KP138" i="1" s="1"/>
  <c r="KS138" i="1" s="1"/>
  <c r="JV118" i="1"/>
  <c r="JW118" i="1" s="1"/>
  <c r="JV136" i="1"/>
  <c r="JW136" i="1" s="1"/>
  <c r="JV169" i="1"/>
  <c r="JW169" i="1" s="1"/>
  <c r="JV139" i="1"/>
  <c r="JW139" i="1" s="1"/>
  <c r="JV130" i="1"/>
  <c r="JV131" i="1"/>
  <c r="JV121" i="1"/>
  <c r="JV122" i="1"/>
  <c r="JV163" i="1"/>
  <c r="JV162" i="1"/>
  <c r="JV113" i="1"/>
  <c r="JV112" i="1"/>
  <c r="JV148" i="1"/>
  <c r="JW148" i="1" s="1"/>
  <c r="JV145" i="1"/>
  <c r="JV144" i="1"/>
  <c r="JV149" i="1"/>
  <c r="JW149" i="1" s="1"/>
  <c r="JV172" i="1"/>
  <c r="JV171" i="1"/>
  <c r="JV109" i="1"/>
  <c r="JW109" i="1" s="1"/>
  <c r="JV168" i="1"/>
  <c r="JW168" i="1" s="1"/>
  <c r="JD152" i="1"/>
  <c r="JE152" i="1" s="1"/>
  <c r="JD130" i="1"/>
  <c r="JD131" i="1"/>
  <c r="JD145" i="1"/>
  <c r="JD144" i="1"/>
  <c r="JD120" i="1"/>
  <c r="JE120" i="1" s="1"/>
  <c r="JD166" i="1"/>
  <c r="JE166" i="1" s="1"/>
  <c r="JD128" i="1"/>
  <c r="JE128" i="1" s="1"/>
  <c r="JD116" i="1"/>
  <c r="JE116" i="1" s="1"/>
  <c r="JD163" i="1"/>
  <c r="JD162" i="1"/>
  <c r="JD113" i="1"/>
  <c r="JD112" i="1"/>
  <c r="JD154" i="1"/>
  <c r="JD153" i="1"/>
  <c r="JD118" i="1"/>
  <c r="JE118" i="1" s="1"/>
  <c r="JD136" i="1"/>
  <c r="JF136" i="1" s="1"/>
  <c r="IL122" i="1"/>
  <c r="IL121" i="1"/>
  <c r="IL171" i="1"/>
  <c r="IL172" i="1"/>
  <c r="IL163" i="1"/>
  <c r="IL162" i="1"/>
  <c r="IL131" i="1"/>
  <c r="IL130" i="1"/>
  <c r="IL126" i="1"/>
  <c r="IM126" i="1" s="1"/>
  <c r="IL111" i="1"/>
  <c r="IN111" i="1" s="1"/>
  <c r="IL113" i="1"/>
  <c r="IL112" i="1"/>
  <c r="IL128" i="1"/>
  <c r="IM128" i="1" s="1"/>
  <c r="IL154" i="1"/>
  <c r="IL153" i="1"/>
  <c r="IL170" i="1"/>
  <c r="IM170" i="1" s="1"/>
  <c r="IL109" i="1"/>
  <c r="IM109" i="1" s="1"/>
  <c r="IL110" i="1"/>
  <c r="IM110" i="1" s="1"/>
  <c r="IL144" i="1"/>
  <c r="IL145" i="1"/>
  <c r="HT138" i="1"/>
  <c r="HU138" i="1" s="1"/>
  <c r="HT139" i="1"/>
  <c r="HU139" i="1" s="1"/>
  <c r="HT141" i="1"/>
  <c r="HU141" i="1" s="1"/>
  <c r="HT111" i="1"/>
  <c r="HV111" i="1" s="1"/>
  <c r="HY111" i="1" s="1"/>
  <c r="HT150" i="1"/>
  <c r="HU150" i="1" s="1"/>
  <c r="HT160" i="1"/>
  <c r="HU160" i="1" s="1"/>
  <c r="HT130" i="1"/>
  <c r="HT131" i="1"/>
  <c r="HT172" i="1"/>
  <c r="HT171" i="1"/>
  <c r="HT170" i="1"/>
  <c r="HV170" i="1" s="1"/>
  <c r="HT121" i="1"/>
  <c r="HT122" i="1"/>
  <c r="HT113" i="1"/>
  <c r="HT112" i="1"/>
  <c r="HT163" i="1"/>
  <c r="HT162" i="1"/>
  <c r="HT154" i="1"/>
  <c r="HT153" i="1"/>
  <c r="HT145" i="1"/>
  <c r="HT144" i="1"/>
  <c r="HT117" i="1"/>
  <c r="HU117" i="1" s="1"/>
  <c r="HT143" i="1"/>
  <c r="HV143" i="1" s="1"/>
  <c r="HY143" i="1" s="1"/>
  <c r="HT129" i="1"/>
  <c r="HU129" i="1" s="1"/>
  <c r="HB159" i="1"/>
  <c r="HC159" i="1" s="1"/>
  <c r="HB145" i="1"/>
  <c r="HB144" i="1"/>
  <c r="HB122" i="1"/>
  <c r="HB121" i="1"/>
  <c r="HB172" i="1"/>
  <c r="HB171" i="1"/>
  <c r="HB109" i="1"/>
  <c r="HC109" i="1" s="1"/>
  <c r="HB160" i="1"/>
  <c r="HC160" i="1" s="1"/>
  <c r="HB154" i="1"/>
  <c r="HB153" i="1"/>
  <c r="HB168" i="1"/>
  <c r="HC168" i="1" s="1"/>
  <c r="HB119" i="1"/>
  <c r="HC119" i="1" s="1"/>
  <c r="HB136" i="1"/>
  <c r="HD136" i="1" s="1"/>
  <c r="HG136" i="1" s="1"/>
  <c r="HB158" i="1"/>
  <c r="HC158" i="1" s="1"/>
  <c r="HB113" i="1"/>
  <c r="HB112" i="1"/>
  <c r="HB130" i="1"/>
  <c r="HB131" i="1"/>
  <c r="HB163" i="1"/>
  <c r="HB162" i="1"/>
  <c r="HB110" i="1"/>
  <c r="HC110" i="1" s="1"/>
  <c r="HB167" i="1"/>
  <c r="HC167" i="1" s="1"/>
  <c r="GJ172" i="1"/>
  <c r="GJ171" i="1"/>
  <c r="GJ158" i="1"/>
  <c r="GL158" i="1" s="1"/>
  <c r="GJ154" i="1"/>
  <c r="GJ153" i="1"/>
  <c r="GJ113" i="1"/>
  <c r="GJ112" i="1"/>
  <c r="GJ163" i="1"/>
  <c r="GJ162" i="1"/>
  <c r="GJ145" i="1"/>
  <c r="GJ144" i="1"/>
  <c r="GJ117" i="1"/>
  <c r="GK117" i="1" s="1"/>
  <c r="GJ129" i="1"/>
  <c r="GL129" i="1" s="1"/>
  <c r="GJ120" i="1"/>
  <c r="GK120" i="1" s="1"/>
  <c r="GJ136" i="1"/>
  <c r="GL136" i="1" s="1"/>
  <c r="GO136" i="1" s="1"/>
  <c r="GJ125" i="1"/>
  <c r="GL125" i="1" s="1"/>
  <c r="GJ110" i="1"/>
  <c r="GK110" i="1" s="1"/>
  <c r="GJ116" i="1"/>
  <c r="GL116" i="1" s="1"/>
  <c r="GJ143" i="1"/>
  <c r="GL143" i="1" s="1"/>
  <c r="GO143" i="1" s="1"/>
  <c r="GJ138" i="1"/>
  <c r="GK138" i="1" s="1"/>
  <c r="FR148" i="1"/>
  <c r="FS148" i="1" s="1"/>
  <c r="FR163" i="1"/>
  <c r="FR162" i="1"/>
  <c r="FR117" i="1"/>
  <c r="FS117" i="1" s="1"/>
  <c r="FR142" i="1"/>
  <c r="FS142" i="1" s="1"/>
  <c r="FR172" i="1"/>
  <c r="FR171" i="1"/>
  <c r="FR137" i="1"/>
  <c r="FS137" i="1" s="1"/>
  <c r="FR145" i="1"/>
  <c r="FR144" i="1"/>
  <c r="FR121" i="1"/>
  <c r="FR122" i="1"/>
  <c r="FR130" i="1"/>
  <c r="FR131" i="1"/>
  <c r="FR167" i="1"/>
  <c r="FS167" i="1" s="1"/>
  <c r="FR110" i="1"/>
  <c r="FS110" i="1" s="1"/>
  <c r="FR149" i="1"/>
  <c r="FT149" i="1" s="1"/>
  <c r="FW149" i="1" s="1"/>
  <c r="FR135" i="1"/>
  <c r="FS135" i="1" s="1"/>
  <c r="FR136" i="1"/>
  <c r="FT136" i="1" s="1"/>
  <c r="FW136" i="1" s="1"/>
  <c r="FR111" i="1"/>
  <c r="FT111" i="1" s="1"/>
  <c r="FR113" i="1"/>
  <c r="FR112" i="1"/>
  <c r="FR129" i="1"/>
  <c r="FS129" i="1" s="1"/>
  <c r="FR138" i="1"/>
  <c r="FT138" i="1" s="1"/>
  <c r="EZ130" i="1"/>
  <c r="EZ131" i="1"/>
  <c r="EZ154" i="1"/>
  <c r="EZ153" i="1"/>
  <c r="EZ163" i="1"/>
  <c r="EZ162" i="1"/>
  <c r="EZ145" i="1"/>
  <c r="EZ121" i="1"/>
  <c r="EZ122" i="1"/>
  <c r="EZ172" i="1"/>
  <c r="EZ171" i="1"/>
  <c r="EZ112" i="1"/>
  <c r="EZ113" i="1"/>
  <c r="EH157" i="1"/>
  <c r="EI157" i="1" s="1"/>
  <c r="EH154" i="1"/>
  <c r="EH153" i="1"/>
  <c r="EH131" i="1"/>
  <c r="EH130" i="1"/>
  <c r="EH112" i="1"/>
  <c r="EH113" i="1"/>
  <c r="EH169" i="1"/>
  <c r="EI169" i="1" s="1"/>
  <c r="EH158" i="1"/>
  <c r="EI158" i="1" s="1"/>
  <c r="EH139" i="1"/>
  <c r="EI139" i="1" s="1"/>
  <c r="EH121" i="1"/>
  <c r="EH122" i="1"/>
  <c r="EH172" i="1"/>
  <c r="EH171" i="1"/>
  <c r="EH119" i="1"/>
  <c r="EI119" i="1" s="1"/>
  <c r="EH145" i="1"/>
  <c r="EH144" i="1"/>
  <c r="EH143" i="1"/>
  <c r="EI143" i="1" s="1"/>
  <c r="EH109" i="1"/>
  <c r="EJ109" i="1" s="1"/>
  <c r="EM109" i="1" s="1"/>
  <c r="EH150" i="1"/>
  <c r="EI150" i="1" s="1"/>
  <c r="EH111" i="1"/>
  <c r="EI111" i="1" s="1"/>
  <c r="EH129" i="1"/>
  <c r="EI129" i="1" s="1"/>
  <c r="DP154" i="1"/>
  <c r="DP153" i="1"/>
  <c r="DP113" i="1"/>
  <c r="DP112" i="1"/>
  <c r="DP162" i="1"/>
  <c r="DP163" i="1"/>
  <c r="DP145" i="1"/>
  <c r="DP144" i="1"/>
  <c r="DP121" i="1"/>
  <c r="DP122" i="1"/>
  <c r="DP143" i="1"/>
  <c r="DQ143" i="1" s="1"/>
  <c r="DP131" i="1"/>
  <c r="DP130" i="1"/>
  <c r="DP138" i="1"/>
  <c r="DQ138" i="1" s="1"/>
  <c r="DP126" i="1"/>
  <c r="DQ126" i="1" s="1"/>
  <c r="DP166" i="1"/>
  <c r="DR166" i="1" s="1"/>
  <c r="DP108" i="1"/>
  <c r="DQ108" i="1" s="1"/>
  <c r="DP159" i="1"/>
  <c r="DR159" i="1" s="1"/>
  <c r="DU159" i="1" s="1"/>
  <c r="DP111" i="1"/>
  <c r="DQ111" i="1" s="1"/>
  <c r="DP152" i="1"/>
  <c r="DQ152" i="1" s="1"/>
  <c r="DP150" i="1"/>
  <c r="DQ150" i="1" s="1"/>
  <c r="DP158" i="1"/>
  <c r="DR158" i="1" s="1"/>
  <c r="CX113" i="1"/>
  <c r="CX145" i="1"/>
  <c r="CX172" i="1"/>
  <c r="CX171" i="1"/>
  <c r="CX121" i="1"/>
  <c r="CX122" i="1"/>
  <c r="CX163" i="1"/>
  <c r="CX162" i="1"/>
  <c r="CX154" i="1"/>
  <c r="CX153" i="1"/>
  <c r="CX130" i="1"/>
  <c r="CX131" i="1"/>
  <c r="CF172" i="1"/>
  <c r="CF171" i="1"/>
  <c r="CF113" i="1"/>
  <c r="CF131" i="1"/>
  <c r="CF130" i="1"/>
  <c r="CF163" i="1"/>
  <c r="CF162" i="1"/>
  <c r="CF121" i="1"/>
  <c r="CF122" i="1"/>
  <c r="CF145" i="1"/>
  <c r="CF154" i="1"/>
  <c r="CF153" i="1"/>
  <c r="BN130" i="1"/>
  <c r="BN131" i="1"/>
  <c r="BN121" i="1"/>
  <c r="BN122" i="1"/>
  <c r="BN113" i="1"/>
  <c r="BN163" i="1"/>
  <c r="BN162" i="1"/>
  <c r="BN154" i="1"/>
  <c r="BN153" i="1"/>
  <c r="BN172" i="1"/>
  <c r="BN171" i="1"/>
  <c r="BN145" i="1"/>
  <c r="AV163" i="1"/>
  <c r="AV162" i="1"/>
  <c r="AV109" i="1"/>
  <c r="AW109" i="1" s="1"/>
  <c r="AV118" i="1"/>
  <c r="AX118" i="1" s="1"/>
  <c r="BA118" i="1" s="1"/>
  <c r="AV141" i="1"/>
  <c r="AW141" i="1" s="1"/>
  <c r="AV154" i="1"/>
  <c r="AV153" i="1"/>
  <c r="AV113" i="1"/>
  <c r="AV112" i="1"/>
  <c r="AV169" i="1"/>
  <c r="AW169" i="1" s="1"/>
  <c r="AV143" i="1"/>
  <c r="AW143" i="1" s="1"/>
  <c r="AV149" i="1"/>
  <c r="AW149" i="1" s="1"/>
  <c r="AV121" i="1"/>
  <c r="AV122" i="1"/>
  <c r="AV172" i="1"/>
  <c r="AV171" i="1"/>
  <c r="AV135" i="1"/>
  <c r="AW135" i="1" s="1"/>
  <c r="AV130" i="1"/>
  <c r="AV131" i="1"/>
  <c r="AV145" i="1"/>
  <c r="AV144" i="1"/>
  <c r="AV152" i="1"/>
  <c r="AW152" i="1" s="1"/>
  <c r="AV158" i="1"/>
  <c r="AW158" i="1" s="1"/>
  <c r="AD172" i="1"/>
  <c r="AD171" i="1"/>
  <c r="AD145" i="1"/>
  <c r="AD144" i="1"/>
  <c r="AD157" i="1"/>
  <c r="AF157" i="1" s="1"/>
  <c r="AD153" i="1"/>
  <c r="AD154" i="1"/>
  <c r="AD127" i="1"/>
  <c r="AE127" i="1" s="1"/>
  <c r="AD121" i="1"/>
  <c r="AD122" i="1"/>
  <c r="AD113" i="1"/>
  <c r="AD112" i="1"/>
  <c r="AD125" i="1"/>
  <c r="AE125" i="1" s="1"/>
  <c r="AD167" i="1"/>
  <c r="AE167" i="1" s="1"/>
  <c r="AD126" i="1"/>
  <c r="AE126" i="1" s="1"/>
  <c r="UY168" i="1"/>
  <c r="UY170" i="1"/>
  <c r="UY158" i="1"/>
  <c r="UY138" i="1"/>
  <c r="UZ142" i="1"/>
  <c r="UY109" i="1"/>
  <c r="TO169" i="1"/>
  <c r="TP166" i="1"/>
  <c r="TO152" i="1"/>
  <c r="TO143" i="1"/>
  <c r="TP125" i="1"/>
  <c r="TO116" i="1"/>
  <c r="TO108" i="1"/>
  <c r="TO111" i="1"/>
  <c r="SW169" i="1"/>
  <c r="SW158" i="1"/>
  <c r="SW161" i="1"/>
  <c r="SW159" i="1"/>
  <c r="SW152" i="1"/>
  <c r="SW136" i="1"/>
  <c r="SX143" i="1"/>
  <c r="TA143" i="1" s="1"/>
  <c r="SW140" i="1"/>
  <c r="SW135" i="1"/>
  <c r="SW128" i="1"/>
  <c r="SX116" i="1"/>
  <c r="PK167" i="1"/>
  <c r="PK151" i="1"/>
  <c r="PL136" i="1"/>
  <c r="PK139" i="1"/>
  <c r="PL118" i="1"/>
  <c r="PK109" i="1"/>
  <c r="OA168" i="1"/>
  <c r="OA151" i="1"/>
  <c r="OA150" i="1"/>
  <c r="OA135" i="1"/>
  <c r="OB138" i="1"/>
  <c r="OE138" i="1" s="1"/>
  <c r="OB125" i="1"/>
  <c r="OB116" i="1"/>
  <c r="OA111" i="1"/>
  <c r="FA170" i="1"/>
  <c r="FA159" i="1"/>
  <c r="FA138" i="1"/>
  <c r="FB129" i="1"/>
  <c r="FA128" i="1"/>
  <c r="FA111" i="1"/>
  <c r="CY151" i="1"/>
  <c r="CY138" i="1"/>
  <c r="CZ143" i="1"/>
  <c r="DC143" i="1" s="1"/>
  <c r="CY139" i="1"/>
  <c r="CY128" i="1"/>
  <c r="CE162" i="1"/>
  <c r="CG149" i="1"/>
  <c r="CH152" i="1"/>
  <c r="CK152" i="1" s="1"/>
  <c r="CH148" i="1"/>
  <c r="CG135" i="1"/>
  <c r="CG143" i="1"/>
  <c r="CG142" i="1"/>
  <c r="CG127" i="1"/>
  <c r="CH116" i="1"/>
  <c r="BO170" i="1"/>
  <c r="BP166" i="1"/>
  <c r="BP160" i="1"/>
  <c r="BP157" i="1"/>
  <c r="BO150" i="1"/>
  <c r="BO137" i="1"/>
  <c r="BO129" i="1"/>
  <c r="BP125" i="1"/>
  <c r="BP116" i="1"/>
  <c r="M169" i="1"/>
  <c r="M150" i="1"/>
  <c r="M149" i="1"/>
  <c r="N141" i="1"/>
  <c r="M137" i="1"/>
  <c r="N135" i="1"/>
  <c r="M143" i="1"/>
  <c r="M140" i="1"/>
  <c r="M119" i="1"/>
  <c r="TP138" i="1"/>
  <c r="TO138" i="1"/>
  <c r="LY126" i="1"/>
  <c r="LZ126" i="1"/>
  <c r="SW109" i="1"/>
  <c r="SX109" i="1"/>
  <c r="UZ140" i="1"/>
  <c r="UY140" i="1"/>
  <c r="SW118" i="1"/>
  <c r="SX118" i="1"/>
  <c r="JE126" i="1"/>
  <c r="JF126" i="1"/>
  <c r="HC135" i="1"/>
  <c r="HD135" i="1"/>
  <c r="SX151" i="1"/>
  <c r="SW151" i="1"/>
  <c r="OB142" i="1"/>
  <c r="OA142" i="1"/>
  <c r="U91" i="28"/>
  <c r="V91" i="28" s="1"/>
  <c r="W91" i="28" s="1"/>
  <c r="U86" i="28"/>
  <c r="V86" i="28" s="1"/>
  <c r="W86" i="28" s="1"/>
  <c r="U84" i="28"/>
  <c r="V84" i="28" s="1"/>
  <c r="W84" i="28" s="1"/>
  <c r="U82" i="28"/>
  <c r="V82" i="28" s="1"/>
  <c r="W82" i="28" s="1"/>
  <c r="AE168" i="1"/>
  <c r="AF168" i="1"/>
  <c r="UG152" i="1"/>
  <c r="UZ157" i="1"/>
  <c r="OA109" i="1"/>
  <c r="OB109" i="1"/>
  <c r="AX116" i="1"/>
  <c r="AW116" i="1"/>
  <c r="AW121" i="1" s="1"/>
  <c r="OT134" i="1"/>
  <c r="OS134" i="1"/>
  <c r="OS145" i="1" s="1"/>
  <c r="U120" i="41"/>
  <c r="V120" i="41" s="1"/>
  <c r="X120" i="41" s="1"/>
  <c r="U108" i="41"/>
  <c r="V108" i="41" s="1"/>
  <c r="W108" i="41" s="1"/>
  <c r="Y108" i="41" s="1"/>
  <c r="HC127" i="1"/>
  <c r="HD127" i="1"/>
  <c r="OS108" i="1"/>
  <c r="OT108" i="1"/>
  <c r="FT107" i="1"/>
  <c r="RK163" i="1"/>
  <c r="RK162" i="1"/>
  <c r="UY110" i="1"/>
  <c r="UZ110" i="1"/>
  <c r="CY140" i="1"/>
  <c r="CZ140" i="1"/>
  <c r="LY151" i="1"/>
  <c r="LZ151" i="1"/>
  <c r="CG126" i="1"/>
  <c r="CH126" i="1"/>
  <c r="DQ129" i="1"/>
  <c r="DR129" i="1"/>
  <c r="JE159" i="1"/>
  <c r="JF159" i="1"/>
  <c r="HU137" i="1"/>
  <c r="HV137" i="1"/>
  <c r="UG140" i="1"/>
  <c r="UH140" i="1"/>
  <c r="OA167" i="1"/>
  <c r="OB167" i="1"/>
  <c r="LZ139" i="1"/>
  <c r="LY139" i="1"/>
  <c r="JE150" i="1"/>
  <c r="JF150" i="1"/>
  <c r="PK158" i="1"/>
  <c r="PL158" i="1"/>
  <c r="BO161" i="1"/>
  <c r="BP161" i="1"/>
  <c r="U82" i="41"/>
  <c r="V82" i="41" s="1"/>
  <c r="W82" i="41" s="1"/>
  <c r="Y82" i="41" s="1"/>
  <c r="QV141" i="1"/>
  <c r="QU141" i="1"/>
  <c r="OA118" i="1"/>
  <c r="OB118" i="1"/>
  <c r="OE118" i="1" s="1"/>
  <c r="EI140" i="1"/>
  <c r="EJ140" i="1"/>
  <c r="AE158" i="1"/>
  <c r="AF158" i="1"/>
  <c r="DQ110" i="1"/>
  <c r="DR110" i="1"/>
  <c r="EI108" i="1"/>
  <c r="EJ108" i="1"/>
  <c r="AE120" i="1"/>
  <c r="AF120" i="1"/>
  <c r="HU108" i="1"/>
  <c r="HV108" i="1"/>
  <c r="NI142" i="1"/>
  <c r="NJ142" i="1"/>
  <c r="GL142" i="1"/>
  <c r="GK142" i="1"/>
  <c r="HV169" i="1"/>
  <c r="HU169" i="1"/>
  <c r="JW108" i="1"/>
  <c r="JX108" i="1"/>
  <c r="U97" i="41"/>
  <c r="V97" i="41" s="1"/>
  <c r="W97" i="41" s="1"/>
  <c r="Y97" i="41" s="1"/>
  <c r="DQ160" i="1"/>
  <c r="DR160" i="1"/>
  <c r="U68" i="41"/>
  <c r="V68" i="41" s="1"/>
  <c r="W68" i="41" s="1"/>
  <c r="U81" i="41"/>
  <c r="V81" i="41" s="1"/>
  <c r="NJ134" i="1"/>
  <c r="JU131" i="1"/>
  <c r="JU130" i="1"/>
  <c r="U87" i="41"/>
  <c r="V87" i="41" s="1"/>
  <c r="X87" i="41" s="1"/>
  <c r="TO119" i="1"/>
  <c r="TP119" i="1"/>
  <c r="CY167" i="1"/>
  <c r="CZ167" i="1"/>
  <c r="HU151" i="1"/>
  <c r="HV151" i="1"/>
  <c r="KO137" i="1"/>
  <c r="KP137" i="1"/>
  <c r="M129" i="1"/>
  <c r="N129" i="1"/>
  <c r="CY119" i="1"/>
  <c r="CZ119" i="1"/>
  <c r="QC108" i="1"/>
  <c r="QD108" i="1"/>
  <c r="AE137" i="1"/>
  <c r="AF137" i="1"/>
  <c r="HU126" i="1"/>
  <c r="HV126" i="1"/>
  <c r="AE118" i="1"/>
  <c r="AF118" i="1"/>
  <c r="AI118" i="1" s="1"/>
  <c r="HU128" i="1"/>
  <c r="HV128" i="1"/>
  <c r="KO151" i="1"/>
  <c r="KP151" i="1"/>
  <c r="RM160" i="1"/>
  <c r="RN160" i="1"/>
  <c r="LZ118" i="1"/>
  <c r="LY118" i="1"/>
  <c r="PL142" i="1"/>
  <c r="PK142" i="1"/>
  <c r="PK169" i="1"/>
  <c r="PL169" i="1"/>
  <c r="EI117" i="1"/>
  <c r="EJ117" i="1"/>
  <c r="HV135" i="1"/>
  <c r="HU135" i="1"/>
  <c r="RM142" i="1"/>
  <c r="RN142" i="1"/>
  <c r="OS159" i="1"/>
  <c r="OT159" i="1"/>
  <c r="CY110" i="1"/>
  <c r="CZ110" i="1"/>
  <c r="UG142" i="1"/>
  <c r="UH142" i="1"/>
  <c r="LY120" i="1"/>
  <c r="LZ120" i="1"/>
  <c r="SF152" i="1"/>
  <c r="SE152" i="1"/>
  <c r="TP137" i="1"/>
  <c r="TO137" i="1"/>
  <c r="NI159" i="1"/>
  <c r="NJ159" i="1"/>
  <c r="UY128" i="1"/>
  <c r="UZ128" i="1"/>
  <c r="MQ126" i="1"/>
  <c r="MR126" i="1"/>
  <c r="AE140" i="1"/>
  <c r="AF140" i="1"/>
  <c r="QU126" i="1"/>
  <c r="QV126" i="1"/>
  <c r="MQ159" i="1"/>
  <c r="MR159" i="1"/>
  <c r="FT170" i="1"/>
  <c r="FS170" i="1"/>
  <c r="NJ137" i="1"/>
  <c r="NI137" i="1"/>
  <c r="EI159" i="1"/>
  <c r="EJ159" i="1"/>
  <c r="JF142" i="1"/>
  <c r="JE142" i="1"/>
  <c r="SW139" i="1"/>
  <c r="SX139" i="1"/>
  <c r="BO167" i="1"/>
  <c r="BP167" i="1"/>
  <c r="SX169" i="1"/>
  <c r="JX116" i="1"/>
  <c r="KA116" i="1" s="1"/>
  <c r="JW116" i="1"/>
  <c r="CY116" i="1"/>
  <c r="CZ116" i="1"/>
  <c r="DC116" i="1" s="1"/>
  <c r="JW157" i="1"/>
  <c r="JX157" i="1"/>
  <c r="KA157" i="1" s="1"/>
  <c r="IK153" i="1"/>
  <c r="IK154" i="1"/>
  <c r="LH148" i="1"/>
  <c r="LK148" i="1" s="1"/>
  <c r="LG148" i="1"/>
  <c r="CY166" i="1"/>
  <c r="CZ166" i="1"/>
  <c r="DC166" i="1" s="1"/>
  <c r="JE157" i="1"/>
  <c r="JF157" i="1"/>
  <c r="JI157" i="1" s="1"/>
  <c r="OS116" i="1"/>
  <c r="JC130" i="1"/>
  <c r="JC131" i="1"/>
  <c r="GK166" i="1"/>
  <c r="GL166" i="1"/>
  <c r="GO166" i="1" s="1"/>
  <c r="HU107" i="1"/>
  <c r="HV107" i="1"/>
  <c r="HY107" i="1" s="1"/>
  <c r="UG157" i="1"/>
  <c r="FB116" i="1"/>
  <c r="FE116" i="1" s="1"/>
  <c r="FA116" i="1"/>
  <c r="SE148" i="1"/>
  <c r="PK148" i="1"/>
  <c r="PL148" i="1"/>
  <c r="PO148" i="1" s="1"/>
  <c r="HC107" i="1"/>
  <c r="UZ148" i="1"/>
  <c r="VC148" i="1" s="1"/>
  <c r="UY148" i="1"/>
  <c r="MQ107" i="1"/>
  <c r="MR107" i="1"/>
  <c r="MU107" i="1" s="1"/>
  <c r="TO134" i="1"/>
  <c r="TO144" i="1" s="1"/>
  <c r="TP134" i="1"/>
  <c r="IM125" i="1"/>
  <c r="IN125" i="1"/>
  <c r="IQ125" i="1" s="1"/>
  <c r="DQ134" i="1"/>
  <c r="DR134" i="1"/>
  <c r="DU134" i="1" s="1"/>
  <c r="NY153" i="1"/>
  <c r="NY154" i="1"/>
  <c r="L162" i="1"/>
  <c r="L163" i="1"/>
  <c r="M157" i="1"/>
  <c r="N157" i="1"/>
  <c r="Q157" i="1" s="1"/>
  <c r="AE166" i="1"/>
  <c r="AF166" i="1"/>
  <c r="AI166" i="1" s="1"/>
  <c r="PK157" i="1"/>
  <c r="PL157" i="1"/>
  <c r="PO157" i="1" s="1"/>
  <c r="LW112" i="1"/>
  <c r="LW113" i="1"/>
  <c r="QS112" i="1"/>
  <c r="QS113" i="1"/>
  <c r="PI121" i="1"/>
  <c r="PI122" i="1"/>
  <c r="AW125" i="1"/>
  <c r="AX125" i="1"/>
  <c r="BA125" i="1" s="1"/>
  <c r="CY157" i="1"/>
  <c r="CZ157" i="1"/>
  <c r="DC157" i="1" s="1"/>
  <c r="HA154" i="1"/>
  <c r="HA153" i="1"/>
  <c r="UE112" i="1"/>
  <c r="UE113" i="1"/>
  <c r="QU125" i="1"/>
  <c r="QV125" i="1"/>
  <c r="QY125" i="1" s="1"/>
  <c r="JW107" i="1"/>
  <c r="JX107" i="1"/>
  <c r="KA107" i="1" s="1"/>
  <c r="IM166" i="1"/>
  <c r="IN166" i="1"/>
  <c r="IQ166" i="1" s="1"/>
  <c r="FT116" i="1"/>
  <c r="FW116" i="1" s="1"/>
  <c r="FS116" i="1"/>
  <c r="M166" i="1"/>
  <c r="N166" i="1"/>
  <c r="Q166" i="1" s="1"/>
  <c r="UW145" i="1"/>
  <c r="SU172" i="1"/>
  <c r="SU171" i="1"/>
  <c r="NI157" i="1"/>
  <c r="NJ157" i="1"/>
  <c r="NM157" i="1" s="1"/>
  <c r="NG121" i="1"/>
  <c r="NG122" i="1"/>
  <c r="K121" i="1"/>
  <c r="K122" i="1"/>
  <c r="N116" i="1"/>
  <c r="LZ116" i="1"/>
  <c r="MC116" i="1" s="1"/>
  <c r="LG134" i="1"/>
  <c r="LH134" i="1"/>
  <c r="LK134" i="1" s="1"/>
  <c r="OS157" i="1"/>
  <c r="OT157" i="1"/>
  <c r="OW157" i="1" s="1"/>
  <c r="SW134" i="1"/>
  <c r="SW144" i="1" s="1"/>
  <c r="SX134" i="1"/>
  <c r="MQ134" i="1"/>
  <c r="MR134" i="1"/>
  <c r="MU134" i="1" s="1"/>
  <c r="HU157" i="1"/>
  <c r="HV157" i="1"/>
  <c r="HY157" i="1" s="1"/>
  <c r="LG125" i="1"/>
  <c r="LH125" i="1"/>
  <c r="LK125" i="1" s="1"/>
  <c r="LY116" i="1"/>
  <c r="QC134" i="1"/>
  <c r="QD134" i="1"/>
  <c r="QG134" i="1" s="1"/>
  <c r="EG112" i="1"/>
  <c r="EG113" i="1"/>
  <c r="SW157" i="1"/>
  <c r="SX157" i="1"/>
  <c r="TA157" i="1" s="1"/>
  <c r="JC153" i="1"/>
  <c r="JC154" i="1"/>
  <c r="HA162" i="1"/>
  <c r="HA163" i="1"/>
  <c r="O125" i="1"/>
  <c r="S125" i="1"/>
  <c r="R125" i="1"/>
  <c r="EJ116" i="1"/>
  <c r="EM116" i="1" s="1"/>
  <c r="EI116" i="1"/>
  <c r="BP134" i="1"/>
  <c r="BO134" i="1"/>
  <c r="BO144" i="1" s="1"/>
  <c r="BP148" i="1"/>
  <c r="BS148" i="1" s="1"/>
  <c r="BO148" i="1"/>
  <c r="IN157" i="1"/>
  <c r="IQ157" i="1" s="1"/>
  <c r="IM157" i="1"/>
  <c r="FS166" i="1"/>
  <c r="FT166" i="1"/>
  <c r="FW166" i="1" s="1"/>
  <c r="AW134" i="1"/>
  <c r="AX134" i="1"/>
  <c r="BA134" i="1" s="1"/>
  <c r="RM116" i="1"/>
  <c r="UG116" i="1"/>
  <c r="UH116" i="1"/>
  <c r="UK116" i="1" s="1"/>
  <c r="CG134" i="1"/>
  <c r="CG144" i="1" s="1"/>
  <c r="CH134" i="1"/>
  <c r="IM107" i="1"/>
  <c r="HC116" i="1"/>
  <c r="HD116" i="1"/>
  <c r="HG116" i="1" s="1"/>
  <c r="UZ125" i="1"/>
  <c r="VC125" i="1" s="1"/>
  <c r="SW107" i="1"/>
  <c r="FA125" i="1"/>
  <c r="OS107" i="1"/>
  <c r="OT107" i="1"/>
  <c r="OW107" i="1" s="1"/>
  <c r="V73" i="39"/>
  <c r="IN116" i="1"/>
  <c r="IQ116" i="1" s="1"/>
  <c r="IM116" i="1"/>
  <c r="EI148" i="1"/>
  <c r="EJ148" i="1"/>
  <c r="EM148" i="1" s="1"/>
  <c r="HS122" i="1"/>
  <c r="HS121" i="1"/>
  <c r="UG134" i="1"/>
  <c r="UH134" i="1"/>
  <c r="UK134" i="1" s="1"/>
  <c r="OS166" i="1"/>
  <c r="OT166" i="1"/>
  <c r="OW166" i="1" s="1"/>
  <c r="AW107" i="1"/>
  <c r="AX107" i="1"/>
  <c r="BA107" i="1" s="1"/>
  <c r="QU134" i="1"/>
  <c r="QV134" i="1"/>
  <c r="QY134" i="1" s="1"/>
  <c r="KM144" i="1"/>
  <c r="KM145" i="1"/>
  <c r="UW112" i="1"/>
  <c r="UW113" i="1"/>
  <c r="UH125" i="1"/>
  <c r="UK125" i="1" s="1"/>
  <c r="UG125" i="1"/>
  <c r="MQ125" i="1"/>
  <c r="MR125" i="1"/>
  <c r="MU125" i="1" s="1"/>
  <c r="QU116" i="1"/>
  <c r="QV116" i="1"/>
  <c r="QY116" i="1" s="1"/>
  <c r="EI134" i="1"/>
  <c r="EJ134" i="1"/>
  <c r="EM134" i="1" s="1"/>
  <c r="GK107" i="1"/>
  <c r="GL107" i="1"/>
  <c r="GO107" i="1" s="1"/>
  <c r="UE153" i="1"/>
  <c r="UE154" i="1"/>
  <c r="EG171" i="1"/>
  <c r="EG172" i="1"/>
  <c r="DR148" i="1"/>
  <c r="DU148" i="1" s="1"/>
  <c r="DQ148" i="1"/>
  <c r="UE171" i="1"/>
  <c r="UE172" i="1"/>
  <c r="FA157" i="1"/>
  <c r="FB157" i="1"/>
  <c r="FE157" i="1" s="1"/>
  <c r="NG112" i="1"/>
  <c r="NG113" i="1"/>
  <c r="SC162" i="1"/>
  <c r="SC163" i="1"/>
  <c r="OA107" i="1"/>
  <c r="OB107" i="1"/>
  <c r="OE107" i="1" s="1"/>
  <c r="CW154" i="1"/>
  <c r="CW153" i="1"/>
  <c r="QC107" i="1"/>
  <c r="QD107" i="1"/>
  <c r="QG107" i="1" s="1"/>
  <c r="DQ116" i="1"/>
  <c r="DR116" i="1"/>
  <c r="DU116" i="1" s="1"/>
  <c r="JW166" i="1"/>
  <c r="JX166" i="1"/>
  <c r="KA166" i="1" s="1"/>
  <c r="MQ157" i="1"/>
  <c r="MR157" i="1"/>
  <c r="MU157" i="1" s="1"/>
  <c r="QA154" i="1"/>
  <c r="QA153" i="1"/>
  <c r="CY125" i="1"/>
  <c r="CZ125" i="1"/>
  <c r="DC125" i="1" s="1"/>
  <c r="PK166" i="1"/>
  <c r="PL166" i="1"/>
  <c r="PO166" i="1" s="1"/>
  <c r="UY125" i="1"/>
  <c r="RK130" i="1"/>
  <c r="RK131" i="1"/>
  <c r="HA171" i="1"/>
  <c r="HA172" i="1"/>
  <c r="TM112" i="1"/>
  <c r="TM113" i="1"/>
  <c r="HS153" i="1"/>
  <c r="HS154" i="1"/>
  <c r="CG125" i="1"/>
  <c r="CH125" i="1"/>
  <c r="CK125" i="1" s="1"/>
  <c r="TO157" i="1"/>
  <c r="TP157" i="1"/>
  <c r="TS157" i="1" s="1"/>
  <c r="HS144" i="1"/>
  <c r="HS145" i="1"/>
  <c r="GK134" i="1"/>
  <c r="GL134" i="1"/>
  <c r="GO134" i="1" s="1"/>
  <c r="FT157" i="1"/>
  <c r="FW157" i="1" s="1"/>
  <c r="FS157" i="1"/>
  <c r="M134" i="1"/>
  <c r="M144" i="1" s="1"/>
  <c r="N134" i="1"/>
  <c r="EG130" i="1"/>
  <c r="EG131" i="1"/>
  <c r="UY116" i="1"/>
  <c r="UZ116" i="1"/>
  <c r="VC116" i="1" s="1"/>
  <c r="NY163" i="1"/>
  <c r="NY162" i="1"/>
  <c r="DQ125" i="1"/>
  <c r="IM134" i="1"/>
  <c r="IN134" i="1"/>
  <c r="IQ134" i="1" s="1"/>
  <c r="FQ130" i="1"/>
  <c r="FQ131" i="1"/>
  <c r="HS172" i="1"/>
  <c r="HS171" i="1"/>
  <c r="DQ157" i="1"/>
  <c r="GI153" i="1"/>
  <c r="GI154" i="1"/>
  <c r="PL125" i="1"/>
  <c r="PO125" i="1" s="1"/>
  <c r="PK125" i="1"/>
  <c r="TM153" i="1"/>
  <c r="TM154" i="1"/>
  <c r="KO148" i="1"/>
  <c r="KP148" i="1"/>
  <c r="KS148" i="1" s="1"/>
  <c r="LG107" i="1"/>
  <c r="LH107" i="1"/>
  <c r="LK107" i="1" s="1"/>
  <c r="MQ148" i="1"/>
  <c r="E61" i="27"/>
  <c r="E62" i="27" s="1"/>
  <c r="U122" i="27"/>
  <c r="V122" i="27" s="1"/>
  <c r="U96" i="27"/>
  <c r="V96" i="27" s="1"/>
  <c r="U91" i="27"/>
  <c r="V91" i="27" s="1"/>
  <c r="U99" i="27"/>
  <c r="V99" i="27" s="1"/>
  <c r="U116" i="27"/>
  <c r="V116" i="27" s="1"/>
  <c r="U72" i="27"/>
  <c r="V72" i="27" s="1"/>
  <c r="U115" i="27"/>
  <c r="V115" i="27" s="1"/>
  <c r="U111" i="27"/>
  <c r="V111" i="27" s="1"/>
  <c r="U117" i="27"/>
  <c r="V117" i="27" s="1"/>
  <c r="U83" i="27"/>
  <c r="V83" i="27" s="1"/>
  <c r="U103" i="27"/>
  <c r="V103" i="27" s="1"/>
  <c r="U109" i="27"/>
  <c r="V109" i="27" s="1"/>
  <c r="U127" i="27"/>
  <c r="V127" i="27" s="1"/>
  <c r="U128" i="27"/>
  <c r="V128" i="27" s="1"/>
  <c r="U104" i="27"/>
  <c r="V104" i="27" s="1"/>
  <c r="U76" i="27"/>
  <c r="V76" i="27" s="1"/>
  <c r="U74" i="27"/>
  <c r="V74" i="27" s="1"/>
  <c r="U130" i="27"/>
  <c r="V130" i="27" s="1"/>
  <c r="U71" i="27"/>
  <c r="V71" i="27" s="1"/>
  <c r="U73" i="27"/>
  <c r="V73" i="27" s="1"/>
  <c r="U84" i="27"/>
  <c r="V84" i="27" s="1"/>
  <c r="U112" i="27"/>
  <c r="V112" i="27" s="1"/>
  <c r="U129" i="27"/>
  <c r="V129" i="27" s="1"/>
  <c r="U100" i="27"/>
  <c r="V100" i="27" s="1"/>
  <c r="U125" i="27"/>
  <c r="V125" i="27" s="1"/>
  <c r="U78" i="27"/>
  <c r="V78" i="27" s="1"/>
  <c r="U114" i="27"/>
  <c r="V114" i="27" s="1"/>
  <c r="U85" i="27"/>
  <c r="V85" i="27" s="1"/>
  <c r="U70" i="27"/>
  <c r="V70" i="27" s="1"/>
  <c r="U89" i="27"/>
  <c r="V89" i="27" s="1"/>
  <c r="U123" i="27"/>
  <c r="V123" i="27" s="1"/>
  <c r="U75" i="27"/>
  <c r="V75" i="27" s="1"/>
  <c r="U87" i="27"/>
  <c r="V87" i="27" s="1"/>
  <c r="U110" i="27"/>
  <c r="V110" i="27" s="1"/>
  <c r="U126" i="27"/>
  <c r="V126" i="27" s="1"/>
  <c r="U124" i="27"/>
  <c r="V124" i="27" s="1"/>
  <c r="U101" i="27"/>
  <c r="V101" i="27" s="1"/>
  <c r="U77" i="27"/>
  <c r="V77" i="27" s="1"/>
  <c r="U102" i="27"/>
  <c r="V102" i="27" s="1"/>
  <c r="U86" i="27"/>
  <c r="V86" i="27" s="1"/>
  <c r="U113" i="27"/>
  <c r="V113" i="27" s="1"/>
  <c r="U97" i="27"/>
  <c r="V97" i="27" s="1"/>
  <c r="U82" i="27"/>
  <c r="U69" i="27"/>
  <c r="U88" i="27"/>
  <c r="V88" i="27" s="1"/>
  <c r="U90" i="27"/>
  <c r="V90" i="27" s="1"/>
  <c r="U108" i="27"/>
  <c r="U121" i="27"/>
  <c r="U95" i="27"/>
  <c r="U98" i="27"/>
  <c r="V98" i="27" s="1"/>
  <c r="NI125" i="1"/>
  <c r="NJ125" i="1"/>
  <c r="NM125" i="1" s="1"/>
  <c r="RM148" i="1"/>
  <c r="RN148" i="1"/>
  <c r="RQ148" i="1" s="1"/>
  <c r="CW113" i="1"/>
  <c r="SE107" i="1"/>
  <c r="SF107" i="1"/>
  <c r="SI107" i="1" s="1"/>
  <c r="LG116" i="1"/>
  <c r="LH116" i="1"/>
  <c r="LK116" i="1" s="1"/>
  <c r="FS134" i="1"/>
  <c r="FT134" i="1"/>
  <c r="FW134" i="1" s="1"/>
  <c r="HD134" i="1"/>
  <c r="HG134" i="1" s="1"/>
  <c r="HC134" i="1"/>
  <c r="AW148" i="1"/>
  <c r="AX148" i="1"/>
  <c r="BA148" i="1" s="1"/>
  <c r="QC116" i="1"/>
  <c r="QD116" i="1"/>
  <c r="QG116" i="1" s="1"/>
  <c r="AC112" i="1"/>
  <c r="AC113" i="1"/>
  <c r="CE171" i="1"/>
  <c r="CE172" i="1"/>
  <c r="NI166" i="1"/>
  <c r="NJ166" i="1"/>
  <c r="NM166" i="1" s="1"/>
  <c r="SW125" i="1"/>
  <c r="SX125" i="1"/>
  <c r="TA125" i="1" s="1"/>
  <c r="NI134" i="1"/>
  <c r="AC122" i="1"/>
  <c r="AC121" i="1"/>
  <c r="MQ116" i="1"/>
  <c r="MR116" i="1"/>
  <c r="MU116" i="1" s="1"/>
  <c r="FA134" i="1"/>
  <c r="FA144" i="1" s="1"/>
  <c r="FB134" i="1"/>
  <c r="SC144" i="1"/>
  <c r="SC145" i="1"/>
  <c r="OQ153" i="1"/>
  <c r="OQ154" i="1"/>
  <c r="SE166" i="1"/>
  <c r="SF166" i="1"/>
  <c r="SI166" i="1" s="1"/>
  <c r="RM107" i="1"/>
  <c r="RN107" i="1"/>
  <c r="RQ107" i="1" s="1"/>
  <c r="JE134" i="1"/>
  <c r="JF134" i="1"/>
  <c r="JI134" i="1" s="1"/>
  <c r="GL157" i="1"/>
  <c r="GO157" i="1" s="1"/>
  <c r="GK157" i="1"/>
  <c r="M148" i="1"/>
  <c r="N148" i="1"/>
  <c r="Q148" i="1" s="1"/>
  <c r="OT116" i="1"/>
  <c r="OW116" i="1" s="1"/>
  <c r="RN116" i="1"/>
  <c r="RQ116" i="1" s="1"/>
  <c r="DR125" i="1"/>
  <c r="DU125" i="1" s="1"/>
  <c r="CY134" i="1"/>
  <c r="CY144" i="1" s="1"/>
  <c r="CZ134" i="1"/>
  <c r="HS130" i="1"/>
  <c r="HS131" i="1"/>
  <c r="CG107" i="1"/>
  <c r="CG112" i="1" s="1"/>
  <c r="CH107" i="1"/>
  <c r="AC144" i="1"/>
  <c r="AC145" i="1"/>
  <c r="I115" i="1"/>
  <c r="DO112" i="1"/>
  <c r="DO113" i="1"/>
  <c r="IN107" i="1"/>
  <c r="IQ107" i="1" s="1"/>
  <c r="AW166" i="1"/>
  <c r="AX166" i="1"/>
  <c r="BA166" i="1" s="1"/>
  <c r="LG166" i="1"/>
  <c r="LH166" i="1"/>
  <c r="LK166" i="1" s="1"/>
  <c r="DR157" i="1"/>
  <c r="DU157" i="1" s="1"/>
  <c r="SX107" i="1"/>
  <c r="TA107" i="1" s="1"/>
  <c r="LY125" i="1"/>
  <c r="LZ125" i="1"/>
  <c r="MC125" i="1" s="1"/>
  <c r="FB125" i="1"/>
  <c r="FE125" i="1" s="1"/>
  <c r="SW148" i="1"/>
  <c r="SX148" i="1"/>
  <c r="TA148" i="1" s="1"/>
  <c r="AC153" i="1"/>
  <c r="AC154" i="1"/>
  <c r="UH157" i="1"/>
  <c r="UK157" i="1" s="1"/>
  <c r="FA166" i="1"/>
  <c r="FB166" i="1"/>
  <c r="FE166" i="1" s="1"/>
  <c r="RM166" i="1"/>
  <c r="RN166" i="1"/>
  <c r="RQ166" i="1" s="1"/>
  <c r="QU148" i="1"/>
  <c r="QV148" i="1"/>
  <c r="QY148" i="1" s="1"/>
  <c r="SF148" i="1"/>
  <c r="SI148" i="1" s="1"/>
  <c r="LY157" i="1"/>
  <c r="LZ157" i="1"/>
  <c r="MC157" i="1" s="1"/>
  <c r="HD107" i="1"/>
  <c r="HG107" i="1" s="1"/>
  <c r="JW134" i="1"/>
  <c r="JX134" i="1"/>
  <c r="KA134" i="1" s="1"/>
  <c r="JE107" i="1"/>
  <c r="JF107" i="1"/>
  <c r="JI107" i="1" s="1"/>
  <c r="QC125" i="1"/>
  <c r="QD125" i="1"/>
  <c r="QG125" i="1" s="1"/>
  <c r="KO125" i="1"/>
  <c r="KP125" i="1"/>
  <c r="KS125" i="1" s="1"/>
  <c r="AW157" i="1"/>
  <c r="AX157" i="1"/>
  <c r="BA157" i="1" s="1"/>
  <c r="HA130" i="1"/>
  <c r="HA131" i="1"/>
  <c r="FA148" i="1"/>
  <c r="FB148" i="1"/>
  <c r="FE148" i="1" s="1"/>
  <c r="MR148" i="1"/>
  <c r="MU148" i="1" s="1"/>
  <c r="OA134" i="1"/>
  <c r="OA144" i="1" s="1"/>
  <c r="OB134" i="1"/>
  <c r="LZ148" i="1"/>
  <c r="MC148" i="1" s="1"/>
  <c r="LY148" i="1"/>
  <c r="OB166" i="1"/>
  <c r="OE166" i="1" s="1"/>
  <c r="OA166" i="1"/>
  <c r="FA107" i="1"/>
  <c r="FB107" i="1"/>
  <c r="FE107" i="1" s="1"/>
  <c r="LG109" i="1"/>
  <c r="LH109" i="1"/>
  <c r="LK109" i="1" s="1"/>
  <c r="SW138" i="1"/>
  <c r="SX138" i="1"/>
  <c r="TA138" i="1" s="1"/>
  <c r="AW140" i="1"/>
  <c r="AX140" i="1"/>
  <c r="BA140" i="1" s="1"/>
  <c r="FS128" i="1"/>
  <c r="FT128" i="1"/>
  <c r="FW128" i="1" s="1"/>
  <c r="KO160" i="1"/>
  <c r="KP160" i="1"/>
  <c r="KS160" i="1" s="1"/>
  <c r="CY135" i="1"/>
  <c r="CZ135" i="1"/>
  <c r="DC135" i="1" s="1"/>
  <c r="KO111" i="1"/>
  <c r="KP111" i="1"/>
  <c r="KS111" i="1" s="1"/>
  <c r="K145" i="1"/>
  <c r="E61" i="39"/>
  <c r="E62" i="39" s="1"/>
  <c r="U76" i="39"/>
  <c r="V76" i="39" s="1"/>
  <c r="U77" i="39"/>
  <c r="V77" i="39" s="1"/>
  <c r="U78" i="39"/>
  <c r="V78" i="39" s="1"/>
  <c r="U81" i="39"/>
  <c r="V81" i="39" s="1"/>
  <c r="U79" i="39"/>
  <c r="V79" i="39" s="1"/>
  <c r="U74" i="39"/>
  <c r="V74" i="39" s="1"/>
  <c r="U82" i="39"/>
  <c r="V82" i="39" s="1"/>
  <c r="U75" i="39"/>
  <c r="V75" i="39" s="1"/>
  <c r="U80" i="39"/>
  <c r="V80" i="39" s="1"/>
  <c r="U69" i="28"/>
  <c r="HA144" i="1"/>
  <c r="HA145" i="1"/>
  <c r="JU122" i="1"/>
  <c r="JU121" i="1"/>
  <c r="U69" i="39"/>
  <c r="K162" i="1"/>
  <c r="K163" i="1"/>
  <c r="AC171" i="1"/>
  <c r="AC172" i="1"/>
  <c r="BM145" i="1"/>
  <c r="IK121" i="1"/>
  <c r="IK122" i="1"/>
  <c r="NG172" i="1"/>
  <c r="NG171" i="1"/>
  <c r="BM153" i="1"/>
  <c r="BM154" i="1"/>
  <c r="AU131" i="1"/>
  <c r="AU130" i="1"/>
  <c r="LE153" i="1"/>
  <c r="LE154" i="1"/>
  <c r="CW172" i="1"/>
  <c r="CW171" i="1"/>
  <c r="IK162" i="1"/>
  <c r="IK163" i="1"/>
  <c r="OQ171" i="1"/>
  <c r="OQ172" i="1"/>
  <c r="RK112" i="1"/>
  <c r="RK113" i="1"/>
  <c r="FQ171" i="1"/>
  <c r="FQ172" i="1"/>
  <c r="JU112" i="1"/>
  <c r="JU113" i="1"/>
  <c r="FQ144" i="1"/>
  <c r="FQ145" i="1"/>
  <c r="GI162" i="1"/>
  <c r="GI163" i="1"/>
  <c r="AU144" i="1"/>
  <c r="AU145" i="1"/>
  <c r="FQ121" i="1"/>
  <c r="FQ122" i="1"/>
  <c r="CW145" i="1"/>
  <c r="UE130" i="1"/>
  <c r="UE131" i="1"/>
  <c r="CE113" i="1"/>
  <c r="NG162" i="1"/>
  <c r="NG163" i="1"/>
  <c r="QS121" i="1"/>
  <c r="QS122" i="1"/>
  <c r="LW121" i="1"/>
  <c r="LW122" i="1"/>
  <c r="EG144" i="1"/>
  <c r="EG145" i="1"/>
  <c r="EY163" i="1"/>
  <c r="EY162" i="1"/>
  <c r="U90" i="28"/>
  <c r="V90" i="28" s="1"/>
  <c r="GI171" i="1"/>
  <c r="GI172" i="1"/>
  <c r="NY112" i="1"/>
  <c r="NY113" i="1"/>
  <c r="LW130" i="1"/>
  <c r="LW131" i="1"/>
  <c r="HS112" i="1"/>
  <c r="HS113" i="1"/>
  <c r="SU145" i="1"/>
  <c r="U89" i="28"/>
  <c r="V89" i="28" s="1"/>
  <c r="JU171" i="1"/>
  <c r="JU172" i="1"/>
  <c r="MO162" i="1"/>
  <c r="MO163" i="1"/>
  <c r="HS163" i="1"/>
  <c r="HS162" i="1"/>
  <c r="RK172" i="1"/>
  <c r="RK171" i="1"/>
  <c r="LW162" i="1"/>
  <c r="LW163" i="1"/>
  <c r="PI153" i="1"/>
  <c r="PI154" i="1"/>
  <c r="JU144" i="1"/>
  <c r="JU145" i="1"/>
  <c r="PI131" i="1"/>
  <c r="PI130" i="1"/>
  <c r="UW153" i="1"/>
  <c r="UW154" i="1"/>
  <c r="MO112" i="1"/>
  <c r="MO113" i="1"/>
  <c r="SU163" i="1"/>
  <c r="SU162" i="1"/>
  <c r="KM130" i="1"/>
  <c r="KM131" i="1"/>
  <c r="TM145" i="1"/>
  <c r="AU162" i="1"/>
  <c r="AU163" i="1"/>
  <c r="LE112" i="1"/>
  <c r="LE113" i="1"/>
  <c r="IK131" i="1"/>
  <c r="IK130" i="1"/>
  <c r="LW153" i="1"/>
  <c r="LW154" i="1"/>
  <c r="NY171" i="1"/>
  <c r="NY172" i="1"/>
  <c r="PI145" i="1"/>
  <c r="SW111" i="1"/>
  <c r="SX111" i="1"/>
  <c r="TA111" i="1" s="1"/>
  <c r="FA142" i="1"/>
  <c r="FB142" i="1"/>
  <c r="FE142" i="1" s="1"/>
  <c r="MQ109" i="1"/>
  <c r="MR109" i="1"/>
  <c r="MU109" i="1" s="1"/>
  <c r="CG141" i="1"/>
  <c r="CH141" i="1"/>
  <c r="CK141" i="1" s="1"/>
  <c r="JW110" i="1"/>
  <c r="JX110" i="1"/>
  <c r="KA110" i="1" s="1"/>
  <c r="BO169" i="1"/>
  <c r="BP169" i="1"/>
  <c r="BS169" i="1" s="1"/>
  <c r="JW129" i="1"/>
  <c r="JX129" i="1"/>
  <c r="KA129" i="1" s="1"/>
  <c r="QC169" i="1"/>
  <c r="QD169" i="1"/>
  <c r="QG169" i="1" s="1"/>
  <c r="EI152" i="1"/>
  <c r="EJ152" i="1"/>
  <c r="EM152" i="1" s="1"/>
  <c r="CE163" i="1"/>
  <c r="JE170" i="1"/>
  <c r="JF170" i="1"/>
  <c r="JI170" i="1" s="1"/>
  <c r="AE152" i="1"/>
  <c r="AF152" i="1"/>
  <c r="AI152" i="1" s="1"/>
  <c r="FS158" i="1"/>
  <c r="FT158" i="1"/>
  <c r="FW158" i="1" s="1"/>
  <c r="UG110" i="1"/>
  <c r="UH110" i="1"/>
  <c r="UK110" i="1" s="1"/>
  <c r="FS152" i="1"/>
  <c r="FT152" i="1"/>
  <c r="FW152" i="1" s="1"/>
  <c r="NI169" i="1"/>
  <c r="NJ169" i="1"/>
  <c r="NM169" i="1" s="1"/>
  <c r="KM112" i="1"/>
  <c r="KM113" i="1"/>
  <c r="SE160" i="1"/>
  <c r="SF160" i="1"/>
  <c r="SI160" i="1" s="1"/>
  <c r="IM108" i="1"/>
  <c r="IN108" i="1"/>
  <c r="IQ108" i="1" s="1"/>
  <c r="KO158" i="1"/>
  <c r="KP158" i="1"/>
  <c r="KS158" i="1" s="1"/>
  <c r="EI137" i="1"/>
  <c r="EJ137" i="1"/>
  <c r="EM137" i="1" s="1"/>
  <c r="QC109" i="1"/>
  <c r="QD109" i="1"/>
  <c r="QG109" i="1" s="1"/>
  <c r="CG120" i="1"/>
  <c r="CH120" i="1"/>
  <c r="CK120" i="1" s="1"/>
  <c r="E61" i="28"/>
  <c r="E62" i="28" s="1"/>
  <c r="U77" i="28"/>
  <c r="V77" i="28" s="1"/>
  <c r="U74" i="28"/>
  <c r="V74" i="28" s="1"/>
  <c r="U75" i="28"/>
  <c r="V75" i="28" s="1"/>
  <c r="U78" i="28"/>
  <c r="V78" i="28" s="1"/>
  <c r="U73" i="28"/>
  <c r="V73" i="28" s="1"/>
  <c r="U70" i="28"/>
  <c r="V70" i="28" s="1"/>
  <c r="U71" i="28"/>
  <c r="V71" i="28" s="1"/>
  <c r="U83" i="28"/>
  <c r="V83" i="28" s="1"/>
  <c r="E60" i="41"/>
  <c r="E61" i="41" s="1"/>
  <c r="U84" i="41"/>
  <c r="V84" i="41" s="1"/>
  <c r="U98" i="41"/>
  <c r="V98" i="41" s="1"/>
  <c r="U76" i="41"/>
  <c r="V76" i="41" s="1"/>
  <c r="U111" i="41"/>
  <c r="V111" i="41" s="1"/>
  <c r="U89" i="41"/>
  <c r="V89" i="41" s="1"/>
  <c r="U123" i="41"/>
  <c r="V123" i="41" s="1"/>
  <c r="U73" i="41"/>
  <c r="V73" i="41" s="1"/>
  <c r="U125" i="41"/>
  <c r="V125" i="41" s="1"/>
  <c r="U90" i="41"/>
  <c r="V90" i="41" s="1"/>
  <c r="U69" i="41"/>
  <c r="V69" i="41" s="1"/>
  <c r="X69" i="41" s="1"/>
  <c r="U128" i="41"/>
  <c r="V128" i="41" s="1"/>
  <c r="U77" i="41"/>
  <c r="V77" i="41" s="1"/>
  <c r="U121" i="41"/>
  <c r="V121" i="41" s="1"/>
  <c r="U127" i="41"/>
  <c r="V127" i="41" s="1"/>
  <c r="U74" i="41"/>
  <c r="V74" i="41" s="1"/>
  <c r="U126" i="41"/>
  <c r="V126" i="41" s="1"/>
  <c r="U116" i="41"/>
  <c r="V116" i="41" s="1"/>
  <c r="U72" i="41"/>
  <c r="V72" i="41" s="1"/>
  <c r="U85" i="41"/>
  <c r="V85" i="41" s="1"/>
  <c r="U113" i="41"/>
  <c r="V113" i="41" s="1"/>
  <c r="U96" i="41"/>
  <c r="V96" i="41" s="1"/>
  <c r="U95" i="41"/>
  <c r="V95" i="41" s="1"/>
  <c r="U83" i="41"/>
  <c r="V83" i="41" s="1"/>
  <c r="U99" i="41"/>
  <c r="V99" i="41" s="1"/>
  <c r="U70" i="41"/>
  <c r="V70" i="41" s="1"/>
  <c r="U109" i="41"/>
  <c r="V109" i="41" s="1"/>
  <c r="U124" i="41"/>
  <c r="V124" i="41" s="1"/>
  <c r="U112" i="41"/>
  <c r="V112" i="41" s="1"/>
  <c r="U88" i="41"/>
  <c r="V88" i="41" s="1"/>
  <c r="U71" i="41"/>
  <c r="V71" i="41" s="1"/>
  <c r="U101" i="41"/>
  <c r="V101" i="41" s="1"/>
  <c r="U110" i="41"/>
  <c r="V110" i="41" s="1"/>
  <c r="U103" i="41"/>
  <c r="V103" i="41" s="1"/>
  <c r="U129" i="41"/>
  <c r="V129" i="41" s="1"/>
  <c r="U107" i="41"/>
  <c r="BM130" i="1"/>
  <c r="BM131" i="1"/>
  <c r="LW144" i="1"/>
  <c r="LW145" i="1"/>
  <c r="SC121" i="1"/>
  <c r="SC122" i="1"/>
  <c r="NG144" i="1"/>
  <c r="NG145" i="1"/>
  <c r="NY121" i="1"/>
  <c r="NY122" i="1"/>
  <c r="U88" i="28"/>
  <c r="V88" i="28" s="1"/>
  <c r="UW162" i="1"/>
  <c r="UW163" i="1"/>
  <c r="CE121" i="1"/>
  <c r="CE122" i="1"/>
  <c r="JC122" i="1"/>
  <c r="JC121" i="1"/>
  <c r="GI121" i="1"/>
  <c r="GI122" i="1"/>
  <c r="AU121" i="1"/>
  <c r="AU122" i="1"/>
  <c r="FQ112" i="1"/>
  <c r="FQ113" i="1"/>
  <c r="LW172" i="1"/>
  <c r="LW171" i="1"/>
  <c r="QS162" i="1"/>
  <c r="QS163" i="1"/>
  <c r="OQ144" i="1"/>
  <c r="OQ145" i="1"/>
  <c r="OQ122" i="1"/>
  <c r="OQ121" i="1"/>
  <c r="RK122" i="1"/>
  <c r="RK121" i="1"/>
  <c r="DO130" i="1"/>
  <c r="DO131" i="1"/>
  <c r="BM162" i="1"/>
  <c r="BM163" i="1"/>
  <c r="AC162" i="1"/>
  <c r="AC163" i="1"/>
  <c r="SU121" i="1"/>
  <c r="SU122" i="1"/>
  <c r="KM122" i="1"/>
  <c r="KM121" i="1"/>
  <c r="QS171" i="1"/>
  <c r="QS172" i="1"/>
  <c r="AC130" i="1"/>
  <c r="AC131" i="1"/>
  <c r="BM121" i="1"/>
  <c r="BM122" i="1"/>
  <c r="IK112" i="1"/>
  <c r="IK113" i="1"/>
  <c r="DO172" i="1"/>
  <c r="DO171" i="1"/>
  <c r="DO162" i="1"/>
  <c r="DO163" i="1"/>
  <c r="SU112" i="1"/>
  <c r="SU113" i="1"/>
  <c r="BM171" i="1"/>
  <c r="BM172" i="1"/>
  <c r="EG162" i="1"/>
  <c r="EG163" i="1"/>
  <c r="KM171" i="1"/>
  <c r="KM172" i="1"/>
  <c r="EY130" i="1"/>
  <c r="EY131" i="1"/>
  <c r="JU154" i="1"/>
  <c r="JU153" i="1"/>
  <c r="UE163" i="1"/>
  <c r="UE162" i="1"/>
  <c r="SC153" i="1"/>
  <c r="SC154" i="1"/>
  <c r="HA112" i="1"/>
  <c r="HA113" i="1"/>
  <c r="SC130" i="1"/>
  <c r="SC131" i="1"/>
  <c r="LE162" i="1"/>
  <c r="LE163" i="1"/>
  <c r="FQ153" i="1"/>
  <c r="FQ154" i="1"/>
  <c r="JC171" i="1"/>
  <c r="JC172" i="1"/>
  <c r="KM162" i="1"/>
  <c r="KM163" i="1"/>
  <c r="MO153" i="1"/>
  <c r="MO154" i="1"/>
  <c r="UY157" i="1"/>
  <c r="NY130" i="1"/>
  <c r="NY131" i="1"/>
  <c r="TM130" i="1"/>
  <c r="TM131" i="1"/>
  <c r="L131" i="1"/>
  <c r="L130" i="1"/>
  <c r="M125" i="1"/>
  <c r="EY112" i="1"/>
  <c r="EY113" i="1"/>
  <c r="PI113" i="1"/>
  <c r="PI112" i="1"/>
  <c r="UW172" i="1"/>
  <c r="UW171" i="1"/>
  <c r="MO171" i="1"/>
  <c r="MO172" i="1"/>
  <c r="HC128" i="1"/>
  <c r="HD128" i="1"/>
  <c r="HG128" i="1" s="1"/>
  <c r="DQ142" i="1"/>
  <c r="DR142" i="1"/>
  <c r="DU142" i="1" s="1"/>
  <c r="U72" i="28"/>
  <c r="V72" i="28" s="1"/>
  <c r="PK128" i="1"/>
  <c r="PL128" i="1"/>
  <c r="PO128" i="1" s="1"/>
  <c r="BO158" i="1"/>
  <c r="BP158" i="1"/>
  <c r="BS158" i="1" s="1"/>
  <c r="FS140" i="1"/>
  <c r="FT140" i="1"/>
  <c r="FW140" i="1" s="1"/>
  <c r="U100" i="41"/>
  <c r="V100" i="41" s="1"/>
  <c r="U75" i="41"/>
  <c r="V75" i="41" s="1"/>
  <c r="U114" i="41"/>
  <c r="V114" i="41" s="1"/>
  <c r="U122" i="41"/>
  <c r="V122" i="41" s="1"/>
  <c r="TO151" i="1"/>
  <c r="TP151" i="1"/>
  <c r="TS151" i="1" s="1"/>
  <c r="GK128" i="1"/>
  <c r="GL128" i="1"/>
  <c r="GO128" i="1" s="1"/>
  <c r="FA137" i="1"/>
  <c r="FB137" i="1"/>
  <c r="FE137" i="1" s="1"/>
  <c r="SW150" i="1"/>
  <c r="SX150" i="1"/>
  <c r="TA150" i="1" s="1"/>
  <c r="CY108" i="1"/>
  <c r="CZ108" i="1"/>
  <c r="DC108" i="1" s="1"/>
  <c r="M117" i="1"/>
  <c r="N117" i="1"/>
  <c r="Q117" i="1" s="1"/>
  <c r="QA163" i="1"/>
  <c r="KO169" i="1"/>
  <c r="KP169" i="1"/>
  <c r="KS169" i="1" s="1"/>
  <c r="LG149" i="1"/>
  <c r="LH149" i="1"/>
  <c r="LK149" i="1" s="1"/>
  <c r="UG141" i="1"/>
  <c r="UH141" i="1"/>
  <c r="UK141" i="1" s="1"/>
  <c r="QU160" i="1"/>
  <c r="QV160" i="1"/>
  <c r="QY160" i="1" s="1"/>
  <c r="UY129" i="1"/>
  <c r="UZ129" i="1"/>
  <c r="VC129" i="1" s="1"/>
  <c r="NG130" i="1"/>
  <c r="NG131" i="1"/>
  <c r="AU153" i="1"/>
  <c r="AU154" i="1"/>
  <c r="QA121" i="1"/>
  <c r="QA122" i="1"/>
  <c r="EG122" i="1"/>
  <c r="EG121" i="1"/>
  <c r="CW121" i="1"/>
  <c r="CW122" i="1"/>
  <c r="RK153" i="1"/>
  <c r="RK154" i="1"/>
  <c r="JU162" i="1"/>
  <c r="JU163" i="1"/>
  <c r="PI162" i="1"/>
  <c r="PI163" i="1"/>
  <c r="EG153" i="1"/>
  <c r="EG154" i="1"/>
  <c r="SU131" i="1"/>
  <c r="SU130" i="1"/>
  <c r="MO121" i="1"/>
  <c r="MO122" i="1"/>
  <c r="EY145" i="1"/>
  <c r="UW121" i="1"/>
  <c r="UW122" i="1"/>
  <c r="SC112" i="1"/>
  <c r="SC113" i="1"/>
  <c r="LE121" i="1"/>
  <c r="LE122" i="1"/>
  <c r="U85" i="28"/>
  <c r="V85" i="28" s="1"/>
  <c r="CW163" i="1"/>
  <c r="CW162" i="1"/>
  <c r="UE144" i="1"/>
  <c r="UE145" i="1"/>
  <c r="SC172" i="1"/>
  <c r="SC171" i="1"/>
  <c r="QS131" i="1"/>
  <c r="QS130" i="1"/>
  <c r="AU112" i="1"/>
  <c r="AU113" i="1"/>
  <c r="JC145" i="1"/>
  <c r="JC144" i="1"/>
  <c r="JC162" i="1"/>
  <c r="JC163" i="1"/>
  <c r="IK171" i="1"/>
  <c r="IK172" i="1"/>
  <c r="QS144" i="1"/>
  <c r="QS145" i="1"/>
  <c r="K153" i="1"/>
  <c r="K154" i="1"/>
  <c r="K171" i="1"/>
  <c r="K172" i="1"/>
  <c r="MO130" i="1"/>
  <c r="MO131" i="1"/>
  <c r="IK144" i="1"/>
  <c r="IK145" i="1"/>
  <c r="U94" i="41"/>
  <c r="UE121" i="1"/>
  <c r="UE122" i="1"/>
  <c r="CE145" i="1"/>
  <c r="AU171" i="1"/>
  <c r="AU172" i="1"/>
  <c r="HA121" i="1"/>
  <c r="HA122" i="1"/>
  <c r="UW130" i="1"/>
  <c r="UW131" i="1"/>
  <c r="LE172" i="1"/>
  <c r="LE171" i="1"/>
  <c r="GI112" i="1"/>
  <c r="GI113" i="1"/>
  <c r="LE144" i="1"/>
  <c r="LE145" i="1"/>
  <c r="DO154" i="1"/>
  <c r="DO153" i="1"/>
  <c r="OQ162" i="1"/>
  <c r="OQ163" i="1"/>
  <c r="SU154" i="1"/>
  <c r="SU153" i="1"/>
  <c r="QA113" i="1"/>
  <c r="QA112" i="1"/>
  <c r="DO121" i="1"/>
  <c r="DO122" i="1"/>
  <c r="TM121" i="1"/>
  <c r="TM122" i="1"/>
  <c r="MO144" i="1"/>
  <c r="MO145" i="1"/>
  <c r="U87" i="28"/>
  <c r="V87" i="28" s="1"/>
  <c r="EY121" i="1"/>
  <c r="EY122" i="1"/>
  <c r="OQ112" i="1"/>
  <c r="OQ113" i="1"/>
  <c r="EY172" i="1"/>
  <c r="EY171" i="1"/>
  <c r="LE130" i="1"/>
  <c r="LE131" i="1"/>
  <c r="QS153" i="1"/>
  <c r="QS154" i="1"/>
  <c r="CW131" i="1"/>
  <c r="CW130" i="1"/>
  <c r="PI171" i="1"/>
  <c r="PI172" i="1"/>
  <c r="QA144" i="1"/>
  <c r="QA145" i="1"/>
  <c r="JC112" i="1"/>
  <c r="JC113" i="1"/>
  <c r="QA130" i="1"/>
  <c r="QA131" i="1"/>
  <c r="KM153" i="1"/>
  <c r="KM154" i="1"/>
  <c r="EY153" i="1"/>
  <c r="EY154" i="1"/>
  <c r="NY145" i="1"/>
  <c r="FS107" i="1"/>
  <c r="CE130" i="1"/>
  <c r="CE131" i="1"/>
  <c r="TM163" i="1"/>
  <c r="TM162" i="1"/>
  <c r="DO144" i="1"/>
  <c r="DO145" i="1"/>
  <c r="GI144" i="1"/>
  <c r="GI145" i="1"/>
  <c r="NG153" i="1"/>
  <c r="NG154" i="1"/>
  <c r="FQ162" i="1"/>
  <c r="FQ163" i="1"/>
  <c r="M139" i="1"/>
  <c r="N139" i="1"/>
  <c r="Q139" i="1" s="1"/>
  <c r="M161" i="1"/>
  <c r="N161" i="1"/>
  <c r="Q161" i="1" s="1"/>
  <c r="U115" i="41"/>
  <c r="V115" i="41" s="1"/>
  <c r="U76" i="28"/>
  <c r="V76" i="28" s="1"/>
  <c r="U86" i="41"/>
  <c r="V86" i="41" s="1"/>
  <c r="U102" i="41"/>
  <c r="V102" i="41" s="1"/>
  <c r="KO127" i="1"/>
  <c r="KP127" i="1"/>
  <c r="KS127" i="1" s="1"/>
  <c r="QU142" i="1"/>
  <c r="QV142" i="1"/>
  <c r="QY142" i="1" s="1"/>
  <c r="QU139" i="1"/>
  <c r="QV139" i="1"/>
  <c r="QY139" i="1" s="1"/>
  <c r="LG126" i="1"/>
  <c r="LH126" i="1"/>
  <c r="LK126" i="1" s="1"/>
  <c r="UY149" i="1"/>
  <c r="UZ149" i="1"/>
  <c r="VC149" i="1" s="1"/>
  <c r="M159" i="1"/>
  <c r="N159" i="1"/>
  <c r="Q159" i="1" s="1"/>
  <c r="FA119" i="1"/>
  <c r="FB119" i="1"/>
  <c r="FE119" i="1" s="1"/>
  <c r="BO168" i="1"/>
  <c r="BP168" i="1"/>
  <c r="BS168" i="1" s="1"/>
  <c r="CY120" i="1"/>
  <c r="CZ120" i="1"/>
  <c r="DC120" i="1" s="1"/>
  <c r="FA152" i="1"/>
  <c r="FB152" i="1"/>
  <c r="FE152" i="1" s="1"/>
  <c r="QC161" i="1"/>
  <c r="QD161" i="1"/>
  <c r="QG161" i="1" s="1"/>
  <c r="CY109" i="1"/>
  <c r="CZ109" i="1"/>
  <c r="DC109" i="1" s="1"/>
  <c r="JE169" i="1"/>
  <c r="JF169" i="1"/>
  <c r="JI169" i="1" s="1"/>
  <c r="NI170" i="1"/>
  <c r="NJ170" i="1"/>
  <c r="NM170" i="1" s="1"/>
  <c r="TO170" i="1"/>
  <c r="TP170" i="1"/>
  <c r="TS170" i="1" s="1"/>
  <c r="KO129" i="1"/>
  <c r="KP129" i="1"/>
  <c r="KS129" i="1" s="1"/>
  <c r="GK109" i="1"/>
  <c r="GL109" i="1"/>
  <c r="GO109" i="1" s="1"/>
  <c r="HC149" i="1"/>
  <c r="HD149" i="1"/>
  <c r="HG149" i="1" s="1"/>
  <c r="UY139" i="1"/>
  <c r="UZ139" i="1"/>
  <c r="VC139" i="1" s="1"/>
  <c r="OS138" i="1"/>
  <c r="OT138" i="1"/>
  <c r="OW138" i="1" s="1"/>
  <c r="FS161" i="1"/>
  <c r="FT161" i="1"/>
  <c r="FW161" i="1" s="1"/>
  <c r="SW141" i="1"/>
  <c r="SX141" i="1"/>
  <c r="TA141" i="1" s="1"/>
  <c r="M136" i="1"/>
  <c r="N136" i="1"/>
  <c r="Q136" i="1" s="1"/>
  <c r="GK159" i="1"/>
  <c r="GL159" i="1"/>
  <c r="GO159" i="1" s="1"/>
  <c r="HC138" i="1"/>
  <c r="HD138" i="1"/>
  <c r="HG138" i="1" s="1"/>
  <c r="HC152" i="1"/>
  <c r="HD152" i="1"/>
  <c r="HG152" i="1" s="1"/>
  <c r="LG150" i="1"/>
  <c r="LH150" i="1"/>
  <c r="LK150" i="1" s="1"/>
  <c r="NI136" i="1"/>
  <c r="NJ136" i="1"/>
  <c r="NM136" i="1" s="1"/>
  <c r="SE137" i="1"/>
  <c r="SF137" i="1"/>
  <c r="SI137" i="1" s="1"/>
  <c r="IM159" i="1"/>
  <c r="IN159" i="1"/>
  <c r="IQ159" i="1" s="1"/>
  <c r="RM169" i="1"/>
  <c r="RN169" i="1"/>
  <c r="RQ169" i="1" s="1"/>
  <c r="KO159" i="1"/>
  <c r="KP159" i="1"/>
  <c r="KS159" i="1" s="1"/>
  <c r="TO141" i="1"/>
  <c r="TP141" i="1"/>
  <c r="TS141" i="1" s="1"/>
  <c r="JW127" i="1"/>
  <c r="JX127" i="1"/>
  <c r="KA127" i="1" s="1"/>
  <c r="JE149" i="1"/>
  <c r="JF149" i="1"/>
  <c r="JI149" i="1" s="1"/>
  <c r="KO128" i="1"/>
  <c r="KP128" i="1"/>
  <c r="KS128" i="1" s="1"/>
  <c r="AE151" i="1"/>
  <c r="AF151" i="1"/>
  <c r="AI151" i="1" s="1"/>
  <c r="FA127" i="1"/>
  <c r="FB127" i="1"/>
  <c r="FE127" i="1" s="1"/>
  <c r="AE109" i="1"/>
  <c r="AF109" i="1"/>
  <c r="AI109" i="1" s="1"/>
  <c r="DQ119" i="1"/>
  <c r="DR119" i="1"/>
  <c r="DU119" i="1" s="1"/>
  <c r="LY140" i="1"/>
  <c r="LZ140" i="1"/>
  <c r="MC140" i="1" s="1"/>
  <c r="LG169" i="1"/>
  <c r="LH169" i="1"/>
  <c r="LK169" i="1" s="1"/>
  <c r="DQ109" i="1"/>
  <c r="DR109" i="1"/>
  <c r="DU109" i="1" s="1"/>
  <c r="HC108" i="1"/>
  <c r="HD108" i="1"/>
  <c r="HG108" i="1" s="1"/>
  <c r="CY118" i="1"/>
  <c r="CZ118" i="1"/>
  <c r="DC118" i="1" s="1"/>
  <c r="IM119" i="1"/>
  <c r="IN119" i="1"/>
  <c r="IQ119" i="1" s="1"/>
  <c r="SW117" i="1"/>
  <c r="SX117" i="1"/>
  <c r="TA117" i="1" s="1"/>
  <c r="MQ120" i="1"/>
  <c r="MR120" i="1"/>
  <c r="MU120" i="1" s="1"/>
  <c r="OA117" i="1"/>
  <c r="OB117" i="1"/>
  <c r="OE117" i="1" s="1"/>
  <c r="BO118" i="1"/>
  <c r="BP118" i="1"/>
  <c r="BS118" i="1" s="1"/>
  <c r="CG108" i="1"/>
  <c r="CH108" i="1"/>
  <c r="CK108" i="1" s="1"/>
  <c r="CG170" i="1"/>
  <c r="CH170" i="1"/>
  <c r="CK170" i="1" s="1"/>
  <c r="OS119" i="1"/>
  <c r="OT119" i="1"/>
  <c r="OW119" i="1" s="1"/>
  <c r="JW119" i="1"/>
  <c r="JX119" i="1"/>
  <c r="KA119" i="1" s="1"/>
  <c r="JW135" i="1"/>
  <c r="JX135" i="1"/>
  <c r="KA135" i="1" s="1"/>
  <c r="MQ149" i="1"/>
  <c r="MR149" i="1"/>
  <c r="MU149" i="1" s="1"/>
  <c r="EI151" i="1"/>
  <c r="EJ151" i="1"/>
  <c r="EM151" i="1" s="1"/>
  <c r="DQ139" i="1"/>
  <c r="DR139" i="1"/>
  <c r="DU139" i="1" s="1"/>
  <c r="RM118" i="1"/>
  <c r="RN118" i="1"/>
  <c r="RQ118" i="1" s="1"/>
  <c r="M120" i="1"/>
  <c r="N120" i="1"/>
  <c r="Q120" i="1" s="1"/>
  <c r="UY108" i="1"/>
  <c r="UZ108" i="1"/>
  <c r="VC108" i="1" s="1"/>
  <c r="QC120" i="1"/>
  <c r="QD120" i="1"/>
  <c r="QG120" i="1" s="1"/>
  <c r="SE118" i="1"/>
  <c r="SF118" i="1"/>
  <c r="SI118" i="1" s="1"/>
  <c r="AW120" i="1"/>
  <c r="AX120" i="1"/>
  <c r="BA120" i="1" s="1"/>
  <c r="QC149" i="1"/>
  <c r="QD149" i="1"/>
  <c r="QG149" i="1" s="1"/>
  <c r="UG129" i="1"/>
  <c r="UH129" i="1"/>
  <c r="UK129" i="1" s="1"/>
  <c r="OA170" i="1"/>
  <c r="OB170" i="1"/>
  <c r="OE170" i="1" s="1"/>
  <c r="CY152" i="1"/>
  <c r="CZ152" i="1"/>
  <c r="DC152" i="1" s="1"/>
  <c r="JE129" i="1"/>
  <c r="JF129" i="1"/>
  <c r="JI129" i="1" s="1"/>
  <c r="LG151" i="1"/>
  <c r="LH151" i="1"/>
  <c r="LK151" i="1" s="1"/>
  <c r="DQ168" i="1"/>
  <c r="DR168" i="1"/>
  <c r="DU168" i="1" s="1"/>
  <c r="OS143" i="1"/>
  <c r="OT143" i="1"/>
  <c r="OW143" i="1" s="1"/>
  <c r="NI168" i="1"/>
  <c r="NJ168" i="1"/>
  <c r="NM168" i="1" s="1"/>
  <c r="BO127" i="1"/>
  <c r="BP127" i="1"/>
  <c r="BS127" i="1" s="1"/>
  <c r="UG118" i="1"/>
  <c r="UH118" i="1"/>
  <c r="UK118" i="1" s="1"/>
  <c r="KP143" i="1"/>
  <c r="KS143" i="1" s="1"/>
  <c r="KO143" i="1"/>
  <c r="GK127" i="1"/>
  <c r="GL127" i="1"/>
  <c r="GO127" i="1" s="1"/>
  <c r="QD167" i="1"/>
  <c r="QG167" i="1" s="1"/>
  <c r="QC167" i="1"/>
  <c r="HU152" i="1"/>
  <c r="HV152" i="1"/>
  <c r="HY152" i="1" s="1"/>
  <c r="CE153" i="1"/>
  <c r="CE154" i="1"/>
  <c r="TM171" i="1"/>
  <c r="TM172" i="1"/>
  <c r="OQ130" i="1"/>
  <c r="OQ131" i="1"/>
  <c r="FA140" i="1"/>
  <c r="FB140" i="1"/>
  <c r="FE140" i="1" s="1"/>
  <c r="CG138" i="1"/>
  <c r="CH138" i="1"/>
  <c r="CK138" i="1" s="1"/>
  <c r="SE110" i="1"/>
  <c r="SF110" i="1"/>
  <c r="SI110" i="1" s="1"/>
  <c r="OA169" i="1"/>
  <c r="OB169" i="1"/>
  <c r="OE169" i="1" s="1"/>
  <c r="M128" i="1"/>
  <c r="N128" i="1"/>
  <c r="Q128" i="1" s="1"/>
  <c r="M158" i="1"/>
  <c r="N158" i="1"/>
  <c r="Q158" i="1" s="1"/>
  <c r="HC161" i="1"/>
  <c r="HD161" i="1"/>
  <c r="HG161" i="1" s="1"/>
  <c r="KO150" i="1"/>
  <c r="KP150" i="1"/>
  <c r="KS150" i="1" s="1"/>
  <c r="LG120" i="1"/>
  <c r="LH120" i="1"/>
  <c r="LK120" i="1" s="1"/>
  <c r="SE135" i="1"/>
  <c r="SF135" i="1"/>
  <c r="SI135" i="1" s="1"/>
  <c r="QC158" i="1"/>
  <c r="QD158" i="1"/>
  <c r="QG158" i="1" s="1"/>
  <c r="SE141" i="1"/>
  <c r="SF141" i="1"/>
  <c r="SI141" i="1" s="1"/>
  <c r="JW167" i="1"/>
  <c r="JX167" i="1"/>
  <c r="KA167" i="1" s="1"/>
  <c r="QC127" i="1"/>
  <c r="QD127" i="1"/>
  <c r="QG127" i="1" s="1"/>
  <c r="BO108" i="1"/>
  <c r="BP108" i="1"/>
  <c r="BS108" i="1" s="1"/>
  <c r="GK168" i="1"/>
  <c r="GL168" i="1"/>
  <c r="GO168" i="1" s="1"/>
  <c r="UG111" i="1"/>
  <c r="UH111" i="1"/>
  <c r="UK111" i="1" s="1"/>
  <c r="FS151" i="1"/>
  <c r="FT151" i="1"/>
  <c r="FW151" i="1" s="1"/>
  <c r="CY129" i="1"/>
  <c r="CZ129" i="1"/>
  <c r="DC129" i="1" s="1"/>
  <c r="FS120" i="1"/>
  <c r="FT120" i="1"/>
  <c r="FW120" i="1" s="1"/>
  <c r="FA120" i="1"/>
  <c r="FB120" i="1"/>
  <c r="FE120" i="1" s="1"/>
  <c r="OS118" i="1"/>
  <c r="OT118" i="1"/>
  <c r="OW118" i="1" s="1"/>
  <c r="SE126" i="1"/>
  <c r="SF126" i="1"/>
  <c r="SI126" i="1" s="1"/>
  <c r="LG128" i="1"/>
  <c r="LH128" i="1"/>
  <c r="LK128" i="1" s="1"/>
  <c r="FS127" i="1"/>
  <c r="FT127" i="1"/>
  <c r="FW127" i="1" s="1"/>
  <c r="TO135" i="1"/>
  <c r="TP135" i="1"/>
  <c r="TS135" i="1" s="1"/>
  <c r="HU168" i="1"/>
  <c r="HV168" i="1"/>
  <c r="HY168" i="1" s="1"/>
  <c r="EI127" i="1"/>
  <c r="EJ127" i="1"/>
  <c r="EM127" i="1" s="1"/>
  <c r="QC129" i="1"/>
  <c r="QD129" i="1"/>
  <c r="QG129" i="1" s="1"/>
  <c r="M138" i="1"/>
  <c r="N138" i="1"/>
  <c r="Q138" i="1" s="1"/>
  <c r="QU167" i="1"/>
  <c r="QV167" i="1"/>
  <c r="QY167" i="1" s="1"/>
  <c r="UY169" i="1"/>
  <c r="UZ169" i="1"/>
  <c r="VC169" i="1" s="1"/>
  <c r="FS160" i="1"/>
  <c r="FT160" i="1"/>
  <c r="FW160" i="1" s="1"/>
  <c r="JE119" i="1"/>
  <c r="JF119" i="1"/>
  <c r="JI119" i="1" s="1"/>
  <c r="AW119" i="1"/>
  <c r="AX119" i="1"/>
  <c r="BA119" i="1" s="1"/>
  <c r="GI131" i="1"/>
  <c r="GI130" i="1"/>
  <c r="K130" i="1"/>
  <c r="K131" i="1"/>
  <c r="QA171" i="1"/>
  <c r="QA172" i="1"/>
  <c r="RK144" i="1"/>
  <c r="RK145" i="1"/>
  <c r="NI135" i="1"/>
  <c r="NJ135" i="1"/>
  <c r="NM135" i="1" s="1"/>
  <c r="KO170" i="1"/>
  <c r="KP170" i="1"/>
  <c r="KS170" i="1" s="1"/>
  <c r="JW138" i="1"/>
  <c r="JX138" i="1"/>
  <c r="KA138" i="1" s="1"/>
  <c r="LY135" i="1"/>
  <c r="LZ135" i="1"/>
  <c r="MC135" i="1" s="1"/>
  <c r="OS109" i="1"/>
  <c r="OT109" i="1"/>
  <c r="OW109" i="1" s="1"/>
  <c r="LY129" i="1"/>
  <c r="LZ129" i="1"/>
  <c r="MC129" i="1" s="1"/>
  <c r="FA158" i="1"/>
  <c r="FB158" i="1"/>
  <c r="FE158" i="1" s="1"/>
  <c r="BO139" i="1"/>
  <c r="BP139" i="1"/>
  <c r="BS139" i="1" s="1"/>
  <c r="LY169" i="1"/>
  <c r="LZ169" i="1"/>
  <c r="MC169" i="1" s="1"/>
  <c r="AE143" i="1"/>
  <c r="AF143" i="1"/>
  <c r="AI143" i="1" s="1"/>
  <c r="AX129" i="1"/>
  <c r="BA129" i="1" s="1"/>
  <c r="AW129" i="1"/>
  <c r="IM118" i="1"/>
  <c r="IN118" i="1"/>
  <c r="IQ118" i="1" s="1"/>
  <c r="CY117" i="1"/>
  <c r="CZ117" i="1"/>
  <c r="DC117" i="1" s="1"/>
  <c r="IM120" i="1"/>
  <c r="IN120" i="1"/>
  <c r="IQ120" i="1" s="1"/>
  <c r="BO151" i="1"/>
  <c r="BP151" i="1"/>
  <c r="BS151" i="1" s="1"/>
  <c r="JE117" i="1"/>
  <c r="JF117" i="1"/>
  <c r="JI117" i="1" s="1"/>
  <c r="FA117" i="1"/>
  <c r="FB117" i="1"/>
  <c r="FE117" i="1" s="1"/>
  <c r="FS143" i="1"/>
  <c r="FT143" i="1"/>
  <c r="FW143" i="1" s="1"/>
  <c r="AW170" i="1"/>
  <c r="AX170" i="1"/>
  <c r="BA170" i="1" s="1"/>
  <c r="RM119" i="1"/>
  <c r="RN119" i="1"/>
  <c r="RQ119" i="1" s="1"/>
  <c r="RM151" i="1"/>
  <c r="RN151" i="1"/>
  <c r="RQ151" i="1" s="1"/>
  <c r="HC151" i="1"/>
  <c r="HD151" i="1"/>
  <c r="HG151" i="1" s="1"/>
  <c r="FA143" i="1"/>
  <c r="FB143" i="1"/>
  <c r="FE143" i="1" s="1"/>
  <c r="AW127" i="1"/>
  <c r="AX127" i="1"/>
  <c r="BA127" i="1" s="1"/>
  <c r="EI110" i="1"/>
  <c r="EJ110" i="1"/>
  <c r="EM110" i="1" s="1"/>
  <c r="FS126" i="1"/>
  <c r="FT126" i="1"/>
  <c r="FW126" i="1" s="1"/>
  <c r="FS139" i="1"/>
  <c r="FT139" i="1"/>
  <c r="FW139" i="1" s="1"/>
  <c r="UG167" i="1"/>
  <c r="UH167" i="1"/>
  <c r="UK167" i="1" s="1"/>
  <c r="IM152" i="1"/>
  <c r="IN152" i="1"/>
  <c r="IQ152" i="1" s="1"/>
  <c r="RM170" i="1"/>
  <c r="RN170" i="1"/>
  <c r="RQ170" i="1" s="1"/>
  <c r="HC111" i="1"/>
  <c r="HD111" i="1"/>
  <c r="HG111" i="1" s="1"/>
  <c r="FA151" i="1"/>
  <c r="FB151" i="1"/>
  <c r="FE151" i="1" s="1"/>
  <c r="QU158" i="1"/>
  <c r="QV158" i="1"/>
  <c r="QY158" i="1" s="1"/>
  <c r="KO120" i="1"/>
  <c r="KP120" i="1"/>
  <c r="KS120" i="1" s="1"/>
  <c r="PK126" i="1"/>
  <c r="PL126" i="1"/>
  <c r="PO126" i="1" s="1"/>
  <c r="DQ135" i="1"/>
  <c r="DR135" i="1"/>
  <c r="DU135" i="1" s="1"/>
  <c r="EI170" i="1"/>
  <c r="EJ170" i="1"/>
  <c r="EM170" i="1" s="1"/>
  <c r="RM149" i="1"/>
  <c r="RN149" i="1"/>
  <c r="RQ149" i="1" s="1"/>
  <c r="FB159" i="1"/>
  <c r="FE159" i="1" s="1"/>
  <c r="FA110" i="1"/>
  <c r="FB110" i="1"/>
  <c r="FE110" i="1" s="1"/>
  <c r="MQ170" i="1"/>
  <c r="MR170" i="1"/>
  <c r="MU170" i="1" s="1"/>
  <c r="BO159" i="1"/>
  <c r="BP159" i="1"/>
  <c r="BS159" i="1" s="1"/>
  <c r="FS150" i="1"/>
  <c r="FT150" i="1"/>
  <c r="FW150" i="1" s="1"/>
  <c r="NI151" i="1"/>
  <c r="NJ151" i="1"/>
  <c r="NM151" i="1" s="1"/>
  <c r="NI152" i="1"/>
  <c r="NJ152" i="1"/>
  <c r="NM152" i="1" s="1"/>
  <c r="CY160" i="1"/>
  <c r="CZ160" i="1"/>
  <c r="DC160" i="1" s="1"/>
  <c r="QU135" i="1"/>
  <c r="QV135" i="1"/>
  <c r="QY135" i="1" s="1"/>
  <c r="CG109" i="1"/>
  <c r="CH109" i="1"/>
  <c r="CK109" i="1" s="1"/>
  <c r="CG160" i="1"/>
  <c r="CH160" i="1"/>
  <c r="CK160" i="1" s="1"/>
  <c r="AE119" i="1"/>
  <c r="AF119" i="1"/>
  <c r="AI119" i="1" s="1"/>
  <c r="QC119" i="1"/>
  <c r="QD119" i="1"/>
  <c r="QG119" i="1" s="1"/>
  <c r="LY138" i="1"/>
  <c r="LZ138" i="1"/>
  <c r="MC138" i="1" s="1"/>
  <c r="EI160" i="1"/>
  <c r="EJ160" i="1"/>
  <c r="EM160" i="1" s="1"/>
  <c r="IM151" i="1"/>
  <c r="IN151" i="1"/>
  <c r="IQ151" i="1" s="1"/>
  <c r="M108" i="1"/>
  <c r="N108" i="1"/>
  <c r="LY142" i="1"/>
  <c r="LZ142" i="1"/>
  <c r="MC142" i="1" s="1"/>
  <c r="CY158" i="1"/>
  <c r="CZ158" i="1"/>
  <c r="DC158" i="1" s="1"/>
  <c r="FA161" i="1"/>
  <c r="FB161" i="1"/>
  <c r="FE161" i="1" s="1"/>
  <c r="MQ151" i="1"/>
  <c r="MR151" i="1"/>
  <c r="MU151" i="1" s="1"/>
  <c r="JW111" i="1"/>
  <c r="JX111" i="1"/>
  <c r="KA111" i="1" s="1"/>
  <c r="LY109" i="1"/>
  <c r="LZ109" i="1"/>
  <c r="MC109" i="1" s="1"/>
  <c r="LY170" i="1"/>
  <c r="LZ170" i="1"/>
  <c r="MC170" i="1" s="1"/>
  <c r="JE135" i="1"/>
  <c r="JF135" i="1"/>
  <c r="JI135" i="1" s="1"/>
  <c r="RM126" i="1"/>
  <c r="RN126" i="1"/>
  <c r="RQ126" i="1" s="1"/>
  <c r="CY141" i="1"/>
  <c r="CZ141" i="1"/>
  <c r="DC141" i="1" s="1"/>
  <c r="CY168" i="1"/>
  <c r="CZ168" i="1"/>
  <c r="DC168" i="1" s="1"/>
  <c r="TO110" i="1"/>
  <c r="TP110" i="1"/>
  <c r="TS110" i="1" s="1"/>
  <c r="FA109" i="1"/>
  <c r="FB109" i="1"/>
  <c r="FE109" i="1" s="1"/>
  <c r="PK138" i="1"/>
  <c r="PL138" i="1"/>
  <c r="PO138" i="1" s="1"/>
  <c r="EI168" i="1"/>
  <c r="EJ168" i="1"/>
  <c r="EM168" i="1" s="1"/>
  <c r="PK135" i="1"/>
  <c r="PL135" i="1"/>
  <c r="PO135" i="1" s="1"/>
  <c r="SE167" i="1"/>
  <c r="SF167" i="1"/>
  <c r="SI167" i="1" s="1"/>
  <c r="IM168" i="1"/>
  <c r="IN168" i="1"/>
  <c r="IQ168" i="1" s="1"/>
  <c r="NI126" i="1"/>
  <c r="NJ126" i="1"/>
  <c r="NM126" i="1" s="1"/>
  <c r="OS161" i="1"/>
  <c r="OT161" i="1"/>
  <c r="OW161" i="1" s="1"/>
  <c r="LG160" i="1"/>
  <c r="LH160" i="1"/>
  <c r="LK160" i="1" s="1"/>
  <c r="JE108" i="1"/>
  <c r="JF108" i="1"/>
  <c r="JI108" i="1" s="1"/>
  <c r="AW160" i="1"/>
  <c r="AX160" i="1"/>
  <c r="BA160" i="1" s="1"/>
  <c r="HU109" i="1"/>
  <c r="HV109" i="1"/>
  <c r="HY109" i="1" s="1"/>
  <c r="UG127" i="1"/>
  <c r="UH127" i="1"/>
  <c r="UK127" i="1" s="1"/>
  <c r="SE139" i="1"/>
  <c r="SF139" i="1"/>
  <c r="SI139" i="1" s="1"/>
  <c r="IM161" i="1"/>
  <c r="IN161" i="1"/>
  <c r="IQ161" i="1" s="1"/>
  <c r="UG137" i="1"/>
  <c r="UH137" i="1"/>
  <c r="UK137" i="1" s="1"/>
  <c r="DQ128" i="1"/>
  <c r="DR128" i="1"/>
  <c r="DU128" i="1" s="1"/>
  <c r="RM137" i="1"/>
  <c r="RN137" i="1"/>
  <c r="RQ137" i="1" s="1"/>
  <c r="OS169" i="1"/>
  <c r="OT169" i="1"/>
  <c r="OW169" i="1" s="1"/>
  <c r="SW160" i="1"/>
  <c r="SX160" i="1"/>
  <c r="TA160" i="1" s="1"/>
  <c r="EI141" i="1"/>
  <c r="EJ141" i="1"/>
  <c r="EM141" i="1" s="1"/>
  <c r="FA149" i="1"/>
  <c r="FB149" i="1"/>
  <c r="FE149" i="1" s="1"/>
  <c r="TO160" i="1"/>
  <c r="TP160" i="1"/>
  <c r="TS160" i="1" s="1"/>
  <c r="HC141" i="1"/>
  <c r="HD141" i="1"/>
  <c r="HG141" i="1" s="1"/>
  <c r="AE136" i="1"/>
  <c r="AF136" i="1"/>
  <c r="AI136" i="1" s="1"/>
  <c r="BP119" i="1"/>
  <c r="BS119" i="1" s="1"/>
  <c r="BO119" i="1"/>
  <c r="EI118" i="1"/>
  <c r="EJ118" i="1"/>
  <c r="EM118" i="1" s="1"/>
  <c r="QD111" i="1"/>
  <c r="QG111" i="1" s="1"/>
  <c r="QC111" i="1"/>
  <c r="SE108" i="1"/>
  <c r="SF108" i="1"/>
  <c r="SI108" i="1" s="1"/>
  <c r="CG137" i="1"/>
  <c r="CH137" i="1"/>
  <c r="CK137" i="1" s="1"/>
  <c r="CG158" i="1"/>
  <c r="CH158" i="1"/>
  <c r="CK158" i="1" s="1"/>
  <c r="SE120" i="1"/>
  <c r="SF120" i="1"/>
  <c r="SI120" i="1" s="1"/>
  <c r="BO117" i="1"/>
  <c r="BP117" i="1"/>
  <c r="BS117" i="1" s="1"/>
  <c r="HC120" i="1"/>
  <c r="HD120" i="1"/>
  <c r="HG120" i="1" s="1"/>
  <c r="MQ129" i="1"/>
  <c r="MR129" i="1"/>
  <c r="MU129" i="1" s="1"/>
  <c r="GK161" i="1"/>
  <c r="GL161" i="1"/>
  <c r="GO161" i="1" s="1"/>
  <c r="EI120" i="1"/>
  <c r="EJ120" i="1"/>
  <c r="EM120" i="1" s="1"/>
  <c r="TO120" i="1"/>
  <c r="TP120" i="1"/>
  <c r="TS120" i="1" s="1"/>
  <c r="AW117" i="1"/>
  <c r="AX117" i="1"/>
  <c r="BA117" i="1" s="1"/>
  <c r="OS141" i="1"/>
  <c r="OT141" i="1"/>
  <c r="OW141" i="1" s="1"/>
  <c r="DQ170" i="1"/>
  <c r="DR170" i="1"/>
  <c r="DU170" i="1" s="1"/>
  <c r="NI127" i="1"/>
  <c r="NJ127" i="1"/>
  <c r="NM127" i="1" s="1"/>
  <c r="JE167" i="1"/>
  <c r="JF167" i="1"/>
  <c r="JI167" i="1" s="1"/>
  <c r="FS119" i="1"/>
  <c r="FT119" i="1"/>
  <c r="FW119" i="1" s="1"/>
  <c r="KO119" i="1"/>
  <c r="KP119" i="1"/>
  <c r="KS119" i="1" s="1"/>
  <c r="BO143" i="1"/>
  <c r="BP143" i="1"/>
  <c r="BS143" i="1" s="1"/>
  <c r="UG151" i="1"/>
  <c r="UH151" i="1"/>
  <c r="UK151" i="1" s="1"/>
  <c r="GK151" i="1"/>
  <c r="GL151" i="1"/>
  <c r="GO151" i="1" s="1"/>
  <c r="AE129" i="1"/>
  <c r="AF129" i="1"/>
  <c r="AI129" i="1" s="1"/>
  <c r="KO140" i="1"/>
  <c r="KP140" i="1"/>
  <c r="KS140" i="1" s="1"/>
  <c r="UG159" i="1"/>
  <c r="UH159" i="1"/>
  <c r="UK159" i="1" s="1"/>
  <c r="UY150" i="1"/>
  <c r="UZ150" i="1"/>
  <c r="VC150" i="1" s="1"/>
  <c r="UG168" i="1"/>
  <c r="UH168" i="1"/>
  <c r="UK168" i="1" s="1"/>
  <c r="PK143" i="1"/>
  <c r="PL143" i="1"/>
  <c r="PO143" i="1" s="1"/>
  <c r="AW167" i="1"/>
  <c r="AX167" i="1"/>
  <c r="BA167" i="1" s="1"/>
  <c r="FS109" i="1"/>
  <c r="FT109" i="1"/>
  <c r="FW109" i="1" s="1"/>
  <c r="AE111" i="1"/>
  <c r="AF111" i="1"/>
  <c r="AI111" i="1" s="1"/>
  <c r="OA152" i="1"/>
  <c r="OB152" i="1"/>
  <c r="OE152" i="1" s="1"/>
  <c r="JE143" i="1"/>
  <c r="JF143" i="1"/>
  <c r="JI143" i="1" s="1"/>
  <c r="RM108" i="1"/>
  <c r="RN108" i="1"/>
  <c r="RQ108" i="1" s="1"/>
  <c r="LG143" i="1"/>
  <c r="LH143" i="1"/>
  <c r="LK143" i="1" s="1"/>
  <c r="HU110" i="1"/>
  <c r="HV110" i="1"/>
  <c r="HY110" i="1" s="1"/>
  <c r="GK111" i="1"/>
  <c r="GL111" i="1"/>
  <c r="GO111" i="1" s="1"/>
  <c r="MQ117" i="1"/>
  <c r="MR117" i="1"/>
  <c r="MU117" i="1" s="1"/>
  <c r="OS149" i="1"/>
  <c r="OT149" i="1"/>
  <c r="OW149" i="1" s="1"/>
  <c r="JW160" i="1"/>
  <c r="JX160" i="1"/>
  <c r="KA160" i="1" s="1"/>
  <c r="HC126" i="1"/>
  <c r="HD126" i="1"/>
  <c r="HG126" i="1" s="1"/>
  <c r="HU140" i="1"/>
  <c r="HV140" i="1"/>
  <c r="HY140" i="1" s="1"/>
  <c r="M167" i="1"/>
  <c r="N167" i="1"/>
  <c r="Q167" i="1" s="1"/>
  <c r="HU167" i="1"/>
  <c r="HV167" i="1"/>
  <c r="HY167" i="1" s="1"/>
  <c r="IM137" i="1"/>
  <c r="IN137" i="1"/>
  <c r="IQ137" i="1" s="1"/>
  <c r="EI138" i="1"/>
  <c r="EJ138" i="1"/>
  <c r="EM138" i="1" s="1"/>
  <c r="LG135" i="1"/>
  <c r="LH135" i="1"/>
  <c r="LK135" i="1" s="1"/>
  <c r="SW168" i="1"/>
  <c r="SX168" i="1"/>
  <c r="TA168" i="1" s="1"/>
  <c r="MQ169" i="1"/>
  <c r="MR169" i="1"/>
  <c r="MU169" i="1" s="1"/>
  <c r="PK127" i="1"/>
  <c r="PL127" i="1"/>
  <c r="PO127" i="1" s="1"/>
  <c r="MQ110" i="1"/>
  <c r="MR110" i="1"/>
  <c r="MU110" i="1" s="1"/>
  <c r="JW158" i="1"/>
  <c r="JX158" i="1"/>
  <c r="KA158" i="1" s="1"/>
  <c r="CY142" i="1"/>
  <c r="CZ142" i="1"/>
  <c r="DC142" i="1" s="1"/>
  <c r="JW120" i="1"/>
  <c r="JX120" i="1"/>
  <c r="KA120" i="1" s="1"/>
  <c r="HU142" i="1"/>
  <c r="HV142" i="1"/>
  <c r="HY142" i="1" s="1"/>
  <c r="DQ167" i="1"/>
  <c r="DR167" i="1"/>
  <c r="DU167" i="1" s="1"/>
  <c r="OA136" i="1"/>
  <c r="OB136" i="1"/>
  <c r="OE136" i="1" s="1"/>
  <c r="UY137" i="1"/>
  <c r="UZ137" i="1"/>
  <c r="VC137" i="1" s="1"/>
  <c r="GK169" i="1"/>
  <c r="GL169" i="1"/>
  <c r="GO169" i="1" s="1"/>
  <c r="MQ150" i="1"/>
  <c r="MR150" i="1"/>
  <c r="MU150" i="1" s="1"/>
  <c r="GK149" i="1"/>
  <c r="GL149" i="1"/>
  <c r="GO149" i="1" s="1"/>
  <c r="QU118" i="1"/>
  <c r="QV118" i="1"/>
  <c r="QY118" i="1" s="1"/>
  <c r="KO152" i="1"/>
  <c r="KP152" i="1"/>
  <c r="KS152" i="1" s="1"/>
  <c r="EI167" i="1"/>
  <c r="EJ167" i="1"/>
  <c r="EM167" i="1" s="1"/>
  <c r="NI143" i="1"/>
  <c r="NJ143" i="1"/>
  <c r="NM143" i="1" s="1"/>
  <c r="LY158" i="1"/>
  <c r="LZ158" i="1"/>
  <c r="MC158" i="1" s="1"/>
  <c r="SW110" i="1"/>
  <c r="SX110" i="1"/>
  <c r="TA110" i="1" s="1"/>
  <c r="LY119" i="1"/>
  <c r="LZ119" i="1"/>
  <c r="MC119" i="1" s="1"/>
  <c r="UY117" i="1"/>
  <c r="UZ117" i="1"/>
  <c r="VC117" i="1" s="1"/>
  <c r="OA119" i="1"/>
  <c r="OB119" i="1"/>
  <c r="OE119" i="1" s="1"/>
  <c r="CG110" i="1"/>
  <c r="CH110" i="1"/>
  <c r="CK110" i="1" s="1"/>
  <c r="AW159" i="1"/>
  <c r="AX159" i="1"/>
  <c r="BA159" i="1" s="1"/>
  <c r="NI120" i="1"/>
  <c r="NJ120" i="1"/>
  <c r="NM120" i="1" s="1"/>
  <c r="UY119" i="1"/>
  <c r="UZ119" i="1"/>
  <c r="VC119" i="1" s="1"/>
  <c r="HC142" i="1"/>
  <c r="HD142" i="1"/>
  <c r="HG142" i="1" s="1"/>
  <c r="FA169" i="1"/>
  <c r="FB169" i="1"/>
  <c r="FE169" i="1" s="1"/>
  <c r="RM150" i="1"/>
  <c r="RN150" i="1"/>
  <c r="RQ150" i="1" s="1"/>
  <c r="QC152" i="1"/>
  <c r="QD152" i="1"/>
  <c r="QG152" i="1" s="1"/>
  <c r="CY150" i="1"/>
  <c r="CZ150" i="1"/>
  <c r="DC150" i="1" s="1"/>
  <c r="CG150" i="1"/>
  <c r="CH150" i="1"/>
  <c r="CK150" i="1" s="1"/>
  <c r="QU143" i="1"/>
  <c r="QV143" i="1"/>
  <c r="QY143" i="1" s="1"/>
  <c r="AW128" i="1"/>
  <c r="AX128" i="1"/>
  <c r="BA128" i="1" s="1"/>
  <c r="HC143" i="1"/>
  <c r="HD143" i="1"/>
  <c r="HG143" i="1" s="1"/>
  <c r="AE128" i="1"/>
  <c r="AF128" i="1"/>
  <c r="AI128" i="1" s="1"/>
  <c r="HU118" i="1"/>
  <c r="HV118" i="1"/>
  <c r="HY118" i="1" s="1"/>
  <c r="IM143" i="1"/>
  <c r="IN143" i="1"/>
  <c r="IQ143" i="1" s="1"/>
  <c r="BO135" i="1"/>
  <c r="BP135" i="1"/>
  <c r="BS135" i="1" s="1"/>
  <c r="QU108" i="1"/>
  <c r="QV108" i="1"/>
  <c r="QY108" i="1" s="1"/>
  <c r="OA110" i="1"/>
  <c r="OB110" i="1"/>
  <c r="OE110" i="1" s="1"/>
  <c r="OS158" i="1"/>
  <c r="OT158" i="1"/>
  <c r="OW158" i="1" s="1"/>
  <c r="RM111" i="1"/>
  <c r="RN111" i="1"/>
  <c r="RQ111" i="1" s="1"/>
  <c r="EI126" i="1"/>
  <c r="EJ126" i="1"/>
  <c r="EM126" i="1" s="1"/>
  <c r="UY161" i="1"/>
  <c r="UZ161" i="1"/>
  <c r="VC161" i="1" s="1"/>
  <c r="QC150" i="1"/>
  <c r="QD150" i="1"/>
  <c r="QG150" i="1" s="1"/>
  <c r="CG161" i="1"/>
  <c r="CH161" i="1"/>
  <c r="CK161" i="1" s="1"/>
  <c r="PK160" i="1"/>
  <c r="PL160" i="1"/>
  <c r="PO160" i="1" s="1"/>
  <c r="SW126" i="1"/>
  <c r="SX126" i="1"/>
  <c r="TA126" i="1" s="1"/>
  <c r="AE161" i="1"/>
  <c r="AF161" i="1"/>
  <c r="AI161" i="1" s="1"/>
  <c r="JE110" i="1"/>
  <c r="JF110" i="1"/>
  <c r="JI110" i="1" s="1"/>
  <c r="LG138" i="1"/>
  <c r="LH138" i="1"/>
  <c r="LK138" i="1" s="1"/>
  <c r="CG159" i="1"/>
  <c r="CH159" i="1"/>
  <c r="CK159" i="1" s="1"/>
  <c r="HU158" i="1"/>
  <c r="HV158" i="1"/>
  <c r="HY158" i="1" s="1"/>
  <c r="AW110" i="1"/>
  <c r="AX110" i="1"/>
  <c r="BA110" i="1" s="1"/>
  <c r="M152" i="1"/>
  <c r="N152" i="1"/>
  <c r="Q152" i="1" s="1"/>
  <c r="FA126" i="1"/>
  <c r="FB126" i="1"/>
  <c r="FE126" i="1" s="1"/>
  <c r="AE110" i="1"/>
  <c r="AF110" i="1"/>
  <c r="AI110" i="1" s="1"/>
  <c r="DQ117" i="1"/>
  <c r="DR117" i="1"/>
  <c r="DU117" i="1" s="1"/>
  <c r="QC170" i="1"/>
  <c r="QD170" i="1"/>
  <c r="QG170" i="1" s="1"/>
  <c r="OA128" i="1"/>
  <c r="OB128" i="1"/>
  <c r="OE128" i="1" s="1"/>
  <c r="CG151" i="1"/>
  <c r="CH151" i="1"/>
  <c r="CK151" i="1" s="1"/>
  <c r="GK141" i="1"/>
  <c r="GL141" i="1"/>
  <c r="GO141" i="1" s="1"/>
  <c r="TO118" i="1"/>
  <c r="TP118" i="1"/>
  <c r="TS118" i="1" s="1"/>
  <c r="JE160" i="1"/>
  <c r="JF160" i="1"/>
  <c r="JI160" i="1" s="1"/>
  <c r="M109" i="1"/>
  <c r="N109" i="1"/>
  <c r="Q109" i="1" s="1"/>
  <c r="LG167" i="1"/>
  <c r="LH167" i="1"/>
  <c r="LK167" i="1" s="1"/>
  <c r="HC137" i="1"/>
  <c r="HD137" i="1"/>
  <c r="HG137" i="1" s="1"/>
  <c r="UZ168" i="1"/>
  <c r="VC168" i="1" s="1"/>
  <c r="JW142" i="1"/>
  <c r="JX142" i="1"/>
  <c r="KA142" i="1" s="1"/>
  <c r="UY151" i="1"/>
  <c r="UZ151" i="1"/>
  <c r="VC151" i="1" s="1"/>
  <c r="TO129" i="1"/>
  <c r="TP129" i="1"/>
  <c r="TS129" i="1" s="1"/>
  <c r="JW117" i="1"/>
  <c r="JX117" i="1"/>
  <c r="KA117" i="1" s="1"/>
  <c r="IM160" i="1"/>
  <c r="IN160" i="1"/>
  <c r="IQ160" i="1" s="1"/>
  <c r="KO167" i="1"/>
  <c r="KP167" i="1"/>
  <c r="KS167" i="1" s="1"/>
  <c r="M151" i="1"/>
  <c r="N151" i="1"/>
  <c r="Q151" i="1" s="1"/>
  <c r="FA108" i="1"/>
  <c r="FB108" i="1"/>
  <c r="FE108" i="1" s="1"/>
  <c r="CG119" i="1"/>
  <c r="CH119" i="1"/>
  <c r="CK119" i="1" s="1"/>
  <c r="SE169" i="1"/>
  <c r="SF169" i="1"/>
  <c r="SI169" i="1" s="1"/>
  <c r="BO149" i="1"/>
  <c r="BP149" i="1"/>
  <c r="BS149" i="1" s="1"/>
  <c r="BO152" i="1"/>
  <c r="BP152" i="1"/>
  <c r="BS152" i="1" s="1"/>
  <c r="KO141" i="1"/>
  <c r="KP141" i="1"/>
  <c r="KS141" i="1" s="1"/>
  <c r="FA160" i="1"/>
  <c r="FB160" i="1"/>
  <c r="FE160" i="1" s="1"/>
  <c r="FA168" i="1"/>
  <c r="FB168" i="1"/>
  <c r="FE168" i="1" s="1"/>
  <c r="LY143" i="1"/>
  <c r="LZ143" i="1"/>
  <c r="MC143" i="1" s="1"/>
  <c r="AW161" i="1"/>
  <c r="AX161" i="1"/>
  <c r="BA161" i="1" s="1"/>
  <c r="JW161" i="1"/>
  <c r="JX161" i="1"/>
  <c r="KA161" i="1" s="1"/>
  <c r="AW150" i="1"/>
  <c r="AX150" i="1"/>
  <c r="BA150" i="1" s="1"/>
  <c r="TO159" i="1"/>
  <c r="TP159" i="1"/>
  <c r="TS159" i="1" s="1"/>
  <c r="GK108" i="1"/>
  <c r="GL108" i="1"/>
  <c r="GO108" i="1" s="1"/>
  <c r="CG168" i="1"/>
  <c r="CH168" i="1"/>
  <c r="CK168" i="1" s="1"/>
  <c r="JE127" i="1"/>
  <c r="JF127" i="1"/>
  <c r="JI127" i="1" s="1"/>
  <c r="HU149" i="1"/>
  <c r="HV149" i="1"/>
  <c r="HY149" i="1" s="1"/>
  <c r="DQ151" i="1"/>
  <c r="DR151" i="1"/>
  <c r="DU151" i="1" s="1"/>
  <c r="CY126" i="1"/>
  <c r="CZ126" i="1"/>
  <c r="DC126" i="1" s="1"/>
  <c r="FS159" i="1"/>
  <c r="FT159" i="1"/>
  <c r="FW159" i="1" s="1"/>
  <c r="HU119" i="1"/>
  <c r="HV119" i="1"/>
  <c r="HY119" i="1" s="1"/>
  <c r="LY152" i="1"/>
  <c r="LZ152" i="1"/>
  <c r="MC152" i="1" s="1"/>
  <c r="AE108" i="1"/>
  <c r="AF108" i="1"/>
  <c r="AI108" i="1" s="1"/>
  <c r="NI138" i="1"/>
  <c r="NJ138" i="1"/>
  <c r="NM138" i="1" s="1"/>
  <c r="SE150" i="1"/>
  <c r="SF150" i="1"/>
  <c r="SI150" i="1" s="1"/>
  <c r="SE170" i="1"/>
  <c r="SF170" i="1"/>
  <c r="SI170" i="1" s="1"/>
  <c r="CG117" i="1"/>
  <c r="CH117" i="1"/>
  <c r="CK117" i="1" s="1"/>
  <c r="GK119" i="1"/>
  <c r="GL119" i="1"/>
  <c r="GO119" i="1" s="1"/>
  <c r="RM139" i="1"/>
  <c r="RN139" i="1"/>
  <c r="RQ139" i="1" s="1"/>
  <c r="OA143" i="1"/>
  <c r="OB143" i="1"/>
  <c r="OE143" i="1" s="1"/>
  <c r="JW152" i="1"/>
  <c r="JX152" i="1"/>
  <c r="KA152" i="1" s="1"/>
  <c r="GK160" i="1"/>
  <c r="GL160" i="1"/>
  <c r="GO160" i="1" s="1"/>
  <c r="RM129" i="1"/>
  <c r="RN129" i="1"/>
  <c r="RQ129" i="1" s="1"/>
  <c r="TO142" i="1"/>
  <c r="TP142" i="1"/>
  <c r="TS142" i="1" s="1"/>
  <c r="CG111" i="1"/>
  <c r="CH111" i="1"/>
  <c r="CK111" i="1" s="1"/>
  <c r="AW142" i="1"/>
  <c r="AX142" i="1"/>
  <c r="BA142" i="1" s="1"/>
  <c r="IM129" i="1"/>
  <c r="IN129" i="1"/>
  <c r="IQ129" i="1" s="1"/>
  <c r="SW127" i="1"/>
  <c r="SX127" i="1"/>
  <c r="TA127" i="1" s="1"/>
  <c r="AE117" i="1"/>
  <c r="AF117" i="1"/>
  <c r="AI117" i="1" s="1"/>
  <c r="AE135" i="1"/>
  <c r="AF135" i="1"/>
  <c r="AI135" i="1" s="1"/>
  <c r="NI158" i="1"/>
  <c r="NJ158" i="1"/>
  <c r="NM158" i="1" s="1"/>
  <c r="BO110" i="1"/>
  <c r="BP110" i="1"/>
  <c r="BS110" i="1" s="1"/>
  <c r="SE109" i="1"/>
  <c r="SF109" i="1"/>
  <c r="SI109" i="1" s="1"/>
  <c r="EI161" i="1"/>
  <c r="EJ161" i="1"/>
  <c r="EM161" i="1" s="1"/>
  <c r="HC129" i="1"/>
  <c r="HD129" i="1"/>
  <c r="HG129" i="1" s="1"/>
  <c r="AW108" i="1"/>
  <c r="AX108" i="1"/>
  <c r="BA108" i="1" s="1"/>
  <c r="AW126" i="1"/>
  <c r="AX126" i="1"/>
  <c r="BA126" i="1" s="1"/>
  <c r="EI149" i="1"/>
  <c r="EJ149" i="1"/>
  <c r="EM149" i="1" s="1"/>
  <c r="BO141" i="1"/>
  <c r="BP141" i="1"/>
  <c r="BS141" i="1" s="1"/>
  <c r="OS139" i="1"/>
  <c r="OT139" i="1"/>
  <c r="OW139" i="1" s="1"/>
  <c r="SF138" i="1"/>
  <c r="SI138" i="1" s="1"/>
  <c r="SE138" i="1"/>
  <c r="JW150" i="1"/>
  <c r="JX150" i="1"/>
  <c r="KA150" i="1" s="1"/>
  <c r="AE169" i="1"/>
  <c r="AF169" i="1"/>
  <c r="AI169" i="1" s="1"/>
  <c r="M160" i="1"/>
  <c r="N160" i="1"/>
  <c r="Q160" i="1" s="1"/>
  <c r="OS150" i="1"/>
  <c r="OT150" i="1"/>
  <c r="OW150" i="1" s="1"/>
  <c r="PK108" i="1"/>
  <c r="PL108" i="1"/>
  <c r="PO108" i="1" s="1"/>
  <c r="GK135" i="1"/>
  <c r="GL135" i="1"/>
  <c r="GO135" i="1" s="1"/>
  <c r="MQ167" i="1"/>
  <c r="MR167" i="1"/>
  <c r="MU167" i="1" s="1"/>
  <c r="LG119" i="1"/>
  <c r="LH119" i="1"/>
  <c r="LK119" i="1" s="1"/>
  <c r="IM136" i="1"/>
  <c r="IN136" i="1"/>
  <c r="IQ136" i="1" s="1"/>
  <c r="SW170" i="1"/>
  <c r="SX170" i="1"/>
  <c r="TA170" i="1" s="1"/>
  <c r="UY136" i="1"/>
  <c r="UZ136" i="1"/>
  <c r="VC136" i="1" s="1"/>
  <c r="TO127" i="1"/>
  <c r="TP127" i="1"/>
  <c r="TS127" i="1" s="1"/>
  <c r="JE140" i="1"/>
  <c r="JF140" i="1"/>
  <c r="JI140" i="1" s="1"/>
  <c r="PK129" i="1"/>
  <c r="PL129" i="1"/>
  <c r="PO129" i="1" s="1"/>
  <c r="EI135" i="1"/>
  <c r="EJ135" i="1"/>
  <c r="EM135" i="1" s="1"/>
  <c r="FS108" i="1"/>
  <c r="FT108" i="1"/>
  <c r="FW108" i="1" s="1"/>
  <c r="TO128" i="1"/>
  <c r="TP128" i="1"/>
  <c r="TS128" i="1" s="1"/>
  <c r="BO126" i="1"/>
  <c r="BP126" i="1"/>
  <c r="BS126" i="1" s="1"/>
  <c r="FS118" i="1"/>
  <c r="FT118" i="1"/>
  <c r="FW118" i="1" s="1"/>
  <c r="CY127" i="1"/>
  <c r="CZ127" i="1"/>
  <c r="DC127" i="1" s="1"/>
  <c r="JW137" i="1"/>
  <c r="JX137" i="1"/>
  <c r="KA137" i="1" s="1"/>
  <c r="CG129" i="1"/>
  <c r="CH129" i="1"/>
  <c r="CK129" i="1" s="1"/>
  <c r="LG136" i="1"/>
  <c r="LH136" i="1"/>
  <c r="LK136" i="1" s="1"/>
  <c r="HU159" i="1"/>
  <c r="HV159" i="1"/>
  <c r="HY159" i="1" s="1"/>
  <c r="AE149" i="1"/>
  <c r="AF149" i="1"/>
  <c r="AI149" i="1" s="1"/>
  <c r="DQ161" i="1"/>
  <c r="DR161" i="1"/>
  <c r="DU161" i="1" s="1"/>
  <c r="FA139" i="1"/>
  <c r="FB139" i="1"/>
  <c r="FE139" i="1" s="1"/>
  <c r="OA129" i="1"/>
  <c r="OB129" i="1"/>
  <c r="OE129" i="1" s="1"/>
  <c r="PK149" i="1"/>
  <c r="PL149" i="1"/>
  <c r="PO149" i="1" s="1"/>
  <c r="OA160" i="1"/>
  <c r="OB160" i="1"/>
  <c r="OE160" i="1" s="1"/>
  <c r="TO126" i="1"/>
  <c r="TP126" i="1"/>
  <c r="TS126" i="1" s="1"/>
  <c r="OA149" i="1"/>
  <c r="OB149" i="1"/>
  <c r="OE149" i="1" s="1"/>
  <c r="OA127" i="1"/>
  <c r="OB127" i="1"/>
  <c r="OE127" i="1" s="1"/>
  <c r="NI128" i="1"/>
  <c r="NJ128" i="1"/>
  <c r="NM128" i="1" s="1"/>
  <c r="OA159" i="1"/>
  <c r="OB159" i="1"/>
  <c r="OE159" i="1" s="1"/>
  <c r="HC118" i="1"/>
  <c r="HD118" i="1"/>
  <c r="HG118" i="1" s="1"/>
  <c r="BO109" i="1"/>
  <c r="BP109" i="1"/>
  <c r="BS109" i="1" s="1"/>
  <c r="RM141" i="1"/>
  <c r="RN141" i="1"/>
  <c r="RQ141" i="1" s="1"/>
  <c r="UG135" i="1"/>
  <c r="UH135" i="1"/>
  <c r="UK135" i="1" s="1"/>
  <c r="GK137" i="1"/>
  <c r="GL137" i="1"/>
  <c r="GO137" i="1" s="1"/>
  <c r="MQ118" i="1"/>
  <c r="MR118" i="1"/>
  <c r="MU118" i="1" s="1"/>
  <c r="AE138" i="1"/>
  <c r="AF138" i="1"/>
  <c r="AI138" i="1" s="1"/>
  <c r="OS152" i="1"/>
  <c r="OT152" i="1"/>
  <c r="OW152" i="1" s="1"/>
  <c r="RM152" i="1"/>
  <c r="RN152" i="1"/>
  <c r="RQ152" i="1" s="1"/>
  <c r="M170" i="1"/>
  <c r="N170" i="1"/>
  <c r="Q170" i="1" s="1"/>
  <c r="M126" i="1"/>
  <c r="N126" i="1"/>
  <c r="Q126" i="1" s="1"/>
  <c r="UG143" i="1"/>
  <c r="UH143" i="1"/>
  <c r="UK143" i="1" s="1"/>
  <c r="AE150" i="1"/>
  <c r="AF150" i="1"/>
  <c r="AI150" i="1" s="1"/>
  <c r="JW151" i="1"/>
  <c r="JX151" i="1"/>
  <c r="KA151" i="1" s="1"/>
  <c r="UY126" i="1"/>
  <c r="UZ126" i="1"/>
  <c r="VC126" i="1" s="1"/>
  <c r="BO120" i="1"/>
  <c r="BP120" i="1"/>
  <c r="BS120" i="1" s="1"/>
  <c r="OA139" i="1"/>
  <c r="OB139" i="1"/>
  <c r="OE139" i="1" s="1"/>
  <c r="AE159" i="1"/>
  <c r="AF159" i="1"/>
  <c r="AI159" i="1" s="1"/>
  <c r="JE161" i="1"/>
  <c r="JF161" i="1"/>
  <c r="JI161" i="1" s="1"/>
  <c r="IM150" i="1"/>
  <c r="IN150" i="1"/>
  <c r="IQ150" i="1" s="1"/>
  <c r="FA150" i="1"/>
  <c r="FB150" i="1"/>
  <c r="FE150" i="1" s="1"/>
  <c r="CG167" i="1"/>
  <c r="CH167" i="1"/>
  <c r="CK167" i="1" s="1"/>
  <c r="DQ149" i="1"/>
  <c r="DR149" i="1"/>
  <c r="DU149" i="1" s="1"/>
  <c r="QU137" i="1"/>
  <c r="QV137" i="1"/>
  <c r="QY137" i="1" s="1"/>
  <c r="FS141" i="1"/>
  <c r="FT141" i="1"/>
  <c r="FW141" i="1" s="1"/>
  <c r="PK150" i="1"/>
  <c r="PL150" i="1"/>
  <c r="PO150" i="1" s="1"/>
  <c r="NJ139" i="1"/>
  <c r="NM139" i="1" s="1"/>
  <c r="NI139" i="1"/>
  <c r="QV149" i="1"/>
  <c r="QY149" i="1" s="1"/>
  <c r="QU149" i="1"/>
  <c r="QC139" i="1"/>
  <c r="QD139" i="1"/>
  <c r="QG139" i="1" s="1"/>
  <c r="PK141" i="1"/>
  <c r="PL141" i="1"/>
  <c r="PO141" i="1" s="1"/>
  <c r="JE109" i="1"/>
  <c r="JF109" i="1"/>
  <c r="JI109" i="1" s="1"/>
  <c r="M110" i="1"/>
  <c r="N110" i="1"/>
  <c r="Q110" i="1" s="1"/>
  <c r="IM167" i="1"/>
  <c r="IN167" i="1"/>
  <c r="IQ167" i="1" s="1"/>
  <c r="M168" i="1"/>
  <c r="N168" i="1"/>
  <c r="Q168" i="1" s="1"/>
  <c r="UY120" i="1"/>
  <c r="UZ120" i="1"/>
  <c r="VC120" i="1" s="1"/>
  <c r="CY137" i="1"/>
  <c r="CZ137" i="1"/>
  <c r="DC137" i="1" s="1"/>
  <c r="IM158" i="1"/>
  <c r="IN158" i="1"/>
  <c r="IQ158" i="1" s="1"/>
  <c r="SW142" i="1"/>
  <c r="SX142" i="1"/>
  <c r="TA142" i="1" s="1"/>
  <c r="AW137" i="1"/>
  <c r="AX137" i="1"/>
  <c r="BA137" i="1" s="1"/>
  <c r="GK118" i="1"/>
  <c r="GL118" i="1"/>
  <c r="GO118" i="1" s="1"/>
  <c r="HU161" i="1"/>
  <c r="HV161" i="1"/>
  <c r="HY161" i="1" s="1"/>
  <c r="UH139" i="1"/>
  <c r="UK139" i="1" s="1"/>
  <c r="UG139" i="1"/>
  <c r="JE138" i="1"/>
  <c r="JF138" i="1"/>
  <c r="JI138" i="1" s="1"/>
  <c r="PK119" i="1"/>
  <c r="PL119" i="1"/>
  <c r="PO119" i="1" s="1"/>
  <c r="QC128" i="1"/>
  <c r="QD128" i="1"/>
  <c r="QG128" i="1" s="1"/>
  <c r="FB170" i="1"/>
  <c r="FE170" i="1" s="1"/>
  <c r="AW168" i="1"/>
  <c r="AX168" i="1"/>
  <c r="BA168" i="1" s="1"/>
  <c r="EI128" i="1"/>
  <c r="EJ128" i="1"/>
  <c r="EM128" i="1" s="1"/>
  <c r="UY159" i="1"/>
  <c r="UZ159" i="1"/>
  <c r="VC159" i="1" s="1"/>
  <c r="QU129" i="1"/>
  <c r="QV129" i="1"/>
  <c r="QY129" i="1" s="1"/>
  <c r="LY128" i="1"/>
  <c r="LZ128" i="1"/>
  <c r="MC128" i="1" s="1"/>
  <c r="CG118" i="1"/>
  <c r="CH118" i="1"/>
  <c r="CK118" i="1" s="1"/>
  <c r="OS129" i="1"/>
  <c r="OT129" i="1"/>
  <c r="OW129" i="1" s="1"/>
  <c r="M111" i="1"/>
  <c r="N111" i="1"/>
  <c r="Q111" i="1" s="1"/>
  <c r="JW126" i="1"/>
  <c r="JX126" i="1"/>
  <c r="KA126" i="1" s="1"/>
  <c r="QU111" i="1"/>
  <c r="QV111" i="1"/>
  <c r="QY111" i="1" s="1"/>
  <c r="SW149" i="1"/>
  <c r="SX149" i="1"/>
  <c r="TA149" i="1" s="1"/>
  <c r="AE170" i="1"/>
  <c r="AF170" i="1"/>
  <c r="AI170" i="1" s="1"/>
  <c r="OA141" i="1"/>
  <c r="OB141" i="1"/>
  <c r="OE141" i="1" s="1"/>
  <c r="PK170" i="1"/>
  <c r="PL170" i="1"/>
  <c r="PO170" i="1" s="1"/>
  <c r="TP167" i="1"/>
  <c r="TS167" i="1" s="1"/>
  <c r="TO167" i="1"/>
  <c r="MR168" i="1"/>
  <c r="MU168" i="1" s="1"/>
  <c r="MQ168" i="1"/>
  <c r="UZ127" i="1"/>
  <c r="VC127" i="1" s="1"/>
  <c r="UY127" i="1"/>
  <c r="UY118" i="1"/>
  <c r="UZ118" i="1"/>
  <c r="VC118" i="1" s="1"/>
  <c r="RM136" i="1"/>
  <c r="RN136" i="1"/>
  <c r="RQ136" i="1" s="1"/>
  <c r="FA135" i="1"/>
  <c r="FB135" i="1"/>
  <c r="FE135" i="1" s="1"/>
  <c r="NI149" i="1"/>
  <c r="NJ149" i="1"/>
  <c r="NM149" i="1" s="1"/>
  <c r="QU159" i="1"/>
  <c r="QV159" i="1"/>
  <c r="QY159" i="1" s="1"/>
  <c r="FS169" i="1"/>
  <c r="FT169" i="1"/>
  <c r="FW169" i="1" s="1"/>
  <c r="DR118" i="1"/>
  <c r="DU118" i="1" s="1"/>
  <c r="DQ118" i="1"/>
  <c r="KO118" i="1"/>
  <c r="KP118" i="1"/>
  <c r="KS118" i="1" s="1"/>
  <c r="HU120" i="1"/>
  <c r="HV120" i="1"/>
  <c r="HY120" i="1" s="1"/>
  <c r="SW129" i="1"/>
  <c r="SX129" i="1"/>
  <c r="TA129" i="1" s="1"/>
  <c r="DQ140" i="1"/>
  <c r="DR140" i="1"/>
  <c r="DU140" i="1" s="1"/>
  <c r="MQ127" i="1"/>
  <c r="MR127" i="1"/>
  <c r="MU127" i="1" s="1"/>
  <c r="GK139" i="1"/>
  <c r="GL139" i="1"/>
  <c r="GO139" i="1" s="1"/>
  <c r="AE160" i="1"/>
  <c r="AF160" i="1"/>
  <c r="AI160" i="1" s="1"/>
  <c r="LG139" i="1"/>
  <c r="LH139" i="1"/>
  <c r="LK139" i="1" s="1"/>
  <c r="IM169" i="1"/>
  <c r="IN169" i="1"/>
  <c r="IQ169" i="1" s="1"/>
  <c r="LY159" i="1"/>
  <c r="LZ159" i="1"/>
  <c r="MC159" i="1" s="1"/>
  <c r="CY161" i="1"/>
  <c r="CZ161" i="1"/>
  <c r="DC161" i="1" s="1"/>
  <c r="TO168" i="1"/>
  <c r="TP168" i="1"/>
  <c r="TS168" i="1" s="1"/>
  <c r="CY111" i="1"/>
  <c r="CZ111" i="1"/>
  <c r="DC111" i="1" s="1"/>
  <c r="DQ120" i="1"/>
  <c r="DR120" i="1"/>
  <c r="DU120" i="1" s="1"/>
  <c r="GK167" i="1"/>
  <c r="GL167" i="1"/>
  <c r="GO167" i="1" s="1"/>
  <c r="JE111" i="1"/>
  <c r="JF111" i="1"/>
  <c r="JI111" i="1" s="1"/>
  <c r="OB126" i="1"/>
  <c r="OE126" i="1" s="1"/>
  <c r="OA126" i="1"/>
  <c r="AW111" i="1"/>
  <c r="AX111" i="1"/>
  <c r="BA111" i="1" s="1"/>
  <c r="CG169" i="1"/>
  <c r="CH169" i="1"/>
  <c r="CK169" i="1" s="1"/>
  <c r="TO109" i="1"/>
  <c r="TP109" i="1"/>
  <c r="TS109" i="1" s="1"/>
  <c r="RM159" i="1"/>
  <c r="RN159" i="1"/>
  <c r="RQ159" i="1" s="1"/>
  <c r="LZ150" i="1"/>
  <c r="MC150" i="1" s="1"/>
  <c r="LY150" i="1"/>
  <c r="RN161" i="1"/>
  <c r="RQ161" i="1" s="1"/>
  <c r="RM161" i="1"/>
  <c r="HC140" i="1"/>
  <c r="HD140" i="1"/>
  <c r="HG140" i="1" s="1"/>
  <c r="IM127" i="1"/>
  <c r="IN127" i="1"/>
  <c r="IQ127" i="1" s="1"/>
  <c r="CY170" i="1"/>
  <c r="CZ170" i="1"/>
  <c r="DC170" i="1" s="1"/>
  <c r="PK137" i="1"/>
  <c r="PL137" i="1"/>
  <c r="PO137" i="1" s="1"/>
  <c r="JX141" i="1"/>
  <c r="KA141" i="1" s="1"/>
  <c r="JW141" i="1"/>
  <c r="PK140" i="1"/>
  <c r="PL140" i="1"/>
  <c r="PO140" i="1" s="1"/>
  <c r="TO117" i="1"/>
  <c r="TP117" i="1"/>
  <c r="TS117" i="1" s="1"/>
  <c r="LG170" i="1"/>
  <c r="LH170" i="1"/>
  <c r="LK170" i="1" s="1"/>
  <c r="M118" i="1"/>
  <c r="N118" i="1"/>
  <c r="Q118" i="1" s="1"/>
  <c r="MQ142" i="1"/>
  <c r="MR142" i="1"/>
  <c r="MU142" i="1" s="1"/>
  <c r="LG152" i="1"/>
  <c r="LH152" i="1"/>
  <c r="LK152" i="1" s="1"/>
  <c r="CH128" i="1"/>
  <c r="CK128" i="1" s="1"/>
  <c r="CG128" i="1"/>
  <c r="RM168" i="1"/>
  <c r="RN168" i="1"/>
  <c r="RQ168" i="1" s="1"/>
  <c r="DQ127" i="1"/>
  <c r="DR127" i="1"/>
  <c r="DU127" i="1" s="1"/>
  <c r="HC117" i="1"/>
  <c r="HD117" i="1"/>
  <c r="HG117" i="1" s="1"/>
  <c r="QC117" i="1"/>
  <c r="QD117" i="1"/>
  <c r="QG117" i="1" s="1"/>
  <c r="UG117" i="1"/>
  <c r="UH117" i="1"/>
  <c r="UK117" i="1" s="1"/>
  <c r="LY149" i="1"/>
  <c r="LZ149" i="1"/>
  <c r="MC149" i="1" s="1"/>
  <c r="SW167" i="1"/>
  <c r="SX167" i="1"/>
  <c r="TA167" i="1" s="1"/>
  <c r="KO135" i="1"/>
  <c r="KP135" i="1"/>
  <c r="KS135" i="1" s="1"/>
  <c r="JE137" i="1"/>
  <c r="JF137" i="1"/>
  <c r="JI137" i="1" s="1"/>
  <c r="OA140" i="1"/>
  <c r="OB140" i="1"/>
  <c r="OE140" i="1" s="1"/>
  <c r="MQ160" i="1"/>
  <c r="MR160" i="1"/>
  <c r="MU160" i="1" s="1"/>
  <c r="UG149" i="1"/>
  <c r="UH149" i="1"/>
  <c r="UK149" i="1" s="1"/>
  <c r="JE151" i="1"/>
  <c r="JF151" i="1"/>
  <c r="JI151" i="1" s="1"/>
  <c r="UG128" i="1"/>
  <c r="UH128" i="1"/>
  <c r="UK128" i="1" s="1"/>
  <c r="QC136" i="1"/>
  <c r="QD136" i="1"/>
  <c r="QG136" i="1" s="1"/>
  <c r="PL168" i="1"/>
  <c r="PO168" i="1" s="1"/>
  <c r="PK168" i="1"/>
  <c r="QV151" i="1"/>
  <c r="QY151" i="1" s="1"/>
  <c r="QU151" i="1"/>
  <c r="NJ160" i="1"/>
  <c r="NM160" i="1" s="1"/>
  <c r="NI160" i="1"/>
  <c r="TO140" i="1"/>
  <c r="TP140" i="1"/>
  <c r="TS140" i="1" s="1"/>
  <c r="KP126" i="1"/>
  <c r="KS126" i="1" s="1"/>
  <c r="KO126" i="1"/>
  <c r="QV110" i="1"/>
  <c r="QY110" i="1" s="1"/>
  <c r="QU110" i="1"/>
  <c r="OB161" i="1"/>
  <c r="OE161" i="1" s="1"/>
  <c r="OA161" i="1"/>
  <c r="JF141" i="1"/>
  <c r="JI141" i="1" s="1"/>
  <c r="JE141" i="1"/>
  <c r="AF142" i="1"/>
  <c r="AI142" i="1" s="1"/>
  <c r="AE142" i="1"/>
  <c r="NI110" i="1"/>
  <c r="NJ110" i="1"/>
  <c r="NM110" i="1" s="1"/>
  <c r="BO142" i="1"/>
  <c r="BP142" i="1"/>
  <c r="BS142" i="1" s="1"/>
  <c r="PK159" i="1"/>
  <c r="PL159" i="1"/>
  <c r="PO159" i="1" s="1"/>
  <c r="PK117" i="1"/>
  <c r="PL117" i="1"/>
  <c r="PO117" i="1" s="1"/>
  <c r="QD135" i="1"/>
  <c r="QG135" i="1" s="1"/>
  <c r="QC135" i="1"/>
  <c r="QC118" i="1"/>
  <c r="QD118" i="1"/>
  <c r="QG118" i="1" s="1"/>
  <c r="FB167" i="1"/>
  <c r="FE167" i="1" s="1"/>
  <c r="FA167" i="1"/>
  <c r="UH108" i="1"/>
  <c r="UK108" i="1" s="1"/>
  <c r="UG108" i="1"/>
  <c r="PL111" i="1"/>
  <c r="PO111" i="1" s="1"/>
  <c r="PK111" i="1"/>
  <c r="PK120" i="1"/>
  <c r="PL120" i="1"/>
  <c r="PO120" i="1" s="1"/>
  <c r="OA120" i="1"/>
  <c r="OB120" i="1"/>
  <c r="OE120" i="1" s="1"/>
  <c r="OS170" i="1"/>
  <c r="OT170" i="1"/>
  <c r="OW170" i="1" s="1"/>
  <c r="CY169" i="1"/>
  <c r="CZ169" i="1"/>
  <c r="DC169" i="1" s="1"/>
  <c r="RM128" i="1"/>
  <c r="RN128" i="1"/>
  <c r="RQ128" i="1" s="1"/>
  <c r="AW138" i="1"/>
  <c r="AX138" i="1"/>
  <c r="BA138" i="1" s="1"/>
  <c r="UY141" i="1"/>
  <c r="UZ141" i="1"/>
  <c r="VC141" i="1" s="1"/>
  <c r="RN120" i="1"/>
  <c r="RQ120" i="1" s="1"/>
  <c r="RM120" i="1"/>
  <c r="SX108" i="1"/>
  <c r="TA108" i="1" s="1"/>
  <c r="SW108" i="1"/>
  <c r="LZ168" i="1"/>
  <c r="MC168" i="1" s="1"/>
  <c r="LY168" i="1"/>
  <c r="OS167" i="1"/>
  <c r="OT167" i="1"/>
  <c r="OW167" i="1" s="1"/>
  <c r="FB118" i="1"/>
  <c r="FE118" i="1" s="1"/>
  <c r="FA118" i="1"/>
  <c r="UZ160" i="1"/>
  <c r="VC160" i="1" s="1"/>
  <c r="UY160" i="1"/>
  <c r="RN140" i="1"/>
  <c r="RQ140" i="1" s="1"/>
  <c r="RM140" i="1"/>
  <c r="OA108" i="1"/>
  <c r="OB108" i="1"/>
  <c r="OE108" i="1" s="1"/>
  <c r="IM117" i="1"/>
  <c r="IN117" i="1"/>
  <c r="IQ117" i="1" s="1"/>
  <c r="CG140" i="1"/>
  <c r="CH140" i="1"/>
  <c r="CK140" i="1" s="1"/>
  <c r="GK140" i="1"/>
  <c r="GL140" i="1"/>
  <c r="GO140" i="1" s="1"/>
  <c r="JF158" i="1"/>
  <c r="JI158" i="1" s="1"/>
  <c r="JE158" i="1"/>
  <c r="PL152" i="1"/>
  <c r="PO152" i="1" s="1"/>
  <c r="PK152" i="1"/>
  <c r="GL126" i="1"/>
  <c r="GO126" i="1" s="1"/>
  <c r="GK126" i="1"/>
  <c r="M127" i="1"/>
  <c r="N127" i="1"/>
  <c r="IN135" i="1"/>
  <c r="IQ135" i="1" s="1"/>
  <c r="IM135" i="1"/>
  <c r="SW120" i="1"/>
  <c r="SX120" i="1"/>
  <c r="TA120" i="1" s="1"/>
  <c r="HD169" i="1"/>
  <c r="HG169" i="1" s="1"/>
  <c r="HC169" i="1"/>
  <c r="OT117" i="1"/>
  <c r="OW117" i="1" s="1"/>
  <c r="OS117" i="1"/>
  <c r="GK170" i="1"/>
  <c r="GL170" i="1"/>
  <c r="GO170" i="1" s="1"/>
  <c r="DQ169" i="1"/>
  <c r="DR169" i="1"/>
  <c r="DU169" i="1" s="1"/>
  <c r="IM139" i="1"/>
  <c r="IN139" i="1"/>
  <c r="IQ139" i="1" s="1"/>
  <c r="QU120" i="1"/>
  <c r="QV120" i="1"/>
  <c r="QY120" i="1" s="1"/>
  <c r="LY160" i="1"/>
  <c r="LZ160" i="1"/>
  <c r="MC160" i="1" s="1"/>
  <c r="HC170" i="1"/>
  <c r="HD170" i="1"/>
  <c r="HG170" i="1" s="1"/>
  <c r="JW140" i="1"/>
  <c r="JX140" i="1"/>
  <c r="KA140" i="1" s="1"/>
  <c r="UY135" i="1"/>
  <c r="UZ135" i="1"/>
  <c r="VC135" i="1" s="1"/>
  <c r="OS135" i="1"/>
  <c r="OT135" i="1"/>
  <c r="OW135" i="1" s="1"/>
  <c r="UG126" i="1"/>
  <c r="UH126" i="1"/>
  <c r="UK126" i="1" s="1"/>
  <c r="CZ149" i="1"/>
  <c r="DC149" i="1" s="1"/>
  <c r="CY149" i="1"/>
  <c r="BO111" i="1"/>
  <c r="BP111" i="1"/>
  <c r="BS111" i="1" s="1"/>
  <c r="GL152" i="1"/>
  <c r="GO152" i="1" s="1"/>
  <c r="GK152" i="1"/>
  <c r="BP140" i="1"/>
  <c r="BS140" i="1" s="1"/>
  <c r="BO140" i="1"/>
  <c r="QU119" i="1"/>
  <c r="QV119" i="1"/>
  <c r="QY119" i="1" s="1"/>
  <c r="BO138" i="1"/>
  <c r="BP138" i="1"/>
  <c r="BS138" i="1" s="1"/>
  <c r="SF127" i="1"/>
  <c r="SI127" i="1" s="1"/>
  <c r="SE127" i="1"/>
  <c r="HD150" i="1"/>
  <c r="HG150" i="1" s="1"/>
  <c r="HC150" i="1"/>
  <c r="NJ140" i="1"/>
  <c r="NM140" i="1" s="1"/>
  <c r="NI140" i="1"/>
  <c r="OS120" i="1"/>
  <c r="OT120" i="1"/>
  <c r="OW120" i="1" s="1"/>
  <c r="JX143" i="1"/>
  <c r="KA143" i="1" s="1"/>
  <c r="JW143" i="1"/>
  <c r="M142" i="1"/>
  <c r="N142" i="1"/>
  <c r="Q142" i="1" s="1"/>
  <c r="SW119" i="1"/>
  <c r="SX119" i="1"/>
  <c r="TA119" i="1" s="1"/>
  <c r="TO149" i="1"/>
  <c r="TP149" i="1"/>
  <c r="TS149" i="1" s="1"/>
  <c r="NJ129" i="1"/>
  <c r="NM129" i="1" s="1"/>
  <c r="NI129" i="1"/>
  <c r="RM110" i="1"/>
  <c r="RN110" i="1"/>
  <c r="RQ110" i="1" s="1"/>
  <c r="IN149" i="1"/>
  <c r="IQ149" i="1" s="1"/>
  <c r="IM149" i="1"/>
  <c r="TO136" i="1"/>
  <c r="TP136" i="1"/>
  <c r="TS136" i="1" s="1"/>
  <c r="IM141" i="1"/>
  <c r="IN141" i="1"/>
  <c r="IQ141" i="1" s="1"/>
  <c r="AW139" i="1"/>
  <c r="AX139" i="1"/>
  <c r="BA139" i="1" s="1"/>
  <c r="PK161" i="1"/>
  <c r="PL161" i="1"/>
  <c r="PO161" i="1" s="1"/>
  <c r="PL110" i="1"/>
  <c r="PO110" i="1" s="1"/>
  <c r="PK110" i="1"/>
  <c r="AW136" i="1"/>
  <c r="AX136" i="1"/>
  <c r="BA136" i="1" s="1"/>
  <c r="FT168" i="1"/>
  <c r="FW168" i="1" s="1"/>
  <c r="FS168" i="1"/>
  <c r="OT168" i="1"/>
  <c r="OW168" i="1" s="1"/>
  <c r="OS168" i="1"/>
  <c r="UH161" i="1"/>
  <c r="UK161" i="1" s="1"/>
  <c r="UG161" i="1"/>
  <c r="HV136" i="1"/>
  <c r="HY136" i="1" s="1"/>
  <c r="HU136" i="1"/>
  <c r="QC143" i="1"/>
  <c r="QD143" i="1"/>
  <c r="QG143" i="1" s="1"/>
  <c r="AW151" i="1"/>
  <c r="AX151" i="1"/>
  <c r="BA151" i="1" s="1"/>
  <c r="UY143" i="1"/>
  <c r="UZ143" i="1"/>
  <c r="VC143" i="1" s="1"/>
  <c r="OA158" i="1"/>
  <c r="OB158" i="1"/>
  <c r="OE158" i="1" s="1"/>
  <c r="UZ111" i="1"/>
  <c r="VC111" i="1" s="1"/>
  <c r="UY111" i="1"/>
  <c r="HC139" i="1"/>
  <c r="HD139" i="1"/>
  <c r="HG139" i="1" s="1"/>
  <c r="UG150" i="1"/>
  <c r="UH150" i="1"/>
  <c r="UK150" i="1" s="1"/>
  <c r="JW128" i="1"/>
  <c r="JX128" i="1"/>
  <c r="KA128" i="1" s="1"/>
  <c r="IM140" i="1"/>
  <c r="IN140" i="1"/>
  <c r="IQ140" i="1" s="1"/>
  <c r="QU136" i="1"/>
  <c r="QV136" i="1"/>
  <c r="QY136" i="1" s="1"/>
  <c r="LY141" i="1"/>
  <c r="LZ141" i="1"/>
  <c r="MC141" i="1" s="1"/>
  <c r="QU168" i="1"/>
  <c r="QV168" i="1"/>
  <c r="QY168" i="1" s="1"/>
  <c r="CZ136" i="1"/>
  <c r="DC136" i="1" s="1"/>
  <c r="CY136" i="1"/>
  <c r="TO158" i="1"/>
  <c r="TP158" i="1"/>
  <c r="TS158" i="1" s="1"/>
  <c r="KO139" i="1"/>
  <c r="KP139" i="1"/>
  <c r="KS139" i="1" s="1"/>
  <c r="QC141" i="1"/>
  <c r="QD141" i="1"/>
  <c r="QG141" i="1" s="1"/>
  <c r="JF168" i="1"/>
  <c r="JI168" i="1" s="1"/>
  <c r="JE168" i="1"/>
  <c r="TO161" i="1"/>
  <c r="TP161" i="1"/>
  <c r="TS161" i="1" s="1"/>
  <c r="SF111" i="1"/>
  <c r="SI111" i="1" s="1"/>
  <c r="SE111" i="1"/>
  <c r="CY159" i="1"/>
  <c r="CZ159" i="1"/>
  <c r="DC159" i="1" s="1"/>
  <c r="KO136" i="1"/>
  <c r="KP136" i="1"/>
  <c r="KS136" i="1" s="1"/>
  <c r="UY167" i="1"/>
  <c r="UZ167" i="1"/>
  <c r="VC167" i="1" s="1"/>
  <c r="AE141" i="1"/>
  <c r="AF141" i="1"/>
  <c r="AI141" i="1" s="1"/>
  <c r="OS126" i="1"/>
  <c r="OT126" i="1"/>
  <c r="OW126" i="1" s="1"/>
  <c r="CH136" i="1"/>
  <c r="CK136" i="1" s="1"/>
  <c r="CG136" i="1"/>
  <c r="AE139" i="1"/>
  <c r="AF139" i="1"/>
  <c r="AI139" i="1" s="1"/>
  <c r="OS127" i="1"/>
  <c r="OT127" i="1"/>
  <c r="OW127" i="1" s="1"/>
  <c r="LG129" i="1"/>
  <c r="LH129" i="1"/>
  <c r="LK129" i="1" s="1"/>
  <c r="BO136" i="1"/>
  <c r="BP136" i="1"/>
  <c r="BS136" i="1" s="1"/>
  <c r="OT111" i="1"/>
  <c r="OW111" i="1" s="1"/>
  <c r="OS111" i="1"/>
  <c r="RM167" i="1"/>
  <c r="RN167" i="1"/>
  <c r="RQ167" i="1" s="1"/>
  <c r="JX159" i="1"/>
  <c r="KA159" i="1" s="1"/>
  <c r="JW159" i="1"/>
  <c r="SW137" i="1"/>
  <c r="SX137" i="1"/>
  <c r="TA137" i="1" s="1"/>
  <c r="DQ141" i="1"/>
  <c r="DR141" i="1"/>
  <c r="DU141" i="1" s="1"/>
  <c r="GK150" i="1"/>
  <c r="GL150" i="1"/>
  <c r="GO150" i="1" s="1"/>
  <c r="SE136" i="1"/>
  <c r="SF136" i="1"/>
  <c r="SI136" i="1" s="1"/>
  <c r="LY136" i="1"/>
  <c r="LZ136" i="1"/>
  <c r="MC136" i="1" s="1"/>
  <c r="NI141" i="1"/>
  <c r="NJ141" i="1"/>
  <c r="NM141" i="1" s="1"/>
  <c r="JW170" i="1"/>
  <c r="JX170" i="1"/>
  <c r="KA170" i="1" s="1"/>
  <c r="EJ136" i="1"/>
  <c r="EM136" i="1" s="1"/>
  <c r="EI136" i="1"/>
  <c r="OA137" i="1"/>
  <c r="OB137" i="1"/>
  <c r="OE137" i="1" s="1"/>
  <c r="TO150" i="1"/>
  <c r="TP150" i="1"/>
  <c r="TS150" i="1" s="1"/>
  <c r="UG109" i="1"/>
  <c r="UH109" i="1"/>
  <c r="UK109" i="1" s="1"/>
  <c r="DQ136" i="1"/>
  <c r="DR136" i="1"/>
  <c r="DU136" i="1" s="1"/>
  <c r="NJ161" i="1"/>
  <c r="NM161" i="1" s="1"/>
  <c r="NI161" i="1"/>
  <c r="UZ152" i="1"/>
  <c r="VC152" i="1" s="1"/>
  <c r="UY152" i="1"/>
  <c r="LG110" i="1"/>
  <c r="LH110" i="1"/>
  <c r="LK110" i="1" s="1"/>
  <c r="JE139" i="1"/>
  <c r="JF139" i="1"/>
  <c r="JI139" i="1" s="1"/>
  <c r="QC160" i="1"/>
  <c r="QD160" i="1"/>
  <c r="QG160" i="1" s="1"/>
  <c r="FA141" i="1"/>
  <c r="FB141" i="1"/>
  <c r="FE141" i="1" s="1"/>
  <c r="QC140" i="1"/>
  <c r="QD140" i="1"/>
  <c r="QG140" i="1" s="1"/>
  <c r="DQ137" i="1"/>
  <c r="DR137" i="1"/>
  <c r="DU137" i="1" s="1"/>
  <c r="QD126" i="1"/>
  <c r="QG126" i="1" s="1"/>
  <c r="QC126" i="1"/>
  <c r="IM142" i="1"/>
  <c r="IN142" i="1"/>
  <c r="IQ142" i="1" s="1"/>
  <c r="KO142" i="1"/>
  <c r="KP142" i="1"/>
  <c r="KS142" i="1" s="1"/>
  <c r="IM138" i="1"/>
  <c r="IN138" i="1"/>
  <c r="IQ138" i="1" s="1"/>
  <c r="QU138" i="1"/>
  <c r="QV138" i="1"/>
  <c r="QY138" i="1" s="1"/>
  <c r="EI142" i="1"/>
  <c r="EJ142" i="1"/>
  <c r="EM142" i="1" s="1"/>
  <c r="MQ136" i="1"/>
  <c r="MR136" i="1"/>
  <c r="MU136" i="1" s="1"/>
  <c r="OT136" i="1"/>
  <c r="OW136" i="1" s="1"/>
  <c r="OS136" i="1"/>
  <c r="UG169" i="1"/>
  <c r="UH169" i="1"/>
  <c r="UK169" i="1" s="1"/>
  <c r="SE158" i="1"/>
  <c r="SF158" i="1"/>
  <c r="SI158" i="1" s="1"/>
  <c r="HV127" i="1"/>
  <c r="HY127" i="1" s="1"/>
  <c r="HU127" i="1"/>
  <c r="TA134" i="1" l="1"/>
  <c r="OE134" i="1"/>
  <c r="FE134" i="1"/>
  <c r="BS134" i="1"/>
  <c r="DC134" i="1"/>
  <c r="CK134" i="1"/>
  <c r="TS134" i="1"/>
  <c r="N113" i="1"/>
  <c r="N112" i="1"/>
  <c r="L112" i="1"/>
  <c r="N115" i="1" s="1"/>
  <c r="L113" i="1"/>
  <c r="CK107" i="1"/>
  <c r="CK112" i="1" s="1"/>
  <c r="CH112" i="1"/>
  <c r="Q134" i="1"/>
  <c r="J115" i="1"/>
  <c r="MR158" i="1"/>
  <c r="MU158" i="1" s="1"/>
  <c r="QV152" i="1"/>
  <c r="QY152" i="1" s="1"/>
  <c r="SF140" i="1"/>
  <c r="SI140" i="1" s="1"/>
  <c r="UH158" i="1"/>
  <c r="UL158" i="1" s="1"/>
  <c r="RN117" i="1"/>
  <c r="RQ117" i="1" s="1"/>
  <c r="SF117" i="1"/>
  <c r="SI117" i="1" s="1"/>
  <c r="KO157" i="1"/>
  <c r="KO163" i="1" s="1"/>
  <c r="UH170" i="1"/>
  <c r="UK170" i="1" s="1"/>
  <c r="SF129" i="1"/>
  <c r="SI129" i="1" s="1"/>
  <c r="Q127" i="1"/>
  <c r="P127" i="1"/>
  <c r="AF126" i="1"/>
  <c r="AI126" i="1" s="1"/>
  <c r="UH136" i="1"/>
  <c r="UI136" i="1" s="1"/>
  <c r="SF119" i="1"/>
  <c r="SI119" i="1" s="1"/>
  <c r="GK116" i="1"/>
  <c r="GK121" i="1" s="1"/>
  <c r="QC137" i="1"/>
  <c r="DQ158" i="1"/>
  <c r="FT135" i="1"/>
  <c r="FW135" i="1" s="1"/>
  <c r="HD158" i="1"/>
  <c r="HG158" i="1" s="1"/>
  <c r="UG160" i="1"/>
  <c r="UX132" i="1"/>
  <c r="SE151" i="1"/>
  <c r="UH138" i="1"/>
  <c r="UK138" i="1" s="1"/>
  <c r="UX123" i="1"/>
  <c r="RN135" i="1"/>
  <c r="RQ135" i="1" s="1"/>
  <c r="TN132" i="1"/>
  <c r="TN164" i="1"/>
  <c r="TN173" i="1"/>
  <c r="TN114" i="1"/>
  <c r="UX173" i="1"/>
  <c r="UF155" i="1"/>
  <c r="FT137" i="1"/>
  <c r="FW137" i="1" s="1"/>
  <c r="NJ111" i="1"/>
  <c r="NM111" i="1" s="1"/>
  <c r="UX155" i="1"/>
  <c r="MR141" i="1"/>
  <c r="MU141" i="1" s="1"/>
  <c r="UG119" i="1"/>
  <c r="MR138" i="1"/>
  <c r="MU138" i="1" s="1"/>
  <c r="LZ127" i="1"/>
  <c r="MC127" i="1" s="1"/>
  <c r="GK125" i="1"/>
  <c r="GK131" i="1" s="1"/>
  <c r="NJ119" i="1"/>
  <c r="NO119" i="1" s="1"/>
  <c r="OT137" i="1"/>
  <c r="OW137" i="1" s="1"/>
  <c r="QD168" i="1"/>
  <c r="QG168" i="1" s="1"/>
  <c r="LH108" i="1"/>
  <c r="LK108" i="1" s="1"/>
  <c r="OT140" i="1"/>
  <c r="OX140" i="1" s="1"/>
  <c r="SF128" i="1"/>
  <c r="SI128" i="1" s="1"/>
  <c r="QD138" i="1"/>
  <c r="QG138" i="1" s="1"/>
  <c r="UH120" i="1"/>
  <c r="UJ120" i="1" s="1"/>
  <c r="UK160" i="1"/>
  <c r="UJ160" i="1"/>
  <c r="UM160" i="1"/>
  <c r="UI160" i="1"/>
  <c r="UL160" i="1"/>
  <c r="UF173" i="1"/>
  <c r="UF114" i="1"/>
  <c r="TN123" i="1"/>
  <c r="UK152" i="1"/>
  <c r="UI152" i="1"/>
  <c r="UL152" i="1"/>
  <c r="UJ152" i="1"/>
  <c r="UM152" i="1"/>
  <c r="UF164" i="1"/>
  <c r="UX114" i="1"/>
  <c r="UX146" i="1"/>
  <c r="UX164" i="1"/>
  <c r="UI119" i="1"/>
  <c r="UJ119" i="1"/>
  <c r="UL119" i="1"/>
  <c r="UM119" i="1"/>
  <c r="UK119" i="1"/>
  <c r="RL123" i="1"/>
  <c r="UF146" i="1"/>
  <c r="UF132" i="1"/>
  <c r="UF123" i="1"/>
  <c r="MR139" i="1"/>
  <c r="MU139" i="1" s="1"/>
  <c r="KP161" i="1"/>
  <c r="KS161" i="1" s="1"/>
  <c r="EJ169" i="1"/>
  <c r="EM169" i="1" s="1"/>
  <c r="NJ117" i="1"/>
  <c r="NM117" i="1" s="1"/>
  <c r="QA164" i="1"/>
  <c r="QC142" i="1"/>
  <c r="QC159" i="1"/>
  <c r="SV164" i="1"/>
  <c r="SV146" i="1"/>
  <c r="SV155" i="1"/>
  <c r="TN146" i="1"/>
  <c r="TN155" i="1"/>
  <c r="SF142" i="1"/>
  <c r="SI142" i="1" s="1"/>
  <c r="OT160" i="1"/>
  <c r="OW160" i="1" s="1"/>
  <c r="LZ161" i="1"/>
  <c r="MC161" i="1" s="1"/>
  <c r="OT142" i="1"/>
  <c r="OW142" i="1" s="1"/>
  <c r="KP168" i="1"/>
  <c r="KS168" i="1" s="1"/>
  <c r="MR128" i="1"/>
  <c r="MV128" i="1" s="1"/>
  <c r="SV132" i="1"/>
  <c r="QV161" i="1"/>
  <c r="QY161" i="1" s="1"/>
  <c r="HV138" i="1"/>
  <c r="HY138" i="1" s="1"/>
  <c r="LZ108" i="1"/>
  <c r="MC108" i="1" s="1"/>
  <c r="LH142" i="1"/>
  <c r="LK142" i="1" s="1"/>
  <c r="QT132" i="1"/>
  <c r="MQ140" i="1"/>
  <c r="SF159" i="1"/>
  <c r="SI159" i="1" s="1"/>
  <c r="QD110" i="1"/>
  <c r="QG110" i="1" s="1"/>
  <c r="SV114" i="1"/>
  <c r="SV173" i="1"/>
  <c r="NJ118" i="1"/>
  <c r="NL118" i="1" s="1"/>
  <c r="RL173" i="1"/>
  <c r="SV123" i="1"/>
  <c r="QV170" i="1"/>
  <c r="QY170" i="1" s="1"/>
  <c r="KP109" i="1"/>
  <c r="KS109" i="1" s="1"/>
  <c r="SF149" i="1"/>
  <c r="SI149" i="1" s="1"/>
  <c r="SI151" i="1"/>
  <c r="SG151" i="1"/>
  <c r="SH151" i="1"/>
  <c r="SK151" i="1"/>
  <c r="SJ151" i="1"/>
  <c r="SF161" i="1"/>
  <c r="SI161" i="1" s="1"/>
  <c r="SF168" i="1"/>
  <c r="SI168" i="1" s="1"/>
  <c r="EJ119" i="1"/>
  <c r="EM119" i="1" s="1"/>
  <c r="QV109" i="1"/>
  <c r="QY109" i="1" s="1"/>
  <c r="RM138" i="1"/>
  <c r="SD164" i="1"/>
  <c r="SD114" i="1"/>
  <c r="SF143" i="1"/>
  <c r="SD173" i="1"/>
  <c r="HD168" i="1"/>
  <c r="HG168" i="1" s="1"/>
  <c r="SD122" i="1"/>
  <c r="SD121" i="1"/>
  <c r="SD131" i="1"/>
  <c r="SD130" i="1"/>
  <c r="SF116" i="1"/>
  <c r="SD155" i="1"/>
  <c r="SD146" i="1"/>
  <c r="SF125" i="1"/>
  <c r="SF131" i="1" s="1"/>
  <c r="RL145" i="1"/>
  <c r="RL144" i="1"/>
  <c r="JE136" i="1"/>
  <c r="RN158" i="1"/>
  <c r="RQ158" i="1" s="1"/>
  <c r="QB114" i="1"/>
  <c r="RN134" i="1"/>
  <c r="RN145" i="1" s="1"/>
  <c r="RM143" i="1"/>
  <c r="RN109" i="1"/>
  <c r="RN157" i="1"/>
  <c r="RL114" i="1"/>
  <c r="RN127" i="1"/>
  <c r="HV129" i="1"/>
  <c r="HY129" i="1" s="1"/>
  <c r="JX118" i="1"/>
  <c r="KA118" i="1" s="1"/>
  <c r="LH111" i="1"/>
  <c r="LK111" i="1" s="1"/>
  <c r="RL132" i="1"/>
  <c r="RL163" i="1"/>
  <c r="RL162" i="1"/>
  <c r="QV127" i="1"/>
  <c r="QY127" i="1" s="1"/>
  <c r="QD151" i="1"/>
  <c r="QG151" i="1" s="1"/>
  <c r="QC166" i="1"/>
  <c r="QC172" i="1" s="1"/>
  <c r="RL155" i="1"/>
  <c r="QE166" i="1"/>
  <c r="QE172" i="1" s="1"/>
  <c r="QI166" i="1"/>
  <c r="QI171" i="1" s="1"/>
  <c r="QG166" i="1"/>
  <c r="QG172" i="1" s="1"/>
  <c r="QH166" i="1"/>
  <c r="QH171" i="1" s="1"/>
  <c r="QD172" i="1"/>
  <c r="QF166" i="1"/>
  <c r="QF172" i="1" s="1"/>
  <c r="QD171" i="1"/>
  <c r="QV140" i="1"/>
  <c r="QY140" i="1" s="1"/>
  <c r="QV128" i="1"/>
  <c r="QY128" i="1" s="1"/>
  <c r="QV150" i="1"/>
  <c r="QY150" i="1" s="1"/>
  <c r="QB123" i="1"/>
  <c r="QU117" i="1"/>
  <c r="QT123" i="1"/>
  <c r="QT114" i="1"/>
  <c r="QU169" i="1"/>
  <c r="QT172" i="1"/>
  <c r="QT171" i="1"/>
  <c r="QT163" i="1"/>
  <c r="QT162" i="1"/>
  <c r="NJ108" i="1"/>
  <c r="NK108" i="1" s="1"/>
  <c r="OR114" i="1"/>
  <c r="QB155" i="1"/>
  <c r="QT146" i="1"/>
  <c r="QV166" i="1"/>
  <c r="QT155" i="1"/>
  <c r="QV157" i="1"/>
  <c r="QG137" i="1"/>
  <c r="QH137" i="1"/>
  <c r="QE137" i="1"/>
  <c r="QF137" i="1"/>
  <c r="QI137" i="1"/>
  <c r="PJ123" i="1"/>
  <c r="QB172" i="1"/>
  <c r="QB171" i="1"/>
  <c r="QB132" i="1"/>
  <c r="QB163" i="1"/>
  <c r="QB162" i="1"/>
  <c r="PJ114" i="1"/>
  <c r="PJ155" i="1"/>
  <c r="PJ173" i="1"/>
  <c r="QB146" i="1"/>
  <c r="MR108" i="1"/>
  <c r="MU108" i="1" s="1"/>
  <c r="OT151" i="1"/>
  <c r="OW151" i="1" s="1"/>
  <c r="OT110" i="1"/>
  <c r="OW110" i="1" s="1"/>
  <c r="MR135" i="1"/>
  <c r="MT135" i="1" s="1"/>
  <c r="NH155" i="1"/>
  <c r="NH123" i="1"/>
  <c r="NH132" i="1"/>
  <c r="NZ114" i="1"/>
  <c r="NZ123" i="1"/>
  <c r="NZ146" i="1"/>
  <c r="NZ155" i="1"/>
  <c r="PJ164" i="1"/>
  <c r="PJ146" i="1"/>
  <c r="LZ167" i="1"/>
  <c r="MC167" i="1" s="1"/>
  <c r="MP155" i="1"/>
  <c r="NZ164" i="1"/>
  <c r="PJ132" i="1"/>
  <c r="JX109" i="1"/>
  <c r="KA109" i="1" s="1"/>
  <c r="HV117" i="1"/>
  <c r="HX117" i="1" s="1"/>
  <c r="OR130" i="1"/>
  <c r="OR131" i="1"/>
  <c r="LH158" i="1"/>
  <c r="LK158" i="1" s="1"/>
  <c r="OT128" i="1"/>
  <c r="OW128" i="1" s="1"/>
  <c r="IN110" i="1"/>
  <c r="IQ110" i="1" s="1"/>
  <c r="HV160" i="1"/>
  <c r="HY160" i="1" s="1"/>
  <c r="MR161" i="1"/>
  <c r="MU161" i="1" s="1"/>
  <c r="LY137" i="1"/>
  <c r="LX155" i="1"/>
  <c r="LY134" i="1"/>
  <c r="LX164" i="1"/>
  <c r="OT125" i="1"/>
  <c r="OR123" i="1"/>
  <c r="OR155" i="1"/>
  <c r="OR146" i="1"/>
  <c r="IM111" i="1"/>
  <c r="JX169" i="1"/>
  <c r="KA169" i="1" s="1"/>
  <c r="MR143" i="1"/>
  <c r="MU143" i="1" s="1"/>
  <c r="MR111" i="1"/>
  <c r="MU111" i="1" s="1"/>
  <c r="OS125" i="1"/>
  <c r="OS130" i="1" s="1"/>
  <c r="OR164" i="1"/>
  <c r="OR173" i="1"/>
  <c r="HU170" i="1"/>
  <c r="MR137" i="1"/>
  <c r="MU137" i="1" s="1"/>
  <c r="MR152" i="1"/>
  <c r="MU152" i="1" s="1"/>
  <c r="FT110" i="1"/>
  <c r="FW110" i="1" s="1"/>
  <c r="EJ143" i="1"/>
  <c r="EM143" i="1" s="1"/>
  <c r="LY166" i="1"/>
  <c r="LY171" i="1" s="1"/>
  <c r="AX149" i="1"/>
  <c r="BB149" i="1" s="1"/>
  <c r="LH140" i="1"/>
  <c r="LM140" i="1" s="1"/>
  <c r="MQ119" i="1"/>
  <c r="MP114" i="1"/>
  <c r="NH173" i="1"/>
  <c r="NZ132" i="1"/>
  <c r="NZ173" i="1"/>
  <c r="FS111" i="1"/>
  <c r="EJ139" i="1"/>
  <c r="EM139" i="1" s="1"/>
  <c r="FT117" i="1"/>
  <c r="FW117" i="1" s="1"/>
  <c r="DR152" i="1"/>
  <c r="DU152" i="1" s="1"/>
  <c r="KO166" i="1"/>
  <c r="KO171" i="1" s="1"/>
  <c r="AE157" i="1"/>
  <c r="AE162" i="1" s="1"/>
  <c r="HD167" i="1"/>
  <c r="HI167" i="1" s="1"/>
  <c r="GL138" i="1"/>
  <c r="GN138" i="1" s="1"/>
  <c r="MP146" i="1"/>
  <c r="MP132" i="1"/>
  <c r="LG168" i="1"/>
  <c r="LH118" i="1"/>
  <c r="LK118" i="1" s="1"/>
  <c r="GL117" i="1"/>
  <c r="GO117" i="1" s="1"/>
  <c r="MC137" i="1"/>
  <c r="MB137" i="1"/>
  <c r="ME137" i="1"/>
  <c r="MD137" i="1"/>
  <c r="MA137" i="1"/>
  <c r="MU140" i="1"/>
  <c r="MV140" i="1"/>
  <c r="MT140" i="1"/>
  <c r="MW140" i="1"/>
  <c r="MS140" i="1"/>
  <c r="LK168" i="1"/>
  <c r="LI168" i="1"/>
  <c r="LJ168" i="1"/>
  <c r="LM168" i="1"/>
  <c r="LL168" i="1"/>
  <c r="MP123" i="1"/>
  <c r="JF152" i="1"/>
  <c r="JI152" i="1" s="1"/>
  <c r="IN170" i="1"/>
  <c r="IQ170" i="1" s="1"/>
  <c r="HD109" i="1"/>
  <c r="HG109" i="1" s="1"/>
  <c r="NJ167" i="1"/>
  <c r="NM167" i="1" s="1"/>
  <c r="LZ117" i="1"/>
  <c r="MA117" i="1" s="1"/>
  <c r="LZ110" i="1"/>
  <c r="MA110" i="1" s="1"/>
  <c r="LH141" i="1"/>
  <c r="LK141" i="1" s="1"/>
  <c r="NJ150" i="1"/>
  <c r="NM150" i="1" s="1"/>
  <c r="LG157" i="1"/>
  <c r="LG162" i="1" s="1"/>
  <c r="NJ109" i="1"/>
  <c r="NM109" i="1" s="1"/>
  <c r="IL114" i="1"/>
  <c r="NH114" i="1"/>
  <c r="NH164" i="1"/>
  <c r="NH146" i="1"/>
  <c r="MC166" i="1"/>
  <c r="LZ172" i="1"/>
  <c r="MA166" i="1"/>
  <c r="MA172" i="1" s="1"/>
  <c r="MB166" i="1"/>
  <c r="MB171" i="1" s="1"/>
  <c r="ME166" i="1"/>
  <c r="ME172" i="1" s="1"/>
  <c r="LZ171" i="1"/>
  <c r="MD166" i="1"/>
  <c r="MD171" i="1" s="1"/>
  <c r="MP173" i="1"/>
  <c r="MP164" i="1"/>
  <c r="LY111" i="1"/>
  <c r="KU166" i="1"/>
  <c r="KU172" i="1" s="1"/>
  <c r="KT166" i="1"/>
  <c r="KT172" i="1" s="1"/>
  <c r="KQ166" i="1"/>
  <c r="KQ172" i="1" s="1"/>
  <c r="KS166" i="1"/>
  <c r="KS172" i="1" s="1"/>
  <c r="KR166" i="1"/>
  <c r="KR172" i="1" s="1"/>
  <c r="KP171" i="1"/>
  <c r="KP172" i="1"/>
  <c r="LK157" i="1"/>
  <c r="LI157" i="1"/>
  <c r="LI162" i="1" s="1"/>
  <c r="LM157" i="1"/>
  <c r="LM162" i="1" s="1"/>
  <c r="LH163" i="1"/>
  <c r="LJ157" i="1"/>
  <c r="LJ162" i="1" s="1"/>
  <c r="LH162" i="1"/>
  <c r="LL157" i="1"/>
  <c r="LL163" i="1" s="1"/>
  <c r="LF155" i="1"/>
  <c r="LX132" i="1"/>
  <c r="LX123" i="1"/>
  <c r="LX114" i="1"/>
  <c r="LX172" i="1"/>
  <c r="LX171" i="1"/>
  <c r="LX145" i="1"/>
  <c r="LX144" i="1"/>
  <c r="LK127" i="1"/>
  <c r="LM127" i="1"/>
  <c r="LJ127" i="1"/>
  <c r="LL127" i="1"/>
  <c r="LI127" i="1"/>
  <c r="JX149" i="1"/>
  <c r="KA149" i="1" s="1"/>
  <c r="KP110" i="1"/>
  <c r="KS110" i="1" s="1"/>
  <c r="LH137" i="1"/>
  <c r="LK137" i="1" s="1"/>
  <c r="LG127" i="1"/>
  <c r="JF128" i="1"/>
  <c r="JG128" i="1" s="1"/>
  <c r="HV141" i="1"/>
  <c r="HZ141" i="1" s="1"/>
  <c r="HC136" i="1"/>
  <c r="KO138" i="1"/>
  <c r="KN155" i="1"/>
  <c r="LF173" i="1"/>
  <c r="LG159" i="1"/>
  <c r="LG161" i="1"/>
  <c r="LH117" i="1"/>
  <c r="LF123" i="1"/>
  <c r="LF146" i="1"/>
  <c r="KO149" i="1"/>
  <c r="EJ111" i="1"/>
  <c r="EM111" i="1" s="1"/>
  <c r="JF118" i="1"/>
  <c r="JI118" i="1" s="1"/>
  <c r="JV132" i="1"/>
  <c r="KN114" i="1"/>
  <c r="KN132" i="1"/>
  <c r="LF132" i="1"/>
  <c r="LF114" i="1"/>
  <c r="LF163" i="1"/>
  <c r="LF162" i="1"/>
  <c r="JX139" i="1"/>
  <c r="KA139" i="1" s="1"/>
  <c r="HD110" i="1"/>
  <c r="HG110" i="1" s="1"/>
  <c r="JX168" i="1"/>
  <c r="JY168" i="1" s="1"/>
  <c r="KS157" i="1"/>
  <c r="KU157" i="1"/>
  <c r="KU163" i="1" s="1"/>
  <c r="KR157" i="1"/>
  <c r="KR163" i="1" s="1"/>
  <c r="KT157" i="1"/>
  <c r="KT162" i="1" s="1"/>
  <c r="KP162" i="1"/>
  <c r="KQ157" i="1"/>
  <c r="KQ162" i="1" s="1"/>
  <c r="KP163" i="1"/>
  <c r="KS116" i="1"/>
  <c r="KP121" i="1"/>
  <c r="KU116" i="1"/>
  <c r="KU121" i="1" s="1"/>
  <c r="KT116" i="1"/>
  <c r="KT121" i="1" s="1"/>
  <c r="KP122" i="1"/>
  <c r="KR116" i="1"/>
  <c r="KR122" i="1" s="1"/>
  <c r="KQ116" i="1"/>
  <c r="KQ122" i="1" s="1"/>
  <c r="KS149" i="1"/>
  <c r="KQ149" i="1"/>
  <c r="KT149" i="1"/>
  <c r="KU149" i="1"/>
  <c r="KR149" i="1"/>
  <c r="IN109" i="1"/>
  <c r="IQ109" i="1" s="1"/>
  <c r="HT132" i="1"/>
  <c r="KO117" i="1"/>
  <c r="KO108" i="1"/>
  <c r="KN163" i="1"/>
  <c r="KN162" i="1"/>
  <c r="KN121" i="1"/>
  <c r="KN122" i="1"/>
  <c r="GL110" i="1"/>
  <c r="GO110" i="1" s="1"/>
  <c r="JF120" i="1"/>
  <c r="JI120" i="1" s="1"/>
  <c r="IN128" i="1"/>
  <c r="IQ128" i="1" s="1"/>
  <c r="HD160" i="1"/>
  <c r="HG160" i="1" s="1"/>
  <c r="HV150" i="1"/>
  <c r="HY150" i="1" s="1"/>
  <c r="HD159" i="1"/>
  <c r="HG159" i="1" s="1"/>
  <c r="KO116" i="1"/>
  <c r="KO121" i="1" s="1"/>
  <c r="JX136" i="1"/>
  <c r="JZ136" i="1" s="1"/>
  <c r="HD119" i="1"/>
  <c r="HI119" i="1" s="1"/>
  <c r="JV123" i="1"/>
  <c r="KN172" i="1"/>
  <c r="KN171" i="1"/>
  <c r="IN126" i="1"/>
  <c r="IO126" i="1" s="1"/>
  <c r="EH123" i="1"/>
  <c r="EZ114" i="1"/>
  <c r="EZ123" i="1"/>
  <c r="EZ132" i="1"/>
  <c r="FR132" i="1"/>
  <c r="JD132" i="1"/>
  <c r="KN146" i="1"/>
  <c r="JV173" i="1"/>
  <c r="JV146" i="1"/>
  <c r="JV114" i="1"/>
  <c r="JV154" i="1"/>
  <c r="JV153" i="1"/>
  <c r="IL173" i="1"/>
  <c r="JX148" i="1"/>
  <c r="JV164" i="1"/>
  <c r="JI136" i="1"/>
  <c r="JK136" i="1"/>
  <c r="JH136" i="1"/>
  <c r="JJ136" i="1"/>
  <c r="JG136" i="1"/>
  <c r="GL120" i="1"/>
  <c r="GO120" i="1" s="1"/>
  <c r="HB164" i="1"/>
  <c r="HB114" i="1"/>
  <c r="IL155" i="1"/>
  <c r="JD155" i="1"/>
  <c r="JD164" i="1"/>
  <c r="JD122" i="1"/>
  <c r="JD121" i="1"/>
  <c r="JD172" i="1"/>
  <c r="JD171" i="1"/>
  <c r="IL164" i="1"/>
  <c r="IL123" i="1"/>
  <c r="JD114" i="1"/>
  <c r="JF116" i="1"/>
  <c r="JF166" i="1"/>
  <c r="JD146" i="1"/>
  <c r="IQ111" i="1"/>
  <c r="IS111" i="1"/>
  <c r="IR111" i="1"/>
  <c r="IP111" i="1"/>
  <c r="IO111" i="1"/>
  <c r="HB173" i="1"/>
  <c r="HB146" i="1"/>
  <c r="HT123" i="1"/>
  <c r="IL132" i="1"/>
  <c r="IL146" i="1"/>
  <c r="GJ164" i="1"/>
  <c r="GJ155" i="1"/>
  <c r="GO116" i="1"/>
  <c r="GL121" i="1"/>
  <c r="GP116" i="1"/>
  <c r="GP121" i="1" s="1"/>
  <c r="GQ116" i="1"/>
  <c r="GQ121" i="1" s="1"/>
  <c r="GM116" i="1"/>
  <c r="GM122" i="1" s="1"/>
  <c r="GL122" i="1"/>
  <c r="GN116" i="1"/>
  <c r="GN121" i="1" s="1"/>
  <c r="HY170" i="1"/>
  <c r="HZ170" i="1"/>
  <c r="IA170" i="1"/>
  <c r="HW170" i="1"/>
  <c r="HX170" i="1"/>
  <c r="AX158" i="1"/>
  <c r="BA158" i="1" s="1"/>
  <c r="AX143" i="1"/>
  <c r="BA143" i="1" s="1"/>
  <c r="DR143" i="1"/>
  <c r="DU143" i="1" s="1"/>
  <c r="HU143" i="1"/>
  <c r="HT146" i="1"/>
  <c r="HT164" i="1"/>
  <c r="HT173" i="1"/>
  <c r="HU111" i="1"/>
  <c r="HV139" i="1"/>
  <c r="AF127" i="1"/>
  <c r="AI127" i="1" s="1"/>
  <c r="HB155" i="1"/>
  <c r="HB123" i="1"/>
  <c r="FT129" i="1"/>
  <c r="FW129" i="1" s="1"/>
  <c r="AX109" i="1"/>
  <c r="BA109" i="1" s="1"/>
  <c r="HT155" i="1"/>
  <c r="HT114" i="1"/>
  <c r="GM125" i="1"/>
  <c r="GM130" i="1" s="1"/>
  <c r="GL131" i="1"/>
  <c r="GO125" i="1"/>
  <c r="GO131" i="1" s="1"/>
  <c r="GP125" i="1"/>
  <c r="GP130" i="1" s="1"/>
  <c r="GL130" i="1"/>
  <c r="GN125" i="1"/>
  <c r="GN130" i="1" s="1"/>
  <c r="GQ125" i="1"/>
  <c r="GQ130" i="1" s="1"/>
  <c r="DR126" i="1"/>
  <c r="DS126" i="1" s="1"/>
  <c r="HB132" i="1"/>
  <c r="GP158" i="1"/>
  <c r="GQ158" i="1"/>
  <c r="GO158" i="1"/>
  <c r="GM158" i="1"/>
  <c r="GN158" i="1"/>
  <c r="GK158" i="1"/>
  <c r="GK143" i="1"/>
  <c r="GK136" i="1"/>
  <c r="GK129" i="1"/>
  <c r="GJ146" i="1"/>
  <c r="GJ114" i="1"/>
  <c r="EJ150" i="1"/>
  <c r="EM150" i="1" s="1"/>
  <c r="DR108" i="1"/>
  <c r="DU108" i="1" s="1"/>
  <c r="FR123" i="1"/>
  <c r="GJ122" i="1"/>
  <c r="GJ121" i="1"/>
  <c r="GJ130" i="1"/>
  <c r="GJ131" i="1"/>
  <c r="AF167" i="1"/>
  <c r="AI167" i="1" s="1"/>
  <c r="GJ173" i="1"/>
  <c r="FW111" i="1"/>
  <c r="FX111" i="1"/>
  <c r="FU111" i="1"/>
  <c r="FV111" i="1"/>
  <c r="FY111" i="1"/>
  <c r="FT142" i="1"/>
  <c r="FW142" i="1" s="1"/>
  <c r="FT167" i="1"/>
  <c r="FV167" i="1" s="1"/>
  <c r="DR150" i="1"/>
  <c r="DV150" i="1" s="1"/>
  <c r="EH146" i="1"/>
  <c r="FS138" i="1"/>
  <c r="FR114" i="1"/>
  <c r="FS136" i="1"/>
  <c r="FS149" i="1"/>
  <c r="FR164" i="1"/>
  <c r="DR138" i="1"/>
  <c r="DU138" i="1" s="1"/>
  <c r="AX141" i="1"/>
  <c r="BA141" i="1" s="1"/>
  <c r="DP132" i="1"/>
  <c r="EH132" i="1"/>
  <c r="FR154" i="1"/>
  <c r="FR153" i="1"/>
  <c r="FR146" i="1"/>
  <c r="FR173" i="1"/>
  <c r="FT148" i="1"/>
  <c r="DR111" i="1"/>
  <c r="DS111" i="1" s="1"/>
  <c r="AX169" i="1"/>
  <c r="AZ169" i="1" s="1"/>
  <c r="EI109" i="1"/>
  <c r="EZ173" i="1"/>
  <c r="EZ146" i="1"/>
  <c r="EZ155" i="1"/>
  <c r="EJ129" i="1"/>
  <c r="EM129" i="1" s="1"/>
  <c r="EJ158" i="1"/>
  <c r="EM158" i="1" s="1"/>
  <c r="AX152" i="1"/>
  <c r="BA152" i="1" s="1"/>
  <c r="DP155" i="1"/>
  <c r="EH173" i="1"/>
  <c r="EH114" i="1"/>
  <c r="EZ164" i="1"/>
  <c r="CF146" i="1"/>
  <c r="EH155" i="1"/>
  <c r="CX123" i="1"/>
  <c r="EH163" i="1"/>
  <c r="EH162" i="1"/>
  <c r="EJ157" i="1"/>
  <c r="DU158" i="1"/>
  <c r="DW158" i="1"/>
  <c r="DV158" i="1"/>
  <c r="DS158" i="1"/>
  <c r="DT158" i="1"/>
  <c r="DU166" i="1"/>
  <c r="DS166" i="1"/>
  <c r="DS171" i="1" s="1"/>
  <c r="DV166" i="1"/>
  <c r="DV172" i="1" s="1"/>
  <c r="DR171" i="1"/>
  <c r="DT166" i="1"/>
  <c r="DT172" i="1" s="1"/>
  <c r="DR172" i="1"/>
  <c r="DW166" i="1"/>
  <c r="DW171" i="1" s="1"/>
  <c r="DQ159" i="1"/>
  <c r="DP146" i="1"/>
  <c r="DP114" i="1"/>
  <c r="DP172" i="1"/>
  <c r="DP171" i="1"/>
  <c r="CX132" i="1"/>
  <c r="CX114" i="1"/>
  <c r="DP123" i="1"/>
  <c r="DP164" i="1"/>
  <c r="DQ166" i="1"/>
  <c r="DQ171" i="1" s="1"/>
  <c r="CF155" i="1"/>
  <c r="CF132" i="1"/>
  <c r="CF173" i="1"/>
  <c r="CX155" i="1"/>
  <c r="CX146" i="1"/>
  <c r="AV173" i="1"/>
  <c r="CF164" i="1"/>
  <c r="CF114" i="1"/>
  <c r="CX164" i="1"/>
  <c r="CX173" i="1"/>
  <c r="AI157" i="1"/>
  <c r="AF162" i="1"/>
  <c r="AK157" i="1"/>
  <c r="AK162" i="1" s="1"/>
  <c r="AF163" i="1"/>
  <c r="AJ157" i="1"/>
  <c r="AJ163" i="1" s="1"/>
  <c r="AH157" i="1"/>
  <c r="AH162" i="1" s="1"/>
  <c r="AG157" i="1"/>
  <c r="AG162" i="1" s="1"/>
  <c r="AW118" i="1"/>
  <c r="BN132" i="1"/>
  <c r="AD114" i="1"/>
  <c r="AD173" i="1"/>
  <c r="BN123" i="1"/>
  <c r="CF123" i="1"/>
  <c r="AV123" i="1"/>
  <c r="AV164" i="1"/>
  <c r="BN173" i="1"/>
  <c r="BN164" i="1"/>
  <c r="AD123" i="1"/>
  <c r="AV155" i="1"/>
  <c r="BN146" i="1"/>
  <c r="BN155" i="1"/>
  <c r="BN114" i="1"/>
  <c r="AX135" i="1"/>
  <c r="BC135" i="1" s="1"/>
  <c r="AD146" i="1"/>
  <c r="AV146" i="1"/>
  <c r="AV114" i="1"/>
  <c r="AV132" i="1"/>
  <c r="AD131" i="1"/>
  <c r="AD130" i="1"/>
  <c r="AD155" i="1"/>
  <c r="AF125" i="1"/>
  <c r="AD163" i="1"/>
  <c r="AD162" i="1"/>
  <c r="Q108" i="1"/>
  <c r="R108" i="1"/>
  <c r="UZ138" i="1"/>
  <c r="VC138" i="1" s="1"/>
  <c r="UZ158" i="1"/>
  <c r="VC158" i="1" s="1"/>
  <c r="UZ170" i="1"/>
  <c r="VC170" i="1" s="1"/>
  <c r="UZ109" i="1"/>
  <c r="VC109" i="1" s="1"/>
  <c r="TP169" i="1"/>
  <c r="TS169" i="1" s="1"/>
  <c r="VC142" i="1"/>
  <c r="VE142" i="1"/>
  <c r="VD142" i="1"/>
  <c r="VA142" i="1"/>
  <c r="VB142" i="1"/>
  <c r="UY142" i="1"/>
  <c r="TO166" i="1"/>
  <c r="TO171" i="1" s="1"/>
  <c r="TP108" i="1"/>
  <c r="TS108" i="1" s="1"/>
  <c r="TP152" i="1"/>
  <c r="TR152" i="1" s="1"/>
  <c r="TS166" i="1"/>
  <c r="TP171" i="1"/>
  <c r="TU166" i="1"/>
  <c r="TU172" i="1" s="1"/>
  <c r="TP172" i="1"/>
  <c r="TR166" i="1"/>
  <c r="TR171" i="1" s="1"/>
  <c r="TT166" i="1"/>
  <c r="TT171" i="1" s="1"/>
  <c r="TQ166" i="1"/>
  <c r="TQ171" i="1" s="1"/>
  <c r="TP143" i="1"/>
  <c r="TS143" i="1" s="1"/>
  <c r="TO125" i="1"/>
  <c r="TO130" i="1" s="1"/>
  <c r="TO139" i="1"/>
  <c r="SX158" i="1"/>
  <c r="TA158" i="1" s="1"/>
  <c r="TP139" i="1"/>
  <c r="TP144" i="1" s="1"/>
  <c r="TS125" i="1"/>
  <c r="TS130" i="1" s="1"/>
  <c r="TQ125" i="1"/>
  <c r="TR125" i="1"/>
  <c r="TU125" i="1"/>
  <c r="TT125" i="1"/>
  <c r="TP116" i="1"/>
  <c r="TS116" i="1" s="1"/>
  <c r="TS122" i="1" s="1"/>
  <c r="TO121" i="1"/>
  <c r="TO122" i="1"/>
  <c r="TP111" i="1"/>
  <c r="TS111" i="1" s="1"/>
  <c r="SX159" i="1"/>
  <c r="TA159" i="1" s="1"/>
  <c r="SX140" i="1"/>
  <c r="TA140" i="1" s="1"/>
  <c r="SW116" i="1"/>
  <c r="SW122" i="1" s="1"/>
  <c r="SX152" i="1"/>
  <c r="TA152" i="1" s="1"/>
  <c r="SX136" i="1"/>
  <c r="TA136" i="1" s="1"/>
  <c r="SX161" i="1"/>
  <c r="TB161" i="1" s="1"/>
  <c r="SX128" i="1"/>
  <c r="SX130" i="1" s="1"/>
  <c r="SX135" i="1"/>
  <c r="TA135" i="1" s="1"/>
  <c r="SW143" i="1"/>
  <c r="SW145" i="1" s="1"/>
  <c r="PL109" i="1"/>
  <c r="PO109" i="1" s="1"/>
  <c r="PL167" i="1"/>
  <c r="PO167" i="1" s="1"/>
  <c r="TA116" i="1"/>
  <c r="SZ116" i="1"/>
  <c r="SZ121" i="1" s="1"/>
  <c r="SX122" i="1"/>
  <c r="SX121" i="1"/>
  <c r="TB116" i="1"/>
  <c r="TB122" i="1" s="1"/>
  <c r="SY116" i="1"/>
  <c r="SY121" i="1" s="1"/>
  <c r="TC116" i="1"/>
  <c r="TC121" i="1" s="1"/>
  <c r="PL151" i="1"/>
  <c r="PO151" i="1" s="1"/>
  <c r="PO154" i="1" s="1"/>
  <c r="PK136" i="1"/>
  <c r="PK118" i="1"/>
  <c r="PL139" i="1"/>
  <c r="PP139" i="1" s="1"/>
  <c r="CZ151" i="1"/>
  <c r="DD151" i="1" s="1"/>
  <c r="PO136" i="1"/>
  <c r="PP136" i="1"/>
  <c r="PM136" i="1"/>
  <c r="PQ136" i="1"/>
  <c r="PN136" i="1"/>
  <c r="PO118" i="1"/>
  <c r="PN118" i="1"/>
  <c r="PM118" i="1"/>
  <c r="PQ118" i="1"/>
  <c r="PP118" i="1"/>
  <c r="OB168" i="1"/>
  <c r="OC168" i="1" s="1"/>
  <c r="OB151" i="1"/>
  <c r="OE151" i="1" s="1"/>
  <c r="OA125" i="1"/>
  <c r="OA130" i="1" s="1"/>
  <c r="OB135" i="1"/>
  <c r="OE135" i="1" s="1"/>
  <c r="OB150" i="1"/>
  <c r="OE150" i="1" s="1"/>
  <c r="OA116" i="1"/>
  <c r="OA121" i="1" s="1"/>
  <c r="OA138" i="1"/>
  <c r="OE125" i="1"/>
  <c r="OE130" i="1" s="1"/>
  <c r="OF125" i="1"/>
  <c r="OD125" i="1"/>
  <c r="OC125" i="1"/>
  <c r="OG125" i="1"/>
  <c r="OB111" i="1"/>
  <c r="OE111" i="1" s="1"/>
  <c r="OE116" i="1"/>
  <c r="OB121" i="1"/>
  <c r="OF116" i="1"/>
  <c r="OF121" i="1" s="1"/>
  <c r="OB122" i="1"/>
  <c r="OG116" i="1"/>
  <c r="OG122" i="1" s="1"/>
  <c r="OC116" i="1"/>
  <c r="OC121" i="1" s="1"/>
  <c r="OD116" i="1"/>
  <c r="OD122" i="1" s="1"/>
  <c r="FB111" i="1"/>
  <c r="FE111" i="1" s="1"/>
  <c r="FB138" i="1"/>
  <c r="FE138" i="1" s="1"/>
  <c r="FA129" i="1"/>
  <c r="FA131" i="1" s="1"/>
  <c r="CZ138" i="1"/>
  <c r="DC138" i="1" s="1"/>
  <c r="FB136" i="1"/>
  <c r="FB144" i="1" s="1"/>
  <c r="FA136" i="1"/>
  <c r="FE129" i="1"/>
  <c r="FG129" i="1"/>
  <c r="FD129" i="1"/>
  <c r="FC129" i="1"/>
  <c r="FF129" i="1"/>
  <c r="FB128" i="1"/>
  <c r="FB131" i="1" s="1"/>
  <c r="CZ139" i="1"/>
  <c r="DC139" i="1" s="1"/>
  <c r="CH135" i="1"/>
  <c r="CK135" i="1" s="1"/>
  <c r="CZ128" i="1"/>
  <c r="DC128" i="1" s="1"/>
  <c r="DC131" i="1" s="1"/>
  <c r="CY143" i="1"/>
  <c r="CG148" i="1"/>
  <c r="CE164" i="1"/>
  <c r="CH149" i="1"/>
  <c r="CK149" i="1" s="1"/>
  <c r="CH127" i="1"/>
  <c r="CK127" i="1" s="1"/>
  <c r="CG152" i="1"/>
  <c r="CH143" i="1"/>
  <c r="CK143" i="1" s="1"/>
  <c r="CK148" i="1"/>
  <c r="CJ148" i="1"/>
  <c r="CM148" i="1"/>
  <c r="CL148" i="1"/>
  <c r="CI148" i="1"/>
  <c r="CG116" i="1"/>
  <c r="CG121" i="1" s="1"/>
  <c r="CH142" i="1"/>
  <c r="CG139" i="1"/>
  <c r="CH139" i="1"/>
  <c r="CK139" i="1" s="1"/>
  <c r="BP170" i="1"/>
  <c r="BS170" i="1" s="1"/>
  <c r="BO160" i="1"/>
  <c r="CH121" i="1"/>
  <c r="CI116" i="1"/>
  <c r="CI121" i="1" s="1"/>
  <c r="CK116" i="1"/>
  <c r="CK122" i="1" s="1"/>
  <c r="CL116" i="1"/>
  <c r="CL122" i="1" s="1"/>
  <c r="CJ116" i="1"/>
  <c r="CJ121" i="1" s="1"/>
  <c r="CM116" i="1"/>
  <c r="CM121" i="1" s="1"/>
  <c r="CH122" i="1"/>
  <c r="BO166" i="1"/>
  <c r="BO171" i="1" s="1"/>
  <c r="BS166" i="1"/>
  <c r="BR166" i="1"/>
  <c r="BR171" i="1" s="1"/>
  <c r="BQ166" i="1"/>
  <c r="BQ172" i="1" s="1"/>
  <c r="BT166" i="1"/>
  <c r="BT171" i="1" s="1"/>
  <c r="BP171" i="1"/>
  <c r="BU166" i="1"/>
  <c r="BU172" i="1" s="1"/>
  <c r="BP172" i="1"/>
  <c r="BO157" i="1"/>
  <c r="BO163" i="1" s="1"/>
  <c r="BS160" i="1"/>
  <c r="BT160" i="1"/>
  <c r="BR160" i="1"/>
  <c r="BU160" i="1"/>
  <c r="BQ160" i="1"/>
  <c r="BP150" i="1"/>
  <c r="BS150" i="1" s="1"/>
  <c r="BS153" i="1" s="1"/>
  <c r="BT157" i="1"/>
  <c r="BT162" i="1" s="1"/>
  <c r="BU157" i="1"/>
  <c r="BU163" i="1" s="1"/>
  <c r="BP162" i="1"/>
  <c r="BS157" i="1"/>
  <c r="BS162" i="1" s="1"/>
  <c r="BR157" i="1"/>
  <c r="BR163" i="1" s="1"/>
  <c r="BQ157" i="1"/>
  <c r="BQ162" i="1" s="1"/>
  <c r="BP163" i="1"/>
  <c r="BP137" i="1"/>
  <c r="BS137" i="1" s="1"/>
  <c r="BS145" i="1" s="1"/>
  <c r="BP129" i="1"/>
  <c r="BS129" i="1" s="1"/>
  <c r="BO125" i="1"/>
  <c r="N149" i="1"/>
  <c r="Q149" i="1" s="1"/>
  <c r="BO116" i="1"/>
  <c r="BO122" i="1" s="1"/>
  <c r="BP128" i="1"/>
  <c r="BS128" i="1" s="1"/>
  <c r="BO128" i="1"/>
  <c r="N150" i="1"/>
  <c r="Q150" i="1" s="1"/>
  <c r="BS125" i="1"/>
  <c r="BR125" i="1"/>
  <c r="BU125" i="1"/>
  <c r="BT125" i="1"/>
  <c r="BQ125" i="1"/>
  <c r="L171" i="1"/>
  <c r="N169" i="1"/>
  <c r="Q169" i="1" s="1"/>
  <c r="Q171" i="1" s="1"/>
  <c r="L172" i="1"/>
  <c r="L154" i="1"/>
  <c r="BS116" i="1"/>
  <c r="BU116" i="1"/>
  <c r="BU121" i="1" s="1"/>
  <c r="BP122" i="1"/>
  <c r="BR116" i="1"/>
  <c r="BR122" i="1" s="1"/>
  <c r="BP121" i="1"/>
  <c r="BT116" i="1"/>
  <c r="BT121" i="1" s="1"/>
  <c r="BQ116" i="1"/>
  <c r="BQ121" i="1" s="1"/>
  <c r="M135" i="1"/>
  <c r="L153" i="1"/>
  <c r="N140" i="1"/>
  <c r="Q140" i="1" s="1"/>
  <c r="M141" i="1"/>
  <c r="Q135" i="1"/>
  <c r="O135" i="1"/>
  <c r="S135" i="1"/>
  <c r="P135" i="1"/>
  <c r="R135" i="1"/>
  <c r="Q141" i="1"/>
  <c r="P141" i="1"/>
  <c r="R141" i="1"/>
  <c r="O141" i="1"/>
  <c r="S141" i="1"/>
  <c r="L145" i="1"/>
  <c r="N143" i="1"/>
  <c r="Q143" i="1" s="1"/>
  <c r="N137" i="1"/>
  <c r="N144" i="1" s="1"/>
  <c r="N119" i="1"/>
  <c r="Q119" i="1" s="1"/>
  <c r="VA110" i="1"/>
  <c r="VC110" i="1"/>
  <c r="VA128" i="1"/>
  <c r="VC128" i="1"/>
  <c r="VC130" i="1" s="1"/>
  <c r="VC122" i="1"/>
  <c r="VC121" i="1"/>
  <c r="VD140" i="1"/>
  <c r="VC140" i="1"/>
  <c r="VC154" i="1"/>
  <c r="VC153" i="1"/>
  <c r="VD157" i="1"/>
  <c r="VD162" i="1" s="1"/>
  <c r="VC157" i="1"/>
  <c r="UM140" i="1"/>
  <c r="UK140" i="1"/>
  <c r="UL142" i="1"/>
  <c r="UK142" i="1"/>
  <c r="UK163" i="1"/>
  <c r="UK162" i="1"/>
  <c r="UK131" i="1"/>
  <c r="UK130" i="1"/>
  <c r="UK122" i="1"/>
  <c r="UK121" i="1"/>
  <c r="UK145" i="1"/>
  <c r="UK144" i="1"/>
  <c r="TR137" i="1"/>
  <c r="TS137" i="1"/>
  <c r="TU138" i="1"/>
  <c r="TS138" i="1"/>
  <c r="TS163" i="1"/>
  <c r="TS162" i="1"/>
  <c r="TQ119" i="1"/>
  <c r="TS119" i="1"/>
  <c r="SY169" i="1"/>
  <c r="TA169" i="1"/>
  <c r="SY139" i="1"/>
  <c r="TA139" i="1"/>
  <c r="TC109" i="1"/>
  <c r="TA109" i="1"/>
  <c r="TA112" i="1"/>
  <c r="TA113" i="1"/>
  <c r="SZ151" i="1"/>
  <c r="TA151" i="1"/>
  <c r="TA163" i="1"/>
  <c r="TA162" i="1"/>
  <c r="TB118" i="1"/>
  <c r="TA118" i="1"/>
  <c r="SH152" i="1"/>
  <c r="SI152" i="1"/>
  <c r="SI154" i="1" s="1"/>
  <c r="SI172" i="1"/>
  <c r="SI171" i="1"/>
  <c r="SI113" i="1"/>
  <c r="SI112" i="1"/>
  <c r="RP160" i="1"/>
  <c r="RQ160" i="1"/>
  <c r="RQ121" i="1"/>
  <c r="RQ122" i="1"/>
  <c r="RQ154" i="1"/>
  <c r="RQ153" i="1"/>
  <c r="RQ172" i="1"/>
  <c r="RQ171" i="1"/>
  <c r="RP142" i="1"/>
  <c r="RQ142" i="1"/>
  <c r="RQ112" i="1"/>
  <c r="RQ113" i="1"/>
  <c r="RP143" i="1"/>
  <c r="RQ143" i="1"/>
  <c r="QY145" i="1"/>
  <c r="QY144" i="1"/>
  <c r="QY154" i="1"/>
  <c r="QY153" i="1"/>
  <c r="QY131" i="1"/>
  <c r="QY130" i="1"/>
  <c r="QW141" i="1"/>
  <c r="QY141" i="1"/>
  <c r="QY121" i="1"/>
  <c r="QY122" i="1"/>
  <c r="QX126" i="1"/>
  <c r="QY126" i="1"/>
  <c r="QG122" i="1"/>
  <c r="QG121" i="1"/>
  <c r="QG113" i="1"/>
  <c r="QG112" i="1"/>
  <c r="QG144" i="1"/>
  <c r="QG145" i="1"/>
  <c r="QF108" i="1"/>
  <c r="QG108" i="1"/>
  <c r="QG131" i="1"/>
  <c r="QG130" i="1"/>
  <c r="PN169" i="1"/>
  <c r="PO169" i="1"/>
  <c r="PO130" i="1"/>
  <c r="PO131" i="1"/>
  <c r="PO172" i="1"/>
  <c r="PO171" i="1"/>
  <c r="PO163" i="1"/>
  <c r="PO162" i="1"/>
  <c r="PN142" i="1"/>
  <c r="PO142" i="1"/>
  <c r="PP158" i="1"/>
  <c r="PO158" i="1"/>
  <c r="OW121" i="1"/>
  <c r="OW122" i="1"/>
  <c r="OY159" i="1"/>
  <c r="OW159" i="1"/>
  <c r="OT144" i="1"/>
  <c r="OW134" i="1"/>
  <c r="OW113" i="1"/>
  <c r="OW112" i="1"/>
  <c r="OX108" i="1"/>
  <c r="OW108" i="1"/>
  <c r="OW172" i="1"/>
  <c r="OW171" i="1"/>
  <c r="OW163" i="1"/>
  <c r="OW162" i="1"/>
  <c r="OE172" i="1"/>
  <c r="OE171" i="1"/>
  <c r="OE112" i="1"/>
  <c r="OE113" i="1"/>
  <c r="OD109" i="1"/>
  <c r="OE109" i="1"/>
  <c r="OG142" i="1"/>
  <c r="OE142" i="1"/>
  <c r="OD167" i="1"/>
  <c r="OE167" i="1"/>
  <c r="NM172" i="1"/>
  <c r="NM171" i="1"/>
  <c r="NN137" i="1"/>
  <c r="NM137" i="1"/>
  <c r="NM130" i="1"/>
  <c r="NM131" i="1"/>
  <c r="NM163" i="1"/>
  <c r="NM162" i="1"/>
  <c r="NK159" i="1"/>
  <c r="NM159" i="1"/>
  <c r="NL134" i="1"/>
  <c r="NM134" i="1"/>
  <c r="NO142" i="1"/>
  <c r="NM142" i="1"/>
  <c r="MU130" i="1"/>
  <c r="MU131" i="1"/>
  <c r="MS159" i="1"/>
  <c r="MU159" i="1"/>
  <c r="MU163" i="1"/>
  <c r="MU162" i="1"/>
  <c r="MU145" i="1"/>
  <c r="MU144" i="1"/>
  <c r="MU112" i="1"/>
  <c r="MU113" i="1"/>
  <c r="MU121" i="1"/>
  <c r="MU122" i="1"/>
  <c r="MU154" i="1"/>
  <c r="MU153" i="1"/>
  <c r="MS126" i="1"/>
  <c r="MU126" i="1"/>
  <c r="MC163" i="1"/>
  <c r="MC162" i="1"/>
  <c r="MA111" i="1"/>
  <c r="MC111" i="1"/>
  <c r="MA126" i="1"/>
  <c r="MC126" i="1"/>
  <c r="MC122" i="1"/>
  <c r="MC121" i="1"/>
  <c r="MC130" i="1"/>
  <c r="MC131" i="1"/>
  <c r="MB120" i="1"/>
  <c r="MC120" i="1"/>
  <c r="MD139" i="1"/>
  <c r="MC139" i="1"/>
  <c r="MB134" i="1"/>
  <c r="MB144" i="1" s="1"/>
  <c r="MC134" i="1"/>
  <c r="MC154" i="1"/>
  <c r="MC153" i="1"/>
  <c r="MD118" i="1"/>
  <c r="MC118" i="1"/>
  <c r="MB151" i="1"/>
  <c r="MC151" i="1"/>
  <c r="LK154" i="1"/>
  <c r="LK153" i="1"/>
  <c r="LK121" i="1"/>
  <c r="LK122" i="1"/>
  <c r="LK113" i="1"/>
  <c r="LK112" i="1"/>
  <c r="LK131" i="1"/>
  <c r="LK130" i="1"/>
  <c r="LK145" i="1"/>
  <c r="LK144" i="1"/>
  <c r="LK172" i="1"/>
  <c r="LK171" i="1"/>
  <c r="KS154" i="1"/>
  <c r="KS153" i="1"/>
  <c r="KT151" i="1"/>
  <c r="KS151" i="1"/>
  <c r="KQ137" i="1"/>
  <c r="KS137" i="1"/>
  <c r="KS130" i="1"/>
  <c r="KS131" i="1"/>
  <c r="KA122" i="1"/>
  <c r="KA121" i="1"/>
  <c r="KA145" i="1"/>
  <c r="KA144" i="1"/>
  <c r="KA113" i="1"/>
  <c r="KA112" i="1"/>
  <c r="KA171" i="1"/>
  <c r="KA172" i="1"/>
  <c r="KA163" i="1"/>
  <c r="KA162" i="1"/>
  <c r="KB108" i="1"/>
  <c r="KA108" i="1"/>
  <c r="JK159" i="1"/>
  <c r="JI159" i="1"/>
  <c r="JI163" i="1"/>
  <c r="JI162" i="1"/>
  <c r="JJ142" i="1"/>
  <c r="JI142" i="1"/>
  <c r="JI145" i="1"/>
  <c r="JI144" i="1"/>
  <c r="JI113" i="1"/>
  <c r="JI112" i="1"/>
  <c r="JG150" i="1"/>
  <c r="JI150" i="1"/>
  <c r="JK126" i="1"/>
  <c r="JI126" i="1"/>
  <c r="IQ131" i="1"/>
  <c r="IQ130" i="1"/>
  <c r="IQ163" i="1"/>
  <c r="IQ162" i="1"/>
  <c r="IQ172" i="1"/>
  <c r="IQ171" i="1"/>
  <c r="IQ112" i="1"/>
  <c r="IQ113" i="1"/>
  <c r="IQ121" i="1"/>
  <c r="IQ122" i="1"/>
  <c r="IQ145" i="1"/>
  <c r="IQ144" i="1"/>
  <c r="HZ128" i="1"/>
  <c r="HY128" i="1"/>
  <c r="HW169" i="1"/>
  <c r="HY169" i="1"/>
  <c r="HY112" i="1"/>
  <c r="HY113" i="1"/>
  <c r="HW108" i="1"/>
  <c r="HY108" i="1"/>
  <c r="HY163" i="1"/>
  <c r="HY162" i="1"/>
  <c r="HX126" i="1"/>
  <c r="HY126" i="1"/>
  <c r="IA151" i="1"/>
  <c r="HY151" i="1"/>
  <c r="IA135" i="1"/>
  <c r="HY135" i="1"/>
  <c r="HX137" i="1"/>
  <c r="HY137" i="1"/>
  <c r="HI127" i="1"/>
  <c r="HG127" i="1"/>
  <c r="HF135" i="1"/>
  <c r="HG135" i="1"/>
  <c r="HG145" i="1"/>
  <c r="HG144" i="1"/>
  <c r="HG121" i="1"/>
  <c r="HG122" i="1"/>
  <c r="HG113" i="1"/>
  <c r="HG112" i="1"/>
  <c r="GO172" i="1"/>
  <c r="GO171" i="1"/>
  <c r="GO163" i="1"/>
  <c r="GO162" i="1"/>
  <c r="GO145" i="1"/>
  <c r="GO144" i="1"/>
  <c r="GP129" i="1"/>
  <c r="GO129" i="1"/>
  <c r="GN142" i="1"/>
  <c r="GO142" i="1"/>
  <c r="GO113" i="1"/>
  <c r="GO112" i="1"/>
  <c r="FW145" i="1"/>
  <c r="FW144" i="1"/>
  <c r="FW163" i="1"/>
  <c r="FW162" i="1"/>
  <c r="FX170" i="1"/>
  <c r="FW170" i="1"/>
  <c r="FX138" i="1"/>
  <c r="FW138" i="1"/>
  <c r="FW122" i="1"/>
  <c r="FW121" i="1"/>
  <c r="FW172" i="1"/>
  <c r="FW171" i="1"/>
  <c r="FX107" i="1"/>
  <c r="FX113" i="1" s="1"/>
  <c r="FW107" i="1"/>
  <c r="FE171" i="1"/>
  <c r="FE172" i="1"/>
  <c r="FE163" i="1"/>
  <c r="FE162" i="1"/>
  <c r="FE122" i="1"/>
  <c r="FE121" i="1"/>
  <c r="FE113" i="1"/>
  <c r="FE112" i="1"/>
  <c r="FE153" i="1"/>
  <c r="FE154" i="1"/>
  <c r="EM154" i="1"/>
  <c r="EM153" i="1"/>
  <c r="EN117" i="1"/>
  <c r="EM117" i="1"/>
  <c r="EM122" i="1"/>
  <c r="EM121" i="1"/>
  <c r="EO108" i="1"/>
  <c r="EM108" i="1"/>
  <c r="EM145" i="1"/>
  <c r="EM144" i="1"/>
  <c r="EL159" i="1"/>
  <c r="EM159" i="1"/>
  <c r="EN140" i="1"/>
  <c r="EM140" i="1"/>
  <c r="DS110" i="1"/>
  <c r="DU110" i="1"/>
  <c r="DW129" i="1"/>
  <c r="DU129" i="1"/>
  <c r="DT160" i="1"/>
  <c r="DU160" i="1"/>
  <c r="DU162" i="1"/>
  <c r="DU163" i="1"/>
  <c r="DU122" i="1"/>
  <c r="DU121" i="1"/>
  <c r="DU154" i="1"/>
  <c r="DU153" i="1"/>
  <c r="DU145" i="1"/>
  <c r="DU144" i="1"/>
  <c r="DU131" i="1"/>
  <c r="DU130" i="1"/>
  <c r="DC163" i="1"/>
  <c r="DC162" i="1"/>
  <c r="DD110" i="1"/>
  <c r="DC110" i="1"/>
  <c r="DD119" i="1"/>
  <c r="DC119" i="1"/>
  <c r="DD167" i="1"/>
  <c r="DC167" i="1"/>
  <c r="DB140" i="1"/>
  <c r="DC140" i="1"/>
  <c r="DC122" i="1"/>
  <c r="DC121" i="1"/>
  <c r="DC172" i="1"/>
  <c r="DC171" i="1"/>
  <c r="CK113" i="1"/>
  <c r="CJ126" i="1"/>
  <c r="CK126" i="1"/>
  <c r="BQ167" i="1"/>
  <c r="BS167" i="1"/>
  <c r="BR161" i="1"/>
  <c r="BS161" i="1"/>
  <c r="AZ116" i="1"/>
  <c r="AZ122" i="1" s="1"/>
  <c r="BA116" i="1"/>
  <c r="BA171" i="1"/>
  <c r="BA172" i="1"/>
  <c r="BA144" i="1"/>
  <c r="BA145" i="1"/>
  <c r="BA163" i="1"/>
  <c r="BA162" i="1"/>
  <c r="BA154" i="1"/>
  <c r="BA153" i="1"/>
  <c r="BA131" i="1"/>
  <c r="BA130" i="1"/>
  <c r="BA112" i="1"/>
  <c r="BA113" i="1"/>
  <c r="AI172" i="1"/>
  <c r="AI171" i="1"/>
  <c r="AG140" i="1"/>
  <c r="AI140" i="1"/>
  <c r="AJ158" i="1"/>
  <c r="AI158" i="1"/>
  <c r="AG118" i="1"/>
  <c r="AH137" i="1"/>
  <c r="AI137" i="1"/>
  <c r="AJ168" i="1"/>
  <c r="AI168" i="1"/>
  <c r="AK120" i="1"/>
  <c r="AI120" i="1"/>
  <c r="Q163" i="1"/>
  <c r="Q162" i="1"/>
  <c r="O129" i="1"/>
  <c r="Q129" i="1"/>
  <c r="DE110" i="1"/>
  <c r="NO137" i="1"/>
  <c r="OF142" i="1"/>
  <c r="JK142" i="1"/>
  <c r="OU159" i="1"/>
  <c r="DA140" i="1"/>
  <c r="OY134" i="1"/>
  <c r="OY144" i="1" s="1"/>
  <c r="KT137" i="1"/>
  <c r="AJ137" i="1"/>
  <c r="MB139" i="1"/>
  <c r="VE140" i="1"/>
  <c r="AK168" i="1"/>
  <c r="KU151" i="1"/>
  <c r="HH127" i="1"/>
  <c r="LZ144" i="1"/>
  <c r="HE135" i="1"/>
  <c r="GP142" i="1"/>
  <c r="MA120" i="1"/>
  <c r="GM129" i="1"/>
  <c r="FU138" i="1"/>
  <c r="ME118" i="1"/>
  <c r="RA126" i="1"/>
  <c r="MT126" i="1"/>
  <c r="EN159" i="1"/>
  <c r="TQ137" i="1"/>
  <c r="HZ137" i="1"/>
  <c r="DV129" i="1"/>
  <c r="OF167" i="1"/>
  <c r="MW126" i="1"/>
  <c r="EO140" i="1"/>
  <c r="TC169" i="1"/>
  <c r="ME151" i="1"/>
  <c r="BQ161" i="1"/>
  <c r="DT129" i="1"/>
  <c r="HW135" i="1"/>
  <c r="HZ135" i="1"/>
  <c r="NO159" i="1"/>
  <c r="HX135" i="1"/>
  <c r="TB139" i="1"/>
  <c r="JJ150" i="1"/>
  <c r="OG167" i="1"/>
  <c r="NL159" i="1"/>
  <c r="NL142" i="1"/>
  <c r="DV110" i="1"/>
  <c r="MA151" i="1"/>
  <c r="AH120" i="1"/>
  <c r="BT161" i="1"/>
  <c r="SZ139" i="1"/>
  <c r="EK159" i="1"/>
  <c r="JH150" i="1"/>
  <c r="IA137" i="1"/>
  <c r="TT137" i="1"/>
  <c r="QZ126" i="1"/>
  <c r="MA118" i="1"/>
  <c r="NK142" i="1"/>
  <c r="DW110" i="1"/>
  <c r="AJ120" i="1"/>
  <c r="NK134" i="1"/>
  <c r="TB169" i="1"/>
  <c r="OV159" i="1"/>
  <c r="NK137" i="1"/>
  <c r="GM142" i="1"/>
  <c r="PM169" i="1"/>
  <c r="ME120" i="1"/>
  <c r="DA119" i="1"/>
  <c r="DW160" i="1"/>
  <c r="AH118" i="1"/>
  <c r="MD126" i="1"/>
  <c r="SY118" i="1"/>
  <c r="DB167" i="1"/>
  <c r="JH142" i="1"/>
  <c r="HI135" i="1"/>
  <c r="ME139" i="1"/>
  <c r="NL137" i="1"/>
  <c r="GQ142" i="1"/>
  <c r="PQ169" i="1"/>
  <c r="KR151" i="1"/>
  <c r="MD120" i="1"/>
  <c r="DE119" i="1"/>
  <c r="DS160" i="1"/>
  <c r="AJ118" i="1"/>
  <c r="DE140" i="1"/>
  <c r="DA167" i="1"/>
  <c r="JG142" i="1"/>
  <c r="OX159" i="1"/>
  <c r="MA139" i="1"/>
  <c r="PP169" i="1"/>
  <c r="KQ151" i="1"/>
  <c r="DB119" i="1"/>
  <c r="KR137" i="1"/>
  <c r="AK137" i="1"/>
  <c r="DA110" i="1"/>
  <c r="MB111" i="1"/>
  <c r="AK158" i="1"/>
  <c r="FT112" i="1"/>
  <c r="X82" i="28"/>
  <c r="Z82" i="28" s="1"/>
  <c r="KU137" i="1"/>
  <c r="DV160" i="1"/>
  <c r="AK118" i="1"/>
  <c r="AG137" i="1"/>
  <c r="DD140" i="1"/>
  <c r="ME126" i="1"/>
  <c r="SZ118" i="1"/>
  <c r="DB110" i="1"/>
  <c r="DE167" i="1"/>
  <c r="HE127" i="1"/>
  <c r="OC109" i="1"/>
  <c r="OS144" i="1"/>
  <c r="OS146" i="1" s="1"/>
  <c r="FU107" i="1"/>
  <c r="FU113" i="1" s="1"/>
  <c r="SY151" i="1"/>
  <c r="UL140" i="1"/>
  <c r="MW159" i="1"/>
  <c r="TC151" i="1"/>
  <c r="SK152" i="1"/>
  <c r="GN129" i="1"/>
  <c r="EL108" i="1"/>
  <c r="AY116" i="1"/>
  <c r="AY122" i="1" s="1"/>
  <c r="TR138" i="1"/>
  <c r="HZ108" i="1"/>
  <c r="VD110" i="1"/>
  <c r="QD157" i="1"/>
  <c r="FY138" i="1"/>
  <c r="TQ138" i="1"/>
  <c r="VB110" i="1"/>
  <c r="QC157" i="1"/>
  <c r="QC162" i="1" s="1"/>
  <c r="X91" i="28"/>
  <c r="Z91" i="28" s="1"/>
  <c r="JU132" i="1"/>
  <c r="BB116" i="1"/>
  <c r="BB121" i="1" s="1"/>
  <c r="CE173" i="1"/>
  <c r="OX134" i="1"/>
  <c r="OX144" i="1" s="1"/>
  <c r="AC114" i="1"/>
  <c r="SZ109" i="1"/>
  <c r="MO132" i="1"/>
  <c r="K155" i="1"/>
  <c r="IK173" i="1"/>
  <c r="AC155" i="1"/>
  <c r="K114" i="1"/>
  <c r="HS132" i="1"/>
  <c r="UE146" i="1"/>
  <c r="HX128" i="1"/>
  <c r="HW126" i="1"/>
  <c r="S129" i="1"/>
  <c r="OV108" i="1"/>
  <c r="RS142" i="1"/>
  <c r="RO143" i="1"/>
  <c r="EL117" i="1"/>
  <c r="JH126" i="1"/>
  <c r="TM155" i="1"/>
  <c r="RR143" i="1"/>
  <c r="SY109" i="1"/>
  <c r="QH108" i="1"/>
  <c r="FV138" i="1"/>
  <c r="BT167" i="1"/>
  <c r="TB151" i="1"/>
  <c r="RS143" i="1"/>
  <c r="JG159" i="1"/>
  <c r="FU170" i="1"/>
  <c r="VE128" i="1"/>
  <c r="TT138" i="1"/>
  <c r="UI142" i="1"/>
  <c r="TB109" i="1"/>
  <c r="PN158" i="1"/>
  <c r="GQ129" i="1"/>
  <c r="JG126" i="1"/>
  <c r="CI126" i="1"/>
  <c r="VE110" i="1"/>
  <c r="X82" i="41"/>
  <c r="AB82" i="41" s="1"/>
  <c r="X86" i="28"/>
  <c r="AB86" i="28" s="1"/>
  <c r="AX122" i="1"/>
  <c r="AX121" i="1"/>
  <c r="W120" i="41"/>
  <c r="Y120" i="41" s="1"/>
  <c r="JJ126" i="1"/>
  <c r="JY108" i="1"/>
  <c r="PP142" i="1"/>
  <c r="RO160" i="1"/>
  <c r="AJ140" i="1"/>
  <c r="HX151" i="1"/>
  <c r="TT119" i="1"/>
  <c r="QX141" i="1"/>
  <c r="X108" i="41"/>
  <c r="AA108" i="41" s="1"/>
  <c r="BC116" i="1"/>
  <c r="BC122" i="1" s="1"/>
  <c r="HS146" i="1"/>
  <c r="VB157" i="1"/>
  <c r="VB162" i="1" s="1"/>
  <c r="LE173" i="1"/>
  <c r="RO142" i="1"/>
  <c r="HX169" i="1"/>
  <c r="EO117" i="1"/>
  <c r="VB140" i="1"/>
  <c r="UJ142" i="1"/>
  <c r="RS160" i="1"/>
  <c r="AH168" i="1"/>
  <c r="RM144" i="1"/>
  <c r="IA128" i="1"/>
  <c r="QE108" i="1"/>
  <c r="IA126" i="1"/>
  <c r="HZ151" i="1"/>
  <c r="QZ141" i="1"/>
  <c r="P129" i="1"/>
  <c r="SU155" i="1"/>
  <c r="OD142" i="1"/>
  <c r="X97" i="41"/>
  <c r="AB97" i="41" s="1"/>
  <c r="W87" i="41"/>
  <c r="Y87" i="41" s="1"/>
  <c r="MD134" i="1"/>
  <c r="MD144" i="1" s="1"/>
  <c r="HS173" i="1"/>
  <c r="OT145" i="1"/>
  <c r="FY170" i="1"/>
  <c r="HZ169" i="1"/>
  <c r="EK117" i="1"/>
  <c r="VA140" i="1"/>
  <c r="RR160" i="1"/>
  <c r="AG168" i="1"/>
  <c r="UM142" i="1"/>
  <c r="HW128" i="1"/>
  <c r="QI108" i="1"/>
  <c r="HZ126" i="1"/>
  <c r="HW151" i="1"/>
  <c r="GI132" i="1"/>
  <c r="RA141" i="1"/>
  <c r="R129" i="1"/>
  <c r="OC142" i="1"/>
  <c r="PI146" i="1"/>
  <c r="ME134" i="1"/>
  <c r="ME145" i="1" s="1"/>
  <c r="X84" i="28"/>
  <c r="AA84" i="28" s="1"/>
  <c r="OV134" i="1"/>
  <c r="OV144" i="1" s="1"/>
  <c r="FV170" i="1"/>
  <c r="RR142" i="1"/>
  <c r="IA169" i="1"/>
  <c r="DO114" i="1"/>
  <c r="AC146" i="1"/>
  <c r="OQ155" i="1"/>
  <c r="MA134" i="1"/>
  <c r="MA144" i="1" s="1"/>
  <c r="LZ145" i="1"/>
  <c r="FQ132" i="1"/>
  <c r="OU134" i="1"/>
  <c r="OU145" i="1" s="1"/>
  <c r="TC139" i="1"/>
  <c r="EO159" i="1"/>
  <c r="JK150" i="1"/>
  <c r="HW137" i="1"/>
  <c r="OC167" i="1"/>
  <c r="NN159" i="1"/>
  <c r="TU137" i="1"/>
  <c r="QW126" i="1"/>
  <c r="MB118" i="1"/>
  <c r="NN142" i="1"/>
  <c r="MV126" i="1"/>
  <c r="EL140" i="1"/>
  <c r="DT110" i="1"/>
  <c r="SZ169" i="1"/>
  <c r="MD151" i="1"/>
  <c r="HF127" i="1"/>
  <c r="MB126" i="1"/>
  <c r="TC118" i="1"/>
  <c r="AG120" i="1"/>
  <c r="BU161" i="1"/>
  <c r="NY146" i="1"/>
  <c r="QA132" i="1"/>
  <c r="QA146" i="1"/>
  <c r="LE132" i="1"/>
  <c r="OQ114" i="1"/>
  <c r="DS129" i="1"/>
  <c r="UE164" i="1"/>
  <c r="OQ123" i="1"/>
  <c r="OF109" i="1"/>
  <c r="LW155" i="1"/>
  <c r="LE114" i="1"/>
  <c r="KM132" i="1"/>
  <c r="LW164" i="1"/>
  <c r="JU173" i="1"/>
  <c r="GI173" i="1"/>
  <c r="BM155" i="1"/>
  <c r="IK123" i="1"/>
  <c r="BM146" i="1"/>
  <c r="AC173" i="1"/>
  <c r="K164" i="1"/>
  <c r="NO134" i="1"/>
  <c r="K123" i="1"/>
  <c r="FY107" i="1"/>
  <c r="FY113" i="1" s="1"/>
  <c r="HH135" i="1"/>
  <c r="RM145" i="1"/>
  <c r="N131" i="1"/>
  <c r="EK140" i="1"/>
  <c r="NJ145" i="1"/>
  <c r="IK146" i="1"/>
  <c r="K173" i="1"/>
  <c r="QS146" i="1"/>
  <c r="JC164" i="1"/>
  <c r="AU114" i="1"/>
  <c r="OG109" i="1"/>
  <c r="NN134" i="1"/>
  <c r="FT113" i="1"/>
  <c r="FV107" i="1"/>
  <c r="FV113" i="1" s="1"/>
  <c r="TP131" i="1"/>
  <c r="GI146" i="1"/>
  <c r="EY155" i="1"/>
  <c r="JC114" i="1"/>
  <c r="PI173" i="1"/>
  <c r="QS155" i="1"/>
  <c r="EY123" i="1"/>
  <c r="TM132" i="1"/>
  <c r="KM173" i="1"/>
  <c r="BM173" i="1"/>
  <c r="DO164" i="1"/>
  <c r="IK114" i="1"/>
  <c r="AC132" i="1"/>
  <c r="AC164" i="1"/>
  <c r="NG146" i="1"/>
  <c r="LW146" i="1"/>
  <c r="CE114" i="1"/>
  <c r="CW173" i="1"/>
  <c r="AU132" i="1"/>
  <c r="QA155" i="1"/>
  <c r="OF118" i="1"/>
  <c r="OG118" i="1"/>
  <c r="HS123" i="1"/>
  <c r="VE157" i="1"/>
  <c r="VE162" i="1" s="1"/>
  <c r="RK164" i="1"/>
  <c r="JJ159" i="1"/>
  <c r="VB128" i="1"/>
  <c r="PQ142" i="1"/>
  <c r="AK140" i="1"/>
  <c r="EK108" i="1"/>
  <c r="JU155" i="1"/>
  <c r="LW173" i="1"/>
  <c r="SU146" i="1"/>
  <c r="JU123" i="1"/>
  <c r="X68" i="41"/>
  <c r="AB68" i="41" s="1"/>
  <c r="OY108" i="1"/>
  <c r="BU167" i="1"/>
  <c r="JH159" i="1"/>
  <c r="UI140" i="1"/>
  <c r="MV159" i="1"/>
  <c r="SG152" i="1"/>
  <c r="VD128" i="1"/>
  <c r="JZ108" i="1"/>
  <c r="PM142" i="1"/>
  <c r="AH140" i="1"/>
  <c r="HX108" i="1"/>
  <c r="TR119" i="1"/>
  <c r="OC118" i="1"/>
  <c r="PQ158" i="1"/>
  <c r="MD111" i="1"/>
  <c r="EN108" i="1"/>
  <c r="CM126" i="1"/>
  <c r="AH158" i="1"/>
  <c r="TM164" i="1"/>
  <c r="QA114" i="1"/>
  <c r="DO155" i="1"/>
  <c r="SU132" i="1"/>
  <c r="EG123" i="1"/>
  <c r="AC123" i="1"/>
  <c r="CW114" i="1"/>
  <c r="AW122" i="1"/>
  <c r="AW123" i="1" s="1"/>
  <c r="UZ163" i="1"/>
  <c r="OU108" i="1"/>
  <c r="BR167" i="1"/>
  <c r="UJ140" i="1"/>
  <c r="MT159" i="1"/>
  <c r="SJ152" i="1"/>
  <c r="KC108" i="1"/>
  <c r="IA108" i="1"/>
  <c r="OD118" i="1"/>
  <c r="PM158" i="1"/>
  <c r="ME111" i="1"/>
  <c r="CL126" i="1"/>
  <c r="AG158" i="1"/>
  <c r="PI114" i="1"/>
  <c r="RK123" i="1"/>
  <c r="JC123" i="1"/>
  <c r="PI132" i="1"/>
  <c r="EY164" i="1"/>
  <c r="TU119" i="1"/>
  <c r="NY132" i="1"/>
  <c r="EG164" i="1"/>
  <c r="SU114" i="1"/>
  <c r="BM123" i="1"/>
  <c r="QS173" i="1"/>
  <c r="SU123" i="1"/>
  <c r="NY123" i="1"/>
  <c r="SC123" i="1"/>
  <c r="BM132" i="1"/>
  <c r="KM114" i="1"/>
  <c r="NY173" i="1"/>
  <c r="AU164" i="1"/>
  <c r="PI155" i="1"/>
  <c r="MO164" i="1"/>
  <c r="K146" i="1"/>
  <c r="NG114" i="1"/>
  <c r="UE155" i="1"/>
  <c r="KM146" i="1"/>
  <c r="VA157" i="1"/>
  <c r="VA163" i="1" s="1"/>
  <c r="UZ162" i="1"/>
  <c r="HA164" i="1"/>
  <c r="EG114" i="1"/>
  <c r="QS114" i="1"/>
  <c r="NY155" i="1"/>
  <c r="SK158" i="1"/>
  <c r="SJ158" i="1"/>
  <c r="SG158" i="1"/>
  <c r="SH158" i="1"/>
  <c r="QH140" i="1"/>
  <c r="QI140" i="1"/>
  <c r="QF140" i="1"/>
  <c r="QE140" i="1"/>
  <c r="SJ136" i="1"/>
  <c r="SH136" i="1"/>
  <c r="SK136" i="1"/>
  <c r="SG136" i="1"/>
  <c r="KB128" i="1"/>
  <c r="JZ128" i="1"/>
  <c r="KC128" i="1"/>
  <c r="JY128" i="1"/>
  <c r="VA111" i="1"/>
  <c r="VE111" i="1"/>
  <c r="VB111" i="1"/>
  <c r="VD111" i="1"/>
  <c r="HX136" i="1"/>
  <c r="IA136" i="1"/>
  <c r="HW136" i="1"/>
  <c r="HZ136" i="1"/>
  <c r="S142" i="1"/>
  <c r="O142" i="1"/>
  <c r="R142" i="1"/>
  <c r="P142" i="1"/>
  <c r="JZ140" i="1"/>
  <c r="JY140" i="1"/>
  <c r="KC140" i="1"/>
  <c r="KB140" i="1"/>
  <c r="JG158" i="1"/>
  <c r="JJ158" i="1"/>
  <c r="JH158" i="1"/>
  <c r="JK158" i="1"/>
  <c r="RO128" i="1"/>
  <c r="RS128" i="1"/>
  <c r="RR128" i="1"/>
  <c r="RP128" i="1"/>
  <c r="PM117" i="1"/>
  <c r="PP117" i="1"/>
  <c r="PN117" i="1"/>
  <c r="PQ117" i="1"/>
  <c r="AG142" i="1"/>
  <c r="AK142" i="1"/>
  <c r="AJ142" i="1"/>
  <c r="AH142" i="1"/>
  <c r="PQ137" i="1"/>
  <c r="PP137" i="1"/>
  <c r="PM137" i="1"/>
  <c r="PN137" i="1"/>
  <c r="GM167" i="1"/>
  <c r="GN167" i="1"/>
  <c r="GQ167" i="1"/>
  <c r="GP167" i="1"/>
  <c r="LL139" i="1"/>
  <c r="LM139" i="1"/>
  <c r="LI139" i="1"/>
  <c r="LJ139" i="1"/>
  <c r="HZ120" i="1"/>
  <c r="HW120" i="1"/>
  <c r="IA120" i="1"/>
  <c r="HX120" i="1"/>
  <c r="VD118" i="1"/>
  <c r="VB118" i="1"/>
  <c r="VE118" i="1"/>
  <c r="VA118" i="1"/>
  <c r="OD141" i="1"/>
  <c r="OF141" i="1"/>
  <c r="OG141" i="1"/>
  <c r="OC141" i="1"/>
  <c r="VE159" i="1"/>
  <c r="VD159" i="1"/>
  <c r="VA159" i="1"/>
  <c r="VB159" i="1"/>
  <c r="JG161" i="1"/>
  <c r="JH161" i="1"/>
  <c r="JK161" i="1"/>
  <c r="JJ161" i="1"/>
  <c r="FU118" i="1"/>
  <c r="FV118" i="1"/>
  <c r="FX118" i="1"/>
  <c r="FY118" i="1"/>
  <c r="JJ140" i="1"/>
  <c r="JG140" i="1"/>
  <c r="JH140" i="1"/>
  <c r="JK140" i="1"/>
  <c r="VD136" i="1"/>
  <c r="VA136" i="1"/>
  <c r="VB136" i="1"/>
  <c r="VE136" i="1"/>
  <c r="PM108" i="1"/>
  <c r="PP108" i="1"/>
  <c r="PN108" i="1"/>
  <c r="PQ108" i="1"/>
  <c r="EK161" i="1"/>
  <c r="EN161" i="1"/>
  <c r="EO161" i="1"/>
  <c r="EL161" i="1"/>
  <c r="AG135" i="1"/>
  <c r="AK135" i="1"/>
  <c r="AH135" i="1"/>
  <c r="AJ135" i="1"/>
  <c r="GQ160" i="1"/>
  <c r="GN160" i="1"/>
  <c r="GM160" i="1"/>
  <c r="GP160" i="1"/>
  <c r="SJ170" i="1"/>
  <c r="SG170" i="1"/>
  <c r="SK170" i="1"/>
  <c r="SH170" i="1"/>
  <c r="FU159" i="1"/>
  <c r="FY159" i="1"/>
  <c r="FV159" i="1"/>
  <c r="FX159" i="1"/>
  <c r="GN108" i="1"/>
  <c r="GQ108" i="1"/>
  <c r="GM108" i="1"/>
  <c r="GP108" i="1"/>
  <c r="FC168" i="1"/>
  <c r="FF168" i="1"/>
  <c r="FG168" i="1"/>
  <c r="FD168" i="1"/>
  <c r="CL119" i="1"/>
  <c r="CM119" i="1"/>
  <c r="CJ119" i="1"/>
  <c r="CI119" i="1"/>
  <c r="TT129" i="1"/>
  <c r="TQ129" i="1"/>
  <c r="TU129" i="1"/>
  <c r="TR129" i="1"/>
  <c r="HI137" i="1"/>
  <c r="HE137" i="1"/>
  <c r="HF137" i="1"/>
  <c r="HH137" i="1"/>
  <c r="JK160" i="1"/>
  <c r="JH160" i="1"/>
  <c r="JJ160" i="1"/>
  <c r="JG160" i="1"/>
  <c r="DV117" i="1"/>
  <c r="DW117" i="1"/>
  <c r="DT117" i="1"/>
  <c r="DS117" i="1"/>
  <c r="MA158" i="1"/>
  <c r="MB158" i="1"/>
  <c r="ME158" i="1"/>
  <c r="MD158" i="1"/>
  <c r="VA137" i="1"/>
  <c r="VB137" i="1"/>
  <c r="VD137" i="1"/>
  <c r="VE137" i="1"/>
  <c r="EN138" i="1"/>
  <c r="EO138" i="1"/>
  <c r="EL138" i="1"/>
  <c r="EK138" i="1"/>
  <c r="OX149" i="1"/>
  <c r="OV149" i="1"/>
  <c r="OU149" i="1"/>
  <c r="OY149" i="1"/>
  <c r="JJ143" i="1"/>
  <c r="JK143" i="1"/>
  <c r="JG143" i="1"/>
  <c r="JH143" i="1"/>
  <c r="UJ168" i="1"/>
  <c r="UI168" i="1"/>
  <c r="UM168" i="1"/>
  <c r="UL168" i="1"/>
  <c r="TB160" i="1"/>
  <c r="TC160" i="1"/>
  <c r="SY160" i="1"/>
  <c r="SZ160" i="1"/>
  <c r="EN168" i="1"/>
  <c r="EO168" i="1"/>
  <c r="EL168" i="1"/>
  <c r="EK168" i="1"/>
  <c r="DE168" i="1"/>
  <c r="DB168" i="1"/>
  <c r="DA168" i="1"/>
  <c r="DD168" i="1"/>
  <c r="MD109" i="1"/>
  <c r="MA109" i="1"/>
  <c r="ME109" i="1"/>
  <c r="MB109" i="1"/>
  <c r="SG135" i="1"/>
  <c r="SH135" i="1"/>
  <c r="SJ135" i="1"/>
  <c r="SK135" i="1"/>
  <c r="S158" i="1"/>
  <c r="O158" i="1"/>
  <c r="P158" i="1"/>
  <c r="R158" i="1"/>
  <c r="OG169" i="1"/>
  <c r="OC169" i="1"/>
  <c r="OF169" i="1"/>
  <c r="OD169" i="1"/>
  <c r="RS118" i="1"/>
  <c r="RO118" i="1"/>
  <c r="RP118" i="1"/>
  <c r="RR118" i="1"/>
  <c r="JZ135" i="1"/>
  <c r="JY135" i="1"/>
  <c r="KC135" i="1"/>
  <c r="KB135" i="1"/>
  <c r="TR141" i="1"/>
  <c r="TU141" i="1"/>
  <c r="TT141" i="1"/>
  <c r="TQ141" i="1"/>
  <c r="LJ150" i="1"/>
  <c r="LI150" i="1"/>
  <c r="LL150" i="1"/>
  <c r="LM150" i="1"/>
  <c r="NJ148" i="1"/>
  <c r="NM148" i="1" s="1"/>
  <c r="NI148" i="1"/>
  <c r="W122" i="41"/>
  <c r="Y122" i="41" s="1"/>
  <c r="X122" i="41"/>
  <c r="UY162" i="1"/>
  <c r="UY163" i="1"/>
  <c r="W101" i="41"/>
  <c r="Y101" i="41" s="1"/>
  <c r="X101" i="41"/>
  <c r="W85" i="41"/>
  <c r="Y85" i="41" s="1"/>
  <c r="X85" i="41"/>
  <c r="W73" i="41"/>
  <c r="Y73" i="41" s="1"/>
  <c r="X73" i="41"/>
  <c r="W78" i="28"/>
  <c r="X78" i="28"/>
  <c r="NL169" i="1"/>
  <c r="NO169" i="1"/>
  <c r="NN169" i="1"/>
  <c r="NK169" i="1"/>
  <c r="QF169" i="1"/>
  <c r="QE169" i="1"/>
  <c r="QI169" i="1"/>
  <c r="QH169" i="1"/>
  <c r="CI141" i="1"/>
  <c r="CM141" i="1"/>
  <c r="CJ141" i="1"/>
  <c r="CL141" i="1"/>
  <c r="BO107" i="1"/>
  <c r="BO112" i="1" s="1"/>
  <c r="BP107" i="1"/>
  <c r="W80" i="39"/>
  <c r="X80" i="39"/>
  <c r="HC125" i="1"/>
  <c r="HD125" i="1"/>
  <c r="HG125" i="1" s="1"/>
  <c r="SF153" i="1"/>
  <c r="SF154" i="1"/>
  <c r="SJ148" i="1"/>
  <c r="SK148" i="1"/>
  <c r="SH148" i="1"/>
  <c r="SG148" i="1"/>
  <c r="FT144" i="1"/>
  <c r="FT145" i="1"/>
  <c r="FX134" i="1"/>
  <c r="FV134" i="1"/>
  <c r="FY134" i="1"/>
  <c r="FU134" i="1"/>
  <c r="NJ131" i="1"/>
  <c r="NK125" i="1"/>
  <c r="NJ130" i="1"/>
  <c r="NO125" i="1"/>
  <c r="NL125" i="1"/>
  <c r="NN125" i="1"/>
  <c r="Y68" i="41"/>
  <c r="W113" i="27"/>
  <c r="X113" i="27"/>
  <c r="W87" i="27"/>
  <c r="X87" i="27"/>
  <c r="W84" i="27"/>
  <c r="X84" i="27"/>
  <c r="W116" i="27"/>
  <c r="X116" i="27"/>
  <c r="GK148" i="1"/>
  <c r="GL148" i="1"/>
  <c r="GO148" i="1" s="1"/>
  <c r="EJ144" i="1"/>
  <c r="EK134" i="1"/>
  <c r="EJ145" i="1"/>
  <c r="EN134" i="1"/>
  <c r="EL134" i="1"/>
  <c r="EO134" i="1"/>
  <c r="QV121" i="1"/>
  <c r="RA116" i="1"/>
  <c r="QW116" i="1"/>
  <c r="QZ116" i="1"/>
  <c r="QX116" i="1"/>
  <c r="QV122" i="1"/>
  <c r="UG130" i="1"/>
  <c r="UG131" i="1"/>
  <c r="IN121" i="1"/>
  <c r="IO116" i="1"/>
  <c r="IP116" i="1"/>
  <c r="IS116" i="1"/>
  <c r="IN122" i="1"/>
  <c r="IR116" i="1"/>
  <c r="RM122" i="1"/>
  <c r="RM121" i="1"/>
  <c r="BT134" i="1"/>
  <c r="BU134" i="1"/>
  <c r="BQ134" i="1"/>
  <c r="BR134" i="1"/>
  <c r="HV162" i="1"/>
  <c r="HX157" i="1"/>
  <c r="HV163" i="1"/>
  <c r="HW157" i="1"/>
  <c r="HZ157" i="1"/>
  <c r="IA157" i="1"/>
  <c r="OS163" i="1"/>
  <c r="OS162" i="1"/>
  <c r="LZ121" i="1"/>
  <c r="LZ122" i="1"/>
  <c r="ME116" i="1"/>
  <c r="MD116" i="1"/>
  <c r="MA116" i="1"/>
  <c r="MB116" i="1"/>
  <c r="NI116" i="1"/>
  <c r="NJ116" i="1"/>
  <c r="NM116" i="1" s="1"/>
  <c r="JW112" i="1"/>
  <c r="JW113" i="1"/>
  <c r="QU130" i="1"/>
  <c r="QU131" i="1"/>
  <c r="IM130" i="1"/>
  <c r="IM131" i="1"/>
  <c r="MR112" i="1"/>
  <c r="MV107" i="1"/>
  <c r="MT107" i="1"/>
  <c r="MS107" i="1"/>
  <c r="MW107" i="1"/>
  <c r="MR113" i="1"/>
  <c r="UY153" i="1"/>
  <c r="UY154" i="1"/>
  <c r="JF162" i="1"/>
  <c r="JF163" i="1"/>
  <c r="JH157" i="1"/>
  <c r="JG157" i="1"/>
  <c r="JK157" i="1"/>
  <c r="JJ157" i="1"/>
  <c r="LG153" i="1"/>
  <c r="LG154" i="1"/>
  <c r="JW162" i="1"/>
  <c r="JW163" i="1"/>
  <c r="OX136" i="1"/>
  <c r="OY136" i="1"/>
  <c r="OU136" i="1"/>
  <c r="OV136" i="1"/>
  <c r="EN142" i="1"/>
  <c r="EK142" i="1"/>
  <c r="EL142" i="1"/>
  <c r="EO142" i="1"/>
  <c r="IP138" i="1"/>
  <c r="IR138" i="1"/>
  <c r="IS138" i="1"/>
  <c r="IO138" i="1"/>
  <c r="QH126" i="1"/>
  <c r="QF126" i="1"/>
  <c r="QE126" i="1"/>
  <c r="QI126" i="1"/>
  <c r="LM110" i="1"/>
  <c r="LJ110" i="1"/>
  <c r="LI110" i="1"/>
  <c r="LL110" i="1"/>
  <c r="VD152" i="1"/>
  <c r="VE152" i="1"/>
  <c r="VA152" i="1"/>
  <c r="VB152" i="1"/>
  <c r="NL161" i="1"/>
  <c r="NK161" i="1"/>
  <c r="NO161" i="1"/>
  <c r="NN161" i="1"/>
  <c r="OD137" i="1"/>
  <c r="OF137" i="1"/>
  <c r="OG137" i="1"/>
  <c r="OC137" i="1"/>
  <c r="KC159" i="1"/>
  <c r="JY159" i="1"/>
  <c r="JZ159" i="1"/>
  <c r="KB159" i="1"/>
  <c r="LM129" i="1"/>
  <c r="LJ129" i="1"/>
  <c r="LL129" i="1"/>
  <c r="LI129" i="1"/>
  <c r="AK139" i="1"/>
  <c r="AH139" i="1"/>
  <c r="AG139" i="1"/>
  <c r="AJ139" i="1"/>
  <c r="KT136" i="1"/>
  <c r="KQ136" i="1"/>
  <c r="KU136" i="1"/>
  <c r="KR136" i="1"/>
  <c r="DD136" i="1"/>
  <c r="DB136" i="1"/>
  <c r="DE136" i="1"/>
  <c r="DA136" i="1"/>
  <c r="IO140" i="1"/>
  <c r="IS140" i="1"/>
  <c r="IR140" i="1"/>
  <c r="IP140" i="1"/>
  <c r="HE139" i="1"/>
  <c r="HI139" i="1"/>
  <c r="HF139" i="1"/>
  <c r="HH139" i="1"/>
  <c r="KU138" i="1"/>
  <c r="KQ138" i="1"/>
  <c r="KR138" i="1"/>
  <c r="KT138" i="1"/>
  <c r="BC139" i="1"/>
  <c r="AY139" i="1"/>
  <c r="AZ139" i="1"/>
  <c r="BB139" i="1"/>
  <c r="TU136" i="1"/>
  <c r="TR136" i="1"/>
  <c r="TT136" i="1"/>
  <c r="TQ136" i="1"/>
  <c r="RP110" i="1"/>
  <c r="RS110" i="1"/>
  <c r="RR110" i="1"/>
  <c r="RO110" i="1"/>
  <c r="TQ149" i="1"/>
  <c r="TR149" i="1"/>
  <c r="TT149" i="1"/>
  <c r="TU149" i="1"/>
  <c r="HE150" i="1"/>
  <c r="HF150" i="1"/>
  <c r="HH150" i="1"/>
  <c r="HI150" i="1"/>
  <c r="QW117" i="1"/>
  <c r="QZ117" i="1"/>
  <c r="RA117" i="1"/>
  <c r="QX117" i="1"/>
  <c r="DE149" i="1"/>
  <c r="DB149" i="1"/>
  <c r="DD149" i="1"/>
  <c r="DA149" i="1"/>
  <c r="MA160" i="1"/>
  <c r="MB160" i="1"/>
  <c r="MD160" i="1"/>
  <c r="ME160" i="1"/>
  <c r="IS139" i="1"/>
  <c r="IP139" i="1"/>
  <c r="IR139" i="1"/>
  <c r="IO139" i="1"/>
  <c r="GM170" i="1"/>
  <c r="GQ170" i="1"/>
  <c r="GP170" i="1"/>
  <c r="GN170" i="1"/>
  <c r="IP135" i="1"/>
  <c r="IO135" i="1"/>
  <c r="IR135" i="1"/>
  <c r="IS135" i="1"/>
  <c r="GM126" i="1"/>
  <c r="GN126" i="1"/>
  <c r="GP126" i="1"/>
  <c r="GQ126" i="1"/>
  <c r="GN140" i="1"/>
  <c r="GM140" i="1"/>
  <c r="GQ140" i="1"/>
  <c r="GP140" i="1"/>
  <c r="IR117" i="1"/>
  <c r="IO117" i="1"/>
  <c r="IS117" i="1"/>
  <c r="IP117" i="1"/>
  <c r="FG118" i="1"/>
  <c r="FD118" i="1"/>
  <c r="FF118" i="1"/>
  <c r="FC118" i="1"/>
  <c r="TB108" i="1"/>
  <c r="SY108" i="1"/>
  <c r="SZ108" i="1"/>
  <c r="TC108" i="1"/>
  <c r="UM108" i="1"/>
  <c r="UJ108" i="1"/>
  <c r="UI108" i="1"/>
  <c r="UL108" i="1"/>
  <c r="PP159" i="1"/>
  <c r="PM159" i="1"/>
  <c r="PQ159" i="1"/>
  <c r="PN159" i="1"/>
  <c r="NN110" i="1"/>
  <c r="NL110" i="1"/>
  <c r="NO110" i="1"/>
  <c r="NK110" i="1"/>
  <c r="UJ128" i="1"/>
  <c r="UI128" i="1"/>
  <c r="UM128" i="1"/>
  <c r="UL128" i="1"/>
  <c r="UM149" i="1"/>
  <c r="UL149" i="1"/>
  <c r="UI149" i="1"/>
  <c r="UJ149" i="1"/>
  <c r="OG140" i="1"/>
  <c r="OF140" i="1"/>
  <c r="OD140" i="1"/>
  <c r="OC140" i="1"/>
  <c r="UM117" i="1"/>
  <c r="UJ117" i="1"/>
  <c r="UL117" i="1"/>
  <c r="UI117" i="1"/>
  <c r="HE117" i="1"/>
  <c r="HF117" i="1"/>
  <c r="HH117" i="1"/>
  <c r="HI117" i="1"/>
  <c r="RS168" i="1"/>
  <c r="RR168" i="1"/>
  <c r="RO168" i="1"/>
  <c r="RP168" i="1"/>
  <c r="RP161" i="1"/>
  <c r="RO161" i="1"/>
  <c r="RS161" i="1"/>
  <c r="RR161" i="1"/>
  <c r="OG126" i="1"/>
  <c r="OF126" i="1"/>
  <c r="OC126" i="1"/>
  <c r="OD126" i="1"/>
  <c r="DV118" i="1"/>
  <c r="DW118" i="1"/>
  <c r="DT118" i="1"/>
  <c r="DS118" i="1"/>
  <c r="MT168" i="1"/>
  <c r="MV168" i="1"/>
  <c r="MW168" i="1"/>
  <c r="MS168" i="1"/>
  <c r="AJ170" i="1"/>
  <c r="AH170" i="1"/>
  <c r="AK170" i="1"/>
  <c r="AG170" i="1"/>
  <c r="RA111" i="1"/>
  <c r="QX111" i="1"/>
  <c r="QZ111" i="1"/>
  <c r="QW111" i="1"/>
  <c r="P111" i="1"/>
  <c r="S111" i="1"/>
  <c r="O111" i="1"/>
  <c r="R111" i="1"/>
  <c r="CL118" i="1"/>
  <c r="CM118" i="1"/>
  <c r="CI118" i="1"/>
  <c r="CJ118" i="1"/>
  <c r="QX129" i="1"/>
  <c r="QW129" i="1"/>
  <c r="QZ129" i="1"/>
  <c r="RA129" i="1"/>
  <c r="FF170" i="1"/>
  <c r="FC170" i="1"/>
  <c r="FD170" i="1"/>
  <c r="FG170" i="1"/>
  <c r="PQ119" i="1"/>
  <c r="PN119" i="1"/>
  <c r="PP119" i="1"/>
  <c r="PM119" i="1"/>
  <c r="HX161" i="1"/>
  <c r="HW161" i="1"/>
  <c r="HZ161" i="1"/>
  <c r="IA161" i="1"/>
  <c r="AY137" i="1"/>
  <c r="BB137" i="1"/>
  <c r="BC137" i="1"/>
  <c r="AZ137" i="1"/>
  <c r="IO158" i="1"/>
  <c r="IR158" i="1"/>
  <c r="IS158" i="1"/>
  <c r="IP158" i="1"/>
  <c r="VB120" i="1"/>
  <c r="VD120" i="1"/>
  <c r="VE120" i="1"/>
  <c r="VA120" i="1"/>
  <c r="IR167" i="1"/>
  <c r="IO167" i="1"/>
  <c r="IS167" i="1"/>
  <c r="IP167" i="1"/>
  <c r="JG109" i="1"/>
  <c r="JJ109" i="1"/>
  <c r="JK109" i="1"/>
  <c r="JH109" i="1"/>
  <c r="QE139" i="1"/>
  <c r="QH139" i="1"/>
  <c r="QI139" i="1"/>
  <c r="QF139" i="1"/>
  <c r="FY141" i="1"/>
  <c r="FV141" i="1"/>
  <c r="FU141" i="1"/>
  <c r="FX141" i="1"/>
  <c r="DS149" i="1"/>
  <c r="DT149" i="1"/>
  <c r="DV149" i="1"/>
  <c r="DW149" i="1"/>
  <c r="IP150" i="1"/>
  <c r="IO150" i="1"/>
  <c r="IR150" i="1"/>
  <c r="IS150" i="1"/>
  <c r="AH159" i="1"/>
  <c r="AK159" i="1"/>
  <c r="AG159" i="1"/>
  <c r="AJ159" i="1"/>
  <c r="BR120" i="1"/>
  <c r="BU120" i="1"/>
  <c r="BT120" i="1"/>
  <c r="BQ120" i="1"/>
  <c r="JZ151" i="1"/>
  <c r="JY151" i="1"/>
  <c r="KB151" i="1"/>
  <c r="KC151" i="1"/>
  <c r="UL143" i="1"/>
  <c r="UI143" i="1"/>
  <c r="UJ143" i="1"/>
  <c r="UM143" i="1"/>
  <c r="R170" i="1"/>
  <c r="P170" i="1"/>
  <c r="S170" i="1"/>
  <c r="O170" i="1"/>
  <c r="OU152" i="1"/>
  <c r="OV152" i="1"/>
  <c r="OY152" i="1"/>
  <c r="OX152" i="1"/>
  <c r="GQ137" i="1"/>
  <c r="GP137" i="1"/>
  <c r="GN137" i="1"/>
  <c r="GM137" i="1"/>
  <c r="RP141" i="1"/>
  <c r="RS141" i="1"/>
  <c r="RO141" i="1"/>
  <c r="RR141" i="1"/>
  <c r="HH118" i="1"/>
  <c r="HI118" i="1"/>
  <c r="HE118" i="1"/>
  <c r="HF118" i="1"/>
  <c r="NO128" i="1"/>
  <c r="NN128" i="1"/>
  <c r="NL128" i="1"/>
  <c r="NK128" i="1"/>
  <c r="OF149" i="1"/>
  <c r="OC149" i="1"/>
  <c r="OD149" i="1"/>
  <c r="OG149" i="1"/>
  <c r="OF160" i="1"/>
  <c r="OD160" i="1"/>
  <c r="OC160" i="1"/>
  <c r="OG160" i="1"/>
  <c r="OF129" i="1"/>
  <c r="OG129" i="1"/>
  <c r="OC129" i="1"/>
  <c r="OD129" i="1"/>
  <c r="DT161" i="1"/>
  <c r="DV161" i="1"/>
  <c r="DS161" i="1"/>
  <c r="DW161" i="1"/>
  <c r="LL136" i="1"/>
  <c r="LJ136" i="1"/>
  <c r="LM136" i="1"/>
  <c r="LI136" i="1"/>
  <c r="CI159" i="1"/>
  <c r="CL159" i="1"/>
  <c r="CJ159" i="1"/>
  <c r="CM159" i="1"/>
  <c r="JK110" i="1"/>
  <c r="JJ110" i="1"/>
  <c r="JG110" i="1"/>
  <c r="JH110" i="1"/>
  <c r="TB126" i="1"/>
  <c r="TC126" i="1"/>
  <c r="SY126" i="1"/>
  <c r="SZ126" i="1"/>
  <c r="QI150" i="1"/>
  <c r="QE150" i="1"/>
  <c r="QH150" i="1"/>
  <c r="QF150" i="1"/>
  <c r="EL126" i="1"/>
  <c r="EK126" i="1"/>
  <c r="EO126" i="1"/>
  <c r="EN126" i="1"/>
  <c r="OY158" i="1"/>
  <c r="OU158" i="1"/>
  <c r="OX158" i="1"/>
  <c r="OV158" i="1"/>
  <c r="QX108" i="1"/>
  <c r="QZ108" i="1"/>
  <c r="QW108" i="1"/>
  <c r="RA108" i="1"/>
  <c r="IO143" i="1"/>
  <c r="IP143" i="1"/>
  <c r="IR143" i="1"/>
  <c r="IS143" i="1"/>
  <c r="AJ128" i="1"/>
  <c r="AK128" i="1"/>
  <c r="AH128" i="1"/>
  <c r="AG128" i="1"/>
  <c r="AZ128" i="1"/>
  <c r="BC128" i="1"/>
  <c r="BB128" i="1"/>
  <c r="AY128" i="1"/>
  <c r="CJ150" i="1"/>
  <c r="CL150" i="1"/>
  <c r="CM150" i="1"/>
  <c r="CI150" i="1"/>
  <c r="QE152" i="1"/>
  <c r="QF152" i="1"/>
  <c r="QH152" i="1"/>
  <c r="QI152" i="1"/>
  <c r="FD169" i="1"/>
  <c r="FG169" i="1"/>
  <c r="FC169" i="1"/>
  <c r="FF169" i="1"/>
  <c r="MW119" i="1"/>
  <c r="MT119" i="1"/>
  <c r="MV119" i="1"/>
  <c r="MS119" i="1"/>
  <c r="KU117" i="1"/>
  <c r="KR117" i="1"/>
  <c r="KT117" i="1"/>
  <c r="KQ117" i="1"/>
  <c r="TB110" i="1"/>
  <c r="TC110" i="1"/>
  <c r="SZ110" i="1"/>
  <c r="SY110" i="1"/>
  <c r="DT167" i="1"/>
  <c r="DS167" i="1"/>
  <c r="DW167" i="1"/>
  <c r="DV167" i="1"/>
  <c r="KC120" i="1"/>
  <c r="JY120" i="1"/>
  <c r="JZ120" i="1"/>
  <c r="KB120" i="1"/>
  <c r="LL161" i="1"/>
  <c r="LI161" i="1"/>
  <c r="LM161" i="1"/>
  <c r="LJ161" i="1"/>
  <c r="UM151" i="1"/>
  <c r="UJ151" i="1"/>
  <c r="UI151" i="1"/>
  <c r="UL151" i="1"/>
  <c r="KR119" i="1"/>
  <c r="KQ119" i="1"/>
  <c r="KT119" i="1"/>
  <c r="KU119" i="1"/>
  <c r="JH167" i="1"/>
  <c r="JJ167" i="1"/>
  <c r="JK167" i="1"/>
  <c r="JG167" i="1"/>
  <c r="DS170" i="1"/>
  <c r="DV170" i="1"/>
  <c r="DT170" i="1"/>
  <c r="DW170" i="1"/>
  <c r="AY117" i="1"/>
  <c r="BC117" i="1"/>
  <c r="AZ117" i="1"/>
  <c r="BB117" i="1"/>
  <c r="EK120" i="1"/>
  <c r="EL120" i="1"/>
  <c r="EN120" i="1"/>
  <c r="EO120" i="1"/>
  <c r="MW129" i="1"/>
  <c r="MS129" i="1"/>
  <c r="MV129" i="1"/>
  <c r="MT129" i="1"/>
  <c r="BU117" i="1"/>
  <c r="BT117" i="1"/>
  <c r="BR117" i="1"/>
  <c r="BQ117" i="1"/>
  <c r="CL158" i="1"/>
  <c r="CI158" i="1"/>
  <c r="CM158" i="1"/>
  <c r="CJ158" i="1"/>
  <c r="SG108" i="1"/>
  <c r="SH108" i="1"/>
  <c r="SJ108" i="1"/>
  <c r="SK108" i="1"/>
  <c r="QE111" i="1"/>
  <c r="QF111" i="1"/>
  <c r="QI111" i="1"/>
  <c r="QH111" i="1"/>
  <c r="BT119" i="1"/>
  <c r="BQ119" i="1"/>
  <c r="BR119" i="1"/>
  <c r="BU119" i="1"/>
  <c r="SJ139" i="1"/>
  <c r="SG139" i="1"/>
  <c r="SK139" i="1"/>
  <c r="SH139" i="1"/>
  <c r="JK108" i="1"/>
  <c r="JJ108" i="1"/>
  <c r="JH108" i="1"/>
  <c r="JG108" i="1"/>
  <c r="AK119" i="1"/>
  <c r="AH119" i="1"/>
  <c r="AG119" i="1"/>
  <c r="AJ119" i="1"/>
  <c r="QX135" i="1"/>
  <c r="RA135" i="1"/>
  <c r="QZ135" i="1"/>
  <c r="QW135" i="1"/>
  <c r="NL152" i="1"/>
  <c r="NN152" i="1"/>
  <c r="NK152" i="1"/>
  <c r="NO152" i="1"/>
  <c r="FU150" i="1"/>
  <c r="FX150" i="1"/>
  <c r="FY150" i="1"/>
  <c r="FV150" i="1"/>
  <c r="EN170" i="1"/>
  <c r="EL170" i="1"/>
  <c r="EO170" i="1"/>
  <c r="EK170" i="1"/>
  <c r="PN126" i="1"/>
  <c r="PM126" i="1"/>
  <c r="PQ126" i="1"/>
  <c r="PP126" i="1"/>
  <c r="RA158" i="1"/>
  <c r="QW158" i="1"/>
  <c r="QZ158" i="1"/>
  <c r="QX158" i="1"/>
  <c r="HE111" i="1"/>
  <c r="HF111" i="1"/>
  <c r="HH111" i="1"/>
  <c r="HI111" i="1"/>
  <c r="IS152" i="1"/>
  <c r="IR152" i="1"/>
  <c r="IP152" i="1"/>
  <c r="IO152" i="1"/>
  <c r="FV139" i="1"/>
  <c r="FX139" i="1"/>
  <c r="FU139" i="1"/>
  <c r="FY139" i="1"/>
  <c r="EN110" i="1"/>
  <c r="EL110" i="1"/>
  <c r="EK110" i="1"/>
  <c r="EO110" i="1"/>
  <c r="FG143" i="1"/>
  <c r="FD143" i="1"/>
  <c r="FF143" i="1"/>
  <c r="FC143" i="1"/>
  <c r="RP151" i="1"/>
  <c r="RS151" i="1"/>
  <c r="RR151" i="1"/>
  <c r="RO151" i="1"/>
  <c r="BB170" i="1"/>
  <c r="AY170" i="1"/>
  <c r="BC170" i="1"/>
  <c r="AZ170" i="1"/>
  <c r="FD117" i="1"/>
  <c r="FF117" i="1"/>
  <c r="FC117" i="1"/>
  <c r="FG117" i="1"/>
  <c r="BT151" i="1"/>
  <c r="BQ151" i="1"/>
  <c r="BU151" i="1"/>
  <c r="BR151" i="1"/>
  <c r="DE117" i="1"/>
  <c r="DA117" i="1"/>
  <c r="DB117" i="1"/>
  <c r="DD117" i="1"/>
  <c r="MD169" i="1"/>
  <c r="MB169" i="1"/>
  <c r="MA169" i="1"/>
  <c r="ME169" i="1"/>
  <c r="MA129" i="1"/>
  <c r="MD129" i="1"/>
  <c r="MB129" i="1"/>
  <c r="ME129" i="1"/>
  <c r="MA135" i="1"/>
  <c r="MD135" i="1"/>
  <c r="MB135" i="1"/>
  <c r="ME135" i="1"/>
  <c r="KU170" i="1"/>
  <c r="KT170" i="1"/>
  <c r="KR170" i="1"/>
  <c r="KQ170" i="1"/>
  <c r="RK146" i="1"/>
  <c r="K132" i="1"/>
  <c r="BB119" i="1"/>
  <c r="BC119" i="1"/>
  <c r="AY119" i="1"/>
  <c r="AZ119" i="1"/>
  <c r="FX160" i="1"/>
  <c r="FV160" i="1"/>
  <c r="FU160" i="1"/>
  <c r="FY160" i="1"/>
  <c r="RA167" i="1"/>
  <c r="QW167" i="1"/>
  <c r="QX167" i="1"/>
  <c r="QZ167" i="1"/>
  <c r="QI129" i="1"/>
  <c r="QH129" i="1"/>
  <c r="QF129" i="1"/>
  <c r="QE129" i="1"/>
  <c r="HW168" i="1"/>
  <c r="HX168" i="1"/>
  <c r="IA168" i="1"/>
  <c r="HZ168" i="1"/>
  <c r="FX127" i="1"/>
  <c r="FY127" i="1"/>
  <c r="FV127" i="1"/>
  <c r="FU127" i="1"/>
  <c r="SH126" i="1"/>
  <c r="SG126" i="1"/>
  <c r="SJ126" i="1"/>
  <c r="SK126" i="1"/>
  <c r="FC120" i="1"/>
  <c r="FF120" i="1"/>
  <c r="FG120" i="1"/>
  <c r="FD120" i="1"/>
  <c r="DA129" i="1"/>
  <c r="DE129" i="1"/>
  <c r="DD129" i="1"/>
  <c r="DB129" i="1"/>
  <c r="UM111" i="1"/>
  <c r="UI111" i="1"/>
  <c r="UJ111" i="1"/>
  <c r="UL111" i="1"/>
  <c r="BT108" i="1"/>
  <c r="BQ108" i="1"/>
  <c r="BR108" i="1"/>
  <c r="BU108" i="1"/>
  <c r="CL138" i="1"/>
  <c r="CM138" i="1"/>
  <c r="CJ138" i="1"/>
  <c r="CI138" i="1"/>
  <c r="OQ132" i="1"/>
  <c r="CE155" i="1"/>
  <c r="BT127" i="1"/>
  <c r="BU127" i="1"/>
  <c r="BR127" i="1"/>
  <c r="BQ127" i="1"/>
  <c r="OU143" i="1"/>
  <c r="OX143" i="1"/>
  <c r="OV143" i="1"/>
  <c r="OY143" i="1"/>
  <c r="LM151" i="1"/>
  <c r="LL151" i="1"/>
  <c r="LJ151" i="1"/>
  <c r="LI151" i="1"/>
  <c r="DE152" i="1"/>
  <c r="DD152" i="1"/>
  <c r="DA152" i="1"/>
  <c r="DB152" i="1"/>
  <c r="UI129" i="1"/>
  <c r="UL129" i="1"/>
  <c r="UJ129" i="1"/>
  <c r="UM129" i="1"/>
  <c r="BT118" i="1"/>
  <c r="BQ118" i="1"/>
  <c r="BR118" i="1"/>
  <c r="BU118" i="1"/>
  <c r="MS120" i="1"/>
  <c r="MT120" i="1"/>
  <c r="MV120" i="1"/>
  <c r="MW120" i="1"/>
  <c r="IO119" i="1"/>
  <c r="IP119" i="1"/>
  <c r="IS119" i="1"/>
  <c r="IR119" i="1"/>
  <c r="HF108" i="1"/>
  <c r="HI108" i="1"/>
  <c r="HH108" i="1"/>
  <c r="HE108" i="1"/>
  <c r="LL169" i="1"/>
  <c r="LJ169" i="1"/>
  <c r="LI169" i="1"/>
  <c r="LM169" i="1"/>
  <c r="DV119" i="1"/>
  <c r="DT119" i="1"/>
  <c r="DS119" i="1"/>
  <c r="DW119" i="1"/>
  <c r="FF127" i="1"/>
  <c r="FD127" i="1"/>
  <c r="FG127" i="1"/>
  <c r="FC127" i="1"/>
  <c r="KQ128" i="1"/>
  <c r="KT128" i="1"/>
  <c r="KU128" i="1"/>
  <c r="KR128" i="1"/>
  <c r="KB127" i="1"/>
  <c r="JY127" i="1"/>
  <c r="KC127" i="1"/>
  <c r="JZ127" i="1"/>
  <c r="SY141" i="1"/>
  <c r="TC141" i="1"/>
  <c r="SZ141" i="1"/>
  <c r="TB141" i="1"/>
  <c r="OY138" i="1"/>
  <c r="OV138" i="1"/>
  <c r="OU138" i="1"/>
  <c r="OX138" i="1"/>
  <c r="HI149" i="1"/>
  <c r="HH149" i="1"/>
  <c r="HE149" i="1"/>
  <c r="HF149" i="1"/>
  <c r="KR129" i="1"/>
  <c r="KT129" i="1"/>
  <c r="KQ129" i="1"/>
  <c r="KU129" i="1"/>
  <c r="NN170" i="1"/>
  <c r="NK170" i="1"/>
  <c r="NO170" i="1"/>
  <c r="NL170" i="1"/>
  <c r="DD109" i="1"/>
  <c r="DB109" i="1"/>
  <c r="DA109" i="1"/>
  <c r="DE109" i="1"/>
  <c r="FD152" i="1"/>
  <c r="FF152" i="1"/>
  <c r="FC152" i="1"/>
  <c r="FG152" i="1"/>
  <c r="BR168" i="1"/>
  <c r="BT168" i="1"/>
  <c r="BU168" i="1"/>
  <c r="BQ168" i="1"/>
  <c r="S159" i="1"/>
  <c r="O159" i="1"/>
  <c r="R159" i="1"/>
  <c r="P159" i="1"/>
  <c r="LI126" i="1"/>
  <c r="LJ126" i="1"/>
  <c r="LM126" i="1"/>
  <c r="LL126" i="1"/>
  <c r="RA142" i="1"/>
  <c r="QW142" i="1"/>
  <c r="QX142" i="1"/>
  <c r="QZ142" i="1"/>
  <c r="W102" i="41"/>
  <c r="Y102" i="41" s="1"/>
  <c r="X102" i="41"/>
  <c r="P161" i="1"/>
  <c r="S161" i="1"/>
  <c r="O161" i="1"/>
  <c r="R161" i="1"/>
  <c r="FQ164" i="1"/>
  <c r="NG155" i="1"/>
  <c r="DO146" i="1"/>
  <c r="CE132" i="1"/>
  <c r="KM155" i="1"/>
  <c r="CW132" i="1"/>
  <c r="MO146" i="1"/>
  <c r="DO123" i="1"/>
  <c r="OQ164" i="1"/>
  <c r="LE146" i="1"/>
  <c r="HA123" i="1"/>
  <c r="CE146" i="1"/>
  <c r="U104" i="41"/>
  <c r="U105" i="41"/>
  <c r="V94" i="41"/>
  <c r="JC146" i="1"/>
  <c r="QS132" i="1"/>
  <c r="LE123" i="1"/>
  <c r="UW123" i="1"/>
  <c r="MO123" i="1"/>
  <c r="EG155" i="1"/>
  <c r="JU164" i="1"/>
  <c r="CW123" i="1"/>
  <c r="QA123" i="1"/>
  <c r="NG132" i="1"/>
  <c r="QX160" i="1"/>
  <c r="RA160" i="1"/>
  <c r="QZ160" i="1"/>
  <c r="QW160" i="1"/>
  <c r="LM149" i="1"/>
  <c r="LI149" i="1"/>
  <c r="LJ149" i="1"/>
  <c r="LL149" i="1"/>
  <c r="W114" i="41"/>
  <c r="Y114" i="41" s="1"/>
  <c r="X114" i="41"/>
  <c r="HE128" i="1"/>
  <c r="HI128" i="1"/>
  <c r="HF128" i="1"/>
  <c r="HH128" i="1"/>
  <c r="MO173" i="1"/>
  <c r="UW173" i="1"/>
  <c r="EY114" i="1"/>
  <c r="L132" i="1"/>
  <c r="MO155" i="1"/>
  <c r="JC173" i="1"/>
  <c r="LE164" i="1"/>
  <c r="HA114" i="1"/>
  <c r="EY132" i="1"/>
  <c r="KM123" i="1"/>
  <c r="DO132" i="1"/>
  <c r="QS164" i="1"/>
  <c r="FQ114" i="1"/>
  <c r="GI123" i="1"/>
  <c r="CE123" i="1"/>
  <c r="W88" i="28"/>
  <c r="X88" i="28"/>
  <c r="W129" i="41"/>
  <c r="Y129" i="41" s="1"/>
  <c r="X129" i="41"/>
  <c r="W71" i="41"/>
  <c r="Y71" i="41" s="1"/>
  <c r="X71" i="41"/>
  <c r="X109" i="41"/>
  <c r="W109" i="41"/>
  <c r="Y109" i="41" s="1"/>
  <c r="X95" i="41"/>
  <c r="W95" i="41"/>
  <c r="Y95" i="41" s="1"/>
  <c r="W72" i="41"/>
  <c r="Y72" i="41" s="1"/>
  <c r="X72" i="41"/>
  <c r="X127" i="41"/>
  <c r="W127" i="41"/>
  <c r="Y127" i="41" s="1"/>
  <c r="W69" i="41"/>
  <c r="Y69" i="41" s="1"/>
  <c r="W123" i="41"/>
  <c r="Y123" i="41" s="1"/>
  <c r="X123" i="41"/>
  <c r="W98" i="41"/>
  <c r="Y98" i="41" s="1"/>
  <c r="X98" i="41"/>
  <c r="W71" i="28"/>
  <c r="X71" i="28"/>
  <c r="W75" i="28"/>
  <c r="X75" i="28"/>
  <c r="CM120" i="1"/>
  <c r="CI120" i="1"/>
  <c r="CL120" i="1"/>
  <c r="CJ120" i="1"/>
  <c r="EN137" i="1"/>
  <c r="EK137" i="1"/>
  <c r="EL137" i="1"/>
  <c r="EO137" i="1"/>
  <c r="KU158" i="1"/>
  <c r="KT158" i="1"/>
  <c r="KR158" i="1"/>
  <c r="KQ158" i="1"/>
  <c r="IO108" i="1"/>
  <c r="IP108" i="1"/>
  <c r="IR108" i="1"/>
  <c r="IS108" i="1"/>
  <c r="KO107" i="1"/>
  <c r="KP107" i="1"/>
  <c r="KS107" i="1" s="1"/>
  <c r="AJ152" i="1"/>
  <c r="AK152" i="1"/>
  <c r="AG152" i="1"/>
  <c r="AH152" i="1"/>
  <c r="BM114" i="1"/>
  <c r="TM146" i="1"/>
  <c r="UW155" i="1"/>
  <c r="JU146" i="1"/>
  <c r="HS164" i="1"/>
  <c r="HS114" i="1"/>
  <c r="NY114" i="1"/>
  <c r="EG146" i="1"/>
  <c r="QS123" i="1"/>
  <c r="CW146" i="1"/>
  <c r="AU146" i="1"/>
  <c r="FQ146" i="1"/>
  <c r="FQ173" i="1"/>
  <c r="RK114" i="1"/>
  <c r="IK164" i="1"/>
  <c r="LE155" i="1"/>
  <c r="HA146" i="1"/>
  <c r="W75" i="39"/>
  <c r="X75" i="39"/>
  <c r="W81" i="39"/>
  <c r="X81" i="39"/>
  <c r="DA135" i="1"/>
  <c r="DE135" i="1"/>
  <c r="DB135" i="1"/>
  <c r="DD135" i="1"/>
  <c r="FV128" i="1"/>
  <c r="FX128" i="1"/>
  <c r="FY128" i="1"/>
  <c r="FU128" i="1"/>
  <c r="FB112" i="1"/>
  <c r="FB113" i="1"/>
  <c r="FG107" i="1"/>
  <c r="FF107" i="1"/>
  <c r="FD107" i="1"/>
  <c r="FC107" i="1"/>
  <c r="HA132" i="1"/>
  <c r="KP130" i="1"/>
  <c r="KU125" i="1"/>
  <c r="KP131" i="1"/>
  <c r="KQ125" i="1"/>
  <c r="KR125" i="1"/>
  <c r="KT125" i="1"/>
  <c r="LY162" i="1"/>
  <c r="LY163" i="1"/>
  <c r="QV154" i="1"/>
  <c r="QV153" i="1"/>
  <c r="QZ148" i="1"/>
  <c r="QW148" i="1"/>
  <c r="QX148" i="1"/>
  <c r="RA148" i="1"/>
  <c r="RS166" i="1"/>
  <c r="RN172" i="1"/>
  <c r="RN171" i="1"/>
  <c r="RP166" i="1"/>
  <c r="RO166" i="1"/>
  <c r="RR166" i="1"/>
  <c r="FB171" i="1"/>
  <c r="FB172" i="1"/>
  <c r="FD166" i="1"/>
  <c r="FG166" i="1"/>
  <c r="FC166" i="1"/>
  <c r="FF166" i="1"/>
  <c r="UH162" i="1"/>
  <c r="UH163" i="1"/>
  <c r="UL157" i="1"/>
  <c r="UJ157" i="1"/>
  <c r="UI157" i="1"/>
  <c r="UM157" i="1"/>
  <c r="AE148" i="1"/>
  <c r="AF148" i="1"/>
  <c r="AI148" i="1" s="1"/>
  <c r="SW154" i="1"/>
  <c r="SW153" i="1"/>
  <c r="LZ130" i="1"/>
  <c r="LZ131" i="1"/>
  <c r="MB125" i="1"/>
  <c r="MD125" i="1"/>
  <c r="ME125" i="1"/>
  <c r="MA125" i="1"/>
  <c r="LH172" i="1"/>
  <c r="LH171" i="1"/>
  <c r="LJ166" i="1"/>
  <c r="LL166" i="1"/>
  <c r="LI166" i="1"/>
  <c r="LM166" i="1"/>
  <c r="R107" i="1"/>
  <c r="CM107" i="1"/>
  <c r="CM112" i="1" s="1"/>
  <c r="CH113" i="1"/>
  <c r="CJ107" i="1"/>
  <c r="CJ112" i="1" s="1"/>
  <c r="CL107" i="1"/>
  <c r="CL112" i="1" s="1"/>
  <c r="CI107" i="1"/>
  <c r="CI112" i="1" s="1"/>
  <c r="HU125" i="1"/>
  <c r="HV125" i="1"/>
  <c r="HY125" i="1" s="1"/>
  <c r="OT121" i="1"/>
  <c r="OV116" i="1"/>
  <c r="OU116" i="1"/>
  <c r="OX116" i="1"/>
  <c r="OT122" i="1"/>
  <c r="OY116" i="1"/>
  <c r="NI145" i="1"/>
  <c r="NI144" i="1"/>
  <c r="CH166" i="1"/>
  <c r="CK166" i="1" s="1"/>
  <c r="CG166" i="1"/>
  <c r="AE107" i="1"/>
  <c r="AF107" i="1"/>
  <c r="AI107" i="1" s="1"/>
  <c r="QD121" i="1"/>
  <c r="QD122" i="1"/>
  <c r="QF116" i="1"/>
  <c r="QE116" i="1"/>
  <c r="QI116" i="1"/>
  <c r="QH116" i="1"/>
  <c r="AW153" i="1"/>
  <c r="AW154" i="1"/>
  <c r="HC144" i="1"/>
  <c r="HC145" i="1"/>
  <c r="LG121" i="1"/>
  <c r="LG122" i="1"/>
  <c r="SE112" i="1"/>
  <c r="SE113" i="1"/>
  <c r="CY107" i="1"/>
  <c r="CY112" i="1" s="1"/>
  <c r="CZ107" i="1"/>
  <c r="DC107" i="1" s="1"/>
  <c r="RM153" i="1"/>
  <c r="RM154" i="1"/>
  <c r="NI130" i="1"/>
  <c r="NI131" i="1"/>
  <c r="V91" i="41"/>
  <c r="V92" i="41"/>
  <c r="X81" i="41"/>
  <c r="W81" i="41"/>
  <c r="V78" i="41"/>
  <c r="U131" i="27"/>
  <c r="U132" i="27"/>
  <c r="V121" i="27"/>
  <c r="U79" i="27"/>
  <c r="U80" i="27"/>
  <c r="V69" i="27"/>
  <c r="W86" i="27"/>
  <c r="X86" i="27"/>
  <c r="X124" i="27"/>
  <c r="W124" i="27"/>
  <c r="X75" i="27"/>
  <c r="W75" i="27"/>
  <c r="W85" i="27"/>
  <c r="X85" i="27"/>
  <c r="W100" i="27"/>
  <c r="X100" i="27"/>
  <c r="W73" i="27"/>
  <c r="X73" i="27"/>
  <c r="W76" i="27"/>
  <c r="X76" i="27"/>
  <c r="W109" i="27"/>
  <c r="X109" i="27"/>
  <c r="W111" i="27"/>
  <c r="X111" i="27"/>
  <c r="W99" i="27"/>
  <c r="X99" i="27"/>
  <c r="LH112" i="1"/>
  <c r="LM107" i="1"/>
  <c r="LL107" i="1"/>
  <c r="LH113" i="1"/>
  <c r="LJ107" i="1"/>
  <c r="LI107" i="1"/>
  <c r="KP153" i="1"/>
  <c r="KQ148" i="1"/>
  <c r="KR148" i="1"/>
  <c r="KP154" i="1"/>
  <c r="KT148" i="1"/>
  <c r="KU148" i="1"/>
  <c r="TO148" i="1"/>
  <c r="TP148" i="1"/>
  <c r="TS148" i="1" s="1"/>
  <c r="PN125" i="1"/>
  <c r="PL130" i="1"/>
  <c r="PL131" i="1"/>
  <c r="PQ125" i="1"/>
  <c r="PM125" i="1"/>
  <c r="PP125" i="1"/>
  <c r="GI155" i="1"/>
  <c r="DQ162" i="1"/>
  <c r="DQ163" i="1"/>
  <c r="FT125" i="1"/>
  <c r="FW125" i="1" s="1"/>
  <c r="FS125" i="1"/>
  <c r="IM144" i="1"/>
  <c r="IM145" i="1"/>
  <c r="NY164" i="1"/>
  <c r="U131" i="41"/>
  <c r="TP130" i="1"/>
  <c r="UY130" i="1"/>
  <c r="UY131" i="1"/>
  <c r="MR162" i="1"/>
  <c r="MT157" i="1"/>
  <c r="MW157" i="1"/>
  <c r="MR163" i="1"/>
  <c r="MS157" i="1"/>
  <c r="MV157" i="1"/>
  <c r="DR121" i="1"/>
  <c r="DT116" i="1"/>
  <c r="DS116" i="1"/>
  <c r="DR122" i="1"/>
  <c r="DW116" i="1"/>
  <c r="DV116" i="1"/>
  <c r="QD112" i="1"/>
  <c r="QD113" i="1"/>
  <c r="QE107" i="1"/>
  <c r="QI107" i="1"/>
  <c r="QF107" i="1"/>
  <c r="QH107" i="1"/>
  <c r="CY148" i="1"/>
  <c r="CZ148" i="1"/>
  <c r="DC148" i="1" s="1"/>
  <c r="OA112" i="1"/>
  <c r="OA113" i="1"/>
  <c r="SC164" i="1"/>
  <c r="DR153" i="1"/>
  <c r="DW148" i="1"/>
  <c r="DR154" i="1"/>
  <c r="DS148" i="1"/>
  <c r="DT148" i="1"/>
  <c r="DV148" i="1"/>
  <c r="EG173" i="1"/>
  <c r="GK112" i="1"/>
  <c r="GK113" i="1"/>
  <c r="EI144" i="1"/>
  <c r="EI145" i="1"/>
  <c r="AE130" i="1"/>
  <c r="AE131" i="1"/>
  <c r="QU122" i="1"/>
  <c r="QU121" i="1"/>
  <c r="MQ130" i="1"/>
  <c r="MQ131" i="1"/>
  <c r="UH130" i="1"/>
  <c r="UJ125" i="1"/>
  <c r="UL125" i="1"/>
  <c r="UI125" i="1"/>
  <c r="UH131" i="1"/>
  <c r="UM125" i="1"/>
  <c r="UW114" i="1"/>
  <c r="U83" i="39"/>
  <c r="SW112" i="1"/>
  <c r="SW113" i="1"/>
  <c r="SX162" i="1"/>
  <c r="SX163" i="1"/>
  <c r="TC157" i="1"/>
  <c r="TB157" i="1"/>
  <c r="SY157" i="1"/>
  <c r="SZ157" i="1"/>
  <c r="LG130" i="1"/>
  <c r="LG131" i="1"/>
  <c r="MQ144" i="1"/>
  <c r="MQ145" i="1"/>
  <c r="JW154" i="1"/>
  <c r="JW153" i="1"/>
  <c r="L121" i="1"/>
  <c r="M116" i="1"/>
  <c r="L122" i="1"/>
  <c r="Q116" i="1"/>
  <c r="NG123" i="1"/>
  <c r="SU173" i="1"/>
  <c r="O166" i="1"/>
  <c r="R166" i="1"/>
  <c r="P166" i="1"/>
  <c r="S166" i="1"/>
  <c r="HC148" i="1"/>
  <c r="HD148" i="1"/>
  <c r="HG148" i="1" s="1"/>
  <c r="AW130" i="1"/>
  <c r="AW131" i="1"/>
  <c r="PI123" i="1"/>
  <c r="PL162" i="1"/>
  <c r="PL163" i="1"/>
  <c r="PP157" i="1"/>
  <c r="PQ157" i="1"/>
  <c r="PN157" i="1"/>
  <c r="PM157" i="1"/>
  <c r="AF171" i="1"/>
  <c r="AG166" i="1"/>
  <c r="AH166" i="1"/>
  <c r="AK166" i="1"/>
  <c r="AF172" i="1"/>
  <c r="AJ166" i="1"/>
  <c r="N162" i="1"/>
  <c r="O157" i="1"/>
  <c r="P157" i="1"/>
  <c r="N163" i="1"/>
  <c r="S157" i="1"/>
  <c r="R157" i="1"/>
  <c r="OA148" i="1"/>
  <c r="OB148" i="1"/>
  <c r="OE148" i="1" s="1"/>
  <c r="OB131" i="1"/>
  <c r="OB130" i="1"/>
  <c r="MQ113" i="1"/>
  <c r="MQ112" i="1"/>
  <c r="UZ153" i="1"/>
  <c r="UZ154" i="1"/>
  <c r="VD148" i="1"/>
  <c r="VA148" i="1"/>
  <c r="VE148" i="1"/>
  <c r="VB148" i="1"/>
  <c r="HV112" i="1"/>
  <c r="HV113" i="1"/>
  <c r="IA107" i="1"/>
  <c r="HW107" i="1"/>
  <c r="HZ107" i="1"/>
  <c r="HX107" i="1"/>
  <c r="GK171" i="1"/>
  <c r="GK172" i="1"/>
  <c r="JC132" i="1"/>
  <c r="OS121" i="1"/>
  <c r="OS122" i="1"/>
  <c r="JE163" i="1"/>
  <c r="JE162" i="1"/>
  <c r="CZ172" i="1"/>
  <c r="DA166" i="1"/>
  <c r="DB166" i="1"/>
  <c r="CZ171" i="1"/>
  <c r="DD166" i="1"/>
  <c r="DE166" i="1"/>
  <c r="LH153" i="1"/>
  <c r="LH154" i="1"/>
  <c r="LL148" i="1"/>
  <c r="LM148" i="1"/>
  <c r="LI148" i="1"/>
  <c r="LJ148" i="1"/>
  <c r="IK155" i="1"/>
  <c r="JW122" i="1"/>
  <c r="JW121" i="1"/>
  <c r="AA120" i="41"/>
  <c r="AB120" i="41"/>
  <c r="Z120" i="41"/>
  <c r="AC120" i="41"/>
  <c r="LL159" i="1"/>
  <c r="LM159" i="1"/>
  <c r="LJ159" i="1"/>
  <c r="LI159" i="1"/>
  <c r="QH160" i="1"/>
  <c r="QE160" i="1"/>
  <c r="QF160" i="1"/>
  <c r="QI160" i="1"/>
  <c r="EO136" i="1"/>
  <c r="EK136" i="1"/>
  <c r="EL136" i="1"/>
  <c r="EN136" i="1"/>
  <c r="CM136" i="1"/>
  <c r="CL136" i="1"/>
  <c r="CI136" i="1"/>
  <c r="CJ136" i="1"/>
  <c r="MB141" i="1"/>
  <c r="MD141" i="1"/>
  <c r="ME141" i="1"/>
  <c r="MA141" i="1"/>
  <c r="QE143" i="1"/>
  <c r="QH143" i="1"/>
  <c r="QI143" i="1"/>
  <c r="QF143" i="1"/>
  <c r="FX136" i="1"/>
  <c r="FU136" i="1"/>
  <c r="FV136" i="1"/>
  <c r="FY136" i="1"/>
  <c r="NL129" i="1"/>
  <c r="NK129" i="1"/>
  <c r="NN129" i="1"/>
  <c r="NO129" i="1"/>
  <c r="GQ152" i="1"/>
  <c r="GP152" i="1"/>
  <c r="GN152" i="1"/>
  <c r="GM152" i="1"/>
  <c r="OY135" i="1"/>
  <c r="OX135" i="1"/>
  <c r="OU135" i="1"/>
  <c r="OV135" i="1"/>
  <c r="OY167" i="1"/>
  <c r="OX167" i="1"/>
  <c r="OV167" i="1"/>
  <c r="OU167" i="1"/>
  <c r="VB141" i="1"/>
  <c r="VD141" i="1"/>
  <c r="VE141" i="1"/>
  <c r="VA141" i="1"/>
  <c r="OY170" i="1"/>
  <c r="OU170" i="1"/>
  <c r="OX170" i="1"/>
  <c r="OV170" i="1"/>
  <c r="PN140" i="1"/>
  <c r="PQ140" i="1"/>
  <c r="PP140" i="1"/>
  <c r="PM140" i="1"/>
  <c r="RP159" i="1"/>
  <c r="RR159" i="1"/>
  <c r="RS159" i="1"/>
  <c r="RO159" i="1"/>
  <c r="DE111" i="1"/>
  <c r="DA111" i="1"/>
  <c r="DD111" i="1"/>
  <c r="DB111" i="1"/>
  <c r="GN139" i="1"/>
  <c r="GP139" i="1"/>
  <c r="GQ139" i="1"/>
  <c r="GM139" i="1"/>
  <c r="AY168" i="1"/>
  <c r="AZ168" i="1"/>
  <c r="BC168" i="1"/>
  <c r="BB168" i="1"/>
  <c r="CJ167" i="1"/>
  <c r="CM167" i="1"/>
  <c r="CI167" i="1"/>
  <c r="CL167" i="1"/>
  <c r="EL135" i="1"/>
  <c r="EO135" i="1"/>
  <c r="EN135" i="1"/>
  <c r="EK135" i="1"/>
  <c r="MW167" i="1"/>
  <c r="MV167" i="1"/>
  <c r="MS167" i="1"/>
  <c r="MT167" i="1"/>
  <c r="S160" i="1"/>
  <c r="P160" i="1"/>
  <c r="R160" i="1"/>
  <c r="O160" i="1"/>
  <c r="OU139" i="1"/>
  <c r="OV139" i="1"/>
  <c r="OY139" i="1"/>
  <c r="OX139" i="1"/>
  <c r="BC108" i="1"/>
  <c r="AZ108" i="1"/>
  <c r="AY108" i="1"/>
  <c r="BB108" i="1"/>
  <c r="BC142" i="1"/>
  <c r="AY142" i="1"/>
  <c r="AZ142" i="1"/>
  <c r="BB142" i="1"/>
  <c r="GP119" i="1"/>
  <c r="GM119" i="1"/>
  <c r="GN119" i="1"/>
  <c r="GQ119" i="1"/>
  <c r="NN138" i="1"/>
  <c r="NL138" i="1"/>
  <c r="NK138" i="1"/>
  <c r="NO138" i="1"/>
  <c r="DW151" i="1"/>
  <c r="DV151" i="1"/>
  <c r="DT151" i="1"/>
  <c r="DS151" i="1"/>
  <c r="BC150" i="1"/>
  <c r="AY150" i="1"/>
  <c r="AZ150" i="1"/>
  <c r="BB150" i="1"/>
  <c r="KR141" i="1"/>
  <c r="KT141" i="1"/>
  <c r="KQ141" i="1"/>
  <c r="KU141" i="1"/>
  <c r="IP160" i="1"/>
  <c r="IR160" i="1"/>
  <c r="IO160" i="1"/>
  <c r="IS160" i="1"/>
  <c r="KC142" i="1"/>
  <c r="JY142" i="1"/>
  <c r="KB142" i="1"/>
  <c r="JZ142" i="1"/>
  <c r="GP141" i="1"/>
  <c r="GM141" i="1"/>
  <c r="GN141" i="1"/>
  <c r="GQ141" i="1"/>
  <c r="FC126" i="1"/>
  <c r="FF126" i="1"/>
  <c r="FD126" i="1"/>
  <c r="FG126" i="1"/>
  <c r="HH142" i="1"/>
  <c r="HI142" i="1"/>
  <c r="HF142" i="1"/>
  <c r="HE142" i="1"/>
  <c r="NO120" i="1"/>
  <c r="NL120" i="1"/>
  <c r="NN120" i="1"/>
  <c r="NK120" i="1"/>
  <c r="EO167" i="1"/>
  <c r="EL167" i="1"/>
  <c r="EN167" i="1"/>
  <c r="EK167" i="1"/>
  <c r="MS150" i="1"/>
  <c r="MW150" i="1"/>
  <c r="MV150" i="1"/>
  <c r="MT150" i="1"/>
  <c r="SZ168" i="1"/>
  <c r="TC168" i="1"/>
  <c r="SY168" i="1"/>
  <c r="TB168" i="1"/>
  <c r="AJ111" i="1"/>
  <c r="AH111" i="1"/>
  <c r="AG111" i="1"/>
  <c r="AK111" i="1"/>
  <c r="UL159" i="1"/>
  <c r="UJ159" i="1"/>
  <c r="UM159" i="1"/>
  <c r="UI159" i="1"/>
  <c r="HH141" i="1"/>
  <c r="HE141" i="1"/>
  <c r="HI141" i="1"/>
  <c r="HF141" i="1"/>
  <c r="RR137" i="1"/>
  <c r="RS137" i="1"/>
  <c r="RP137" i="1"/>
  <c r="RO137" i="1"/>
  <c r="UJ127" i="1"/>
  <c r="UM127" i="1"/>
  <c r="UL127" i="1"/>
  <c r="UI127" i="1"/>
  <c r="NL126" i="1"/>
  <c r="NK126" i="1"/>
  <c r="NN126" i="1"/>
  <c r="NO126" i="1"/>
  <c r="FC109" i="1"/>
  <c r="FD109" i="1"/>
  <c r="FF109" i="1"/>
  <c r="FG109" i="1"/>
  <c r="RS126" i="1"/>
  <c r="RR126" i="1"/>
  <c r="RO126" i="1"/>
  <c r="RP126" i="1"/>
  <c r="MS151" i="1"/>
  <c r="MT151" i="1"/>
  <c r="MV151" i="1"/>
  <c r="MW151" i="1"/>
  <c r="O108" i="1"/>
  <c r="P108" i="1"/>
  <c r="S108" i="1"/>
  <c r="FG110" i="1"/>
  <c r="FC110" i="1"/>
  <c r="FF110" i="1"/>
  <c r="FD110" i="1"/>
  <c r="QI127" i="1"/>
  <c r="QE127" i="1"/>
  <c r="QH127" i="1"/>
  <c r="QF127" i="1"/>
  <c r="KU150" i="1"/>
  <c r="KQ150" i="1"/>
  <c r="KR150" i="1"/>
  <c r="KT150" i="1"/>
  <c r="VD108" i="1"/>
  <c r="VE108" i="1"/>
  <c r="VB108" i="1"/>
  <c r="VA108" i="1"/>
  <c r="CL108" i="1"/>
  <c r="CJ108" i="1"/>
  <c r="CI108" i="1"/>
  <c r="CM108" i="1"/>
  <c r="SJ137" i="1"/>
  <c r="SH137" i="1"/>
  <c r="SK137" i="1"/>
  <c r="SG137" i="1"/>
  <c r="DB108" i="1"/>
  <c r="DE108" i="1"/>
  <c r="DA108" i="1"/>
  <c r="DD108" i="1"/>
  <c r="PQ128" i="1"/>
  <c r="PN128" i="1"/>
  <c r="PP128" i="1"/>
  <c r="PM128" i="1"/>
  <c r="MQ166" i="1"/>
  <c r="MR166" i="1"/>
  <c r="MU166" i="1" s="1"/>
  <c r="U117" i="41"/>
  <c r="U118" i="41"/>
  <c r="V107" i="41"/>
  <c r="X83" i="41"/>
  <c r="W83" i="41"/>
  <c r="Y83" i="41" s="1"/>
  <c r="W128" i="41"/>
  <c r="Y128" i="41" s="1"/>
  <c r="X128" i="41"/>
  <c r="W83" i="28"/>
  <c r="X83" i="28"/>
  <c r="UL110" i="1"/>
  <c r="UI110" i="1"/>
  <c r="UM110" i="1"/>
  <c r="UJ110" i="1"/>
  <c r="FF142" i="1"/>
  <c r="FC142" i="1"/>
  <c r="FG142" i="1"/>
  <c r="FD142" i="1"/>
  <c r="JE171" i="1"/>
  <c r="JE172" i="1"/>
  <c r="W76" i="39"/>
  <c r="X76" i="39"/>
  <c r="FB153" i="1"/>
  <c r="FB154" i="1"/>
  <c r="FG148" i="1"/>
  <c r="FF148" i="1"/>
  <c r="FD148" i="1"/>
  <c r="FC148" i="1"/>
  <c r="LZ162" i="1"/>
  <c r="ME157" i="1"/>
  <c r="MD157" i="1"/>
  <c r="MA157" i="1"/>
  <c r="LZ163" i="1"/>
  <c r="MB157" i="1"/>
  <c r="FD125" i="1"/>
  <c r="FG125" i="1"/>
  <c r="FC125" i="1"/>
  <c r="FF125" i="1"/>
  <c r="DR162" i="1"/>
  <c r="DR163" i="1"/>
  <c r="DV157" i="1"/>
  <c r="DS157" i="1"/>
  <c r="DT157" i="1"/>
  <c r="DW157" i="1"/>
  <c r="DA134" i="1"/>
  <c r="DB134" i="1"/>
  <c r="DD134" i="1"/>
  <c r="DE134" i="1"/>
  <c r="NI171" i="1"/>
  <c r="NI172" i="1"/>
  <c r="AX153" i="1"/>
  <c r="BB148" i="1"/>
  <c r="AX154" i="1"/>
  <c r="BC148" i="1"/>
  <c r="AZ148" i="1"/>
  <c r="AY148" i="1"/>
  <c r="SF112" i="1"/>
  <c r="SF113" i="1"/>
  <c r="SH107" i="1"/>
  <c r="SG107" i="1"/>
  <c r="SK107" i="1"/>
  <c r="SJ107" i="1"/>
  <c r="NJ144" i="1"/>
  <c r="U105" i="27"/>
  <c r="U106" i="27"/>
  <c r="V95" i="27"/>
  <c r="X101" i="27"/>
  <c r="W101" i="27"/>
  <c r="W125" i="27"/>
  <c r="X125" i="27"/>
  <c r="W127" i="27"/>
  <c r="X127" i="27"/>
  <c r="X122" i="27"/>
  <c r="W122" i="27"/>
  <c r="PK130" i="1"/>
  <c r="PK131" i="1"/>
  <c r="IN144" i="1"/>
  <c r="IN145" i="1"/>
  <c r="IO134" i="1"/>
  <c r="IR134" i="1"/>
  <c r="IP134" i="1"/>
  <c r="IS134" i="1"/>
  <c r="JW171" i="1"/>
  <c r="JW172" i="1"/>
  <c r="OB112" i="1"/>
  <c r="OF107" i="1"/>
  <c r="OB113" i="1"/>
  <c r="OG107" i="1"/>
  <c r="OD107" i="1"/>
  <c r="OC107" i="1"/>
  <c r="SE157" i="1"/>
  <c r="SF157" i="1"/>
  <c r="SI157" i="1" s="1"/>
  <c r="EI166" i="1"/>
  <c r="EJ166" i="1"/>
  <c r="EM166" i="1" s="1"/>
  <c r="MR130" i="1"/>
  <c r="MR131" i="1"/>
  <c r="MV125" i="1"/>
  <c r="MW125" i="1"/>
  <c r="MT125" i="1"/>
  <c r="MS125" i="1"/>
  <c r="UY107" i="1"/>
  <c r="UZ107" i="1"/>
  <c r="VC107" i="1" s="1"/>
  <c r="HU116" i="1"/>
  <c r="HV116" i="1"/>
  <c r="HY116" i="1" s="1"/>
  <c r="U84" i="39"/>
  <c r="HC121" i="1"/>
  <c r="HC122" i="1"/>
  <c r="BT148" i="1"/>
  <c r="BU148" i="1"/>
  <c r="BQ148" i="1"/>
  <c r="BR148" i="1"/>
  <c r="UL169" i="1"/>
  <c r="UJ169" i="1"/>
  <c r="UI169" i="1"/>
  <c r="UM169" i="1"/>
  <c r="DW137" i="1"/>
  <c r="DS137" i="1"/>
  <c r="DT137" i="1"/>
  <c r="DV137" i="1"/>
  <c r="FG141" i="1"/>
  <c r="FC141" i="1"/>
  <c r="FF141" i="1"/>
  <c r="FD141" i="1"/>
  <c r="KC170" i="1"/>
  <c r="KB170" i="1"/>
  <c r="JZ170" i="1"/>
  <c r="JY170" i="1"/>
  <c r="GP150" i="1"/>
  <c r="GM150" i="1"/>
  <c r="GN150" i="1"/>
  <c r="GQ150" i="1"/>
  <c r="TB137" i="1"/>
  <c r="SY137" i="1"/>
  <c r="SZ137" i="1"/>
  <c r="TC137" i="1"/>
  <c r="JH168" i="1"/>
  <c r="JG168" i="1"/>
  <c r="JK168" i="1"/>
  <c r="JJ168" i="1"/>
  <c r="QH141" i="1"/>
  <c r="QF141" i="1"/>
  <c r="QI141" i="1"/>
  <c r="QE141" i="1"/>
  <c r="AY151" i="1"/>
  <c r="AZ151" i="1"/>
  <c r="BB151" i="1"/>
  <c r="BC151" i="1"/>
  <c r="UI161" i="1"/>
  <c r="UL161" i="1"/>
  <c r="UJ161" i="1"/>
  <c r="UM161" i="1"/>
  <c r="PQ110" i="1"/>
  <c r="PN110" i="1"/>
  <c r="PP110" i="1"/>
  <c r="PM110" i="1"/>
  <c r="BR140" i="1"/>
  <c r="BQ140" i="1"/>
  <c r="BT140" i="1"/>
  <c r="BU140" i="1"/>
  <c r="BT111" i="1"/>
  <c r="BR111" i="1"/>
  <c r="BQ111" i="1"/>
  <c r="BU111" i="1"/>
  <c r="UJ126" i="1"/>
  <c r="UM126" i="1"/>
  <c r="UI126" i="1"/>
  <c r="UL126" i="1"/>
  <c r="VA135" i="1"/>
  <c r="VE135" i="1"/>
  <c r="VB135" i="1"/>
  <c r="VD135" i="1"/>
  <c r="HF169" i="1"/>
  <c r="HH169" i="1"/>
  <c r="HE169" i="1"/>
  <c r="HI169" i="1"/>
  <c r="S127" i="1"/>
  <c r="O127" i="1"/>
  <c r="R127" i="1"/>
  <c r="RR140" i="1"/>
  <c r="RP140" i="1"/>
  <c r="RS140" i="1"/>
  <c r="RO140" i="1"/>
  <c r="AZ138" i="1"/>
  <c r="BC138" i="1"/>
  <c r="AY138" i="1"/>
  <c r="BB138" i="1"/>
  <c r="DA169" i="1"/>
  <c r="DE169" i="1"/>
  <c r="DB169" i="1"/>
  <c r="DD169" i="1"/>
  <c r="OD120" i="1"/>
  <c r="OF120" i="1"/>
  <c r="OG120" i="1"/>
  <c r="OC120" i="1"/>
  <c r="JG141" i="1"/>
  <c r="JH141" i="1"/>
  <c r="JJ141" i="1"/>
  <c r="JK141" i="1"/>
  <c r="OG161" i="1"/>
  <c r="OD161" i="1"/>
  <c r="OF161" i="1"/>
  <c r="OC161" i="1"/>
  <c r="KU126" i="1"/>
  <c r="KT126" i="1"/>
  <c r="KR126" i="1"/>
  <c r="KQ126" i="1"/>
  <c r="NL160" i="1"/>
  <c r="NN160" i="1"/>
  <c r="NO160" i="1"/>
  <c r="NK160" i="1"/>
  <c r="PM168" i="1"/>
  <c r="PN168" i="1"/>
  <c r="PP168" i="1"/>
  <c r="PQ168" i="1"/>
  <c r="KT135" i="1"/>
  <c r="KR135" i="1"/>
  <c r="KQ135" i="1"/>
  <c r="KU135" i="1"/>
  <c r="MS142" i="1"/>
  <c r="MT142" i="1"/>
  <c r="MV142" i="1"/>
  <c r="MW142" i="1"/>
  <c r="P118" i="1"/>
  <c r="R118" i="1"/>
  <c r="S118" i="1"/>
  <c r="O118" i="1"/>
  <c r="TR117" i="1"/>
  <c r="TT117" i="1"/>
  <c r="TQ117" i="1"/>
  <c r="TU117" i="1"/>
  <c r="DB170" i="1"/>
  <c r="DE170" i="1"/>
  <c r="DA170" i="1"/>
  <c r="DD170" i="1"/>
  <c r="HE140" i="1"/>
  <c r="HH140" i="1"/>
  <c r="HF140" i="1"/>
  <c r="HI140" i="1"/>
  <c r="TU109" i="1"/>
  <c r="TT109" i="1"/>
  <c r="TR109" i="1"/>
  <c r="TQ109" i="1"/>
  <c r="BC111" i="1"/>
  <c r="BB111" i="1"/>
  <c r="AZ111" i="1"/>
  <c r="AY111" i="1"/>
  <c r="JK111" i="1"/>
  <c r="JH111" i="1"/>
  <c r="JG111" i="1"/>
  <c r="JJ111" i="1"/>
  <c r="DV120" i="1"/>
  <c r="DS120" i="1"/>
  <c r="DT120" i="1"/>
  <c r="DW120" i="1"/>
  <c r="TQ168" i="1"/>
  <c r="TU168" i="1"/>
  <c r="TT168" i="1"/>
  <c r="TR168" i="1"/>
  <c r="DE161" i="1"/>
  <c r="DA161" i="1"/>
  <c r="DB161" i="1"/>
  <c r="DD161" i="1"/>
  <c r="IP169" i="1"/>
  <c r="IR169" i="1"/>
  <c r="IS169" i="1"/>
  <c r="IO169" i="1"/>
  <c r="AK160" i="1"/>
  <c r="AJ160" i="1"/>
  <c r="AG160" i="1"/>
  <c r="AH160" i="1"/>
  <c r="MS127" i="1"/>
  <c r="MT127" i="1"/>
  <c r="MW127" i="1"/>
  <c r="MV127" i="1"/>
  <c r="SY129" i="1"/>
  <c r="TC129" i="1"/>
  <c r="TB129" i="1"/>
  <c r="SZ129" i="1"/>
  <c r="KQ118" i="1"/>
  <c r="KT118" i="1"/>
  <c r="KU118" i="1"/>
  <c r="KR118" i="1"/>
  <c r="FX169" i="1"/>
  <c r="FV169" i="1"/>
  <c r="FY169" i="1"/>
  <c r="FU169" i="1"/>
  <c r="NN149" i="1"/>
  <c r="NL149" i="1"/>
  <c r="NO149" i="1"/>
  <c r="NK149" i="1"/>
  <c r="RS136" i="1"/>
  <c r="RO136" i="1"/>
  <c r="RP136" i="1"/>
  <c r="RR136" i="1"/>
  <c r="PQ170" i="1"/>
  <c r="PM170" i="1"/>
  <c r="PN170" i="1"/>
  <c r="PP170" i="1"/>
  <c r="ME128" i="1"/>
  <c r="MB128" i="1"/>
  <c r="MA128" i="1"/>
  <c r="MD128" i="1"/>
  <c r="EO128" i="1"/>
  <c r="EL128" i="1"/>
  <c r="EK128" i="1"/>
  <c r="EN128" i="1"/>
  <c r="HH136" i="1"/>
  <c r="HI136" i="1"/>
  <c r="HE136" i="1"/>
  <c r="HF136" i="1"/>
  <c r="RO138" i="1"/>
  <c r="RR138" i="1"/>
  <c r="RS138" i="1"/>
  <c r="RP138" i="1"/>
  <c r="UM139" i="1"/>
  <c r="UI139" i="1"/>
  <c r="UL139" i="1"/>
  <c r="UJ139" i="1"/>
  <c r="NK139" i="1"/>
  <c r="NN139" i="1"/>
  <c r="NL139" i="1"/>
  <c r="NO139" i="1"/>
  <c r="OD138" i="1"/>
  <c r="OF138" i="1"/>
  <c r="OG138" i="1"/>
  <c r="OC138" i="1"/>
  <c r="HW159" i="1"/>
  <c r="HX159" i="1"/>
  <c r="IA159" i="1"/>
  <c r="HZ159" i="1"/>
  <c r="KC137" i="1"/>
  <c r="KB137" i="1"/>
  <c r="JZ137" i="1"/>
  <c r="JY137" i="1"/>
  <c r="DD127" i="1"/>
  <c r="DE127" i="1"/>
  <c r="DB127" i="1"/>
  <c r="DA127" i="1"/>
  <c r="BQ126" i="1"/>
  <c r="BU126" i="1"/>
  <c r="BR126" i="1"/>
  <c r="BT126" i="1"/>
  <c r="FU108" i="1"/>
  <c r="FY108" i="1"/>
  <c r="FX108" i="1"/>
  <c r="FV108" i="1"/>
  <c r="PP129" i="1"/>
  <c r="PN129" i="1"/>
  <c r="PM129" i="1"/>
  <c r="PQ129" i="1"/>
  <c r="TT127" i="1"/>
  <c r="TR127" i="1"/>
  <c r="TQ127" i="1"/>
  <c r="TU127" i="1"/>
  <c r="SY170" i="1"/>
  <c r="TB170" i="1"/>
  <c r="TC170" i="1"/>
  <c r="SZ170" i="1"/>
  <c r="LJ119" i="1"/>
  <c r="LM119" i="1"/>
  <c r="LL119" i="1"/>
  <c r="LI119" i="1"/>
  <c r="GQ135" i="1"/>
  <c r="GM135" i="1"/>
  <c r="GN135" i="1"/>
  <c r="GP135" i="1"/>
  <c r="OV150" i="1"/>
  <c r="OX150" i="1"/>
  <c r="OU150" i="1"/>
  <c r="OY150" i="1"/>
  <c r="AJ169" i="1"/>
  <c r="AG169" i="1"/>
  <c r="AK169" i="1"/>
  <c r="AH169" i="1"/>
  <c r="SG138" i="1"/>
  <c r="SK138" i="1"/>
  <c r="SJ138" i="1"/>
  <c r="SH138" i="1"/>
  <c r="BT141" i="1"/>
  <c r="BQ141" i="1"/>
  <c r="BU141" i="1"/>
  <c r="BR141" i="1"/>
  <c r="BC126" i="1"/>
  <c r="BB126" i="1"/>
  <c r="AY126" i="1"/>
  <c r="AZ126" i="1"/>
  <c r="HF129" i="1"/>
  <c r="HE129" i="1"/>
  <c r="HH129" i="1"/>
  <c r="HI129" i="1"/>
  <c r="SJ109" i="1"/>
  <c r="SH109" i="1"/>
  <c r="SK109" i="1"/>
  <c r="SG109" i="1"/>
  <c r="NL158" i="1"/>
  <c r="NN158" i="1"/>
  <c r="NK158" i="1"/>
  <c r="NO158" i="1"/>
  <c r="AH117" i="1"/>
  <c r="AJ117" i="1"/>
  <c r="AK117" i="1"/>
  <c r="AG117" i="1"/>
  <c r="IR129" i="1"/>
  <c r="IP129" i="1"/>
  <c r="IO129" i="1"/>
  <c r="IS129" i="1"/>
  <c r="CI111" i="1"/>
  <c r="CM111" i="1"/>
  <c r="CL111" i="1"/>
  <c r="CJ111" i="1"/>
  <c r="RS129" i="1"/>
  <c r="RR129" i="1"/>
  <c r="RP129" i="1"/>
  <c r="RO129" i="1"/>
  <c r="KC152" i="1"/>
  <c r="JZ152" i="1"/>
  <c r="KB152" i="1"/>
  <c r="JY152" i="1"/>
  <c r="RP139" i="1"/>
  <c r="RS139" i="1"/>
  <c r="RO139" i="1"/>
  <c r="RR139" i="1"/>
  <c r="CL117" i="1"/>
  <c r="CI117" i="1"/>
  <c r="CM117" i="1"/>
  <c r="CJ117" i="1"/>
  <c r="SK150" i="1"/>
  <c r="SJ150" i="1"/>
  <c r="SH150" i="1"/>
  <c r="SG150" i="1"/>
  <c r="AK108" i="1"/>
  <c r="AH108" i="1"/>
  <c r="AG108" i="1"/>
  <c r="AJ108" i="1"/>
  <c r="HZ119" i="1"/>
  <c r="IA119" i="1"/>
  <c r="HX119" i="1"/>
  <c r="HW119" i="1"/>
  <c r="DB126" i="1"/>
  <c r="DA126" i="1"/>
  <c r="DD126" i="1"/>
  <c r="DE126" i="1"/>
  <c r="HW149" i="1"/>
  <c r="HZ149" i="1"/>
  <c r="HX149" i="1"/>
  <c r="IA149" i="1"/>
  <c r="CI168" i="1"/>
  <c r="CM168" i="1"/>
  <c r="CL168" i="1"/>
  <c r="CJ168" i="1"/>
  <c r="TR159" i="1"/>
  <c r="TU159" i="1"/>
  <c r="TQ159" i="1"/>
  <c r="TT159" i="1"/>
  <c r="JY161" i="1"/>
  <c r="JZ161" i="1"/>
  <c r="KC161" i="1"/>
  <c r="KB161" i="1"/>
  <c r="ME143" i="1"/>
  <c r="MD143" i="1"/>
  <c r="MA143" i="1"/>
  <c r="MB143" i="1"/>
  <c r="FG160" i="1"/>
  <c r="FD160" i="1"/>
  <c r="FC160" i="1"/>
  <c r="FF160" i="1"/>
  <c r="BR152" i="1"/>
  <c r="BQ152" i="1"/>
  <c r="BT152" i="1"/>
  <c r="BU152" i="1"/>
  <c r="SG169" i="1"/>
  <c r="SJ169" i="1"/>
  <c r="SH169" i="1"/>
  <c r="SK169" i="1"/>
  <c r="FG108" i="1"/>
  <c r="FD108" i="1"/>
  <c r="FC108" i="1"/>
  <c r="FF108" i="1"/>
  <c r="KT167" i="1"/>
  <c r="KR167" i="1"/>
  <c r="KQ167" i="1"/>
  <c r="KU167" i="1"/>
  <c r="KB117" i="1"/>
  <c r="JZ117" i="1"/>
  <c r="JY117" i="1"/>
  <c r="KC117" i="1"/>
  <c r="VE151" i="1"/>
  <c r="VB151" i="1"/>
  <c r="VA151" i="1"/>
  <c r="VD151" i="1"/>
  <c r="LJ167" i="1"/>
  <c r="LL167" i="1"/>
  <c r="LM167" i="1"/>
  <c r="LI167" i="1"/>
  <c r="R109" i="1"/>
  <c r="O109" i="1"/>
  <c r="S109" i="1"/>
  <c r="P109" i="1"/>
  <c r="TU118" i="1"/>
  <c r="TQ118" i="1"/>
  <c r="TR118" i="1"/>
  <c r="TT118" i="1"/>
  <c r="CM151" i="1"/>
  <c r="CL151" i="1"/>
  <c r="CI151" i="1"/>
  <c r="CJ151" i="1"/>
  <c r="QF170" i="1"/>
  <c r="QE170" i="1"/>
  <c r="QH170" i="1"/>
  <c r="QI170" i="1"/>
  <c r="AG110" i="1"/>
  <c r="AH110" i="1"/>
  <c r="AJ110" i="1"/>
  <c r="AK110" i="1"/>
  <c r="P152" i="1"/>
  <c r="O152" i="1"/>
  <c r="R152" i="1"/>
  <c r="S152" i="1"/>
  <c r="HZ158" i="1"/>
  <c r="HX158" i="1"/>
  <c r="HW158" i="1"/>
  <c r="IA158" i="1"/>
  <c r="VD119" i="1"/>
  <c r="VA119" i="1"/>
  <c r="VE119" i="1"/>
  <c r="VB119" i="1"/>
  <c r="AY159" i="1"/>
  <c r="BC159" i="1"/>
  <c r="AZ159" i="1"/>
  <c r="BB159" i="1"/>
  <c r="CL110" i="1"/>
  <c r="CM110" i="1"/>
  <c r="CJ110" i="1"/>
  <c r="CI110" i="1"/>
  <c r="OF119" i="1"/>
  <c r="OG119" i="1"/>
  <c r="OD119" i="1"/>
  <c r="OC119" i="1"/>
  <c r="DE143" i="1"/>
  <c r="DD143" i="1"/>
  <c r="DB143" i="1"/>
  <c r="DA143" i="1"/>
  <c r="FY149" i="1"/>
  <c r="FU149" i="1"/>
  <c r="FV149" i="1"/>
  <c r="FX149" i="1"/>
  <c r="NN143" i="1"/>
  <c r="NK143" i="1"/>
  <c r="NO143" i="1"/>
  <c r="NL143" i="1"/>
  <c r="KQ152" i="1"/>
  <c r="KU152" i="1"/>
  <c r="KR152" i="1"/>
  <c r="KT152" i="1"/>
  <c r="GN149" i="1"/>
  <c r="GP149" i="1"/>
  <c r="GM149" i="1"/>
  <c r="GQ149" i="1"/>
  <c r="GQ169" i="1"/>
  <c r="GM169" i="1"/>
  <c r="GN169" i="1"/>
  <c r="GP169" i="1"/>
  <c r="DB142" i="1"/>
  <c r="DA142" i="1"/>
  <c r="DE142" i="1"/>
  <c r="DD142" i="1"/>
  <c r="MT110" i="1"/>
  <c r="MW110" i="1"/>
  <c r="MS110" i="1"/>
  <c r="MV110" i="1"/>
  <c r="MW169" i="1"/>
  <c r="MT169" i="1"/>
  <c r="MV169" i="1"/>
  <c r="MS169" i="1"/>
  <c r="LI135" i="1"/>
  <c r="LJ135" i="1"/>
  <c r="LM135" i="1"/>
  <c r="LL135" i="1"/>
  <c r="IS137" i="1"/>
  <c r="IR137" i="1"/>
  <c r="IP137" i="1"/>
  <c r="IO137" i="1"/>
  <c r="GM143" i="1"/>
  <c r="GP143" i="1"/>
  <c r="GN143" i="1"/>
  <c r="GQ143" i="1"/>
  <c r="HZ140" i="1"/>
  <c r="IA140" i="1"/>
  <c r="HX140" i="1"/>
  <c r="HW140" i="1"/>
  <c r="JY160" i="1"/>
  <c r="JZ160" i="1"/>
  <c r="KB160" i="1"/>
  <c r="KC160" i="1"/>
  <c r="MT117" i="1"/>
  <c r="MS117" i="1"/>
  <c r="MV117" i="1"/>
  <c r="MW117" i="1"/>
  <c r="HZ110" i="1"/>
  <c r="HW110" i="1"/>
  <c r="HX110" i="1"/>
  <c r="IA110" i="1"/>
  <c r="RR108" i="1"/>
  <c r="RO108" i="1"/>
  <c r="RP108" i="1"/>
  <c r="RS108" i="1"/>
  <c r="OD152" i="1"/>
  <c r="OG152" i="1"/>
  <c r="OF152" i="1"/>
  <c r="OC152" i="1"/>
  <c r="FU109" i="1"/>
  <c r="FV109" i="1"/>
  <c r="FY109" i="1"/>
  <c r="FX109" i="1"/>
  <c r="PP143" i="1"/>
  <c r="PQ143" i="1"/>
  <c r="PM143" i="1"/>
  <c r="PN143" i="1"/>
  <c r="VA150" i="1"/>
  <c r="VD150" i="1"/>
  <c r="VE150" i="1"/>
  <c r="VB150" i="1"/>
  <c r="KU140" i="1"/>
  <c r="KQ140" i="1"/>
  <c r="KT140" i="1"/>
  <c r="KR140" i="1"/>
  <c r="EO118" i="1"/>
  <c r="EN118" i="1"/>
  <c r="EL118" i="1"/>
  <c r="EK118" i="1"/>
  <c r="AH136" i="1"/>
  <c r="AJ136" i="1"/>
  <c r="AG136" i="1"/>
  <c r="AK136" i="1"/>
  <c r="TU160" i="1"/>
  <c r="TT160" i="1"/>
  <c r="TR160" i="1"/>
  <c r="TQ160" i="1"/>
  <c r="EL141" i="1"/>
  <c r="EN141" i="1"/>
  <c r="EO141" i="1"/>
  <c r="EK141" i="1"/>
  <c r="OY169" i="1"/>
  <c r="OV169" i="1"/>
  <c r="OU169" i="1"/>
  <c r="OX169" i="1"/>
  <c r="DT128" i="1"/>
  <c r="DV128" i="1"/>
  <c r="DS128" i="1"/>
  <c r="DW128" i="1"/>
  <c r="IR161" i="1"/>
  <c r="IS161" i="1"/>
  <c r="IO161" i="1"/>
  <c r="IP161" i="1"/>
  <c r="IA143" i="1"/>
  <c r="HZ143" i="1"/>
  <c r="HW143" i="1"/>
  <c r="HX143" i="1"/>
  <c r="OU161" i="1"/>
  <c r="OV161" i="1"/>
  <c r="OY161" i="1"/>
  <c r="OX161" i="1"/>
  <c r="IP168" i="1"/>
  <c r="IS168" i="1"/>
  <c r="IR168" i="1"/>
  <c r="IO168" i="1"/>
  <c r="PM135" i="1"/>
  <c r="PN135" i="1"/>
  <c r="PQ135" i="1"/>
  <c r="PP135" i="1"/>
  <c r="PQ138" i="1"/>
  <c r="PP138" i="1"/>
  <c r="PM138" i="1"/>
  <c r="PN138" i="1"/>
  <c r="TU110" i="1"/>
  <c r="TR110" i="1"/>
  <c r="TT110" i="1"/>
  <c r="TQ110" i="1"/>
  <c r="DD141" i="1"/>
  <c r="DA141" i="1"/>
  <c r="DE141" i="1"/>
  <c r="DB141" i="1"/>
  <c r="JJ135" i="1"/>
  <c r="JK135" i="1"/>
  <c r="JG135" i="1"/>
  <c r="JH135" i="1"/>
  <c r="KC111" i="1"/>
  <c r="JZ111" i="1"/>
  <c r="JY111" i="1"/>
  <c r="KB111" i="1"/>
  <c r="FG161" i="1"/>
  <c r="FF161" i="1"/>
  <c r="FD161" i="1"/>
  <c r="FC161" i="1"/>
  <c r="MD142" i="1"/>
  <c r="MB142" i="1"/>
  <c r="MA142" i="1"/>
  <c r="ME142" i="1"/>
  <c r="IP151" i="1"/>
  <c r="IR151" i="1"/>
  <c r="IO151" i="1"/>
  <c r="IS151" i="1"/>
  <c r="MD138" i="1"/>
  <c r="ME138" i="1"/>
  <c r="MB138" i="1"/>
  <c r="MA138" i="1"/>
  <c r="MW170" i="1"/>
  <c r="MV170" i="1"/>
  <c r="MS170" i="1"/>
  <c r="MT170" i="1"/>
  <c r="FC159" i="1"/>
  <c r="FD159" i="1"/>
  <c r="FG159" i="1"/>
  <c r="FF159" i="1"/>
  <c r="AZ129" i="1"/>
  <c r="BC129" i="1"/>
  <c r="AY129" i="1"/>
  <c r="BB129" i="1"/>
  <c r="FD158" i="1"/>
  <c r="FF158" i="1"/>
  <c r="FG158" i="1"/>
  <c r="FC158" i="1"/>
  <c r="JZ167" i="1"/>
  <c r="KB167" i="1"/>
  <c r="KC167" i="1"/>
  <c r="JY167" i="1"/>
  <c r="QH158" i="1"/>
  <c r="QF158" i="1"/>
  <c r="QI158" i="1"/>
  <c r="QE158" i="1"/>
  <c r="LJ120" i="1"/>
  <c r="LI120" i="1"/>
  <c r="LM120" i="1"/>
  <c r="LL120" i="1"/>
  <c r="HH161" i="1"/>
  <c r="HF161" i="1"/>
  <c r="HE161" i="1"/>
  <c r="HI161" i="1"/>
  <c r="CI152" i="1"/>
  <c r="CM152" i="1"/>
  <c r="CL152" i="1"/>
  <c r="CJ152" i="1"/>
  <c r="QF167" i="1"/>
  <c r="QH167" i="1"/>
  <c r="QE167" i="1"/>
  <c r="QI167" i="1"/>
  <c r="KU143" i="1"/>
  <c r="KR143" i="1"/>
  <c r="KT143" i="1"/>
  <c r="KQ143" i="1"/>
  <c r="AZ120" i="1"/>
  <c r="BC120" i="1"/>
  <c r="BB120" i="1"/>
  <c r="AY120" i="1"/>
  <c r="QI120" i="1"/>
  <c r="QF120" i="1"/>
  <c r="QH120" i="1"/>
  <c r="QE120" i="1"/>
  <c r="O120" i="1"/>
  <c r="S120" i="1"/>
  <c r="P120" i="1"/>
  <c r="R120" i="1"/>
  <c r="DT139" i="1"/>
  <c r="DV139" i="1"/>
  <c r="DW139" i="1"/>
  <c r="DS139" i="1"/>
  <c r="MV149" i="1"/>
  <c r="MT149" i="1"/>
  <c r="MW149" i="1"/>
  <c r="MS149" i="1"/>
  <c r="JZ119" i="1"/>
  <c r="JY119" i="1"/>
  <c r="KB119" i="1"/>
  <c r="KC119" i="1"/>
  <c r="CI170" i="1"/>
  <c r="CJ170" i="1"/>
  <c r="CL170" i="1"/>
  <c r="CM170" i="1"/>
  <c r="KT159" i="1"/>
  <c r="KQ159" i="1"/>
  <c r="KR159" i="1"/>
  <c r="KU159" i="1"/>
  <c r="IS159" i="1"/>
  <c r="IO159" i="1"/>
  <c r="IP159" i="1"/>
  <c r="IR159" i="1"/>
  <c r="NN136" i="1"/>
  <c r="NL136" i="1"/>
  <c r="NO136" i="1"/>
  <c r="NK136" i="1"/>
  <c r="HE152" i="1"/>
  <c r="HI152" i="1"/>
  <c r="HH152" i="1"/>
  <c r="HF152" i="1"/>
  <c r="GM159" i="1"/>
  <c r="GN159" i="1"/>
  <c r="GP159" i="1"/>
  <c r="GQ159" i="1"/>
  <c r="X86" i="41"/>
  <c r="W86" i="41"/>
  <c r="Y86" i="41" s="1"/>
  <c r="R117" i="1"/>
  <c r="S117" i="1"/>
  <c r="P117" i="1"/>
  <c r="O117" i="1"/>
  <c r="FC137" i="1"/>
  <c r="FD137" i="1"/>
  <c r="FG137" i="1"/>
  <c r="FF137" i="1"/>
  <c r="TQ151" i="1"/>
  <c r="TU151" i="1"/>
  <c r="TR151" i="1"/>
  <c r="TT151" i="1"/>
  <c r="W75" i="41"/>
  <c r="Y75" i="41" s="1"/>
  <c r="X75" i="41"/>
  <c r="BR158" i="1"/>
  <c r="BT158" i="1"/>
  <c r="BU158" i="1"/>
  <c r="BQ158" i="1"/>
  <c r="X72" i="28"/>
  <c r="W72" i="28"/>
  <c r="PK107" i="1"/>
  <c r="PL107" i="1"/>
  <c r="PO107" i="1" s="1"/>
  <c r="CG157" i="1"/>
  <c r="CH157" i="1"/>
  <c r="CK157" i="1" s="1"/>
  <c r="W103" i="41"/>
  <c r="Y103" i="41" s="1"/>
  <c r="X103" i="41"/>
  <c r="W88" i="41"/>
  <c r="Y88" i="41" s="1"/>
  <c r="X88" i="41"/>
  <c r="W70" i="41"/>
  <c r="Y70" i="41" s="1"/>
  <c r="X70" i="41"/>
  <c r="X96" i="41"/>
  <c r="W96" i="41"/>
  <c r="Y96" i="41" s="1"/>
  <c r="W116" i="41"/>
  <c r="Y116" i="41" s="1"/>
  <c r="X116" i="41"/>
  <c r="W121" i="41"/>
  <c r="Y121" i="41" s="1"/>
  <c r="X121" i="41"/>
  <c r="W90" i="41"/>
  <c r="Y90" i="41" s="1"/>
  <c r="X90" i="41"/>
  <c r="W89" i="41"/>
  <c r="Y89" i="41" s="1"/>
  <c r="X89" i="41"/>
  <c r="W84" i="41"/>
  <c r="Y84" i="41" s="1"/>
  <c r="X84" i="41"/>
  <c r="W70" i="28"/>
  <c r="X70" i="28"/>
  <c r="W74" i="28"/>
  <c r="X74" i="28"/>
  <c r="FX152" i="1"/>
  <c r="FU152" i="1"/>
  <c r="FV152" i="1"/>
  <c r="FY152" i="1"/>
  <c r="FU158" i="1"/>
  <c r="FY158" i="1"/>
  <c r="FV158" i="1"/>
  <c r="FX158" i="1"/>
  <c r="EO152" i="1"/>
  <c r="EL152" i="1"/>
  <c r="EN152" i="1"/>
  <c r="EK152" i="1"/>
  <c r="KB129" i="1"/>
  <c r="KC129" i="1"/>
  <c r="JZ129" i="1"/>
  <c r="JY129" i="1"/>
  <c r="KB110" i="1"/>
  <c r="JY110" i="1"/>
  <c r="JZ110" i="1"/>
  <c r="KC110" i="1"/>
  <c r="MW109" i="1"/>
  <c r="MT109" i="1"/>
  <c r="MS109" i="1"/>
  <c r="MV109" i="1"/>
  <c r="SZ111" i="1"/>
  <c r="SY111" i="1"/>
  <c r="TC111" i="1"/>
  <c r="TB111" i="1"/>
  <c r="W89" i="28"/>
  <c r="X89" i="28"/>
  <c r="W90" i="28"/>
  <c r="X90" i="28"/>
  <c r="U70" i="39"/>
  <c r="U71" i="39"/>
  <c r="V69" i="39"/>
  <c r="X82" i="39"/>
  <c r="W82" i="39"/>
  <c r="W78" i="39"/>
  <c r="X78" i="39"/>
  <c r="U79" i="41"/>
  <c r="U92" i="28"/>
  <c r="AA87" i="41"/>
  <c r="AC87" i="41"/>
  <c r="AB87" i="41"/>
  <c r="Z87" i="41"/>
  <c r="FA112" i="1"/>
  <c r="FA113" i="1"/>
  <c r="OA171" i="1"/>
  <c r="OA172" i="1"/>
  <c r="FA153" i="1"/>
  <c r="FA154" i="1"/>
  <c r="KO130" i="1"/>
  <c r="KO131" i="1"/>
  <c r="JF112" i="1"/>
  <c r="JF113" i="1"/>
  <c r="JK107" i="1"/>
  <c r="JG107" i="1"/>
  <c r="JH107" i="1"/>
  <c r="JJ107" i="1"/>
  <c r="JX144" i="1"/>
  <c r="JX145" i="1"/>
  <c r="KC134" i="1"/>
  <c r="JZ134" i="1"/>
  <c r="JY134" i="1"/>
  <c r="KB134" i="1"/>
  <c r="QU153" i="1"/>
  <c r="QU154" i="1"/>
  <c r="RM171" i="1"/>
  <c r="RM172" i="1"/>
  <c r="FA171" i="1"/>
  <c r="FA172" i="1"/>
  <c r="LY130" i="1"/>
  <c r="LY131" i="1"/>
  <c r="AY166" i="1"/>
  <c r="BB166" i="1"/>
  <c r="AX172" i="1"/>
  <c r="BC166" i="1"/>
  <c r="AX171" i="1"/>
  <c r="AZ166" i="1"/>
  <c r="IN112" i="1"/>
  <c r="IS107" i="1"/>
  <c r="IP107" i="1"/>
  <c r="IR107" i="1"/>
  <c r="IO107" i="1"/>
  <c r="IN113" i="1"/>
  <c r="CG113" i="1"/>
  <c r="P148" i="1"/>
  <c r="R148" i="1"/>
  <c r="S148" i="1"/>
  <c r="O148" i="1"/>
  <c r="GK162" i="1"/>
  <c r="GK163" i="1"/>
  <c r="JF144" i="1"/>
  <c r="JF145" i="1"/>
  <c r="JJ134" i="1"/>
  <c r="JG134" i="1"/>
  <c r="JK134" i="1"/>
  <c r="JH134" i="1"/>
  <c r="RN112" i="1"/>
  <c r="RN113" i="1"/>
  <c r="RO107" i="1"/>
  <c r="RR107" i="1"/>
  <c r="RS107" i="1"/>
  <c r="RP107" i="1"/>
  <c r="SF171" i="1"/>
  <c r="SF172" i="1"/>
  <c r="SG166" i="1"/>
  <c r="SK166" i="1"/>
  <c r="SJ166" i="1"/>
  <c r="SH166" i="1"/>
  <c r="SE134" i="1"/>
  <c r="SF134" i="1"/>
  <c r="SI134" i="1" s="1"/>
  <c r="FD134" i="1"/>
  <c r="FC134" i="1"/>
  <c r="FF134" i="1"/>
  <c r="FG134" i="1"/>
  <c r="MS116" i="1"/>
  <c r="MW116" i="1"/>
  <c r="MR121" i="1"/>
  <c r="MT116" i="1"/>
  <c r="MV116" i="1"/>
  <c r="MR122" i="1"/>
  <c r="AE116" i="1"/>
  <c r="AF116" i="1"/>
  <c r="AI116" i="1" s="1"/>
  <c r="SW131" i="1"/>
  <c r="SW130" i="1"/>
  <c r="QC122" i="1"/>
  <c r="QC121" i="1"/>
  <c r="HH134" i="1"/>
  <c r="HD145" i="1"/>
  <c r="HI134" i="1"/>
  <c r="HE134" i="1"/>
  <c r="HF134" i="1"/>
  <c r="HD144" i="1"/>
  <c r="FS144" i="1"/>
  <c r="FS145" i="1"/>
  <c r="U91" i="41"/>
  <c r="V79" i="41"/>
  <c r="U118" i="27"/>
  <c r="U119" i="27"/>
  <c r="V108" i="27"/>
  <c r="U92" i="27"/>
  <c r="U93" i="27"/>
  <c r="V82" i="27"/>
  <c r="W102" i="27"/>
  <c r="X102" i="27"/>
  <c r="W126" i="27"/>
  <c r="X126" i="27"/>
  <c r="W123" i="27"/>
  <c r="X123" i="27"/>
  <c r="W114" i="27"/>
  <c r="X114" i="27"/>
  <c r="X129" i="27"/>
  <c r="W129" i="27"/>
  <c r="W71" i="27"/>
  <c r="X71" i="27"/>
  <c r="W104" i="27"/>
  <c r="X104" i="27"/>
  <c r="W103" i="27"/>
  <c r="X103" i="27"/>
  <c r="W115" i="27"/>
  <c r="X115" i="27"/>
  <c r="W91" i="27"/>
  <c r="X91" i="27"/>
  <c r="MQ153" i="1"/>
  <c r="MQ154" i="1"/>
  <c r="LG112" i="1"/>
  <c r="LG113" i="1"/>
  <c r="KO153" i="1"/>
  <c r="KO154" i="1"/>
  <c r="HU166" i="1"/>
  <c r="HV166" i="1"/>
  <c r="HY166" i="1" s="1"/>
  <c r="UZ121" i="1"/>
  <c r="VA116" i="1"/>
  <c r="VB116" i="1"/>
  <c r="UZ122" i="1"/>
  <c r="VE116" i="1"/>
  <c r="VD116" i="1"/>
  <c r="EI125" i="1"/>
  <c r="EJ125" i="1"/>
  <c r="EM125" i="1" s="1"/>
  <c r="U130" i="41"/>
  <c r="FS162" i="1"/>
  <c r="FS163" i="1"/>
  <c r="GL144" i="1"/>
  <c r="GN134" i="1"/>
  <c r="GM134" i="1"/>
  <c r="GQ134" i="1"/>
  <c r="GL145" i="1"/>
  <c r="GP134" i="1"/>
  <c r="TP162" i="1"/>
  <c r="TP163" i="1"/>
  <c r="TR157" i="1"/>
  <c r="TU157" i="1"/>
  <c r="TQ157" i="1"/>
  <c r="TT157" i="1"/>
  <c r="CM125" i="1"/>
  <c r="CL125" i="1"/>
  <c r="CJ125" i="1"/>
  <c r="CI125" i="1"/>
  <c r="HV148" i="1"/>
  <c r="HY148" i="1" s="1"/>
  <c r="HU148" i="1"/>
  <c r="TO107" i="1"/>
  <c r="TP107" i="1"/>
  <c r="TS107" i="1" s="1"/>
  <c r="HD166" i="1"/>
  <c r="HG166" i="1" s="1"/>
  <c r="HC166" i="1"/>
  <c r="RM125" i="1"/>
  <c r="RN125" i="1"/>
  <c r="RQ125" i="1" s="1"/>
  <c r="PL172" i="1"/>
  <c r="PL171" i="1"/>
  <c r="PQ166" i="1"/>
  <c r="PP166" i="1"/>
  <c r="PM166" i="1"/>
  <c r="PN166" i="1"/>
  <c r="DE125" i="1"/>
  <c r="DA125" i="1"/>
  <c r="DD125" i="1"/>
  <c r="DB125" i="1"/>
  <c r="QD148" i="1"/>
  <c r="QG148" i="1" s="1"/>
  <c r="QC148" i="1"/>
  <c r="MQ163" i="1"/>
  <c r="MQ162" i="1"/>
  <c r="JX171" i="1"/>
  <c r="JZ166" i="1"/>
  <c r="JX172" i="1"/>
  <c r="JY166" i="1"/>
  <c r="KB166" i="1"/>
  <c r="KC166" i="1"/>
  <c r="DQ121" i="1"/>
  <c r="DQ122" i="1"/>
  <c r="FB162" i="1"/>
  <c r="FB163" i="1"/>
  <c r="FC157" i="1"/>
  <c r="FG157" i="1"/>
  <c r="FD157" i="1"/>
  <c r="FF157" i="1"/>
  <c r="UG166" i="1"/>
  <c r="UH166" i="1"/>
  <c r="UK166" i="1" s="1"/>
  <c r="QV144" i="1"/>
  <c r="QX134" i="1"/>
  <c r="QZ134" i="1"/>
  <c r="QV145" i="1"/>
  <c r="RA134" i="1"/>
  <c r="QW134" i="1"/>
  <c r="AX112" i="1"/>
  <c r="AX113" i="1"/>
  <c r="AZ107" i="1"/>
  <c r="BB107" i="1"/>
  <c r="AY107" i="1"/>
  <c r="BC107" i="1"/>
  <c r="OT171" i="1"/>
  <c r="OY166" i="1"/>
  <c r="OV166" i="1"/>
  <c r="OX166" i="1"/>
  <c r="OT172" i="1"/>
  <c r="OU166" i="1"/>
  <c r="UH144" i="1"/>
  <c r="UL134" i="1"/>
  <c r="UJ134" i="1"/>
  <c r="UM134" i="1"/>
  <c r="UI134" i="1"/>
  <c r="UH145" i="1"/>
  <c r="OT112" i="1"/>
  <c r="OX107" i="1"/>
  <c r="OT113" i="1"/>
  <c r="OU107" i="1"/>
  <c r="OV107" i="1"/>
  <c r="OY107" i="1"/>
  <c r="AX145" i="1"/>
  <c r="AX144" i="1"/>
  <c r="AZ134" i="1"/>
  <c r="BC134" i="1"/>
  <c r="AY134" i="1"/>
  <c r="BB134" i="1"/>
  <c r="FT172" i="1"/>
  <c r="FX166" i="1"/>
  <c r="FY166" i="1"/>
  <c r="FT171" i="1"/>
  <c r="FV166" i="1"/>
  <c r="FU166" i="1"/>
  <c r="IM162" i="1"/>
  <c r="IM163" i="1"/>
  <c r="EI121" i="1"/>
  <c r="EI122" i="1"/>
  <c r="JE148" i="1"/>
  <c r="JF148" i="1"/>
  <c r="JI148" i="1" s="1"/>
  <c r="QD144" i="1"/>
  <c r="QD145" i="1"/>
  <c r="QH134" i="1"/>
  <c r="QF134" i="1"/>
  <c r="QE134" i="1"/>
  <c r="QI134" i="1"/>
  <c r="HU162" i="1"/>
  <c r="HU163" i="1"/>
  <c r="QU171" i="1"/>
  <c r="QU172" i="1"/>
  <c r="UY134" i="1"/>
  <c r="UY144" i="1" s="1"/>
  <c r="UZ134" i="1"/>
  <c r="FS121" i="1"/>
  <c r="FS122" i="1"/>
  <c r="IN171" i="1"/>
  <c r="IP166" i="1"/>
  <c r="IO166" i="1"/>
  <c r="IS166" i="1"/>
  <c r="IN172" i="1"/>
  <c r="IR166" i="1"/>
  <c r="QV130" i="1"/>
  <c r="QV131" i="1"/>
  <c r="QX125" i="1"/>
  <c r="RA125" i="1"/>
  <c r="QZ125" i="1"/>
  <c r="QW125" i="1"/>
  <c r="UG107" i="1"/>
  <c r="UH107" i="1"/>
  <c r="UK107" i="1" s="1"/>
  <c r="CZ162" i="1"/>
  <c r="DA157" i="1"/>
  <c r="CZ163" i="1"/>
  <c r="DE157" i="1"/>
  <c r="DB157" i="1"/>
  <c r="DD157" i="1"/>
  <c r="LY107" i="1"/>
  <c r="LZ107" i="1"/>
  <c r="MC107" i="1" s="1"/>
  <c r="PK162" i="1"/>
  <c r="PK163" i="1"/>
  <c r="AE172" i="1"/>
  <c r="AE171" i="1"/>
  <c r="M162" i="1"/>
  <c r="M163" i="1"/>
  <c r="DR144" i="1"/>
  <c r="DS134" i="1"/>
  <c r="DR145" i="1"/>
  <c r="DV134" i="1"/>
  <c r="DT134" i="1"/>
  <c r="DW134" i="1"/>
  <c r="FA121" i="1"/>
  <c r="FA122" i="1"/>
  <c r="UG162" i="1"/>
  <c r="UG163" i="1"/>
  <c r="HU112" i="1"/>
  <c r="HU113" i="1"/>
  <c r="JX121" i="1"/>
  <c r="KC116" i="1"/>
  <c r="KB116" i="1"/>
  <c r="JY116" i="1"/>
  <c r="JZ116" i="1"/>
  <c r="JX122" i="1"/>
  <c r="V131" i="41"/>
  <c r="KQ142" i="1"/>
  <c r="KU142" i="1"/>
  <c r="KT142" i="1"/>
  <c r="KR142" i="1"/>
  <c r="UJ109" i="1"/>
  <c r="UM109" i="1"/>
  <c r="UI109" i="1"/>
  <c r="UL109" i="1"/>
  <c r="NO141" i="1"/>
  <c r="NK141" i="1"/>
  <c r="NL141" i="1"/>
  <c r="NN141" i="1"/>
  <c r="DS141" i="1"/>
  <c r="DT141" i="1"/>
  <c r="DV141" i="1"/>
  <c r="DW141" i="1"/>
  <c r="AJ141" i="1"/>
  <c r="AH141" i="1"/>
  <c r="AK141" i="1"/>
  <c r="AG141" i="1"/>
  <c r="KU139" i="1"/>
  <c r="KT139" i="1"/>
  <c r="KQ139" i="1"/>
  <c r="KR139" i="1"/>
  <c r="VE143" i="1"/>
  <c r="VD143" i="1"/>
  <c r="VB143" i="1"/>
  <c r="VA143" i="1"/>
  <c r="OY168" i="1"/>
  <c r="OX168" i="1"/>
  <c r="OV168" i="1"/>
  <c r="OU168" i="1"/>
  <c r="IS149" i="1"/>
  <c r="IP149" i="1"/>
  <c r="IO149" i="1"/>
  <c r="IR149" i="1"/>
  <c r="AZ118" i="1"/>
  <c r="BB118" i="1"/>
  <c r="BC118" i="1"/>
  <c r="AY118" i="1"/>
  <c r="OX120" i="1"/>
  <c r="OU120" i="1"/>
  <c r="OV120" i="1"/>
  <c r="OY120" i="1"/>
  <c r="BR138" i="1"/>
  <c r="BT138" i="1"/>
  <c r="BU138" i="1"/>
  <c r="BQ138" i="1"/>
  <c r="OV117" i="1"/>
  <c r="OY117" i="1"/>
  <c r="OX117" i="1"/>
  <c r="OU117" i="1"/>
  <c r="VB160" i="1"/>
  <c r="VD160" i="1"/>
  <c r="VA160" i="1"/>
  <c r="VE160" i="1"/>
  <c r="PM120" i="1"/>
  <c r="PQ120" i="1"/>
  <c r="PP120" i="1"/>
  <c r="PN120" i="1"/>
  <c r="QE118" i="1"/>
  <c r="QH118" i="1"/>
  <c r="QI118" i="1"/>
  <c r="QF118" i="1"/>
  <c r="QW110" i="1"/>
  <c r="RA110" i="1"/>
  <c r="QX110" i="1"/>
  <c r="QZ110" i="1"/>
  <c r="RA151" i="1"/>
  <c r="QW151" i="1"/>
  <c r="QX151" i="1"/>
  <c r="QZ151" i="1"/>
  <c r="SZ167" i="1"/>
  <c r="TC167" i="1"/>
  <c r="TB167" i="1"/>
  <c r="SY167" i="1"/>
  <c r="LL152" i="1"/>
  <c r="LJ152" i="1"/>
  <c r="LI152" i="1"/>
  <c r="LM152" i="1"/>
  <c r="LI170" i="1"/>
  <c r="LL170" i="1"/>
  <c r="LJ170" i="1"/>
  <c r="LM170" i="1"/>
  <c r="IS127" i="1"/>
  <c r="IO127" i="1"/>
  <c r="IP127" i="1"/>
  <c r="IR127" i="1"/>
  <c r="CI169" i="1"/>
  <c r="CL169" i="1"/>
  <c r="CM169" i="1"/>
  <c r="CJ169" i="1"/>
  <c r="MD159" i="1"/>
  <c r="MA159" i="1"/>
  <c r="ME159" i="1"/>
  <c r="MB159" i="1"/>
  <c r="DW140" i="1"/>
  <c r="DV140" i="1"/>
  <c r="DS140" i="1"/>
  <c r="DT140" i="1"/>
  <c r="QW159" i="1"/>
  <c r="QX159" i="1"/>
  <c r="RA159" i="1"/>
  <c r="QZ159" i="1"/>
  <c r="FD135" i="1"/>
  <c r="FC135" i="1"/>
  <c r="FG135" i="1"/>
  <c r="FF135" i="1"/>
  <c r="QZ149" i="1"/>
  <c r="RA149" i="1"/>
  <c r="QW149" i="1"/>
  <c r="QX149" i="1"/>
  <c r="EN109" i="1"/>
  <c r="EL109" i="1"/>
  <c r="EK109" i="1"/>
  <c r="EO109" i="1"/>
  <c r="TT128" i="1"/>
  <c r="TR128" i="1"/>
  <c r="TQ128" i="1"/>
  <c r="TU128" i="1"/>
  <c r="IP136" i="1"/>
  <c r="IR136" i="1"/>
  <c r="IO136" i="1"/>
  <c r="IS136" i="1"/>
  <c r="JY150" i="1"/>
  <c r="KB150" i="1"/>
  <c r="JZ150" i="1"/>
  <c r="KC150" i="1"/>
  <c r="EN149" i="1"/>
  <c r="EK149" i="1"/>
  <c r="EL149" i="1"/>
  <c r="EO149" i="1"/>
  <c r="BU110" i="1"/>
  <c r="BT110" i="1"/>
  <c r="BQ110" i="1"/>
  <c r="BR110" i="1"/>
  <c r="SZ127" i="1"/>
  <c r="SY127" i="1"/>
  <c r="TB127" i="1"/>
  <c r="TC127" i="1"/>
  <c r="TQ142" i="1"/>
  <c r="TR142" i="1"/>
  <c r="TT142" i="1"/>
  <c r="TU142" i="1"/>
  <c r="OF143" i="1"/>
  <c r="OD143" i="1"/>
  <c r="OG143" i="1"/>
  <c r="OC143" i="1"/>
  <c r="MB152" i="1"/>
  <c r="ME152" i="1"/>
  <c r="MA152" i="1"/>
  <c r="MD152" i="1"/>
  <c r="JH127" i="1"/>
  <c r="JJ127" i="1"/>
  <c r="JK127" i="1"/>
  <c r="JG127" i="1"/>
  <c r="BB161" i="1"/>
  <c r="AY161" i="1"/>
  <c r="AZ161" i="1"/>
  <c r="BC161" i="1"/>
  <c r="BQ149" i="1"/>
  <c r="BR149" i="1"/>
  <c r="BT149" i="1"/>
  <c r="BU149" i="1"/>
  <c r="R151" i="1"/>
  <c r="S151" i="1"/>
  <c r="P151" i="1"/>
  <c r="O151" i="1"/>
  <c r="HX111" i="1"/>
  <c r="HZ111" i="1"/>
  <c r="IA111" i="1"/>
  <c r="HW111" i="1"/>
  <c r="OD128" i="1"/>
  <c r="OF128" i="1"/>
  <c r="OC128" i="1"/>
  <c r="OG128" i="1"/>
  <c r="AZ110" i="1"/>
  <c r="BB110" i="1"/>
  <c r="BC110" i="1"/>
  <c r="AY110" i="1"/>
  <c r="PM160" i="1"/>
  <c r="PP160" i="1"/>
  <c r="PQ160" i="1"/>
  <c r="PN160" i="1"/>
  <c r="ME119" i="1"/>
  <c r="MD119" i="1"/>
  <c r="MA119" i="1"/>
  <c r="MB119" i="1"/>
  <c r="DV159" i="1"/>
  <c r="DS159" i="1"/>
  <c r="DW159" i="1"/>
  <c r="DT159" i="1"/>
  <c r="QW118" i="1"/>
  <c r="QX118" i="1"/>
  <c r="QZ118" i="1"/>
  <c r="RA118" i="1"/>
  <c r="JY158" i="1"/>
  <c r="JZ158" i="1"/>
  <c r="KC158" i="1"/>
  <c r="KB158" i="1"/>
  <c r="PM127" i="1"/>
  <c r="PQ127" i="1"/>
  <c r="PP127" i="1"/>
  <c r="PN127" i="1"/>
  <c r="HZ167" i="1"/>
  <c r="IA167" i="1"/>
  <c r="HX167" i="1"/>
  <c r="HW167" i="1"/>
  <c r="HE126" i="1"/>
  <c r="HH126" i="1"/>
  <c r="HI126" i="1"/>
  <c r="HF126" i="1"/>
  <c r="GP111" i="1"/>
  <c r="GN111" i="1"/>
  <c r="GM111" i="1"/>
  <c r="GQ111" i="1"/>
  <c r="LM143" i="1"/>
  <c r="LJ143" i="1"/>
  <c r="LI143" i="1"/>
  <c r="LL143" i="1"/>
  <c r="BB167" i="1"/>
  <c r="BC167" i="1"/>
  <c r="AY167" i="1"/>
  <c r="AZ167" i="1"/>
  <c r="AK129" i="1"/>
  <c r="AJ129" i="1"/>
  <c r="AH129" i="1"/>
  <c r="AG129" i="1"/>
  <c r="FD149" i="1"/>
  <c r="FG149" i="1"/>
  <c r="FF149" i="1"/>
  <c r="FC149" i="1"/>
  <c r="UJ137" i="1"/>
  <c r="UI137" i="1"/>
  <c r="UL137" i="1"/>
  <c r="UM137" i="1"/>
  <c r="HX109" i="1"/>
  <c r="HZ109" i="1"/>
  <c r="IA109" i="1"/>
  <c r="HW109" i="1"/>
  <c r="SK167" i="1"/>
  <c r="SH167" i="1"/>
  <c r="SG167" i="1"/>
  <c r="SJ167" i="1"/>
  <c r="MA170" i="1"/>
  <c r="ME170" i="1"/>
  <c r="MB170" i="1"/>
  <c r="MD170" i="1"/>
  <c r="DB158" i="1"/>
  <c r="DE158" i="1"/>
  <c r="DA158" i="1"/>
  <c r="DD158" i="1"/>
  <c r="EL160" i="1"/>
  <c r="EN160" i="1"/>
  <c r="EK160" i="1"/>
  <c r="EO160" i="1"/>
  <c r="BU159" i="1"/>
  <c r="BQ159" i="1"/>
  <c r="BT159" i="1"/>
  <c r="BR159" i="1"/>
  <c r="SK141" i="1"/>
  <c r="SJ141" i="1"/>
  <c r="SH141" i="1"/>
  <c r="SG141" i="1"/>
  <c r="SG118" i="1"/>
  <c r="SJ118" i="1"/>
  <c r="SK118" i="1"/>
  <c r="SH118" i="1"/>
  <c r="EL151" i="1"/>
  <c r="EN151" i="1"/>
  <c r="EO151" i="1"/>
  <c r="EK151" i="1"/>
  <c r="OU119" i="1"/>
  <c r="OY119" i="1"/>
  <c r="OX119" i="1"/>
  <c r="OV119" i="1"/>
  <c r="RR169" i="1"/>
  <c r="RS169" i="1"/>
  <c r="RO169" i="1"/>
  <c r="RP169" i="1"/>
  <c r="HF138" i="1"/>
  <c r="HI138" i="1"/>
  <c r="HH138" i="1"/>
  <c r="HE138" i="1"/>
  <c r="X115" i="41"/>
  <c r="W115" i="41"/>
  <c r="Y115" i="41" s="1"/>
  <c r="W87" i="28"/>
  <c r="X87" i="28"/>
  <c r="W85" i="28"/>
  <c r="X85" i="28"/>
  <c r="GM128" i="1"/>
  <c r="GQ128" i="1"/>
  <c r="GN128" i="1"/>
  <c r="GP128" i="1"/>
  <c r="FV140" i="1"/>
  <c r="FY140" i="1"/>
  <c r="FX140" i="1"/>
  <c r="FU140" i="1"/>
  <c r="W124" i="41"/>
  <c r="Y124" i="41" s="1"/>
  <c r="X124" i="41"/>
  <c r="W74" i="41"/>
  <c r="Y74" i="41" s="1"/>
  <c r="X74" i="41"/>
  <c r="W76" i="41"/>
  <c r="Y76" i="41" s="1"/>
  <c r="X76" i="41"/>
  <c r="EI163" i="1"/>
  <c r="EI162" i="1"/>
  <c r="BQ169" i="1"/>
  <c r="BT169" i="1"/>
  <c r="BU169" i="1"/>
  <c r="BR169" i="1"/>
  <c r="PK134" i="1"/>
  <c r="PK144" i="1" s="1"/>
  <c r="PL134" i="1"/>
  <c r="JE121" i="1"/>
  <c r="JE122" i="1"/>
  <c r="X79" i="39"/>
  <c r="W79" i="39"/>
  <c r="LZ153" i="1"/>
  <c r="MA148" i="1"/>
  <c r="MD148" i="1"/>
  <c r="LZ154" i="1"/>
  <c r="ME148" i="1"/>
  <c r="MB148" i="1"/>
  <c r="AW162" i="1"/>
  <c r="AW163" i="1"/>
  <c r="QC130" i="1"/>
  <c r="QC131" i="1"/>
  <c r="SZ148" i="1"/>
  <c r="SY148" i="1"/>
  <c r="TB148" i="1"/>
  <c r="TC148" i="1"/>
  <c r="RN121" i="1"/>
  <c r="RN122" i="1"/>
  <c r="RO116" i="1"/>
  <c r="RP116" i="1"/>
  <c r="RS116" i="1"/>
  <c r="RR116" i="1"/>
  <c r="LH121" i="1"/>
  <c r="LH122" i="1"/>
  <c r="LJ116" i="1"/>
  <c r="LL116" i="1"/>
  <c r="LI116" i="1"/>
  <c r="LM116" i="1"/>
  <c r="RN153" i="1"/>
  <c r="RO148" i="1"/>
  <c r="RR148" i="1"/>
  <c r="RN154" i="1"/>
  <c r="RP148" i="1"/>
  <c r="RS148" i="1"/>
  <c r="U92" i="41"/>
  <c r="X88" i="27"/>
  <c r="W88" i="27"/>
  <c r="W70" i="27"/>
  <c r="X70" i="27"/>
  <c r="X74" i="27"/>
  <c r="W74" i="27"/>
  <c r="W117" i="27"/>
  <c r="X117" i="27"/>
  <c r="DQ131" i="1"/>
  <c r="DQ130" i="1"/>
  <c r="DQ153" i="1"/>
  <c r="DQ154" i="1"/>
  <c r="GL112" i="1"/>
  <c r="GL113" i="1"/>
  <c r="GM107" i="1"/>
  <c r="GP107" i="1"/>
  <c r="GQ107" i="1"/>
  <c r="GN107" i="1"/>
  <c r="EI153" i="1"/>
  <c r="EI154" i="1"/>
  <c r="UZ130" i="1"/>
  <c r="VB125" i="1"/>
  <c r="UZ131" i="1"/>
  <c r="VA125" i="1"/>
  <c r="VD125" i="1"/>
  <c r="VE125" i="1"/>
  <c r="UG121" i="1"/>
  <c r="UG122" i="1"/>
  <c r="AW145" i="1"/>
  <c r="AW144" i="1"/>
  <c r="FS171" i="1"/>
  <c r="FS172" i="1"/>
  <c r="LH130" i="1"/>
  <c r="LM125" i="1"/>
  <c r="LH131" i="1"/>
  <c r="LJ125" i="1"/>
  <c r="LI125" i="1"/>
  <c r="LL125" i="1"/>
  <c r="MR144" i="1"/>
  <c r="MV134" i="1"/>
  <c r="MW134" i="1"/>
  <c r="MR145" i="1"/>
  <c r="MS134" i="1"/>
  <c r="MT134" i="1"/>
  <c r="LG144" i="1"/>
  <c r="LG145" i="1"/>
  <c r="NI162" i="1"/>
  <c r="NI163" i="1"/>
  <c r="CY163" i="1"/>
  <c r="CY162" i="1"/>
  <c r="AX130" i="1"/>
  <c r="AX131" i="1"/>
  <c r="BB125" i="1"/>
  <c r="AZ125" i="1"/>
  <c r="AY125" i="1"/>
  <c r="BC125" i="1"/>
  <c r="PK116" i="1"/>
  <c r="PL116" i="1"/>
  <c r="PO116" i="1" s="1"/>
  <c r="V92" i="28"/>
  <c r="DQ145" i="1"/>
  <c r="DQ144" i="1"/>
  <c r="HC112" i="1"/>
  <c r="HC113" i="1"/>
  <c r="PK153" i="1"/>
  <c r="PK154" i="1"/>
  <c r="GL171" i="1"/>
  <c r="GM166" i="1"/>
  <c r="GL172" i="1"/>
  <c r="GN166" i="1"/>
  <c r="GP166" i="1"/>
  <c r="GQ166" i="1"/>
  <c r="JE125" i="1"/>
  <c r="JF125" i="1"/>
  <c r="JI125" i="1" s="1"/>
  <c r="IM148" i="1"/>
  <c r="IN148" i="1"/>
  <c r="IQ148" i="1" s="1"/>
  <c r="CY121" i="1"/>
  <c r="CY122" i="1"/>
  <c r="MS136" i="1"/>
  <c r="MV136" i="1"/>
  <c r="MT136" i="1"/>
  <c r="MW136" i="1"/>
  <c r="JH139" i="1"/>
  <c r="JK139" i="1"/>
  <c r="JG139" i="1"/>
  <c r="JJ139" i="1"/>
  <c r="DW136" i="1"/>
  <c r="DV136" i="1"/>
  <c r="DT136" i="1"/>
  <c r="DS136" i="1"/>
  <c r="MB136" i="1"/>
  <c r="ME136" i="1"/>
  <c r="MD136" i="1"/>
  <c r="MA136" i="1"/>
  <c r="QE159" i="1"/>
  <c r="QH159" i="1"/>
  <c r="QI159" i="1"/>
  <c r="QF159" i="1"/>
  <c r="OU111" i="1"/>
  <c r="OV111" i="1"/>
  <c r="OX111" i="1"/>
  <c r="OY111" i="1"/>
  <c r="OX126" i="1"/>
  <c r="OU126" i="1"/>
  <c r="OY126" i="1"/>
  <c r="OV126" i="1"/>
  <c r="SK111" i="1"/>
  <c r="SG111" i="1"/>
  <c r="SH111" i="1"/>
  <c r="SJ111" i="1"/>
  <c r="TR158" i="1"/>
  <c r="TQ158" i="1"/>
  <c r="TT158" i="1"/>
  <c r="TU158" i="1"/>
  <c r="QW168" i="1"/>
  <c r="QZ168" i="1"/>
  <c r="RA168" i="1"/>
  <c r="QX168" i="1"/>
  <c r="OC158" i="1"/>
  <c r="OG158" i="1"/>
  <c r="OD158" i="1"/>
  <c r="OF158" i="1"/>
  <c r="AZ136" i="1"/>
  <c r="BC136" i="1"/>
  <c r="BB136" i="1"/>
  <c r="AY136" i="1"/>
  <c r="GN136" i="1"/>
  <c r="GM136" i="1"/>
  <c r="GP136" i="1"/>
  <c r="GQ136" i="1"/>
  <c r="HW127" i="1"/>
  <c r="IA127" i="1"/>
  <c r="HX127" i="1"/>
  <c r="HZ127" i="1"/>
  <c r="RA138" i="1"/>
  <c r="QZ138" i="1"/>
  <c r="QW138" i="1"/>
  <c r="QX138" i="1"/>
  <c r="IP142" i="1"/>
  <c r="IO142" i="1"/>
  <c r="IS142" i="1"/>
  <c r="IR142" i="1"/>
  <c r="TT150" i="1"/>
  <c r="TQ150" i="1"/>
  <c r="TU150" i="1"/>
  <c r="TR150" i="1"/>
  <c r="RR167" i="1"/>
  <c r="RS167" i="1"/>
  <c r="RP167" i="1"/>
  <c r="RO167" i="1"/>
  <c r="BR136" i="1"/>
  <c r="BQ136" i="1"/>
  <c r="BT136" i="1"/>
  <c r="BU136" i="1"/>
  <c r="OX127" i="1"/>
  <c r="OU127" i="1"/>
  <c r="OY127" i="1"/>
  <c r="OV127" i="1"/>
  <c r="VD167" i="1"/>
  <c r="VA167" i="1"/>
  <c r="VB167" i="1"/>
  <c r="VE167" i="1"/>
  <c r="DD159" i="1"/>
  <c r="DE159" i="1"/>
  <c r="DB159" i="1"/>
  <c r="DA159" i="1"/>
  <c r="TQ161" i="1"/>
  <c r="TU161" i="1"/>
  <c r="TT161" i="1"/>
  <c r="TR161" i="1"/>
  <c r="SY143" i="1"/>
  <c r="SZ143" i="1"/>
  <c r="TB143" i="1"/>
  <c r="TC143" i="1"/>
  <c r="QX136" i="1"/>
  <c r="QW136" i="1"/>
  <c r="QZ136" i="1"/>
  <c r="RA136" i="1"/>
  <c r="UM150" i="1"/>
  <c r="UL150" i="1"/>
  <c r="UJ150" i="1"/>
  <c r="UI150" i="1"/>
  <c r="FU168" i="1"/>
  <c r="FY168" i="1"/>
  <c r="FX168" i="1"/>
  <c r="FV168" i="1"/>
  <c r="PN161" i="1"/>
  <c r="PQ161" i="1"/>
  <c r="PP161" i="1"/>
  <c r="PM161" i="1"/>
  <c r="IO141" i="1"/>
  <c r="IP141" i="1"/>
  <c r="IS141" i="1"/>
  <c r="IR141" i="1"/>
  <c r="SY119" i="1"/>
  <c r="TC119" i="1"/>
  <c r="SZ119" i="1"/>
  <c r="TB119" i="1"/>
  <c r="KB143" i="1"/>
  <c r="KC143" i="1"/>
  <c r="JZ143" i="1"/>
  <c r="JY143" i="1"/>
  <c r="NN140" i="1"/>
  <c r="NK140" i="1"/>
  <c r="NO140" i="1"/>
  <c r="NL140" i="1"/>
  <c r="SH127" i="1"/>
  <c r="SJ127" i="1"/>
  <c r="SG127" i="1"/>
  <c r="SK127" i="1"/>
  <c r="QW119" i="1"/>
  <c r="QX119" i="1"/>
  <c r="QZ119" i="1"/>
  <c r="RA119" i="1"/>
  <c r="HI170" i="1"/>
  <c r="HE170" i="1"/>
  <c r="HF170" i="1"/>
  <c r="HH170" i="1"/>
  <c r="QW120" i="1"/>
  <c r="QX120" i="1"/>
  <c r="RA120" i="1"/>
  <c r="QZ120" i="1"/>
  <c r="DW169" i="1"/>
  <c r="DV169" i="1"/>
  <c r="DT169" i="1"/>
  <c r="DS169" i="1"/>
  <c r="TB120" i="1"/>
  <c r="TC120" i="1"/>
  <c r="SY120" i="1"/>
  <c r="SZ120" i="1"/>
  <c r="PN152" i="1"/>
  <c r="PQ152" i="1"/>
  <c r="PM152" i="1"/>
  <c r="PP152" i="1"/>
  <c r="CJ140" i="1"/>
  <c r="CM140" i="1"/>
  <c r="CL140" i="1"/>
  <c r="CI140" i="1"/>
  <c r="OC108" i="1"/>
  <c r="OD108" i="1"/>
  <c r="OF108" i="1"/>
  <c r="OG108" i="1"/>
  <c r="ME168" i="1"/>
  <c r="MA168" i="1"/>
  <c r="MD168" i="1"/>
  <c r="MB168" i="1"/>
  <c r="RO120" i="1"/>
  <c r="RP120" i="1"/>
  <c r="RS120" i="1"/>
  <c r="RR120" i="1"/>
  <c r="PN111" i="1"/>
  <c r="PQ111" i="1"/>
  <c r="PM111" i="1"/>
  <c r="PP111" i="1"/>
  <c r="FC167" i="1"/>
  <c r="FD167" i="1"/>
  <c r="FF167" i="1"/>
  <c r="FG167" i="1"/>
  <c r="QH135" i="1"/>
  <c r="QF135" i="1"/>
  <c r="QE135" i="1"/>
  <c r="QI135" i="1"/>
  <c r="BQ142" i="1"/>
  <c r="BU142" i="1"/>
  <c r="BT142" i="1"/>
  <c r="BR142" i="1"/>
  <c r="TU140" i="1"/>
  <c r="TR140" i="1"/>
  <c r="TQ140" i="1"/>
  <c r="TT140" i="1"/>
  <c r="QH136" i="1"/>
  <c r="QI136" i="1"/>
  <c r="QE136" i="1"/>
  <c r="QF136" i="1"/>
  <c r="JG151" i="1"/>
  <c r="JK151" i="1"/>
  <c r="JH151" i="1"/>
  <c r="JJ151" i="1"/>
  <c r="MW160" i="1"/>
  <c r="MV160" i="1"/>
  <c r="MS160" i="1"/>
  <c r="MT160" i="1"/>
  <c r="JG137" i="1"/>
  <c r="JH137" i="1"/>
  <c r="JK137" i="1"/>
  <c r="JJ137" i="1"/>
  <c r="MB149" i="1"/>
  <c r="ME149" i="1"/>
  <c r="MD149" i="1"/>
  <c r="MA149" i="1"/>
  <c r="QH117" i="1"/>
  <c r="QF117" i="1"/>
  <c r="QE117" i="1"/>
  <c r="QI117" i="1"/>
  <c r="DW127" i="1"/>
  <c r="DT127" i="1"/>
  <c r="DS127" i="1"/>
  <c r="DV127" i="1"/>
  <c r="CL128" i="1"/>
  <c r="CJ128" i="1"/>
  <c r="CI128" i="1"/>
  <c r="CM128" i="1"/>
  <c r="KB141" i="1"/>
  <c r="JZ141" i="1"/>
  <c r="KC141" i="1"/>
  <c r="JY141" i="1"/>
  <c r="ME150" i="1"/>
  <c r="MA150" i="1"/>
  <c r="MB150" i="1"/>
  <c r="MD150" i="1"/>
  <c r="VE127" i="1"/>
  <c r="VA127" i="1"/>
  <c r="VD127" i="1"/>
  <c r="VB127" i="1"/>
  <c r="TU167" i="1"/>
  <c r="TT167" i="1"/>
  <c r="TQ167" i="1"/>
  <c r="TR167" i="1"/>
  <c r="TC149" i="1"/>
  <c r="TB149" i="1"/>
  <c r="SY149" i="1"/>
  <c r="SZ149" i="1"/>
  <c r="KC126" i="1"/>
  <c r="JZ126" i="1"/>
  <c r="KB126" i="1"/>
  <c r="JY126" i="1"/>
  <c r="OX129" i="1"/>
  <c r="OY129" i="1"/>
  <c r="OV129" i="1"/>
  <c r="OU129" i="1"/>
  <c r="QE128" i="1"/>
  <c r="QF128" i="1"/>
  <c r="QI128" i="1"/>
  <c r="QH128" i="1"/>
  <c r="JJ138" i="1"/>
  <c r="JH138" i="1"/>
  <c r="JG138" i="1"/>
  <c r="JK138" i="1"/>
  <c r="QZ169" i="1"/>
  <c r="QX169" i="1"/>
  <c r="QW169" i="1"/>
  <c r="RA169" i="1"/>
  <c r="GM118" i="1"/>
  <c r="GN118" i="1"/>
  <c r="GP118" i="1"/>
  <c r="GQ118" i="1"/>
  <c r="SZ142" i="1"/>
  <c r="TB142" i="1"/>
  <c r="SY142" i="1"/>
  <c r="TC142" i="1"/>
  <c r="DA137" i="1"/>
  <c r="DD137" i="1"/>
  <c r="DB137" i="1"/>
  <c r="DE137" i="1"/>
  <c r="O168" i="1"/>
  <c r="P168" i="1"/>
  <c r="S168" i="1"/>
  <c r="R168" i="1"/>
  <c r="R110" i="1"/>
  <c r="P110" i="1"/>
  <c r="O110" i="1"/>
  <c r="S110" i="1"/>
  <c r="PP141" i="1"/>
  <c r="PQ141" i="1"/>
  <c r="PN141" i="1"/>
  <c r="PM141" i="1"/>
  <c r="PM150" i="1"/>
  <c r="PN150" i="1"/>
  <c r="PP150" i="1"/>
  <c r="PQ150" i="1"/>
  <c r="QZ137" i="1"/>
  <c r="QW137" i="1"/>
  <c r="RA137" i="1"/>
  <c r="QX137" i="1"/>
  <c r="QF142" i="1"/>
  <c r="QI142" i="1"/>
  <c r="QE142" i="1"/>
  <c r="QH142" i="1"/>
  <c r="FG150" i="1"/>
  <c r="FC150" i="1"/>
  <c r="FF150" i="1"/>
  <c r="FD150" i="1"/>
  <c r="OC139" i="1"/>
  <c r="OG139" i="1"/>
  <c r="OD139" i="1"/>
  <c r="OF139" i="1"/>
  <c r="VB126" i="1"/>
  <c r="VD126" i="1"/>
  <c r="VE126" i="1"/>
  <c r="VA126" i="1"/>
  <c r="AK150" i="1"/>
  <c r="AH150" i="1"/>
  <c r="AG150" i="1"/>
  <c r="AJ150" i="1"/>
  <c r="P126" i="1"/>
  <c r="S126" i="1"/>
  <c r="O126" i="1"/>
  <c r="R126" i="1"/>
  <c r="RR152" i="1"/>
  <c r="RS152" i="1"/>
  <c r="RO152" i="1"/>
  <c r="RP152" i="1"/>
  <c r="AG138" i="1"/>
  <c r="AJ138" i="1"/>
  <c r="AH138" i="1"/>
  <c r="AK138" i="1"/>
  <c r="MT118" i="1"/>
  <c r="MV118" i="1"/>
  <c r="MW118" i="1"/>
  <c r="MS118" i="1"/>
  <c r="UM135" i="1"/>
  <c r="UI135" i="1"/>
  <c r="UL135" i="1"/>
  <c r="UJ135" i="1"/>
  <c r="BU109" i="1"/>
  <c r="BR109" i="1"/>
  <c r="BT109" i="1"/>
  <c r="BQ109" i="1"/>
  <c r="OC159" i="1"/>
  <c r="OF159" i="1"/>
  <c r="OG159" i="1"/>
  <c r="OD159" i="1"/>
  <c r="OD127" i="1"/>
  <c r="OC127" i="1"/>
  <c r="OG127" i="1"/>
  <c r="OF127" i="1"/>
  <c r="TU126" i="1"/>
  <c r="TT126" i="1"/>
  <c r="TQ126" i="1"/>
  <c r="TR126" i="1"/>
  <c r="PM149" i="1"/>
  <c r="PQ149" i="1"/>
  <c r="PN149" i="1"/>
  <c r="PP149" i="1"/>
  <c r="FG139" i="1"/>
  <c r="FF139" i="1"/>
  <c r="FD139" i="1"/>
  <c r="FC139" i="1"/>
  <c r="AJ149" i="1"/>
  <c r="AH149" i="1"/>
  <c r="AK149" i="1"/>
  <c r="AG149" i="1"/>
  <c r="CL129" i="1"/>
  <c r="CI129" i="1"/>
  <c r="CM129" i="1"/>
  <c r="CJ129" i="1"/>
  <c r="VA168" i="1"/>
  <c r="VE168" i="1"/>
  <c r="VD168" i="1"/>
  <c r="VB168" i="1"/>
  <c r="LI138" i="1"/>
  <c r="LM138" i="1"/>
  <c r="LL138" i="1"/>
  <c r="LJ138" i="1"/>
  <c r="AK161" i="1"/>
  <c r="AH161" i="1"/>
  <c r="AJ161" i="1"/>
  <c r="AG161" i="1"/>
  <c r="CM161" i="1"/>
  <c r="CL161" i="1"/>
  <c r="CJ161" i="1"/>
  <c r="CI161" i="1"/>
  <c r="VD161" i="1"/>
  <c r="VA161" i="1"/>
  <c r="VB161" i="1"/>
  <c r="VE161" i="1"/>
  <c r="RO111" i="1"/>
  <c r="RP111" i="1"/>
  <c r="RS111" i="1"/>
  <c r="RR111" i="1"/>
  <c r="OF110" i="1"/>
  <c r="OD110" i="1"/>
  <c r="OC110" i="1"/>
  <c r="OG110" i="1"/>
  <c r="BR135" i="1"/>
  <c r="BQ135" i="1"/>
  <c r="BT135" i="1"/>
  <c r="BU135" i="1"/>
  <c r="IA118" i="1"/>
  <c r="HW118" i="1"/>
  <c r="HZ118" i="1"/>
  <c r="HX118" i="1"/>
  <c r="HH143" i="1"/>
  <c r="HF143" i="1"/>
  <c r="HI143" i="1"/>
  <c r="HE143" i="1"/>
  <c r="QX143" i="1"/>
  <c r="RA143" i="1"/>
  <c r="QZ143" i="1"/>
  <c r="QW143" i="1"/>
  <c r="DD150" i="1"/>
  <c r="DA150" i="1"/>
  <c r="DE150" i="1"/>
  <c r="DB150" i="1"/>
  <c r="RR150" i="1"/>
  <c r="RO150" i="1"/>
  <c r="RS150" i="1"/>
  <c r="RP150" i="1"/>
  <c r="VA117" i="1"/>
  <c r="VB117" i="1"/>
  <c r="VE117" i="1"/>
  <c r="VD117" i="1"/>
  <c r="OC136" i="1"/>
  <c r="OD136" i="1"/>
  <c r="OF136" i="1"/>
  <c r="OG136" i="1"/>
  <c r="HZ142" i="1"/>
  <c r="HX142" i="1"/>
  <c r="IA142" i="1"/>
  <c r="HW142" i="1"/>
  <c r="O167" i="1"/>
  <c r="S167" i="1"/>
  <c r="P167" i="1"/>
  <c r="R167" i="1"/>
  <c r="GM151" i="1"/>
  <c r="GP151" i="1"/>
  <c r="GN151" i="1"/>
  <c r="GQ151" i="1"/>
  <c r="BQ143" i="1"/>
  <c r="BU143" i="1"/>
  <c r="BT143" i="1"/>
  <c r="BR143" i="1"/>
  <c r="FU119" i="1"/>
  <c r="FX119" i="1"/>
  <c r="FV119" i="1"/>
  <c r="FY119" i="1"/>
  <c r="NL127" i="1"/>
  <c r="NN127" i="1"/>
  <c r="NK127" i="1"/>
  <c r="NO127" i="1"/>
  <c r="OX141" i="1"/>
  <c r="OU141" i="1"/>
  <c r="OV141" i="1"/>
  <c r="OY141" i="1"/>
  <c r="TR120" i="1"/>
  <c r="TQ120" i="1"/>
  <c r="TT120" i="1"/>
  <c r="TU120" i="1"/>
  <c r="GM161" i="1"/>
  <c r="GN161" i="1"/>
  <c r="GP161" i="1"/>
  <c r="GQ161" i="1"/>
  <c r="HF120" i="1"/>
  <c r="HE120" i="1"/>
  <c r="HH120" i="1"/>
  <c r="HI120" i="1"/>
  <c r="SG120" i="1"/>
  <c r="SH120" i="1"/>
  <c r="SJ120" i="1"/>
  <c r="SK120" i="1"/>
  <c r="CI137" i="1"/>
  <c r="CM137" i="1"/>
  <c r="CL137" i="1"/>
  <c r="CJ137" i="1"/>
  <c r="AY160" i="1"/>
  <c r="AZ160" i="1"/>
  <c r="BB160" i="1"/>
  <c r="BC160" i="1"/>
  <c r="LI160" i="1"/>
  <c r="LM160" i="1"/>
  <c r="LL160" i="1"/>
  <c r="LJ160" i="1"/>
  <c r="QE119" i="1"/>
  <c r="QH119" i="1"/>
  <c r="QI119" i="1"/>
  <c r="QF119" i="1"/>
  <c r="CI160" i="1"/>
  <c r="CM160" i="1"/>
  <c r="CL160" i="1"/>
  <c r="CJ160" i="1"/>
  <c r="KQ108" i="1"/>
  <c r="KT108" i="1"/>
  <c r="KU108" i="1"/>
  <c r="KR108" i="1"/>
  <c r="CJ109" i="1"/>
  <c r="CM109" i="1"/>
  <c r="CI109" i="1"/>
  <c r="CL109" i="1"/>
  <c r="DE160" i="1"/>
  <c r="DA160" i="1"/>
  <c r="DD160" i="1"/>
  <c r="DB160" i="1"/>
  <c r="NK151" i="1"/>
  <c r="NN151" i="1"/>
  <c r="NL151" i="1"/>
  <c r="NO151" i="1"/>
  <c r="RR149" i="1"/>
  <c r="RO149" i="1"/>
  <c r="RS149" i="1"/>
  <c r="RP149" i="1"/>
  <c r="DT135" i="1"/>
  <c r="DV135" i="1"/>
  <c r="DW135" i="1"/>
  <c r="DS135" i="1"/>
  <c r="KT120" i="1"/>
  <c r="KQ120" i="1"/>
  <c r="KR120" i="1"/>
  <c r="KU120" i="1"/>
  <c r="FF151" i="1"/>
  <c r="FD151" i="1"/>
  <c r="FC151" i="1"/>
  <c r="FG151" i="1"/>
  <c r="RO170" i="1"/>
  <c r="RP170" i="1"/>
  <c r="RR170" i="1"/>
  <c r="RS170" i="1"/>
  <c r="UL167" i="1"/>
  <c r="UI167" i="1"/>
  <c r="UM167" i="1"/>
  <c r="UJ167" i="1"/>
  <c r="FY126" i="1"/>
  <c r="FV126" i="1"/>
  <c r="FU126" i="1"/>
  <c r="FX126" i="1"/>
  <c r="AY127" i="1"/>
  <c r="BB127" i="1"/>
  <c r="BC127" i="1"/>
  <c r="AZ127" i="1"/>
  <c r="HF151" i="1"/>
  <c r="HI151" i="1"/>
  <c r="HE151" i="1"/>
  <c r="HH151" i="1"/>
  <c r="RO119" i="1"/>
  <c r="RP119" i="1"/>
  <c r="RS119" i="1"/>
  <c r="RR119" i="1"/>
  <c r="FY143" i="1"/>
  <c r="FV143" i="1"/>
  <c r="FU143" i="1"/>
  <c r="FX143" i="1"/>
  <c r="JG117" i="1"/>
  <c r="JH117" i="1"/>
  <c r="JK117" i="1"/>
  <c r="JJ117" i="1"/>
  <c r="IS120" i="1"/>
  <c r="IR120" i="1"/>
  <c r="IP120" i="1"/>
  <c r="IO120" i="1"/>
  <c r="IS118" i="1"/>
  <c r="IP118" i="1"/>
  <c r="IR118" i="1"/>
  <c r="IO118" i="1"/>
  <c r="AH143" i="1"/>
  <c r="AK143" i="1"/>
  <c r="AG143" i="1"/>
  <c r="AJ143" i="1"/>
  <c r="BQ139" i="1"/>
  <c r="BT139" i="1"/>
  <c r="BR139" i="1"/>
  <c r="BU139" i="1"/>
  <c r="OY109" i="1"/>
  <c r="OX109" i="1"/>
  <c r="OV109" i="1"/>
  <c r="OU109" i="1"/>
  <c r="JY138" i="1"/>
  <c r="KC138" i="1"/>
  <c r="JZ138" i="1"/>
  <c r="KB138" i="1"/>
  <c r="NK135" i="1"/>
  <c r="NL135" i="1"/>
  <c r="NO135" i="1"/>
  <c r="NN135" i="1"/>
  <c r="QA173" i="1"/>
  <c r="JH119" i="1"/>
  <c r="JK119" i="1"/>
  <c r="JG119" i="1"/>
  <c r="JJ119" i="1"/>
  <c r="VE169" i="1"/>
  <c r="VA169" i="1"/>
  <c r="VD169" i="1"/>
  <c r="VB169" i="1"/>
  <c r="P138" i="1"/>
  <c r="S138" i="1"/>
  <c r="O138" i="1"/>
  <c r="R138" i="1"/>
  <c r="EN127" i="1"/>
  <c r="EO127" i="1"/>
  <c r="EL127" i="1"/>
  <c r="EK127" i="1"/>
  <c r="TU135" i="1"/>
  <c r="TQ135" i="1"/>
  <c r="TT135" i="1"/>
  <c r="TR135" i="1"/>
  <c r="LJ128" i="1"/>
  <c r="LI128" i="1"/>
  <c r="LL128" i="1"/>
  <c r="LM128" i="1"/>
  <c r="OY118" i="1"/>
  <c r="OU118" i="1"/>
  <c r="OX118" i="1"/>
  <c r="OV118" i="1"/>
  <c r="FV120" i="1"/>
  <c r="FY120" i="1"/>
  <c r="FU120" i="1"/>
  <c r="FX120" i="1"/>
  <c r="FV151" i="1"/>
  <c r="FY151" i="1"/>
  <c r="FX151" i="1"/>
  <c r="FU151" i="1"/>
  <c r="GM168" i="1"/>
  <c r="GN168" i="1"/>
  <c r="GP168" i="1"/>
  <c r="GQ168" i="1"/>
  <c r="P128" i="1"/>
  <c r="S128" i="1"/>
  <c r="O128" i="1"/>
  <c r="R128" i="1"/>
  <c r="SK110" i="1"/>
  <c r="SG110" i="1"/>
  <c r="SH110" i="1"/>
  <c r="SJ110" i="1"/>
  <c r="FD140" i="1"/>
  <c r="FG140" i="1"/>
  <c r="FF140" i="1"/>
  <c r="FC140" i="1"/>
  <c r="TM173" i="1"/>
  <c r="IA152" i="1"/>
  <c r="HW152" i="1"/>
  <c r="HX152" i="1"/>
  <c r="HZ152" i="1"/>
  <c r="GQ127" i="1"/>
  <c r="GP127" i="1"/>
  <c r="GM127" i="1"/>
  <c r="GN127" i="1"/>
  <c r="UM118" i="1"/>
  <c r="UL118" i="1"/>
  <c r="UI118" i="1"/>
  <c r="UJ118" i="1"/>
  <c r="NK168" i="1"/>
  <c r="NO168" i="1"/>
  <c r="NN168" i="1"/>
  <c r="NL168" i="1"/>
  <c r="DS168" i="1"/>
  <c r="DW168" i="1"/>
  <c r="DV168" i="1"/>
  <c r="DT168" i="1"/>
  <c r="JJ129" i="1"/>
  <c r="JK129" i="1"/>
  <c r="JH129" i="1"/>
  <c r="JG129" i="1"/>
  <c r="OG170" i="1"/>
  <c r="OC170" i="1"/>
  <c r="OF170" i="1"/>
  <c r="OD170" i="1"/>
  <c r="QF149" i="1"/>
  <c r="QH149" i="1"/>
  <c r="QI149" i="1"/>
  <c r="QE149" i="1"/>
  <c r="OF117" i="1"/>
  <c r="OC117" i="1"/>
  <c r="OG117" i="1"/>
  <c r="OD117" i="1"/>
  <c r="TC117" i="1"/>
  <c r="SZ117" i="1"/>
  <c r="TB117" i="1"/>
  <c r="SY117" i="1"/>
  <c r="DB118" i="1"/>
  <c r="DD118" i="1"/>
  <c r="DE118" i="1"/>
  <c r="DA118" i="1"/>
  <c r="DV109" i="1"/>
  <c r="DS109" i="1"/>
  <c r="DW109" i="1"/>
  <c r="DT109" i="1"/>
  <c r="ME140" i="1"/>
  <c r="MA140" i="1"/>
  <c r="MD140" i="1"/>
  <c r="MB140" i="1"/>
  <c r="AG109" i="1"/>
  <c r="AH109" i="1"/>
  <c r="AK109" i="1"/>
  <c r="AJ109" i="1"/>
  <c r="AH151" i="1"/>
  <c r="AK151" i="1"/>
  <c r="AG151" i="1"/>
  <c r="AJ151" i="1"/>
  <c r="JK149" i="1"/>
  <c r="JG149" i="1"/>
  <c r="JJ149" i="1"/>
  <c r="JH149" i="1"/>
  <c r="P136" i="1"/>
  <c r="O136" i="1"/>
  <c r="S136" i="1"/>
  <c r="R136" i="1"/>
  <c r="FY161" i="1"/>
  <c r="FU161" i="1"/>
  <c r="FX161" i="1"/>
  <c r="FV161" i="1"/>
  <c r="VE139" i="1"/>
  <c r="VB139" i="1"/>
  <c r="VA139" i="1"/>
  <c r="VD139" i="1"/>
  <c r="GQ109" i="1"/>
  <c r="GP109" i="1"/>
  <c r="GN109" i="1"/>
  <c r="GM109" i="1"/>
  <c r="TT170" i="1"/>
  <c r="TU170" i="1"/>
  <c r="TR170" i="1"/>
  <c r="TQ170" i="1"/>
  <c r="JG169" i="1"/>
  <c r="JH169" i="1"/>
  <c r="JK169" i="1"/>
  <c r="JJ169" i="1"/>
  <c r="QH161" i="1"/>
  <c r="QE161" i="1"/>
  <c r="QI161" i="1"/>
  <c r="QF161" i="1"/>
  <c r="DE120" i="1"/>
  <c r="DB120" i="1"/>
  <c r="DD120" i="1"/>
  <c r="DA120" i="1"/>
  <c r="FF119" i="1"/>
  <c r="FC119" i="1"/>
  <c r="FG119" i="1"/>
  <c r="FD119" i="1"/>
  <c r="VB149" i="1"/>
  <c r="VD149" i="1"/>
  <c r="VA149" i="1"/>
  <c r="VE149" i="1"/>
  <c r="QX139" i="1"/>
  <c r="QW139" i="1"/>
  <c r="RA139" i="1"/>
  <c r="QZ139" i="1"/>
  <c r="KQ127" i="1"/>
  <c r="KT127" i="1"/>
  <c r="KU127" i="1"/>
  <c r="KR127" i="1"/>
  <c r="W76" i="28"/>
  <c r="X76" i="28"/>
  <c r="P139" i="1"/>
  <c r="O139" i="1"/>
  <c r="R139" i="1"/>
  <c r="S139" i="1"/>
  <c r="RM162" i="1"/>
  <c r="RM163" i="1"/>
  <c r="FS112" i="1"/>
  <c r="FS113" i="1"/>
  <c r="SE121" i="1"/>
  <c r="SE122" i="1"/>
  <c r="EY173" i="1"/>
  <c r="TM123" i="1"/>
  <c r="GI114" i="1"/>
  <c r="UW132" i="1"/>
  <c r="AU173" i="1"/>
  <c r="UE123" i="1"/>
  <c r="SC173" i="1"/>
  <c r="CW164" i="1"/>
  <c r="SC114" i="1"/>
  <c r="EY146" i="1"/>
  <c r="PI164" i="1"/>
  <c r="RK155" i="1"/>
  <c r="AU155" i="1"/>
  <c r="VA129" i="1"/>
  <c r="VE129" i="1"/>
  <c r="VB129" i="1"/>
  <c r="VD129" i="1"/>
  <c r="UJ141" i="1"/>
  <c r="UM141" i="1"/>
  <c r="UL141" i="1"/>
  <c r="UI141" i="1"/>
  <c r="KU169" i="1"/>
  <c r="KQ169" i="1"/>
  <c r="KR169" i="1"/>
  <c r="KT169" i="1"/>
  <c r="SY150" i="1"/>
  <c r="TC150" i="1"/>
  <c r="TB150" i="1"/>
  <c r="SZ150" i="1"/>
  <c r="W100" i="41"/>
  <c r="Y100" i="41" s="1"/>
  <c r="X100" i="41"/>
  <c r="DS142" i="1"/>
  <c r="DT142" i="1"/>
  <c r="DV142" i="1"/>
  <c r="DW142" i="1"/>
  <c r="U93" i="28"/>
  <c r="UY166" i="1"/>
  <c r="UZ166" i="1"/>
  <c r="VC166" i="1" s="1"/>
  <c r="M130" i="1"/>
  <c r="M131" i="1"/>
  <c r="KM164" i="1"/>
  <c r="FQ155" i="1"/>
  <c r="SC132" i="1"/>
  <c r="SC155" i="1"/>
  <c r="JW125" i="1"/>
  <c r="JX125" i="1"/>
  <c r="KA125" i="1" s="1"/>
  <c r="DO173" i="1"/>
  <c r="BM164" i="1"/>
  <c r="OQ146" i="1"/>
  <c r="AU123" i="1"/>
  <c r="UW164" i="1"/>
  <c r="X110" i="41"/>
  <c r="W110" i="41"/>
  <c r="Y110" i="41" s="1"/>
  <c r="W112" i="41"/>
  <c r="Y112" i="41" s="1"/>
  <c r="X112" i="41"/>
  <c r="W99" i="41"/>
  <c r="Y99" i="41" s="1"/>
  <c r="X99" i="41"/>
  <c r="W113" i="41"/>
  <c r="Y113" i="41" s="1"/>
  <c r="X113" i="41"/>
  <c r="X126" i="41"/>
  <c r="W126" i="41"/>
  <c r="Y126" i="41" s="1"/>
  <c r="W77" i="41"/>
  <c r="Y77" i="41" s="1"/>
  <c r="X77" i="41"/>
  <c r="W125" i="41"/>
  <c r="Y125" i="41" s="1"/>
  <c r="X125" i="41"/>
  <c r="W111" i="41"/>
  <c r="Y111" i="41" s="1"/>
  <c r="X111" i="41"/>
  <c r="W73" i="28"/>
  <c r="X73" i="28"/>
  <c r="X77" i="28"/>
  <c r="W77" i="28"/>
  <c r="QH109" i="1"/>
  <c r="QI109" i="1"/>
  <c r="QF109" i="1"/>
  <c r="QE109" i="1"/>
  <c r="SJ160" i="1"/>
  <c r="SH160" i="1"/>
  <c r="SK160" i="1"/>
  <c r="SG160" i="1"/>
  <c r="JJ170" i="1"/>
  <c r="JH170" i="1"/>
  <c r="JG170" i="1"/>
  <c r="JK170" i="1"/>
  <c r="IK132" i="1"/>
  <c r="SU164" i="1"/>
  <c r="MO114" i="1"/>
  <c r="SE130" i="1"/>
  <c r="SE131" i="1"/>
  <c r="RK173" i="1"/>
  <c r="LW132" i="1"/>
  <c r="LW123" i="1"/>
  <c r="NG164" i="1"/>
  <c r="UE132" i="1"/>
  <c r="FQ123" i="1"/>
  <c r="GI164" i="1"/>
  <c r="JU114" i="1"/>
  <c r="OQ173" i="1"/>
  <c r="QU162" i="1"/>
  <c r="QU163" i="1"/>
  <c r="NG173" i="1"/>
  <c r="U79" i="28"/>
  <c r="U80" i="28"/>
  <c r="V69" i="28"/>
  <c r="W74" i="39"/>
  <c r="X74" i="39"/>
  <c r="W77" i="39"/>
  <c r="X77" i="39"/>
  <c r="U78" i="41"/>
  <c r="KT111" i="1"/>
  <c r="KR111" i="1"/>
  <c r="KQ111" i="1"/>
  <c r="KU111" i="1"/>
  <c r="KU160" i="1"/>
  <c r="KR160" i="1"/>
  <c r="KQ160" i="1"/>
  <c r="KT160" i="1"/>
  <c r="BC140" i="1"/>
  <c r="AZ140" i="1"/>
  <c r="AY140" i="1"/>
  <c r="BB140" i="1"/>
  <c r="TC138" i="1"/>
  <c r="TB138" i="1"/>
  <c r="SY138" i="1"/>
  <c r="SZ138" i="1"/>
  <c r="LM109" i="1"/>
  <c r="LI109" i="1"/>
  <c r="LJ109" i="1"/>
  <c r="LL109" i="1"/>
  <c r="OB171" i="1"/>
  <c r="OG166" i="1"/>
  <c r="OF166" i="1"/>
  <c r="OD166" i="1"/>
  <c r="OC166" i="1"/>
  <c r="OB172" i="1"/>
  <c r="LY153" i="1"/>
  <c r="LY154" i="1"/>
  <c r="OF134" i="1"/>
  <c r="OD134" i="1"/>
  <c r="OC134" i="1"/>
  <c r="OG134" i="1"/>
  <c r="MR153" i="1"/>
  <c r="MW148" i="1"/>
  <c r="MV148" i="1"/>
  <c r="MS148" i="1"/>
  <c r="MR154" i="1"/>
  <c r="MT148" i="1"/>
  <c r="AX162" i="1"/>
  <c r="AY157" i="1"/>
  <c r="AX163" i="1"/>
  <c r="AZ157" i="1"/>
  <c r="BB157" i="1"/>
  <c r="BC157" i="1"/>
  <c r="QD131" i="1"/>
  <c r="QE125" i="1"/>
  <c r="QD130" i="1"/>
  <c r="QH125" i="1"/>
  <c r="QF125" i="1"/>
  <c r="QI125" i="1"/>
  <c r="FS153" i="1"/>
  <c r="FS154" i="1"/>
  <c r="JE113" i="1"/>
  <c r="JE112" i="1"/>
  <c r="JW144" i="1"/>
  <c r="JW145" i="1"/>
  <c r="HD113" i="1"/>
  <c r="HD112" i="1"/>
  <c r="HI107" i="1"/>
  <c r="HF107" i="1"/>
  <c r="HH107" i="1"/>
  <c r="HE107" i="1"/>
  <c r="SX112" i="1"/>
  <c r="SY107" i="1"/>
  <c r="SZ107" i="1"/>
  <c r="TC107" i="1"/>
  <c r="SX113" i="1"/>
  <c r="TB107" i="1"/>
  <c r="LG171" i="1"/>
  <c r="LG172" i="1"/>
  <c r="AW171" i="1"/>
  <c r="AW172" i="1"/>
  <c r="DQ107" i="1"/>
  <c r="DR107" i="1"/>
  <c r="DU107" i="1" s="1"/>
  <c r="AE134" i="1"/>
  <c r="AF134" i="1"/>
  <c r="AI134" i="1" s="1"/>
  <c r="DR130" i="1"/>
  <c r="DT125" i="1"/>
  <c r="DR131" i="1"/>
  <c r="DW125" i="1"/>
  <c r="DV125" i="1"/>
  <c r="DS125" i="1"/>
  <c r="M153" i="1"/>
  <c r="M154" i="1"/>
  <c r="GM157" i="1"/>
  <c r="GP157" i="1"/>
  <c r="GL163" i="1"/>
  <c r="GL162" i="1"/>
  <c r="GQ157" i="1"/>
  <c r="GN157" i="1"/>
  <c r="JE144" i="1"/>
  <c r="JE145" i="1"/>
  <c r="RM112" i="1"/>
  <c r="RM113" i="1"/>
  <c r="SE171" i="1"/>
  <c r="SE172" i="1"/>
  <c r="OT148" i="1"/>
  <c r="OW148" i="1" s="1"/>
  <c r="OS148" i="1"/>
  <c r="SC146" i="1"/>
  <c r="MQ121" i="1"/>
  <c r="MQ122" i="1"/>
  <c r="SY125" i="1"/>
  <c r="TB125" i="1"/>
  <c r="SZ125" i="1"/>
  <c r="TC125" i="1"/>
  <c r="NJ171" i="1"/>
  <c r="NN166" i="1"/>
  <c r="NL166" i="1"/>
  <c r="NK166" i="1"/>
  <c r="NJ172" i="1"/>
  <c r="NO166" i="1"/>
  <c r="W98" i="27"/>
  <c r="X98" i="27"/>
  <c r="W90" i="27"/>
  <c r="X90" i="27"/>
  <c r="X97" i="27"/>
  <c r="W97" i="27"/>
  <c r="W77" i="27"/>
  <c r="X77" i="27"/>
  <c r="W110" i="27"/>
  <c r="X110" i="27"/>
  <c r="W89" i="27"/>
  <c r="X89" i="27"/>
  <c r="W78" i="27"/>
  <c r="X78" i="27"/>
  <c r="X112" i="27"/>
  <c r="W112" i="27"/>
  <c r="W130" i="27"/>
  <c r="X130" i="27"/>
  <c r="W128" i="27"/>
  <c r="X128" i="27"/>
  <c r="W83" i="27"/>
  <c r="X83" i="27"/>
  <c r="W72" i="27"/>
  <c r="X72" i="27"/>
  <c r="X96" i="27"/>
  <c r="W96" i="27"/>
  <c r="OA157" i="1"/>
  <c r="OB157" i="1"/>
  <c r="OE157" i="1" s="1"/>
  <c r="UY122" i="1"/>
  <c r="UY121" i="1"/>
  <c r="EG132" i="1"/>
  <c r="S134" i="1"/>
  <c r="P134" i="1"/>
  <c r="R134" i="1"/>
  <c r="O134" i="1"/>
  <c r="FT162" i="1"/>
  <c r="FT163" i="1"/>
  <c r="FX157" i="1"/>
  <c r="FY157" i="1"/>
  <c r="FU157" i="1"/>
  <c r="FV157" i="1"/>
  <c r="GK144" i="1"/>
  <c r="GK145" i="1"/>
  <c r="HV134" i="1"/>
  <c r="HY134" i="1" s="1"/>
  <c r="HU134" i="1"/>
  <c r="TO162" i="1"/>
  <c r="TO163" i="1"/>
  <c r="CG130" i="1"/>
  <c r="CG131" i="1"/>
  <c r="HS155" i="1"/>
  <c r="TM114" i="1"/>
  <c r="HA173" i="1"/>
  <c r="RK132" i="1"/>
  <c r="PK171" i="1"/>
  <c r="PK172" i="1"/>
  <c r="CY130" i="1"/>
  <c r="CY131" i="1"/>
  <c r="QC112" i="1"/>
  <c r="QC113" i="1"/>
  <c r="CW155" i="1"/>
  <c r="NI107" i="1"/>
  <c r="NJ107" i="1"/>
  <c r="NM107" i="1" s="1"/>
  <c r="FA163" i="1"/>
  <c r="FA162" i="1"/>
  <c r="UE173" i="1"/>
  <c r="UG148" i="1"/>
  <c r="UH148" i="1"/>
  <c r="UK148" i="1" s="1"/>
  <c r="KP134" i="1"/>
  <c r="KS134" i="1" s="1"/>
  <c r="KO134" i="1"/>
  <c r="QU145" i="1"/>
  <c r="QU144" i="1"/>
  <c r="AW112" i="1"/>
  <c r="AW113" i="1"/>
  <c r="OS171" i="1"/>
  <c r="OS172" i="1"/>
  <c r="UG144" i="1"/>
  <c r="UG145" i="1"/>
  <c r="EJ154" i="1"/>
  <c r="EJ153" i="1"/>
  <c r="EL148" i="1"/>
  <c r="EK148" i="1"/>
  <c r="EN148" i="1"/>
  <c r="EO148" i="1"/>
  <c r="IM121" i="1"/>
  <c r="IM122" i="1"/>
  <c r="V83" i="39"/>
  <c r="X73" i="39"/>
  <c r="W73" i="39"/>
  <c r="V84" i="39"/>
  <c r="OS113" i="1"/>
  <c r="OS112" i="1"/>
  <c r="HD121" i="1"/>
  <c r="HD122" i="1"/>
  <c r="HI116" i="1"/>
  <c r="HH116" i="1"/>
  <c r="HF116" i="1"/>
  <c r="HE116" i="1"/>
  <c r="IM112" i="1"/>
  <c r="IM113" i="1"/>
  <c r="CM134" i="1"/>
  <c r="CJ134" i="1"/>
  <c r="CI134" i="1"/>
  <c r="CL134" i="1"/>
  <c r="UI116" i="1"/>
  <c r="UH121" i="1"/>
  <c r="UL116" i="1"/>
  <c r="UM116" i="1"/>
  <c r="UH122" i="1"/>
  <c r="UJ116" i="1"/>
  <c r="IN162" i="1"/>
  <c r="IN163" i="1"/>
  <c r="IS157" i="1"/>
  <c r="IO157" i="1"/>
  <c r="IP157" i="1"/>
  <c r="IR157" i="1"/>
  <c r="BO153" i="1"/>
  <c r="BO154" i="1"/>
  <c r="BO145" i="1"/>
  <c r="EJ121" i="1"/>
  <c r="EK116" i="1"/>
  <c r="EO116" i="1"/>
  <c r="EJ122" i="1"/>
  <c r="EN116" i="1"/>
  <c r="EL116" i="1"/>
  <c r="N130" i="1"/>
  <c r="HC157" i="1"/>
  <c r="HD157" i="1"/>
  <c r="HG157" i="1" s="1"/>
  <c r="JC155" i="1"/>
  <c r="SW162" i="1"/>
  <c r="SW163" i="1"/>
  <c r="EI107" i="1"/>
  <c r="EJ107" i="1"/>
  <c r="EM107" i="1" s="1"/>
  <c r="QC145" i="1"/>
  <c r="QC144" i="1"/>
  <c r="LY121" i="1"/>
  <c r="LY122" i="1"/>
  <c r="TB134" i="1"/>
  <c r="SZ134" i="1"/>
  <c r="SY134" i="1"/>
  <c r="TC134" i="1"/>
  <c r="OT162" i="1"/>
  <c r="OU157" i="1"/>
  <c r="OV157" i="1"/>
  <c r="OY157" i="1"/>
  <c r="OT163" i="1"/>
  <c r="OX157" i="1"/>
  <c r="LH144" i="1"/>
  <c r="LH145" i="1"/>
  <c r="LM134" i="1"/>
  <c r="LJ134" i="1"/>
  <c r="LL134" i="1"/>
  <c r="LI134" i="1"/>
  <c r="NJ162" i="1"/>
  <c r="NJ163" i="1"/>
  <c r="NO157" i="1"/>
  <c r="NN157" i="1"/>
  <c r="NL157" i="1"/>
  <c r="NK157" i="1"/>
  <c r="SW166" i="1"/>
  <c r="SX166" i="1"/>
  <c r="TA166" i="1" s="1"/>
  <c r="UW146" i="1"/>
  <c r="M171" i="1"/>
  <c r="M172" i="1"/>
  <c r="FT121" i="1"/>
  <c r="FT122" i="1"/>
  <c r="FV116" i="1"/>
  <c r="FX116" i="1"/>
  <c r="FY116" i="1"/>
  <c r="FU116" i="1"/>
  <c r="IM171" i="1"/>
  <c r="IM172" i="1"/>
  <c r="JX113" i="1"/>
  <c r="JX112" i="1"/>
  <c r="KB107" i="1"/>
  <c r="JY107" i="1"/>
  <c r="KC107" i="1"/>
  <c r="JZ107" i="1"/>
  <c r="UE114" i="1"/>
  <c r="HA155" i="1"/>
  <c r="QU107" i="1"/>
  <c r="QV107" i="1"/>
  <c r="QY107" i="1" s="1"/>
  <c r="LW114" i="1"/>
  <c r="L164" i="1"/>
  <c r="V93" i="28"/>
  <c r="IN130" i="1"/>
  <c r="IN131" i="1"/>
  <c r="IS125" i="1"/>
  <c r="IR125" i="1"/>
  <c r="IP125" i="1"/>
  <c r="IO125" i="1"/>
  <c r="TU134" i="1"/>
  <c r="TT134" i="1"/>
  <c r="TQ134" i="1"/>
  <c r="TR134" i="1"/>
  <c r="PM148" i="1"/>
  <c r="PP148" i="1"/>
  <c r="PN148" i="1"/>
  <c r="PQ148" i="1"/>
  <c r="SE154" i="1"/>
  <c r="SE153" i="1"/>
  <c r="FB121" i="1"/>
  <c r="FB122" i="1"/>
  <c r="FG116" i="1"/>
  <c r="FC116" i="1"/>
  <c r="FD116" i="1"/>
  <c r="FF116" i="1"/>
  <c r="CY172" i="1"/>
  <c r="CY171" i="1"/>
  <c r="JX162" i="1"/>
  <c r="JX163" i="1"/>
  <c r="KC157" i="1"/>
  <c r="JY157" i="1"/>
  <c r="KB157" i="1"/>
  <c r="JZ157" i="1"/>
  <c r="CZ121" i="1"/>
  <c r="DA116" i="1"/>
  <c r="CZ122" i="1"/>
  <c r="DE116" i="1"/>
  <c r="DD116" i="1"/>
  <c r="DB116" i="1"/>
  <c r="V130" i="41"/>
  <c r="VC134" i="1" l="1"/>
  <c r="VC144" i="1" s="1"/>
  <c r="UZ144" i="1"/>
  <c r="BS144" i="1"/>
  <c r="OB144" i="1"/>
  <c r="CZ144" i="1"/>
  <c r="OE144" i="1"/>
  <c r="DC144" i="1"/>
  <c r="SX144" i="1"/>
  <c r="PO134" i="1"/>
  <c r="PL144" i="1"/>
  <c r="CH144" i="1"/>
  <c r="BP144" i="1"/>
  <c r="TA144" i="1"/>
  <c r="M115" i="1"/>
  <c r="L115" i="1"/>
  <c r="P113" i="1"/>
  <c r="P112" i="1"/>
  <c r="BS107" i="1"/>
  <c r="BS112" i="1" s="1"/>
  <c r="BP112" i="1"/>
  <c r="R112" i="1"/>
  <c r="R113" i="1"/>
  <c r="MW158" i="1"/>
  <c r="MV158" i="1"/>
  <c r="QX152" i="1"/>
  <c r="SJ117" i="1"/>
  <c r="Q130" i="1"/>
  <c r="MS158" i="1"/>
  <c r="QW152" i="1"/>
  <c r="SG117" i="1"/>
  <c r="MT158" i="1"/>
  <c r="QZ152" i="1"/>
  <c r="SK117" i="1"/>
  <c r="RA152" i="1"/>
  <c r="SH117" i="1"/>
  <c r="SK140" i="1"/>
  <c r="SG140" i="1"/>
  <c r="KO162" i="1"/>
  <c r="KO164" i="1" s="1"/>
  <c r="SJ140" i="1"/>
  <c r="SH140" i="1"/>
  <c r="UJ170" i="1"/>
  <c r="AK126" i="1"/>
  <c r="UL170" i="1"/>
  <c r="RO117" i="1"/>
  <c r="SG129" i="1"/>
  <c r="SJ129" i="1"/>
  <c r="RR117" i="1"/>
  <c r="UJ136" i="1"/>
  <c r="SK129" i="1"/>
  <c r="RP117" i="1"/>
  <c r="SH129" i="1"/>
  <c r="RS117" i="1"/>
  <c r="AH126" i="1"/>
  <c r="UM170" i="1"/>
  <c r="UM158" i="1"/>
  <c r="UJ158" i="1"/>
  <c r="UK158" i="1"/>
  <c r="UI170" i="1"/>
  <c r="UI158" i="1"/>
  <c r="AG126" i="1"/>
  <c r="AJ126" i="1"/>
  <c r="UL136" i="1"/>
  <c r="HH158" i="1"/>
  <c r="UM136" i="1"/>
  <c r="UK136" i="1"/>
  <c r="BP164" i="1"/>
  <c r="FV135" i="1"/>
  <c r="FY135" i="1"/>
  <c r="SH119" i="1"/>
  <c r="SK119" i="1"/>
  <c r="FU135" i="1"/>
  <c r="SG119" i="1"/>
  <c r="FX135" i="1"/>
  <c r="SJ119" i="1"/>
  <c r="GK122" i="1"/>
  <c r="GK123" i="1" s="1"/>
  <c r="HI158" i="1"/>
  <c r="HE158" i="1"/>
  <c r="HF158" i="1"/>
  <c r="NO111" i="1"/>
  <c r="ME108" i="1"/>
  <c r="UJ138" i="1"/>
  <c r="UI138" i="1"/>
  <c r="UM138" i="1"/>
  <c r="UL138" i="1"/>
  <c r="OU137" i="1"/>
  <c r="RO135" i="1"/>
  <c r="SH128" i="1"/>
  <c r="RS135" i="1"/>
  <c r="QH151" i="1"/>
  <c r="MV138" i="1"/>
  <c r="RP135" i="1"/>
  <c r="OX142" i="1"/>
  <c r="MT143" i="1"/>
  <c r="RR135" i="1"/>
  <c r="RA170" i="1"/>
  <c r="NO118" i="1"/>
  <c r="MW111" i="1"/>
  <c r="SG168" i="1"/>
  <c r="GK130" i="1"/>
  <c r="GK132" i="1" s="1"/>
  <c r="FX137" i="1"/>
  <c r="QF110" i="1"/>
  <c r="SH149" i="1"/>
  <c r="LM142" i="1"/>
  <c r="NK111" i="1"/>
  <c r="SK128" i="1"/>
  <c r="OV137" i="1"/>
  <c r="MW138" i="1"/>
  <c r="GL123" i="1"/>
  <c r="NN111" i="1"/>
  <c r="SG128" i="1"/>
  <c r="QX161" i="1"/>
  <c r="OY137" i="1"/>
  <c r="MS138" i="1"/>
  <c r="HW141" i="1"/>
  <c r="NL111" i="1"/>
  <c r="SJ128" i="1"/>
  <c r="NO117" i="1"/>
  <c r="OX137" i="1"/>
  <c r="MT138" i="1"/>
  <c r="FU137" i="1"/>
  <c r="ME161" i="1"/>
  <c r="FY137" i="1"/>
  <c r="EL169" i="1"/>
  <c r="OY140" i="1"/>
  <c r="OU140" i="1"/>
  <c r="FV137" i="1"/>
  <c r="QE168" i="1"/>
  <c r="MB127" i="1"/>
  <c r="FV110" i="1"/>
  <c r="RA150" i="1"/>
  <c r="SJ142" i="1"/>
  <c r="KQ168" i="1"/>
  <c r="MT108" i="1"/>
  <c r="MV139" i="1"/>
  <c r="SH161" i="1"/>
  <c r="HW160" i="1"/>
  <c r="QE138" i="1"/>
  <c r="IA138" i="1"/>
  <c r="QI172" i="1"/>
  <c r="QI173" i="1" s="1"/>
  <c r="FX117" i="1"/>
  <c r="KQ161" i="1"/>
  <c r="RR158" i="1"/>
  <c r="UK120" i="1"/>
  <c r="MS141" i="1"/>
  <c r="HI168" i="1"/>
  <c r="LL108" i="1"/>
  <c r="KU109" i="1"/>
  <c r="SG159" i="1"/>
  <c r="OX160" i="1"/>
  <c r="SJ159" i="1"/>
  <c r="MD108" i="1"/>
  <c r="KU161" i="1"/>
  <c r="HZ129" i="1"/>
  <c r="SK168" i="1"/>
  <c r="MT141" i="1"/>
  <c r="KQ171" i="1"/>
  <c r="KQ173" i="1" s="1"/>
  <c r="HE168" i="1"/>
  <c r="SF130" i="1"/>
  <c r="SF132" i="1" s="1"/>
  <c r="LI108" i="1"/>
  <c r="KT109" i="1"/>
  <c r="OY160" i="1"/>
  <c r="NK118" i="1"/>
  <c r="UI120" i="1"/>
  <c r="UL120" i="1"/>
  <c r="JZ109" i="1"/>
  <c r="SK159" i="1"/>
  <c r="MB108" i="1"/>
  <c r="KT161" i="1"/>
  <c r="LI141" i="1"/>
  <c r="SH168" i="1"/>
  <c r="MW141" i="1"/>
  <c r="ME167" i="1"/>
  <c r="HF168" i="1"/>
  <c r="QC171" i="1"/>
  <c r="QC173" i="1" s="1"/>
  <c r="LJ108" i="1"/>
  <c r="KR109" i="1"/>
  <c r="OV160" i="1"/>
  <c r="MT128" i="1"/>
  <c r="MW128" i="1"/>
  <c r="MS128" i="1"/>
  <c r="NN118" i="1"/>
  <c r="UM120" i="1"/>
  <c r="MU128" i="1"/>
  <c r="NM118" i="1"/>
  <c r="QG171" i="1"/>
  <c r="QG173" i="1" s="1"/>
  <c r="MS161" i="1"/>
  <c r="HE109" i="1"/>
  <c r="SH159" i="1"/>
  <c r="MA108" i="1"/>
  <c r="KR161" i="1"/>
  <c r="SJ168" i="1"/>
  <c r="MV141" i="1"/>
  <c r="OV151" i="1"/>
  <c r="HH168" i="1"/>
  <c r="LL158" i="1"/>
  <c r="LM108" i="1"/>
  <c r="KQ109" i="1"/>
  <c r="OU160" i="1"/>
  <c r="MA161" i="1"/>
  <c r="QE110" i="1"/>
  <c r="JZ118" i="1"/>
  <c r="QH172" i="1"/>
  <c r="QH173" i="1" s="1"/>
  <c r="EK169" i="1"/>
  <c r="SG149" i="1"/>
  <c r="LL142" i="1"/>
  <c r="NM119" i="1"/>
  <c r="OW140" i="1"/>
  <c r="MB161" i="1"/>
  <c r="QH110" i="1"/>
  <c r="EK119" i="1"/>
  <c r="EN169" i="1"/>
  <c r="SK149" i="1"/>
  <c r="LJ142" i="1"/>
  <c r="OV140" i="1"/>
  <c r="NN119" i="1"/>
  <c r="NL119" i="1"/>
  <c r="NK119" i="1"/>
  <c r="MD161" i="1"/>
  <c r="QI110" i="1"/>
  <c r="OX128" i="1"/>
  <c r="EO169" i="1"/>
  <c r="SJ149" i="1"/>
  <c r="LI142" i="1"/>
  <c r="QF171" i="1"/>
  <c r="QF173" i="1" s="1"/>
  <c r="QH168" i="1"/>
  <c r="MS108" i="1"/>
  <c r="MW139" i="1"/>
  <c r="MD127" i="1"/>
  <c r="HX138" i="1"/>
  <c r="SG161" i="1"/>
  <c r="QI151" i="1"/>
  <c r="IA160" i="1"/>
  <c r="MS143" i="1"/>
  <c r="QZ150" i="1"/>
  <c r="QZ170" i="1"/>
  <c r="SK142" i="1"/>
  <c r="KR168" i="1"/>
  <c r="QI138" i="1"/>
  <c r="NO109" i="1"/>
  <c r="QF168" i="1"/>
  <c r="MV108" i="1"/>
  <c r="IS170" i="1"/>
  <c r="MS139" i="1"/>
  <c r="ME127" i="1"/>
  <c r="HZ138" i="1"/>
  <c r="SJ161" i="1"/>
  <c r="QF151" i="1"/>
  <c r="HZ160" i="1"/>
  <c r="MW143" i="1"/>
  <c r="QX150" i="1"/>
  <c r="QX170" i="1"/>
  <c r="SG142" i="1"/>
  <c r="QH138" i="1"/>
  <c r="QF138" i="1"/>
  <c r="HF167" i="1"/>
  <c r="QI168" i="1"/>
  <c r="MW108" i="1"/>
  <c r="MT139" i="1"/>
  <c r="MA127" i="1"/>
  <c r="HW138" i="1"/>
  <c r="HE160" i="1"/>
  <c r="SK161" i="1"/>
  <c r="QE151" i="1"/>
  <c r="HX160" i="1"/>
  <c r="MV143" i="1"/>
  <c r="QW150" i="1"/>
  <c r="QW170" i="1"/>
  <c r="SH142" i="1"/>
  <c r="KU168" i="1"/>
  <c r="LL140" i="1"/>
  <c r="KT168" i="1"/>
  <c r="MB110" i="1"/>
  <c r="ME110" i="1"/>
  <c r="HG119" i="1"/>
  <c r="DS152" i="1"/>
  <c r="GO138" i="1"/>
  <c r="EN143" i="1"/>
  <c r="LI118" i="1"/>
  <c r="RA161" i="1"/>
  <c r="OV142" i="1"/>
  <c r="NN117" i="1"/>
  <c r="AJ127" i="1"/>
  <c r="RN144" i="1"/>
  <c r="RN146" i="1" s="1"/>
  <c r="QX128" i="1"/>
  <c r="QX109" i="1"/>
  <c r="QZ161" i="1"/>
  <c r="MA171" i="1"/>
  <c r="MA173" i="1" s="1"/>
  <c r="OU142" i="1"/>
  <c r="NK117" i="1"/>
  <c r="RA127" i="1"/>
  <c r="QW161" i="1"/>
  <c r="OY142" i="1"/>
  <c r="NL117" i="1"/>
  <c r="LG163" i="1"/>
  <c r="LG164" i="1" s="1"/>
  <c r="LM111" i="1"/>
  <c r="IS128" i="1"/>
  <c r="BA135" i="1"/>
  <c r="DW108" i="1"/>
  <c r="MW152" i="1"/>
  <c r="JG152" i="1"/>
  <c r="QX127" i="1"/>
  <c r="LI111" i="1"/>
  <c r="IP110" i="1"/>
  <c r="QW128" i="1"/>
  <c r="AE163" i="1"/>
  <c r="AE164" i="1" s="1"/>
  <c r="RA109" i="1"/>
  <c r="HX141" i="1"/>
  <c r="QE171" i="1"/>
  <c r="QE173" i="1" s="1"/>
  <c r="QB164" i="1"/>
  <c r="QT173" i="1"/>
  <c r="SD123" i="1"/>
  <c r="AK163" i="1"/>
  <c r="AK164" i="1" s="1"/>
  <c r="KQ121" i="1"/>
  <c r="KQ123" i="1" s="1"/>
  <c r="KT110" i="1"/>
  <c r="JZ169" i="1"/>
  <c r="DS172" i="1"/>
  <c r="DS173" i="1" s="1"/>
  <c r="JH118" i="1"/>
  <c r="QW127" i="1"/>
  <c r="KR171" i="1"/>
  <c r="KR173" i="1" s="1"/>
  <c r="LL111" i="1"/>
  <c r="RA128" i="1"/>
  <c r="BB143" i="1"/>
  <c r="QW109" i="1"/>
  <c r="AZ135" i="1"/>
  <c r="MU135" i="1"/>
  <c r="LH164" i="1"/>
  <c r="QD173" i="1"/>
  <c r="EO139" i="1"/>
  <c r="QZ127" i="1"/>
  <c r="AY109" i="1"/>
  <c r="KB139" i="1"/>
  <c r="LJ111" i="1"/>
  <c r="QZ128" i="1"/>
  <c r="QZ109" i="1"/>
  <c r="BB135" i="1"/>
  <c r="MC117" i="1"/>
  <c r="SI116" i="1"/>
  <c r="SG116" i="1"/>
  <c r="SF122" i="1"/>
  <c r="SF121" i="1"/>
  <c r="SH116" i="1"/>
  <c r="SK116" i="1"/>
  <c r="SJ116" i="1"/>
  <c r="LJ163" i="1"/>
  <c r="LJ164" i="1" s="1"/>
  <c r="OX110" i="1"/>
  <c r="OS131" i="1"/>
  <c r="OS132" i="1" s="1"/>
  <c r="EN119" i="1"/>
  <c r="KC118" i="1"/>
  <c r="IA117" i="1"/>
  <c r="RL164" i="1"/>
  <c r="SI125" i="1"/>
  <c r="SH125" i="1"/>
  <c r="SH130" i="1" s="1"/>
  <c r="SJ125" i="1"/>
  <c r="SJ131" i="1" s="1"/>
  <c r="SK125" i="1"/>
  <c r="SK131" i="1" s="1"/>
  <c r="SG125" i="1"/>
  <c r="SG130" i="1" s="1"/>
  <c r="DT171" i="1"/>
  <c r="DT173" i="1" s="1"/>
  <c r="EK111" i="1"/>
  <c r="EO119" i="1"/>
  <c r="KB118" i="1"/>
  <c r="SD132" i="1"/>
  <c r="KO172" i="1"/>
  <c r="KO173" i="1" s="1"/>
  <c r="GN117" i="1"/>
  <c r="RA140" i="1"/>
  <c r="EL119" i="1"/>
  <c r="JY118" i="1"/>
  <c r="NL108" i="1"/>
  <c r="NN108" i="1"/>
  <c r="SI143" i="1"/>
  <c r="SH143" i="1"/>
  <c r="SG143" i="1"/>
  <c r="SJ143" i="1"/>
  <c r="SK143" i="1"/>
  <c r="RQ109" i="1"/>
  <c r="RP109" i="1"/>
  <c r="RS109" i="1"/>
  <c r="RO109" i="1"/>
  <c r="RR109" i="1"/>
  <c r="MW161" i="1"/>
  <c r="JY109" i="1"/>
  <c r="HH109" i="1"/>
  <c r="IA150" i="1"/>
  <c r="IA129" i="1"/>
  <c r="LJ141" i="1"/>
  <c r="ME171" i="1"/>
  <c r="ME173" i="1" s="1"/>
  <c r="RO158" i="1"/>
  <c r="OY151" i="1"/>
  <c r="MV111" i="1"/>
  <c r="DT152" i="1"/>
  <c r="MA167" i="1"/>
  <c r="LJ158" i="1"/>
  <c r="EO143" i="1"/>
  <c r="LJ118" i="1"/>
  <c r="GQ110" i="1"/>
  <c r="KC168" i="1"/>
  <c r="JZ168" i="1"/>
  <c r="GM138" i="1"/>
  <c r="KA168" i="1"/>
  <c r="QT164" i="1"/>
  <c r="RQ127" i="1"/>
  <c r="RO127" i="1"/>
  <c r="RR127" i="1"/>
  <c r="RS127" i="1"/>
  <c r="RP127" i="1"/>
  <c r="MV161" i="1"/>
  <c r="KC109" i="1"/>
  <c r="HF109" i="1"/>
  <c r="HW129" i="1"/>
  <c r="LM141" i="1"/>
  <c r="RP158" i="1"/>
  <c r="OX151" i="1"/>
  <c r="MT111" i="1"/>
  <c r="DV152" i="1"/>
  <c r="MB167" i="1"/>
  <c r="LI158" i="1"/>
  <c r="EK143" i="1"/>
  <c r="LL118" i="1"/>
  <c r="IP109" i="1"/>
  <c r="IS126" i="1"/>
  <c r="GP138" i="1"/>
  <c r="GQ138" i="1"/>
  <c r="KB168" i="1"/>
  <c r="RQ134" i="1"/>
  <c r="RQ145" i="1" s="1"/>
  <c r="RR134" i="1"/>
  <c r="RR144" i="1" s="1"/>
  <c r="RP134" i="1"/>
  <c r="RP144" i="1" s="1"/>
  <c r="RO134" i="1"/>
  <c r="RO144" i="1" s="1"/>
  <c r="RS134" i="1"/>
  <c r="RS144" i="1" s="1"/>
  <c r="MT161" i="1"/>
  <c r="KB109" i="1"/>
  <c r="HI109" i="1"/>
  <c r="HX129" i="1"/>
  <c r="LL141" i="1"/>
  <c r="RS158" i="1"/>
  <c r="OU151" i="1"/>
  <c r="MS111" i="1"/>
  <c r="DW152" i="1"/>
  <c r="MD167" i="1"/>
  <c r="LM158" i="1"/>
  <c r="EL143" i="1"/>
  <c r="LM118" i="1"/>
  <c r="RQ157" i="1"/>
  <c r="RP157" i="1"/>
  <c r="RN162" i="1"/>
  <c r="RN163" i="1"/>
  <c r="RO157" i="1"/>
  <c r="RR157" i="1"/>
  <c r="RS157" i="1"/>
  <c r="RL146" i="1"/>
  <c r="NL167" i="1"/>
  <c r="GP117" i="1"/>
  <c r="QW140" i="1"/>
  <c r="KR121" i="1"/>
  <c r="KR123" i="1" s="1"/>
  <c r="OU110" i="1"/>
  <c r="LY172" i="1"/>
  <c r="LY173" i="1" s="1"/>
  <c r="OV128" i="1"/>
  <c r="NL150" i="1"/>
  <c r="FX129" i="1"/>
  <c r="HZ117" i="1"/>
  <c r="NM108" i="1"/>
  <c r="QY166" i="1"/>
  <c r="QV171" i="1"/>
  <c r="QX166" i="1"/>
  <c r="QV172" i="1"/>
  <c r="QZ166" i="1"/>
  <c r="QW166" i="1"/>
  <c r="RA166" i="1"/>
  <c r="HI159" i="1"/>
  <c r="GQ117" i="1"/>
  <c r="QX140" i="1"/>
  <c r="OV110" i="1"/>
  <c r="AH163" i="1"/>
  <c r="AH164" i="1" s="1"/>
  <c r="JZ149" i="1"/>
  <c r="OU128" i="1"/>
  <c r="MW137" i="1"/>
  <c r="HW117" i="1"/>
  <c r="HY117" i="1"/>
  <c r="NO108" i="1"/>
  <c r="QY157" i="1"/>
  <c r="QV162" i="1"/>
  <c r="QV163" i="1"/>
  <c r="QZ157" i="1"/>
  <c r="QW157" i="1"/>
  <c r="RA157" i="1"/>
  <c r="QX157" i="1"/>
  <c r="GM117" i="1"/>
  <c r="QZ140" i="1"/>
  <c r="OY110" i="1"/>
  <c r="OY128" i="1"/>
  <c r="LL137" i="1"/>
  <c r="QB173" i="1"/>
  <c r="KQ110" i="1"/>
  <c r="JY169" i="1"/>
  <c r="EL139" i="1"/>
  <c r="LI163" i="1"/>
  <c r="LI164" i="1" s="1"/>
  <c r="KO122" i="1"/>
  <c r="KO123" i="1" s="1"/>
  <c r="KU162" i="1"/>
  <c r="KU164" i="1" s="1"/>
  <c r="DV108" i="1"/>
  <c r="JG118" i="1"/>
  <c r="MV152" i="1"/>
  <c r="JK152" i="1"/>
  <c r="AG127" i="1"/>
  <c r="KQ163" i="1"/>
  <c r="KQ164" i="1" s="1"/>
  <c r="BC109" i="1"/>
  <c r="JY139" i="1"/>
  <c r="AG163" i="1"/>
  <c r="AG164" i="1" s="1"/>
  <c r="KU122" i="1"/>
  <c r="KU123" i="1" s="1"/>
  <c r="IR110" i="1"/>
  <c r="AZ143" i="1"/>
  <c r="IP128" i="1"/>
  <c r="ME117" i="1"/>
  <c r="AY169" i="1"/>
  <c r="BC149" i="1"/>
  <c r="AY149" i="1"/>
  <c r="MW135" i="1"/>
  <c r="MB117" i="1"/>
  <c r="AY135" i="1"/>
  <c r="HY141" i="1"/>
  <c r="MD117" i="1"/>
  <c r="MS135" i="1"/>
  <c r="GL132" i="1"/>
  <c r="KP123" i="1"/>
  <c r="KU110" i="1"/>
  <c r="KC169" i="1"/>
  <c r="EK139" i="1"/>
  <c r="DS108" i="1"/>
  <c r="JK118" i="1"/>
  <c r="MT152" i="1"/>
  <c r="JJ152" i="1"/>
  <c r="AH127" i="1"/>
  <c r="BB109" i="1"/>
  <c r="KC139" i="1"/>
  <c r="MD172" i="1"/>
  <c r="MD173" i="1" s="1"/>
  <c r="GN131" i="1"/>
  <c r="GN132" i="1" s="1"/>
  <c r="IS110" i="1"/>
  <c r="BC143" i="1"/>
  <c r="IR128" i="1"/>
  <c r="AZ149" i="1"/>
  <c r="BB169" i="1"/>
  <c r="MV135" i="1"/>
  <c r="BA149" i="1"/>
  <c r="BA169" i="1"/>
  <c r="IA141" i="1"/>
  <c r="KR110" i="1"/>
  <c r="KB169" i="1"/>
  <c r="EN139" i="1"/>
  <c r="DT108" i="1"/>
  <c r="JJ118" i="1"/>
  <c r="MS152" i="1"/>
  <c r="JH152" i="1"/>
  <c r="AK127" i="1"/>
  <c r="AZ109" i="1"/>
  <c r="JZ139" i="1"/>
  <c r="IO110" i="1"/>
  <c r="AY143" i="1"/>
  <c r="IO128" i="1"/>
  <c r="BC169" i="1"/>
  <c r="KU171" i="1"/>
  <c r="KU173" i="1" s="1"/>
  <c r="KN123" i="1"/>
  <c r="KP173" i="1"/>
  <c r="OR132" i="1"/>
  <c r="OW125" i="1"/>
  <c r="OT131" i="1"/>
  <c r="OU125" i="1"/>
  <c r="OY125" i="1"/>
  <c r="OT130" i="1"/>
  <c r="OX125" i="1"/>
  <c r="OV125" i="1"/>
  <c r="JJ120" i="1"/>
  <c r="MV137" i="1"/>
  <c r="MT137" i="1"/>
  <c r="DT111" i="1"/>
  <c r="JI128" i="1"/>
  <c r="LY145" i="1"/>
  <c r="LY144" i="1"/>
  <c r="AZ158" i="1"/>
  <c r="MS137" i="1"/>
  <c r="IP170" i="1"/>
  <c r="EN129" i="1"/>
  <c r="LM163" i="1"/>
  <c r="LM164" i="1" s="1"/>
  <c r="KT171" i="1"/>
  <c r="KT173" i="1" s="1"/>
  <c r="FU110" i="1"/>
  <c r="FY117" i="1"/>
  <c r="NK109" i="1"/>
  <c r="HG167" i="1"/>
  <c r="MC110" i="1"/>
  <c r="LL162" i="1"/>
  <c r="LL164" i="1" s="1"/>
  <c r="MB172" i="1"/>
  <c r="MB173" i="1" s="1"/>
  <c r="IO170" i="1"/>
  <c r="HI110" i="1"/>
  <c r="DW172" i="1"/>
  <c r="DW173" i="1" s="1"/>
  <c r="KT122" i="1"/>
  <c r="KT123" i="1" s="1"/>
  <c r="FX110" i="1"/>
  <c r="DT143" i="1"/>
  <c r="FU117" i="1"/>
  <c r="NN109" i="1"/>
  <c r="MD110" i="1"/>
  <c r="LJ140" i="1"/>
  <c r="HE167" i="1"/>
  <c r="FU142" i="1"/>
  <c r="HH167" i="1"/>
  <c r="LK140" i="1"/>
  <c r="LZ173" i="1"/>
  <c r="IR170" i="1"/>
  <c r="FY110" i="1"/>
  <c r="FV117" i="1"/>
  <c r="LI140" i="1"/>
  <c r="NL109" i="1"/>
  <c r="GO130" i="1"/>
  <c r="GO132" i="1" s="1"/>
  <c r="HF159" i="1"/>
  <c r="AZ152" i="1"/>
  <c r="NK167" i="1"/>
  <c r="EN111" i="1"/>
  <c r="KC149" i="1"/>
  <c r="BC141" i="1"/>
  <c r="NO150" i="1"/>
  <c r="FU129" i="1"/>
  <c r="JK120" i="1"/>
  <c r="BC158" i="1"/>
  <c r="JJ128" i="1"/>
  <c r="NN167" i="1"/>
  <c r="EL111" i="1"/>
  <c r="EN150" i="1"/>
  <c r="GM121" i="1"/>
  <c r="GM123" i="1" s="1"/>
  <c r="JY149" i="1"/>
  <c r="NK150" i="1"/>
  <c r="FY129" i="1"/>
  <c r="JG120" i="1"/>
  <c r="BB158" i="1"/>
  <c r="GQ120" i="1"/>
  <c r="JH128" i="1"/>
  <c r="KS171" i="1"/>
  <c r="KS173" i="1" s="1"/>
  <c r="KP164" i="1"/>
  <c r="HH159" i="1"/>
  <c r="HE159" i="1"/>
  <c r="NO167" i="1"/>
  <c r="EO111" i="1"/>
  <c r="KB149" i="1"/>
  <c r="NN150" i="1"/>
  <c r="FV129" i="1"/>
  <c r="JH120" i="1"/>
  <c r="AY158" i="1"/>
  <c r="GN120" i="1"/>
  <c r="GP120" i="1"/>
  <c r="JK128" i="1"/>
  <c r="GM120" i="1"/>
  <c r="LX146" i="1"/>
  <c r="MC172" i="1"/>
  <c r="MC171" i="1"/>
  <c r="LK163" i="1"/>
  <c r="LK162" i="1"/>
  <c r="DU150" i="1"/>
  <c r="GM131" i="1"/>
  <c r="GM132" i="1" s="1"/>
  <c r="LX173" i="1"/>
  <c r="DT150" i="1"/>
  <c r="HF110" i="1"/>
  <c r="EL129" i="1"/>
  <c r="GQ131" i="1"/>
  <c r="GQ132" i="1" s="1"/>
  <c r="HI160" i="1"/>
  <c r="DV171" i="1"/>
  <c r="DV173" i="1" s="1"/>
  <c r="DS143" i="1"/>
  <c r="KB136" i="1"/>
  <c r="LJ137" i="1"/>
  <c r="FV142" i="1"/>
  <c r="GP122" i="1"/>
  <c r="GP123" i="1" s="1"/>
  <c r="KR162" i="1"/>
  <c r="KR164" i="1" s="1"/>
  <c r="HE110" i="1"/>
  <c r="EO129" i="1"/>
  <c r="HH160" i="1"/>
  <c r="GN122" i="1"/>
  <c r="GN123" i="1" s="1"/>
  <c r="DV143" i="1"/>
  <c r="JY136" i="1"/>
  <c r="LM137" i="1"/>
  <c r="FX142" i="1"/>
  <c r="KA136" i="1"/>
  <c r="LK117" i="1"/>
  <c r="LL117" i="1"/>
  <c r="LJ117" i="1"/>
  <c r="LI117" i="1"/>
  <c r="LM117" i="1"/>
  <c r="HH110" i="1"/>
  <c r="EK129" i="1"/>
  <c r="HF160" i="1"/>
  <c r="DW143" i="1"/>
  <c r="FY142" i="1"/>
  <c r="LI137" i="1"/>
  <c r="KC136" i="1"/>
  <c r="KN164" i="1"/>
  <c r="LF164" i="1"/>
  <c r="HX150" i="1"/>
  <c r="IO109" i="1"/>
  <c r="GN110" i="1"/>
  <c r="DS138" i="1"/>
  <c r="HH119" i="1"/>
  <c r="IR126" i="1"/>
  <c r="HE119" i="1"/>
  <c r="TS121" i="1"/>
  <c r="TS123" i="1" s="1"/>
  <c r="JD123" i="1"/>
  <c r="JV155" i="1"/>
  <c r="KS122" i="1"/>
  <c r="KS121" i="1"/>
  <c r="HW150" i="1"/>
  <c r="KT163" i="1"/>
  <c r="KT164" i="1" s="1"/>
  <c r="IS109" i="1"/>
  <c r="GP110" i="1"/>
  <c r="AH167" i="1"/>
  <c r="FU167" i="1"/>
  <c r="HF119" i="1"/>
  <c r="IQ126" i="1"/>
  <c r="KN173" i="1"/>
  <c r="HZ150" i="1"/>
  <c r="EL158" i="1"/>
  <c r="IR109" i="1"/>
  <c r="GM110" i="1"/>
  <c r="IP126" i="1"/>
  <c r="DV126" i="1"/>
  <c r="DW126" i="1"/>
  <c r="DU126" i="1"/>
  <c r="KS162" i="1"/>
  <c r="KS163" i="1"/>
  <c r="KA148" i="1"/>
  <c r="JX153" i="1"/>
  <c r="JX154" i="1"/>
  <c r="JZ148" i="1"/>
  <c r="KB148" i="1"/>
  <c r="JY148" i="1"/>
  <c r="KC148" i="1"/>
  <c r="JI166" i="1"/>
  <c r="JJ166" i="1"/>
  <c r="JH166" i="1"/>
  <c r="JF171" i="1"/>
  <c r="JF172" i="1"/>
  <c r="JK166" i="1"/>
  <c r="JG166" i="1"/>
  <c r="JI116" i="1"/>
  <c r="JH116" i="1"/>
  <c r="JF122" i="1"/>
  <c r="JG116" i="1"/>
  <c r="JK116" i="1"/>
  <c r="JF121" i="1"/>
  <c r="JJ116" i="1"/>
  <c r="JD173" i="1"/>
  <c r="GQ122" i="1"/>
  <c r="GQ123" i="1" s="1"/>
  <c r="GP131" i="1"/>
  <c r="GP132" i="1" s="1"/>
  <c r="DT138" i="1"/>
  <c r="AK167" i="1"/>
  <c r="DT126" i="1"/>
  <c r="DW138" i="1"/>
  <c r="AG167" i="1"/>
  <c r="FX167" i="1"/>
  <c r="FW167" i="1"/>
  <c r="DV138" i="1"/>
  <c r="AJ167" i="1"/>
  <c r="FY167" i="1"/>
  <c r="HY139" i="1"/>
  <c r="IA139" i="1"/>
  <c r="HW139" i="1"/>
  <c r="HX139" i="1"/>
  <c r="HZ139" i="1"/>
  <c r="GO121" i="1"/>
  <c r="GO122" i="1"/>
  <c r="GJ132" i="1"/>
  <c r="AY152" i="1"/>
  <c r="EK150" i="1"/>
  <c r="DQ172" i="1"/>
  <c r="DQ173" i="1" s="1"/>
  <c r="AY141" i="1"/>
  <c r="DV111" i="1"/>
  <c r="DW150" i="1"/>
  <c r="DS150" i="1"/>
  <c r="FR155" i="1"/>
  <c r="GJ123" i="1"/>
  <c r="BC152" i="1"/>
  <c r="EO150" i="1"/>
  <c r="BB141" i="1"/>
  <c r="DU111" i="1"/>
  <c r="BB152" i="1"/>
  <c r="EL150" i="1"/>
  <c r="AZ141" i="1"/>
  <c r="DW111" i="1"/>
  <c r="DR173" i="1"/>
  <c r="FW148" i="1"/>
  <c r="FT153" i="1"/>
  <c r="FU148" i="1"/>
  <c r="FV148" i="1"/>
  <c r="FX148" i="1"/>
  <c r="FY148" i="1"/>
  <c r="FT154" i="1"/>
  <c r="EK158" i="1"/>
  <c r="DP173" i="1"/>
  <c r="EO158" i="1"/>
  <c r="EN158" i="1"/>
  <c r="AJ162" i="1"/>
  <c r="AJ164" i="1" s="1"/>
  <c r="EH164" i="1"/>
  <c r="AF164" i="1"/>
  <c r="EM157" i="1"/>
  <c r="EK157" i="1"/>
  <c r="EL157" i="1"/>
  <c r="EJ162" i="1"/>
  <c r="EO157" i="1"/>
  <c r="EJ163" i="1"/>
  <c r="EN157" i="1"/>
  <c r="DU172" i="1"/>
  <c r="DU171" i="1"/>
  <c r="AD164" i="1"/>
  <c r="AD132" i="1"/>
  <c r="AI162" i="1"/>
  <c r="AI163" i="1"/>
  <c r="AI125" i="1"/>
  <c r="AG125" i="1"/>
  <c r="AK125" i="1"/>
  <c r="AH125" i="1"/>
  <c r="AF131" i="1"/>
  <c r="AF130" i="1"/>
  <c r="AJ125" i="1"/>
  <c r="VD138" i="1"/>
  <c r="VD158" i="1"/>
  <c r="VE158" i="1"/>
  <c r="VB158" i="1"/>
  <c r="VA158" i="1"/>
  <c r="VE138" i="1"/>
  <c r="VA138" i="1"/>
  <c r="VB138" i="1"/>
  <c r="VD109" i="1"/>
  <c r="VE170" i="1"/>
  <c r="VA109" i="1"/>
  <c r="VE109" i="1"/>
  <c r="VB109" i="1"/>
  <c r="TR172" i="1"/>
  <c r="TR173" i="1" s="1"/>
  <c r="VD170" i="1"/>
  <c r="VB170" i="1"/>
  <c r="VA170" i="1"/>
  <c r="TQ169" i="1"/>
  <c r="TT169" i="1"/>
  <c r="TR169" i="1"/>
  <c r="TU169" i="1"/>
  <c r="TO131" i="1"/>
  <c r="TO132" i="1" s="1"/>
  <c r="TQ172" i="1"/>
  <c r="TQ173" i="1" s="1"/>
  <c r="TT108" i="1"/>
  <c r="TO172" i="1"/>
  <c r="TO173" i="1" s="1"/>
  <c r="TR108" i="1"/>
  <c r="TQ108" i="1"/>
  <c r="TU108" i="1"/>
  <c r="TT111" i="1"/>
  <c r="TS152" i="1"/>
  <c r="TS154" i="1" s="1"/>
  <c r="TQ152" i="1"/>
  <c r="TU152" i="1"/>
  <c r="TS131" i="1"/>
  <c r="TS132" i="1" s="1"/>
  <c r="TR143" i="1"/>
  <c r="TT152" i="1"/>
  <c r="TT172" i="1"/>
  <c r="TT173" i="1" s="1"/>
  <c r="TO145" i="1"/>
  <c r="TO146" i="1" s="1"/>
  <c r="SY158" i="1"/>
  <c r="TP173" i="1"/>
  <c r="TU171" i="1"/>
  <c r="TU173" i="1" s="1"/>
  <c r="OE131" i="1"/>
  <c r="OE132" i="1" s="1"/>
  <c r="TT143" i="1"/>
  <c r="TU111" i="1"/>
  <c r="TP145" i="1"/>
  <c r="TQ143" i="1"/>
  <c r="TR111" i="1"/>
  <c r="TU143" i="1"/>
  <c r="TQ111" i="1"/>
  <c r="TS171" i="1"/>
  <c r="TS172" i="1"/>
  <c r="TU116" i="1"/>
  <c r="TU121" i="1" s="1"/>
  <c r="TP122" i="1"/>
  <c r="TT116" i="1"/>
  <c r="TT121" i="1" s="1"/>
  <c r="TP121" i="1"/>
  <c r="TR116" i="1"/>
  <c r="TR121" i="1" s="1"/>
  <c r="TQ116" i="1"/>
  <c r="TQ122" i="1" s="1"/>
  <c r="TB158" i="1"/>
  <c r="SZ158" i="1"/>
  <c r="TC158" i="1"/>
  <c r="SW146" i="1"/>
  <c r="TB140" i="1"/>
  <c r="TO123" i="1"/>
  <c r="TS139" i="1"/>
  <c r="TS145" i="1" s="1"/>
  <c r="TT139" i="1"/>
  <c r="TT144" i="1" s="1"/>
  <c r="TR139" i="1"/>
  <c r="TR144" i="1" s="1"/>
  <c r="TU139" i="1"/>
  <c r="TQ139" i="1"/>
  <c r="TQ144" i="1" s="1"/>
  <c r="SY140" i="1"/>
  <c r="SY161" i="1"/>
  <c r="PN167" i="1"/>
  <c r="TC140" i="1"/>
  <c r="SZ140" i="1"/>
  <c r="SY152" i="1"/>
  <c r="SY153" i="1" s="1"/>
  <c r="PN109" i="1"/>
  <c r="TC159" i="1"/>
  <c r="SY159" i="1"/>
  <c r="PQ109" i="1"/>
  <c r="SZ159" i="1"/>
  <c r="TC122" i="1"/>
  <c r="TC123" i="1" s="1"/>
  <c r="PP109" i="1"/>
  <c r="TB159" i="1"/>
  <c r="PM109" i="1"/>
  <c r="SW121" i="1"/>
  <c r="SW123" i="1" s="1"/>
  <c r="TB121" i="1"/>
  <c r="TB123" i="1" s="1"/>
  <c r="TB135" i="1"/>
  <c r="TB144" i="1" s="1"/>
  <c r="TB136" i="1"/>
  <c r="PQ167" i="1"/>
  <c r="TB152" i="1"/>
  <c r="TB154" i="1" s="1"/>
  <c r="SX123" i="1"/>
  <c r="SX153" i="1"/>
  <c r="PP167" i="1"/>
  <c r="SZ152" i="1"/>
  <c r="SZ154" i="1" s="1"/>
  <c r="TC161" i="1"/>
  <c r="TA153" i="1"/>
  <c r="TA161" i="1"/>
  <c r="SX154" i="1"/>
  <c r="PM167" i="1"/>
  <c r="TC152" i="1"/>
  <c r="TC154" i="1" s="1"/>
  <c r="SZ161" i="1"/>
  <c r="SX145" i="1"/>
  <c r="SZ136" i="1"/>
  <c r="OD150" i="1"/>
  <c r="SY122" i="1"/>
  <c r="SY123" i="1" s="1"/>
  <c r="SY135" i="1"/>
  <c r="SY144" i="1" s="1"/>
  <c r="SY136" i="1"/>
  <c r="SZ135" i="1"/>
  <c r="TC135" i="1"/>
  <c r="TC136" i="1"/>
  <c r="TB128" i="1"/>
  <c r="TB131" i="1" s="1"/>
  <c r="TC128" i="1"/>
  <c r="TC131" i="1" s="1"/>
  <c r="TA128" i="1"/>
  <c r="TA131" i="1" s="1"/>
  <c r="SX131" i="1"/>
  <c r="SX132" i="1" s="1"/>
  <c r="SZ128" i="1"/>
  <c r="SZ130" i="1" s="1"/>
  <c r="SY128" i="1"/>
  <c r="SY130" i="1" s="1"/>
  <c r="SZ122" i="1"/>
  <c r="SZ123" i="1" s="1"/>
  <c r="PN151" i="1"/>
  <c r="PN153" i="1" s="1"/>
  <c r="PN139" i="1"/>
  <c r="PM139" i="1"/>
  <c r="PO139" i="1"/>
  <c r="PO145" i="1" s="1"/>
  <c r="PO153" i="1"/>
  <c r="PO155" i="1" s="1"/>
  <c r="PP151" i="1"/>
  <c r="PP154" i="1" s="1"/>
  <c r="PQ139" i="1"/>
  <c r="PL153" i="1"/>
  <c r="PQ151" i="1"/>
  <c r="PQ153" i="1" s="1"/>
  <c r="PL154" i="1"/>
  <c r="OA131" i="1"/>
  <c r="OA132" i="1" s="1"/>
  <c r="PM151" i="1"/>
  <c r="PM153" i="1" s="1"/>
  <c r="TA121" i="1"/>
  <c r="TA122" i="1"/>
  <c r="OC135" i="1"/>
  <c r="OC144" i="1" s="1"/>
  <c r="OE168" i="1"/>
  <c r="OF168" i="1"/>
  <c r="OD168" i="1"/>
  <c r="OG168" i="1"/>
  <c r="DC151" i="1"/>
  <c r="DC153" i="1" s="1"/>
  <c r="DE151" i="1"/>
  <c r="DA151" i="1"/>
  <c r="DB151" i="1"/>
  <c r="OG150" i="1"/>
  <c r="OD151" i="1"/>
  <c r="OF150" i="1"/>
  <c r="OG151" i="1"/>
  <c r="OE145" i="1"/>
  <c r="OF151" i="1"/>
  <c r="DA138" i="1"/>
  <c r="OC150" i="1"/>
  <c r="OC151" i="1"/>
  <c r="OF135" i="1"/>
  <c r="OF145" i="1" s="1"/>
  <c r="OB145" i="1"/>
  <c r="OD135" i="1"/>
  <c r="OG135" i="1"/>
  <c r="OG144" i="1" s="1"/>
  <c r="FB130" i="1"/>
  <c r="FB132" i="1" s="1"/>
  <c r="OA145" i="1"/>
  <c r="OA146" i="1" s="1"/>
  <c r="OF122" i="1"/>
  <c r="OF123" i="1" s="1"/>
  <c r="OD121" i="1"/>
  <c r="OD123" i="1" s="1"/>
  <c r="FD111" i="1"/>
  <c r="CZ145" i="1"/>
  <c r="OA122" i="1"/>
  <c r="OA123" i="1" s="1"/>
  <c r="OG111" i="1"/>
  <c r="DA139" i="1"/>
  <c r="FA145" i="1"/>
  <c r="FA146" i="1" s="1"/>
  <c r="FG138" i="1"/>
  <c r="FC138" i="1"/>
  <c r="OG121" i="1"/>
  <c r="OG123" i="1" s="1"/>
  <c r="FD138" i="1"/>
  <c r="FF138" i="1"/>
  <c r="FF111" i="1"/>
  <c r="DE138" i="1"/>
  <c r="DE144" i="1" s="1"/>
  <c r="OF111" i="1"/>
  <c r="DE139" i="1"/>
  <c r="FG111" i="1"/>
  <c r="DB138" i="1"/>
  <c r="DB144" i="1" s="1"/>
  <c r="OD111" i="1"/>
  <c r="DD139" i="1"/>
  <c r="DC145" i="1"/>
  <c r="OB123" i="1"/>
  <c r="CL127" i="1"/>
  <c r="CL130" i="1" s="1"/>
  <c r="FC111" i="1"/>
  <c r="DD138" i="1"/>
  <c r="DD144" i="1" s="1"/>
  <c r="OC111" i="1"/>
  <c r="DB139" i="1"/>
  <c r="OC122" i="1"/>
  <c r="OC123" i="1" s="1"/>
  <c r="FB145" i="1"/>
  <c r="OE121" i="1"/>
  <c r="OE122" i="1"/>
  <c r="FA130" i="1"/>
  <c r="FA132" i="1" s="1"/>
  <c r="CL149" i="1"/>
  <c r="CL154" i="1" s="1"/>
  <c r="CJ135" i="1"/>
  <c r="FE136" i="1"/>
  <c r="FE144" i="1" s="1"/>
  <c r="FC136" i="1"/>
  <c r="FF136" i="1"/>
  <c r="FF144" i="1" s="1"/>
  <c r="FD136" i="1"/>
  <c r="FD144" i="1" s="1"/>
  <c r="FG136" i="1"/>
  <c r="FG144" i="1" s="1"/>
  <c r="FE128" i="1"/>
  <c r="FD128" i="1"/>
  <c r="FD131" i="1" s="1"/>
  <c r="FG128" i="1"/>
  <c r="FG131" i="1" s="1"/>
  <c r="FF128" i="1"/>
  <c r="FF131" i="1" s="1"/>
  <c r="FC128" i="1"/>
  <c r="FC130" i="1" s="1"/>
  <c r="CI135" i="1"/>
  <c r="CM135" i="1"/>
  <c r="CL135" i="1"/>
  <c r="CL144" i="1" s="1"/>
  <c r="CH154" i="1"/>
  <c r="DA128" i="1"/>
  <c r="DA131" i="1" s="1"/>
  <c r="DC130" i="1"/>
  <c r="DC132" i="1" s="1"/>
  <c r="CY145" i="1"/>
  <c r="CY146" i="1" s="1"/>
  <c r="DE128" i="1"/>
  <c r="DE131" i="1" s="1"/>
  <c r="CZ130" i="1"/>
  <c r="DD128" i="1"/>
  <c r="DD130" i="1" s="1"/>
  <c r="CZ131" i="1"/>
  <c r="DB128" i="1"/>
  <c r="DB130" i="1" s="1"/>
  <c r="CG153" i="1"/>
  <c r="CG154" i="1"/>
  <c r="BQ170" i="1"/>
  <c r="CI122" i="1"/>
  <c r="CI123" i="1" s="1"/>
  <c r="BO162" i="1"/>
  <c r="BO164" i="1" s="1"/>
  <c r="CG122" i="1"/>
  <c r="CG123" i="1" s="1"/>
  <c r="CH131" i="1"/>
  <c r="CI149" i="1"/>
  <c r="CI154" i="1" s="1"/>
  <c r="CJ149" i="1"/>
  <c r="CJ153" i="1" s="1"/>
  <c r="CH153" i="1"/>
  <c r="CM149" i="1"/>
  <c r="CM153" i="1" s="1"/>
  <c r="CK154" i="1"/>
  <c r="CM127" i="1"/>
  <c r="CM130" i="1" s="1"/>
  <c r="BU170" i="1"/>
  <c r="BS163" i="1"/>
  <c r="BS164" i="1" s="1"/>
  <c r="CI127" i="1"/>
  <c r="CI130" i="1" s="1"/>
  <c r="CH130" i="1"/>
  <c r="BT170" i="1"/>
  <c r="CJ127" i="1"/>
  <c r="CJ131" i="1" s="1"/>
  <c r="BR170" i="1"/>
  <c r="CK130" i="1"/>
  <c r="CM122" i="1"/>
  <c r="CM123" i="1" s="1"/>
  <c r="BP173" i="1"/>
  <c r="CL143" i="1"/>
  <c r="CI143" i="1"/>
  <c r="CM143" i="1"/>
  <c r="CJ143" i="1"/>
  <c r="P140" i="1"/>
  <c r="R169" i="1"/>
  <c r="R172" i="1" s="1"/>
  <c r="Q172" i="1"/>
  <c r="Q173" i="1" s="1"/>
  <c r="CI139" i="1"/>
  <c r="CJ139" i="1"/>
  <c r="CK153" i="1"/>
  <c r="CJ122" i="1"/>
  <c r="CJ123" i="1" s="1"/>
  <c r="CH145" i="1"/>
  <c r="CL139" i="1"/>
  <c r="BU162" i="1"/>
  <c r="BU164" i="1" s="1"/>
  <c r="CL121" i="1"/>
  <c r="CL123" i="1" s="1"/>
  <c r="CM139" i="1"/>
  <c r="CG145" i="1"/>
  <c r="CG146" i="1" s="1"/>
  <c r="CK142" i="1"/>
  <c r="CK144" i="1" s="1"/>
  <c r="CJ142" i="1"/>
  <c r="CI142" i="1"/>
  <c r="CL142" i="1"/>
  <c r="CM142" i="1"/>
  <c r="BQ163" i="1"/>
  <c r="BQ164" i="1" s="1"/>
  <c r="BO172" i="1"/>
  <c r="BO173" i="1" s="1"/>
  <c r="BS154" i="1"/>
  <c r="BS155" i="1" s="1"/>
  <c r="CH123" i="1"/>
  <c r="BR172" i="1"/>
  <c r="BR173" i="1" s="1"/>
  <c r="BU171" i="1"/>
  <c r="BU173" i="1" s="1"/>
  <c r="BR162" i="1"/>
  <c r="BR164" i="1" s="1"/>
  <c r="CK121" i="1"/>
  <c r="CK123" i="1" s="1"/>
  <c r="P150" i="1"/>
  <c r="BT137" i="1"/>
  <c r="BT145" i="1" s="1"/>
  <c r="BQ171" i="1"/>
  <c r="BQ173" i="1" s="1"/>
  <c r="BO130" i="1"/>
  <c r="BU150" i="1"/>
  <c r="BU154" i="1" s="1"/>
  <c r="BU129" i="1"/>
  <c r="BR150" i="1"/>
  <c r="BR154" i="1" s="1"/>
  <c r="BT129" i="1"/>
  <c r="BR128" i="1"/>
  <c r="BT172" i="1"/>
  <c r="BT173" i="1" s="1"/>
  <c r="BP154" i="1"/>
  <c r="BT150" i="1"/>
  <c r="BT154" i="1" s="1"/>
  <c r="BR129" i="1"/>
  <c r="BQ150" i="1"/>
  <c r="BQ154" i="1" s="1"/>
  <c r="BP153" i="1"/>
  <c r="BQ129" i="1"/>
  <c r="BS172" i="1"/>
  <c r="BS171" i="1"/>
  <c r="BQ137" i="1"/>
  <c r="BQ144" i="1" s="1"/>
  <c r="BT163" i="1"/>
  <c r="BT164" i="1" s="1"/>
  <c r="BO131" i="1"/>
  <c r="BR137" i="1"/>
  <c r="BR145" i="1" s="1"/>
  <c r="BP145" i="1"/>
  <c r="BU137" i="1"/>
  <c r="BU144" i="1" s="1"/>
  <c r="R140" i="1"/>
  <c r="O169" i="1"/>
  <c r="O171" i="1" s="1"/>
  <c r="BU122" i="1"/>
  <c r="BU123" i="1" s="1"/>
  <c r="O140" i="1"/>
  <c r="BT122" i="1"/>
  <c r="BT123" i="1" s="1"/>
  <c r="N172" i="1"/>
  <c r="P169" i="1"/>
  <c r="P172" i="1" s="1"/>
  <c r="S140" i="1"/>
  <c r="N171" i="1"/>
  <c r="S169" i="1"/>
  <c r="S172" i="1" s="1"/>
  <c r="O149" i="1"/>
  <c r="P149" i="1"/>
  <c r="Q154" i="1"/>
  <c r="R149" i="1"/>
  <c r="N153" i="1"/>
  <c r="S149" i="1"/>
  <c r="BQ128" i="1"/>
  <c r="BP131" i="1"/>
  <c r="L155" i="1"/>
  <c r="BS130" i="1"/>
  <c r="BU128" i="1"/>
  <c r="BO121" i="1"/>
  <c r="BO123" i="1" s="1"/>
  <c r="BP123" i="1"/>
  <c r="L173" i="1"/>
  <c r="BP130" i="1"/>
  <c r="BT128" i="1"/>
  <c r="BS131" i="1"/>
  <c r="BR121" i="1"/>
  <c r="BR123" i="1" s="1"/>
  <c r="O150" i="1"/>
  <c r="R150" i="1"/>
  <c r="Q153" i="1"/>
  <c r="N154" i="1"/>
  <c r="S150" i="1"/>
  <c r="BQ122" i="1"/>
  <c r="BQ123" i="1" s="1"/>
  <c r="M145" i="1"/>
  <c r="O143" i="1"/>
  <c r="BS121" i="1"/>
  <c r="BS122" i="1"/>
  <c r="S137" i="1"/>
  <c r="P137" i="1"/>
  <c r="P144" i="1" s="1"/>
  <c r="O137" i="1"/>
  <c r="O144" i="1" s="1"/>
  <c r="L146" i="1"/>
  <c r="O119" i="1"/>
  <c r="R119" i="1"/>
  <c r="P119" i="1"/>
  <c r="S119" i="1"/>
  <c r="P143" i="1"/>
  <c r="R143" i="1"/>
  <c r="N145" i="1"/>
  <c r="S143" i="1"/>
  <c r="R137" i="1"/>
  <c r="Q137" i="1"/>
  <c r="Q144" i="1" s="1"/>
  <c r="VC131" i="1"/>
  <c r="VC132" i="1" s="1"/>
  <c r="SI153" i="1"/>
  <c r="SI155" i="1" s="1"/>
  <c r="TA154" i="1"/>
  <c r="TA145" i="1"/>
  <c r="CK131" i="1"/>
  <c r="Q131" i="1"/>
  <c r="VD163" i="1"/>
  <c r="VD164" i="1" s="1"/>
  <c r="UK146" i="1"/>
  <c r="UK123" i="1"/>
  <c r="UK164" i="1"/>
  <c r="UK132" i="1"/>
  <c r="VC155" i="1"/>
  <c r="VC163" i="1"/>
  <c r="VC162" i="1"/>
  <c r="VC112" i="1"/>
  <c r="VC113" i="1"/>
  <c r="VC171" i="1"/>
  <c r="VC172" i="1"/>
  <c r="VC145" i="1"/>
  <c r="VC123" i="1"/>
  <c r="UK172" i="1"/>
  <c r="UK171" i="1"/>
  <c r="SI114" i="1"/>
  <c r="UK113" i="1"/>
  <c r="UK112" i="1"/>
  <c r="UK154" i="1"/>
  <c r="UK153" i="1"/>
  <c r="TS112" i="1"/>
  <c r="TS113" i="1"/>
  <c r="TS164" i="1"/>
  <c r="TA114" i="1"/>
  <c r="TA164" i="1"/>
  <c r="TA172" i="1"/>
  <c r="TA171" i="1"/>
  <c r="QG146" i="1"/>
  <c r="QY123" i="1"/>
  <c r="QY155" i="1"/>
  <c r="SI173" i="1"/>
  <c r="SI145" i="1"/>
  <c r="SI144" i="1"/>
  <c r="SI163" i="1"/>
  <c r="SI162" i="1"/>
  <c r="RQ173" i="1"/>
  <c r="RQ123" i="1"/>
  <c r="RM146" i="1"/>
  <c r="OT146" i="1"/>
  <c r="OW164" i="1"/>
  <c r="QY146" i="1"/>
  <c r="RQ130" i="1"/>
  <c r="RQ131" i="1"/>
  <c r="RQ114" i="1"/>
  <c r="RQ155" i="1"/>
  <c r="QY132" i="1"/>
  <c r="QY113" i="1"/>
  <c r="QY112" i="1"/>
  <c r="PO132" i="1"/>
  <c r="QG153" i="1"/>
  <c r="QG154" i="1"/>
  <c r="QD163" i="1"/>
  <c r="QG157" i="1"/>
  <c r="OW123" i="1"/>
  <c r="QG132" i="1"/>
  <c r="QG114" i="1"/>
  <c r="QG123" i="1"/>
  <c r="PO122" i="1"/>
  <c r="PO121" i="1"/>
  <c r="NM164" i="1"/>
  <c r="PO173" i="1"/>
  <c r="PO112" i="1"/>
  <c r="PO113" i="1"/>
  <c r="OW114" i="1"/>
  <c r="OE114" i="1"/>
  <c r="PO164" i="1"/>
  <c r="OW154" i="1"/>
  <c r="OW153" i="1"/>
  <c r="MB145" i="1"/>
  <c r="MB146" i="1" s="1"/>
  <c r="OW173" i="1"/>
  <c r="OW145" i="1"/>
  <c r="OW144" i="1"/>
  <c r="OE154" i="1"/>
  <c r="OE153" i="1"/>
  <c r="OE163" i="1"/>
  <c r="OE162" i="1"/>
  <c r="NM173" i="1"/>
  <c r="OE173" i="1"/>
  <c r="NM122" i="1"/>
  <c r="NM121" i="1"/>
  <c r="NM154" i="1"/>
  <c r="NM153" i="1"/>
  <c r="LK155" i="1"/>
  <c r="MU114" i="1"/>
  <c r="NM132" i="1"/>
  <c r="NM112" i="1"/>
  <c r="NM113" i="1"/>
  <c r="MC132" i="1"/>
  <c r="MU123" i="1"/>
  <c r="MU132" i="1"/>
  <c r="NM145" i="1"/>
  <c r="NM144" i="1"/>
  <c r="MU172" i="1"/>
  <c r="MU171" i="1"/>
  <c r="MU155" i="1"/>
  <c r="MU164" i="1"/>
  <c r="MC164" i="1"/>
  <c r="MU146" i="1"/>
  <c r="MC112" i="1"/>
  <c r="MC113" i="1"/>
  <c r="LK146" i="1"/>
  <c r="LK132" i="1"/>
  <c r="MC123" i="1"/>
  <c r="MC145" i="1"/>
  <c r="MC144" i="1"/>
  <c r="MC155" i="1"/>
  <c r="LK173" i="1"/>
  <c r="KS132" i="1"/>
  <c r="LK114" i="1"/>
  <c r="LK123" i="1"/>
  <c r="KS145" i="1"/>
  <c r="KS144" i="1"/>
  <c r="KS112" i="1"/>
  <c r="KS113" i="1"/>
  <c r="KS155" i="1"/>
  <c r="KA164" i="1"/>
  <c r="KA146" i="1"/>
  <c r="KA123" i="1"/>
  <c r="KA173" i="1"/>
  <c r="KA131" i="1"/>
  <c r="KA130" i="1"/>
  <c r="JI114" i="1"/>
  <c r="JI146" i="1"/>
  <c r="KA114" i="1"/>
  <c r="HY114" i="1"/>
  <c r="IQ123" i="1"/>
  <c r="JI154" i="1"/>
  <c r="JI153" i="1"/>
  <c r="FW123" i="1"/>
  <c r="FW164" i="1"/>
  <c r="JI164" i="1"/>
  <c r="JI130" i="1"/>
  <c r="JI131" i="1"/>
  <c r="IQ114" i="1"/>
  <c r="IQ173" i="1"/>
  <c r="IQ154" i="1"/>
  <c r="IQ153" i="1"/>
  <c r="IQ146" i="1"/>
  <c r="IQ164" i="1"/>
  <c r="IQ132" i="1"/>
  <c r="HY121" i="1"/>
  <c r="HY122" i="1"/>
  <c r="GO146" i="1"/>
  <c r="GO173" i="1"/>
  <c r="HY164" i="1"/>
  <c r="HY145" i="1"/>
  <c r="HY144" i="1"/>
  <c r="HY171" i="1"/>
  <c r="HY172" i="1"/>
  <c r="HY154" i="1"/>
  <c r="HY153" i="1"/>
  <c r="HY130" i="1"/>
  <c r="HY131" i="1"/>
  <c r="DU164" i="1"/>
  <c r="FE173" i="1"/>
  <c r="HG114" i="1"/>
  <c r="HG146" i="1"/>
  <c r="HG123" i="1"/>
  <c r="HG172" i="1"/>
  <c r="HG171" i="1"/>
  <c r="HG163" i="1"/>
  <c r="HG162" i="1"/>
  <c r="HG154" i="1"/>
  <c r="HG153" i="1"/>
  <c r="HG130" i="1"/>
  <c r="HG131" i="1"/>
  <c r="GO154" i="1"/>
  <c r="GO153" i="1"/>
  <c r="GO164" i="1"/>
  <c r="FX112" i="1"/>
  <c r="FX114" i="1" s="1"/>
  <c r="GO114" i="1"/>
  <c r="FE155" i="1"/>
  <c r="FW131" i="1"/>
  <c r="FW130" i="1"/>
  <c r="FW173" i="1"/>
  <c r="FW146" i="1"/>
  <c r="EM146" i="1"/>
  <c r="FW113" i="1"/>
  <c r="FW112" i="1"/>
  <c r="DU146" i="1"/>
  <c r="DU123" i="1"/>
  <c r="EM123" i="1"/>
  <c r="EM155" i="1"/>
  <c r="FE114" i="1"/>
  <c r="FE164" i="1"/>
  <c r="DC173" i="1"/>
  <c r="FE123" i="1"/>
  <c r="EM130" i="1"/>
  <c r="EM131" i="1"/>
  <c r="EM172" i="1"/>
  <c r="EM171" i="1"/>
  <c r="EM113" i="1"/>
  <c r="EM112" i="1"/>
  <c r="DU113" i="1"/>
  <c r="DU112" i="1"/>
  <c r="CK114" i="1"/>
  <c r="DU155" i="1"/>
  <c r="DU132" i="1"/>
  <c r="DC123" i="1"/>
  <c r="DC112" i="1"/>
  <c r="DC113" i="1"/>
  <c r="BA114" i="1"/>
  <c r="DC164" i="1"/>
  <c r="BA132" i="1"/>
  <c r="BA164" i="1"/>
  <c r="CK163" i="1"/>
  <c r="CK162" i="1"/>
  <c r="BA173" i="1"/>
  <c r="CK172" i="1"/>
  <c r="CK171" i="1"/>
  <c r="AZ121" i="1"/>
  <c r="AZ123" i="1" s="1"/>
  <c r="BA155" i="1"/>
  <c r="BA146" i="1"/>
  <c r="BA121" i="1"/>
  <c r="BA122" i="1"/>
  <c r="AI145" i="1"/>
  <c r="AI144" i="1"/>
  <c r="AI154" i="1"/>
  <c r="AI153" i="1"/>
  <c r="AI122" i="1"/>
  <c r="AI121" i="1"/>
  <c r="AI113" i="1"/>
  <c r="AI112" i="1"/>
  <c r="AI173" i="1"/>
  <c r="Q164" i="1"/>
  <c r="Q122" i="1"/>
  <c r="Q121" i="1"/>
  <c r="OT173" i="1"/>
  <c r="S107" i="1"/>
  <c r="Q107" i="1"/>
  <c r="IN123" i="1"/>
  <c r="OT123" i="1"/>
  <c r="GL146" i="1"/>
  <c r="MR155" i="1"/>
  <c r="NJ173" i="1"/>
  <c r="AA82" i="28"/>
  <c r="OY145" i="1"/>
  <c r="OY146" i="1" s="1"/>
  <c r="LZ146" i="1"/>
  <c r="SX114" i="1"/>
  <c r="LZ164" i="1"/>
  <c r="OT164" i="1"/>
  <c r="UH132" i="1"/>
  <c r="FU112" i="1"/>
  <c r="FU114" i="1" s="1"/>
  <c r="Y82" i="28"/>
  <c r="AF69" i="28"/>
  <c r="AB82" i="28"/>
  <c r="FT114" i="1"/>
  <c r="AC108" i="41"/>
  <c r="IN173" i="1"/>
  <c r="AA91" i="28"/>
  <c r="Y91" i="28"/>
  <c r="AB91" i="28"/>
  <c r="AF78" i="28"/>
  <c r="QF157" i="1"/>
  <c r="QF163" i="1" s="1"/>
  <c r="AY121" i="1"/>
  <c r="AY123" i="1" s="1"/>
  <c r="QE157" i="1"/>
  <c r="QE163" i="1" s="1"/>
  <c r="QD162" i="1"/>
  <c r="QI157" i="1"/>
  <c r="QI163" i="1" s="1"/>
  <c r="QH157" i="1"/>
  <c r="QH162" i="1" s="1"/>
  <c r="QC163" i="1"/>
  <c r="QC164" i="1" s="1"/>
  <c r="AA68" i="41"/>
  <c r="OX145" i="1"/>
  <c r="OX146" i="1" s="1"/>
  <c r="BB122" i="1"/>
  <c r="BB123" i="1" s="1"/>
  <c r="VA162" i="1"/>
  <c r="VA164" i="1" s="1"/>
  <c r="U85" i="39"/>
  <c r="AF173" i="1"/>
  <c r="AC82" i="41"/>
  <c r="V94" i="28"/>
  <c r="UZ164" i="1"/>
  <c r="FY112" i="1"/>
  <c r="FY114" i="1" s="1"/>
  <c r="MA145" i="1"/>
  <c r="MA146" i="1" s="1"/>
  <c r="ME144" i="1"/>
  <c r="ME146" i="1" s="1"/>
  <c r="Z86" i="28"/>
  <c r="Z84" i="28"/>
  <c r="VB163" i="1"/>
  <c r="VB164" i="1" s="1"/>
  <c r="Z108" i="41"/>
  <c r="AB108" i="41"/>
  <c r="Y84" i="28"/>
  <c r="OD130" i="1"/>
  <c r="MD145" i="1"/>
  <c r="MD146" i="1" s="1"/>
  <c r="OU144" i="1"/>
  <c r="OU146" i="1" s="1"/>
  <c r="BC121" i="1"/>
  <c r="BC123" i="1" s="1"/>
  <c r="R131" i="1"/>
  <c r="TU130" i="1"/>
  <c r="FB114" i="1"/>
  <c r="Z97" i="41"/>
  <c r="NJ146" i="1"/>
  <c r="N132" i="1"/>
  <c r="RM114" i="1"/>
  <c r="LG173" i="1"/>
  <c r="JW146" i="1"/>
  <c r="OB173" i="1"/>
  <c r="AX146" i="1"/>
  <c r="QC123" i="1"/>
  <c r="UG164" i="1"/>
  <c r="FT173" i="1"/>
  <c r="DQ123" i="1"/>
  <c r="FS164" i="1"/>
  <c r="RN114" i="1"/>
  <c r="GK164" i="1"/>
  <c r="CG114" i="1"/>
  <c r="LY132" i="1"/>
  <c r="FA173" i="1"/>
  <c r="QU155" i="1"/>
  <c r="JX146" i="1"/>
  <c r="HC123" i="1"/>
  <c r="MR123" i="1"/>
  <c r="MQ123" i="1"/>
  <c r="SE173" i="1"/>
  <c r="JE146" i="1"/>
  <c r="M155" i="1"/>
  <c r="LY155" i="1"/>
  <c r="UZ132" i="1"/>
  <c r="AB84" i="28"/>
  <c r="AA86" i="28"/>
  <c r="FT123" i="1"/>
  <c r="AF71" i="28"/>
  <c r="HU114" i="1"/>
  <c r="FA123" i="1"/>
  <c r="TP164" i="1"/>
  <c r="U94" i="27"/>
  <c r="SF173" i="1"/>
  <c r="JF146" i="1"/>
  <c r="RM173" i="1"/>
  <c r="JF114" i="1"/>
  <c r="OA173" i="1"/>
  <c r="U107" i="27"/>
  <c r="JE173" i="1"/>
  <c r="Y86" i="28"/>
  <c r="TP132" i="1"/>
  <c r="AF73" i="28"/>
  <c r="AC68" i="41"/>
  <c r="U81" i="28"/>
  <c r="QU164" i="1"/>
  <c r="AA82" i="41"/>
  <c r="SE123" i="1"/>
  <c r="RM164" i="1"/>
  <c r="O131" i="1"/>
  <c r="U106" i="41"/>
  <c r="AX123" i="1"/>
  <c r="Z68" i="41"/>
  <c r="Z82" i="41"/>
  <c r="TQ131" i="1"/>
  <c r="OV145" i="1"/>
  <c r="OV146" i="1" s="1"/>
  <c r="VE163" i="1"/>
  <c r="VE164" i="1" s="1"/>
  <c r="FS155" i="1"/>
  <c r="X79" i="41"/>
  <c r="U94" i="28"/>
  <c r="NN145" i="1"/>
  <c r="W93" i="28"/>
  <c r="AC97" i="41"/>
  <c r="OD131" i="1"/>
  <c r="TU131" i="1"/>
  <c r="NO144" i="1"/>
  <c r="AA97" i="41"/>
  <c r="JX164" i="1"/>
  <c r="DR132" i="1"/>
  <c r="SE132" i="1"/>
  <c r="M132" i="1"/>
  <c r="FS114" i="1"/>
  <c r="P130" i="1"/>
  <c r="NL145" i="1"/>
  <c r="TT130" i="1"/>
  <c r="S131" i="1"/>
  <c r="CY123" i="1"/>
  <c r="V80" i="41"/>
  <c r="X130" i="41"/>
  <c r="NK144" i="1"/>
  <c r="TT131" i="1"/>
  <c r="X78" i="41"/>
  <c r="FV112" i="1"/>
  <c r="FV114" i="1" s="1"/>
  <c r="V85" i="39"/>
  <c r="FA164" i="1"/>
  <c r="P131" i="1"/>
  <c r="AW146" i="1"/>
  <c r="RN155" i="1"/>
  <c r="LZ155" i="1"/>
  <c r="JW155" i="1"/>
  <c r="KP155" i="1"/>
  <c r="NI146" i="1"/>
  <c r="IM173" i="1"/>
  <c r="M173" i="1"/>
  <c r="LY123" i="1"/>
  <c r="NK145" i="1"/>
  <c r="AW173" i="1"/>
  <c r="TR130" i="1"/>
  <c r="OF130" i="1"/>
  <c r="R130" i="1"/>
  <c r="NL144" i="1"/>
  <c r="HC114" i="1"/>
  <c r="U93" i="41"/>
  <c r="OG131" i="1"/>
  <c r="W92" i="28"/>
  <c r="AX173" i="1"/>
  <c r="X93" i="28"/>
  <c r="OG130" i="1"/>
  <c r="EJ146" i="1"/>
  <c r="OC130" i="1"/>
  <c r="W131" i="41"/>
  <c r="BO146" i="1"/>
  <c r="OS173" i="1"/>
  <c r="QC114" i="1"/>
  <c r="CY132" i="1"/>
  <c r="QD132" i="1"/>
  <c r="TQ130" i="1"/>
  <c r="O130" i="1"/>
  <c r="S130" i="1"/>
  <c r="LH123" i="1"/>
  <c r="M164" i="1"/>
  <c r="PK164" i="1"/>
  <c r="FA114" i="1"/>
  <c r="LH155" i="1"/>
  <c r="AW132" i="1"/>
  <c r="SX164" i="1"/>
  <c r="U133" i="27"/>
  <c r="HC146" i="1"/>
  <c r="QD123" i="1"/>
  <c r="LZ132" i="1"/>
  <c r="UH164" i="1"/>
  <c r="LY164" i="1"/>
  <c r="JW164" i="1"/>
  <c r="JF164" i="1"/>
  <c r="MR114" i="1"/>
  <c r="JW114" i="1"/>
  <c r="EJ123" i="1"/>
  <c r="UH123" i="1"/>
  <c r="QC132" i="1"/>
  <c r="FS123" i="1"/>
  <c r="MQ114" i="1"/>
  <c r="OB132" i="1"/>
  <c r="LH114" i="1"/>
  <c r="L114" i="1"/>
  <c r="LH173" i="1"/>
  <c r="RN173" i="1"/>
  <c r="SE155" i="1"/>
  <c r="LH146" i="1"/>
  <c r="SW164" i="1"/>
  <c r="PK155" i="1"/>
  <c r="CY164" i="1"/>
  <c r="LH132" i="1"/>
  <c r="KO132" i="1"/>
  <c r="FA155" i="1"/>
  <c r="AX155" i="1"/>
  <c r="DR155" i="1"/>
  <c r="CH114" i="1"/>
  <c r="BO155" i="1"/>
  <c r="IN164" i="1"/>
  <c r="IM123" i="1"/>
  <c r="UG146" i="1"/>
  <c r="AW114" i="1"/>
  <c r="PK173" i="1"/>
  <c r="GL173" i="1"/>
  <c r="RN123" i="1"/>
  <c r="AW164" i="1"/>
  <c r="JE123" i="1"/>
  <c r="DR146" i="1"/>
  <c r="QV132" i="1"/>
  <c r="HU164" i="1"/>
  <c r="QD146" i="1"/>
  <c r="JX173" i="1"/>
  <c r="OS123" i="1"/>
  <c r="AE132" i="1"/>
  <c r="AW155" i="1"/>
  <c r="FB173" i="1"/>
  <c r="LG155" i="1"/>
  <c r="UY155" i="1"/>
  <c r="IM132" i="1"/>
  <c r="QU132" i="1"/>
  <c r="LZ123" i="1"/>
  <c r="UG132" i="1"/>
  <c r="QV123" i="1"/>
  <c r="DE122" i="1"/>
  <c r="DE121" i="1"/>
  <c r="IO162" i="1"/>
  <c r="IO163" i="1"/>
  <c r="UI121" i="1"/>
  <c r="UI122" i="1"/>
  <c r="HI121" i="1"/>
  <c r="HI122" i="1"/>
  <c r="UH153" i="1"/>
  <c r="UJ148" i="1"/>
  <c r="UL148" i="1"/>
  <c r="UH154" i="1"/>
  <c r="UI148" i="1"/>
  <c r="UM148" i="1"/>
  <c r="FX162" i="1"/>
  <c r="FX163" i="1"/>
  <c r="OB162" i="1"/>
  <c r="OB163" i="1"/>
  <c r="OF157" i="1"/>
  <c r="OD157" i="1"/>
  <c r="OG157" i="1"/>
  <c r="OC157" i="1"/>
  <c r="AB72" i="27"/>
  <c r="Y72" i="27"/>
  <c r="AA72" i="27"/>
  <c r="Z72" i="27"/>
  <c r="Z77" i="27"/>
  <c r="AB77" i="27"/>
  <c r="Y77" i="27"/>
  <c r="AA77" i="27"/>
  <c r="Z90" i="27"/>
  <c r="AA90" i="27"/>
  <c r="AB90" i="27"/>
  <c r="Y90" i="27"/>
  <c r="GP163" i="1"/>
  <c r="GP162" i="1"/>
  <c r="DQ112" i="1"/>
  <c r="DQ113" i="1"/>
  <c r="TC112" i="1"/>
  <c r="TC113" i="1"/>
  <c r="HF112" i="1"/>
  <c r="HF113" i="1"/>
  <c r="QH131" i="1"/>
  <c r="QH130" i="1"/>
  <c r="AY162" i="1"/>
  <c r="AY163" i="1"/>
  <c r="AA77" i="28"/>
  <c r="AB77" i="28"/>
  <c r="Y77" i="28"/>
  <c r="Z77" i="28"/>
  <c r="GQ171" i="1"/>
  <c r="GQ172" i="1"/>
  <c r="RS154" i="1"/>
  <c r="RS153" i="1"/>
  <c r="RO154" i="1"/>
  <c r="RO153" i="1"/>
  <c r="MB153" i="1"/>
  <c r="MB154" i="1"/>
  <c r="PL145" i="1"/>
  <c r="PN134" i="1"/>
  <c r="PN144" i="1" s="1"/>
  <c r="PM134" i="1"/>
  <c r="PM144" i="1" s="1"/>
  <c r="PP134" i="1"/>
  <c r="PP144" i="1" s="1"/>
  <c r="PQ134" i="1"/>
  <c r="PQ144" i="1" s="1"/>
  <c r="Z74" i="41"/>
  <c r="AC74" i="41"/>
  <c r="AA74" i="41"/>
  <c r="AB74" i="41"/>
  <c r="AB85" i="28"/>
  <c r="Z85" i="28"/>
  <c r="AA85" i="28"/>
  <c r="Y85" i="28"/>
  <c r="AF72" i="28"/>
  <c r="OF131" i="1"/>
  <c r="LZ113" i="1"/>
  <c r="ME107" i="1"/>
  <c r="MD107" i="1"/>
  <c r="MB107" i="1"/>
  <c r="LZ112" i="1"/>
  <c r="MA107" i="1"/>
  <c r="DD162" i="1"/>
  <c r="DD163" i="1"/>
  <c r="UH113" i="1"/>
  <c r="UH112" i="1"/>
  <c r="UI107" i="1"/>
  <c r="UJ107" i="1"/>
  <c r="UM107" i="1"/>
  <c r="UL107" i="1"/>
  <c r="IR172" i="1"/>
  <c r="IR171" i="1"/>
  <c r="QI144" i="1"/>
  <c r="QI145" i="1"/>
  <c r="FV171" i="1"/>
  <c r="FV172" i="1"/>
  <c r="AZ144" i="1"/>
  <c r="AZ145" i="1"/>
  <c r="UJ144" i="1"/>
  <c r="UJ145" i="1"/>
  <c r="AZ112" i="1"/>
  <c r="AZ113" i="1"/>
  <c r="FC163" i="1"/>
  <c r="FC162" i="1"/>
  <c r="TT162" i="1"/>
  <c r="TT163" i="1"/>
  <c r="GP144" i="1"/>
  <c r="GP145" i="1"/>
  <c r="SH171" i="1"/>
  <c r="SH172" i="1"/>
  <c r="RR113" i="1"/>
  <c r="RR112" i="1"/>
  <c r="JH144" i="1"/>
  <c r="JH145" i="1"/>
  <c r="IO112" i="1"/>
  <c r="IO113" i="1"/>
  <c r="JJ112" i="1"/>
  <c r="JJ113" i="1"/>
  <c r="Z78" i="39"/>
  <c r="AC78" i="39"/>
  <c r="Y78" i="39"/>
  <c r="AA78" i="39"/>
  <c r="AB78" i="39"/>
  <c r="PK113" i="1"/>
  <c r="PK112" i="1"/>
  <c r="SE162" i="1"/>
  <c r="SE163" i="1"/>
  <c r="FD154" i="1"/>
  <c r="FD153" i="1"/>
  <c r="AC76" i="39"/>
  <c r="Y76" i="39"/>
  <c r="AA76" i="39"/>
  <c r="Z76" i="39"/>
  <c r="AB76" i="39"/>
  <c r="LM154" i="1"/>
  <c r="LM153" i="1"/>
  <c r="DA171" i="1"/>
  <c r="DA172" i="1"/>
  <c r="HZ112" i="1"/>
  <c r="HZ113" i="1"/>
  <c r="OA153" i="1"/>
  <c r="OA154" i="1"/>
  <c r="DW153" i="1"/>
  <c r="DW154" i="1"/>
  <c r="QF112" i="1"/>
  <c r="QF113" i="1"/>
  <c r="MS162" i="1"/>
  <c r="MS163" i="1"/>
  <c r="CY113" i="1"/>
  <c r="AF113" i="1"/>
  <c r="AH107" i="1"/>
  <c r="AF112" i="1"/>
  <c r="AJ107" i="1"/>
  <c r="AG107" i="1"/>
  <c r="AK107" i="1"/>
  <c r="OY121" i="1"/>
  <c r="OY122" i="1"/>
  <c r="CM113" i="1"/>
  <c r="FF171" i="1"/>
  <c r="FF172" i="1"/>
  <c r="RA153" i="1"/>
  <c r="RA154" i="1"/>
  <c r="KR130" i="1"/>
  <c r="KR131" i="1"/>
  <c r="FF112" i="1"/>
  <c r="FF113" i="1"/>
  <c r="AC98" i="41"/>
  <c r="AB98" i="41"/>
  <c r="AA98" i="41"/>
  <c r="Z98" i="41"/>
  <c r="AA72" i="41"/>
  <c r="AB72" i="41"/>
  <c r="AC72" i="41"/>
  <c r="Z72" i="41"/>
  <c r="HX162" i="1"/>
  <c r="HX163" i="1"/>
  <c r="IO121" i="1"/>
  <c r="IO122" i="1"/>
  <c r="EN144" i="1"/>
  <c r="EN145" i="1"/>
  <c r="AB113" i="27"/>
  <c r="Z113" i="27"/>
  <c r="AA113" i="27"/>
  <c r="Y113" i="27"/>
  <c r="FY144" i="1"/>
  <c r="FY145" i="1"/>
  <c r="SH153" i="1"/>
  <c r="SH154" i="1"/>
  <c r="BO113" i="1"/>
  <c r="NJ154" i="1"/>
  <c r="NJ153" i="1"/>
  <c r="NO148" i="1"/>
  <c r="NK148" i="1"/>
  <c r="NN148" i="1"/>
  <c r="NL148" i="1"/>
  <c r="CZ123" i="1"/>
  <c r="KB162" i="1"/>
  <c r="KB163" i="1"/>
  <c r="FF122" i="1"/>
  <c r="FF121" i="1"/>
  <c r="FB123" i="1"/>
  <c r="IR131" i="1"/>
  <c r="IR130" i="1"/>
  <c r="KC112" i="1"/>
  <c r="KC113" i="1"/>
  <c r="JX114" i="1"/>
  <c r="FY121" i="1"/>
  <c r="FY122" i="1"/>
  <c r="SX171" i="1"/>
  <c r="SX172" i="1"/>
  <c r="SZ166" i="1"/>
  <c r="TB166" i="1"/>
  <c r="TC166" i="1"/>
  <c r="SY166" i="1"/>
  <c r="NK162" i="1"/>
  <c r="NK163" i="1"/>
  <c r="NJ164" i="1"/>
  <c r="LL144" i="1"/>
  <c r="LL145" i="1"/>
  <c r="OV163" i="1"/>
  <c r="OV162" i="1"/>
  <c r="QC146" i="1"/>
  <c r="EO121" i="1"/>
  <c r="EO122" i="1"/>
  <c r="IS162" i="1"/>
  <c r="IS163" i="1"/>
  <c r="UM121" i="1"/>
  <c r="UM122" i="1"/>
  <c r="HE121" i="1"/>
  <c r="HE122" i="1"/>
  <c r="HD123" i="1"/>
  <c r="OS114" i="1"/>
  <c r="EN154" i="1"/>
  <c r="EN153" i="1"/>
  <c r="EJ155" i="1"/>
  <c r="QU146" i="1"/>
  <c r="UG153" i="1"/>
  <c r="UG154" i="1"/>
  <c r="CG132" i="1"/>
  <c r="HU144" i="1"/>
  <c r="HU145" i="1"/>
  <c r="GK146" i="1"/>
  <c r="FV163" i="1"/>
  <c r="FV162" i="1"/>
  <c r="FT164" i="1"/>
  <c r="AB112" i="27"/>
  <c r="AA112" i="27"/>
  <c r="Y112" i="27"/>
  <c r="Z112" i="27"/>
  <c r="NO145" i="1"/>
  <c r="NL171" i="1"/>
  <c r="NL172" i="1"/>
  <c r="OS153" i="1"/>
  <c r="OS154" i="1"/>
  <c r="GQ162" i="1"/>
  <c r="GQ163" i="1"/>
  <c r="GM163" i="1"/>
  <c r="GM162" i="1"/>
  <c r="DV130" i="1"/>
  <c r="DV131" i="1"/>
  <c r="AF144" i="1"/>
  <c r="AH134" i="1"/>
  <c r="AG134" i="1"/>
  <c r="AK134" i="1"/>
  <c r="AF145" i="1"/>
  <c r="AJ134" i="1"/>
  <c r="SZ112" i="1"/>
  <c r="SZ113" i="1"/>
  <c r="HI112" i="1"/>
  <c r="HI113" i="1"/>
  <c r="BB162" i="1"/>
  <c r="BB163" i="1"/>
  <c r="MV154" i="1"/>
  <c r="MV153" i="1"/>
  <c r="OC171" i="1"/>
  <c r="OC172" i="1"/>
  <c r="Y74" i="39"/>
  <c r="AA74" i="39"/>
  <c r="Z74" i="39"/>
  <c r="AC74" i="39"/>
  <c r="AB74" i="39"/>
  <c r="AA73" i="28"/>
  <c r="AB73" i="28"/>
  <c r="Y73" i="28"/>
  <c r="Z73" i="28"/>
  <c r="AC125" i="41"/>
  <c r="Z125" i="41"/>
  <c r="AA125" i="41"/>
  <c r="AB125" i="41"/>
  <c r="AC99" i="41"/>
  <c r="Z99" i="41"/>
  <c r="AA99" i="41"/>
  <c r="AB99" i="41"/>
  <c r="JW131" i="1"/>
  <c r="JW130" i="1"/>
  <c r="UZ171" i="1"/>
  <c r="VD166" i="1"/>
  <c r="VB166" i="1"/>
  <c r="UZ172" i="1"/>
  <c r="VE166" i="1"/>
  <c r="VA166" i="1"/>
  <c r="AB100" i="41"/>
  <c r="AC100" i="41"/>
  <c r="Z100" i="41"/>
  <c r="AA100" i="41"/>
  <c r="IM153" i="1"/>
  <c r="IM154" i="1"/>
  <c r="JE130" i="1"/>
  <c r="JE131" i="1"/>
  <c r="GP171" i="1"/>
  <c r="GP172" i="1"/>
  <c r="DQ146" i="1"/>
  <c r="AZ130" i="1"/>
  <c r="AZ131" i="1"/>
  <c r="NI164" i="1"/>
  <c r="MR146" i="1"/>
  <c r="LL131" i="1"/>
  <c r="LL130" i="1"/>
  <c r="LM131" i="1"/>
  <c r="LM130" i="1"/>
  <c r="VE130" i="1"/>
  <c r="VE131" i="1"/>
  <c r="VB131" i="1"/>
  <c r="VB130" i="1"/>
  <c r="GP112" i="1"/>
  <c r="GP113" i="1"/>
  <c r="DQ155" i="1"/>
  <c r="DQ132" i="1"/>
  <c r="RP153" i="1"/>
  <c r="RP154" i="1"/>
  <c r="LI122" i="1"/>
  <c r="LI121" i="1"/>
  <c r="RO121" i="1"/>
  <c r="RO122" i="1"/>
  <c r="ME154" i="1"/>
  <c r="ME153" i="1"/>
  <c r="Y79" i="39"/>
  <c r="AA79" i="39"/>
  <c r="AB79" i="39"/>
  <c r="AC79" i="39"/>
  <c r="Z79" i="39"/>
  <c r="PK145" i="1"/>
  <c r="EI164" i="1"/>
  <c r="JY121" i="1"/>
  <c r="JY122" i="1"/>
  <c r="AE173" i="1"/>
  <c r="LY112" i="1"/>
  <c r="LY113" i="1"/>
  <c r="DB162" i="1"/>
  <c r="DB163" i="1"/>
  <c r="UG112" i="1"/>
  <c r="UG113" i="1"/>
  <c r="QZ130" i="1"/>
  <c r="QZ131" i="1"/>
  <c r="UZ145" i="1"/>
  <c r="VB134" i="1"/>
  <c r="VE134" i="1"/>
  <c r="VE144" i="1" s="1"/>
  <c r="VA134" i="1"/>
  <c r="VA144" i="1" s="1"/>
  <c r="VD134" i="1"/>
  <c r="VD144" i="1" s="1"/>
  <c r="QU173" i="1"/>
  <c r="QE144" i="1"/>
  <c r="QE145" i="1"/>
  <c r="EI123" i="1"/>
  <c r="IM164" i="1"/>
  <c r="BB144" i="1"/>
  <c r="BB145" i="1"/>
  <c r="OU112" i="1"/>
  <c r="OU113" i="1"/>
  <c r="UH146" i="1"/>
  <c r="UL144" i="1"/>
  <c r="UL145" i="1"/>
  <c r="OX171" i="1"/>
  <c r="OX172" i="1"/>
  <c r="BC112" i="1"/>
  <c r="BC113" i="1"/>
  <c r="AX114" i="1"/>
  <c r="QV146" i="1"/>
  <c r="UH172" i="1"/>
  <c r="UH171" i="1"/>
  <c r="UJ166" i="1"/>
  <c r="UL166" i="1"/>
  <c r="UI166" i="1"/>
  <c r="UM166" i="1"/>
  <c r="FF162" i="1"/>
  <c r="FF163" i="1"/>
  <c r="FB164" i="1"/>
  <c r="MQ164" i="1"/>
  <c r="PM172" i="1"/>
  <c r="PM171" i="1"/>
  <c r="PL173" i="1"/>
  <c r="TO112" i="1"/>
  <c r="TO113" i="1"/>
  <c r="TQ162" i="1"/>
  <c r="TQ163" i="1"/>
  <c r="EJ130" i="1"/>
  <c r="EJ131" i="1"/>
  <c r="EL125" i="1"/>
  <c r="EO125" i="1"/>
  <c r="EN125" i="1"/>
  <c r="EK125" i="1"/>
  <c r="UZ123" i="1"/>
  <c r="HV171" i="1"/>
  <c r="HX166" i="1"/>
  <c r="HW166" i="1"/>
  <c r="HZ166" i="1"/>
  <c r="HV172" i="1"/>
  <c r="IA166" i="1"/>
  <c r="KO155" i="1"/>
  <c r="MQ155" i="1"/>
  <c r="Z115" i="27"/>
  <c r="Y115" i="27"/>
  <c r="AB115" i="27"/>
  <c r="AA115" i="27"/>
  <c r="AA104" i="27"/>
  <c r="AB104" i="27"/>
  <c r="Y104" i="27"/>
  <c r="Z104" i="27"/>
  <c r="AB123" i="27"/>
  <c r="Z123" i="27"/>
  <c r="Y123" i="27"/>
  <c r="AA123" i="27"/>
  <c r="AB102" i="27"/>
  <c r="AA102" i="27"/>
  <c r="Y102" i="27"/>
  <c r="Z102" i="27"/>
  <c r="HD146" i="1"/>
  <c r="SW132" i="1"/>
  <c r="SJ171" i="1"/>
  <c r="SJ172" i="1"/>
  <c r="RO112" i="1"/>
  <c r="RO113" i="1"/>
  <c r="JK144" i="1"/>
  <c r="JK145" i="1"/>
  <c r="IR112" i="1"/>
  <c r="IR113" i="1"/>
  <c r="AZ172" i="1"/>
  <c r="AZ171" i="1"/>
  <c r="BB171" i="1"/>
  <c r="BB172" i="1"/>
  <c r="KC144" i="1"/>
  <c r="KC145" i="1"/>
  <c r="JH112" i="1"/>
  <c r="JH113" i="1"/>
  <c r="U72" i="39"/>
  <c r="Y89" i="28"/>
  <c r="AB89" i="28"/>
  <c r="AA89" i="28"/>
  <c r="Z89" i="28"/>
  <c r="AF76" i="28"/>
  <c r="AB70" i="28"/>
  <c r="Z70" i="28"/>
  <c r="AA70" i="28"/>
  <c r="Y70" i="28"/>
  <c r="AC89" i="41"/>
  <c r="AA89" i="41"/>
  <c r="Z89" i="41"/>
  <c r="AB89" i="41"/>
  <c r="AC121" i="41"/>
  <c r="AA121" i="41"/>
  <c r="AB121" i="41"/>
  <c r="Z121" i="41"/>
  <c r="Z88" i="41"/>
  <c r="AA88" i="41"/>
  <c r="AC88" i="41"/>
  <c r="AB88" i="41"/>
  <c r="CH162" i="1"/>
  <c r="CH163" i="1"/>
  <c r="CM157" i="1"/>
  <c r="CJ157" i="1"/>
  <c r="CL157" i="1"/>
  <c r="CI157" i="1"/>
  <c r="HV121" i="1"/>
  <c r="HV122" i="1"/>
  <c r="HZ116" i="1"/>
  <c r="HW116" i="1"/>
  <c r="HX116" i="1"/>
  <c r="IA116" i="1"/>
  <c r="UZ112" i="1"/>
  <c r="VB107" i="1"/>
  <c r="VA107" i="1"/>
  <c r="VD107" i="1"/>
  <c r="UZ113" i="1"/>
  <c r="VE107" i="1"/>
  <c r="MS131" i="1"/>
  <c r="MS130" i="1"/>
  <c r="MR132" i="1"/>
  <c r="OG112" i="1"/>
  <c r="OG113" i="1"/>
  <c r="JW173" i="1"/>
  <c r="TR131" i="1"/>
  <c r="IR145" i="1"/>
  <c r="IR144" i="1"/>
  <c r="PK132" i="1"/>
  <c r="AB127" i="27"/>
  <c r="Y127" i="27"/>
  <c r="Z127" i="27"/>
  <c r="AA127" i="27"/>
  <c r="SG112" i="1"/>
  <c r="SG113" i="1"/>
  <c r="AY154" i="1"/>
  <c r="AY153" i="1"/>
  <c r="BB153" i="1"/>
  <c r="BB154" i="1"/>
  <c r="DS162" i="1"/>
  <c r="DS163" i="1"/>
  <c r="MA162" i="1"/>
  <c r="MA163" i="1"/>
  <c r="FF154" i="1"/>
  <c r="FF153" i="1"/>
  <c r="AC83" i="41"/>
  <c r="Z83" i="41"/>
  <c r="AB83" i="41"/>
  <c r="AA83" i="41"/>
  <c r="MR171" i="1"/>
  <c r="MR172" i="1"/>
  <c r="MW166" i="1"/>
  <c r="MV166" i="1"/>
  <c r="MT166" i="1"/>
  <c r="MS166" i="1"/>
  <c r="LL154" i="1"/>
  <c r="LL153" i="1"/>
  <c r="DD171" i="1"/>
  <c r="DD172" i="1"/>
  <c r="CZ173" i="1"/>
  <c r="GK173" i="1"/>
  <c r="HW112" i="1"/>
  <c r="HW113" i="1"/>
  <c r="VA153" i="1"/>
  <c r="VA154" i="1"/>
  <c r="R162" i="1"/>
  <c r="R163" i="1"/>
  <c r="O162" i="1"/>
  <c r="O163" i="1"/>
  <c r="AK171" i="1"/>
  <c r="AK172" i="1"/>
  <c r="PM163" i="1"/>
  <c r="PM162" i="1"/>
  <c r="PL164" i="1"/>
  <c r="N121" i="1"/>
  <c r="R116" i="1"/>
  <c r="S116" i="1"/>
  <c r="O116" i="1"/>
  <c r="P116" i="1"/>
  <c r="N122" i="1"/>
  <c r="LG132" i="1"/>
  <c r="SY162" i="1"/>
  <c r="SY163" i="1"/>
  <c r="SW114" i="1"/>
  <c r="UI130" i="1"/>
  <c r="UI131" i="1"/>
  <c r="MQ132" i="1"/>
  <c r="GK114" i="1"/>
  <c r="DT153" i="1"/>
  <c r="DT154" i="1"/>
  <c r="OA114" i="1"/>
  <c r="CY153" i="1"/>
  <c r="CY154" i="1"/>
  <c r="QI112" i="1"/>
  <c r="QI113" i="1"/>
  <c r="DV122" i="1"/>
  <c r="DV121" i="1"/>
  <c r="DT122" i="1"/>
  <c r="DT121" i="1"/>
  <c r="MR164" i="1"/>
  <c r="IM146" i="1"/>
  <c r="FT131" i="1"/>
  <c r="FV125" i="1"/>
  <c r="FU125" i="1"/>
  <c r="FY125" i="1"/>
  <c r="FT130" i="1"/>
  <c r="FX125" i="1"/>
  <c r="PL132" i="1"/>
  <c r="TO153" i="1"/>
  <c r="TO154" i="1"/>
  <c r="KT153" i="1"/>
  <c r="KT154" i="1"/>
  <c r="LL113" i="1"/>
  <c r="LL112" i="1"/>
  <c r="Z124" i="27"/>
  <c r="AB124" i="27"/>
  <c r="Y124" i="27"/>
  <c r="AA124" i="27"/>
  <c r="U81" i="27"/>
  <c r="V93" i="41"/>
  <c r="RM155" i="1"/>
  <c r="SE114" i="1"/>
  <c r="QF121" i="1"/>
  <c r="QF122" i="1"/>
  <c r="AE112" i="1"/>
  <c r="AE113" i="1"/>
  <c r="CH171" i="1"/>
  <c r="CJ166" i="1"/>
  <c r="CM166" i="1"/>
  <c r="CL166" i="1"/>
  <c r="CI166" i="1"/>
  <c r="CH172" i="1"/>
  <c r="HU131" i="1"/>
  <c r="HU130" i="1"/>
  <c r="CL113" i="1"/>
  <c r="LM171" i="1"/>
  <c r="LM172" i="1"/>
  <c r="MB130" i="1"/>
  <c r="MB131" i="1"/>
  <c r="SW155" i="1"/>
  <c r="UL163" i="1"/>
  <c r="UL162" i="1"/>
  <c r="FC172" i="1"/>
  <c r="FC171" i="1"/>
  <c r="QX153" i="1"/>
  <c r="QX154" i="1"/>
  <c r="QV155" i="1"/>
  <c r="KQ131" i="1"/>
  <c r="KQ130" i="1"/>
  <c r="FG112" i="1"/>
  <c r="FG113" i="1"/>
  <c r="KO113" i="1"/>
  <c r="KO112" i="1"/>
  <c r="AA109" i="41"/>
  <c r="Z109" i="41"/>
  <c r="AB109" i="41"/>
  <c r="AC109" i="41"/>
  <c r="AA114" i="41"/>
  <c r="AC114" i="41"/>
  <c r="Z114" i="41"/>
  <c r="AB114" i="41"/>
  <c r="V104" i="41"/>
  <c r="V105" i="41"/>
  <c r="W94" i="41"/>
  <c r="X94" i="41"/>
  <c r="AB102" i="41"/>
  <c r="AA102" i="41"/>
  <c r="AC102" i="41"/>
  <c r="Z102" i="41"/>
  <c r="W130" i="41"/>
  <c r="JK162" i="1"/>
  <c r="JK163" i="1"/>
  <c r="MW112" i="1"/>
  <c r="MW113" i="1"/>
  <c r="NI122" i="1"/>
  <c r="NI121" i="1"/>
  <c r="MA121" i="1"/>
  <c r="MA122" i="1"/>
  <c r="HZ163" i="1"/>
  <c r="HZ162" i="1"/>
  <c r="QX121" i="1"/>
  <c r="QX122" i="1"/>
  <c r="NN130" i="1"/>
  <c r="NN131" i="1"/>
  <c r="NK130" i="1"/>
  <c r="NK131" i="1"/>
  <c r="FV145" i="1"/>
  <c r="FV144" i="1"/>
  <c r="SK153" i="1"/>
  <c r="SK154" i="1"/>
  <c r="HD130" i="1"/>
  <c r="HD131" i="1"/>
  <c r="HI125" i="1"/>
  <c r="HF125" i="1"/>
  <c r="HE125" i="1"/>
  <c r="HH125" i="1"/>
  <c r="Y80" i="39"/>
  <c r="AB80" i="39"/>
  <c r="Z80" i="39"/>
  <c r="AA80" i="39"/>
  <c r="AC80" i="39"/>
  <c r="Z73" i="41"/>
  <c r="AB73" i="41"/>
  <c r="AA73" i="41"/>
  <c r="AC73" i="41"/>
  <c r="AB101" i="41"/>
  <c r="Z101" i="41"/>
  <c r="AC101" i="41"/>
  <c r="AA101" i="41"/>
  <c r="AA122" i="41"/>
  <c r="Z122" i="41"/>
  <c r="AC122" i="41"/>
  <c r="AB122" i="41"/>
  <c r="FG121" i="1"/>
  <c r="FG122" i="1"/>
  <c r="IP130" i="1"/>
  <c r="IP131" i="1"/>
  <c r="LI144" i="1"/>
  <c r="LI145" i="1"/>
  <c r="OY162" i="1"/>
  <c r="OY163" i="1"/>
  <c r="HC162" i="1"/>
  <c r="HC163" i="1"/>
  <c r="EO153" i="1"/>
  <c r="EO154" i="1"/>
  <c r="AA89" i="27"/>
  <c r="Y89" i="27"/>
  <c r="AB89" i="27"/>
  <c r="Z89" i="27"/>
  <c r="NK171" i="1"/>
  <c r="NK172" i="1"/>
  <c r="DS130" i="1"/>
  <c r="DS131" i="1"/>
  <c r="MS153" i="1"/>
  <c r="MS154" i="1"/>
  <c r="OG171" i="1"/>
  <c r="OG172" i="1"/>
  <c r="IN154" i="1"/>
  <c r="IR148" i="1"/>
  <c r="IN153" i="1"/>
  <c r="IO148" i="1"/>
  <c r="IP148" i="1"/>
  <c r="IS148" i="1"/>
  <c r="PK121" i="1"/>
  <c r="PK122" i="1"/>
  <c r="MS145" i="1"/>
  <c r="MS144" i="1"/>
  <c r="GQ112" i="1"/>
  <c r="GQ113" i="1"/>
  <c r="LM122" i="1"/>
  <c r="LM121" i="1"/>
  <c r="MA153" i="1"/>
  <c r="MA154" i="1"/>
  <c r="DV144" i="1"/>
  <c r="DV145" i="1"/>
  <c r="DA162" i="1"/>
  <c r="DA163" i="1"/>
  <c r="QW130" i="1"/>
  <c r="QW131" i="1"/>
  <c r="OV112" i="1"/>
  <c r="OV113" i="1"/>
  <c r="JY171" i="1"/>
  <c r="JY172" i="1"/>
  <c r="TP112" i="1"/>
  <c r="TP113" i="1"/>
  <c r="TT107" i="1"/>
  <c r="TQ107" i="1"/>
  <c r="TR107" i="1"/>
  <c r="TU107" i="1"/>
  <c r="HI144" i="1"/>
  <c r="HI145" i="1"/>
  <c r="AE121" i="1"/>
  <c r="AE122" i="1"/>
  <c r="SF144" i="1"/>
  <c r="SF145" i="1"/>
  <c r="SH134" i="1"/>
  <c r="SK134" i="1"/>
  <c r="SG134" i="1"/>
  <c r="SJ134" i="1"/>
  <c r="AB75" i="41"/>
  <c r="AC75" i="41"/>
  <c r="Z75" i="41"/>
  <c r="AA75" i="41"/>
  <c r="EI171" i="1"/>
  <c r="EI172" i="1"/>
  <c r="IP145" i="1"/>
  <c r="IP144" i="1"/>
  <c r="AB122" i="27"/>
  <c r="Y122" i="27"/>
  <c r="AA122" i="27"/>
  <c r="Z122" i="27"/>
  <c r="DT162" i="1"/>
  <c r="DT163" i="1"/>
  <c r="DE171" i="1"/>
  <c r="DE172" i="1"/>
  <c r="DV153" i="1"/>
  <c r="DV154" i="1"/>
  <c r="TP153" i="1"/>
  <c r="TT148" i="1"/>
  <c r="TP154" i="1"/>
  <c r="TR148" i="1"/>
  <c r="TU148" i="1"/>
  <c r="TQ148" i="1"/>
  <c r="KQ153" i="1"/>
  <c r="KQ154" i="1"/>
  <c r="Z109" i="27"/>
  <c r="Y109" i="27"/>
  <c r="AA109" i="27"/>
  <c r="AB109" i="27"/>
  <c r="AA73" i="27"/>
  <c r="Y73" i="27"/>
  <c r="Z73" i="27"/>
  <c r="AB73" i="27"/>
  <c r="AB85" i="27"/>
  <c r="Y85" i="27"/>
  <c r="AA85" i="27"/>
  <c r="Z85" i="27"/>
  <c r="HZ125" i="1"/>
  <c r="HV130" i="1"/>
  <c r="HV131" i="1"/>
  <c r="IA125" i="1"/>
  <c r="HX125" i="1"/>
  <c r="HW125" i="1"/>
  <c r="LJ172" i="1"/>
  <c r="LJ171" i="1"/>
  <c r="UJ162" i="1"/>
  <c r="UJ163" i="1"/>
  <c r="RP171" i="1"/>
  <c r="RP172" i="1"/>
  <c r="AA75" i="39"/>
  <c r="AC75" i="39"/>
  <c r="AB75" i="39"/>
  <c r="Y75" i="39"/>
  <c r="Z75" i="39"/>
  <c r="KP112" i="1"/>
  <c r="KQ107" i="1"/>
  <c r="KP113" i="1"/>
  <c r="KT107" i="1"/>
  <c r="KR107" i="1"/>
  <c r="KU107" i="1"/>
  <c r="AC69" i="41"/>
  <c r="Z69" i="41"/>
  <c r="AB69" i="41"/>
  <c r="AA69" i="41"/>
  <c r="AC129" i="41"/>
  <c r="AB129" i="41"/>
  <c r="AA129" i="41"/>
  <c r="Z129" i="41"/>
  <c r="DA121" i="1"/>
  <c r="DA122" i="1"/>
  <c r="FD121" i="1"/>
  <c r="FD122" i="1"/>
  <c r="NL162" i="1"/>
  <c r="NL163" i="1"/>
  <c r="LJ144" i="1"/>
  <c r="LJ145" i="1"/>
  <c r="OU162" i="1"/>
  <c r="OU163" i="1"/>
  <c r="EL121" i="1"/>
  <c r="EL122" i="1"/>
  <c r="EK122" i="1"/>
  <c r="EK121" i="1"/>
  <c r="UL121" i="1"/>
  <c r="UL122" i="1"/>
  <c r="HF122" i="1"/>
  <c r="HF121" i="1"/>
  <c r="KO144" i="1"/>
  <c r="KO145" i="1"/>
  <c r="HV144" i="1"/>
  <c r="HX134" i="1"/>
  <c r="HW134" i="1"/>
  <c r="HV145" i="1"/>
  <c r="HZ134" i="1"/>
  <c r="IA134" i="1"/>
  <c r="FU163" i="1"/>
  <c r="FU162" i="1"/>
  <c r="OA162" i="1"/>
  <c r="OA163" i="1"/>
  <c r="AA83" i="27"/>
  <c r="Z83" i="27"/>
  <c r="AB83" i="27"/>
  <c r="Y83" i="27"/>
  <c r="Y130" i="27"/>
  <c r="AA130" i="27"/>
  <c r="Z130" i="27"/>
  <c r="AB130" i="27"/>
  <c r="AB78" i="27"/>
  <c r="Z78" i="27"/>
  <c r="AA78" i="27"/>
  <c r="Y78" i="27"/>
  <c r="AB110" i="27"/>
  <c r="Z110" i="27"/>
  <c r="Y110" i="27"/>
  <c r="AA110" i="27"/>
  <c r="AA98" i="27"/>
  <c r="Z98" i="27"/>
  <c r="AB98" i="27"/>
  <c r="Y98" i="27"/>
  <c r="NO171" i="1"/>
  <c r="NO172" i="1"/>
  <c r="NN171" i="1"/>
  <c r="NN172" i="1"/>
  <c r="OT153" i="1"/>
  <c r="OY148" i="1"/>
  <c r="OX148" i="1"/>
  <c r="OT154" i="1"/>
  <c r="OU148" i="1"/>
  <c r="OV148" i="1"/>
  <c r="DW131" i="1"/>
  <c r="DW130" i="1"/>
  <c r="AE144" i="1"/>
  <c r="AE145" i="1"/>
  <c r="TB112" i="1"/>
  <c r="TB113" i="1"/>
  <c r="SY113" i="1"/>
  <c r="SY112" i="1"/>
  <c r="HE113" i="1"/>
  <c r="HE112" i="1"/>
  <c r="QI130" i="1"/>
  <c r="QI131" i="1"/>
  <c r="QE130" i="1"/>
  <c r="QE131" i="1"/>
  <c r="AZ163" i="1"/>
  <c r="AZ162" i="1"/>
  <c r="MT154" i="1"/>
  <c r="MT153" i="1"/>
  <c r="MW153" i="1"/>
  <c r="MW154" i="1"/>
  <c r="OD171" i="1"/>
  <c r="OD172" i="1"/>
  <c r="AA126" i="41"/>
  <c r="Z126" i="41"/>
  <c r="AC126" i="41"/>
  <c r="AB126" i="41"/>
  <c r="AC110" i="41"/>
  <c r="AA110" i="41"/>
  <c r="Z110" i="41"/>
  <c r="AB110" i="41"/>
  <c r="UY171" i="1"/>
  <c r="UY172" i="1"/>
  <c r="GN171" i="1"/>
  <c r="GN172" i="1"/>
  <c r="OC131" i="1"/>
  <c r="BB131" i="1"/>
  <c r="BB130" i="1"/>
  <c r="MW144" i="1"/>
  <c r="MW145" i="1"/>
  <c r="LI131" i="1"/>
  <c r="LI130" i="1"/>
  <c r="VD130" i="1"/>
  <c r="VD131" i="1"/>
  <c r="GM112" i="1"/>
  <c r="GM113" i="1"/>
  <c r="Z74" i="27"/>
  <c r="AA74" i="27"/>
  <c r="AB74" i="27"/>
  <c r="Y74" i="27"/>
  <c r="AB88" i="27"/>
  <c r="AA88" i="27"/>
  <c r="Y88" i="27"/>
  <c r="Z88" i="27"/>
  <c r="LL122" i="1"/>
  <c r="LL121" i="1"/>
  <c r="RR121" i="1"/>
  <c r="RR122" i="1"/>
  <c r="AB76" i="41"/>
  <c r="Z76" i="41"/>
  <c r="AC76" i="41"/>
  <c r="AA76" i="41"/>
  <c r="AA124" i="41"/>
  <c r="Z124" i="41"/>
  <c r="AB124" i="41"/>
  <c r="AC124" i="41"/>
  <c r="Y87" i="28"/>
  <c r="AA87" i="28"/>
  <c r="Z87" i="28"/>
  <c r="AB87" i="28"/>
  <c r="AF74" i="28"/>
  <c r="V132" i="41"/>
  <c r="KB121" i="1"/>
  <c r="KB122" i="1"/>
  <c r="DW145" i="1"/>
  <c r="DW144" i="1"/>
  <c r="DS144" i="1"/>
  <c r="DS145" i="1"/>
  <c r="DE162" i="1"/>
  <c r="DE163" i="1"/>
  <c r="RA131" i="1"/>
  <c r="RA130" i="1"/>
  <c r="IS171" i="1"/>
  <c r="IS172" i="1"/>
  <c r="UY145" i="1"/>
  <c r="QF145" i="1"/>
  <c r="QF144" i="1"/>
  <c r="FY171" i="1"/>
  <c r="FY172" i="1"/>
  <c r="AY144" i="1"/>
  <c r="AY145" i="1"/>
  <c r="OT114" i="1"/>
  <c r="UI145" i="1"/>
  <c r="UI144" i="1"/>
  <c r="OV171" i="1"/>
  <c r="OV172" i="1"/>
  <c r="AY113" i="1"/>
  <c r="AY112" i="1"/>
  <c r="QZ144" i="1"/>
  <c r="QZ145" i="1"/>
  <c r="UG171" i="1"/>
  <c r="UG172" i="1"/>
  <c r="FD162" i="1"/>
  <c r="FD163" i="1"/>
  <c r="KC171" i="1"/>
  <c r="KC172" i="1"/>
  <c r="JZ172" i="1"/>
  <c r="JZ171" i="1"/>
  <c r="QC153" i="1"/>
  <c r="QC154" i="1"/>
  <c r="PP171" i="1"/>
  <c r="PP172" i="1"/>
  <c r="RN130" i="1"/>
  <c r="RN131" i="1"/>
  <c r="RS125" i="1"/>
  <c r="RP125" i="1"/>
  <c r="RO125" i="1"/>
  <c r="RR125" i="1"/>
  <c r="HC171" i="1"/>
  <c r="HC172" i="1"/>
  <c r="HU153" i="1"/>
  <c r="HU154" i="1"/>
  <c r="TU162" i="1"/>
  <c r="TU163" i="1"/>
  <c r="GQ144" i="1"/>
  <c r="GQ145" i="1"/>
  <c r="VB121" i="1"/>
  <c r="VB122" i="1"/>
  <c r="HU172" i="1"/>
  <c r="HU171" i="1"/>
  <c r="Y129" i="27"/>
  <c r="AB129" i="27"/>
  <c r="AA129" i="27"/>
  <c r="Z129" i="27"/>
  <c r="V118" i="27"/>
  <c r="X108" i="27"/>
  <c r="V119" i="27"/>
  <c r="W108" i="27"/>
  <c r="HF144" i="1"/>
  <c r="HF145" i="1"/>
  <c r="HH144" i="1"/>
  <c r="HH145" i="1"/>
  <c r="AF121" i="1"/>
  <c r="AH116" i="1"/>
  <c r="AG116" i="1"/>
  <c r="AF122" i="1"/>
  <c r="AK116" i="1"/>
  <c r="AJ116" i="1"/>
  <c r="MW121" i="1"/>
  <c r="MW122" i="1"/>
  <c r="SE144" i="1"/>
  <c r="SE145" i="1"/>
  <c r="SK171" i="1"/>
  <c r="SK172" i="1"/>
  <c r="RP112" i="1"/>
  <c r="RP113" i="1"/>
  <c r="JG145" i="1"/>
  <c r="JG144" i="1"/>
  <c r="IP113" i="1"/>
  <c r="IP112" i="1"/>
  <c r="AY171" i="1"/>
  <c r="AY172" i="1"/>
  <c r="KB144" i="1"/>
  <c r="KB145" i="1"/>
  <c r="JG112" i="1"/>
  <c r="JG113" i="1"/>
  <c r="AB96" i="41"/>
  <c r="AC96" i="41"/>
  <c r="AA96" i="41"/>
  <c r="Z96" i="41"/>
  <c r="CG162" i="1"/>
  <c r="CG163" i="1"/>
  <c r="PL113" i="1"/>
  <c r="PL112" i="1"/>
  <c r="PN107" i="1"/>
  <c r="PM107" i="1"/>
  <c r="PQ107" i="1"/>
  <c r="PP107" i="1"/>
  <c r="HU122" i="1"/>
  <c r="HU121" i="1"/>
  <c r="UY112" i="1"/>
  <c r="UY113" i="1"/>
  <c r="MT130" i="1"/>
  <c r="MT131" i="1"/>
  <c r="OB114" i="1"/>
  <c r="IO144" i="1"/>
  <c r="IO145" i="1"/>
  <c r="AA101" i="27"/>
  <c r="Z101" i="27"/>
  <c r="Y101" i="27"/>
  <c r="AB101" i="27"/>
  <c r="SH112" i="1"/>
  <c r="SH113" i="1"/>
  <c r="AZ153" i="1"/>
  <c r="AZ154" i="1"/>
  <c r="DV162" i="1"/>
  <c r="DV163" i="1"/>
  <c r="MD162" i="1"/>
  <c r="MD163" i="1"/>
  <c r="FG153" i="1"/>
  <c r="FG154" i="1"/>
  <c r="AB128" i="41"/>
  <c r="Z128" i="41"/>
  <c r="AC128" i="41"/>
  <c r="AA128" i="41"/>
  <c r="V117" i="41"/>
  <c r="V118" i="41"/>
  <c r="X107" i="41"/>
  <c r="W107" i="41"/>
  <c r="MQ171" i="1"/>
  <c r="MQ172" i="1"/>
  <c r="LJ153" i="1"/>
  <c r="LJ154" i="1"/>
  <c r="IA112" i="1"/>
  <c r="IA113" i="1"/>
  <c r="VD153" i="1"/>
  <c r="VD154" i="1"/>
  <c r="S163" i="1"/>
  <c r="S162" i="1"/>
  <c r="AH171" i="1"/>
  <c r="AH172" i="1"/>
  <c r="PN163" i="1"/>
  <c r="PN162" i="1"/>
  <c r="HD153" i="1"/>
  <c r="HH148" i="1"/>
  <c r="HE148" i="1"/>
  <c r="HF148" i="1"/>
  <c r="HD154" i="1"/>
  <c r="HI148" i="1"/>
  <c r="L123" i="1"/>
  <c r="TB162" i="1"/>
  <c r="TB163" i="1"/>
  <c r="UL130" i="1"/>
  <c r="UL131" i="1"/>
  <c r="DS153" i="1"/>
  <c r="DS154" i="1"/>
  <c r="QE112" i="1"/>
  <c r="QE113" i="1"/>
  <c r="DW121" i="1"/>
  <c r="DW122" i="1"/>
  <c r="MW162" i="1"/>
  <c r="MW163" i="1"/>
  <c r="U132" i="41"/>
  <c r="PP131" i="1"/>
  <c r="PP130" i="1"/>
  <c r="LI112" i="1"/>
  <c r="LI113" i="1"/>
  <c r="LM112" i="1"/>
  <c r="LM113" i="1"/>
  <c r="Y111" i="27"/>
  <c r="AB111" i="27"/>
  <c r="Z111" i="27"/>
  <c r="AA111" i="27"/>
  <c r="Y76" i="27"/>
  <c r="AB76" i="27"/>
  <c r="Z76" i="27"/>
  <c r="AA76" i="27"/>
  <c r="AB100" i="27"/>
  <c r="Z100" i="27"/>
  <c r="AA100" i="27"/>
  <c r="Y100" i="27"/>
  <c r="AA86" i="27"/>
  <c r="Z86" i="27"/>
  <c r="Y86" i="27"/>
  <c r="AB86" i="27"/>
  <c r="QH122" i="1"/>
  <c r="QH121" i="1"/>
  <c r="OX121" i="1"/>
  <c r="OX122" i="1"/>
  <c r="CJ113" i="1"/>
  <c r="LI172" i="1"/>
  <c r="LI171" i="1"/>
  <c r="MA130" i="1"/>
  <c r="MA131" i="1"/>
  <c r="AF153" i="1"/>
  <c r="AJ148" i="1"/>
  <c r="AK148" i="1"/>
  <c r="AH148" i="1"/>
  <c r="AG148" i="1"/>
  <c r="AF154" i="1"/>
  <c r="UM162" i="1"/>
  <c r="UM163" i="1"/>
  <c r="FG171" i="1"/>
  <c r="FG172" i="1"/>
  <c r="RR172" i="1"/>
  <c r="RR171" i="1"/>
  <c r="QW153" i="1"/>
  <c r="QW154" i="1"/>
  <c r="KP132" i="1"/>
  <c r="FC112" i="1"/>
  <c r="FC113" i="1"/>
  <c r="AC81" i="39"/>
  <c r="AB81" i="39"/>
  <c r="Z81" i="39"/>
  <c r="AA81" i="39"/>
  <c r="Y81" i="39"/>
  <c r="AB71" i="28"/>
  <c r="AA71" i="28"/>
  <c r="Y71" i="28"/>
  <c r="Z71" i="28"/>
  <c r="AA123" i="41"/>
  <c r="AB123" i="41"/>
  <c r="Z123" i="41"/>
  <c r="AC123" i="41"/>
  <c r="Z71" i="41"/>
  <c r="AA71" i="41"/>
  <c r="AB71" i="41"/>
  <c r="AC71" i="41"/>
  <c r="AA88" i="28"/>
  <c r="Z88" i="28"/>
  <c r="Y88" i="28"/>
  <c r="AB88" i="28"/>
  <c r="AF75" i="28"/>
  <c r="JG162" i="1"/>
  <c r="JG163" i="1"/>
  <c r="MS112" i="1"/>
  <c r="MS113" i="1"/>
  <c r="MD121" i="1"/>
  <c r="MD122" i="1"/>
  <c r="HW162" i="1"/>
  <c r="HW163" i="1"/>
  <c r="IS121" i="1"/>
  <c r="IS122" i="1"/>
  <c r="QZ121" i="1"/>
  <c r="QZ122" i="1"/>
  <c r="EO144" i="1"/>
  <c r="EO145" i="1"/>
  <c r="EK144" i="1"/>
  <c r="EK145" i="1"/>
  <c r="GL153" i="1"/>
  <c r="GN148" i="1"/>
  <c r="GL154" i="1"/>
  <c r="GM148" i="1"/>
  <c r="GQ148" i="1"/>
  <c r="GP148" i="1"/>
  <c r="AB116" i="27"/>
  <c r="Z116" i="27"/>
  <c r="AA116" i="27"/>
  <c r="Y116" i="27"/>
  <c r="AB87" i="27"/>
  <c r="AA87" i="27"/>
  <c r="Z87" i="27"/>
  <c r="Y87" i="27"/>
  <c r="Y78" i="41"/>
  <c r="AG68" i="41" s="1"/>
  <c r="AH68" i="41" s="1"/>
  <c r="Y79" i="41"/>
  <c r="NL130" i="1"/>
  <c r="NL131" i="1"/>
  <c r="NJ132" i="1"/>
  <c r="FX144" i="1"/>
  <c r="FX145" i="1"/>
  <c r="SJ153" i="1"/>
  <c r="SJ154" i="1"/>
  <c r="HC130" i="1"/>
  <c r="HC131" i="1"/>
  <c r="JZ162" i="1"/>
  <c r="JZ163" i="1"/>
  <c r="QU112" i="1"/>
  <c r="QU113" i="1"/>
  <c r="JZ112" i="1"/>
  <c r="JZ113" i="1"/>
  <c r="FU121" i="1"/>
  <c r="FU122" i="1"/>
  <c r="NO162" i="1"/>
  <c r="NO163" i="1"/>
  <c r="X84" i="39"/>
  <c r="AC73" i="39"/>
  <c r="AA73" i="39"/>
  <c r="Y73" i="39"/>
  <c r="X83" i="39"/>
  <c r="AB73" i="39"/>
  <c r="Z73" i="39"/>
  <c r="NI112" i="1"/>
  <c r="NI113" i="1"/>
  <c r="AB128" i="27"/>
  <c r="Z128" i="27"/>
  <c r="Y128" i="27"/>
  <c r="AA128" i="27"/>
  <c r="GN162" i="1"/>
  <c r="GN163" i="1"/>
  <c r="DT130" i="1"/>
  <c r="DT131" i="1"/>
  <c r="BC162" i="1"/>
  <c r="BC163" i="1"/>
  <c r="JX130" i="1"/>
  <c r="KB125" i="1"/>
  <c r="JZ125" i="1"/>
  <c r="KC125" i="1"/>
  <c r="JX131" i="1"/>
  <c r="JY125" i="1"/>
  <c r="AB76" i="28"/>
  <c r="AA76" i="28"/>
  <c r="Y76" i="28"/>
  <c r="Z76" i="28"/>
  <c r="JF131" i="1"/>
  <c r="JF130" i="1"/>
  <c r="JJ125" i="1"/>
  <c r="JG125" i="1"/>
  <c r="JK125" i="1"/>
  <c r="JH125" i="1"/>
  <c r="GM171" i="1"/>
  <c r="GM172" i="1"/>
  <c r="AY130" i="1"/>
  <c r="AY131" i="1"/>
  <c r="RP122" i="1"/>
  <c r="RP121" i="1"/>
  <c r="JZ121" i="1"/>
  <c r="JZ122" i="1"/>
  <c r="IP172" i="1"/>
  <c r="IP171" i="1"/>
  <c r="JE153" i="1"/>
  <c r="JE154" i="1"/>
  <c r="RA144" i="1"/>
  <c r="RA145" i="1"/>
  <c r="PN172" i="1"/>
  <c r="PN171" i="1"/>
  <c r="GN145" i="1"/>
  <c r="GN144" i="1"/>
  <c r="VE121" i="1"/>
  <c r="VE122" i="1"/>
  <c r="MT122" i="1"/>
  <c r="MT121" i="1"/>
  <c r="JZ144" i="1"/>
  <c r="JZ145" i="1"/>
  <c r="V70" i="39"/>
  <c r="W69" i="39"/>
  <c r="X69" i="39"/>
  <c r="V71" i="39"/>
  <c r="MV130" i="1"/>
  <c r="MV131" i="1"/>
  <c r="OD112" i="1"/>
  <c r="OD113" i="1"/>
  <c r="SK113" i="1"/>
  <c r="SK112" i="1"/>
  <c r="AB83" i="28"/>
  <c r="Z83" i="28"/>
  <c r="AA83" i="28"/>
  <c r="Y83" i="28"/>
  <c r="AF70" i="28"/>
  <c r="VE154" i="1"/>
  <c r="VE153" i="1"/>
  <c r="X92" i="28"/>
  <c r="P163" i="1"/>
  <c r="P162" i="1"/>
  <c r="PP162" i="1"/>
  <c r="PP163" i="1"/>
  <c r="SZ162" i="1"/>
  <c r="SZ163" i="1"/>
  <c r="DS121" i="1"/>
  <c r="DS122" i="1"/>
  <c r="PQ130" i="1"/>
  <c r="PQ131" i="1"/>
  <c r="KU153" i="1"/>
  <c r="KU154" i="1"/>
  <c r="AA99" i="27"/>
  <c r="AB99" i="27"/>
  <c r="Y99" i="27"/>
  <c r="Z99" i="27"/>
  <c r="V79" i="27"/>
  <c r="X69" i="27"/>
  <c r="V80" i="27"/>
  <c r="W69" i="27"/>
  <c r="X91" i="41"/>
  <c r="X92" i="41"/>
  <c r="Z81" i="41"/>
  <c r="AC81" i="41"/>
  <c r="AA81" i="41"/>
  <c r="AB81" i="41"/>
  <c r="QE122" i="1"/>
  <c r="QE121" i="1"/>
  <c r="CG171" i="1"/>
  <c r="CG172" i="1"/>
  <c r="OV122" i="1"/>
  <c r="OV121" i="1"/>
  <c r="CI113" i="1"/>
  <c r="MD130" i="1"/>
  <c r="MD131" i="1"/>
  <c r="Y75" i="28"/>
  <c r="AA75" i="28"/>
  <c r="Z75" i="28"/>
  <c r="AB75" i="28"/>
  <c r="JJ162" i="1"/>
  <c r="JJ163" i="1"/>
  <c r="MV112" i="1"/>
  <c r="MV113" i="1"/>
  <c r="NJ121" i="1"/>
  <c r="NJ122" i="1"/>
  <c r="NO116" i="1"/>
  <c r="NK116" i="1"/>
  <c r="NL116" i="1"/>
  <c r="NN116" i="1"/>
  <c r="MB121" i="1"/>
  <c r="MB122" i="1"/>
  <c r="IA162" i="1"/>
  <c r="IA163" i="1"/>
  <c r="IR122" i="1"/>
  <c r="IR121" i="1"/>
  <c r="RA122" i="1"/>
  <c r="RA121" i="1"/>
  <c r="Y84" i="27"/>
  <c r="AB84" i="27"/>
  <c r="AA84" i="27"/>
  <c r="Z84" i="27"/>
  <c r="W78" i="41"/>
  <c r="NN144" i="1"/>
  <c r="DB122" i="1"/>
  <c r="DB121" i="1"/>
  <c r="JY162" i="1"/>
  <c r="JY163" i="1"/>
  <c r="IS130" i="1"/>
  <c r="IS131" i="1"/>
  <c r="JY112" i="1"/>
  <c r="JY113" i="1"/>
  <c r="FX121" i="1"/>
  <c r="FX122" i="1"/>
  <c r="SW172" i="1"/>
  <c r="SW171" i="1"/>
  <c r="OX162" i="1"/>
  <c r="OX163" i="1"/>
  <c r="EJ113" i="1"/>
  <c r="EK107" i="1"/>
  <c r="EJ112" i="1"/>
  <c r="EL107" i="1"/>
  <c r="EO107" i="1"/>
  <c r="EN107" i="1"/>
  <c r="IR162" i="1"/>
  <c r="IR163" i="1"/>
  <c r="EK153" i="1"/>
  <c r="EK154" i="1"/>
  <c r="DD122" i="1"/>
  <c r="DD121" i="1"/>
  <c r="KC162" i="1"/>
  <c r="KC163" i="1"/>
  <c r="CY173" i="1"/>
  <c r="FC121" i="1"/>
  <c r="FC122" i="1"/>
  <c r="IO130" i="1"/>
  <c r="IO131" i="1"/>
  <c r="IN132" i="1"/>
  <c r="QZ107" i="1"/>
  <c r="QV112" i="1"/>
  <c r="QW107" i="1"/>
  <c r="RA107" i="1"/>
  <c r="QV113" i="1"/>
  <c r="QX107" i="1"/>
  <c r="KB112" i="1"/>
  <c r="KB113" i="1"/>
  <c r="FV121" i="1"/>
  <c r="FV122" i="1"/>
  <c r="NN162" i="1"/>
  <c r="NN163" i="1"/>
  <c r="LM144" i="1"/>
  <c r="LM145" i="1"/>
  <c r="EI112" i="1"/>
  <c r="EI113" i="1"/>
  <c r="HD162" i="1"/>
  <c r="HI157" i="1"/>
  <c r="HE157" i="1"/>
  <c r="HH157" i="1"/>
  <c r="HD163" i="1"/>
  <c r="HF157" i="1"/>
  <c r="EN121" i="1"/>
  <c r="EN122" i="1"/>
  <c r="IP162" i="1"/>
  <c r="IP163" i="1"/>
  <c r="UJ121" i="1"/>
  <c r="UJ122" i="1"/>
  <c r="IM114" i="1"/>
  <c r="HH121" i="1"/>
  <c r="HH122" i="1"/>
  <c r="W84" i="39"/>
  <c r="W83" i="39"/>
  <c r="EL154" i="1"/>
  <c r="EL153" i="1"/>
  <c r="KP144" i="1"/>
  <c r="KP145" i="1"/>
  <c r="KU134" i="1"/>
  <c r="KR134" i="1"/>
  <c r="KQ134" i="1"/>
  <c r="KT134" i="1"/>
  <c r="NJ113" i="1"/>
  <c r="NJ112" i="1"/>
  <c r="NN107" i="1"/>
  <c r="NL107" i="1"/>
  <c r="NO107" i="1"/>
  <c r="NK107" i="1"/>
  <c r="TO164" i="1"/>
  <c r="FY162" i="1"/>
  <c r="FY163" i="1"/>
  <c r="UY123" i="1"/>
  <c r="AB96" i="27"/>
  <c r="Z96" i="27"/>
  <c r="Y96" i="27"/>
  <c r="AA96" i="27"/>
  <c r="AA97" i="27"/>
  <c r="Y97" i="27"/>
  <c r="AB97" i="27"/>
  <c r="Z97" i="27"/>
  <c r="GL164" i="1"/>
  <c r="DR112" i="1"/>
  <c r="DT107" i="1"/>
  <c r="DV107" i="1"/>
  <c r="DW107" i="1"/>
  <c r="DS107" i="1"/>
  <c r="DR113" i="1"/>
  <c r="HH112" i="1"/>
  <c r="HH113" i="1"/>
  <c r="HD114" i="1"/>
  <c r="JE114" i="1"/>
  <c r="QF130" i="1"/>
  <c r="QF131" i="1"/>
  <c r="AX164" i="1"/>
  <c r="OF171" i="1"/>
  <c r="OF172" i="1"/>
  <c r="Z77" i="39"/>
  <c r="Y77" i="39"/>
  <c r="AC77" i="39"/>
  <c r="AA77" i="39"/>
  <c r="AB77" i="39"/>
  <c r="V79" i="28"/>
  <c r="V80" i="28"/>
  <c r="X69" i="28"/>
  <c r="W69" i="28"/>
  <c r="Z111" i="41"/>
  <c r="AC111" i="41"/>
  <c r="AA111" i="41"/>
  <c r="AB111" i="41"/>
  <c r="AA77" i="41"/>
  <c r="AC77" i="41"/>
  <c r="Z77" i="41"/>
  <c r="AB77" i="41"/>
  <c r="AB113" i="41"/>
  <c r="Z113" i="41"/>
  <c r="AA113" i="41"/>
  <c r="AC113" i="41"/>
  <c r="Z112" i="41"/>
  <c r="AC112" i="41"/>
  <c r="AA112" i="41"/>
  <c r="AB112" i="41"/>
  <c r="PL121" i="1"/>
  <c r="PL122" i="1"/>
  <c r="PM116" i="1"/>
  <c r="PQ116" i="1"/>
  <c r="PP116" i="1"/>
  <c r="PN116" i="1"/>
  <c r="BC130" i="1"/>
  <c r="BC131" i="1"/>
  <c r="AX132" i="1"/>
  <c r="LG146" i="1"/>
  <c r="MT145" i="1"/>
  <c r="MT144" i="1"/>
  <c r="MV145" i="1"/>
  <c r="MV144" i="1"/>
  <c r="LJ130" i="1"/>
  <c r="LJ131" i="1"/>
  <c r="FS173" i="1"/>
  <c r="UG123" i="1"/>
  <c r="VA130" i="1"/>
  <c r="VA131" i="1"/>
  <c r="EI155" i="1"/>
  <c r="GN112" i="1"/>
  <c r="GN113" i="1"/>
  <c r="GL114" i="1"/>
  <c r="AB117" i="27"/>
  <c r="AA117" i="27"/>
  <c r="Z117" i="27"/>
  <c r="Y117" i="27"/>
  <c r="Z70" i="27"/>
  <c r="Y70" i="27"/>
  <c r="AB70" i="27"/>
  <c r="AA70" i="27"/>
  <c r="RR154" i="1"/>
  <c r="RR153" i="1"/>
  <c r="LJ121" i="1"/>
  <c r="LJ122" i="1"/>
  <c r="RS121" i="1"/>
  <c r="RS122" i="1"/>
  <c r="MD153" i="1"/>
  <c r="MD154" i="1"/>
  <c r="Z115" i="41"/>
  <c r="AA115" i="41"/>
  <c r="AC115" i="41"/>
  <c r="AB115" i="41"/>
  <c r="JX123" i="1"/>
  <c r="KC121" i="1"/>
  <c r="KC122" i="1"/>
  <c r="DT144" i="1"/>
  <c r="DT145" i="1"/>
  <c r="CZ164" i="1"/>
  <c r="QX130" i="1"/>
  <c r="QX131" i="1"/>
  <c r="IO172" i="1"/>
  <c r="IO171" i="1"/>
  <c r="QH145" i="1"/>
  <c r="QH144" i="1"/>
  <c r="JF153" i="1"/>
  <c r="JJ148" i="1"/>
  <c r="JF154" i="1"/>
  <c r="JG148" i="1"/>
  <c r="JH148" i="1"/>
  <c r="JK148" i="1"/>
  <c r="FU171" i="1"/>
  <c r="FU172" i="1"/>
  <c r="FX172" i="1"/>
  <c r="FX171" i="1"/>
  <c r="BC144" i="1"/>
  <c r="BC145" i="1"/>
  <c r="OY113" i="1"/>
  <c r="OY112" i="1"/>
  <c r="OX112" i="1"/>
  <c r="OX113" i="1"/>
  <c r="UM144" i="1"/>
  <c r="UM145" i="1"/>
  <c r="OU172" i="1"/>
  <c r="OU171" i="1"/>
  <c r="OY171" i="1"/>
  <c r="OY172" i="1"/>
  <c r="BB112" i="1"/>
  <c r="BB113" i="1"/>
  <c r="QW144" i="1"/>
  <c r="QW145" i="1"/>
  <c r="QX144" i="1"/>
  <c r="QX145" i="1"/>
  <c r="FG162" i="1"/>
  <c r="FG163" i="1"/>
  <c r="KB171" i="1"/>
  <c r="KB172" i="1"/>
  <c r="QE148" i="1"/>
  <c r="QD153" i="1"/>
  <c r="QD154" i="1"/>
  <c r="QF148" i="1"/>
  <c r="QI148" i="1"/>
  <c r="QH148" i="1"/>
  <c r="PQ171" i="1"/>
  <c r="PQ172" i="1"/>
  <c r="RM130" i="1"/>
  <c r="RM131" i="1"/>
  <c r="HD172" i="1"/>
  <c r="HD171" i="1"/>
  <c r="HE166" i="1"/>
  <c r="HH166" i="1"/>
  <c r="HF166" i="1"/>
  <c r="HI166" i="1"/>
  <c r="HV153" i="1"/>
  <c r="IA148" i="1"/>
  <c r="HZ148" i="1"/>
  <c r="HW148" i="1"/>
  <c r="HX148" i="1"/>
  <c r="HV154" i="1"/>
  <c r="TR162" i="1"/>
  <c r="TR163" i="1"/>
  <c r="GM144" i="1"/>
  <c r="GM145" i="1"/>
  <c r="EI130" i="1"/>
  <c r="EI131" i="1"/>
  <c r="VD121" i="1"/>
  <c r="VD122" i="1"/>
  <c r="VA122" i="1"/>
  <c r="VA121" i="1"/>
  <c r="LG114" i="1"/>
  <c r="Z91" i="27"/>
  <c r="Y91" i="27"/>
  <c r="AA91" i="27"/>
  <c r="AB91" i="27"/>
  <c r="Y103" i="27"/>
  <c r="AB103" i="27"/>
  <c r="Z103" i="27"/>
  <c r="AA103" i="27"/>
  <c r="Z71" i="27"/>
  <c r="Y71" i="27"/>
  <c r="AB71" i="27"/>
  <c r="AA71" i="27"/>
  <c r="Z114" i="27"/>
  <c r="AB114" i="27"/>
  <c r="Y114" i="27"/>
  <c r="AA114" i="27"/>
  <c r="AA126" i="27"/>
  <c r="Y126" i="27"/>
  <c r="AB126" i="27"/>
  <c r="Z126" i="27"/>
  <c r="V92" i="27"/>
  <c r="V93" i="27"/>
  <c r="W82" i="27"/>
  <c r="X82" i="27"/>
  <c r="U120" i="27"/>
  <c r="FS146" i="1"/>
  <c r="HE144" i="1"/>
  <c r="HE145" i="1"/>
  <c r="MV122" i="1"/>
  <c r="MV121" i="1"/>
  <c r="MS121" i="1"/>
  <c r="MS122" i="1"/>
  <c r="SG171" i="1"/>
  <c r="SG172" i="1"/>
  <c r="RS112" i="1"/>
  <c r="RS113" i="1"/>
  <c r="JJ144" i="1"/>
  <c r="JJ145" i="1"/>
  <c r="IN114" i="1"/>
  <c r="IS112" i="1"/>
  <c r="IS113" i="1"/>
  <c r="BC171" i="1"/>
  <c r="BC172" i="1"/>
  <c r="JY144" i="1"/>
  <c r="JY145" i="1"/>
  <c r="JK112" i="1"/>
  <c r="JK113" i="1"/>
  <c r="U80" i="41"/>
  <c r="Y82" i="39"/>
  <c r="AA82" i="39"/>
  <c r="AB82" i="39"/>
  <c r="AC82" i="39"/>
  <c r="Z82" i="39"/>
  <c r="Y90" i="28"/>
  <c r="AA90" i="28"/>
  <c r="AB90" i="28"/>
  <c r="Z90" i="28"/>
  <c r="AF77" i="28"/>
  <c r="AB74" i="28"/>
  <c r="Z74" i="28"/>
  <c r="AA74" i="28"/>
  <c r="Y74" i="28"/>
  <c r="AA84" i="41"/>
  <c r="AB84" i="41"/>
  <c r="Z84" i="41"/>
  <c r="AC84" i="41"/>
  <c r="AA90" i="41"/>
  <c r="AC90" i="41"/>
  <c r="Z90" i="41"/>
  <c r="AB90" i="41"/>
  <c r="AC116" i="41"/>
  <c r="Z116" i="41"/>
  <c r="AB116" i="41"/>
  <c r="AA116" i="41"/>
  <c r="AC70" i="41"/>
  <c r="AB70" i="41"/>
  <c r="AA70" i="41"/>
  <c r="Z70" i="41"/>
  <c r="AA103" i="41"/>
  <c r="Z103" i="41"/>
  <c r="AC103" i="41"/>
  <c r="AB103" i="41"/>
  <c r="AB72" i="28"/>
  <c r="Y72" i="28"/>
  <c r="Z72" i="28"/>
  <c r="AA72" i="28"/>
  <c r="AC86" i="41"/>
  <c r="AB86" i="41"/>
  <c r="AA86" i="41"/>
  <c r="Z86" i="41"/>
  <c r="MW130" i="1"/>
  <c r="MW131" i="1"/>
  <c r="EJ172" i="1"/>
  <c r="EJ171" i="1"/>
  <c r="EK166" i="1"/>
  <c r="EO166" i="1"/>
  <c r="EL166" i="1"/>
  <c r="EN166" i="1"/>
  <c r="SF162" i="1"/>
  <c r="SF163" i="1"/>
  <c r="SH157" i="1"/>
  <c r="SG157" i="1"/>
  <c r="SK157" i="1"/>
  <c r="SJ157" i="1"/>
  <c r="OC112" i="1"/>
  <c r="OC113" i="1"/>
  <c r="OF112" i="1"/>
  <c r="OF113" i="1"/>
  <c r="IS144" i="1"/>
  <c r="IS145" i="1"/>
  <c r="IN146" i="1"/>
  <c r="AA125" i="27"/>
  <c r="Y125" i="27"/>
  <c r="AB125" i="27"/>
  <c r="Z125" i="27"/>
  <c r="V105" i="27"/>
  <c r="V106" i="27"/>
  <c r="X95" i="27"/>
  <c r="W95" i="27"/>
  <c r="SJ112" i="1"/>
  <c r="SJ113" i="1"/>
  <c r="SF114" i="1"/>
  <c r="BC153" i="1"/>
  <c r="BC154" i="1"/>
  <c r="NI173" i="1"/>
  <c r="DW162" i="1"/>
  <c r="DW163" i="1"/>
  <c r="DR164" i="1"/>
  <c r="MB162" i="1"/>
  <c r="MB163" i="1"/>
  <c r="ME162" i="1"/>
  <c r="ME163" i="1"/>
  <c r="FC154" i="1"/>
  <c r="FC153" i="1"/>
  <c r="FB155" i="1"/>
  <c r="U119" i="41"/>
  <c r="X131" i="41"/>
  <c r="JW123" i="1"/>
  <c r="LI153" i="1"/>
  <c r="LI154" i="1"/>
  <c r="DB171" i="1"/>
  <c r="DB172" i="1"/>
  <c r="JE164" i="1"/>
  <c r="HX112" i="1"/>
  <c r="HX113" i="1"/>
  <c r="HV114" i="1"/>
  <c r="VB154" i="1"/>
  <c r="VB153" i="1"/>
  <c r="UZ155" i="1"/>
  <c r="OB153" i="1"/>
  <c r="OB154" i="1"/>
  <c r="OG148" i="1"/>
  <c r="OF148" i="1"/>
  <c r="OD148" i="1"/>
  <c r="OC148" i="1"/>
  <c r="N164" i="1"/>
  <c r="AJ171" i="1"/>
  <c r="AJ172" i="1"/>
  <c r="AG171" i="1"/>
  <c r="AG172" i="1"/>
  <c r="PQ162" i="1"/>
  <c r="PQ163" i="1"/>
  <c r="HC153" i="1"/>
  <c r="HC154" i="1"/>
  <c r="M121" i="1"/>
  <c r="M122" i="1"/>
  <c r="MQ146" i="1"/>
  <c r="TC162" i="1"/>
  <c r="TC163" i="1"/>
  <c r="UM130" i="1"/>
  <c r="UM131" i="1"/>
  <c r="UJ131" i="1"/>
  <c r="UJ130" i="1"/>
  <c r="QU123" i="1"/>
  <c r="EI146" i="1"/>
  <c r="CZ153" i="1"/>
  <c r="DE148" i="1"/>
  <c r="DB148" i="1"/>
  <c r="CZ154" i="1"/>
  <c r="DA148" i="1"/>
  <c r="DD148" i="1"/>
  <c r="QH112" i="1"/>
  <c r="QH113" i="1"/>
  <c r="QD114" i="1"/>
  <c r="DR123" i="1"/>
  <c r="MV162" i="1"/>
  <c r="MV163" i="1"/>
  <c r="MT162" i="1"/>
  <c r="MT163" i="1"/>
  <c r="UY132" i="1"/>
  <c r="FS130" i="1"/>
  <c r="FS131" i="1"/>
  <c r="DQ164" i="1"/>
  <c r="PM130" i="1"/>
  <c r="PM131" i="1"/>
  <c r="PN130" i="1"/>
  <c r="PN131" i="1"/>
  <c r="KR153" i="1"/>
  <c r="KR154" i="1"/>
  <c r="LJ112" i="1"/>
  <c r="LJ113" i="1"/>
  <c r="Y75" i="27"/>
  <c r="AA75" i="27"/>
  <c r="Z75" i="27"/>
  <c r="AB75" i="27"/>
  <c r="V131" i="27"/>
  <c r="X121" i="27"/>
  <c r="V132" i="27"/>
  <c r="W121" i="27"/>
  <c r="W91" i="41"/>
  <c r="W92" i="41"/>
  <c r="Y81" i="41"/>
  <c r="NI132" i="1"/>
  <c r="CZ112" i="1"/>
  <c r="DB107" i="1"/>
  <c r="CZ113" i="1"/>
  <c r="DE107" i="1"/>
  <c r="DD107" i="1"/>
  <c r="DA107" i="1"/>
  <c r="LG123" i="1"/>
  <c r="QI121" i="1"/>
  <c r="QI122" i="1"/>
  <c r="OU121" i="1"/>
  <c r="OU122" i="1"/>
  <c r="O107" i="1"/>
  <c r="LL171" i="1"/>
  <c r="LL172" i="1"/>
  <c r="ME130" i="1"/>
  <c r="ME131" i="1"/>
  <c r="AE154" i="1"/>
  <c r="AE153" i="1"/>
  <c r="UI162" i="1"/>
  <c r="UI163" i="1"/>
  <c r="FD171" i="1"/>
  <c r="FD172" i="1"/>
  <c r="RO171" i="1"/>
  <c r="RO172" i="1"/>
  <c r="RS171" i="1"/>
  <c r="RS172" i="1"/>
  <c r="QZ153" i="1"/>
  <c r="QZ154" i="1"/>
  <c r="KT131" i="1"/>
  <c r="KT130" i="1"/>
  <c r="KU130" i="1"/>
  <c r="KU131" i="1"/>
  <c r="FD113" i="1"/>
  <c r="FD112" i="1"/>
  <c r="AB127" i="41"/>
  <c r="Z127" i="41"/>
  <c r="AA127" i="41"/>
  <c r="AC127" i="41"/>
  <c r="Z95" i="41"/>
  <c r="AC95" i="41"/>
  <c r="AA95" i="41"/>
  <c r="AB95" i="41"/>
  <c r="Y130" i="41"/>
  <c r="AG72" i="41" s="1"/>
  <c r="Y131" i="41"/>
  <c r="JH163" i="1"/>
  <c r="JH162" i="1"/>
  <c r="MT112" i="1"/>
  <c r="MT113" i="1"/>
  <c r="ME122" i="1"/>
  <c r="ME121" i="1"/>
  <c r="OS164" i="1"/>
  <c r="HV164" i="1"/>
  <c r="RM123" i="1"/>
  <c r="IP121" i="1"/>
  <c r="IP122" i="1"/>
  <c r="QW122" i="1"/>
  <c r="QW121" i="1"/>
  <c r="EL144" i="1"/>
  <c r="EL145" i="1"/>
  <c r="GK153" i="1"/>
  <c r="GK154" i="1"/>
  <c r="W79" i="41"/>
  <c r="NO131" i="1"/>
  <c r="NO130" i="1"/>
  <c r="FU144" i="1"/>
  <c r="FU145" i="1"/>
  <c r="FT146" i="1"/>
  <c r="SG153" i="1"/>
  <c r="SG154" i="1"/>
  <c r="SF155" i="1"/>
  <c r="BP113" i="1"/>
  <c r="BR107" i="1"/>
  <c r="BR112" i="1" s="1"/>
  <c r="BQ107" i="1"/>
  <c r="BQ112" i="1" s="1"/>
  <c r="BT107" i="1"/>
  <c r="BT112" i="1" s="1"/>
  <c r="BU107" i="1"/>
  <c r="BU112" i="1" s="1"/>
  <c r="Y78" i="28"/>
  <c r="Z78" i="28"/>
  <c r="AB78" i="28"/>
  <c r="AA78" i="28"/>
  <c r="AA85" i="41"/>
  <c r="Z85" i="41"/>
  <c r="AB85" i="41"/>
  <c r="AC85" i="41"/>
  <c r="UY164" i="1"/>
  <c r="NI153" i="1"/>
  <c r="NI154" i="1"/>
  <c r="DA144" i="1" l="1"/>
  <c r="CM144" i="1"/>
  <c r="CJ144" i="1"/>
  <c r="CI144" i="1"/>
  <c r="TC144" i="1"/>
  <c r="R144" i="1"/>
  <c r="S144" i="1"/>
  <c r="FC144" i="1"/>
  <c r="SZ144" i="1"/>
  <c r="TU144" i="1"/>
  <c r="BT144" i="1"/>
  <c r="BR144" i="1"/>
  <c r="OF144" i="1"/>
  <c r="VB144" i="1"/>
  <c r="PO144" i="1"/>
  <c r="TS144" i="1"/>
  <c r="OD144" i="1"/>
  <c r="NR216" i="1" s="1"/>
  <c r="NR217" i="1" s="1"/>
  <c r="Q115" i="1"/>
  <c r="P115" i="1"/>
  <c r="BS113" i="1"/>
  <c r="S112" i="1"/>
  <c r="S113" i="1"/>
  <c r="O112" i="1"/>
  <c r="O113" i="1"/>
  <c r="Q113" i="1"/>
  <c r="Q112" i="1"/>
  <c r="C93" i="26"/>
  <c r="C89" i="87" s="1"/>
  <c r="BS146" i="1"/>
  <c r="C88" i="73"/>
  <c r="Q132" i="1"/>
  <c r="SG131" i="1"/>
  <c r="SG132" i="1" s="1"/>
  <c r="RS145" i="1"/>
  <c r="RS146" i="1" s="1"/>
  <c r="RO145" i="1"/>
  <c r="RO146" i="1" s="1"/>
  <c r="RR145" i="1"/>
  <c r="RR146" i="1" s="1"/>
  <c r="RQ144" i="1"/>
  <c r="RQ146" i="1" s="1"/>
  <c r="SK130" i="1"/>
  <c r="SK132" i="1" s="1"/>
  <c r="QV164" i="1"/>
  <c r="SJ130" i="1"/>
  <c r="SJ132" i="1" s="1"/>
  <c r="LY146" i="1"/>
  <c r="RP145" i="1"/>
  <c r="RP146" i="1" s="1"/>
  <c r="SI131" i="1"/>
  <c r="SI130" i="1"/>
  <c r="SJ122" i="1"/>
  <c r="SJ121" i="1"/>
  <c r="SF123" i="1"/>
  <c r="SK121" i="1"/>
  <c r="SK122" i="1"/>
  <c r="SG121" i="1"/>
  <c r="SG122" i="1"/>
  <c r="SH131" i="1"/>
  <c r="SH132" i="1" s="1"/>
  <c r="SH121" i="1"/>
  <c r="SH122" i="1"/>
  <c r="SI121" i="1"/>
  <c r="SI122" i="1"/>
  <c r="RO163" i="1"/>
  <c r="RO162" i="1"/>
  <c r="RQ163" i="1"/>
  <c r="RQ162" i="1"/>
  <c r="RN164" i="1"/>
  <c r="QV173" i="1"/>
  <c r="RS163" i="1"/>
  <c r="RS162" i="1"/>
  <c r="RR163" i="1"/>
  <c r="RR162" i="1"/>
  <c r="RP162" i="1"/>
  <c r="RP163" i="1"/>
  <c r="QX162" i="1"/>
  <c r="QX163" i="1"/>
  <c r="QZ172" i="1"/>
  <c r="QZ171" i="1"/>
  <c r="RA163" i="1"/>
  <c r="RA162" i="1"/>
  <c r="QY172" i="1"/>
  <c r="QY171" i="1"/>
  <c r="QW163" i="1"/>
  <c r="QW162" i="1"/>
  <c r="QY163" i="1"/>
  <c r="QY162" i="1"/>
  <c r="RA172" i="1"/>
  <c r="RA171" i="1"/>
  <c r="QX171" i="1"/>
  <c r="QX172" i="1"/>
  <c r="QZ163" i="1"/>
  <c r="QZ162" i="1"/>
  <c r="QW171" i="1"/>
  <c r="QW172" i="1"/>
  <c r="OT132" i="1"/>
  <c r="OV131" i="1"/>
  <c r="OV130" i="1"/>
  <c r="OY130" i="1"/>
  <c r="OY131" i="1"/>
  <c r="OX130" i="1"/>
  <c r="OX131" i="1"/>
  <c r="OU130" i="1"/>
  <c r="OU131" i="1"/>
  <c r="OW130" i="1"/>
  <c r="OW131" i="1"/>
  <c r="LK164" i="1"/>
  <c r="MC173" i="1"/>
  <c r="JX155" i="1"/>
  <c r="KS164" i="1"/>
  <c r="KS123" i="1"/>
  <c r="JZ153" i="1"/>
  <c r="JZ154" i="1"/>
  <c r="KC153" i="1"/>
  <c r="KC154" i="1"/>
  <c r="JY153" i="1"/>
  <c r="JY154" i="1"/>
  <c r="JF123" i="1"/>
  <c r="KB154" i="1"/>
  <c r="KB153" i="1"/>
  <c r="KA153" i="1"/>
  <c r="KA154" i="1"/>
  <c r="JK121" i="1"/>
  <c r="JK122" i="1"/>
  <c r="JI121" i="1"/>
  <c r="JI122" i="1"/>
  <c r="JG122" i="1"/>
  <c r="JG121" i="1"/>
  <c r="JG172" i="1"/>
  <c r="JG171" i="1"/>
  <c r="JH172" i="1"/>
  <c r="JH171" i="1"/>
  <c r="JJ121" i="1"/>
  <c r="JJ122" i="1"/>
  <c r="JK172" i="1"/>
  <c r="JK171" i="1"/>
  <c r="JJ171" i="1"/>
  <c r="JJ172" i="1"/>
  <c r="JH121" i="1"/>
  <c r="JH122" i="1"/>
  <c r="JF173" i="1"/>
  <c r="JI172" i="1"/>
  <c r="JI171" i="1"/>
  <c r="GO123" i="1"/>
  <c r="FT155" i="1"/>
  <c r="FU153" i="1"/>
  <c r="FU154" i="1"/>
  <c r="FY153" i="1"/>
  <c r="FY154" i="1"/>
  <c r="FX153" i="1"/>
  <c r="FX154" i="1"/>
  <c r="FW154" i="1"/>
  <c r="FW153" i="1"/>
  <c r="FV154" i="1"/>
  <c r="FV153" i="1"/>
  <c r="EJ164" i="1"/>
  <c r="EN162" i="1"/>
  <c r="EN163" i="1"/>
  <c r="EL163" i="1"/>
  <c r="EL162" i="1"/>
  <c r="EK162" i="1"/>
  <c r="EK163" i="1"/>
  <c r="EO162" i="1"/>
  <c r="EO163" i="1"/>
  <c r="EM163" i="1"/>
  <c r="EM162" i="1"/>
  <c r="DU173" i="1"/>
  <c r="AI164" i="1"/>
  <c r="AF132" i="1"/>
  <c r="AH130" i="1"/>
  <c r="AH131" i="1"/>
  <c r="AJ131" i="1"/>
  <c r="AJ130" i="1"/>
  <c r="AK130" i="1"/>
  <c r="AK131" i="1"/>
  <c r="AG130" i="1"/>
  <c r="AG131" i="1"/>
  <c r="AI130" i="1"/>
  <c r="AI131" i="1"/>
  <c r="CK155" i="1"/>
  <c r="TU122" i="1"/>
  <c r="TU123" i="1" s="1"/>
  <c r="R154" i="1"/>
  <c r="TS153" i="1"/>
  <c r="TS155" i="1" s="1"/>
  <c r="TF216" i="1"/>
  <c r="TF217" i="1" s="1"/>
  <c r="TR122" i="1"/>
  <c r="TR123" i="1" s="1"/>
  <c r="TR145" i="1"/>
  <c r="TP146" i="1"/>
  <c r="TU145" i="1"/>
  <c r="TP123" i="1"/>
  <c r="TQ121" i="1"/>
  <c r="TQ123" i="1" s="1"/>
  <c r="TT145" i="1"/>
  <c r="TS173" i="1"/>
  <c r="TT122" i="1"/>
  <c r="TT123" i="1" s="1"/>
  <c r="SZ153" i="1"/>
  <c r="SZ155" i="1" s="1"/>
  <c r="TS146" i="1"/>
  <c r="PN154" i="1"/>
  <c r="PN155" i="1" s="1"/>
  <c r="SZ131" i="1"/>
  <c r="SZ132" i="1" s="1"/>
  <c r="TQ145" i="1"/>
  <c r="TB130" i="1"/>
  <c r="TB132" i="1" s="1"/>
  <c r="SY154" i="1"/>
  <c r="SY155" i="1" s="1"/>
  <c r="OE146" i="1"/>
  <c r="TB153" i="1"/>
  <c r="TB155" i="1" s="1"/>
  <c r="TB145" i="1"/>
  <c r="CK132" i="1"/>
  <c r="TC153" i="1"/>
  <c r="TC155" i="1" s="1"/>
  <c r="OC145" i="1"/>
  <c r="OC146" i="1" s="1"/>
  <c r="OF146" i="1"/>
  <c r="SY145" i="1"/>
  <c r="SX146" i="1"/>
  <c r="TA130" i="1"/>
  <c r="TA132" i="1" s="1"/>
  <c r="TC145" i="1"/>
  <c r="SX155" i="1"/>
  <c r="TA155" i="1"/>
  <c r="TC130" i="1"/>
  <c r="TC132" i="1" s="1"/>
  <c r="PP153" i="1"/>
  <c r="PP155" i="1" s="1"/>
  <c r="SZ145" i="1"/>
  <c r="SY131" i="1"/>
  <c r="SY132" i="1" s="1"/>
  <c r="PM154" i="1"/>
  <c r="PM155" i="1" s="1"/>
  <c r="PO146" i="1"/>
  <c r="PL155" i="1"/>
  <c r="PQ154" i="1"/>
  <c r="PQ155" i="1" s="1"/>
  <c r="DC154" i="1"/>
  <c r="DC155" i="1" s="1"/>
  <c r="TA123" i="1"/>
  <c r="OB146" i="1"/>
  <c r="CL131" i="1"/>
  <c r="CL132" i="1" s="1"/>
  <c r="DA145" i="1"/>
  <c r="OD145" i="1"/>
  <c r="OD146" i="1" s="1"/>
  <c r="OG145" i="1"/>
  <c r="OG146" i="1" s="1"/>
  <c r="FG145" i="1"/>
  <c r="CZ146" i="1"/>
  <c r="ER216" i="1"/>
  <c r="ER217" i="1" s="1"/>
  <c r="CP216" i="1"/>
  <c r="CP217" i="1" s="1"/>
  <c r="DE145" i="1"/>
  <c r="DB145" i="1"/>
  <c r="FC145" i="1"/>
  <c r="DD145" i="1"/>
  <c r="FB146" i="1"/>
  <c r="DC146" i="1"/>
  <c r="OE123" i="1"/>
  <c r="FF130" i="1"/>
  <c r="FF132" i="1" s="1"/>
  <c r="FD130" i="1"/>
  <c r="FD132" i="1" s="1"/>
  <c r="CL153" i="1"/>
  <c r="CL155" i="1" s="1"/>
  <c r="FG130" i="1"/>
  <c r="FG132" i="1" s="1"/>
  <c r="FC131" i="1"/>
  <c r="FC132" i="1" s="1"/>
  <c r="FF145" i="1"/>
  <c r="CH155" i="1"/>
  <c r="FD145" i="1"/>
  <c r="DA130" i="1"/>
  <c r="DA132" i="1" s="1"/>
  <c r="FE145" i="1"/>
  <c r="FE131" i="1"/>
  <c r="FE130" i="1"/>
  <c r="CZ132" i="1"/>
  <c r="CJ130" i="1"/>
  <c r="CJ132" i="1" s="1"/>
  <c r="DB131" i="1"/>
  <c r="DB132" i="1" s="1"/>
  <c r="CH132" i="1"/>
  <c r="CM131" i="1"/>
  <c r="CM132" i="1" s="1"/>
  <c r="R171" i="1"/>
  <c r="R173" i="1" s="1"/>
  <c r="DE130" i="1"/>
  <c r="DE132" i="1" s="1"/>
  <c r="CG155" i="1"/>
  <c r="DD131" i="1"/>
  <c r="DD132" i="1" s="1"/>
  <c r="CI153" i="1"/>
  <c r="CI155" i="1" s="1"/>
  <c r="CJ154" i="1"/>
  <c r="CJ155" i="1" s="1"/>
  <c r="CM154" i="1"/>
  <c r="CM155" i="1" s="1"/>
  <c r="CI131" i="1"/>
  <c r="CI132" i="1" s="1"/>
  <c r="BX216" i="1"/>
  <c r="BX217" i="1" s="1"/>
  <c r="BP155" i="1"/>
  <c r="BU130" i="1"/>
  <c r="CH146" i="1"/>
  <c r="CL145" i="1"/>
  <c r="CI145" i="1"/>
  <c r="BU131" i="1"/>
  <c r="CM145" i="1"/>
  <c r="CJ145" i="1"/>
  <c r="CK145" i="1"/>
  <c r="CK146" i="1" s="1"/>
  <c r="P153" i="1"/>
  <c r="BR130" i="1"/>
  <c r="BO132" i="1"/>
  <c r="BR153" i="1"/>
  <c r="BR155" i="1" s="1"/>
  <c r="BT146" i="1"/>
  <c r="BU153" i="1"/>
  <c r="BU155" i="1" s="1"/>
  <c r="N173" i="1"/>
  <c r="BR131" i="1"/>
  <c r="BQ153" i="1"/>
  <c r="BQ155" i="1" s="1"/>
  <c r="S154" i="1"/>
  <c r="P154" i="1"/>
  <c r="BF216" i="1"/>
  <c r="BF217" i="1" s="1"/>
  <c r="S153" i="1"/>
  <c r="BP146" i="1"/>
  <c r="BT153" i="1"/>
  <c r="BT155" i="1" s="1"/>
  <c r="BT130" i="1"/>
  <c r="BU145" i="1"/>
  <c r="BU146" i="1" s="1"/>
  <c r="BQ145" i="1"/>
  <c r="BQ146" i="1" s="1"/>
  <c r="O153" i="1"/>
  <c r="BQ130" i="1"/>
  <c r="Q155" i="1"/>
  <c r="BQ131" i="1"/>
  <c r="O172" i="1"/>
  <c r="O173" i="1" s="1"/>
  <c r="BP132" i="1"/>
  <c r="P171" i="1"/>
  <c r="P173" i="1" s="1"/>
  <c r="BS173" i="1"/>
  <c r="S171" i="1"/>
  <c r="S173" i="1" s="1"/>
  <c r="O154" i="1"/>
  <c r="BT131" i="1"/>
  <c r="N155" i="1"/>
  <c r="BS132" i="1"/>
  <c r="O145" i="1"/>
  <c r="R153" i="1"/>
  <c r="R145" i="1"/>
  <c r="C89" i="75"/>
  <c r="N146" i="1"/>
  <c r="S145" i="1"/>
  <c r="M146" i="1"/>
  <c r="BS123" i="1"/>
  <c r="P145" i="1"/>
  <c r="J31" i="10"/>
  <c r="Q145" i="1"/>
  <c r="TA146" i="1"/>
  <c r="VC173" i="1"/>
  <c r="VC146" i="1"/>
  <c r="TS114" i="1"/>
  <c r="UK114" i="1"/>
  <c r="TA173" i="1"/>
  <c r="VC164" i="1"/>
  <c r="UK173" i="1"/>
  <c r="VC114" i="1"/>
  <c r="UK155" i="1"/>
  <c r="RQ132" i="1"/>
  <c r="QG155" i="1"/>
  <c r="SI146" i="1"/>
  <c r="SI164" i="1"/>
  <c r="QY114" i="1"/>
  <c r="QD164" i="1"/>
  <c r="QG163" i="1"/>
  <c r="QG162" i="1"/>
  <c r="PO114" i="1"/>
  <c r="OE164" i="1"/>
  <c r="OW146" i="1"/>
  <c r="OW155" i="1"/>
  <c r="PO123" i="1"/>
  <c r="OE155" i="1"/>
  <c r="NM146" i="1"/>
  <c r="NM123" i="1"/>
  <c r="NM114" i="1"/>
  <c r="NM155" i="1"/>
  <c r="MC114" i="1"/>
  <c r="MU173" i="1"/>
  <c r="MC146" i="1"/>
  <c r="KS146" i="1"/>
  <c r="KS114" i="1"/>
  <c r="KA132" i="1"/>
  <c r="IQ155" i="1"/>
  <c r="HY123" i="1"/>
  <c r="JI132" i="1"/>
  <c r="JI155" i="1"/>
  <c r="GO155" i="1"/>
  <c r="HG173" i="1"/>
  <c r="HY155" i="1"/>
  <c r="HY146" i="1"/>
  <c r="HG155" i="1"/>
  <c r="HG164" i="1"/>
  <c r="HY132" i="1"/>
  <c r="HY173" i="1"/>
  <c r="FW132" i="1"/>
  <c r="HG132" i="1"/>
  <c r="EM132" i="1"/>
  <c r="FW114" i="1"/>
  <c r="DU114" i="1"/>
  <c r="EM173" i="1"/>
  <c r="EM114" i="1"/>
  <c r="DC114" i="1"/>
  <c r="BS114" i="1"/>
  <c r="CK164" i="1"/>
  <c r="CK173" i="1"/>
  <c r="AI146" i="1"/>
  <c r="AI114" i="1"/>
  <c r="BA123" i="1"/>
  <c r="AI155" i="1"/>
  <c r="AI123" i="1"/>
  <c r="Q123" i="1"/>
  <c r="HD164" i="1"/>
  <c r="P132" i="1"/>
  <c r="HD155" i="1"/>
  <c r="HV173" i="1"/>
  <c r="JX132" i="1"/>
  <c r="TU132" i="1"/>
  <c r="QF162" i="1"/>
  <c r="QF164" i="1" s="1"/>
  <c r="QE162" i="1"/>
  <c r="QE164" i="1" s="1"/>
  <c r="UZ114" i="1"/>
  <c r="AF146" i="1"/>
  <c r="QI162" i="1"/>
  <c r="QI164" i="1" s="1"/>
  <c r="QH163" i="1"/>
  <c r="QH164" i="1" s="1"/>
  <c r="O132" i="1"/>
  <c r="X94" i="28"/>
  <c r="R132" i="1"/>
  <c r="OC132" i="1"/>
  <c r="TR132" i="1"/>
  <c r="NO146" i="1"/>
  <c r="OD132" i="1"/>
  <c r="NL146" i="1"/>
  <c r="SG155" i="1"/>
  <c r="EL146" i="1"/>
  <c r="IP123" i="1"/>
  <c r="RS173" i="1"/>
  <c r="FD173" i="1"/>
  <c r="LL173" i="1"/>
  <c r="S132" i="1"/>
  <c r="X80" i="41"/>
  <c r="KR132" i="1"/>
  <c r="FF173" i="1"/>
  <c r="OY123" i="1"/>
  <c r="CY114" i="1"/>
  <c r="QF114" i="1"/>
  <c r="OA155" i="1"/>
  <c r="DA173" i="1"/>
  <c r="IO114" i="1"/>
  <c r="JH146" i="1"/>
  <c r="SH173" i="1"/>
  <c r="GK155" i="1"/>
  <c r="MT114" i="1"/>
  <c r="Y132" i="41"/>
  <c r="KU132" i="1"/>
  <c r="QZ155" i="1"/>
  <c r="RO173" i="1"/>
  <c r="UI164" i="1"/>
  <c r="ME132" i="1"/>
  <c r="TT132" i="1"/>
  <c r="TQ132" i="1"/>
  <c r="Z93" i="28"/>
  <c r="NN146" i="1"/>
  <c r="AB92" i="28"/>
  <c r="X132" i="41"/>
  <c r="W132" i="41"/>
  <c r="OF132" i="1"/>
  <c r="V120" i="27"/>
  <c r="NK146" i="1"/>
  <c r="V81" i="27"/>
  <c r="AF114" i="1"/>
  <c r="W94" i="28"/>
  <c r="FD155" i="1"/>
  <c r="AH72" i="41"/>
  <c r="AB130" i="41"/>
  <c r="VD155" i="1"/>
  <c r="LJ155" i="1"/>
  <c r="FG155" i="1"/>
  <c r="SH114" i="1"/>
  <c r="HU173" i="1"/>
  <c r="GQ146" i="1"/>
  <c r="JZ173" i="1"/>
  <c r="AY146" i="1"/>
  <c r="IS173" i="1"/>
  <c r="DE164" i="1"/>
  <c r="AA93" i="28"/>
  <c r="Z131" i="41"/>
  <c r="FG114" i="1"/>
  <c r="UL164" i="1"/>
  <c r="LL114" i="1"/>
  <c r="DV123" i="1"/>
  <c r="AK173" i="1"/>
  <c r="R164" i="1"/>
  <c r="PK114" i="1"/>
  <c r="TT164" i="1"/>
  <c r="UJ146" i="1"/>
  <c r="FV173" i="1"/>
  <c r="DD164" i="1"/>
  <c r="Z92" i="28"/>
  <c r="MB155" i="1"/>
  <c r="AY164" i="1"/>
  <c r="HF114" i="1"/>
  <c r="DQ114" i="1"/>
  <c r="FX164" i="1"/>
  <c r="UH155" i="1"/>
  <c r="HI123" i="1"/>
  <c r="IO164" i="1"/>
  <c r="Y92" i="28"/>
  <c r="IN155" i="1"/>
  <c r="W80" i="41"/>
  <c r="IA114" i="1"/>
  <c r="MQ173" i="1"/>
  <c r="V119" i="41"/>
  <c r="MD164" i="1"/>
  <c r="DV164" i="1"/>
  <c r="AZ155" i="1"/>
  <c r="IO146" i="1"/>
  <c r="TU164" i="1"/>
  <c r="HU155" i="1"/>
  <c r="FY173" i="1"/>
  <c r="DS146" i="1"/>
  <c r="KB123" i="1"/>
  <c r="DT155" i="1"/>
  <c r="UI132" i="1"/>
  <c r="O164" i="1"/>
  <c r="FF114" i="1"/>
  <c r="RA155" i="1"/>
  <c r="CM114" i="1"/>
  <c r="MS164" i="1"/>
  <c r="DW155" i="1"/>
  <c r="HZ114" i="1"/>
  <c r="JJ114" i="1"/>
  <c r="GP146" i="1"/>
  <c r="AZ114" i="1"/>
  <c r="AZ146" i="1"/>
  <c r="QI146" i="1"/>
  <c r="PL146" i="1"/>
  <c r="GQ173" i="1"/>
  <c r="TC114" i="1"/>
  <c r="OB164" i="1"/>
  <c r="UI123" i="1"/>
  <c r="HX114" i="1"/>
  <c r="AA78" i="41"/>
  <c r="IS114" i="1"/>
  <c r="V94" i="27"/>
  <c r="FG164" i="1"/>
  <c r="QX146" i="1"/>
  <c r="BB114" i="1"/>
  <c r="PL123" i="1"/>
  <c r="QF132" i="1"/>
  <c r="HH114" i="1"/>
  <c r="KP146" i="1"/>
  <c r="IP164" i="1"/>
  <c r="NN164" i="1"/>
  <c r="FC123" i="1"/>
  <c r="EK155" i="1"/>
  <c r="JY114" i="1"/>
  <c r="JY164" i="1"/>
  <c r="AA92" i="28"/>
  <c r="MV132" i="1"/>
  <c r="RA146" i="1"/>
  <c r="GM173" i="1"/>
  <c r="NI114" i="1"/>
  <c r="SJ155" i="1"/>
  <c r="Z78" i="41"/>
  <c r="AA131" i="41"/>
  <c r="MW164" i="1"/>
  <c r="QE114" i="1"/>
  <c r="UL132" i="1"/>
  <c r="GN173" i="1"/>
  <c r="OD173" i="1"/>
  <c r="QE132" i="1"/>
  <c r="TB114" i="1"/>
  <c r="NN173" i="1"/>
  <c r="OA164" i="1"/>
  <c r="AB78" i="41"/>
  <c r="UJ164" i="1"/>
  <c r="KQ155" i="1"/>
  <c r="OY164" i="1"/>
  <c r="IP132" i="1"/>
  <c r="FG123" i="1"/>
  <c r="AC131" i="41"/>
  <c r="HW114" i="1"/>
  <c r="DD173" i="1"/>
  <c r="DS164" i="1"/>
  <c r="OG114" i="1"/>
  <c r="Z130" i="41"/>
  <c r="RO114" i="1"/>
  <c r="BC114" i="1"/>
  <c r="UL146" i="1"/>
  <c r="JY123" i="1"/>
  <c r="RO123" i="1"/>
  <c r="VE132" i="1"/>
  <c r="AZ132" i="1"/>
  <c r="GP173" i="1"/>
  <c r="IM155" i="1"/>
  <c r="BB164" i="1"/>
  <c r="SZ114" i="1"/>
  <c r="Z79" i="41"/>
  <c r="AB131" i="41"/>
  <c r="VB155" i="1"/>
  <c r="FC155" i="1"/>
  <c r="EJ173" i="1"/>
  <c r="AC79" i="41"/>
  <c r="VA123" i="1"/>
  <c r="RR155" i="1"/>
  <c r="NJ114" i="1"/>
  <c r="DD123" i="1"/>
  <c r="IR123" i="1"/>
  <c r="P164" i="1"/>
  <c r="AB93" i="28"/>
  <c r="V72" i="39"/>
  <c r="LI173" i="1"/>
  <c r="LI132" i="1"/>
  <c r="BB132" i="1"/>
  <c r="HV146" i="1"/>
  <c r="AA130" i="41"/>
  <c r="HZ164" i="1"/>
  <c r="NI123" i="1"/>
  <c r="MS132" i="1"/>
  <c r="UZ146" i="1"/>
  <c r="LL132" i="1"/>
  <c r="JW132" i="1"/>
  <c r="OG132" i="1"/>
  <c r="MV123" i="1"/>
  <c r="HD173" i="1"/>
  <c r="OY114" i="1"/>
  <c r="QH146" i="1"/>
  <c r="IO173" i="1"/>
  <c r="MV146" i="1"/>
  <c r="RA123" i="1"/>
  <c r="OV123" i="1"/>
  <c r="QE123" i="1"/>
  <c r="SK114" i="1"/>
  <c r="X85" i="39"/>
  <c r="RR173" i="1"/>
  <c r="QH123" i="1"/>
  <c r="OT155" i="1"/>
  <c r="EK123" i="1"/>
  <c r="IP146" i="1"/>
  <c r="LM123" i="1"/>
  <c r="MS146" i="1"/>
  <c r="AY155" i="1"/>
  <c r="AZ173" i="1"/>
  <c r="UH173" i="1"/>
  <c r="LI123" i="1"/>
  <c r="LM132" i="1"/>
  <c r="DV132" i="1"/>
  <c r="GQ164" i="1"/>
  <c r="EN155" i="1"/>
  <c r="OV164" i="1"/>
  <c r="NK164" i="1"/>
  <c r="FY123" i="1"/>
  <c r="FF123" i="1"/>
  <c r="NJ155" i="1"/>
  <c r="NO132" i="1"/>
  <c r="ME123" i="1"/>
  <c r="FD114" i="1"/>
  <c r="UJ132" i="1"/>
  <c r="M123" i="1"/>
  <c r="EJ114" i="1"/>
  <c r="HU123" i="1"/>
  <c r="PL114" i="1"/>
  <c r="IP114" i="1"/>
  <c r="JG146" i="1"/>
  <c r="AY114" i="1"/>
  <c r="UI146" i="1"/>
  <c r="RR123" i="1"/>
  <c r="TP155" i="1"/>
  <c r="FC173" i="1"/>
  <c r="HU132" i="1"/>
  <c r="DT123" i="1"/>
  <c r="DE123" i="1"/>
  <c r="OB155" i="1"/>
  <c r="DW164" i="1"/>
  <c r="SJ114" i="1"/>
  <c r="V107" i="27"/>
  <c r="BC173" i="1"/>
  <c r="HE146" i="1"/>
  <c r="KB173" i="1"/>
  <c r="QW146" i="1"/>
  <c r="OY173" i="1"/>
  <c r="UM146" i="1"/>
  <c r="BC146" i="1"/>
  <c r="FU173" i="1"/>
  <c r="MT146" i="1"/>
  <c r="BC132" i="1"/>
  <c r="OF173" i="1"/>
  <c r="DR114" i="1"/>
  <c r="HH123" i="1"/>
  <c r="UJ123" i="1"/>
  <c r="EN123" i="1"/>
  <c r="EI114" i="1"/>
  <c r="LM146" i="1"/>
  <c r="IR164" i="1"/>
  <c r="OX164" i="1"/>
  <c r="FX123" i="1"/>
  <c r="IS132" i="1"/>
  <c r="OD114" i="1"/>
  <c r="JZ146" i="1"/>
  <c r="VE123" i="1"/>
  <c r="JE155" i="1"/>
  <c r="JZ123" i="1"/>
  <c r="AY132" i="1"/>
  <c r="HC132" i="1"/>
  <c r="FX146" i="1"/>
  <c r="FC114" i="1"/>
  <c r="PP132" i="1"/>
  <c r="DW123" i="1"/>
  <c r="DS155" i="1"/>
  <c r="TB164" i="1"/>
  <c r="PN164" i="1"/>
  <c r="S164" i="1"/>
  <c r="UY173" i="1"/>
  <c r="MW155" i="1"/>
  <c r="QI132" i="1"/>
  <c r="AE146" i="1"/>
  <c r="NO173" i="1"/>
  <c r="HF123" i="1"/>
  <c r="RP173" i="1"/>
  <c r="EO155" i="1"/>
  <c r="HC164" i="1"/>
  <c r="LI146" i="1"/>
  <c r="V106" i="41"/>
  <c r="CH164" i="1"/>
  <c r="JK146" i="1"/>
  <c r="SJ173" i="1"/>
  <c r="OX173" i="1"/>
  <c r="QE146" i="1"/>
  <c r="LY114" i="1"/>
  <c r="GP114" i="1"/>
  <c r="JE132" i="1"/>
  <c r="HI114" i="1"/>
  <c r="SX173" i="1"/>
  <c r="BU113" i="1"/>
  <c r="BR113" i="1"/>
  <c r="DD112" i="1"/>
  <c r="DD113" i="1"/>
  <c r="DA153" i="1"/>
  <c r="DA154" i="1"/>
  <c r="OF153" i="1"/>
  <c r="OF154" i="1"/>
  <c r="SH162" i="1"/>
  <c r="SH163" i="1"/>
  <c r="JH153" i="1"/>
  <c r="JH154" i="1"/>
  <c r="DT113" i="1"/>
  <c r="DT112" i="1"/>
  <c r="NN112" i="1"/>
  <c r="NN113" i="1"/>
  <c r="KT144" i="1"/>
  <c r="KT145" i="1"/>
  <c r="HF162" i="1"/>
  <c r="HF163" i="1"/>
  <c r="HI162" i="1"/>
  <c r="HI163" i="1"/>
  <c r="QX112" i="1"/>
  <c r="QX113" i="1"/>
  <c r="EN112" i="1"/>
  <c r="EN113" i="1"/>
  <c r="W70" i="39"/>
  <c r="W71" i="39"/>
  <c r="JY131" i="1"/>
  <c r="JY130" i="1"/>
  <c r="KB130" i="1"/>
  <c r="KB131" i="1"/>
  <c r="AK153" i="1"/>
  <c r="AK154" i="1"/>
  <c r="PN112" i="1"/>
  <c r="PN113" i="1"/>
  <c r="IA144" i="1"/>
  <c r="IA145" i="1"/>
  <c r="AB94" i="41"/>
  <c r="X104" i="41"/>
  <c r="AA94" i="41"/>
  <c r="X105" i="41"/>
  <c r="AC94" i="41"/>
  <c r="Z94" i="41"/>
  <c r="S121" i="1"/>
  <c r="S122" i="1"/>
  <c r="HZ121" i="1"/>
  <c r="HZ122" i="1"/>
  <c r="HW171" i="1"/>
  <c r="HW172" i="1"/>
  <c r="UI171" i="1"/>
  <c r="UI172" i="1"/>
  <c r="AK144" i="1"/>
  <c r="AK145" i="1"/>
  <c r="NO154" i="1"/>
  <c r="NO153" i="1"/>
  <c r="AK112" i="1"/>
  <c r="AK113" i="1"/>
  <c r="UL113" i="1"/>
  <c r="UL112" i="1"/>
  <c r="MA113" i="1"/>
  <c r="MA112" i="1"/>
  <c r="ME112" i="1"/>
  <c r="ME113" i="1"/>
  <c r="OD162" i="1"/>
  <c r="OD163" i="1"/>
  <c r="NI155" i="1"/>
  <c r="BT113" i="1"/>
  <c r="BP114" i="1"/>
  <c r="JH164" i="1"/>
  <c r="KT132" i="1"/>
  <c r="AE155" i="1"/>
  <c r="OU123" i="1"/>
  <c r="DE112" i="1"/>
  <c r="DE113" i="1"/>
  <c r="W132" i="27"/>
  <c r="W131" i="27"/>
  <c r="LJ114" i="1"/>
  <c r="PN132" i="1"/>
  <c r="MV164" i="1"/>
  <c r="QH114" i="1"/>
  <c r="CZ155" i="1"/>
  <c r="UM132" i="1"/>
  <c r="TC164" i="1"/>
  <c r="HC155" i="1"/>
  <c r="AG173" i="1"/>
  <c r="OG153" i="1"/>
  <c r="OG154" i="1"/>
  <c r="LI155" i="1"/>
  <c r="AC130" i="41"/>
  <c r="ME164" i="1"/>
  <c r="BC155" i="1"/>
  <c r="OF114" i="1"/>
  <c r="SJ162" i="1"/>
  <c r="SJ163" i="1"/>
  <c r="SF164" i="1"/>
  <c r="EO171" i="1"/>
  <c r="EO172" i="1"/>
  <c r="MW132" i="1"/>
  <c r="JY146" i="1"/>
  <c r="RS114" i="1"/>
  <c r="W92" i="27"/>
  <c r="W93" i="27"/>
  <c r="VD123" i="1"/>
  <c r="GM146" i="1"/>
  <c r="HW153" i="1"/>
  <c r="HW154" i="1"/>
  <c r="HI171" i="1"/>
  <c r="HI172" i="1"/>
  <c r="PQ173" i="1"/>
  <c r="QD155" i="1"/>
  <c r="JG153" i="1"/>
  <c r="JG154" i="1"/>
  <c r="KC123" i="1"/>
  <c r="LJ123" i="1"/>
  <c r="PM121" i="1"/>
  <c r="PM122" i="1"/>
  <c r="V81" i="28"/>
  <c r="DS112" i="1"/>
  <c r="DS113" i="1"/>
  <c r="FY164" i="1"/>
  <c r="NK112" i="1"/>
  <c r="NK113" i="1"/>
  <c r="KQ144" i="1"/>
  <c r="KQ145" i="1"/>
  <c r="W85" i="39"/>
  <c r="KB114" i="1"/>
  <c r="QV114" i="1"/>
  <c r="QZ112" i="1"/>
  <c r="QZ113" i="1"/>
  <c r="EO113" i="1"/>
  <c r="EO112" i="1"/>
  <c r="SW173" i="1"/>
  <c r="IA164" i="1"/>
  <c r="NN121" i="1"/>
  <c r="NN122" i="1"/>
  <c r="NJ123" i="1"/>
  <c r="JJ164" i="1"/>
  <c r="CI114" i="1"/>
  <c r="CG173" i="1"/>
  <c r="AB92" i="41"/>
  <c r="AB91" i="41"/>
  <c r="X93" i="41"/>
  <c r="AA69" i="27"/>
  <c r="Z69" i="27"/>
  <c r="Y69" i="27"/>
  <c r="AB69" i="27"/>
  <c r="X79" i="27"/>
  <c r="AF69" i="27" s="1"/>
  <c r="AG69" i="27" s="1"/>
  <c r="X80" i="27"/>
  <c r="PQ132" i="1"/>
  <c r="SZ164" i="1"/>
  <c r="VE155" i="1"/>
  <c r="MT123" i="1"/>
  <c r="GN146" i="1"/>
  <c r="IP173" i="1"/>
  <c r="RP123" i="1"/>
  <c r="JJ130" i="1"/>
  <c r="JJ131" i="1"/>
  <c r="BC164" i="1"/>
  <c r="GN164" i="1"/>
  <c r="Y83" i="39"/>
  <c r="Y84" i="39"/>
  <c r="NO164" i="1"/>
  <c r="JZ114" i="1"/>
  <c r="Y80" i="41"/>
  <c r="GM153" i="1"/>
  <c r="GM154" i="1"/>
  <c r="EK146" i="1"/>
  <c r="QZ123" i="1"/>
  <c r="MD123" i="1"/>
  <c r="JG164" i="1"/>
  <c r="QW155" i="1"/>
  <c r="FG173" i="1"/>
  <c r="AF155" i="1"/>
  <c r="AJ153" i="1"/>
  <c r="AJ154" i="1"/>
  <c r="OX123" i="1"/>
  <c r="LM114" i="1"/>
  <c r="HF153" i="1"/>
  <c r="HF154" i="1"/>
  <c r="X117" i="41"/>
  <c r="X118" i="41"/>
  <c r="Z107" i="41"/>
  <c r="AC107" i="41"/>
  <c r="AB107" i="41"/>
  <c r="AA107" i="41"/>
  <c r="MT132" i="1"/>
  <c r="PP112" i="1"/>
  <c r="PP113" i="1"/>
  <c r="JG114" i="1"/>
  <c r="SK173" i="1"/>
  <c r="AJ122" i="1"/>
  <c r="AJ121" i="1"/>
  <c r="AH121" i="1"/>
  <c r="AH122" i="1"/>
  <c r="HF146" i="1"/>
  <c r="X119" i="27"/>
  <c r="Y108" i="27"/>
  <c r="AB108" i="27"/>
  <c r="Z108" i="27"/>
  <c r="AA108" i="27"/>
  <c r="X118" i="27"/>
  <c r="AF72" i="27" s="1"/>
  <c r="VB123" i="1"/>
  <c r="HC173" i="1"/>
  <c r="RP130" i="1"/>
  <c r="RP131" i="1"/>
  <c r="PP173" i="1"/>
  <c r="QC155" i="1"/>
  <c r="KC173" i="1"/>
  <c r="UG173" i="1"/>
  <c r="QF146" i="1"/>
  <c r="DW146" i="1"/>
  <c r="LL123" i="1"/>
  <c r="VD132" i="1"/>
  <c r="MW146" i="1"/>
  <c r="AZ164" i="1"/>
  <c r="SY114" i="1"/>
  <c r="OU153" i="1"/>
  <c r="OU154" i="1"/>
  <c r="HZ145" i="1"/>
  <c r="HZ144" i="1"/>
  <c r="UL123" i="1"/>
  <c r="EL123" i="1"/>
  <c r="OU164" i="1"/>
  <c r="NL164" i="1"/>
  <c r="DA123" i="1"/>
  <c r="KT112" i="1"/>
  <c r="KT113" i="1"/>
  <c r="M114" i="1"/>
  <c r="HV132" i="1"/>
  <c r="DV155" i="1"/>
  <c r="Y93" i="28"/>
  <c r="DT164" i="1"/>
  <c r="EI173" i="1"/>
  <c r="SK144" i="1"/>
  <c r="SK145" i="1"/>
  <c r="HI146" i="1"/>
  <c r="TU112" i="1"/>
  <c r="TU113" i="1"/>
  <c r="TP114" i="1"/>
  <c r="OV114" i="1"/>
  <c r="DA164" i="1"/>
  <c r="MA155" i="1"/>
  <c r="GQ114" i="1"/>
  <c r="PK123" i="1"/>
  <c r="IO153" i="1"/>
  <c r="IO154" i="1"/>
  <c r="OG173" i="1"/>
  <c r="MS155" i="1"/>
  <c r="NK173" i="1"/>
  <c r="HH131" i="1"/>
  <c r="HH130" i="1"/>
  <c r="HD132" i="1"/>
  <c r="NN132" i="1"/>
  <c r="JK164" i="1"/>
  <c r="W105" i="41"/>
  <c r="Y94" i="41"/>
  <c r="W104" i="41"/>
  <c r="KO114" i="1"/>
  <c r="KQ132" i="1"/>
  <c r="LM173" i="1"/>
  <c r="CL172" i="1"/>
  <c r="CL171" i="1"/>
  <c r="AE114" i="1"/>
  <c r="KT155" i="1"/>
  <c r="FY130" i="1"/>
  <c r="FY131" i="1"/>
  <c r="QI114" i="1"/>
  <c r="SY164" i="1"/>
  <c r="N123" i="1"/>
  <c r="R121" i="1"/>
  <c r="R122" i="1"/>
  <c r="LL155" i="1"/>
  <c r="MS171" i="1"/>
  <c r="MS172" i="1"/>
  <c r="MR173" i="1"/>
  <c r="FF155" i="1"/>
  <c r="BB155" i="1"/>
  <c r="SG114" i="1"/>
  <c r="IR146" i="1"/>
  <c r="VD113" i="1"/>
  <c r="VD112" i="1"/>
  <c r="IA121" i="1"/>
  <c r="IA122" i="1"/>
  <c r="HV123" i="1"/>
  <c r="CM162" i="1"/>
  <c r="CM163" i="1"/>
  <c r="JH114" i="1"/>
  <c r="BB173" i="1"/>
  <c r="IR114" i="1"/>
  <c r="IA171" i="1"/>
  <c r="IA172" i="1"/>
  <c r="HX172" i="1"/>
  <c r="HX171" i="1"/>
  <c r="EK130" i="1"/>
  <c r="EK131" i="1"/>
  <c r="EJ132" i="1"/>
  <c r="FF164" i="1"/>
  <c r="UL171" i="1"/>
  <c r="UL172" i="1"/>
  <c r="BB146" i="1"/>
  <c r="VD145" i="1"/>
  <c r="UG114" i="1"/>
  <c r="PK146" i="1"/>
  <c r="ME155" i="1"/>
  <c r="RP155" i="1"/>
  <c r="UZ173" i="1"/>
  <c r="OC173" i="1"/>
  <c r="AG144" i="1"/>
  <c r="AG145" i="1"/>
  <c r="NL173" i="1"/>
  <c r="AB79" i="41"/>
  <c r="HU146" i="1"/>
  <c r="UG155" i="1"/>
  <c r="HE123" i="1"/>
  <c r="IS164" i="1"/>
  <c r="TC171" i="1"/>
  <c r="TC172" i="1"/>
  <c r="KC114" i="1"/>
  <c r="IR132" i="1"/>
  <c r="NL153" i="1"/>
  <c r="NL154" i="1"/>
  <c r="SH155" i="1"/>
  <c r="IO123" i="1"/>
  <c r="HX164" i="1"/>
  <c r="AG112" i="1"/>
  <c r="AG113" i="1"/>
  <c r="LM155" i="1"/>
  <c r="RR114" i="1"/>
  <c r="UM112" i="1"/>
  <c r="UM113" i="1"/>
  <c r="UH114" i="1"/>
  <c r="LZ114" i="1"/>
  <c r="PP145" i="1"/>
  <c r="RO155" i="1"/>
  <c r="QH132" i="1"/>
  <c r="GP164" i="1"/>
  <c r="OF162" i="1"/>
  <c r="OF163" i="1"/>
  <c r="UL153" i="1"/>
  <c r="UL154" i="1"/>
  <c r="EL171" i="1"/>
  <c r="EL172" i="1"/>
  <c r="Z82" i="27"/>
  <c r="AB82" i="27"/>
  <c r="X93" i="27"/>
  <c r="Y82" i="27"/>
  <c r="X92" i="27"/>
  <c r="AF70" i="27" s="1"/>
  <c r="AA82" i="27"/>
  <c r="QF154" i="1"/>
  <c r="QF153" i="1"/>
  <c r="AC78" i="41"/>
  <c r="NO122" i="1"/>
  <c r="NO121" i="1"/>
  <c r="JG130" i="1"/>
  <c r="JG131" i="1"/>
  <c r="W117" i="41"/>
  <c r="Y107" i="41"/>
  <c r="W118" i="41"/>
  <c r="AG121" i="1"/>
  <c r="AG122" i="1"/>
  <c r="RO130" i="1"/>
  <c r="RO131" i="1"/>
  <c r="OY154" i="1"/>
  <c r="OY153" i="1"/>
  <c r="TR153" i="1"/>
  <c r="TR154" i="1"/>
  <c r="TT112" i="1"/>
  <c r="TT113" i="1"/>
  <c r="IP153" i="1"/>
  <c r="IP154" i="1"/>
  <c r="CI171" i="1"/>
  <c r="CI172" i="1"/>
  <c r="FT132" i="1"/>
  <c r="EL131" i="1"/>
  <c r="EL130" i="1"/>
  <c r="VE171" i="1"/>
  <c r="VE172" i="1"/>
  <c r="PQ145" i="1"/>
  <c r="BQ113" i="1"/>
  <c r="N114" i="1"/>
  <c r="CZ114" i="1"/>
  <c r="Y91" i="41"/>
  <c r="AG69" i="41" s="1"/>
  <c r="AH69" i="41" s="1"/>
  <c r="Y92" i="41"/>
  <c r="SK162" i="1"/>
  <c r="SK163" i="1"/>
  <c r="EK171" i="1"/>
  <c r="EK172" i="1"/>
  <c r="HZ153" i="1"/>
  <c r="HZ154" i="1"/>
  <c r="HF171" i="1"/>
  <c r="HF172" i="1"/>
  <c r="QH153" i="1"/>
  <c r="QH154" i="1"/>
  <c r="JF155" i="1"/>
  <c r="PN121" i="1"/>
  <c r="PN122" i="1"/>
  <c r="DW112" i="1"/>
  <c r="DW113" i="1"/>
  <c r="NO112" i="1"/>
  <c r="NO113" i="1"/>
  <c r="KR144" i="1"/>
  <c r="KR145" i="1"/>
  <c r="HH162" i="1"/>
  <c r="HH163" i="1"/>
  <c r="RA112" i="1"/>
  <c r="RA113" i="1"/>
  <c r="EL112" i="1"/>
  <c r="EL113" i="1"/>
  <c r="NL121" i="1"/>
  <c r="NL122" i="1"/>
  <c r="AA91" i="41"/>
  <c r="AA92" i="41"/>
  <c r="JH131" i="1"/>
  <c r="JH130" i="1"/>
  <c r="KC130" i="1"/>
  <c r="KC131" i="1"/>
  <c r="Z84" i="39"/>
  <c r="Z83" i="39"/>
  <c r="AA83" i="39"/>
  <c r="AA84" i="39"/>
  <c r="GL155" i="1"/>
  <c r="AG153" i="1"/>
  <c r="AG154" i="1"/>
  <c r="HE153" i="1"/>
  <c r="HE154" i="1"/>
  <c r="PQ113" i="1"/>
  <c r="PQ112" i="1"/>
  <c r="AK121" i="1"/>
  <c r="AK122" i="1"/>
  <c r="RS130" i="1"/>
  <c r="RS131" i="1"/>
  <c r="AA79" i="41"/>
  <c r="KP114" i="1"/>
  <c r="HW130" i="1"/>
  <c r="HW131" i="1"/>
  <c r="TQ153" i="1"/>
  <c r="TQ154" i="1"/>
  <c r="TT153" i="1"/>
  <c r="TT154" i="1"/>
  <c r="SH144" i="1"/>
  <c r="SH145" i="1"/>
  <c r="TR112" i="1"/>
  <c r="TR113" i="1"/>
  <c r="HE130" i="1"/>
  <c r="HE131" i="1"/>
  <c r="CM171" i="1"/>
  <c r="CM172" i="1"/>
  <c r="FU130" i="1"/>
  <c r="FU131" i="1"/>
  <c r="P121" i="1"/>
  <c r="P122" i="1"/>
  <c r="MT172" i="1"/>
  <c r="MT171" i="1"/>
  <c r="VA113" i="1"/>
  <c r="VA112" i="1"/>
  <c r="HX121" i="1"/>
  <c r="HX122" i="1"/>
  <c r="CI163" i="1"/>
  <c r="CI162" i="1"/>
  <c r="EN130" i="1"/>
  <c r="EN131" i="1"/>
  <c r="UJ171" i="1"/>
  <c r="UJ172" i="1"/>
  <c r="VA145" i="1"/>
  <c r="VB172" i="1"/>
  <c r="VB171" i="1"/>
  <c r="AJ144" i="1"/>
  <c r="AJ145" i="1"/>
  <c r="AH144" i="1"/>
  <c r="AH145" i="1"/>
  <c r="TB171" i="1"/>
  <c r="TB172" i="1"/>
  <c r="NN154" i="1"/>
  <c r="NN153" i="1"/>
  <c r="AJ112" i="1"/>
  <c r="AJ113" i="1"/>
  <c r="UJ112" i="1"/>
  <c r="UJ113" i="1"/>
  <c r="MB112" i="1"/>
  <c r="MB113" i="1"/>
  <c r="PM145" i="1"/>
  <c r="OC162" i="1"/>
  <c r="OC163" i="1"/>
  <c r="UM153" i="1"/>
  <c r="UM154" i="1"/>
  <c r="UJ154" i="1"/>
  <c r="UJ153" i="1"/>
  <c r="HX153" i="1"/>
  <c r="HX154" i="1"/>
  <c r="HE171" i="1"/>
  <c r="HE172" i="1"/>
  <c r="PQ121" i="1"/>
  <c r="PQ122" i="1"/>
  <c r="X79" i="28"/>
  <c r="AG76" i="28" s="1"/>
  <c r="Y69" i="28"/>
  <c r="AB69" i="28"/>
  <c r="AA69" i="28"/>
  <c r="X80" i="28"/>
  <c r="Z69" i="28"/>
  <c r="EK112" i="1"/>
  <c r="EK113" i="1"/>
  <c r="Z91" i="41"/>
  <c r="Z92" i="41"/>
  <c r="GQ154" i="1"/>
  <c r="GQ153" i="1"/>
  <c r="OV153" i="1"/>
  <c r="OV154" i="1"/>
  <c r="HX144" i="1"/>
  <c r="HX145" i="1"/>
  <c r="KR113" i="1"/>
  <c r="KR112" i="1"/>
  <c r="IA131" i="1"/>
  <c r="IA130" i="1"/>
  <c r="SG144" i="1"/>
  <c r="SG145" i="1"/>
  <c r="HI130" i="1"/>
  <c r="HI131" i="1"/>
  <c r="MW171" i="1"/>
  <c r="MW172" i="1"/>
  <c r="CJ162" i="1"/>
  <c r="CJ163" i="1"/>
  <c r="VB145" i="1"/>
  <c r="UP216" i="1"/>
  <c r="UP217" i="1" s="1"/>
  <c r="SY171" i="1"/>
  <c r="SY172" i="1"/>
  <c r="AH113" i="1"/>
  <c r="AH112" i="1"/>
  <c r="V133" i="27"/>
  <c r="DB153" i="1"/>
  <c r="DB154" i="1"/>
  <c r="OC153" i="1"/>
  <c r="OC154" i="1"/>
  <c r="W105" i="27"/>
  <c r="W106" i="27"/>
  <c r="FU146" i="1"/>
  <c r="QW123" i="1"/>
  <c r="QI123" i="1"/>
  <c r="DA113" i="1"/>
  <c r="DA112" i="1"/>
  <c r="DB113" i="1"/>
  <c r="DB112" i="1"/>
  <c r="W93" i="41"/>
  <c r="X132" i="27"/>
  <c r="AB121" i="27"/>
  <c r="X131" i="27"/>
  <c r="AF73" i="27" s="1"/>
  <c r="Y121" i="27"/>
  <c r="AA121" i="27"/>
  <c r="Z121" i="27"/>
  <c r="KR155" i="1"/>
  <c r="PM132" i="1"/>
  <c r="FS132" i="1"/>
  <c r="MT164" i="1"/>
  <c r="DD153" i="1"/>
  <c r="DD154" i="1"/>
  <c r="DE154" i="1"/>
  <c r="DE153" i="1"/>
  <c r="PQ164" i="1"/>
  <c r="AJ173" i="1"/>
  <c r="OD153" i="1"/>
  <c r="OD154" i="1"/>
  <c r="DB173" i="1"/>
  <c r="MB164" i="1"/>
  <c r="X105" i="27"/>
  <c r="AF71" i="27" s="1"/>
  <c r="Z95" i="27"/>
  <c r="AB95" i="27"/>
  <c r="X106" i="27"/>
  <c r="AA95" i="27"/>
  <c r="Y95" i="27"/>
  <c r="IS146" i="1"/>
  <c r="OC114" i="1"/>
  <c r="SG163" i="1"/>
  <c r="SG162" i="1"/>
  <c r="EN171" i="1"/>
  <c r="EN172" i="1"/>
  <c r="JK114" i="1"/>
  <c r="JJ146" i="1"/>
  <c r="SG173" i="1"/>
  <c r="MS123" i="1"/>
  <c r="EI132" i="1"/>
  <c r="TR164" i="1"/>
  <c r="HV155" i="1"/>
  <c r="IA154" i="1"/>
  <c r="IA153" i="1"/>
  <c r="HH171" i="1"/>
  <c r="HH172" i="1"/>
  <c r="RM132" i="1"/>
  <c r="QI153" i="1"/>
  <c r="QI154" i="1"/>
  <c r="QE153" i="1"/>
  <c r="QE154" i="1"/>
  <c r="OU173" i="1"/>
  <c r="OX114" i="1"/>
  <c r="FX173" i="1"/>
  <c r="JK153" i="1"/>
  <c r="JK154" i="1"/>
  <c r="JJ154" i="1"/>
  <c r="JJ153" i="1"/>
  <c r="QX132" i="1"/>
  <c r="DT146" i="1"/>
  <c r="MD155" i="1"/>
  <c r="RS123" i="1"/>
  <c r="GN114" i="1"/>
  <c r="VA132" i="1"/>
  <c r="LJ132" i="1"/>
  <c r="PP121" i="1"/>
  <c r="PP122" i="1"/>
  <c r="W79" i="28"/>
  <c r="W80" i="28"/>
  <c r="DV112" i="1"/>
  <c r="DV113" i="1"/>
  <c r="NL112" i="1"/>
  <c r="NL113" i="1"/>
  <c r="KU144" i="1"/>
  <c r="KU145" i="1"/>
  <c r="EL155" i="1"/>
  <c r="HE162" i="1"/>
  <c r="HE163" i="1"/>
  <c r="FV123" i="1"/>
  <c r="QW112" i="1"/>
  <c r="QW113" i="1"/>
  <c r="IO132" i="1"/>
  <c r="KC164" i="1"/>
  <c r="DB123" i="1"/>
  <c r="MB123" i="1"/>
  <c r="NK121" i="1"/>
  <c r="NK122" i="1"/>
  <c r="MV114" i="1"/>
  <c r="MD132" i="1"/>
  <c r="AC91" i="41"/>
  <c r="AC92" i="41"/>
  <c r="W80" i="27"/>
  <c r="W79" i="27"/>
  <c r="KU155" i="1"/>
  <c r="DS123" i="1"/>
  <c r="PP164" i="1"/>
  <c r="X71" i="39"/>
  <c r="AB69" i="39"/>
  <c r="X70" i="39"/>
  <c r="Y69" i="39"/>
  <c r="AA69" i="39"/>
  <c r="Z69" i="39"/>
  <c r="AC69" i="39"/>
  <c r="PN173" i="1"/>
  <c r="JK130" i="1"/>
  <c r="JK131" i="1"/>
  <c r="JF132" i="1"/>
  <c r="JZ130" i="1"/>
  <c r="JZ131" i="1"/>
  <c r="DT132" i="1"/>
  <c r="AB84" i="39"/>
  <c r="AB83" i="39"/>
  <c r="AC84" i="39"/>
  <c r="AC83" i="39"/>
  <c r="FU123" i="1"/>
  <c r="QU114" i="1"/>
  <c r="JZ164" i="1"/>
  <c r="NL132" i="1"/>
  <c r="GP153" i="1"/>
  <c r="GP154" i="1"/>
  <c r="GN153" i="1"/>
  <c r="GN154" i="1"/>
  <c r="EO146" i="1"/>
  <c r="IS123" i="1"/>
  <c r="HW164" i="1"/>
  <c r="MS114" i="1"/>
  <c r="UM164" i="1"/>
  <c r="AH153" i="1"/>
  <c r="AH154" i="1"/>
  <c r="MA132" i="1"/>
  <c r="CJ114" i="1"/>
  <c r="LI114" i="1"/>
  <c r="HI153" i="1"/>
  <c r="HI154" i="1"/>
  <c r="HH153" i="1"/>
  <c r="HH154" i="1"/>
  <c r="AH173" i="1"/>
  <c r="UY114" i="1"/>
  <c r="PM112" i="1"/>
  <c r="PM113" i="1"/>
  <c r="CG164" i="1"/>
  <c r="KB146" i="1"/>
  <c r="AY173" i="1"/>
  <c r="RP114" i="1"/>
  <c r="SE146" i="1"/>
  <c r="MW123" i="1"/>
  <c r="AF123" i="1"/>
  <c r="HH146" i="1"/>
  <c r="W118" i="27"/>
  <c r="W119" i="27"/>
  <c r="RR130" i="1"/>
  <c r="RR131" i="1"/>
  <c r="RN132" i="1"/>
  <c r="FD164" i="1"/>
  <c r="QZ146" i="1"/>
  <c r="OV173" i="1"/>
  <c r="UY146" i="1"/>
  <c r="RA132" i="1"/>
  <c r="GM114" i="1"/>
  <c r="MT155" i="1"/>
  <c r="HE114" i="1"/>
  <c r="DW132" i="1"/>
  <c r="OX153" i="1"/>
  <c r="OX154" i="1"/>
  <c r="FU164" i="1"/>
  <c r="HW145" i="1"/>
  <c r="HW144" i="1"/>
  <c r="KO146" i="1"/>
  <c r="LJ146" i="1"/>
  <c r="FD123" i="1"/>
  <c r="KU113" i="1"/>
  <c r="KU112" i="1"/>
  <c r="KQ112" i="1"/>
  <c r="KQ113" i="1"/>
  <c r="LJ173" i="1"/>
  <c r="HX130" i="1"/>
  <c r="HX131" i="1"/>
  <c r="HZ130" i="1"/>
  <c r="HZ131" i="1"/>
  <c r="TU153" i="1"/>
  <c r="TU154" i="1"/>
  <c r="DE173" i="1"/>
  <c r="SJ144" i="1"/>
  <c r="SJ145" i="1"/>
  <c r="SF146" i="1"/>
  <c r="AE123" i="1"/>
  <c r="TQ112" i="1"/>
  <c r="TQ113" i="1"/>
  <c r="JY173" i="1"/>
  <c r="QW132" i="1"/>
  <c r="DV146" i="1"/>
  <c r="IS154" i="1"/>
  <c r="IS153" i="1"/>
  <c r="IR153" i="1"/>
  <c r="IR154" i="1"/>
  <c r="DS132" i="1"/>
  <c r="HF131" i="1"/>
  <c r="HF130" i="1"/>
  <c r="SK155" i="1"/>
  <c r="FV146" i="1"/>
  <c r="NK132" i="1"/>
  <c r="QX123" i="1"/>
  <c r="MA123" i="1"/>
  <c r="MW114" i="1"/>
  <c r="QX155" i="1"/>
  <c r="MB132" i="1"/>
  <c r="CL114" i="1"/>
  <c r="CH173" i="1"/>
  <c r="CJ171" i="1"/>
  <c r="CJ172" i="1"/>
  <c r="QF123" i="1"/>
  <c r="TO155" i="1"/>
  <c r="FX131" i="1"/>
  <c r="FX130" i="1"/>
  <c r="FV130" i="1"/>
  <c r="FV131" i="1"/>
  <c r="CY155" i="1"/>
  <c r="O121" i="1"/>
  <c r="O122" i="1"/>
  <c r="PM164" i="1"/>
  <c r="VA155" i="1"/>
  <c r="MV171" i="1"/>
  <c r="MV172" i="1"/>
  <c r="MA164" i="1"/>
  <c r="VE112" i="1"/>
  <c r="VE113" i="1"/>
  <c r="VB113" i="1"/>
  <c r="VB112" i="1"/>
  <c r="HW122" i="1"/>
  <c r="HW121" i="1"/>
  <c r="CL163" i="1"/>
  <c r="CL162" i="1"/>
  <c r="KC146" i="1"/>
  <c r="HZ171" i="1"/>
  <c r="HZ172" i="1"/>
  <c r="EO130" i="1"/>
  <c r="EO131" i="1"/>
  <c r="TQ164" i="1"/>
  <c r="TO114" i="1"/>
  <c r="PM173" i="1"/>
  <c r="UM171" i="1"/>
  <c r="UM172" i="1"/>
  <c r="OU114" i="1"/>
  <c r="VE145" i="1"/>
  <c r="QZ132" i="1"/>
  <c r="DB164" i="1"/>
  <c r="VB132" i="1"/>
  <c r="VA171" i="1"/>
  <c r="VA172" i="1"/>
  <c r="VD171" i="1"/>
  <c r="VD172" i="1"/>
  <c r="MV155" i="1"/>
  <c r="GM164" i="1"/>
  <c r="OS155" i="1"/>
  <c r="FV164" i="1"/>
  <c r="UM123" i="1"/>
  <c r="EO123" i="1"/>
  <c r="LL146" i="1"/>
  <c r="SZ172" i="1"/>
  <c r="SZ171" i="1"/>
  <c r="KB164" i="1"/>
  <c r="NK153" i="1"/>
  <c r="NK154" i="1"/>
  <c r="BO114" i="1"/>
  <c r="FY146" i="1"/>
  <c r="EN146" i="1"/>
  <c r="SE164" i="1"/>
  <c r="FC164" i="1"/>
  <c r="IR173" i="1"/>
  <c r="UI112" i="1"/>
  <c r="UI113" i="1"/>
  <c r="MD112" i="1"/>
  <c r="MD113" i="1"/>
  <c r="PN145" i="1"/>
  <c r="RS155" i="1"/>
  <c r="OG162" i="1"/>
  <c r="OG163" i="1"/>
  <c r="UI153" i="1"/>
  <c r="UI154" i="1"/>
  <c r="Q59" i="10" l="1"/>
  <c r="D216" i="1"/>
  <c r="D217" i="1" s="1"/>
  <c r="Q33" i="26"/>
  <c r="R33" i="26" s="1"/>
  <c r="Q32" i="26"/>
  <c r="R32" i="26" s="1"/>
  <c r="Q31" i="26"/>
  <c r="R31" i="26" s="1"/>
  <c r="Q20" i="26"/>
  <c r="R20" i="26" s="1"/>
  <c r="Q22" i="26"/>
  <c r="R22" i="26" s="1"/>
  <c r="Q24" i="26"/>
  <c r="Q19" i="26"/>
  <c r="R19" i="26" s="1"/>
  <c r="Q21" i="26"/>
  <c r="R21" i="26" s="1"/>
  <c r="Q30" i="26"/>
  <c r="R30" i="26" s="1"/>
  <c r="Q29" i="26"/>
  <c r="R29" i="26" s="1"/>
  <c r="C279" i="26"/>
  <c r="I27" i="26" s="1"/>
  <c r="O27" i="26" s="1"/>
  <c r="Q27" i="26" s="1"/>
  <c r="R27" i="26" s="1"/>
  <c r="C242" i="26"/>
  <c r="I25" i="26" s="1"/>
  <c r="O25" i="26" s="1"/>
  <c r="Q25" i="26" s="1"/>
  <c r="R25" i="26" s="1"/>
  <c r="C297" i="26"/>
  <c r="I28" i="26" s="1"/>
  <c r="O28" i="26" s="1"/>
  <c r="Q28" i="26" s="1"/>
  <c r="R28" i="26" s="1"/>
  <c r="C89" i="38"/>
  <c r="C145" i="87"/>
  <c r="DZ21" i="87" s="1"/>
  <c r="R31" i="10"/>
  <c r="Q57" i="10" s="1"/>
  <c r="V31" i="10"/>
  <c r="Q58" i="10" s="1"/>
  <c r="N31" i="10"/>
  <c r="Q56" i="10" s="1"/>
  <c r="TU146" i="1"/>
  <c r="QZ164" i="1"/>
  <c r="RA173" i="1"/>
  <c r="RR164" i="1"/>
  <c r="RO164" i="1"/>
  <c r="SG123" i="1"/>
  <c r="SI132" i="1"/>
  <c r="SK123" i="1"/>
  <c r="SJ123" i="1"/>
  <c r="QW173" i="1"/>
  <c r="QX173" i="1"/>
  <c r="RP164" i="1"/>
  <c r="SI123" i="1"/>
  <c r="SH123" i="1"/>
  <c r="OW132" i="1"/>
  <c r="OX132" i="1"/>
  <c r="RS164" i="1"/>
  <c r="RQ164" i="1"/>
  <c r="QX164" i="1"/>
  <c r="QY164" i="1"/>
  <c r="QY173" i="1"/>
  <c r="QZ173" i="1"/>
  <c r="QW164" i="1"/>
  <c r="RA164" i="1"/>
  <c r="OU132" i="1"/>
  <c r="OY132" i="1"/>
  <c r="OV132" i="1"/>
  <c r="JY155" i="1"/>
  <c r="JZ155" i="1"/>
  <c r="KC155" i="1"/>
  <c r="JI173" i="1"/>
  <c r="JJ173" i="1"/>
  <c r="JJ123" i="1"/>
  <c r="JI123" i="1"/>
  <c r="KA155" i="1"/>
  <c r="JH123" i="1"/>
  <c r="JK123" i="1"/>
  <c r="KB155" i="1"/>
  <c r="JG173" i="1"/>
  <c r="AI132" i="1"/>
  <c r="AK132" i="1"/>
  <c r="AH132" i="1"/>
  <c r="JK173" i="1"/>
  <c r="JH173" i="1"/>
  <c r="JG123" i="1"/>
  <c r="EL164" i="1"/>
  <c r="FX155" i="1"/>
  <c r="FU155" i="1"/>
  <c r="FY155" i="1"/>
  <c r="FW155" i="1"/>
  <c r="EK164" i="1"/>
  <c r="EN164" i="1"/>
  <c r="FV155" i="1"/>
  <c r="EO164" i="1"/>
  <c r="EM164" i="1"/>
  <c r="AG132" i="1"/>
  <c r="AJ132" i="1"/>
  <c r="SZ146" i="1"/>
  <c r="R155" i="1"/>
  <c r="TR146" i="1"/>
  <c r="TQ146" i="1"/>
  <c r="TT146" i="1"/>
  <c r="TB146" i="1"/>
  <c r="TC146" i="1"/>
  <c r="SY146" i="1"/>
  <c r="DA146" i="1"/>
  <c r="FG146" i="1"/>
  <c r="FD146" i="1"/>
  <c r="FC146" i="1"/>
  <c r="DB146" i="1"/>
  <c r="DD146" i="1"/>
  <c r="FF146" i="1"/>
  <c r="DE146" i="1"/>
  <c r="FE146" i="1"/>
  <c r="FE132" i="1"/>
  <c r="CJ146" i="1"/>
  <c r="CI146" i="1"/>
  <c r="BU132" i="1"/>
  <c r="CL146" i="1"/>
  <c r="CM146" i="1"/>
  <c r="BR132" i="1"/>
  <c r="P155" i="1"/>
  <c r="O155" i="1"/>
  <c r="S155" i="1"/>
  <c r="BR146" i="1"/>
  <c r="BT132" i="1"/>
  <c r="BQ132" i="1"/>
  <c r="S146" i="1"/>
  <c r="O146" i="1"/>
  <c r="R146" i="1"/>
  <c r="P146" i="1"/>
  <c r="Q146" i="1"/>
  <c r="QG164" i="1"/>
  <c r="Q114" i="1"/>
  <c r="AA94" i="28"/>
  <c r="AB132" i="41"/>
  <c r="X81" i="28"/>
  <c r="AB80" i="41"/>
  <c r="Z94" i="28"/>
  <c r="IP155" i="1"/>
  <c r="TR155" i="1"/>
  <c r="W133" i="27"/>
  <c r="BT114" i="1"/>
  <c r="AB94" i="28"/>
  <c r="Y85" i="39"/>
  <c r="JJ132" i="1"/>
  <c r="NK114" i="1"/>
  <c r="HW155" i="1"/>
  <c r="W94" i="27"/>
  <c r="OD164" i="1"/>
  <c r="AK114" i="1"/>
  <c r="AK146" i="1"/>
  <c r="HW173" i="1"/>
  <c r="S123" i="1"/>
  <c r="IA146" i="1"/>
  <c r="AK155" i="1"/>
  <c r="EN114" i="1"/>
  <c r="HI164" i="1"/>
  <c r="KT146" i="1"/>
  <c r="SH164" i="1"/>
  <c r="DA155" i="1"/>
  <c r="O114" i="1"/>
  <c r="Z132" i="41"/>
  <c r="Y94" i="28"/>
  <c r="HH173" i="1"/>
  <c r="AG70" i="27"/>
  <c r="AG72" i="28"/>
  <c r="W119" i="41"/>
  <c r="NL123" i="1"/>
  <c r="RA114" i="1"/>
  <c r="KR146" i="1"/>
  <c r="HF173" i="1"/>
  <c r="EK173" i="1"/>
  <c r="Y93" i="41"/>
  <c r="BQ114" i="1"/>
  <c r="VE173" i="1"/>
  <c r="HZ146" i="1"/>
  <c r="Z80" i="41"/>
  <c r="AA80" i="41"/>
  <c r="CJ164" i="1"/>
  <c r="HI132" i="1"/>
  <c r="HX146" i="1"/>
  <c r="EK114" i="1"/>
  <c r="PQ123" i="1"/>
  <c r="HX155" i="1"/>
  <c r="UM155" i="1"/>
  <c r="UJ114" i="1"/>
  <c r="AH146" i="1"/>
  <c r="UJ173" i="1"/>
  <c r="P123" i="1"/>
  <c r="CM173" i="1"/>
  <c r="TR114" i="1"/>
  <c r="TT155" i="1"/>
  <c r="HW132" i="1"/>
  <c r="RS132" i="1"/>
  <c r="AG155" i="1"/>
  <c r="KC132" i="1"/>
  <c r="AC80" i="41"/>
  <c r="PP146" i="1"/>
  <c r="CM164" i="1"/>
  <c r="MS173" i="1"/>
  <c r="FY132" i="1"/>
  <c r="AG73" i="27"/>
  <c r="PN123" i="1"/>
  <c r="EL132" i="1"/>
  <c r="RO132" i="1"/>
  <c r="EL173" i="1"/>
  <c r="AG114" i="1"/>
  <c r="UL173" i="1"/>
  <c r="EO114" i="1"/>
  <c r="DS114" i="1"/>
  <c r="EO173" i="1"/>
  <c r="DE114" i="1"/>
  <c r="R114" i="1"/>
  <c r="UL114" i="1"/>
  <c r="NO155" i="1"/>
  <c r="AG72" i="27"/>
  <c r="AC132" i="41"/>
  <c r="X106" i="41"/>
  <c r="AA132" i="41"/>
  <c r="PN146" i="1"/>
  <c r="VD173" i="1"/>
  <c r="CJ173" i="1"/>
  <c r="KQ114" i="1"/>
  <c r="W120" i="27"/>
  <c r="HH155" i="1"/>
  <c r="GP155" i="1"/>
  <c r="JK132" i="1"/>
  <c r="KU146" i="1"/>
  <c r="AG71" i="27"/>
  <c r="AA85" i="39"/>
  <c r="DW114" i="1"/>
  <c r="OU155" i="1"/>
  <c r="AG74" i="28"/>
  <c r="X119" i="41"/>
  <c r="GM155" i="1"/>
  <c r="X81" i="27"/>
  <c r="QZ114" i="1"/>
  <c r="IA155" i="1"/>
  <c r="X107" i="27"/>
  <c r="DA114" i="1"/>
  <c r="VB146" i="1"/>
  <c r="KR114" i="1"/>
  <c r="UJ155" i="1"/>
  <c r="MT173" i="1"/>
  <c r="JH132" i="1"/>
  <c r="C145" i="75"/>
  <c r="I21" i="75" s="1"/>
  <c r="VB114" i="1"/>
  <c r="IS155" i="1"/>
  <c r="W81" i="27"/>
  <c r="AG77" i="28"/>
  <c r="AG70" i="28"/>
  <c r="CI173" i="1"/>
  <c r="TT114" i="1"/>
  <c r="AG123" i="1"/>
  <c r="VD114" i="1"/>
  <c r="UI155" i="1"/>
  <c r="MD114" i="1"/>
  <c r="VE146" i="1"/>
  <c r="EO132" i="1"/>
  <c r="VE114" i="1"/>
  <c r="O123" i="1"/>
  <c r="IR155" i="1"/>
  <c r="SJ146" i="1"/>
  <c r="HZ132" i="1"/>
  <c r="KU114" i="1"/>
  <c r="HW146" i="1"/>
  <c r="PM114" i="1"/>
  <c r="AH155" i="1"/>
  <c r="AC85" i="39"/>
  <c r="AC93" i="41"/>
  <c r="NK123" i="1"/>
  <c r="W81" i="28"/>
  <c r="QI155" i="1"/>
  <c r="OD155" i="1"/>
  <c r="P114" i="1"/>
  <c r="W107" i="27"/>
  <c r="DB155" i="1"/>
  <c r="AA93" i="41"/>
  <c r="EL114" i="1"/>
  <c r="HH164" i="1"/>
  <c r="NO114" i="1"/>
  <c r="JG132" i="1"/>
  <c r="UL155" i="1"/>
  <c r="IA123" i="1"/>
  <c r="R123" i="1"/>
  <c r="W106" i="41"/>
  <c r="IO155" i="1"/>
  <c r="TU114" i="1"/>
  <c r="RP132" i="1"/>
  <c r="C144" i="73"/>
  <c r="I21" i="73" s="1"/>
  <c r="JH155" i="1"/>
  <c r="OF155" i="1"/>
  <c r="DD114" i="1"/>
  <c r="BR114" i="1"/>
  <c r="AC70" i="39"/>
  <c r="AC71" i="39"/>
  <c r="Z92" i="27"/>
  <c r="Z93" i="27"/>
  <c r="AB105" i="41"/>
  <c r="AB104" i="41"/>
  <c r="AB70" i="39"/>
  <c r="AB71" i="39"/>
  <c r="Y106" i="27"/>
  <c r="Y105" i="27"/>
  <c r="Z105" i="27"/>
  <c r="Z106" i="27"/>
  <c r="Z132" i="27"/>
  <c r="Z131" i="27"/>
  <c r="GQ155" i="1"/>
  <c r="AB79" i="28"/>
  <c r="AB80" i="28"/>
  <c r="PM146" i="1"/>
  <c r="CI164" i="1"/>
  <c r="PQ114" i="1"/>
  <c r="AA118" i="27"/>
  <c r="AA119" i="27"/>
  <c r="X120" i="27"/>
  <c r="AA117" i="41"/>
  <c r="AA118" i="41"/>
  <c r="Z79" i="27"/>
  <c r="Z80" i="27"/>
  <c r="AB93" i="41"/>
  <c r="OG164" i="1"/>
  <c r="UI114" i="1"/>
  <c r="NK155" i="1"/>
  <c r="SZ173" i="1"/>
  <c r="HZ173" i="1"/>
  <c r="CL164" i="1"/>
  <c r="FX132" i="1"/>
  <c r="HF132" i="1"/>
  <c r="TU155" i="1"/>
  <c r="HX132" i="1"/>
  <c r="OX155" i="1"/>
  <c r="AB85" i="39"/>
  <c r="JZ132" i="1"/>
  <c r="AA70" i="39"/>
  <c r="AA71" i="39"/>
  <c r="X72" i="39"/>
  <c r="HE164" i="1"/>
  <c r="JK155" i="1"/>
  <c r="SG164" i="1"/>
  <c r="AA106" i="27"/>
  <c r="AA105" i="27"/>
  <c r="DE155" i="1"/>
  <c r="AA131" i="27"/>
  <c r="AA132" i="27"/>
  <c r="X133" i="27"/>
  <c r="SY173" i="1"/>
  <c r="MW173" i="1"/>
  <c r="SG146" i="1"/>
  <c r="OV155" i="1"/>
  <c r="Z93" i="41"/>
  <c r="Z80" i="28"/>
  <c r="Z79" i="28"/>
  <c r="Y79" i="28"/>
  <c r="Y80" i="28"/>
  <c r="HE173" i="1"/>
  <c r="OC164" i="1"/>
  <c r="MB114" i="1"/>
  <c r="AJ114" i="1"/>
  <c r="TB173" i="1"/>
  <c r="AJ146" i="1"/>
  <c r="VA146" i="1"/>
  <c r="EN132" i="1"/>
  <c r="HX123" i="1"/>
  <c r="FU132" i="1"/>
  <c r="HE132" i="1"/>
  <c r="SH146" i="1"/>
  <c r="TQ155" i="1"/>
  <c r="AK123" i="1"/>
  <c r="HE155" i="1"/>
  <c r="QF155" i="1"/>
  <c r="X94" i="27"/>
  <c r="OF164" i="1"/>
  <c r="NL155" i="1"/>
  <c r="TC173" i="1"/>
  <c r="AG146" i="1"/>
  <c r="VD146" i="1"/>
  <c r="EK132" i="1"/>
  <c r="IA173" i="1"/>
  <c r="CL173" i="1"/>
  <c r="HH132" i="1"/>
  <c r="Z118" i="27"/>
  <c r="Z119" i="27"/>
  <c r="AJ123" i="1"/>
  <c r="PP114" i="1"/>
  <c r="AB117" i="41"/>
  <c r="AB118" i="41"/>
  <c r="AA80" i="27"/>
  <c r="AA79" i="27"/>
  <c r="NN123" i="1"/>
  <c r="KQ146" i="1"/>
  <c r="MA114" i="1"/>
  <c r="AA104" i="41"/>
  <c r="AA105" i="41"/>
  <c r="JY132" i="1"/>
  <c r="AB105" i="27"/>
  <c r="AB106" i="27"/>
  <c r="AA79" i="28"/>
  <c r="AA80" i="28"/>
  <c r="Y118" i="27"/>
  <c r="Y119" i="27"/>
  <c r="Z117" i="41"/>
  <c r="Z118" i="41"/>
  <c r="Y79" i="27"/>
  <c r="Y80" i="27"/>
  <c r="AC104" i="41"/>
  <c r="AC105" i="41"/>
  <c r="HW123" i="1"/>
  <c r="Z70" i="39"/>
  <c r="Z71" i="39"/>
  <c r="JJ155" i="1"/>
  <c r="AB131" i="27"/>
  <c r="AB132" i="27"/>
  <c r="DB114" i="1"/>
  <c r="AH114" i="1"/>
  <c r="IA132" i="1"/>
  <c r="NN155" i="1"/>
  <c r="VB173" i="1"/>
  <c r="VA114" i="1"/>
  <c r="Y117" i="41"/>
  <c r="AG71" i="41" s="1"/>
  <c r="AH71" i="41" s="1"/>
  <c r="Y118" i="41"/>
  <c r="Y92" i="27"/>
  <c r="Y93" i="27"/>
  <c r="HX173" i="1"/>
  <c r="VA173" i="1"/>
  <c r="UM173" i="1"/>
  <c r="MV173" i="1"/>
  <c r="FV132" i="1"/>
  <c r="TQ114" i="1"/>
  <c r="RR132" i="1"/>
  <c r="HI155" i="1"/>
  <c r="GN155" i="1"/>
  <c r="Y70" i="39"/>
  <c r="Y71" i="39"/>
  <c r="QW114" i="1"/>
  <c r="NL114" i="1"/>
  <c r="DV114" i="1"/>
  <c r="PP123" i="1"/>
  <c r="QE155" i="1"/>
  <c r="EN173" i="1"/>
  <c r="DD155" i="1"/>
  <c r="Y131" i="27"/>
  <c r="Y132" i="27"/>
  <c r="S114" i="1"/>
  <c r="OC155" i="1"/>
  <c r="AG73" i="28"/>
  <c r="AG69" i="28"/>
  <c r="AG71" i="28"/>
  <c r="AG78" i="28"/>
  <c r="Z85" i="39"/>
  <c r="QH155" i="1"/>
  <c r="HZ155" i="1"/>
  <c r="SK164" i="1"/>
  <c r="PQ146" i="1"/>
  <c r="OY155" i="1"/>
  <c r="AG75" i="28"/>
  <c r="NO123" i="1"/>
  <c r="AA92" i="27"/>
  <c r="AA93" i="27"/>
  <c r="AB92" i="27"/>
  <c r="AB93" i="27"/>
  <c r="UM114" i="1"/>
  <c r="Y104" i="41"/>
  <c r="AG70" i="41" s="1"/>
  <c r="AH70" i="41" s="1"/>
  <c r="Y105" i="41"/>
  <c r="SK146" i="1"/>
  <c r="KT114" i="1"/>
  <c r="AB118" i="27"/>
  <c r="AB119" i="27"/>
  <c r="AH123" i="1"/>
  <c r="AC118" i="41"/>
  <c r="AC117" i="41"/>
  <c r="HF155" i="1"/>
  <c r="AJ155" i="1"/>
  <c r="C145" i="38"/>
  <c r="I21" i="38" s="1"/>
  <c r="AB79" i="27"/>
  <c r="AB80" i="27"/>
  <c r="PM123" i="1"/>
  <c r="JG155" i="1"/>
  <c r="HI173" i="1"/>
  <c r="SJ164" i="1"/>
  <c r="OG155" i="1"/>
  <c r="ME114" i="1"/>
  <c r="UI173" i="1"/>
  <c r="HZ123" i="1"/>
  <c r="Z104" i="41"/>
  <c r="Z105" i="41"/>
  <c r="PN114" i="1"/>
  <c r="KB132" i="1"/>
  <c r="W72" i="39"/>
  <c r="QX114" i="1"/>
  <c r="HF164" i="1"/>
  <c r="NN114" i="1"/>
  <c r="DT114" i="1"/>
  <c r="BU114" i="1"/>
  <c r="T41" i="10" l="1"/>
  <c r="R24" i="26"/>
  <c r="DD21" i="87"/>
  <c r="DO21" i="87"/>
  <c r="CH21" i="87"/>
  <c r="CS21" i="87"/>
  <c r="BL21" i="87"/>
  <c r="BW21" i="87"/>
  <c r="AP21" i="87"/>
  <c r="BA21" i="87"/>
  <c r="T21" i="87"/>
  <c r="AE21" i="87"/>
  <c r="I21" i="87"/>
  <c r="AB81" i="27"/>
  <c r="AB120" i="27"/>
  <c r="AH69" i="27"/>
  <c r="C86" i="68" s="1"/>
  <c r="Z106" i="41"/>
  <c r="AA94" i="27"/>
  <c r="Y133" i="27"/>
  <c r="Y94" i="27"/>
  <c r="AC106" i="41"/>
  <c r="AA106" i="41"/>
  <c r="AB119" i="41"/>
  <c r="Z120" i="27"/>
  <c r="Y81" i="28"/>
  <c r="AA120" i="27"/>
  <c r="AC72" i="39"/>
  <c r="AB94" i="27"/>
  <c r="Y119" i="41"/>
  <c r="AB133" i="27"/>
  <c r="Y81" i="27"/>
  <c r="Y120" i="27"/>
  <c r="AB107" i="27"/>
  <c r="AA119" i="41"/>
  <c r="AB81" i="28"/>
  <c r="Y106" i="41"/>
  <c r="AA133" i="27"/>
  <c r="Z107" i="27"/>
  <c r="AB72" i="39"/>
  <c r="Y107" i="27"/>
  <c r="AC119" i="41"/>
  <c r="AH69" i="28"/>
  <c r="C137" i="37" s="1"/>
  <c r="AA81" i="27"/>
  <c r="AA107" i="27"/>
  <c r="Z133" i="27"/>
  <c r="AB106" i="41"/>
  <c r="AI68" i="41"/>
  <c r="Y72" i="39"/>
  <c r="Z72" i="39"/>
  <c r="Z119" i="41"/>
  <c r="AA81" i="28"/>
  <c r="Z81" i="28"/>
  <c r="AA72" i="39"/>
  <c r="Z81" i="27"/>
  <c r="Z94" i="27"/>
  <c r="O29" i="87" l="1"/>
  <c r="C258" i="26"/>
  <c r="I26" i="26" s="1"/>
  <c r="O26" i="26" s="1"/>
  <c r="Q47" i="10"/>
  <c r="C90" i="87"/>
  <c r="C91" i="87" s="1"/>
  <c r="Q46" i="10"/>
  <c r="Q49" i="10"/>
  <c r="C90" i="75"/>
  <c r="C264" i="75" s="1"/>
  <c r="M27" i="75" s="1"/>
  <c r="O27" i="75" s="1"/>
  <c r="C89" i="73"/>
  <c r="C263" i="73" s="1"/>
  <c r="M27" i="73" s="1"/>
  <c r="O27" i="73" s="1"/>
  <c r="Q48" i="10"/>
  <c r="C90" i="38"/>
  <c r="Y41" i="10"/>
  <c r="C87" i="37"/>
  <c r="CO26" i="37" s="1"/>
  <c r="CS26" i="37" s="1"/>
  <c r="C86" i="64"/>
  <c r="DQ26" i="64" s="1"/>
  <c r="DU26" i="64" s="1"/>
  <c r="C164" i="34"/>
  <c r="I22" i="34" s="1"/>
  <c r="O22" i="34" s="1"/>
  <c r="Q22" i="34" s="1"/>
  <c r="R22" i="34" s="1"/>
  <c r="C198" i="26"/>
  <c r="I23" i="26" s="1"/>
  <c r="O23" i="26" s="1"/>
  <c r="FN26" i="68"/>
  <c r="FR26" i="68" s="1"/>
  <c r="CO26" i="68"/>
  <c r="CS26" i="68" s="1"/>
  <c r="BT26" i="68"/>
  <c r="BX26" i="68" s="1"/>
  <c r="EZ26" i="68"/>
  <c r="FD26" i="68" s="1"/>
  <c r="I26" i="68"/>
  <c r="M26" i="68" s="1"/>
  <c r="AK26" i="68"/>
  <c r="AO26" i="68" s="1"/>
  <c r="BF26" i="68"/>
  <c r="BJ26" i="68" s="1"/>
  <c r="AD26" i="68"/>
  <c r="AH26" i="68" s="1"/>
  <c r="CA26" i="68"/>
  <c r="CE26" i="68" s="1"/>
  <c r="FG26" i="68"/>
  <c r="FK26" i="68" s="1"/>
  <c r="ES26" i="68"/>
  <c r="EW26" i="68" s="1"/>
  <c r="DX26" i="68"/>
  <c r="EB26" i="68" s="1"/>
  <c r="AY26" i="68"/>
  <c r="BC26" i="68" s="1"/>
  <c r="P26" i="68"/>
  <c r="T26" i="68" s="1"/>
  <c r="DC26" i="68"/>
  <c r="DG26" i="68" s="1"/>
  <c r="CH26" i="68"/>
  <c r="CL26" i="68" s="1"/>
  <c r="DQ26" i="68"/>
  <c r="DU26" i="68" s="1"/>
  <c r="CV26" i="68"/>
  <c r="CZ26" i="68" s="1"/>
  <c r="W26" i="68"/>
  <c r="AA26" i="68" s="1"/>
  <c r="BM26" i="68"/>
  <c r="BQ26" i="68" s="1"/>
  <c r="DJ26" i="68"/>
  <c r="DN26" i="68" s="1"/>
  <c r="EL26" i="68"/>
  <c r="EP26" i="68" s="1"/>
  <c r="AR26" i="68"/>
  <c r="AV26" i="68" s="1"/>
  <c r="EE26" i="68"/>
  <c r="EI26" i="68" s="1"/>
  <c r="C224" i="34"/>
  <c r="I25" i="34" s="1"/>
  <c r="O25" i="34" s="1"/>
  <c r="C136" i="64"/>
  <c r="C136" i="68"/>
  <c r="Q23" i="26" l="1"/>
  <c r="R23" i="26" s="1"/>
  <c r="O35" i="26"/>
  <c r="O36" i="26" s="1"/>
  <c r="C265" i="87"/>
  <c r="ED27" i="87" s="1"/>
  <c r="EF27" i="87" s="1"/>
  <c r="C155" i="87"/>
  <c r="ED21" i="87" s="1"/>
  <c r="EF21" i="87" s="1"/>
  <c r="C283" i="87"/>
  <c r="ED28" i="87" s="1"/>
  <c r="EF28" i="87" s="1"/>
  <c r="EH29" i="87"/>
  <c r="EI29" i="87" s="1"/>
  <c r="C91" i="38"/>
  <c r="C283" i="38"/>
  <c r="M28" i="38" s="1"/>
  <c r="O28" i="38" s="1"/>
  <c r="C246" i="75"/>
  <c r="M26" i="75" s="1"/>
  <c r="O26" i="75" s="1"/>
  <c r="C265" i="38"/>
  <c r="M27" i="38" s="1"/>
  <c r="O27" i="38" s="1"/>
  <c r="C91" i="75"/>
  <c r="C223" i="75" s="1"/>
  <c r="I25" i="75" s="1"/>
  <c r="O25" i="75" s="1"/>
  <c r="Q25" i="75" s="1"/>
  <c r="R25" i="75" s="1"/>
  <c r="C154" i="73"/>
  <c r="M21" i="73" s="1"/>
  <c r="O21" i="73" s="1"/>
  <c r="C155" i="75"/>
  <c r="M21" i="75" s="1"/>
  <c r="O21" i="75" s="1"/>
  <c r="C90" i="73"/>
  <c r="C167" i="73" s="1"/>
  <c r="I22" i="73" s="1"/>
  <c r="O22" i="73" s="1"/>
  <c r="Q22" i="73" s="1"/>
  <c r="R22" i="73" s="1"/>
  <c r="C155" i="38"/>
  <c r="M21" i="38" s="1"/>
  <c r="O21" i="38" s="1"/>
  <c r="C245" i="73"/>
  <c r="M26" i="73" s="1"/>
  <c r="O26" i="73" s="1"/>
  <c r="EE26" i="37"/>
  <c r="FG26" i="37"/>
  <c r="P26" i="37"/>
  <c r="BM26" i="37"/>
  <c r="BQ26" i="37" s="1"/>
  <c r="DJ26" i="37"/>
  <c r="DN26" i="37" s="1"/>
  <c r="CA26" i="37"/>
  <c r="CE26" i="37" s="1"/>
  <c r="AK26" i="37"/>
  <c r="AO26" i="37" s="1"/>
  <c r="I26" i="37"/>
  <c r="M26" i="37" s="1"/>
  <c r="CV26" i="37"/>
  <c r="CZ26" i="37" s="1"/>
  <c r="BT26" i="37"/>
  <c r="BX26" i="37" s="1"/>
  <c r="BF26" i="37"/>
  <c r="BJ26" i="37" s="1"/>
  <c r="DX26" i="37"/>
  <c r="EB26" i="37" s="1"/>
  <c r="EZ26" i="37"/>
  <c r="EL26" i="37"/>
  <c r="AY26" i="37"/>
  <c r="BC26" i="37" s="1"/>
  <c r="DQ26" i="37"/>
  <c r="DU26" i="37" s="1"/>
  <c r="AR26" i="37"/>
  <c r="FN26" i="37"/>
  <c r="CH26" i="37"/>
  <c r="W26" i="37"/>
  <c r="AA26" i="37" s="1"/>
  <c r="ES26" i="37"/>
  <c r="AD26" i="37"/>
  <c r="AH26" i="37" s="1"/>
  <c r="DC26" i="37"/>
  <c r="DG26" i="37" s="1"/>
  <c r="AD26" i="64"/>
  <c r="AH26" i="64" s="1"/>
  <c r="CV26" i="64"/>
  <c r="CZ26" i="64" s="1"/>
  <c r="DJ26" i="64"/>
  <c r="DN26" i="64" s="1"/>
  <c r="AK26" i="64"/>
  <c r="AO26" i="64" s="1"/>
  <c r="FN26" i="64"/>
  <c r="FR26" i="64" s="1"/>
  <c r="EL26" i="64"/>
  <c r="EP26" i="64" s="1"/>
  <c r="EZ26" i="64"/>
  <c r="FD26" i="64" s="1"/>
  <c r="ES26" i="64"/>
  <c r="EW26" i="64" s="1"/>
  <c r="AR26" i="64"/>
  <c r="AV26" i="64" s="1"/>
  <c r="CA26" i="64"/>
  <c r="CE26" i="64" s="1"/>
  <c r="P26" i="64"/>
  <c r="T26" i="64" s="1"/>
  <c r="CH26" i="64"/>
  <c r="CL26" i="64" s="1"/>
  <c r="CO26" i="64"/>
  <c r="CS26" i="64" s="1"/>
  <c r="I26" i="64"/>
  <c r="M26" i="64" s="1"/>
  <c r="EE26" i="64"/>
  <c r="EI26" i="64" s="1"/>
  <c r="AY26" i="64"/>
  <c r="BC26" i="64" s="1"/>
  <c r="FG26" i="64"/>
  <c r="FK26" i="64" s="1"/>
  <c r="DC26" i="64"/>
  <c r="DG26" i="64" s="1"/>
  <c r="DX26" i="64"/>
  <c r="EB26" i="64" s="1"/>
  <c r="BF26" i="64"/>
  <c r="BJ26" i="64" s="1"/>
  <c r="BT26" i="64"/>
  <c r="BX26" i="64" s="1"/>
  <c r="W26" i="64"/>
  <c r="AA26" i="64" s="1"/>
  <c r="BM26" i="64"/>
  <c r="BQ26" i="64" s="1"/>
  <c r="CO29" i="64"/>
  <c r="CS29" i="64" s="1"/>
  <c r="DX29" i="64"/>
  <c r="EB29" i="64" s="1"/>
  <c r="CA29" i="64"/>
  <c r="CE29" i="64" s="1"/>
  <c r="FN29" i="64"/>
  <c r="FR29" i="64" s="1"/>
  <c r="W29" i="64"/>
  <c r="AA29" i="64" s="1"/>
  <c r="AR29" i="64"/>
  <c r="AV29" i="64" s="1"/>
  <c r="BT29" i="64"/>
  <c r="BX29" i="64" s="1"/>
  <c r="EZ29" i="64"/>
  <c r="FD29" i="64" s="1"/>
  <c r="EE29" i="64"/>
  <c r="EI29" i="64" s="1"/>
  <c r="BM29" i="64"/>
  <c r="BQ29" i="64" s="1"/>
  <c r="P29" i="64"/>
  <c r="T29" i="64" s="1"/>
  <c r="AY29" i="64"/>
  <c r="BC29" i="64" s="1"/>
  <c r="CH29" i="64"/>
  <c r="CL29" i="64" s="1"/>
  <c r="EL29" i="64"/>
  <c r="EP29" i="64" s="1"/>
  <c r="CV29" i="64"/>
  <c r="CZ29" i="64" s="1"/>
  <c r="ES29" i="64"/>
  <c r="EW29" i="64" s="1"/>
  <c r="AD29" i="64"/>
  <c r="AH29" i="64" s="1"/>
  <c r="AK29" i="64"/>
  <c r="AO29" i="64" s="1"/>
  <c r="DJ29" i="64"/>
  <c r="DN29" i="64" s="1"/>
  <c r="I29" i="64"/>
  <c r="M29" i="64" s="1"/>
  <c r="BF29" i="64"/>
  <c r="BJ29" i="64" s="1"/>
  <c r="DQ29" i="64"/>
  <c r="DU29" i="64" s="1"/>
  <c r="FG29" i="64"/>
  <c r="FK29" i="64" s="1"/>
  <c r="DC29" i="64"/>
  <c r="DG29" i="64" s="1"/>
  <c r="Q25" i="34"/>
  <c r="R25" i="34" s="1"/>
  <c r="Q26" i="26"/>
  <c r="R26" i="26" s="1"/>
  <c r="EE29" i="68"/>
  <c r="EI29" i="68" s="1"/>
  <c r="DQ29" i="68"/>
  <c r="DU29" i="68" s="1"/>
  <c r="EL29" i="68"/>
  <c r="EP29" i="68" s="1"/>
  <c r="BT29" i="68"/>
  <c r="BX29" i="68" s="1"/>
  <c r="I29" i="68"/>
  <c r="M29" i="68" s="1"/>
  <c r="AD29" i="68"/>
  <c r="AH29" i="68" s="1"/>
  <c r="CA29" i="68"/>
  <c r="CE29" i="68" s="1"/>
  <c r="FG29" i="68"/>
  <c r="FK29" i="68" s="1"/>
  <c r="FN29" i="68"/>
  <c r="FR29" i="68" s="1"/>
  <c r="DX29" i="68"/>
  <c r="EB29" i="68" s="1"/>
  <c r="AR29" i="68"/>
  <c r="AV29" i="68" s="1"/>
  <c r="DC29" i="68"/>
  <c r="DG29" i="68" s="1"/>
  <c r="CH29" i="68"/>
  <c r="CL29" i="68" s="1"/>
  <c r="CO29" i="68"/>
  <c r="CS29" i="68" s="1"/>
  <c r="CV29" i="68"/>
  <c r="CZ29" i="68" s="1"/>
  <c r="AY29" i="68"/>
  <c r="BC29" i="68" s="1"/>
  <c r="EZ29" i="68"/>
  <c r="FD29" i="68" s="1"/>
  <c r="BF29" i="68"/>
  <c r="BJ29" i="68" s="1"/>
  <c r="AK29" i="68"/>
  <c r="AO29" i="68" s="1"/>
  <c r="ES29" i="68"/>
  <c r="EW29" i="68" s="1"/>
  <c r="W29" i="68"/>
  <c r="AA29" i="68" s="1"/>
  <c r="P29" i="68"/>
  <c r="T29" i="68" s="1"/>
  <c r="BM29" i="68"/>
  <c r="BQ29" i="68" s="1"/>
  <c r="DJ29" i="68"/>
  <c r="DN29" i="68" s="1"/>
  <c r="DQ29" i="37"/>
  <c r="DU29" i="37" s="1"/>
  <c r="BT29" i="37"/>
  <c r="BX29" i="37" s="1"/>
  <c r="BM29" i="37"/>
  <c r="BQ29" i="37" s="1"/>
  <c r="CO29" i="37"/>
  <c r="CS29" i="37" s="1"/>
  <c r="I29" i="37"/>
  <c r="M29" i="37" s="1"/>
  <c r="EL29" i="37"/>
  <c r="FG29" i="37"/>
  <c r="DJ29" i="37"/>
  <c r="DN29" i="37" s="1"/>
  <c r="CA29" i="37"/>
  <c r="CE29" i="37" s="1"/>
  <c r="AY29" i="37"/>
  <c r="BC29" i="37" s="1"/>
  <c r="AD29" i="37"/>
  <c r="AH29" i="37" s="1"/>
  <c r="AR29" i="37"/>
  <c r="BF29" i="37"/>
  <c r="BJ29" i="37" s="1"/>
  <c r="DX29" i="37"/>
  <c r="EB29" i="37" s="1"/>
  <c r="CV29" i="37"/>
  <c r="CZ29" i="37" s="1"/>
  <c r="DC29" i="37"/>
  <c r="DG29" i="37" s="1"/>
  <c r="ES29" i="37"/>
  <c r="EE29" i="37"/>
  <c r="AK29" i="37"/>
  <c r="AO29" i="37" s="1"/>
  <c r="P29" i="37"/>
  <c r="CH29" i="37"/>
  <c r="FN29" i="37"/>
  <c r="W29" i="37"/>
  <c r="AA29" i="37" s="1"/>
  <c r="EZ29" i="37"/>
  <c r="C239" i="38" l="1"/>
  <c r="I26" i="38" s="1"/>
  <c r="O26" i="38" s="1"/>
  <c r="Q26" i="38" s="1"/>
  <c r="R26" i="38" s="1"/>
  <c r="S26" i="26"/>
  <c r="EH28" i="87"/>
  <c r="EI28" i="87" s="1"/>
  <c r="EH21" i="87"/>
  <c r="EI21" i="87" s="1"/>
  <c r="EH27" i="87"/>
  <c r="EI27" i="87" s="1"/>
  <c r="DL29" i="87"/>
  <c r="DM29" i="87" s="1"/>
  <c r="DW29" i="87"/>
  <c r="DX29" i="87" s="1"/>
  <c r="DH28" i="87"/>
  <c r="DJ28" i="87" s="1"/>
  <c r="DL28" i="87" s="1"/>
  <c r="DM28" i="87" s="1"/>
  <c r="DS28" i="87"/>
  <c r="DU28" i="87" s="1"/>
  <c r="DH21" i="87"/>
  <c r="DJ21" i="87" s="1"/>
  <c r="DL21" i="87" s="1"/>
  <c r="DM21" i="87" s="1"/>
  <c r="DS21" i="87"/>
  <c r="DU21" i="87" s="1"/>
  <c r="DH27" i="87"/>
  <c r="DJ27" i="87" s="1"/>
  <c r="DL27" i="87" s="1"/>
  <c r="DM27" i="87" s="1"/>
  <c r="DS27" i="87"/>
  <c r="DU27" i="87" s="1"/>
  <c r="CL28" i="87"/>
  <c r="CN28" i="87" s="1"/>
  <c r="CP28" i="87" s="1"/>
  <c r="CQ28" i="87" s="1"/>
  <c r="CW28" i="87"/>
  <c r="CY28" i="87" s="1"/>
  <c r="CP29" i="87"/>
  <c r="CQ29" i="87" s="1"/>
  <c r="DA29" i="87"/>
  <c r="DB29" i="87" s="1"/>
  <c r="CL21" i="87"/>
  <c r="CN21" i="87" s="1"/>
  <c r="CP21" i="87" s="1"/>
  <c r="CQ21" i="87" s="1"/>
  <c r="CW21" i="87"/>
  <c r="CY21" i="87" s="1"/>
  <c r="CL27" i="87"/>
  <c r="CN27" i="87" s="1"/>
  <c r="CP27" i="87" s="1"/>
  <c r="CQ27" i="87" s="1"/>
  <c r="CW27" i="87"/>
  <c r="CY27" i="87" s="1"/>
  <c r="BT29" i="87"/>
  <c r="BU29" i="87" s="1"/>
  <c r="CE29" i="87"/>
  <c r="CF29" i="87" s="1"/>
  <c r="BP28" i="87"/>
  <c r="BR28" i="87" s="1"/>
  <c r="BT28" i="87" s="1"/>
  <c r="BU28" i="87" s="1"/>
  <c r="CA28" i="87"/>
  <c r="CC28" i="87" s="1"/>
  <c r="BP21" i="87"/>
  <c r="BR21" i="87" s="1"/>
  <c r="BT21" i="87" s="1"/>
  <c r="BU21" i="87" s="1"/>
  <c r="CA21" i="87"/>
  <c r="CC21" i="87" s="1"/>
  <c r="BP27" i="87"/>
  <c r="BR27" i="87" s="1"/>
  <c r="BT27" i="87" s="1"/>
  <c r="BU27" i="87" s="1"/>
  <c r="CA27" i="87"/>
  <c r="CC27" i="87" s="1"/>
  <c r="AT28" i="87"/>
  <c r="AV28" i="87" s="1"/>
  <c r="AX28" i="87" s="1"/>
  <c r="AY28" i="87" s="1"/>
  <c r="BE28" i="87"/>
  <c r="BG28" i="87" s="1"/>
  <c r="AT21" i="87"/>
  <c r="AV21" i="87" s="1"/>
  <c r="AX21" i="87" s="1"/>
  <c r="AY21" i="87" s="1"/>
  <c r="BE21" i="87"/>
  <c r="BG21" i="87" s="1"/>
  <c r="AX29" i="87"/>
  <c r="AY29" i="87" s="1"/>
  <c r="BI29" i="87"/>
  <c r="BJ29" i="87" s="1"/>
  <c r="AT27" i="87"/>
  <c r="AV27" i="87" s="1"/>
  <c r="AX27" i="87" s="1"/>
  <c r="AY27" i="87" s="1"/>
  <c r="BE27" i="87"/>
  <c r="BG27" i="87" s="1"/>
  <c r="X28" i="87"/>
  <c r="Z28" i="87" s="1"/>
  <c r="AB28" i="87" s="1"/>
  <c r="AC28" i="87" s="1"/>
  <c r="AI28" i="87"/>
  <c r="AK28" i="87" s="1"/>
  <c r="X21" i="87"/>
  <c r="Z21" i="87" s="1"/>
  <c r="AB21" i="87" s="1"/>
  <c r="AC21" i="87" s="1"/>
  <c r="AI21" i="87"/>
  <c r="AK21" i="87" s="1"/>
  <c r="AB29" i="87"/>
  <c r="AC29" i="87" s="1"/>
  <c r="AM29" i="87"/>
  <c r="AN29" i="87" s="1"/>
  <c r="X27" i="87"/>
  <c r="Z27" i="87" s="1"/>
  <c r="AB27" i="87" s="1"/>
  <c r="AC27" i="87" s="1"/>
  <c r="AI27" i="87"/>
  <c r="AK27" i="87" s="1"/>
  <c r="C239" i="87"/>
  <c r="DZ26" i="87" s="1"/>
  <c r="EF26" i="87" s="1"/>
  <c r="M28" i="87"/>
  <c r="O28" i="87" s="1"/>
  <c r="Q28" i="87" s="1"/>
  <c r="R28" i="87" s="1"/>
  <c r="M27" i="87"/>
  <c r="O27" i="87" s="1"/>
  <c r="Q27" i="87" s="1"/>
  <c r="R27" i="87" s="1"/>
  <c r="M21" i="87"/>
  <c r="O21" i="87" s="1"/>
  <c r="C223" i="87"/>
  <c r="DZ25" i="87" s="1"/>
  <c r="EF25" i="87" s="1"/>
  <c r="C168" i="87"/>
  <c r="DZ22" i="87" s="1"/>
  <c r="EF22" i="87" s="1"/>
  <c r="C205" i="87"/>
  <c r="DZ24" i="87" s="1"/>
  <c r="EF24" i="87" s="1"/>
  <c r="Q29" i="87"/>
  <c r="R29" i="87" s="1"/>
  <c r="C126" i="87"/>
  <c r="DZ20" i="87" s="1"/>
  <c r="EF20" i="87" s="1"/>
  <c r="C184" i="87"/>
  <c r="DZ23" i="87" s="1"/>
  <c r="EF23" i="87" s="1"/>
  <c r="C126" i="38"/>
  <c r="I20" i="38" s="1"/>
  <c r="O20" i="38" s="1"/>
  <c r="Q20" i="38" s="1"/>
  <c r="R20" i="38" s="1"/>
  <c r="Q28" i="38"/>
  <c r="R28" i="38" s="1"/>
  <c r="C223" i="38"/>
  <c r="I25" i="38" s="1"/>
  <c r="O25" i="38" s="1"/>
  <c r="Q25" i="38" s="1"/>
  <c r="R25" i="38" s="1"/>
  <c r="C205" i="38"/>
  <c r="I24" i="38" s="1"/>
  <c r="O24" i="38" s="1"/>
  <c r="Q24" i="38" s="1"/>
  <c r="R24" i="38" s="1"/>
  <c r="Q21" i="38"/>
  <c r="R21" i="38" s="1"/>
  <c r="C184" i="38"/>
  <c r="I23" i="38" s="1"/>
  <c r="O23" i="38" s="1"/>
  <c r="Q23" i="38" s="1"/>
  <c r="R23" i="38" s="1"/>
  <c r="Q27" i="38"/>
  <c r="R27" i="38" s="1"/>
  <c r="C168" i="38"/>
  <c r="I22" i="38" s="1"/>
  <c r="O22" i="38" s="1"/>
  <c r="Q22" i="38" s="1"/>
  <c r="R22" i="38" s="1"/>
  <c r="C205" i="75"/>
  <c r="I24" i="75" s="1"/>
  <c r="O24" i="75" s="1"/>
  <c r="Q24" i="75" s="1"/>
  <c r="R24" i="75" s="1"/>
  <c r="C125" i="73"/>
  <c r="I20" i="73" s="1"/>
  <c r="O20" i="73" s="1"/>
  <c r="Q20" i="73" s="1"/>
  <c r="R20" i="73" s="1"/>
  <c r="Q28" i="75"/>
  <c r="R28" i="75" s="1"/>
  <c r="C183" i="73"/>
  <c r="I23" i="73" s="1"/>
  <c r="O23" i="73" s="1"/>
  <c r="Q23" i="73" s="1"/>
  <c r="R23" i="73" s="1"/>
  <c r="C184" i="75"/>
  <c r="I23" i="75" s="1"/>
  <c r="O23" i="75" s="1"/>
  <c r="Q23" i="75" s="1"/>
  <c r="R23" i="75" s="1"/>
  <c r="C168" i="75"/>
  <c r="I22" i="75" s="1"/>
  <c r="O22" i="75" s="1"/>
  <c r="Q22" i="75" s="1"/>
  <c r="R22" i="75" s="1"/>
  <c r="Q26" i="75"/>
  <c r="R26" i="75" s="1"/>
  <c r="Q27" i="75"/>
  <c r="R27" i="75" s="1"/>
  <c r="C126" i="75"/>
  <c r="I20" i="75" s="1"/>
  <c r="O20" i="75" s="1"/>
  <c r="Q20" i="75" s="1"/>
  <c r="R20" i="75" s="1"/>
  <c r="Q21" i="75"/>
  <c r="R21" i="75" s="1"/>
  <c r="C222" i="73"/>
  <c r="I25" i="73" s="1"/>
  <c r="O25" i="73" s="1"/>
  <c r="Q25" i="73" s="1"/>
  <c r="R25" i="73" s="1"/>
  <c r="Q27" i="73"/>
  <c r="R27" i="73" s="1"/>
  <c r="C204" i="73"/>
  <c r="I24" i="73" s="1"/>
  <c r="O24" i="73" s="1"/>
  <c r="Q24" i="73" s="1"/>
  <c r="R24" i="73" s="1"/>
  <c r="Q21" i="73"/>
  <c r="R21" i="73" s="1"/>
  <c r="Q26" i="73"/>
  <c r="R26" i="73" s="1"/>
  <c r="S28" i="26"/>
  <c r="S27" i="26"/>
  <c r="S21" i="26"/>
  <c r="S22" i="26"/>
  <c r="S31" i="26"/>
  <c r="S32" i="26"/>
  <c r="S25" i="26"/>
  <c r="S29" i="26"/>
  <c r="S33" i="26"/>
  <c r="S24" i="26"/>
  <c r="O39" i="26"/>
  <c r="O40" i="26" s="1"/>
  <c r="C110" i="38" s="1"/>
  <c r="I19" i="38" s="1"/>
  <c r="S30" i="26"/>
  <c r="S19" i="26"/>
  <c r="S20" i="26"/>
  <c r="S23" i="26"/>
  <c r="C110" i="87" l="1"/>
  <c r="DZ19" i="87" s="1"/>
  <c r="EF19" i="87" s="1"/>
  <c r="EH23" i="87"/>
  <c r="EI23" i="87" s="1"/>
  <c r="EH22" i="87"/>
  <c r="EI22" i="87" s="1"/>
  <c r="EH20" i="87"/>
  <c r="EI20" i="87" s="1"/>
  <c r="EH25" i="87"/>
  <c r="EI25" i="87" s="1"/>
  <c r="EH26" i="87"/>
  <c r="EI26" i="87" s="1"/>
  <c r="EH24" i="87"/>
  <c r="EI24" i="87" s="1"/>
  <c r="DD22" i="87"/>
  <c r="DJ22" i="87" s="1"/>
  <c r="DL22" i="87" s="1"/>
  <c r="DM22" i="87" s="1"/>
  <c r="DO22" i="87"/>
  <c r="DU22" i="87" s="1"/>
  <c r="DW28" i="87"/>
  <c r="DX28" i="87" s="1"/>
  <c r="DD20" i="87"/>
  <c r="DJ20" i="87" s="1"/>
  <c r="DL20" i="87" s="1"/>
  <c r="DM20" i="87" s="1"/>
  <c r="DO20" i="87"/>
  <c r="DU20" i="87" s="1"/>
  <c r="DD25" i="87"/>
  <c r="DJ25" i="87" s="1"/>
  <c r="DL25" i="87" s="1"/>
  <c r="DM25" i="87" s="1"/>
  <c r="DO25" i="87"/>
  <c r="DU25" i="87" s="1"/>
  <c r="DD26" i="87"/>
  <c r="DJ26" i="87" s="1"/>
  <c r="DL26" i="87" s="1"/>
  <c r="DM26" i="87" s="1"/>
  <c r="DO26" i="87"/>
  <c r="DU26" i="87" s="1"/>
  <c r="DD23" i="87"/>
  <c r="DJ23" i="87" s="1"/>
  <c r="DL23" i="87" s="1"/>
  <c r="DM23" i="87" s="1"/>
  <c r="DO23" i="87"/>
  <c r="DU23" i="87" s="1"/>
  <c r="DW21" i="87"/>
  <c r="DX21" i="87" s="1"/>
  <c r="DW27" i="87"/>
  <c r="DX27" i="87" s="1"/>
  <c r="DD24" i="87"/>
  <c r="DJ24" i="87" s="1"/>
  <c r="DL24" i="87" s="1"/>
  <c r="DM24" i="87" s="1"/>
  <c r="DO24" i="87"/>
  <c r="DU24" i="87" s="1"/>
  <c r="CH23" i="87"/>
  <c r="CN23" i="87" s="1"/>
  <c r="CP23" i="87" s="1"/>
  <c r="CQ23" i="87" s="1"/>
  <c r="CS23" i="87"/>
  <c r="CY23" i="87" s="1"/>
  <c r="DA27" i="87"/>
  <c r="DB27" i="87" s="1"/>
  <c r="CH20" i="87"/>
  <c r="CN20" i="87" s="1"/>
  <c r="CP20" i="87" s="1"/>
  <c r="CQ20" i="87" s="1"/>
  <c r="CS20" i="87"/>
  <c r="CY20" i="87" s="1"/>
  <c r="CH25" i="87"/>
  <c r="CN25" i="87" s="1"/>
  <c r="CP25" i="87" s="1"/>
  <c r="CQ25" i="87" s="1"/>
  <c r="CS25" i="87"/>
  <c r="CY25" i="87" s="1"/>
  <c r="CH26" i="87"/>
  <c r="CN26" i="87" s="1"/>
  <c r="CP26" i="87" s="1"/>
  <c r="CQ26" i="87" s="1"/>
  <c r="CS26" i="87"/>
  <c r="CY26" i="87" s="1"/>
  <c r="CH22" i="87"/>
  <c r="CN22" i="87" s="1"/>
  <c r="CP22" i="87" s="1"/>
  <c r="CQ22" i="87" s="1"/>
  <c r="CS22" i="87"/>
  <c r="CY22" i="87" s="1"/>
  <c r="DA21" i="87"/>
  <c r="DB21" i="87" s="1"/>
  <c r="DA28" i="87"/>
  <c r="DB28" i="87" s="1"/>
  <c r="CH24" i="87"/>
  <c r="CN24" i="87" s="1"/>
  <c r="CP24" i="87" s="1"/>
  <c r="CQ24" i="87" s="1"/>
  <c r="CS24" i="87"/>
  <c r="CY24" i="87" s="1"/>
  <c r="BL23" i="87"/>
  <c r="BR23" i="87" s="1"/>
  <c r="BT23" i="87" s="1"/>
  <c r="BU23" i="87" s="1"/>
  <c r="BW23" i="87"/>
  <c r="CC23" i="87" s="1"/>
  <c r="BL22" i="87"/>
  <c r="BR22" i="87" s="1"/>
  <c r="BT22" i="87" s="1"/>
  <c r="BU22" i="87" s="1"/>
  <c r="BW22" i="87"/>
  <c r="CC22" i="87" s="1"/>
  <c r="CE27" i="87"/>
  <c r="CF27" i="87" s="1"/>
  <c r="CE28" i="87"/>
  <c r="CF28" i="87" s="1"/>
  <c r="BL20" i="87"/>
  <c r="BR20" i="87" s="1"/>
  <c r="BT20" i="87" s="1"/>
  <c r="BU20" i="87" s="1"/>
  <c r="BW20" i="87"/>
  <c r="CC20" i="87" s="1"/>
  <c r="BL25" i="87"/>
  <c r="BR25" i="87" s="1"/>
  <c r="BT25" i="87" s="1"/>
  <c r="BU25" i="87" s="1"/>
  <c r="BW25" i="87"/>
  <c r="CC25" i="87" s="1"/>
  <c r="BL26" i="87"/>
  <c r="BR26" i="87" s="1"/>
  <c r="BT26" i="87" s="1"/>
  <c r="BU26" i="87" s="1"/>
  <c r="BW26" i="87"/>
  <c r="CC26" i="87" s="1"/>
  <c r="CE21" i="87"/>
  <c r="CF21" i="87" s="1"/>
  <c r="BL24" i="87"/>
  <c r="BR24" i="87" s="1"/>
  <c r="BT24" i="87" s="1"/>
  <c r="BU24" i="87" s="1"/>
  <c r="BW24" i="87"/>
  <c r="CC24" i="87" s="1"/>
  <c r="BI21" i="87"/>
  <c r="BJ21" i="87" s="1"/>
  <c r="AP20" i="87"/>
  <c r="AV20" i="87" s="1"/>
  <c r="AX20" i="87" s="1"/>
  <c r="AY20" i="87" s="1"/>
  <c r="BA20" i="87"/>
  <c r="BG20" i="87" s="1"/>
  <c r="AP25" i="87"/>
  <c r="AV25" i="87" s="1"/>
  <c r="AX25" i="87" s="1"/>
  <c r="AY25" i="87" s="1"/>
  <c r="BA25" i="87"/>
  <c r="BG25" i="87" s="1"/>
  <c r="AP26" i="87"/>
  <c r="AV26" i="87" s="1"/>
  <c r="AX26" i="87" s="1"/>
  <c r="AY26" i="87" s="1"/>
  <c r="BA26" i="87"/>
  <c r="BG26" i="87" s="1"/>
  <c r="AP23" i="87"/>
  <c r="AV23" i="87" s="1"/>
  <c r="AX23" i="87" s="1"/>
  <c r="AY23" i="87" s="1"/>
  <c r="BA23" i="87"/>
  <c r="BG23" i="87" s="1"/>
  <c r="BI27" i="87"/>
  <c r="BJ27" i="87" s="1"/>
  <c r="BI28" i="87"/>
  <c r="BJ28" i="87" s="1"/>
  <c r="AP22" i="87"/>
  <c r="AV22" i="87" s="1"/>
  <c r="AX22" i="87" s="1"/>
  <c r="AY22" i="87" s="1"/>
  <c r="BA22" i="87"/>
  <c r="BG22" i="87" s="1"/>
  <c r="AP24" i="87"/>
  <c r="AV24" i="87" s="1"/>
  <c r="AX24" i="87" s="1"/>
  <c r="AY24" i="87" s="1"/>
  <c r="BA24" i="87"/>
  <c r="BG24" i="87" s="1"/>
  <c r="T26" i="87"/>
  <c r="Z26" i="87" s="1"/>
  <c r="AB26" i="87" s="1"/>
  <c r="AC26" i="87" s="1"/>
  <c r="AE26" i="87"/>
  <c r="AK26" i="87" s="1"/>
  <c r="T25" i="87"/>
  <c r="Z25" i="87" s="1"/>
  <c r="AB25" i="87" s="1"/>
  <c r="AC25" i="87" s="1"/>
  <c r="AE25" i="87"/>
  <c r="AK25" i="87" s="1"/>
  <c r="AM21" i="87"/>
  <c r="AN21" i="87" s="1"/>
  <c r="T24" i="87"/>
  <c r="Z24" i="87" s="1"/>
  <c r="AB24" i="87" s="1"/>
  <c r="AC24" i="87" s="1"/>
  <c r="AE24" i="87"/>
  <c r="AK24" i="87" s="1"/>
  <c r="AM28" i="87"/>
  <c r="AN28" i="87" s="1"/>
  <c r="T20" i="87"/>
  <c r="Z20" i="87" s="1"/>
  <c r="AB20" i="87" s="1"/>
  <c r="AC20" i="87" s="1"/>
  <c r="AE20" i="87"/>
  <c r="AK20" i="87" s="1"/>
  <c r="AM27" i="87"/>
  <c r="AN27" i="87" s="1"/>
  <c r="T23" i="87"/>
  <c r="Z23" i="87" s="1"/>
  <c r="AB23" i="87" s="1"/>
  <c r="AC23" i="87" s="1"/>
  <c r="AE23" i="87"/>
  <c r="AK23" i="87" s="1"/>
  <c r="T22" i="87"/>
  <c r="Z22" i="87" s="1"/>
  <c r="AB22" i="87" s="1"/>
  <c r="AC22" i="87" s="1"/>
  <c r="AE22" i="87"/>
  <c r="AK22" i="87" s="1"/>
  <c r="I26" i="87"/>
  <c r="O26" i="87" s="1"/>
  <c r="Q26" i="87" s="1"/>
  <c r="R26" i="87" s="1"/>
  <c r="I23" i="87"/>
  <c r="O23" i="87" s="1"/>
  <c r="Q23" i="87" s="1"/>
  <c r="R23" i="87" s="1"/>
  <c r="I20" i="87"/>
  <c r="O20" i="87" s="1"/>
  <c r="Q20" i="87" s="1"/>
  <c r="R20" i="87" s="1"/>
  <c r="I25" i="87"/>
  <c r="O25" i="87" s="1"/>
  <c r="Q25" i="87" s="1"/>
  <c r="R25" i="87" s="1"/>
  <c r="I24" i="87"/>
  <c r="O24" i="87" s="1"/>
  <c r="Q24" i="87" s="1"/>
  <c r="R24" i="87" s="1"/>
  <c r="Q21" i="87"/>
  <c r="R21" i="87" s="1"/>
  <c r="I22" i="87"/>
  <c r="O22" i="87" s="1"/>
  <c r="Q22" i="87" s="1"/>
  <c r="R22" i="87" s="1"/>
  <c r="C73" i="37"/>
  <c r="C110" i="34"/>
  <c r="I19" i="34" s="1"/>
  <c r="O19" i="34" s="1"/>
  <c r="C72" i="64"/>
  <c r="C72" i="68"/>
  <c r="O19" i="38"/>
  <c r="C110" i="75"/>
  <c r="I19" i="75" s="1"/>
  <c r="O19" i="75" s="1"/>
  <c r="C109" i="73"/>
  <c r="I19" i="73" s="1"/>
  <c r="O19" i="73" s="1"/>
  <c r="BA19" i="87" l="1"/>
  <c r="BG19" i="87" s="1"/>
  <c r="BI19" i="87" s="1"/>
  <c r="BJ19" i="87" s="1"/>
  <c r="I19" i="87"/>
  <c r="O19" i="87" s="1"/>
  <c r="O30" i="87" s="1"/>
  <c r="AE19" i="87"/>
  <c r="AK19" i="87" s="1"/>
  <c r="AM19" i="87" s="1"/>
  <c r="AN19" i="87" s="1"/>
  <c r="T19" i="87"/>
  <c r="Z19" i="87" s="1"/>
  <c r="Z30" i="87" s="1"/>
  <c r="Z33" i="87" s="1"/>
  <c r="Z34" i="87" s="1"/>
  <c r="T36" i="14" s="1"/>
  <c r="DO19" i="87"/>
  <c r="DU19" i="87" s="1"/>
  <c r="DW19" i="87" s="1"/>
  <c r="DX19" i="87" s="1"/>
  <c r="AP19" i="87"/>
  <c r="AV19" i="87" s="1"/>
  <c r="AX19" i="87" s="1"/>
  <c r="AY19" i="87" s="1"/>
  <c r="BW19" i="87"/>
  <c r="CC19" i="87" s="1"/>
  <c r="CC30" i="87" s="1"/>
  <c r="CC33" i="87" s="1"/>
  <c r="CC34" i="87" s="1"/>
  <c r="CS19" i="87"/>
  <c r="CY19" i="87" s="1"/>
  <c r="CY30" i="87" s="1"/>
  <c r="CY33" i="87" s="1"/>
  <c r="CY34" i="87" s="1"/>
  <c r="DD19" i="87"/>
  <c r="DJ19" i="87" s="1"/>
  <c r="DL19" i="87" s="1"/>
  <c r="DM19" i="87" s="1"/>
  <c r="BL19" i="87"/>
  <c r="BR19" i="87" s="1"/>
  <c r="BT19" i="87" s="1"/>
  <c r="BU19" i="87" s="1"/>
  <c r="CH19" i="87"/>
  <c r="CN19" i="87" s="1"/>
  <c r="CP19" i="87" s="1"/>
  <c r="CQ19" i="87" s="1"/>
  <c r="EH19" i="87"/>
  <c r="EI19" i="87" s="1"/>
  <c r="EF30" i="87"/>
  <c r="EF33" i="87" s="1"/>
  <c r="EF34" i="87" s="1"/>
  <c r="DW24" i="87"/>
  <c r="DX24" i="87" s="1"/>
  <c r="DW25" i="87"/>
  <c r="DX25" i="87" s="1"/>
  <c r="DW23" i="87"/>
  <c r="DX23" i="87" s="1"/>
  <c r="DW26" i="87"/>
  <c r="DX26" i="87" s="1"/>
  <c r="DW20" i="87"/>
  <c r="DX20" i="87" s="1"/>
  <c r="DW22" i="87"/>
  <c r="DX22" i="87" s="1"/>
  <c r="DA25" i="87"/>
  <c r="DB25" i="87" s="1"/>
  <c r="DA22" i="87"/>
  <c r="DB22" i="87" s="1"/>
  <c r="DA26" i="87"/>
  <c r="DB26" i="87" s="1"/>
  <c r="DA20" i="87"/>
  <c r="DB20" i="87" s="1"/>
  <c r="DA23" i="87"/>
  <c r="DB23" i="87" s="1"/>
  <c r="DA24" i="87"/>
  <c r="DB24" i="87" s="1"/>
  <c r="CE24" i="87"/>
  <c r="CF24" i="87" s="1"/>
  <c r="CE26" i="87"/>
  <c r="CF26" i="87" s="1"/>
  <c r="CE20" i="87"/>
  <c r="CF20" i="87" s="1"/>
  <c r="CE23" i="87"/>
  <c r="CF23" i="87" s="1"/>
  <c r="CE25" i="87"/>
  <c r="CF25" i="87" s="1"/>
  <c r="CE22" i="87"/>
  <c r="CF22" i="87" s="1"/>
  <c r="BI24" i="87"/>
  <c r="BJ24" i="87" s="1"/>
  <c r="BI23" i="87"/>
  <c r="BJ23" i="87" s="1"/>
  <c r="BI25" i="87"/>
  <c r="BJ25" i="87" s="1"/>
  <c r="BI22" i="87"/>
  <c r="BJ22" i="87" s="1"/>
  <c r="BI26" i="87"/>
  <c r="BJ26" i="87" s="1"/>
  <c r="BI20" i="87"/>
  <c r="BJ20" i="87" s="1"/>
  <c r="AM25" i="87"/>
  <c r="AN25" i="87" s="1"/>
  <c r="AM22" i="87"/>
  <c r="AN22" i="87" s="1"/>
  <c r="AM24" i="87"/>
  <c r="AN24" i="87" s="1"/>
  <c r="AM23" i="87"/>
  <c r="AN23" i="87" s="1"/>
  <c r="AM26" i="87"/>
  <c r="AN26" i="87" s="1"/>
  <c r="AM20" i="87"/>
  <c r="AN20" i="87" s="1"/>
  <c r="Q19" i="73"/>
  <c r="R19" i="73" s="1"/>
  <c r="O29" i="73"/>
  <c r="EL25" i="68"/>
  <c r="EP25" i="68" s="1"/>
  <c r="BM25" i="68"/>
  <c r="BQ25" i="68" s="1"/>
  <c r="BQ34" i="68" s="1"/>
  <c r="ES25" i="68"/>
  <c r="EW25" i="68" s="1"/>
  <c r="EE25" i="68"/>
  <c r="EI25" i="68" s="1"/>
  <c r="W25" i="68"/>
  <c r="AA25" i="68" s="1"/>
  <c r="AK25" i="68"/>
  <c r="AO25" i="68" s="1"/>
  <c r="FN25" i="68"/>
  <c r="FR25" i="68" s="1"/>
  <c r="CO25" i="68"/>
  <c r="CS25" i="68" s="1"/>
  <c r="CV25" i="68"/>
  <c r="CZ25" i="68" s="1"/>
  <c r="EZ25" i="68"/>
  <c r="FD25" i="68" s="1"/>
  <c r="AD25" i="68"/>
  <c r="AH25" i="68" s="1"/>
  <c r="P25" i="68"/>
  <c r="T25" i="68" s="1"/>
  <c r="FG25" i="68"/>
  <c r="FK25" i="68" s="1"/>
  <c r="DC25" i="68"/>
  <c r="DG25" i="68" s="1"/>
  <c r="CA25" i="68"/>
  <c r="CE25" i="68" s="1"/>
  <c r="DJ25" i="68"/>
  <c r="DN25" i="68" s="1"/>
  <c r="DN34" i="68" s="1"/>
  <c r="AY25" i="68"/>
  <c r="BC25" i="68" s="1"/>
  <c r="I25" i="68"/>
  <c r="M25" i="68" s="1"/>
  <c r="M34" i="68" s="1"/>
  <c r="M37" i="68" s="1"/>
  <c r="M38" i="68" s="1"/>
  <c r="DX25" i="68"/>
  <c r="EB25" i="68" s="1"/>
  <c r="BF25" i="68"/>
  <c r="BJ25" i="68" s="1"/>
  <c r="CH25" i="68"/>
  <c r="CL25" i="68" s="1"/>
  <c r="DQ25" i="68"/>
  <c r="DU25" i="68" s="1"/>
  <c r="BT25" i="68"/>
  <c r="BX25" i="68" s="1"/>
  <c r="AR25" i="68"/>
  <c r="AV25" i="68" s="1"/>
  <c r="Q19" i="75"/>
  <c r="R19" i="75" s="1"/>
  <c r="O30" i="75"/>
  <c r="S19" i="75" s="1"/>
  <c r="CH25" i="64"/>
  <c r="CL25" i="64" s="1"/>
  <c r="BM25" i="64"/>
  <c r="BQ25" i="64" s="1"/>
  <c r="FG25" i="64"/>
  <c r="FK25" i="64" s="1"/>
  <c r="EE25" i="64"/>
  <c r="EI25" i="64" s="1"/>
  <c r="AY25" i="64"/>
  <c r="BC25" i="64" s="1"/>
  <c r="CA25" i="64"/>
  <c r="CE25" i="64" s="1"/>
  <c r="CV25" i="64"/>
  <c r="CZ25" i="64" s="1"/>
  <c r="EL25" i="64"/>
  <c r="EP25" i="64" s="1"/>
  <c r="DJ25" i="64"/>
  <c r="DN25" i="64" s="1"/>
  <c r="P25" i="64"/>
  <c r="T25" i="64" s="1"/>
  <c r="AR25" i="64"/>
  <c r="AV25" i="64" s="1"/>
  <c r="BF25" i="64"/>
  <c r="BJ25" i="64" s="1"/>
  <c r="CO25" i="64"/>
  <c r="CS25" i="64" s="1"/>
  <c r="DQ25" i="64"/>
  <c r="DU25" i="64" s="1"/>
  <c r="ES25" i="64"/>
  <c r="EW25" i="64" s="1"/>
  <c r="EW34" i="64" s="1"/>
  <c r="DC25" i="64"/>
  <c r="DG25" i="64" s="1"/>
  <c r="I25" i="64"/>
  <c r="M25" i="64" s="1"/>
  <c r="W25" i="64"/>
  <c r="AA25" i="64" s="1"/>
  <c r="FN25" i="64"/>
  <c r="FR25" i="64" s="1"/>
  <c r="FR34" i="64" s="1"/>
  <c r="DX25" i="64"/>
  <c r="EB25" i="64" s="1"/>
  <c r="BT25" i="64"/>
  <c r="BX25" i="64" s="1"/>
  <c r="EZ25" i="64"/>
  <c r="FD25" i="64" s="1"/>
  <c r="AK25" i="64"/>
  <c r="AO25" i="64" s="1"/>
  <c r="AD25" i="64"/>
  <c r="AH25" i="64" s="1"/>
  <c r="Q19" i="34"/>
  <c r="R19" i="34" s="1"/>
  <c r="O34" i="34"/>
  <c r="S19" i="34" s="1"/>
  <c r="Q19" i="38"/>
  <c r="R19" i="38" s="1"/>
  <c r="O30" i="38"/>
  <c r="DC25" i="37"/>
  <c r="DG25" i="37" s="1"/>
  <c r="ES25" i="37"/>
  <c r="CH25" i="37"/>
  <c r="CO25" i="37"/>
  <c r="CS25" i="37" s="1"/>
  <c r="I25" i="37"/>
  <c r="M25" i="37" s="1"/>
  <c r="FN25" i="37"/>
  <c r="EL25" i="37"/>
  <c r="DQ25" i="37"/>
  <c r="DU25" i="37" s="1"/>
  <c r="EE25" i="37"/>
  <c r="AK25" i="37"/>
  <c r="AO25" i="37" s="1"/>
  <c r="P25" i="37"/>
  <c r="W25" i="37"/>
  <c r="AA25" i="37" s="1"/>
  <c r="AR25" i="37"/>
  <c r="EZ25" i="37"/>
  <c r="BT25" i="37"/>
  <c r="BX25" i="37" s="1"/>
  <c r="CV25" i="37"/>
  <c r="CZ25" i="37" s="1"/>
  <c r="FG25" i="37"/>
  <c r="FK35" i="37" s="1"/>
  <c r="FL34" i="37" s="1"/>
  <c r="BF25" i="37"/>
  <c r="BJ25" i="37" s="1"/>
  <c r="BM25" i="37"/>
  <c r="BQ25" i="37" s="1"/>
  <c r="DJ25" i="37"/>
  <c r="DN25" i="37" s="1"/>
  <c r="DX25" i="37"/>
  <c r="EB25" i="37" s="1"/>
  <c r="AY25" i="37"/>
  <c r="BC25" i="37" s="1"/>
  <c r="CA25" i="37"/>
  <c r="CE25" i="37" s="1"/>
  <c r="AD25" i="37"/>
  <c r="AH25" i="37" s="1"/>
  <c r="M35" i="37" l="1"/>
  <c r="BG30" i="87"/>
  <c r="BG33" i="87" s="1"/>
  <c r="BG34" i="87" s="1"/>
  <c r="AB19" i="87"/>
  <c r="AC19" i="87" s="1"/>
  <c r="AK30" i="87"/>
  <c r="AK33" i="87" s="1"/>
  <c r="AK34" i="87" s="1"/>
  <c r="DU30" i="87"/>
  <c r="DU33" i="87" s="1"/>
  <c r="DU34" i="87" s="1"/>
  <c r="BR30" i="87"/>
  <c r="BR33" i="87" s="1"/>
  <c r="BR34" i="87" s="1"/>
  <c r="AV30" i="87"/>
  <c r="AV33" i="87" s="1"/>
  <c r="AV34" i="87" s="1"/>
  <c r="DA19" i="87"/>
  <c r="DB19" i="87" s="1"/>
  <c r="CE19" i="87"/>
  <c r="CF19" i="87" s="1"/>
  <c r="CN30" i="87"/>
  <c r="CN33" i="87" s="1"/>
  <c r="CN34" i="87" s="1"/>
  <c r="DJ30" i="87"/>
  <c r="DJ33" i="87" s="1"/>
  <c r="DJ34" i="87" s="1"/>
  <c r="DY24" i="87"/>
  <c r="EJ29" i="87"/>
  <c r="EJ28" i="87"/>
  <c r="EJ27" i="87"/>
  <c r="EJ21" i="87"/>
  <c r="EJ23" i="87"/>
  <c r="EJ26" i="87"/>
  <c r="EJ19" i="87"/>
  <c r="EJ25" i="87"/>
  <c r="EJ24" i="87"/>
  <c r="EJ22" i="87"/>
  <c r="EJ20" i="87"/>
  <c r="DY26" i="87"/>
  <c r="DY19" i="87"/>
  <c r="DY22" i="87"/>
  <c r="DY25" i="87"/>
  <c r="DY20" i="87"/>
  <c r="DY23" i="87"/>
  <c r="DY29" i="87"/>
  <c r="DY21" i="87"/>
  <c r="DY27" i="87"/>
  <c r="DY28" i="87"/>
  <c r="DC20" i="87"/>
  <c r="DN29" i="87"/>
  <c r="DN28" i="87"/>
  <c r="DN27" i="87"/>
  <c r="DN21" i="87"/>
  <c r="DN24" i="87"/>
  <c r="DN22" i="87"/>
  <c r="DN20" i="87"/>
  <c r="DN23" i="87"/>
  <c r="DN26" i="87"/>
  <c r="DN19" i="87"/>
  <c r="DN25" i="87"/>
  <c r="DC24" i="87"/>
  <c r="DC29" i="87"/>
  <c r="DC21" i="87"/>
  <c r="DC28" i="87"/>
  <c r="DC27" i="87"/>
  <c r="DC22" i="87"/>
  <c r="DC19" i="87"/>
  <c r="DC26" i="87"/>
  <c r="DC23" i="87"/>
  <c r="DC25" i="87"/>
  <c r="CG26" i="87"/>
  <c r="CR29" i="87"/>
  <c r="CR28" i="87"/>
  <c r="CR27" i="87"/>
  <c r="CR21" i="87"/>
  <c r="CR24" i="87"/>
  <c r="CR19" i="87"/>
  <c r="CR22" i="87"/>
  <c r="CR23" i="87"/>
  <c r="CR20" i="87"/>
  <c r="CR26" i="87"/>
  <c r="CR25" i="87"/>
  <c r="CG22" i="87"/>
  <c r="CG23" i="87"/>
  <c r="CG29" i="87"/>
  <c r="CG28" i="87"/>
  <c r="CG21" i="87"/>
  <c r="CG27" i="87"/>
  <c r="CG19" i="87"/>
  <c r="CG25" i="87"/>
  <c r="CG20" i="87"/>
  <c r="CG24" i="87"/>
  <c r="BK20" i="87"/>
  <c r="BV29" i="87"/>
  <c r="BV28" i="87"/>
  <c r="BV27" i="87"/>
  <c r="BV21" i="87"/>
  <c r="BV23" i="87"/>
  <c r="BV19" i="87"/>
  <c r="BV25" i="87"/>
  <c r="BV22" i="87"/>
  <c r="BV24" i="87"/>
  <c r="BV20" i="87"/>
  <c r="BV26" i="87"/>
  <c r="BK23" i="87"/>
  <c r="BK22" i="87"/>
  <c r="BK29" i="87"/>
  <c r="BK27" i="87"/>
  <c r="BK21" i="87"/>
  <c r="BK28" i="87"/>
  <c r="BK19" i="87"/>
  <c r="BK26" i="87"/>
  <c r="BK25" i="87"/>
  <c r="BK24" i="87"/>
  <c r="AO19" i="87"/>
  <c r="AZ29" i="87"/>
  <c r="AZ28" i="87"/>
  <c r="AZ27" i="87"/>
  <c r="AZ21" i="87"/>
  <c r="AZ22" i="87"/>
  <c r="AZ24" i="87"/>
  <c r="AZ20" i="87"/>
  <c r="AZ26" i="87"/>
  <c r="AZ23" i="87"/>
  <c r="AZ19" i="87"/>
  <c r="AZ25" i="87"/>
  <c r="AO22" i="87"/>
  <c r="AO23" i="87"/>
  <c r="AO24" i="87"/>
  <c r="AO25" i="87"/>
  <c r="AO20" i="87"/>
  <c r="AO26" i="87"/>
  <c r="AO29" i="87"/>
  <c r="AO21" i="87"/>
  <c r="AO28" i="87"/>
  <c r="AO27" i="87"/>
  <c r="AD29" i="87"/>
  <c r="AD28" i="87"/>
  <c r="AD27" i="87"/>
  <c r="AD21" i="87"/>
  <c r="AD19" i="87"/>
  <c r="AD26" i="87"/>
  <c r="AD24" i="87"/>
  <c r="AD22" i="87"/>
  <c r="AD25" i="87"/>
  <c r="AD23" i="87"/>
  <c r="AD20" i="87"/>
  <c r="O33" i="87"/>
  <c r="O34" i="87" s="1"/>
  <c r="Q19" i="87"/>
  <c r="R19" i="87" s="1"/>
  <c r="S28" i="87"/>
  <c r="FR35" i="37"/>
  <c r="FS34" i="37" s="1"/>
  <c r="FS25" i="64"/>
  <c r="FS32" i="64"/>
  <c r="FS28" i="64"/>
  <c r="FR37" i="64"/>
  <c r="FR38" i="64" s="1"/>
  <c r="FS33" i="64"/>
  <c r="FS31" i="64"/>
  <c r="FS27" i="64"/>
  <c r="FS30" i="64"/>
  <c r="FS29" i="64"/>
  <c r="FS26" i="64"/>
  <c r="FR34" i="68"/>
  <c r="FS25" i="68" s="1"/>
  <c r="FL25" i="37"/>
  <c r="FL31" i="37"/>
  <c r="FL32" i="37"/>
  <c r="FK38" i="37"/>
  <c r="FL33" i="37"/>
  <c r="FL28" i="37"/>
  <c r="FL30" i="37"/>
  <c r="FL27" i="37"/>
  <c r="FL26" i="37"/>
  <c r="FL29" i="37"/>
  <c r="FK34" i="68"/>
  <c r="FL25" i="68" s="1"/>
  <c r="FK34" i="64"/>
  <c r="FL25" i="64" s="1"/>
  <c r="FD35" i="37"/>
  <c r="FE34" i="37" s="1"/>
  <c r="FD34" i="68"/>
  <c r="FE25" i="68" s="1"/>
  <c r="FD34" i="64"/>
  <c r="FE25" i="64" s="1"/>
  <c r="EW35" i="37"/>
  <c r="EX34" i="37" s="1"/>
  <c r="EX25" i="64"/>
  <c r="EX31" i="64"/>
  <c r="EX28" i="64"/>
  <c r="EX27" i="64"/>
  <c r="EX30" i="64"/>
  <c r="EX33" i="64"/>
  <c r="EW37" i="64"/>
  <c r="EW38" i="64" s="1"/>
  <c r="EX32" i="64"/>
  <c r="EX29" i="64"/>
  <c r="EX26" i="64"/>
  <c r="EW34" i="68"/>
  <c r="EX25" i="68" s="1"/>
  <c r="EP34" i="68"/>
  <c r="EQ25" i="68" s="1"/>
  <c r="EP34" i="64"/>
  <c r="EQ25" i="64" s="1"/>
  <c r="EP35" i="37"/>
  <c r="EQ34" i="37" s="1"/>
  <c r="EI35" i="37"/>
  <c r="EJ34" i="37" s="1"/>
  <c r="EI34" i="64"/>
  <c r="EJ25" i="64" s="1"/>
  <c r="EI34" i="68"/>
  <c r="EJ25" i="68" s="1"/>
  <c r="EB35" i="37"/>
  <c r="EC34" i="37" s="1"/>
  <c r="EB34" i="64"/>
  <c r="EC25" i="64" s="1"/>
  <c r="EB34" i="68"/>
  <c r="EC25" i="68" s="1"/>
  <c r="DU34" i="64"/>
  <c r="DV25" i="64" s="1"/>
  <c r="DU35" i="37"/>
  <c r="DV34" i="37" s="1"/>
  <c r="DU34" i="68"/>
  <c r="DV25" i="68" s="1"/>
  <c r="DN34" i="64"/>
  <c r="DO25" i="64" s="1"/>
  <c r="DO25" i="68"/>
  <c r="DO28" i="68"/>
  <c r="DO31" i="68"/>
  <c r="DN37" i="68"/>
  <c r="DN38" i="68" s="1"/>
  <c r="DO33" i="68"/>
  <c r="DO27" i="68"/>
  <c r="DO30" i="68"/>
  <c r="DO32" i="68"/>
  <c r="DO26" i="68"/>
  <c r="DO29" i="68"/>
  <c r="DN35" i="37"/>
  <c r="DO34" i="37" s="1"/>
  <c r="DG35" i="37"/>
  <c r="DH34" i="37" s="1"/>
  <c r="DG34" i="64"/>
  <c r="DH25" i="64" s="1"/>
  <c r="DG34" i="68"/>
  <c r="DH25" i="68" s="1"/>
  <c r="CZ35" i="37"/>
  <c r="DA34" i="37" s="1"/>
  <c r="CZ34" i="68"/>
  <c r="DA25" i="68" s="1"/>
  <c r="CZ34" i="64"/>
  <c r="DA25" i="64" s="1"/>
  <c r="CS34" i="64"/>
  <c r="CT25" i="64" s="1"/>
  <c r="CS35" i="37"/>
  <c r="CT34" i="37" s="1"/>
  <c r="CS34" i="68"/>
  <c r="CT25" i="68" s="1"/>
  <c r="CL34" i="64"/>
  <c r="CM25" i="64" s="1"/>
  <c r="CL34" i="68"/>
  <c r="CM25" i="68" s="1"/>
  <c r="CL35" i="37"/>
  <c r="CM34" i="37" s="1"/>
  <c r="CE34" i="64"/>
  <c r="CF25" i="64" s="1"/>
  <c r="CE35" i="37"/>
  <c r="CF34" i="37" s="1"/>
  <c r="CE34" i="68"/>
  <c r="CF25" i="68" s="1"/>
  <c r="BX34" i="64"/>
  <c r="BY25" i="64" s="1"/>
  <c r="BX35" i="37"/>
  <c r="BY34" i="37" s="1"/>
  <c r="BX34" i="68"/>
  <c r="BY25" i="68" s="1"/>
  <c r="BR25" i="68"/>
  <c r="BR27" i="68"/>
  <c r="BQ37" i="68"/>
  <c r="BQ38" i="68" s="1"/>
  <c r="BR28" i="68"/>
  <c r="BR30" i="68"/>
  <c r="BR32" i="68"/>
  <c r="BR33" i="68"/>
  <c r="BR31" i="68"/>
  <c r="BR26" i="68"/>
  <c r="BR29" i="68"/>
  <c r="BQ34" i="64"/>
  <c r="BR25" i="64" s="1"/>
  <c r="BQ35" i="37"/>
  <c r="BR34" i="37" s="1"/>
  <c r="S28" i="34"/>
  <c r="S29" i="34"/>
  <c r="S23" i="34"/>
  <c r="S27" i="34"/>
  <c r="S20" i="34"/>
  <c r="S30" i="34"/>
  <c r="S21" i="34"/>
  <c r="S24" i="34"/>
  <c r="S31" i="34"/>
  <c r="O37" i="34"/>
  <c r="O38" i="34" s="1"/>
  <c r="S32" i="34"/>
  <c r="S26" i="34"/>
  <c r="S22" i="34"/>
  <c r="S25" i="34"/>
  <c r="BC34" i="68"/>
  <c r="BD25" i="68" s="1"/>
  <c r="AA35" i="37"/>
  <c r="AB34" i="37" s="1"/>
  <c r="AA34" i="64"/>
  <c r="BJ34" i="68"/>
  <c r="O32" i="73"/>
  <c r="O33" i="73" s="1"/>
  <c r="S26" i="73"/>
  <c r="S21" i="73"/>
  <c r="S27" i="73"/>
  <c r="S22" i="73"/>
  <c r="S24" i="73"/>
  <c r="S20" i="73"/>
  <c r="S23" i="73"/>
  <c r="S25" i="73"/>
  <c r="T35" i="37"/>
  <c r="U34" i="37" s="1"/>
  <c r="M34" i="64"/>
  <c r="N25" i="64" s="1"/>
  <c r="BC34" i="64"/>
  <c r="AH34" i="68"/>
  <c r="AI25" i="68" s="1"/>
  <c r="AV35" i="37"/>
  <c r="AW34" i="37" s="1"/>
  <c r="AO34" i="64"/>
  <c r="AV34" i="64"/>
  <c r="AA34" i="68"/>
  <c r="AH35" i="37"/>
  <c r="AI34" i="37" s="1"/>
  <c r="O33" i="38"/>
  <c r="O34" i="38" s="1"/>
  <c r="S28" i="38"/>
  <c r="S21" i="38"/>
  <c r="S27" i="38"/>
  <c r="S24" i="38"/>
  <c r="S26" i="38"/>
  <c r="S20" i="38"/>
  <c r="S23" i="38"/>
  <c r="S22" i="38"/>
  <c r="S25" i="38"/>
  <c r="T34" i="64"/>
  <c r="AV34" i="68"/>
  <c r="AW25" i="68" s="1"/>
  <c r="T34" i="68"/>
  <c r="U25" i="68" s="1"/>
  <c r="BC35" i="37"/>
  <c r="BD34" i="37" s="1"/>
  <c r="BJ35" i="37"/>
  <c r="BK34" i="37" s="1"/>
  <c r="AO35" i="37"/>
  <c r="AP34" i="37" s="1"/>
  <c r="S19" i="38"/>
  <c r="AH34" i="64"/>
  <c r="BJ34" i="64"/>
  <c r="S28" i="75"/>
  <c r="O33" i="75"/>
  <c r="O34" i="75" s="1"/>
  <c r="S26" i="75"/>
  <c r="S21" i="75"/>
  <c r="S27" i="75"/>
  <c r="S25" i="75"/>
  <c r="S23" i="75"/>
  <c r="S24" i="75"/>
  <c r="S20" i="75"/>
  <c r="S22" i="75"/>
  <c r="AO34" i="68"/>
  <c r="AP25" i="68" s="1"/>
  <c r="S19" i="73"/>
  <c r="L74" i="103" l="1"/>
  <c r="L72" i="103"/>
  <c r="H64" i="103"/>
  <c r="H70" i="103"/>
  <c r="H68" i="103"/>
  <c r="H66" i="103"/>
  <c r="H62" i="103"/>
  <c r="L73" i="103"/>
  <c r="H65" i="103"/>
  <c r="H71" i="103"/>
  <c r="H69" i="103"/>
  <c r="H67" i="103"/>
  <c r="H63" i="103"/>
  <c r="H64" i="101"/>
  <c r="H68" i="101"/>
  <c r="H67" i="101"/>
  <c r="H65" i="101"/>
  <c r="H69" i="101"/>
  <c r="H70" i="101"/>
  <c r="H71" i="101"/>
  <c r="H62" i="101"/>
  <c r="H66" i="101"/>
  <c r="H63" i="101"/>
  <c r="L55" i="99"/>
  <c r="L49" i="78"/>
  <c r="L48" i="84"/>
  <c r="L47" i="93"/>
  <c r="L54" i="99"/>
  <c r="L53" i="99"/>
  <c r="L49" i="84"/>
  <c r="L72" i="101"/>
  <c r="L74" i="101"/>
  <c r="L73" i="101"/>
  <c r="L48" i="78"/>
  <c r="L47" i="84"/>
  <c r="L49" i="93"/>
  <c r="L47" i="78"/>
  <c r="L48" i="93"/>
  <c r="H47" i="99"/>
  <c r="H41" i="93"/>
  <c r="H44" i="78"/>
  <c r="H46" i="93"/>
  <c r="H46" i="99"/>
  <c r="H50" i="99"/>
  <c r="H45" i="99"/>
  <c r="H47" i="93"/>
  <c r="H51" i="99"/>
  <c r="H48" i="84"/>
  <c r="H49" i="99"/>
  <c r="H43" i="78"/>
  <c r="H46" i="84"/>
  <c r="H42" i="93"/>
  <c r="H45" i="93"/>
  <c r="H48" i="93"/>
  <c r="H47" i="84"/>
  <c r="H43" i="93"/>
  <c r="H42" i="78"/>
  <c r="H48" i="99"/>
  <c r="H54" i="99"/>
  <c r="H44" i="84"/>
  <c r="H44" i="99"/>
  <c r="H52" i="99"/>
  <c r="H46" i="78"/>
  <c r="H42" i="84"/>
  <c r="H45" i="78"/>
  <c r="H40" i="93"/>
  <c r="H48" i="78"/>
  <c r="H44" i="93"/>
  <c r="H53" i="99"/>
  <c r="H47" i="78"/>
  <c r="H43" i="84"/>
  <c r="H45" i="84"/>
  <c r="H43" i="99"/>
  <c r="P48" i="93"/>
  <c r="P72" i="101"/>
  <c r="P54" i="99"/>
  <c r="P48" i="84"/>
  <c r="P47" i="78"/>
  <c r="P48" i="78"/>
  <c r="P51" i="98"/>
  <c r="P47" i="84"/>
  <c r="P52" i="98"/>
  <c r="P53" i="99"/>
  <c r="P47" i="93"/>
  <c r="P43" i="78"/>
  <c r="P42" i="78"/>
  <c r="P52" i="99"/>
  <c r="P46" i="93"/>
  <c r="P67" i="101"/>
  <c r="P42" i="84"/>
  <c r="P48" i="98"/>
  <c r="P70" i="101"/>
  <c r="P45" i="93"/>
  <c r="P47" i="99"/>
  <c r="P41" i="78"/>
  <c r="P47" i="98"/>
  <c r="P71" i="101"/>
  <c r="P46" i="78"/>
  <c r="P50" i="99"/>
  <c r="P44" i="93"/>
  <c r="P51" i="99"/>
  <c r="P45" i="84"/>
  <c r="P43" i="84"/>
  <c r="P42" i="93"/>
  <c r="P49" i="98"/>
  <c r="P66" i="101"/>
  <c r="P41" i="84"/>
  <c r="P68" i="101"/>
  <c r="P43" i="93"/>
  <c r="P46" i="84"/>
  <c r="P46" i="98"/>
  <c r="P69" i="101"/>
  <c r="P44" i="78"/>
  <c r="P45" i="78"/>
  <c r="P45" i="98"/>
  <c r="P49" i="99"/>
  <c r="P50" i="98"/>
  <c r="P48" i="99"/>
  <c r="P44" i="84"/>
  <c r="P41" i="93"/>
  <c r="P42" i="98"/>
  <c r="P43" i="98"/>
  <c r="P65" i="101"/>
  <c r="P46" i="99"/>
  <c r="P44" i="98"/>
  <c r="P40" i="93"/>
  <c r="P40" i="84"/>
  <c r="P40" i="78"/>
  <c r="P41" i="98"/>
  <c r="P64" i="101"/>
  <c r="P45" i="99"/>
  <c r="P63" i="101"/>
  <c r="P44" i="99"/>
  <c r="P62" i="101"/>
  <c r="P39" i="78"/>
  <c r="P38" i="93"/>
  <c r="P38" i="78"/>
  <c r="P39" i="93"/>
  <c r="P38" i="84"/>
  <c r="P39" i="84"/>
  <c r="P37" i="93"/>
  <c r="P37" i="84"/>
  <c r="H39" i="93"/>
  <c r="H37" i="93"/>
  <c r="H38" i="93"/>
  <c r="N34" i="37"/>
  <c r="N33" i="37"/>
  <c r="T56" i="14"/>
  <c r="O56" i="97" s="1"/>
  <c r="U25" i="37"/>
  <c r="FS25" i="37"/>
  <c r="FE25" i="37"/>
  <c r="EX25" i="37"/>
  <c r="EQ25" i="37"/>
  <c r="EJ25" i="37"/>
  <c r="DV25" i="37"/>
  <c r="DO25" i="37"/>
  <c r="DH25" i="37"/>
  <c r="DA25" i="37"/>
  <c r="CT25" i="37"/>
  <c r="CM25" i="37"/>
  <c r="CF25" i="37"/>
  <c r="BY25" i="37"/>
  <c r="BR25" i="37"/>
  <c r="BK25" i="37"/>
  <c r="AW25" i="37"/>
  <c r="AP25" i="37"/>
  <c r="AI25" i="37"/>
  <c r="N25" i="37"/>
  <c r="S19" i="87"/>
  <c r="S20" i="87"/>
  <c r="S26" i="87"/>
  <c r="S22" i="87"/>
  <c r="S23" i="87"/>
  <c r="S29" i="87"/>
  <c r="S25" i="87"/>
  <c r="S27" i="87"/>
  <c r="S21" i="87"/>
  <c r="S24" i="87"/>
  <c r="H37" i="84"/>
  <c r="H41" i="84"/>
  <c r="H39" i="84"/>
  <c r="H40" i="84"/>
  <c r="H38" i="84"/>
  <c r="L37" i="78"/>
  <c r="P37" i="78"/>
  <c r="H38" i="78"/>
  <c r="H40" i="78"/>
  <c r="H41" i="78"/>
  <c r="H39" i="78"/>
  <c r="H37" i="78"/>
  <c r="N25" i="68"/>
  <c r="FS29" i="68"/>
  <c r="FS32" i="68"/>
  <c r="FS28" i="68"/>
  <c r="FR37" i="68"/>
  <c r="FR38" i="68" s="1"/>
  <c r="FS30" i="68"/>
  <c r="FS27" i="68"/>
  <c r="FS33" i="68"/>
  <c r="FS31" i="68"/>
  <c r="FS26" i="68"/>
  <c r="FS27" i="37"/>
  <c r="FS31" i="37"/>
  <c r="FR38" i="37"/>
  <c r="T57" i="14" s="1"/>
  <c r="U57" i="14" s="1"/>
  <c r="N72" i="14" s="1"/>
  <c r="FS30" i="37"/>
  <c r="FS33" i="37"/>
  <c r="FS32" i="37"/>
  <c r="FS28" i="37"/>
  <c r="FS26" i="37"/>
  <c r="FS29" i="37"/>
  <c r="FK37" i="68"/>
  <c r="FK38" i="68" s="1"/>
  <c r="FL31" i="68"/>
  <c r="FL32" i="68"/>
  <c r="FL27" i="68"/>
  <c r="FL28" i="68"/>
  <c r="FL33" i="68"/>
  <c r="FL30" i="68"/>
  <c r="FL26" i="68"/>
  <c r="FL29" i="68"/>
  <c r="FL26" i="64"/>
  <c r="FL31" i="64"/>
  <c r="FL27" i="64"/>
  <c r="FL32" i="64"/>
  <c r="FL30" i="64"/>
  <c r="FL33" i="64"/>
  <c r="FL28" i="64"/>
  <c r="FK37" i="64"/>
  <c r="FK38" i="64" s="1"/>
  <c r="FL29" i="64"/>
  <c r="FE26" i="68"/>
  <c r="FE28" i="68"/>
  <c r="FE30" i="68"/>
  <c r="FE33" i="68"/>
  <c r="FE27" i="68"/>
  <c r="FD37" i="68"/>
  <c r="FD38" i="68" s="1"/>
  <c r="FE32" i="68"/>
  <c r="FE31" i="68"/>
  <c r="FE29" i="68"/>
  <c r="FE27" i="64"/>
  <c r="FE32" i="64"/>
  <c r="FE31" i="64"/>
  <c r="FE33" i="64"/>
  <c r="FD37" i="64"/>
  <c r="FD38" i="64" s="1"/>
  <c r="FE28" i="64"/>
  <c r="FE30" i="64"/>
  <c r="FE26" i="64"/>
  <c r="FE29" i="64"/>
  <c r="FE27" i="37"/>
  <c r="FE30" i="37"/>
  <c r="FE31" i="37"/>
  <c r="FD38" i="37"/>
  <c r="T55" i="14" s="1"/>
  <c r="U55" i="14" s="1"/>
  <c r="N71" i="14" s="1"/>
  <c r="FE32" i="37"/>
  <c r="FE28" i="37"/>
  <c r="FE33" i="37"/>
  <c r="FE26" i="37"/>
  <c r="FE29" i="37"/>
  <c r="EX26" i="68"/>
  <c r="EX27" i="68"/>
  <c r="EX32" i="68"/>
  <c r="EX31" i="68"/>
  <c r="EX33" i="68"/>
  <c r="EX28" i="68"/>
  <c r="EX30" i="68"/>
  <c r="EW37" i="68"/>
  <c r="EW38" i="68" s="1"/>
  <c r="EX29" i="68"/>
  <c r="EX28" i="37"/>
  <c r="EX32" i="37"/>
  <c r="EX30" i="37"/>
  <c r="EW38" i="37"/>
  <c r="EX31" i="37"/>
  <c r="EX27" i="37"/>
  <c r="EX33" i="37"/>
  <c r="EX26" i="37"/>
  <c r="EX29" i="37"/>
  <c r="EQ27" i="64"/>
  <c r="EQ30" i="64"/>
  <c r="EP37" i="64"/>
  <c r="EP38" i="64" s="1"/>
  <c r="EQ33" i="64"/>
  <c r="EQ28" i="64"/>
  <c r="EQ31" i="64"/>
  <c r="EQ32" i="64"/>
  <c r="EQ29" i="64"/>
  <c r="EQ26" i="64"/>
  <c r="EQ26" i="37"/>
  <c r="EQ31" i="37"/>
  <c r="EQ27" i="37"/>
  <c r="EQ28" i="37"/>
  <c r="EQ33" i="37"/>
  <c r="EQ32" i="37"/>
  <c r="EQ30" i="37"/>
  <c r="EP38" i="37"/>
  <c r="T53" i="14" s="1"/>
  <c r="U53" i="14" s="1"/>
  <c r="N70" i="14" s="1"/>
  <c r="EQ29" i="37"/>
  <c r="EQ26" i="68"/>
  <c r="EQ30" i="68"/>
  <c r="EQ27" i="68"/>
  <c r="EP37" i="68"/>
  <c r="EP38" i="68" s="1"/>
  <c r="EQ28" i="68"/>
  <c r="EQ33" i="68"/>
  <c r="EQ32" i="68"/>
  <c r="EQ31" i="68"/>
  <c r="EQ29" i="68"/>
  <c r="EJ26" i="64"/>
  <c r="EJ31" i="64"/>
  <c r="EJ32" i="64"/>
  <c r="EI37" i="64"/>
  <c r="EI38" i="64" s="1"/>
  <c r="EJ33" i="64"/>
  <c r="EJ27" i="64"/>
  <c r="EJ28" i="64"/>
  <c r="EJ30" i="64"/>
  <c r="EJ29" i="64"/>
  <c r="EJ31" i="68"/>
  <c r="EJ33" i="68"/>
  <c r="EJ30" i="68"/>
  <c r="EJ32" i="68"/>
  <c r="EJ28" i="68"/>
  <c r="EI37" i="68"/>
  <c r="EI38" i="68" s="1"/>
  <c r="EJ27" i="68"/>
  <c r="EJ26" i="68"/>
  <c r="EJ29" i="68"/>
  <c r="EJ26" i="37"/>
  <c r="EJ30" i="37"/>
  <c r="EJ31" i="37"/>
  <c r="EJ28" i="37"/>
  <c r="EJ32" i="37"/>
  <c r="EJ27" i="37"/>
  <c r="EI38" i="37"/>
  <c r="EJ33" i="37"/>
  <c r="EJ29" i="37"/>
  <c r="EB37" i="64"/>
  <c r="EB38" i="64" s="1"/>
  <c r="EC28" i="64"/>
  <c r="EC32" i="64"/>
  <c r="EC30" i="64"/>
  <c r="EC33" i="64"/>
  <c r="EC27" i="64"/>
  <c r="EC31" i="64"/>
  <c r="EC29" i="64"/>
  <c r="EC26" i="64"/>
  <c r="EC31" i="37"/>
  <c r="EC33" i="37"/>
  <c r="EC32" i="37"/>
  <c r="EB38" i="37"/>
  <c r="EC28" i="37"/>
  <c r="EC30" i="37"/>
  <c r="EC27" i="37"/>
  <c r="EC26" i="37"/>
  <c r="EC29" i="37"/>
  <c r="EC29" i="68"/>
  <c r="EC27" i="68"/>
  <c r="EC31" i="68"/>
  <c r="EC28" i="68"/>
  <c r="EC32" i="68"/>
  <c r="EC33" i="68"/>
  <c r="EC30" i="68"/>
  <c r="EB37" i="68"/>
  <c r="EB38" i="68" s="1"/>
  <c r="EC26" i="68"/>
  <c r="EC25" i="37"/>
  <c r="DV27" i="37"/>
  <c r="DV30" i="37"/>
  <c r="DV32" i="37"/>
  <c r="DV28" i="37"/>
  <c r="DV33" i="37"/>
  <c r="DV31" i="37"/>
  <c r="DU38" i="37"/>
  <c r="DU39" i="37" s="1"/>
  <c r="DV26" i="37"/>
  <c r="DV29" i="37"/>
  <c r="DV30" i="68"/>
  <c r="DV32" i="68"/>
  <c r="DV28" i="68"/>
  <c r="DU37" i="68"/>
  <c r="DU38" i="68" s="1"/>
  <c r="DV31" i="68"/>
  <c r="DV33" i="68"/>
  <c r="DV27" i="68"/>
  <c r="DV26" i="68"/>
  <c r="DV29" i="68"/>
  <c r="DV29" i="64"/>
  <c r="DU37" i="64"/>
  <c r="DU38" i="64" s="1"/>
  <c r="DV27" i="64"/>
  <c r="DV32" i="64"/>
  <c r="DV30" i="64"/>
  <c r="DV31" i="64"/>
  <c r="DV28" i="64"/>
  <c r="DV33" i="64"/>
  <c r="DV26" i="64"/>
  <c r="DO29" i="37"/>
  <c r="DO31" i="37"/>
  <c r="DO28" i="37"/>
  <c r="DO30" i="37"/>
  <c r="DO32" i="37"/>
  <c r="DO33" i="37"/>
  <c r="DO27" i="37"/>
  <c r="DN38" i="37"/>
  <c r="DO26" i="37"/>
  <c r="DO29" i="64"/>
  <c r="DO31" i="64"/>
  <c r="DO28" i="64"/>
  <c r="DN37" i="64"/>
  <c r="DN38" i="64" s="1"/>
  <c r="DO33" i="64"/>
  <c r="DO30" i="64"/>
  <c r="DO27" i="64"/>
  <c r="DO32" i="64"/>
  <c r="DO26" i="64"/>
  <c r="DH32" i="64"/>
  <c r="DH28" i="64"/>
  <c r="DH31" i="64"/>
  <c r="DH33" i="64"/>
  <c r="DH27" i="64"/>
  <c r="DG37" i="64"/>
  <c r="DG38" i="64" s="1"/>
  <c r="DH30" i="64"/>
  <c r="DH29" i="64"/>
  <c r="DH26" i="64"/>
  <c r="DG37" i="68"/>
  <c r="DG38" i="68" s="1"/>
  <c r="DH31" i="68"/>
  <c r="DH33" i="68"/>
  <c r="DH32" i="68"/>
  <c r="DH28" i="68"/>
  <c r="DH30" i="68"/>
  <c r="DH27" i="68"/>
  <c r="DH26" i="68"/>
  <c r="DH29" i="68"/>
  <c r="DG38" i="37"/>
  <c r="DG39" i="37" s="1"/>
  <c r="DH32" i="37"/>
  <c r="DH28" i="37"/>
  <c r="DH27" i="37"/>
  <c r="DH30" i="37"/>
  <c r="DH33" i="37"/>
  <c r="DH31" i="37"/>
  <c r="DH26" i="37"/>
  <c r="DH29" i="37"/>
  <c r="DA28" i="68"/>
  <c r="DA32" i="68"/>
  <c r="DA27" i="68"/>
  <c r="DA30" i="68"/>
  <c r="CZ37" i="68"/>
  <c r="CZ38" i="68" s="1"/>
  <c r="DA33" i="68"/>
  <c r="DA31" i="68"/>
  <c r="DA26" i="68"/>
  <c r="DA29" i="68"/>
  <c r="DA27" i="64"/>
  <c r="CZ37" i="64"/>
  <c r="CZ38" i="64" s="1"/>
  <c r="DA32" i="64"/>
  <c r="DA28" i="64"/>
  <c r="DA31" i="64"/>
  <c r="DA33" i="64"/>
  <c r="DA30" i="64"/>
  <c r="DA26" i="64"/>
  <c r="DA29" i="64"/>
  <c r="DA26" i="37"/>
  <c r="DA30" i="37"/>
  <c r="CZ38" i="37"/>
  <c r="DA33" i="37"/>
  <c r="DA28" i="37"/>
  <c r="DA32" i="37"/>
  <c r="DA31" i="37"/>
  <c r="DA27" i="37"/>
  <c r="DA29" i="37"/>
  <c r="CT27" i="37"/>
  <c r="CS38" i="37"/>
  <c r="CT33" i="37"/>
  <c r="CT32" i="37"/>
  <c r="CT28" i="37"/>
  <c r="CT31" i="37"/>
  <c r="CT30" i="37"/>
  <c r="CT26" i="37"/>
  <c r="CT29" i="37"/>
  <c r="CT30" i="68"/>
  <c r="CT27" i="68"/>
  <c r="CT31" i="68"/>
  <c r="CS37" i="68"/>
  <c r="CS38" i="68" s="1"/>
  <c r="CT28" i="68"/>
  <c r="CT32" i="68"/>
  <c r="CT33" i="68"/>
  <c r="CT26" i="68"/>
  <c r="CT29" i="68"/>
  <c r="CT27" i="64"/>
  <c r="CT33" i="64"/>
  <c r="CS37" i="64"/>
  <c r="CS38" i="64" s="1"/>
  <c r="CT28" i="64"/>
  <c r="CT32" i="64"/>
  <c r="CT31" i="64"/>
  <c r="CT30" i="64"/>
  <c r="CT26" i="64"/>
  <c r="CT29" i="64"/>
  <c r="CM26" i="68"/>
  <c r="CL37" i="68"/>
  <c r="CL38" i="68" s="1"/>
  <c r="CM31" i="68"/>
  <c r="CM33" i="68"/>
  <c r="CM27" i="68"/>
  <c r="CM30" i="68"/>
  <c r="CM28" i="68"/>
  <c r="CM32" i="68"/>
  <c r="CM29" i="68"/>
  <c r="CM32" i="37"/>
  <c r="CM31" i="37"/>
  <c r="CL38" i="37"/>
  <c r="T45" i="14" s="1"/>
  <c r="U45" i="14" s="1"/>
  <c r="N66" i="14" s="1"/>
  <c r="CM30" i="37"/>
  <c r="CM27" i="37"/>
  <c r="CM28" i="37"/>
  <c r="CM33" i="37"/>
  <c r="CM26" i="37"/>
  <c r="CM29" i="37"/>
  <c r="CM33" i="64"/>
  <c r="CM31" i="64"/>
  <c r="CM27" i="64"/>
  <c r="CL37" i="64"/>
  <c r="CL38" i="64" s="1"/>
  <c r="CM32" i="64"/>
  <c r="CM28" i="64"/>
  <c r="CM30" i="64"/>
  <c r="CM26" i="64"/>
  <c r="CM29" i="64"/>
  <c r="CF29" i="37"/>
  <c r="CF27" i="37"/>
  <c r="CE38" i="37"/>
  <c r="CF31" i="37"/>
  <c r="CF32" i="37"/>
  <c r="CF33" i="37"/>
  <c r="CF30" i="37"/>
  <c r="CF28" i="37"/>
  <c r="CF26" i="37"/>
  <c r="CF29" i="68"/>
  <c r="CF27" i="68"/>
  <c r="CF28" i="68"/>
  <c r="CE37" i="68"/>
  <c r="CE38" i="68" s="1"/>
  <c r="CF31" i="68"/>
  <c r="CF32" i="68"/>
  <c r="CF33" i="68"/>
  <c r="CF30" i="68"/>
  <c r="CF26" i="68"/>
  <c r="CF31" i="64"/>
  <c r="CF28" i="64"/>
  <c r="CE37" i="64"/>
  <c r="CE38" i="64" s="1"/>
  <c r="CF30" i="64"/>
  <c r="CF27" i="64"/>
  <c r="CF32" i="64"/>
  <c r="CF33" i="64"/>
  <c r="CF26" i="64"/>
  <c r="CF29" i="64"/>
  <c r="BX38" i="37"/>
  <c r="BY32" i="37"/>
  <c r="BY31" i="37"/>
  <c r="BY30" i="37"/>
  <c r="BY28" i="37"/>
  <c r="BY33" i="37"/>
  <c r="BY27" i="37"/>
  <c r="BY26" i="37"/>
  <c r="BY29" i="37"/>
  <c r="BY32" i="68"/>
  <c r="BY30" i="68"/>
  <c r="BY33" i="68"/>
  <c r="BY31" i="68"/>
  <c r="BY27" i="68"/>
  <c r="BX37" i="68"/>
  <c r="BX38" i="68" s="1"/>
  <c r="BY28" i="68"/>
  <c r="BY26" i="68"/>
  <c r="BY29" i="68"/>
  <c r="BY30" i="64"/>
  <c r="BY32" i="64"/>
  <c r="BY31" i="64"/>
  <c r="BY33" i="64"/>
  <c r="BX37" i="64"/>
  <c r="BX38" i="64" s="1"/>
  <c r="BY28" i="64"/>
  <c r="BY27" i="64"/>
  <c r="BY26" i="64"/>
  <c r="BY29" i="64"/>
  <c r="BR28" i="64"/>
  <c r="BR33" i="64"/>
  <c r="BR31" i="64"/>
  <c r="BR30" i="64"/>
  <c r="BR32" i="64"/>
  <c r="BR27" i="64"/>
  <c r="BQ37" i="64"/>
  <c r="BQ38" i="64" s="1"/>
  <c r="BR29" i="64"/>
  <c r="BR26" i="64"/>
  <c r="BR30" i="37"/>
  <c r="BQ38" i="37"/>
  <c r="BR27" i="37"/>
  <c r="BR28" i="37"/>
  <c r="BR33" i="37"/>
  <c r="BR31" i="37"/>
  <c r="BR32" i="37"/>
  <c r="BR26" i="37"/>
  <c r="BR29" i="37"/>
  <c r="AI31" i="64"/>
  <c r="AI32" i="64"/>
  <c r="AI28" i="64"/>
  <c r="AI27" i="64"/>
  <c r="AH37" i="64"/>
  <c r="AH38" i="64" s="1"/>
  <c r="AI30" i="64"/>
  <c r="AI33" i="64"/>
  <c r="AI26" i="64"/>
  <c r="AI29" i="64"/>
  <c r="AB33" i="68"/>
  <c r="AB31" i="68"/>
  <c r="AB30" i="68"/>
  <c r="AB27" i="68"/>
  <c r="AB32" i="68"/>
  <c r="AA37" i="68"/>
  <c r="AA38" i="68" s="1"/>
  <c r="AB28" i="68"/>
  <c r="AB26" i="68"/>
  <c r="AB29" i="68"/>
  <c r="AB27" i="64"/>
  <c r="AB30" i="64"/>
  <c r="AA37" i="64"/>
  <c r="AA38" i="64" s="1"/>
  <c r="AB33" i="64"/>
  <c r="AB32" i="64"/>
  <c r="AB28" i="64"/>
  <c r="AB31" i="64"/>
  <c r="AB26" i="64"/>
  <c r="AB29" i="64"/>
  <c r="AP31" i="68"/>
  <c r="AP27" i="68"/>
  <c r="AP28" i="68"/>
  <c r="AP30" i="68"/>
  <c r="AO37" i="68"/>
  <c r="AO38" i="68" s="1"/>
  <c r="AP32" i="68"/>
  <c r="AP33" i="68"/>
  <c r="AP26" i="68"/>
  <c r="AP29" i="68"/>
  <c r="AI25" i="64"/>
  <c r="U30" i="64"/>
  <c r="U31" i="64"/>
  <c r="U33" i="64"/>
  <c r="U32" i="64"/>
  <c r="U27" i="64"/>
  <c r="T37" i="64"/>
  <c r="T38" i="64" s="1"/>
  <c r="U28" i="64"/>
  <c r="U26" i="64"/>
  <c r="U29" i="64"/>
  <c r="AW31" i="64"/>
  <c r="AW28" i="64"/>
  <c r="AW32" i="64"/>
  <c r="AW30" i="64"/>
  <c r="AW27" i="64"/>
  <c r="AV37" i="64"/>
  <c r="AV38" i="64" s="1"/>
  <c r="AW33" i="64"/>
  <c r="AW26" i="64"/>
  <c r="AW29" i="64"/>
  <c r="N27" i="64"/>
  <c r="N30" i="64"/>
  <c r="N28" i="64"/>
  <c r="M37" i="64"/>
  <c r="M38" i="64" s="1"/>
  <c r="N31" i="64"/>
  <c r="N32" i="64"/>
  <c r="N33" i="64"/>
  <c r="N26" i="64"/>
  <c r="N29" i="64"/>
  <c r="BK33" i="64"/>
  <c r="BK27" i="64"/>
  <c r="BJ37" i="64"/>
  <c r="BJ38" i="64" s="1"/>
  <c r="BK30" i="64"/>
  <c r="BK32" i="64"/>
  <c r="BK28" i="64"/>
  <c r="BK31" i="64"/>
  <c r="BK26" i="64"/>
  <c r="BK29" i="64"/>
  <c r="U28" i="68"/>
  <c r="U31" i="68"/>
  <c r="U30" i="68"/>
  <c r="U33" i="68"/>
  <c r="U32" i="68"/>
  <c r="T37" i="68"/>
  <c r="T38" i="68" s="1"/>
  <c r="U27" i="68"/>
  <c r="U26" i="68"/>
  <c r="U29" i="68"/>
  <c r="U25" i="64"/>
  <c r="AI31" i="37"/>
  <c r="AI32" i="37"/>
  <c r="AI33" i="37"/>
  <c r="AI28" i="37"/>
  <c r="AH38" i="37"/>
  <c r="AI27" i="37"/>
  <c r="AI30" i="37"/>
  <c r="AI26" i="37"/>
  <c r="AI29" i="37"/>
  <c r="AW25" i="64"/>
  <c r="AI30" i="68"/>
  <c r="AI28" i="68"/>
  <c r="AH37" i="68"/>
  <c r="AH38" i="68" s="1"/>
  <c r="AI32" i="68"/>
  <c r="AI31" i="68"/>
  <c r="AI27" i="68"/>
  <c r="AI33" i="68"/>
  <c r="AI26" i="68"/>
  <c r="AI29" i="68"/>
  <c r="BD33" i="64"/>
  <c r="BD31" i="64"/>
  <c r="BD28" i="64"/>
  <c r="BD30" i="64"/>
  <c r="BD32" i="64"/>
  <c r="BC37" i="64"/>
  <c r="BC38" i="64" s="1"/>
  <c r="BD27" i="64"/>
  <c r="BD26" i="64"/>
  <c r="BD29" i="64"/>
  <c r="BK30" i="68"/>
  <c r="BK27" i="68"/>
  <c r="BJ37" i="68"/>
  <c r="BJ38" i="68" s="1"/>
  <c r="BK32" i="68"/>
  <c r="BK33" i="68"/>
  <c r="BK28" i="68"/>
  <c r="BK31" i="68"/>
  <c r="BK26" i="68"/>
  <c r="BK29" i="68"/>
  <c r="AB31" i="37"/>
  <c r="AB27" i="37"/>
  <c r="AB32" i="37"/>
  <c r="AB33" i="37"/>
  <c r="AB30" i="37"/>
  <c r="AB28" i="37"/>
  <c r="AA38" i="37"/>
  <c r="AA39" i="37" s="1"/>
  <c r="AB26" i="37"/>
  <c r="AB29" i="37"/>
  <c r="BD33" i="37"/>
  <c r="BD28" i="37"/>
  <c r="BD31" i="37"/>
  <c r="BD32" i="37"/>
  <c r="BD30" i="37"/>
  <c r="BC38" i="37"/>
  <c r="BC39" i="37" s="1"/>
  <c r="T40" i="14" s="1"/>
  <c r="BD27" i="37"/>
  <c r="BD26" i="37"/>
  <c r="BD29" i="37"/>
  <c r="AP30" i="64"/>
  <c r="AP32" i="64"/>
  <c r="AP33" i="64"/>
  <c r="AP31" i="64"/>
  <c r="AP27" i="64"/>
  <c r="AP28" i="64"/>
  <c r="AO37" i="64"/>
  <c r="AO38" i="64" s="1"/>
  <c r="AP26" i="64"/>
  <c r="AP29" i="64"/>
  <c r="BD31" i="68"/>
  <c r="BD32" i="68"/>
  <c r="BD27" i="68"/>
  <c r="BD28" i="68"/>
  <c r="BC37" i="68"/>
  <c r="BC38" i="68" s="1"/>
  <c r="BD33" i="68"/>
  <c r="BD30" i="68"/>
  <c r="BD26" i="68"/>
  <c r="BD29" i="68"/>
  <c r="BK32" i="37"/>
  <c r="BK31" i="37"/>
  <c r="BJ38" i="37"/>
  <c r="BK28" i="37"/>
  <c r="BK33" i="37"/>
  <c r="BK30" i="37"/>
  <c r="BK27" i="37"/>
  <c r="BK26" i="37"/>
  <c r="BK29" i="37"/>
  <c r="N31" i="37"/>
  <c r="N32" i="37"/>
  <c r="N28" i="37"/>
  <c r="N30" i="37"/>
  <c r="N27" i="37"/>
  <c r="M38" i="37"/>
  <c r="N26" i="37"/>
  <c r="N29" i="37"/>
  <c r="AB25" i="64"/>
  <c r="N32" i="68"/>
  <c r="N33" i="68"/>
  <c r="N30" i="68"/>
  <c r="N27" i="68"/>
  <c r="N31" i="68"/>
  <c r="N28" i="68"/>
  <c r="N26" i="68"/>
  <c r="N29" i="68"/>
  <c r="BK25" i="64"/>
  <c r="AP32" i="37"/>
  <c r="AP27" i="37"/>
  <c r="AO38" i="37"/>
  <c r="AO39" i="37" s="1"/>
  <c r="T38" i="14" s="1"/>
  <c r="O47" i="97" s="1"/>
  <c r="AP31" i="37"/>
  <c r="AP30" i="37"/>
  <c r="AP28" i="37"/>
  <c r="AP33" i="37"/>
  <c r="AP26" i="37"/>
  <c r="AP29" i="37"/>
  <c r="BD25" i="37"/>
  <c r="AW27" i="68"/>
  <c r="AW32" i="68"/>
  <c r="AW33" i="68"/>
  <c r="AW28" i="68"/>
  <c r="AW31" i="68"/>
  <c r="AW30" i="68"/>
  <c r="AV37" i="68"/>
  <c r="AV38" i="68" s="1"/>
  <c r="AW26" i="68"/>
  <c r="AW29" i="68"/>
  <c r="AB25" i="68"/>
  <c r="AP25" i="64"/>
  <c r="AW30" i="37"/>
  <c r="AV38" i="37"/>
  <c r="T39" i="14" s="1"/>
  <c r="AW27" i="37"/>
  <c r="AW31" i="37"/>
  <c r="AW33" i="37"/>
  <c r="AW32" i="37"/>
  <c r="AW28" i="37"/>
  <c r="AW26" i="37"/>
  <c r="AW29" i="37"/>
  <c r="BD25" i="64"/>
  <c r="U32" i="37"/>
  <c r="U30" i="37"/>
  <c r="T38" i="37"/>
  <c r="U27" i="37"/>
  <c r="U28" i="37"/>
  <c r="U33" i="37"/>
  <c r="U31" i="37"/>
  <c r="U26" i="37"/>
  <c r="U29" i="37"/>
  <c r="BK25" i="68"/>
  <c r="AB25" i="37"/>
  <c r="AH39" i="37" l="1"/>
  <c r="T37" i="14" s="1"/>
  <c r="O46" i="97" s="1"/>
  <c r="EB39" i="37"/>
  <c r="T51" i="14" s="1"/>
  <c r="U51" i="14" s="1"/>
  <c r="N69" i="14" s="1"/>
  <c r="DN39" i="37"/>
  <c r="T49" i="14" s="1"/>
  <c r="U49" i="14" s="1"/>
  <c r="N68" i="14" s="1"/>
  <c r="CZ39" i="37"/>
  <c r="T47" i="14" s="1"/>
  <c r="U47" i="14" s="1"/>
  <c r="N67" i="14" s="1"/>
  <c r="BX39" i="37"/>
  <c r="T43" i="14" s="1"/>
  <c r="U43" i="14" s="1"/>
  <c r="N65" i="14" s="1"/>
  <c r="BJ39" i="37"/>
  <c r="T41" i="14" s="1"/>
  <c r="CS39" i="37"/>
  <c r="T46" i="14" s="1"/>
  <c r="U46" i="14" s="1"/>
  <c r="G67" i="14" s="1"/>
  <c r="CE39" i="37"/>
  <c r="T44" i="14" s="1"/>
  <c r="M39" i="37"/>
  <c r="T34" i="14" s="1"/>
  <c r="O45" i="97" s="1"/>
  <c r="BQ39" i="37"/>
  <c r="T42" i="14" s="1"/>
  <c r="M52" i="95"/>
  <c r="T39" i="37"/>
  <c r="T35" i="14" s="1"/>
  <c r="U35" i="14" s="1"/>
  <c r="N61" i="14" s="1"/>
  <c r="O62" i="91"/>
  <c r="O56" i="92"/>
  <c r="O56" i="88"/>
  <c r="O56" i="90"/>
  <c r="O56" i="47"/>
  <c r="U56" i="14"/>
  <c r="G72" i="14" s="1"/>
  <c r="M52" i="81"/>
  <c r="M52" i="67"/>
  <c r="M52" i="80"/>
  <c r="T54" i="14"/>
  <c r="T52" i="14"/>
  <c r="T50" i="14"/>
  <c r="T48" i="14"/>
  <c r="U44" i="14"/>
  <c r="G66" i="14" s="1"/>
  <c r="U39" i="14"/>
  <c r="N63" i="14" s="1"/>
  <c r="U37" i="14" l="1"/>
  <c r="N62" i="14" s="1"/>
  <c r="O49" i="97"/>
  <c r="M44" i="95"/>
  <c r="O48" i="97"/>
  <c r="U41" i="14"/>
  <c r="N64" i="14" s="1"/>
  <c r="U42" i="14"/>
  <c r="G65" i="14" s="1"/>
  <c r="L17" i="70"/>
  <c r="M45" i="67"/>
  <c r="O49" i="90"/>
  <c r="O49" i="47"/>
  <c r="L17" i="61"/>
  <c r="M45" i="80"/>
  <c r="O49" i="88"/>
  <c r="M45" i="81"/>
  <c r="L18" i="86"/>
  <c r="O56" i="91"/>
  <c r="O50" i="92"/>
  <c r="O50" i="90"/>
  <c r="L19" i="86"/>
  <c r="M46" i="81"/>
  <c r="M46" i="67"/>
  <c r="M46" i="95"/>
  <c r="O50" i="47"/>
  <c r="O50" i="88"/>
  <c r="M46" i="80"/>
  <c r="L18" i="61"/>
  <c r="O50" i="97"/>
  <c r="L18" i="70"/>
  <c r="O51" i="97"/>
  <c r="L20" i="86"/>
  <c r="M47" i="67"/>
  <c r="M47" i="81"/>
  <c r="O51" i="47"/>
  <c r="M47" i="80"/>
  <c r="O51" i="92"/>
  <c r="O57" i="91"/>
  <c r="O51" i="88"/>
  <c r="M47" i="95"/>
  <c r="O51" i="90"/>
  <c r="L19" i="61"/>
  <c r="L19" i="70"/>
  <c r="O49" i="92"/>
  <c r="O55" i="91"/>
  <c r="M45" i="95"/>
  <c r="M50" i="95"/>
  <c r="O54" i="97"/>
  <c r="M49" i="95"/>
  <c r="O53" i="97"/>
  <c r="M51" i="95"/>
  <c r="O55" i="97"/>
  <c r="M48" i="95"/>
  <c r="O52" i="97"/>
  <c r="M41" i="95"/>
  <c r="O54" i="91"/>
  <c r="O48" i="92"/>
  <c r="O51" i="91"/>
  <c r="O45" i="92"/>
  <c r="O45" i="90"/>
  <c r="O45" i="88"/>
  <c r="O45" i="47"/>
  <c r="O61" i="91"/>
  <c r="O55" i="92"/>
  <c r="O58" i="91"/>
  <c r="O52" i="92"/>
  <c r="O59" i="91"/>
  <c r="O53" i="92"/>
  <c r="O60" i="91"/>
  <c r="O54" i="92"/>
  <c r="M42" i="95"/>
  <c r="M43" i="95"/>
  <c r="O55" i="88"/>
  <c r="O55" i="90"/>
  <c r="O55" i="47"/>
  <c r="O52" i="88"/>
  <c r="O52" i="90"/>
  <c r="O52" i="47"/>
  <c r="O48" i="47"/>
  <c r="O48" i="90"/>
  <c r="O53" i="88"/>
  <c r="O53" i="90"/>
  <c r="O53" i="47"/>
  <c r="O54" i="88"/>
  <c r="O54" i="90"/>
  <c r="O54" i="47"/>
  <c r="M51" i="67"/>
  <c r="M50" i="81"/>
  <c r="U50" i="14"/>
  <c r="G69" i="14" s="1"/>
  <c r="M51" i="80"/>
  <c r="U54" i="14"/>
  <c r="G71" i="14" s="1"/>
  <c r="M49" i="80"/>
  <c r="M49" i="67"/>
  <c r="M49" i="81"/>
  <c r="M51" i="81"/>
  <c r="M50" i="80"/>
  <c r="M50" i="67"/>
  <c r="U52" i="14"/>
  <c r="G70" i="14" s="1"/>
  <c r="M48" i="67"/>
  <c r="M48" i="81"/>
  <c r="U48" i="14"/>
  <c r="G68" i="14" s="1"/>
  <c r="M48" i="80"/>
  <c r="L17" i="86"/>
  <c r="O48" i="88"/>
  <c r="U40" i="14"/>
  <c r="G64" i="14" s="1"/>
  <c r="M44" i="81"/>
  <c r="M44" i="80"/>
  <c r="L16" i="70"/>
  <c r="M44" i="67"/>
  <c r="L16" i="61"/>
  <c r="L16" i="86" l="1"/>
  <c r="O47" i="92"/>
  <c r="O52" i="91"/>
  <c r="O46" i="92"/>
  <c r="L15" i="70"/>
  <c r="O47" i="90"/>
  <c r="M43" i="81"/>
  <c r="L14" i="70"/>
  <c r="O46" i="88"/>
  <c r="M42" i="67"/>
  <c r="M42" i="80"/>
  <c r="U36" i="14"/>
  <c r="G62" i="14" s="1"/>
  <c r="L14" i="61"/>
  <c r="M42" i="81"/>
  <c r="O46" i="90"/>
  <c r="M43" i="67"/>
  <c r="U38" i="14"/>
  <c r="G63" i="14" s="1"/>
  <c r="O47" i="47"/>
  <c r="O53" i="91"/>
  <c r="O47" i="88"/>
  <c r="L15" i="61"/>
  <c r="M43" i="80"/>
  <c r="O46" i="47"/>
  <c r="U34" i="14"/>
  <c r="G61" i="14" s="1"/>
  <c r="M41" i="81"/>
  <c r="M41" i="80"/>
  <c r="L13" i="61"/>
  <c r="L13" i="70"/>
  <c r="M41" i="6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D5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1 mbar = 1 hPa</t>
        </r>
      </text>
    </comment>
    <comment ref="B7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I2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T-1801-2017 (Metroil)</t>
        </r>
      </text>
    </comment>
    <comment ref="K2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T-1801-2017 (Metroil)</t>
        </r>
      </text>
    </comment>
    <comment ref="I3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K3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I2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T-1801-2017 (Metroil)</t>
        </r>
      </text>
    </comment>
    <comment ref="K2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T-1801-2017 (Metroil)</t>
        </r>
      </text>
    </comment>
    <comment ref="I3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K3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G135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Equivalente de dosis ambiental (H*(10))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K3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R3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Y33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F33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M3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T33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A33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H33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O33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V33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C33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J33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Q33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X33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E33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L33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S33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Z33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G33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N33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U33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B33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I33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P33" authorId="0" shapeId="0" xr:uid="{00000000-0006-0000-0300-000018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K3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R3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Y3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F33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M33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T33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A33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H33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O33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V33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C33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J33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P33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Q33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W33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X33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E33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L33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S33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Z33" authorId="0" shapeId="0" xr:uid="{00000000-0006-0000-0400-00001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G33" authorId="0" shapeId="0" xr:uid="{00000000-0006-0000-0400-000015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N33" authorId="0" shapeId="0" xr:uid="{00000000-0006-0000-0400-000016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U33" authorId="0" shapeId="0" xr:uid="{00000000-0006-0000-0400-000017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B33" authorId="0" shapeId="0" xr:uid="{00000000-0006-0000-0400-000018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I33" authorId="0" shapeId="0" xr:uid="{00000000-0006-0000-0400-000019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P33" authorId="0" shapeId="0" xr:uid="{00000000-0006-0000-0400-00001A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K3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R33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Y33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F33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M33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AT33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A33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H33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O33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BV33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C33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J33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P33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Q33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W33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CX33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E33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L33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S33" authorId="0" shapeId="0" xr:uid="{00000000-0006-0000-0500-00001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DZ33" authorId="0" shapeId="0" xr:uid="{00000000-0006-0000-0500-000014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G33" authorId="0" shapeId="0" xr:uid="{00000000-0006-0000-0500-000015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N33" authorId="0" shapeId="0" xr:uid="{00000000-0006-0000-0500-000016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EU33" authorId="0" shapeId="0" xr:uid="{00000000-0006-0000-0500-000017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B33" authorId="0" shapeId="0" xr:uid="{00000000-0006-0000-0500-000018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I33" authorId="0" shapeId="0" xr:uid="{00000000-0006-0000-0500-000019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  <comment ref="FP33" authorId="0" shapeId="0" xr:uid="{00000000-0006-0000-0500-00001A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Según certificado de calibración N° P-1675-2017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C5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1 mbar = 1 hPa</t>
        </r>
      </text>
    </comment>
    <comment ref="B5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1 mbar = 1 hPa</t>
        </r>
      </text>
    </comment>
    <comment ref="A6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C5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1 mbar = 1 hPa</t>
        </r>
      </text>
    </comment>
    <comment ref="B57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1 mbar = 1 hPa</t>
        </r>
      </text>
    </comment>
    <comment ref="A6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A40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A39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A4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A40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D67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Para D(10) con S-Cs = 0,24
Para fotones Hp(10) y Hp(0,07) con S-Cs = 0,30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ALEPH</author>
  </authors>
  <commentList>
    <comment ref="D58" authorId="0" shapeId="0" xr:uid="{00000000-0006-0000-3C00-000001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1 mbar = 1 hPa</t>
        </r>
      </text>
    </comment>
    <comment ref="C64" authorId="0" shapeId="0" xr:uid="{00000000-0006-0000-3C00-000002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1 mbar = 1 hPa</t>
        </r>
      </text>
    </comment>
    <comment ref="B67" authorId="0" shapeId="0" xr:uid="{00000000-0006-0000-3C00-000003000000}">
      <text>
        <r>
          <rPr>
            <b/>
            <sz val="9"/>
            <color indexed="81"/>
            <rFont val="Tahoma"/>
            <family val="2"/>
          </rPr>
          <t>ALEPH:</t>
        </r>
        <r>
          <rPr>
            <sz val="9"/>
            <color indexed="81"/>
            <rFont val="Tahoma"/>
            <family val="2"/>
          </rPr>
          <t xml:space="preserve">
Ref. Pág 61 IAEA-N° 16</t>
        </r>
      </text>
    </comment>
  </commentList>
</comments>
</file>

<file path=xl/sharedStrings.xml><?xml version="1.0" encoding="utf-8"?>
<sst xmlns="http://schemas.openxmlformats.org/spreadsheetml/2006/main" count="16362" uniqueCount="1365">
  <si>
    <t>DATOS DE LA FUENTE</t>
  </si>
  <si>
    <t>ATENUADORES (mm)</t>
  </si>
  <si>
    <t>Fuente</t>
  </si>
  <si>
    <t>Fecha ref.</t>
  </si>
  <si>
    <t>GBq</t>
  </si>
  <si>
    <t>Ci</t>
  </si>
  <si>
    <t>Rango</t>
  </si>
  <si>
    <t>R/h</t>
  </si>
  <si>
    <t>Gy/h</t>
  </si>
  <si>
    <t>Cs-137</t>
  </si>
  <si>
    <t>I (Plomo)</t>
  </si>
  <si>
    <t>R/C</t>
  </si>
  <si>
    <t>°C</t>
  </si>
  <si>
    <t>min</t>
  </si>
  <si>
    <t>II (Plomo)</t>
  </si>
  <si>
    <t>Gy/C</t>
  </si>
  <si>
    <t>hPa</t>
  </si>
  <si>
    <t>III (Plomo)</t>
  </si>
  <si>
    <t>IV (Plomo)</t>
  </si>
  <si>
    <t>V (Plomo)</t>
  </si>
  <si>
    <t>Material Referencia:</t>
  </si>
  <si>
    <t>Actividad inicial (Ci):</t>
  </si>
  <si>
    <t xml:space="preserve">Decaimiento:   </t>
  </si>
  <si>
    <t>Espesor de aluminio donde está alojada la fuente (mm):</t>
  </si>
  <si>
    <t>SIN ATENUADORES</t>
  </si>
  <si>
    <t>I</t>
  </si>
  <si>
    <t>II</t>
  </si>
  <si>
    <t>III</t>
  </si>
  <si>
    <t>IV</t>
  </si>
  <si>
    <t>V</t>
  </si>
  <si>
    <t>I+II</t>
  </si>
  <si>
    <t>I+III</t>
  </si>
  <si>
    <t>I+IV</t>
  </si>
  <si>
    <t>I+V</t>
  </si>
  <si>
    <t>I+II+III</t>
  </si>
  <si>
    <t>I+II+IV</t>
  </si>
  <si>
    <t>I+II+V</t>
  </si>
  <si>
    <t>I+III+IV</t>
  </si>
  <si>
    <t>I+III+V</t>
  </si>
  <si>
    <t>I+IV+V</t>
  </si>
  <si>
    <t>I+II+III+IV</t>
  </si>
  <si>
    <t>I+II+III+V</t>
  </si>
  <si>
    <t>I+II+IV+V</t>
  </si>
  <si>
    <t>I+III+IV+V</t>
  </si>
  <si>
    <t>I+II+III+IV+V</t>
  </si>
  <si>
    <t>II+III</t>
  </si>
  <si>
    <t>II+IV</t>
  </si>
  <si>
    <t>II+V</t>
  </si>
  <si>
    <t>II+III+IV</t>
  </si>
  <si>
    <t>II+III+V</t>
  </si>
  <si>
    <t>II+IV+V</t>
  </si>
  <si>
    <t>II+III+IV+V</t>
  </si>
  <si>
    <t>III+IV</t>
  </si>
  <si>
    <t>III+V</t>
  </si>
  <si>
    <t>III+IV+V</t>
  </si>
  <si>
    <t>IV+V</t>
  </si>
  <si>
    <t>dist (cm)</t>
  </si>
  <si>
    <t>T (°C)</t>
  </si>
  <si>
    <t>HR (%)</t>
  </si>
  <si>
    <t>Presión (hPa)</t>
  </si>
  <si>
    <r>
      <t>k</t>
    </r>
    <r>
      <rPr>
        <vertAlign val="subscript"/>
        <sz val="11"/>
        <color theme="1"/>
        <rFont val="Calibri"/>
        <family val="2"/>
        <scheme val="minor"/>
      </rPr>
      <t>TP</t>
    </r>
  </si>
  <si>
    <t>Prom.</t>
  </si>
  <si>
    <t>D.S.</t>
  </si>
  <si>
    <t>C.V. (%)</t>
  </si>
  <si>
    <t>Actividad Actual (Ci):</t>
  </si>
  <si>
    <t>SA</t>
  </si>
  <si>
    <t>mSv</t>
  </si>
  <si>
    <t>Una dosis de:</t>
  </si>
  <si>
    <t>Código</t>
  </si>
  <si>
    <t>Fecha</t>
  </si>
  <si>
    <t>Versión</t>
  </si>
  <si>
    <t>Página</t>
  </si>
  <si>
    <t>: 01</t>
  </si>
  <si>
    <t>: 1 de 1</t>
  </si>
  <si>
    <t>=</t>
  </si>
  <si>
    <t>Fecha actual:</t>
  </si>
  <si>
    <t>Fecha Referencia (certificado fuente):</t>
  </si>
  <si>
    <t>Fecha Referencia (toma de datos):</t>
  </si>
  <si>
    <t>±</t>
  </si>
  <si>
    <t>A =</t>
  </si>
  <si>
    <t>dist. (m)</t>
  </si>
  <si>
    <t>dist. (m) =</t>
  </si>
  <si>
    <t>Rango permitido</t>
  </si>
  <si>
    <t>Ecuación del inverso cuadrado de la distancia</t>
  </si>
  <si>
    <t>Atenuad.</t>
  </si>
  <si>
    <t>máx.</t>
  </si>
  <si>
    <t>mín.</t>
  </si>
  <si>
    <t>dist. mín (m) =</t>
  </si>
  <si>
    <t>dist. máx. (m) =</t>
  </si>
  <si>
    <t>Combinación de atenuadores</t>
  </si>
  <si>
    <t>dist (m)</t>
  </si>
  <si>
    <t>t. integr. (s)</t>
  </si>
  <si>
    <t>fecha ref. (toma datos)</t>
  </si>
  <si>
    <t>-</t>
  </si>
  <si>
    <t>C/s (neta corregida.)</t>
  </si>
  <si>
    <t>Hp(10) (Sv/h)</t>
  </si>
  <si>
    <t>Hp(0.07) (Sv/h)</t>
  </si>
  <si>
    <t>H*(10) (Sv/h)</t>
  </si>
  <si>
    <t>incidencia normal</t>
  </si>
  <si>
    <t>pilar phantom</t>
  </si>
  <si>
    <t>rod phantom</t>
  </si>
  <si>
    <t>slab phantom (bloque de fantoma) (incidencia normal)</t>
  </si>
  <si>
    <t>Coef. conversión para</t>
  </si>
  <si>
    <t>expresión</t>
  </si>
  <si>
    <t>unidad</t>
  </si>
  <si>
    <t>valor</t>
  </si>
  <si>
    <r>
      <t>H*(10)/K</t>
    </r>
    <r>
      <rPr>
        <vertAlign val="subscript"/>
        <sz val="11"/>
        <color theme="1"/>
        <rFont val="Calibri"/>
        <family val="2"/>
        <scheme val="minor"/>
      </rPr>
      <t>A</t>
    </r>
  </si>
  <si>
    <r>
      <t>Hp(10)/K</t>
    </r>
    <r>
      <rPr>
        <vertAlign val="subscript"/>
        <sz val="11"/>
        <color theme="1"/>
        <rFont val="Calibri"/>
        <family val="2"/>
        <scheme val="minor"/>
      </rPr>
      <t>a</t>
    </r>
  </si>
  <si>
    <r>
      <t>Sv.Gy</t>
    </r>
    <r>
      <rPr>
        <vertAlign val="superscript"/>
        <sz val="11"/>
        <color theme="1"/>
        <rFont val="Calibri"/>
        <family val="2"/>
        <scheme val="minor"/>
      </rPr>
      <t>-1</t>
    </r>
  </si>
  <si>
    <t>---</t>
  </si>
  <si>
    <t>Tabla de coef. conversión para radiación de calidad S-Cs</t>
  </si>
  <si>
    <t>Al tiempo de irradiación indicado, se obtienen las siguientes dosis según la magnitud:</t>
  </si>
  <si>
    <t>magnitud</t>
  </si>
  <si>
    <t>dosis</t>
  </si>
  <si>
    <t>H*(10)</t>
  </si>
  <si>
    <t>Hp(10)</t>
  </si>
  <si>
    <t>rem</t>
  </si>
  <si>
    <t>Unidad</t>
  </si>
  <si>
    <t>Valor</t>
  </si>
  <si>
    <t>rem/h</t>
  </si>
  <si>
    <t>1 R =</t>
  </si>
  <si>
    <t>1 Gy =</t>
  </si>
  <si>
    <t>Factores de conversión</t>
  </si>
  <si>
    <t>: F-LSCD-004</t>
  </si>
  <si>
    <t>Patrón de referencia:</t>
  </si>
  <si>
    <t>Geometría de irradiación:</t>
  </si>
  <si>
    <t>Punto de referencia:</t>
  </si>
  <si>
    <t>Calidad de radiación:</t>
  </si>
  <si>
    <t>Ángulo:</t>
  </si>
  <si>
    <t>1.</t>
  </si>
  <si>
    <t>Datos generales:</t>
  </si>
  <si>
    <t>2.</t>
  </si>
  <si>
    <t>Datos adicionales</t>
  </si>
  <si>
    <t>3.</t>
  </si>
  <si>
    <t>Magnitud de referencia solicitada:</t>
  </si>
  <si>
    <t>Dosis equivalente personal a 10 mm de profundiad Hp(10)</t>
  </si>
  <si>
    <t>Dosis equivalente personal a 0,07 mm de profundiad Hp(0,07)</t>
  </si>
  <si>
    <t>Dosis equivalente ambiental a 10 mm de profundiad H*(10)</t>
  </si>
  <si>
    <t>Magnitud</t>
  </si>
  <si>
    <t>mGy</t>
  </si>
  <si>
    <t>4.</t>
  </si>
  <si>
    <t>Hp(0,07)</t>
  </si>
  <si>
    <t>D(10)</t>
  </si>
  <si>
    <r>
      <t>H´(0,07)/K</t>
    </r>
    <r>
      <rPr>
        <vertAlign val="subscript"/>
        <sz val="11"/>
        <color theme="1"/>
        <rFont val="Calibri"/>
        <family val="2"/>
        <scheme val="minor"/>
      </rPr>
      <t>a</t>
    </r>
  </si>
  <si>
    <r>
      <t>Hp(0,07)/K</t>
    </r>
    <r>
      <rPr>
        <vertAlign val="subscript"/>
        <sz val="11"/>
        <color theme="1"/>
        <rFont val="Calibri"/>
        <family val="2"/>
        <scheme val="minor"/>
      </rPr>
      <t>a</t>
    </r>
  </si>
  <si>
    <t>Fecha inicio de irradiación:</t>
  </si>
  <si>
    <r>
      <t>Juego de atenuadores</t>
    </r>
    <r>
      <rPr>
        <vertAlign val="superscript"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>:</t>
    </r>
  </si>
  <si>
    <r>
      <rPr>
        <vertAlign val="superscript"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 xml:space="preserve"> Escribir "SA" si es sin atenuadores, o por ejemplo "I+II" si se irradia con esos atenuadores</t>
    </r>
  </si>
  <si>
    <r>
      <t>La magnitud de referencia solicitada es</t>
    </r>
    <r>
      <rPr>
        <vertAlign val="superscript"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>:</t>
    </r>
  </si>
  <si>
    <r>
      <rPr>
        <vertAlign val="superscript"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 xml:space="preserve"> Escriba el código de la magnitud solicitada</t>
    </r>
  </si>
  <si>
    <t>OBSERVACIÓN:</t>
  </si>
  <si>
    <t>Distancia fuente-punto de referencia (m):</t>
  </si>
  <si>
    <t>Tasa de dosis requerida:</t>
  </si>
  <si>
    <t>Tasa de dosis</t>
  </si>
  <si>
    <t>Fecha del cálculo:</t>
  </si>
  <si>
    <t>N° Ítem</t>
  </si>
  <si>
    <t>distancia (m)</t>
  </si>
  <si>
    <t>Responsable:</t>
  </si>
  <si>
    <t>Resultados</t>
  </si>
  <si>
    <t>Según lo requiera, use el ítem 4.1. ó 4.2.</t>
  </si>
  <si>
    <t>4.1.</t>
  </si>
  <si>
    <t>Ingrese la dosis para obtener el tiempo de irradiación</t>
  </si>
  <si>
    <t>en</t>
  </si>
  <si>
    <t>Ingrese el tiempo de irradiación para obtener la dosis</t>
  </si>
  <si>
    <t>Con un tiempo de irradiación de</t>
  </si>
  <si>
    <t>requiere un tiempo de irrad. de:</t>
  </si>
  <si>
    <t>, se obtienen las siguientes dosis según la magnitud:</t>
  </si>
  <si>
    <t>DOSIS EQUIVALENTE PERSONAL Y AMBIENTAL EN DOSÍMETROS POR EL INCARAD DEL LSCD</t>
  </si>
  <si>
    <t>: 05/01/2017</t>
  </si>
  <si>
    <t>Fecha del cálculo</t>
  </si>
  <si>
    <t>S-Cs (ISO 4037-3)</t>
  </si>
  <si>
    <t>D(10) Gy/h</t>
  </si>
  <si>
    <t>ENTREGA DE DOSÍMETROS A IRRADIAR EN EL LSCD</t>
  </si>
  <si>
    <t>: F-LSCD-007</t>
  </si>
  <si>
    <t>: 06/01/2017</t>
  </si>
  <si>
    <t>Nombre de la Institución</t>
  </si>
  <si>
    <t>Nombre del Laboratorio</t>
  </si>
  <si>
    <t>Nombre del responsable</t>
  </si>
  <si>
    <t>Telef. / e-mail</t>
  </si>
  <si>
    <t>Observaciones</t>
  </si>
  <si>
    <t>Ítem N°</t>
  </si>
  <si>
    <t>Marca</t>
  </si>
  <si>
    <t>Modelo</t>
  </si>
  <si>
    <t>Dosímetro N°</t>
  </si>
  <si>
    <t>Magnitud H*(10); Hp(10); Hp(0.07); D(10)</t>
  </si>
  <si>
    <t>Valor de dosis a irradiar</t>
  </si>
  <si>
    <t>Unidad de la dosis a irradiar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</si>
  <si>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</si>
  <si>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</si>
  <si>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</si>
  <si>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</si>
  <si>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</si>
  <si>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</si>
  <si>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</si>
  <si>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</si>
  <si>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</si>
  <si>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</si>
  <si>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</si>
  <si>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</si>
  <si>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PLANEAMIENTO E IRRADIACIÓN CONTROLADA DE DOSÍMETROS PERSONALES EN EL LSCD</t>
  </si>
  <si>
    <t>: F-LSCD-008</t>
  </si>
  <si>
    <t>Fecha de planeamiento:</t>
  </si>
  <si>
    <t>Procedimiento:</t>
  </si>
  <si>
    <t>Calidad de radiación</t>
  </si>
  <si>
    <t>Ángulo</t>
  </si>
  <si>
    <t>H*(10), mSv</t>
  </si>
  <si>
    <t>Hp(0.07), mSv</t>
  </si>
  <si>
    <t>Hp(10), mSv</t>
  </si>
  <si>
    <t>D(10), mGy</t>
  </si>
  <si>
    <r>
      <t>Tiempo irradiación</t>
    </r>
    <r>
      <rPr>
        <vertAlign val="superscript"/>
        <sz val="11"/>
        <color theme="1"/>
        <rFont val="Calibri"/>
        <family val="2"/>
        <scheme val="minor"/>
      </rPr>
      <t>(1)</t>
    </r>
  </si>
  <si>
    <t>Inicio irradiación</t>
  </si>
  <si>
    <t>Término irradiación</t>
  </si>
  <si>
    <t>Fecha y hora</t>
  </si>
  <si>
    <t>P    (hPa)</t>
  </si>
  <si>
    <r>
      <rPr>
        <vertAlign val="superscript"/>
        <sz val="11"/>
        <color theme="1"/>
        <rFont val="Calibri"/>
        <family val="2"/>
        <scheme val="minor"/>
      </rPr>
      <t xml:space="preserve">(1) </t>
    </r>
    <r>
      <rPr>
        <sz val="11"/>
        <color theme="1"/>
        <rFont val="Calibri"/>
        <family val="2"/>
        <scheme val="minor"/>
      </rPr>
      <t>Tiempo de irradiación según el F-LSCD-004 vigente a la fecha de inicio de irradiación.</t>
    </r>
  </si>
  <si>
    <t>OBSERVACIONES:</t>
  </si>
  <si>
    <t>INFORME DE ENSAYO</t>
  </si>
  <si>
    <t>PRODUCIDO POR</t>
  </si>
  <si>
    <t>:</t>
  </si>
  <si>
    <t>ALEPH GROUP &amp; ASOCIADOS S.A.C.</t>
  </si>
  <si>
    <t>1. CLIENTE</t>
  </si>
  <si>
    <t>Este certificado sólo puede ser difundido completamente y sin modificaciones. Los extractos o modificaciones requieren la autorización por escrito de ALEPH SAC.</t>
  </si>
  <si>
    <t>2. REFERENCIA</t>
  </si>
  <si>
    <t>3. MUESTRA</t>
  </si>
  <si>
    <t>4. MÉTODO</t>
  </si>
  <si>
    <t>El resultado de este certificado es válido sólo para el equipo calibrado, refiriéndose al momento y condiciones en que se realizaron las mediciones y no deben utilizarse como certificado de conformidad con normas de producto o como certificado del sistema de calidad.</t>
  </si>
  <si>
    <t>5. ESPECIFICACIONES</t>
  </si>
  <si>
    <t>Patrón de referencia</t>
  </si>
  <si>
    <t>Condiciones ambientales</t>
  </si>
  <si>
    <t>Gemetría de irradiación</t>
  </si>
  <si>
    <t>El informe sin sello ni firma, carece de valor.</t>
  </si>
  <si>
    <t>Punto de referencia</t>
  </si>
  <si>
    <t>Fecha de recepción</t>
  </si>
  <si>
    <t>Fecha de irradiación</t>
  </si>
  <si>
    <t>6. RESULTADOS</t>
  </si>
  <si>
    <t>Calidad de Radiación</t>
  </si>
  <si>
    <r>
      <t>Av. Rafaél Escardó 154, Urb. Maranga, San Miguel, Lima - Perú.</t>
    </r>
    <r>
      <rPr>
        <b/>
        <sz val="8"/>
        <color theme="1"/>
        <rFont val="Arial"/>
        <family val="2"/>
      </rPr>
      <t/>
    </r>
  </si>
  <si>
    <t>Referencia:</t>
  </si>
  <si>
    <t>Fecha de recepción:</t>
  </si>
  <si>
    <t>DOSIMETRIA DE LA FUENTE DEL INCARAD DEL LSCD</t>
  </si>
  <si>
    <t>: F-LSCD-002</t>
  </si>
  <si>
    <r>
      <t>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(°C) =</t>
    </r>
  </si>
  <si>
    <r>
      <t>HR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(%) =</t>
    </r>
  </si>
  <si>
    <r>
      <t>P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(hPa) =</t>
    </r>
  </si>
  <si>
    <r>
      <t>T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 (°C) =</t>
    </r>
  </si>
  <si>
    <r>
      <t>HR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 (%) =</t>
    </r>
  </si>
  <si>
    <r>
      <t>P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 (hPa) =</t>
    </r>
  </si>
  <si>
    <t>Tasa</t>
  </si>
  <si>
    <t>Promedio</t>
  </si>
  <si>
    <t>C.V.</t>
  </si>
  <si>
    <t>test</t>
  </si>
  <si>
    <t>Promedio factor k</t>
  </si>
  <si>
    <t>CERTIFICADO DE CALIBRACIÓN</t>
  </si>
  <si>
    <t>Autorización de Servicios: S0576.E4</t>
  </si>
  <si>
    <t>Gerencia de Radiaciones / LSCD</t>
  </si>
  <si>
    <t>3. EQUIPO</t>
  </si>
  <si>
    <t>Fecha de Recepción</t>
  </si>
  <si>
    <t>Fecha de calibración</t>
  </si>
  <si>
    <t>6. RESULTADO DE LA CALIBRACIÓN</t>
  </si>
  <si>
    <t>U (%)</t>
  </si>
  <si>
    <r>
      <t>Av. Rafaél Escardó 154, Urb. Maranga, San Miguel, Lima - Perú.</t>
    </r>
    <r>
      <rPr>
        <b/>
        <sz val="11"/>
        <color theme="1"/>
        <rFont val="Calibri"/>
        <family val="2"/>
        <scheme val="minor"/>
      </rPr>
      <t/>
    </r>
  </si>
  <si>
    <t>TOMA DE DATOS DE CALIBRACIÓN DE MONITORES DE RADIACIÓN</t>
  </si>
  <si>
    <t>Procedimiento de calib.:</t>
  </si>
  <si>
    <t>Lectura carga corregida (C)</t>
  </si>
  <si>
    <r>
      <t>Lectura carga (C)</t>
    </r>
    <r>
      <rPr>
        <sz val="11"/>
        <color theme="0" tint="-0.249977111117893"/>
        <rFont val="Calibri"/>
        <family val="2"/>
        <scheme val="minor"/>
      </rPr>
      <t>'</t>
    </r>
  </si>
  <si>
    <t>Modo</t>
  </si>
  <si>
    <t>Electrómetro PTW Unidos, Type 10005, Serie 50121</t>
  </si>
  <si>
    <t>Carga</t>
  </si>
  <si>
    <t>Low</t>
  </si>
  <si>
    <t>High</t>
  </si>
  <si>
    <t>Coef. Calib. (C/Rdg)</t>
  </si>
  <si>
    <t>Rango lect. (C)</t>
  </si>
  <si>
    <t>desde</t>
  </si>
  <si>
    <t>hasta</t>
  </si>
  <si>
    <t>C/s (corregida)</t>
  </si>
  <si>
    <t>(Otorgada por el Instituto Peruano de Energía Nuclear)</t>
  </si>
  <si>
    <t>Patrones de referencia</t>
  </si>
  <si>
    <t>Geometría de calibración</t>
  </si>
  <si>
    <t>Energía (keV)</t>
  </si>
  <si>
    <r>
      <rPr>
        <b/>
        <sz val="8"/>
        <color theme="1"/>
        <rFont val="Arial"/>
        <family val="2"/>
      </rPr>
      <t>Telef.:</t>
    </r>
    <r>
      <rPr>
        <sz val="8"/>
        <color theme="1"/>
        <rFont val="Arial"/>
        <family val="2"/>
      </rPr>
      <t xml:space="preserve"> (01) 628-7778 / (01) 628-7752 / 997580543 </t>
    </r>
    <r>
      <rPr>
        <b/>
        <sz val="8"/>
        <color theme="1"/>
        <rFont val="Arial"/>
        <family val="2"/>
      </rPr>
      <t xml:space="preserve">Consulta técnica: </t>
    </r>
    <r>
      <rPr>
        <sz val="8"/>
        <color theme="1"/>
        <rFont val="Arial"/>
        <family val="2"/>
      </rPr>
      <t xml:space="preserve">997580541  </t>
    </r>
    <r>
      <rPr>
        <b/>
        <sz val="8"/>
        <color theme="1"/>
        <rFont val="Arial"/>
        <family val="2"/>
      </rPr>
      <t xml:space="preserve"> E-mail:</t>
    </r>
    <r>
      <rPr>
        <sz val="8"/>
        <color theme="1"/>
        <rFont val="Arial"/>
        <family val="2"/>
      </rPr>
      <t xml:space="preserve"> informes@alephsac.com   </t>
    </r>
    <r>
      <rPr>
        <b/>
        <sz val="8"/>
        <color theme="1"/>
        <rFont val="Arial"/>
        <family val="2"/>
      </rPr>
      <t>Web:</t>
    </r>
    <r>
      <rPr>
        <sz val="8"/>
        <color theme="1"/>
        <rFont val="Arial"/>
        <family val="2"/>
      </rPr>
      <t xml:space="preserve"> www.alephsac.com</t>
    </r>
  </si>
  <si>
    <t>ALEPH Group &amp; Asociados S.A.C.
www.alephsac.com
informes@alephsac.com
Telefax. 628-7782</t>
  </si>
  <si>
    <t>Unidad registrada:</t>
  </si>
  <si>
    <t>: F-LSCD-012</t>
  </si>
  <si>
    <t>: F-LSCD-013</t>
  </si>
  <si>
    <t>Fuente de radiación</t>
  </si>
  <si>
    <t>Am-241</t>
  </si>
  <si>
    <t>Tasa de emisión fuente (s-1)</t>
  </si>
  <si>
    <t>Área superf fuente (cm2)</t>
  </si>
  <si>
    <t>Actividad (Bq)</t>
  </si>
  <si>
    <t>Sr-90</t>
  </si>
  <si>
    <t>Cl-36</t>
  </si>
  <si>
    <t>FONDO</t>
  </si>
  <si>
    <t>CPS</t>
  </si>
  <si>
    <t>combinación de atenuadores</t>
  </si>
  <si>
    <t>uSv/h</t>
  </si>
  <si>
    <t>mSv/h</t>
  </si>
  <si>
    <t>Sv/h</t>
  </si>
  <si>
    <t>Conversión a R/h</t>
  </si>
  <si>
    <t>mR/h</t>
  </si>
  <si>
    <t>TOMA DE DATOS DE CALIBRACIÓN DE MONITORES DE CONTAMINACIÓN SUPERFICIAL</t>
  </si>
  <si>
    <t>t (s)</t>
  </si>
  <si>
    <t>T. D. (Sv/h) =</t>
  </si>
  <si>
    <t>T. D. máx. (Sv/h) =</t>
  </si>
  <si>
    <t>T. D. mín. (Sv/h) =</t>
  </si>
  <si>
    <t>T. D. (Svh) =</t>
  </si>
  <si>
    <t>T. D. mín. (Svh) =</t>
  </si>
  <si>
    <t>T. D. (Sv/h)</t>
  </si>
  <si>
    <t>Ingrese la T.D. buscada (Sv/h)</t>
  </si>
  <si>
    <t>Referencia</t>
  </si>
  <si>
    <t>0°</t>
  </si>
  <si>
    <t>Incert. (%)</t>
  </si>
  <si>
    <t>Modelo monitor:</t>
  </si>
  <si>
    <t>Serie monitor:</t>
  </si>
  <si>
    <t>Modelo sonda:</t>
  </si>
  <si>
    <t>Serie sonda:</t>
  </si>
  <si>
    <t>Marca Monitor:</t>
  </si>
  <si>
    <t>Marca Sonda:</t>
  </si>
  <si>
    <t>S-Cs (ISO 4037)</t>
  </si>
  <si>
    <t>Cliente:</t>
  </si>
  <si>
    <t>Dirección:</t>
  </si>
  <si>
    <t>Distrito:</t>
  </si>
  <si>
    <t>Provincia:</t>
  </si>
  <si>
    <t>Departamento:</t>
  </si>
  <si>
    <t>Rango de calibración:</t>
  </si>
  <si>
    <t>unidad:</t>
  </si>
  <si>
    <t>µSv/h</t>
  </si>
  <si>
    <t>µR/h</t>
  </si>
  <si>
    <t>Geometría de irradiación monitores</t>
  </si>
  <si>
    <t>Informe N°:</t>
  </si>
  <si>
    <t>INCARAD (µSv/h)</t>
  </si>
  <si>
    <t>Rango (µSv/h)</t>
  </si>
  <si>
    <t>Fecha fin de calibr.:</t>
  </si>
  <si>
    <t>Fecha inicio de calibr.:</t>
  </si>
  <si>
    <t>Condiciones Ambientales (antes del ajuste)</t>
  </si>
  <si>
    <t>Condiciones Ambientales (después del ajuste)</t>
  </si>
  <si>
    <t>centro</t>
  </si>
  <si>
    <t>Fecha emisión informe:</t>
  </si>
  <si>
    <t>Factor de calibración del electrómetro</t>
  </si>
  <si>
    <t>Estabilidad del electrómetro</t>
  </si>
  <si>
    <t>Resolución del electrómetro</t>
  </si>
  <si>
    <t>Posicionamiento longitudinal de la distancia fuente - C.I.</t>
  </si>
  <si>
    <t>Homogeneidad del campo</t>
  </si>
  <si>
    <t>Repetibilidad de las mediciones</t>
  </si>
  <si>
    <t>Incertidumbre de calibración del termohigrómetro (en temperatura)</t>
  </si>
  <si>
    <t>Incertidumbre de calibración del barómetro</t>
  </si>
  <si>
    <t>Resolución del barómetro</t>
  </si>
  <si>
    <t>Divisor</t>
  </si>
  <si>
    <t>Distribución de prob.</t>
  </si>
  <si>
    <t>Coeficiente de sensibilidad</t>
  </si>
  <si>
    <t>Fecha:</t>
  </si>
  <si>
    <t>Marca:</t>
  </si>
  <si>
    <t>Modelo:</t>
  </si>
  <si>
    <t>Serie:</t>
  </si>
  <si>
    <t>PTW</t>
  </si>
  <si>
    <t>TN32002</t>
  </si>
  <si>
    <t>000568</t>
  </si>
  <si>
    <t>Laboratorio</t>
  </si>
  <si>
    <t>Calidad del haz</t>
  </si>
  <si>
    <t>K</t>
  </si>
  <si>
    <t>Dif. entre calib.</t>
  </si>
  <si>
    <t>N° Certificado</t>
  </si>
  <si>
    <t>Co-60</t>
  </si>
  <si>
    <t>Coeficiente de calibración</t>
  </si>
  <si>
    <t>Sv/C</t>
  </si>
  <si>
    <t>K&amp;S</t>
  </si>
  <si>
    <t>T163053</t>
  </si>
  <si>
    <t>unidades tasa de dosis</t>
  </si>
  <si>
    <t>Unidades Dosimetría</t>
  </si>
  <si>
    <t>C</t>
  </si>
  <si>
    <t>s</t>
  </si>
  <si>
    <t>rectangular</t>
  </si>
  <si>
    <t>triangular</t>
  </si>
  <si>
    <t>normal (k=1)</t>
  </si>
  <si>
    <t>normal (k=2)</t>
  </si>
  <si>
    <t>normal (k=3)</t>
  </si>
  <si>
    <t>Prob. U</t>
  </si>
  <si>
    <t>donde:</t>
  </si>
  <si>
    <r>
      <t>f</t>
    </r>
    <r>
      <rPr>
        <i/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 =</t>
    </r>
  </si>
  <si>
    <r>
      <t>k</t>
    </r>
    <r>
      <rPr>
        <i/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=</t>
    </r>
  </si>
  <si>
    <r>
      <rPr>
        <i/>
        <sz val="11"/>
        <color theme="1"/>
        <rFont val="Calibri"/>
        <family val="2"/>
        <scheme val="minor"/>
      </rPr>
      <t>N</t>
    </r>
    <r>
      <rPr>
        <i/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</t>
    </r>
  </si>
  <si>
    <r>
      <rPr>
        <i/>
        <sz val="11"/>
        <color theme="1"/>
        <rFont val="Calibri"/>
        <family val="2"/>
        <scheme val="minor"/>
      </rPr>
      <t>P</t>
    </r>
    <r>
      <rPr>
        <i/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</si>
  <si>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P</t>
    </r>
    <r>
      <rPr>
        <sz val="11"/>
        <color theme="1"/>
        <rFont val="Calibri"/>
        <family val="2"/>
        <scheme val="minor"/>
      </rPr>
      <t xml:space="preserve"> =</t>
    </r>
  </si>
  <si>
    <r>
      <t>T</t>
    </r>
    <r>
      <rPr>
        <sz val="11"/>
        <color theme="1"/>
        <rFont val="Calibri"/>
        <family val="2"/>
        <scheme val="minor"/>
      </rPr>
      <t xml:space="preserve"> =</t>
    </r>
  </si>
  <si>
    <r>
      <rPr>
        <i/>
        <sz val="11"/>
        <color theme="1"/>
        <rFont val="Calibri"/>
        <family val="2"/>
        <scheme val="minor"/>
      </rPr>
      <t>T</t>
    </r>
    <r>
      <rPr>
        <i/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</t>
    </r>
  </si>
  <si>
    <t>C/Rdg</t>
  </si>
  <si>
    <t>Cond. ambientales de referencia de la C.I.</t>
  </si>
  <si>
    <t>Coeficiente de calibración Cámara de ionización (C.I.)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</si>
  <si>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Nk</t>
    </r>
    <r>
      <rPr>
        <sz val="11"/>
        <color theme="1"/>
        <rFont val="Calibri"/>
        <family val="2"/>
        <scheme val="minor"/>
      </rPr>
      <t xml:space="preserve"> =</t>
    </r>
  </si>
  <si>
    <t>C/h</t>
  </si>
  <si>
    <t>Resolución (lec. mín.) (C)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</si>
  <si>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 xml:space="preserve"> =</t>
    </r>
  </si>
  <si>
    <t>Tipo de incertidumbre</t>
  </si>
  <si>
    <t>Gy/(C.h)</t>
  </si>
  <si>
    <t>Gy/(h.°C)</t>
  </si>
  <si>
    <t>Resolución del termohigrómetro (en temperatura)</t>
  </si>
  <si>
    <t>Gy/(h.hPa)</t>
  </si>
  <si>
    <t>Estabilidad de la C.I. patrón</t>
  </si>
  <si>
    <t>Observación:</t>
  </si>
  <si>
    <r>
      <t xml:space="preserve">El coeficiente de calibración del certificado N° 1501769, fue dado en </t>
    </r>
    <r>
      <rPr>
        <i/>
        <sz val="11"/>
        <color theme="1"/>
        <rFont val="Calibri"/>
        <family val="2"/>
        <scheme val="minor"/>
      </rPr>
      <t>N</t>
    </r>
    <r>
      <rPr>
        <i/>
        <vertAlign val="subscript"/>
        <sz val="11"/>
        <color theme="1"/>
        <rFont val="Calibri"/>
        <family val="2"/>
        <scheme val="minor"/>
      </rPr>
      <t>H*</t>
    </r>
    <r>
      <rPr>
        <sz val="11"/>
        <color theme="1"/>
        <rFont val="Calibri"/>
        <family val="2"/>
        <scheme val="minor"/>
      </rPr>
      <t xml:space="preserve"> en unidad Sv/C, y se convirtió a </t>
    </r>
    <r>
      <rPr>
        <i/>
        <sz val="11"/>
        <color theme="1"/>
        <rFont val="Calibri"/>
        <family val="2"/>
        <scheme val="minor"/>
      </rPr>
      <t>N</t>
    </r>
    <r>
      <rPr>
        <i/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en unidades Gy/C, usando el factor de conversión según la ISO 4037.</t>
    </r>
  </si>
  <si>
    <t>Lectura mínima/2</t>
  </si>
  <si>
    <t>Tasa Kerma aire (2 m) =</t>
  </si>
  <si>
    <t>200.0 (desplazado 0,5 cm a la izquierda)</t>
  </si>
  <si>
    <t>200.0 (desplazado 0,5 cm hacia arriba)</t>
  </si>
  <si>
    <t>200.0 (desplazado 0,5 cm desplazado hacia abajo)</t>
  </si>
  <si>
    <t>200.0 (desplazado 0,5 cm a la derecha)</t>
  </si>
  <si>
    <t>LECTURAS DE FUGA (FONDO)</t>
  </si>
  <si>
    <t>TOMA DE DATOS DEL IRRADIADOR INCARAD CON LA CÁMARA DE IONIZACIÓN PARA LA HOMOGENEIDAD DEL CAMPO</t>
  </si>
  <si>
    <t>Posición</t>
  </si>
  <si>
    <t>% Error</t>
  </si>
  <si>
    <t>centrado</t>
  </si>
  <si>
    <t>0,5 cm a la derecha</t>
  </si>
  <si>
    <t>0,5 cm a la izquierda</t>
  </si>
  <si>
    <t>0,5 cm hacia arriba</t>
  </si>
  <si>
    <t>0,5 cm hacia abajo</t>
  </si>
  <si>
    <t>Tasa Kerma (Gy/h)</t>
  </si>
  <si>
    <t>Mayor % error</t>
  </si>
  <si>
    <t>d = 2 m</t>
  </si>
  <si>
    <t>distancia fuente-C.I. =</t>
  </si>
  <si>
    <t>m</t>
  </si>
  <si>
    <t>Según el inverso cuadrado de la distancia, se tiene que:</t>
  </si>
  <si>
    <t xml:space="preserve">Considerando que al posicionar longitudinalmente la C.I. se puede errar en: </t>
  </si>
  <si>
    <t>TOMA DE DATOS DEL IRRADIADOR INCARAD CON LA CÁMARA DE IONIZACIÓN PARA LA POSICIÓN DE LA FUENTE EN EL IRRADIADOR</t>
  </si>
  <si>
    <t>200,5 (abriendo y cerrando el obturador en cada medición)</t>
  </si>
  <si>
    <t>200,0 (obturador fijo abierto)</t>
  </si>
  <si>
    <t>Posición aprox. de la fuente en el irradiador</t>
  </si>
  <si>
    <t>+ izquierda del centro</t>
  </si>
  <si>
    <t>++ izquierda del centro</t>
  </si>
  <si>
    <t>+ derecha del centro</t>
  </si>
  <si>
    <t>++ derecha del centro</t>
  </si>
  <si>
    <t>Posición de la fuente en el irradiador</t>
  </si>
  <si>
    <t>(Mayor % error respecto a la medición en la posición centrada de la fuente en el irradiador con la C.I. a d metros /2)*(Tasa de Kerma de aire en d metros)</t>
  </si>
  <si>
    <t>Temp.</t>
  </si>
  <si>
    <t>% H.R.</t>
  </si>
  <si>
    <t>H. Relat.</t>
  </si>
  <si>
    <t>Resolución</t>
  </si>
  <si>
    <t>Incert.</t>
  </si>
  <si>
    <t>Unidad de Incert.</t>
  </si>
  <si>
    <t>Tipo</t>
  </si>
  <si>
    <t>In</t>
  </si>
  <si>
    <t>Out</t>
  </si>
  <si>
    <t>Termohigrómetro, Marca: Boeco; Modelo: HTC-8; Serie: 151213209; Código Alpeh: E-LSCD-002 / Certificado N° T-1801-2017 (METROIL)</t>
  </si>
  <si>
    <t>Barómetro, Marca: Barigo; Modelo: AB-1310; Serie: 1507337; Código Alpeh: E-LSCD-003 / Certificado N° P-1675-2017 (METROIL)</t>
  </si>
  <si>
    <t>mbar</t>
  </si>
  <si>
    <t>Analógico</t>
  </si>
  <si>
    <t>Presión</t>
  </si>
  <si>
    <t>Electrómetro PTW Unidos, Type 10005, Serie 50121 / Certificado N° 2016-146 (MD ANDERSON CANCER CENTER)</t>
  </si>
  <si>
    <t>Coeficiente de calibración Cámara de ionización (C.I.) / Certificado N° T163053 (K&amp;S Associates, Inc)</t>
  </si>
  <si>
    <t>Cinta Métrica, Marca: Stanley; Modelo: 33-158; Código Alpeh: E-LSCD-030 / Certificado N° L-0589-2017 (METROIL)</t>
  </si>
  <si>
    <t>Longitud</t>
  </si>
  <si>
    <t>mm</t>
  </si>
  <si>
    <t>Tipo A</t>
  </si>
  <si>
    <t>Tipo B</t>
  </si>
  <si>
    <t>Incertidumbre de calibración de la cinta métrica</t>
  </si>
  <si>
    <t>La incerteza en la calibración de la cinta métrica es:</t>
  </si>
  <si>
    <t>La resolución (lectura mínima) de la cinta métrica es:</t>
  </si>
  <si>
    <t>Incertidumbre reportada en el último certificado de calibración</t>
  </si>
  <si>
    <t>1 mbar = 1 hPa</t>
  </si>
  <si>
    <r>
      <t xml:space="preserve">Mayor diferencia entre calibracaiones sucesivas del </t>
    </r>
    <r>
      <rPr>
        <i/>
        <sz val="11"/>
        <color theme="1"/>
        <rFont val="Calibri"/>
        <family val="2"/>
        <scheme val="minor"/>
      </rPr>
      <t>N</t>
    </r>
    <r>
      <rPr>
        <i/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/ 2</t>
    </r>
  </si>
  <si>
    <t>Incertidumbre estándar</t>
  </si>
  <si>
    <t>(Mayor % error respecto a la medición en la posición centrada de la C.I. en d metros/2)*Tasa de Kerma de aire en d metros</t>
  </si>
  <si>
    <t>OTRAS FUENTES DE INCERTIDUMBRE</t>
  </si>
  <si>
    <t>(Factor de calibración del electrómetro) * (Incertidumbre de calibración del electrómetro en%)</t>
  </si>
  <si>
    <t>Tasa de Kerma en aire:</t>
  </si>
  <si>
    <t>Cálculo de las incertidumbres estándar</t>
  </si>
  <si>
    <t>a =</t>
  </si>
  <si>
    <t>siendo:</t>
  </si>
  <si>
    <t>Geometría de calibración:</t>
  </si>
  <si>
    <t>Fuentes Planas:</t>
  </si>
  <si>
    <t>Equipo:</t>
  </si>
  <si>
    <t>Patrones de referencia:</t>
  </si>
  <si>
    <t>cps</t>
  </si>
  <si>
    <t>Superficie del detector a 3 mm de la fuente plana</t>
  </si>
  <si>
    <r>
      <t>M</t>
    </r>
    <r>
      <rPr>
        <sz val="11"/>
        <color theme="1"/>
        <rFont val="Calibri"/>
        <family val="2"/>
        <scheme val="minor"/>
      </rPr>
      <t xml:space="preserve"> =</t>
    </r>
  </si>
  <si>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</t>
    </r>
  </si>
  <si>
    <t>2) Estabilidad Cámara de Ionización Patrón</t>
  </si>
  <si>
    <t>1. a) Cálculo valor a</t>
  </si>
  <si>
    <t>1.b) Cálculo coeficiene de sensibilidad</t>
  </si>
  <si>
    <t>2.a) Cálculo valor a</t>
  </si>
  <si>
    <t>2.b) Cálculo coeficiene de sensibilidad</t>
  </si>
  <si>
    <t>3) Factor de calibración del electrómetro</t>
  </si>
  <si>
    <t>3.a) Cálculo valor a</t>
  </si>
  <si>
    <t>4) Resolución del electrómetro</t>
  </si>
  <si>
    <t>4.a) Cálculo valor a</t>
  </si>
  <si>
    <r>
      <t>C</t>
    </r>
    <r>
      <rPr>
        <i/>
        <vertAlign val="subscript"/>
        <sz val="11"/>
        <color theme="1"/>
        <rFont val="Calibri"/>
        <family val="2"/>
        <scheme val="minor"/>
      </rPr>
      <t>res-e</t>
    </r>
    <r>
      <rPr>
        <sz val="11"/>
        <color theme="1"/>
        <rFont val="Calibri"/>
        <family val="2"/>
        <scheme val="minor"/>
      </rPr>
      <t xml:space="preserve"> =</t>
    </r>
  </si>
  <si>
    <t>5) Homogeneidad del campo</t>
  </si>
  <si>
    <t>5.a) Cálculo valor a</t>
  </si>
  <si>
    <t>4.b) Cálculo coeficiente de sensibilidad</t>
  </si>
  <si>
    <t>5.b) Cálculo coeficiente de sensibilidad</t>
  </si>
  <si>
    <t>3.b) Cálculo coeficiente de sensibilidad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</si>
  <si>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hom</t>
    </r>
    <r>
      <rPr>
        <sz val="11"/>
        <color theme="1"/>
        <rFont val="Calibri"/>
        <family val="2"/>
        <scheme val="minor"/>
      </rPr>
      <t xml:space="preserve"> =</t>
    </r>
  </si>
  <si>
    <t>6) Repetibilidad de las mediciones</t>
  </si>
  <si>
    <r>
      <t xml:space="preserve">Desviación estándar / Raiz cuadrada de </t>
    </r>
    <r>
      <rPr>
        <sz val="11"/>
        <color theme="1"/>
        <rFont val="Calibri"/>
        <family val="2"/>
      </rPr>
      <t>n</t>
    </r>
  </si>
  <si>
    <t>n = número de datos</t>
  </si>
  <si>
    <t>siendo n=</t>
  </si>
  <si>
    <t>6.a) Cálculo valor a</t>
  </si>
  <si>
    <t>6.b) Cálculo coeficiente de sensibilidad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</si>
  <si>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sz val="11"/>
        <color theme="1"/>
        <rFont val="Calibri"/>
        <family val="2"/>
        <scheme val="minor"/>
      </rPr>
      <t xml:space="preserve"> =</t>
    </r>
  </si>
  <si>
    <t>7) Posicionamiento longitudinal de la distancia fuente - C.I.</t>
  </si>
  <si>
    <t>7.a) Cálculo valor a</t>
  </si>
  <si>
    <t>7.b) Cálculo coeficiente de sensibilidad</t>
  </si>
  <si>
    <r>
      <t>C</t>
    </r>
    <r>
      <rPr>
        <i/>
        <vertAlign val="subscript"/>
        <sz val="11"/>
        <color theme="1"/>
        <rFont val="Calibri"/>
        <family val="2"/>
        <scheme val="minor"/>
      </rPr>
      <t>pos-l</t>
    </r>
    <r>
      <rPr>
        <sz val="11"/>
        <color theme="1"/>
        <rFont val="Calibri"/>
        <family val="2"/>
        <scheme val="minor"/>
      </rPr>
      <t xml:space="preserve"> =</t>
    </r>
  </si>
  <si>
    <t>8) Posición de la fuente en el irradiador</t>
  </si>
  <si>
    <t>8.a) Cálculo valor a</t>
  </si>
  <si>
    <t>8.b) Cálculo coeficiente de sensibilidad</t>
  </si>
  <si>
    <t>9.a) Cálculo valor a</t>
  </si>
  <si>
    <t>9.b) Cálculo coeficiente de sensibilidad</t>
  </si>
  <si>
    <r>
      <t>C</t>
    </r>
    <r>
      <rPr>
        <i/>
        <vertAlign val="subscript"/>
        <sz val="11"/>
        <color theme="1"/>
        <rFont val="Calibri"/>
        <family val="2"/>
        <scheme val="minor"/>
      </rPr>
      <t>cm</t>
    </r>
    <r>
      <rPr>
        <sz val="11"/>
        <color theme="1"/>
        <rFont val="Calibri"/>
        <family val="2"/>
        <scheme val="minor"/>
      </rPr>
      <t xml:space="preserve"> =</t>
    </r>
  </si>
  <si>
    <t>10) Resolución de la cinta métrica</t>
  </si>
  <si>
    <t>10.a) Cálculo valor a</t>
  </si>
  <si>
    <t>10.b) Cálculo coeficiente de sensibilidad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</si>
  <si>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res-cm</t>
    </r>
    <r>
      <rPr>
        <sz val="11"/>
        <color theme="1"/>
        <rFont val="Calibri"/>
        <family val="2"/>
        <scheme val="minor"/>
      </rPr>
      <t xml:space="preserve"> =</t>
    </r>
  </si>
  <si>
    <t>Resolución de la cinta métrica</t>
  </si>
  <si>
    <t>11.a) Cálculo valor a</t>
  </si>
  <si>
    <t>11.b) Cálculo coeficiente de sensibilidad</t>
  </si>
  <si>
    <t>12) Resolución del termohigrómetro (en temperatura)</t>
  </si>
  <si>
    <t>12.a) Cálculo valor a</t>
  </si>
  <si>
    <t>12.b) Cálculo coeficiente de sensibilidad</t>
  </si>
  <si>
    <r>
      <t>C</t>
    </r>
    <r>
      <rPr>
        <i/>
        <vertAlign val="subscript"/>
        <sz val="11"/>
        <color theme="1"/>
        <rFont val="Calibri"/>
        <family val="2"/>
        <scheme val="minor"/>
      </rPr>
      <t>res-T</t>
    </r>
    <r>
      <rPr>
        <sz val="11"/>
        <color theme="1"/>
        <rFont val="Calibri"/>
        <family val="2"/>
        <scheme val="minor"/>
      </rPr>
      <t xml:space="preserve"> =</t>
    </r>
  </si>
  <si>
    <t>13.a) Cálculo valor a</t>
  </si>
  <si>
    <t>13.b) Cálculo coeficiente de sensibilidad</t>
  </si>
  <si>
    <t>14) Resolución del barómetro</t>
  </si>
  <si>
    <t>14.a) Cálculo valor a</t>
  </si>
  <si>
    <t>14.b) Cálculo coeficiente de sensibilidad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</si>
  <si>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res-B</t>
    </r>
    <r>
      <rPr>
        <sz val="11"/>
        <color theme="1"/>
        <rFont val="Calibri"/>
        <family val="2"/>
        <scheme val="minor"/>
      </rPr>
      <t xml:space="preserve"> =</t>
    </r>
  </si>
  <si>
    <t>Fuente de incertidumbre</t>
  </si>
  <si>
    <t>Símbolo</t>
  </si>
  <si>
    <t>a</t>
  </si>
  <si>
    <r>
      <t>C</t>
    </r>
    <r>
      <rPr>
        <i/>
        <vertAlign val="subscript"/>
        <sz val="11"/>
        <color theme="1"/>
        <rFont val="Calibri"/>
        <family val="2"/>
        <scheme val="minor"/>
      </rPr>
      <t>f-ir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</si>
  <si>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i/>
        <vertAlign val="subscript"/>
        <sz val="11"/>
        <color theme="1"/>
        <rFont val="Calibri"/>
        <family val="2"/>
        <scheme val="minor"/>
      </rPr>
      <t>cal-T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</si>
  <si>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i/>
        <vertAlign val="subscript"/>
        <sz val="11"/>
        <color theme="1"/>
        <rFont val="Calibri"/>
        <family val="2"/>
        <scheme val="minor"/>
      </rPr>
      <t>cal-B</t>
    </r>
    <r>
      <rPr>
        <sz val="11"/>
        <color theme="1"/>
        <rFont val="Calibri"/>
        <family val="2"/>
        <scheme val="minor"/>
      </rPr>
      <t xml:space="preserve"> =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</si>
  <si>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fe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</si>
  <si>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res-e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</si>
  <si>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hom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</si>
  <si>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rep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</si>
  <si>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pos-l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</si>
  <si>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f-ir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</si>
  <si>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cm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</si>
  <si>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res-cm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</si>
  <si>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cal-T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</si>
  <si>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res-T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</si>
  <si>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cal-B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</si>
  <si>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res-B</t>
    </r>
  </si>
  <si>
    <t>N° ítem</t>
  </si>
  <si>
    <t>incert. Comb. =</t>
  </si>
  <si>
    <t>distribución de prob. =</t>
  </si>
  <si>
    <t>Descripción cámara de ionización de Aleph SAC (Patrón de referencia):</t>
  </si>
  <si>
    <t>valor distribución de prob.</t>
  </si>
  <si>
    <t>Volumen:</t>
  </si>
  <si>
    <t>1 L</t>
  </si>
  <si>
    <t>232</t>
  </si>
  <si>
    <t>600 cc</t>
  </si>
  <si>
    <t>Nuclear Enterprises LTD</t>
  </si>
  <si>
    <t>Type 2575</t>
  </si>
  <si>
    <t>1) Factor de calibración de la cámara de ionización (C.I.) patrón</t>
  </si>
  <si>
    <t>Factor de calibración de la cámara de ionización (C.I.) patrón</t>
  </si>
  <si>
    <t>INCERTIDUMBRE EN EL LSCD</t>
  </si>
  <si>
    <t>: F-LSCD-009</t>
  </si>
  <si>
    <t>Incert. relativa</t>
  </si>
  <si>
    <t>Incert. relativa porcentual (%)</t>
  </si>
  <si>
    <t>Contribución incert. estándar (%)</t>
  </si>
  <si>
    <t>Tipo de incert.</t>
  </si>
  <si>
    <t>factor de cobertura k =</t>
  </si>
  <si>
    <t>Resolución del tiempo de recolección de datos por el electrómetro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</si>
  <si>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res-te</t>
    </r>
  </si>
  <si>
    <t>15) Resolución del tiempo de recolección de datos por el electrómetro</t>
  </si>
  <si>
    <t>15.a) Cálculo valor a</t>
  </si>
  <si>
    <t>15.b) Cálculo coeficiente de sensibilidad</t>
  </si>
  <si>
    <t>Resolución carga (lec. mín.) (C)</t>
  </si>
  <si>
    <t>Resolución tiempo (lec. mín.) (s)</t>
  </si>
  <si>
    <r>
      <t>C</t>
    </r>
    <r>
      <rPr>
        <i/>
        <vertAlign val="subscript"/>
        <sz val="11"/>
        <color theme="1"/>
        <rFont val="Calibri"/>
        <family val="2"/>
        <scheme val="minor"/>
      </rPr>
      <t>res-te</t>
    </r>
    <r>
      <rPr>
        <sz val="11"/>
        <color theme="1"/>
        <rFont val="Calibri"/>
        <family val="2"/>
        <scheme val="minor"/>
      </rPr>
      <t xml:space="preserve"> =</t>
    </r>
  </si>
  <si>
    <t>(Lectura mínima/3600)/2</t>
  </si>
  <si>
    <t>h</t>
  </si>
  <si>
    <t>Gy/(h*h)</t>
  </si>
  <si>
    <r>
      <t xml:space="preserve">Incert. expan. (95 %)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Dos</t>
    </r>
    <r>
      <rPr>
        <sz val="11"/>
        <color theme="1"/>
        <rFont val="Calibri"/>
        <family val="2"/>
        <scheme val="minor"/>
      </rPr>
      <t>=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</si>
  <si>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Dos</t>
    </r>
  </si>
  <si>
    <t>1) Dosimetría C.I. patrón de Aleph SAC</t>
  </si>
  <si>
    <t>Dosimetría C.I. patrón de Aleph SAC</t>
  </si>
  <si>
    <t>2) Factor de calibración del electrómetro</t>
  </si>
  <si>
    <t>2.b) Cálculo coeficiente de sensibilidad</t>
  </si>
  <si>
    <t>3) Resolución del electrómetro</t>
  </si>
  <si>
    <t>4) Homogeneidad del campo</t>
  </si>
  <si>
    <t>5) Repetibilidad de las mediciones</t>
  </si>
  <si>
    <t>6) Posicionamiento longitudinal de la distancia fuente - C.I.</t>
  </si>
  <si>
    <t>7) Posición de la fuente en el irradiador</t>
  </si>
  <si>
    <t>8) Incertidumbre de calibración de la cinta métrica</t>
  </si>
  <si>
    <t>9) Resolución de la cinta métrica</t>
  </si>
  <si>
    <t>10) Incertidumbre de calibración del termohigrómetro (en temperatura)</t>
  </si>
  <si>
    <t>11) Resolución del termohigrómetro (en temperatura)</t>
  </si>
  <si>
    <t>12) Incertidumbre de calibración del barómetro</t>
  </si>
  <si>
    <t>13) Resolución del barómetro</t>
  </si>
  <si>
    <t>14) Resolución del tiempo de recolección de datos por el electrómetro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</si>
  <si>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Dos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</si>
  <si>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"/>
        <family val="2"/>
        <scheme val="minor"/>
      </rPr>
      <t xml:space="preserve">k     </t>
    </r>
    <r>
      <rPr>
        <sz val="11"/>
        <color theme="1"/>
        <rFont val="Calibri"/>
        <family val="2"/>
        <scheme val="minor"/>
      </rPr>
      <t xml:space="preserve"> (mGy/C)</t>
    </r>
  </si>
  <si>
    <t>TOMA DE DATOS DEL IRRADIADOR INCARAD CON LA CÁMARA DE IONIZACIÓN PATRÓN DE ALEPH SAC</t>
  </si>
  <si>
    <r>
      <t>TOMA DE DATOS CON LA CÁMARA DE IONIZACIÓN DE TRANSFERENCIA DEL IRD PARA CALCULAR N</t>
    </r>
    <r>
      <rPr>
        <b/>
        <vertAlign val="subscript"/>
        <sz val="14"/>
        <color theme="1"/>
        <rFont val="Calibri"/>
        <family val="2"/>
        <scheme val="minor"/>
      </rPr>
      <t>k</t>
    </r>
  </si>
  <si>
    <t>TOMA DE DATOS DEL IRRADIADOR INCARAD CON LA CÁMARA DE IONIZACIÓN PATRÓN DEL ALEPH SAC</t>
  </si>
  <si>
    <r>
      <t xml:space="preserve">Estimación de la incertidumbre de la cámara de ionización de transferencia en el cálculo del </t>
    </r>
    <r>
      <rPr>
        <b/>
        <i/>
        <sz val="14"/>
        <color theme="1"/>
        <rFont val="Calibri"/>
        <family val="2"/>
        <scheme val="minor"/>
      </rPr>
      <t>N</t>
    </r>
    <r>
      <rPr>
        <b/>
        <i/>
        <vertAlign val="subscript"/>
        <sz val="14"/>
        <color theme="1"/>
        <rFont val="Calibri"/>
        <family val="2"/>
        <scheme val="minor"/>
      </rPr>
      <t>k</t>
    </r>
    <r>
      <rPr>
        <b/>
        <sz val="14"/>
        <color theme="1"/>
        <rFont val="Calibri"/>
        <family val="2"/>
        <scheme val="minor"/>
      </rPr>
      <t xml:space="preserve"> - </t>
    </r>
    <r>
      <rPr>
        <b/>
        <i/>
        <sz val="14"/>
        <color theme="1"/>
        <rFont val="Calibri"/>
        <family val="2"/>
        <scheme val="minor"/>
      </rPr>
      <t>U</t>
    </r>
    <r>
      <rPr>
        <b/>
        <i/>
        <vertAlign val="subscript"/>
        <sz val="14"/>
        <color theme="1"/>
        <rFont val="Calibri"/>
        <family val="2"/>
        <scheme val="minor"/>
      </rPr>
      <t>Nk</t>
    </r>
  </si>
  <si>
    <t>Descripción cámara de ionización de transferencia del IRD - Brasil:</t>
  </si>
  <si>
    <r>
      <t>(Factor de calibración N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de la C.I. de transferencia) * (Incertidumbre de la dosimetría de Aleph en %)</t>
    </r>
  </si>
  <si>
    <t>Gy/(C*h)</t>
  </si>
  <si>
    <t>Datos según certificado de calibración N° 2016-146. Se consideró el rango que se obtuvo en las mediciones.</t>
  </si>
  <si>
    <r>
      <t xml:space="preserve">Incert. expan. (95 %)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Nk</t>
    </r>
    <r>
      <rPr>
        <sz val="11"/>
        <color theme="1"/>
        <rFont val="Calibri"/>
        <family val="2"/>
        <scheme val="minor"/>
      </rPr>
      <t>=</t>
    </r>
  </si>
  <si>
    <t>Incertidumbre de la dosimetría de Aleph en %</t>
  </si>
  <si>
    <t>(Mayor % error respecto a la medición en la posición centrada de la C.I. en d metros/2)</t>
  </si>
  <si>
    <t>2) Homogeneidad del campo</t>
  </si>
  <si>
    <t>n = número de datos tomados en el punto de calibración</t>
  </si>
  <si>
    <t>3) Repetibilidad de las mediciones</t>
  </si>
  <si>
    <t>4) Posicionamiento longitudinal de la distancia fuente - C.I.</t>
  </si>
  <si>
    <t>5) Posición de la fuente en el irradiador</t>
  </si>
  <si>
    <t>(Mayor % error respecto a la medición en la posición centrada de la fuente en el irradiador con la C.I. a d metros /2)</t>
  </si>
  <si>
    <t>Según certificado de calibración, se tiene</t>
  </si>
  <si>
    <t>Incert. (mm)</t>
  </si>
  <si>
    <t>indic. (mm)</t>
  </si>
  <si>
    <r>
      <t xml:space="preserve">Estimación de la incertidumbre en la dosimetría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Dos</t>
    </r>
  </si>
  <si>
    <r>
      <t>u</t>
    </r>
    <r>
      <rPr>
        <vertAlign val="subscript"/>
        <sz val="11"/>
        <color theme="1"/>
        <rFont val="Calibri"/>
        <family val="2"/>
        <scheme val="minor"/>
      </rPr>
      <t>Nk</t>
    </r>
  </si>
  <si>
    <r>
      <t>u</t>
    </r>
    <r>
      <rPr>
        <vertAlign val="subscript"/>
        <sz val="11"/>
        <color theme="1"/>
        <rFont val="Calibri"/>
        <family val="2"/>
        <scheme val="minor"/>
      </rPr>
      <t>est C.I.</t>
    </r>
  </si>
  <si>
    <r>
      <t>u</t>
    </r>
    <r>
      <rPr>
        <vertAlign val="subscript"/>
        <sz val="11"/>
        <color theme="1"/>
        <rFont val="Calibri"/>
        <family val="2"/>
        <scheme val="minor"/>
      </rPr>
      <t>fe</t>
    </r>
  </si>
  <si>
    <r>
      <t>u</t>
    </r>
    <r>
      <rPr>
        <vertAlign val="subscript"/>
        <sz val="11"/>
        <color theme="1"/>
        <rFont val="Calibri"/>
        <family val="2"/>
        <scheme val="minor"/>
      </rPr>
      <t>res-e</t>
    </r>
  </si>
  <si>
    <r>
      <t>u</t>
    </r>
    <r>
      <rPr>
        <vertAlign val="subscript"/>
        <sz val="11"/>
        <color theme="1"/>
        <rFont val="Calibri"/>
        <family val="2"/>
        <scheme val="minor"/>
      </rPr>
      <t>hom</t>
    </r>
  </si>
  <si>
    <r>
      <t>u</t>
    </r>
    <r>
      <rPr>
        <vertAlign val="subscript"/>
        <sz val="11"/>
        <color theme="1"/>
        <rFont val="Calibri"/>
        <family val="2"/>
        <scheme val="minor"/>
      </rPr>
      <t>rep</t>
    </r>
  </si>
  <si>
    <r>
      <t>u</t>
    </r>
    <r>
      <rPr>
        <vertAlign val="subscript"/>
        <sz val="11"/>
        <color theme="1"/>
        <rFont val="Calibri"/>
        <family val="2"/>
        <scheme val="minor"/>
      </rPr>
      <t>pos-l</t>
    </r>
  </si>
  <si>
    <r>
      <t>u</t>
    </r>
    <r>
      <rPr>
        <vertAlign val="subscript"/>
        <sz val="11"/>
        <color theme="1"/>
        <rFont val="Calibri"/>
        <family val="2"/>
        <scheme val="minor"/>
      </rPr>
      <t>f-ir</t>
    </r>
  </si>
  <si>
    <r>
      <t>u</t>
    </r>
    <r>
      <rPr>
        <vertAlign val="subscript"/>
        <sz val="11"/>
        <color theme="1"/>
        <rFont val="Calibri"/>
        <family val="2"/>
        <scheme val="minor"/>
      </rPr>
      <t>cm</t>
    </r>
  </si>
  <si>
    <r>
      <t>u</t>
    </r>
    <r>
      <rPr>
        <vertAlign val="subscript"/>
        <sz val="11"/>
        <color theme="1"/>
        <rFont val="Calibri"/>
        <family val="2"/>
        <scheme val="minor"/>
      </rPr>
      <t>res-cm</t>
    </r>
  </si>
  <si>
    <r>
      <t>u</t>
    </r>
    <r>
      <rPr>
        <vertAlign val="subscript"/>
        <sz val="11"/>
        <color theme="1"/>
        <rFont val="Calibri"/>
        <family val="2"/>
        <scheme val="minor"/>
      </rPr>
      <t>cal-T</t>
    </r>
  </si>
  <si>
    <r>
      <t>u</t>
    </r>
    <r>
      <rPr>
        <vertAlign val="subscript"/>
        <sz val="11"/>
        <color theme="1"/>
        <rFont val="Calibri"/>
        <family val="2"/>
        <scheme val="minor"/>
      </rPr>
      <t>res-T</t>
    </r>
  </si>
  <si>
    <r>
      <t>u</t>
    </r>
    <r>
      <rPr>
        <vertAlign val="subscript"/>
        <sz val="11"/>
        <color theme="1"/>
        <rFont val="Calibri"/>
        <family val="2"/>
        <scheme val="minor"/>
      </rPr>
      <t>cal-B</t>
    </r>
  </si>
  <si>
    <r>
      <t>u</t>
    </r>
    <r>
      <rPr>
        <vertAlign val="subscript"/>
        <sz val="11"/>
        <color theme="1"/>
        <rFont val="Calibri"/>
        <family val="2"/>
        <scheme val="minor"/>
      </rPr>
      <t>res-B</t>
    </r>
  </si>
  <si>
    <r>
      <t>u</t>
    </r>
    <r>
      <rPr>
        <vertAlign val="subscript"/>
        <sz val="11"/>
        <color theme="1"/>
        <rFont val="Calibri"/>
        <family val="2"/>
        <scheme val="minor"/>
      </rPr>
      <t>res-te</t>
    </r>
  </si>
  <si>
    <r>
      <t>f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 =</t>
    </r>
  </si>
  <si>
    <r>
      <t>k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</si>
  <si>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res-e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</si>
  <si>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pos-l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</si>
  <si>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f-ir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</si>
  <si>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cm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</si>
  <si>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cal-T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</si>
  <si>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res-T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</si>
  <si>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cal-B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</si>
  <si>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res-te</t>
    </r>
    <r>
      <rPr>
        <sz val="11"/>
        <color theme="1"/>
        <rFont val="Calibri"/>
        <family val="2"/>
        <scheme val="minor"/>
      </rPr>
      <t xml:space="preserve"> =</t>
    </r>
  </si>
  <si>
    <t>Tiempo de tránsito del obturador</t>
  </si>
  <si>
    <t>Según ítem 5,8 de la ISO 4037-2</t>
  </si>
  <si>
    <t>Gy/s</t>
  </si>
  <si>
    <t>Resolución del cronómetro</t>
  </si>
  <si>
    <t>3) Tiempo de tránsito del obturador</t>
  </si>
  <si>
    <t>Kerma aire (Gy)</t>
  </si>
  <si>
    <t>Gy</t>
  </si>
  <si>
    <t>La resolución (lectura mínima) del cronómetro es: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</si>
  <si>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res-cr</t>
    </r>
    <r>
      <rPr>
        <sz val="11"/>
        <color theme="1"/>
        <rFont val="Calibri"/>
        <family val="2"/>
        <scheme val="minor"/>
      </rPr>
      <t xml:space="preserve"> =</t>
    </r>
  </si>
  <si>
    <t>Kerma aire (2 m) =</t>
  </si>
  <si>
    <r>
      <t xml:space="preserve">Incert. expan. (95 %)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ir-Dos</t>
    </r>
    <r>
      <rPr>
        <sz val="11"/>
        <color theme="1"/>
        <rFont val="Calibri"/>
        <family val="2"/>
        <scheme val="minor"/>
      </rPr>
      <t>=</t>
    </r>
  </si>
  <si>
    <t>(Kerma en aire a 2 m)*(Incertidumbre de Dosimetría C.I. patrón de Aleph SAC en %)</t>
  </si>
  <si>
    <t>7,5 cm a la derecha</t>
  </si>
  <si>
    <t>7,5 cm a la izquierda</t>
  </si>
  <si>
    <t>7,5 cm hacia arriba</t>
  </si>
  <si>
    <t>7,5 cm hacia abajo</t>
  </si>
  <si>
    <t>200.0 (desplazado 7,5 cm a la derecha)</t>
  </si>
  <si>
    <t>200.0 (desplazado 7,5 cm a la izquierda)</t>
  </si>
  <si>
    <t>200.0 (desplazado 7,5 cm hacia arriba)</t>
  </si>
  <si>
    <t>200.0 (desplazado 7,5 cm desplazado hacia abajo)</t>
  </si>
  <si>
    <t>TOMA DE DATOS DEL IRRADIADOR INCARAD CON LA CÁMARA DE IONIZACIÓN PARA EL TIEMPO DE TRÁNSITO DEL OBTURADOR</t>
  </si>
  <si>
    <t>200 (abriendo y cerrando el obturador en cada medición)</t>
  </si>
  <si>
    <t>(Mayor % error respecto a la medición en la posición centrada de la C.I. en d metros/2)* Kerma de aire en d metros</t>
  </si>
  <si>
    <t>Coeficiente de conversión</t>
  </si>
  <si>
    <t>Según la ISO 4037-3, la incerteza debida a los coeficientes de conversión es de 2%</t>
  </si>
  <si>
    <t>2% * Kerma de aire en d metros</t>
  </si>
  <si>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coef</t>
    </r>
    <r>
      <rPr>
        <sz val="11"/>
        <color theme="1"/>
        <rFont val="Calibri"/>
        <family val="2"/>
        <scheme val="minor"/>
      </rPr>
      <t xml:space="preserve"> =</t>
    </r>
  </si>
  <si>
    <t>TOMA DE DATOS DEL IRRADIADOR INCARAD CON LA CÁMARA DE IONIZACIÓN PARA LA HOMOGENEIDAD EN LA IRRADIACIÓN DE DOSÍMETROS</t>
  </si>
  <si>
    <t xml:space="preserve">Considerando que al posicionar longitudinalmente el monitor de radiación se puede errar en: </t>
  </si>
  <si>
    <t>Lectura mín</t>
  </si>
  <si>
    <t>Resolución del monitor de radiación</t>
  </si>
  <si>
    <t>Tasa de dosis VCV (µSv/h)</t>
  </si>
  <si>
    <t>Lectura mínima del monitor</t>
  </si>
  <si>
    <t>d = distancia</t>
  </si>
  <si>
    <t>Sabiendo que:</t>
  </si>
  <si>
    <r>
      <t xml:space="preserve">A = coeficiente de ajuste de la (tomado del ajuste de la ecuación sin atenuaadores) = (0,03852 </t>
    </r>
    <r>
      <rPr>
        <sz val="11"/>
        <color theme="1"/>
        <rFont val="Calibri"/>
        <family val="2"/>
      </rPr>
      <t>± 0,0001148) µSv/h</t>
    </r>
  </si>
  <si>
    <t>D = Tasa de dosis (del ajuste de la curva)</t>
  </si>
  <si>
    <t>incertidumbre de la ecuación</t>
  </si>
  <si>
    <t>6) Incertidumbre de calibración de la cinta métrica</t>
  </si>
  <si>
    <t>7) Resolución de la cinta métrica</t>
  </si>
  <si>
    <t>8) Resolución del monitor de radiación</t>
  </si>
  <si>
    <t>9) Coeficiente de conversión</t>
  </si>
  <si>
    <t>10) Ajuste de la curva del inverso cuadrado de la distancia</t>
  </si>
  <si>
    <r>
      <t>u</t>
    </r>
    <r>
      <rPr>
        <vertAlign val="subscript"/>
        <sz val="11"/>
        <color theme="1"/>
        <rFont val="Calibri"/>
        <family val="2"/>
        <scheme val="minor"/>
      </rPr>
      <t>Dos</t>
    </r>
  </si>
  <si>
    <r>
      <t>u</t>
    </r>
    <r>
      <rPr>
        <vertAlign val="subscript"/>
        <sz val="11"/>
        <color theme="1"/>
        <rFont val="Calibri"/>
        <family val="2"/>
        <scheme val="minor"/>
      </rPr>
      <t>res-mon</t>
    </r>
  </si>
  <si>
    <r>
      <t>u</t>
    </r>
    <r>
      <rPr>
        <vertAlign val="subscript"/>
        <sz val="11"/>
        <color theme="1"/>
        <rFont val="Calibri"/>
        <family val="2"/>
        <scheme val="minor"/>
      </rPr>
      <t>coef</t>
    </r>
  </si>
  <si>
    <t>D.S. lecturas monitor</t>
  </si>
  <si>
    <t># lecturas tomados del monitor</t>
  </si>
  <si>
    <t>distancia fuente - monitor (m)</t>
  </si>
  <si>
    <t>FUENTES DE INCERTIDUMBRES</t>
  </si>
  <si>
    <t>unidad incert. estándar</t>
  </si>
  <si>
    <t>valor incert. estándar</t>
  </si>
  <si>
    <t>δd= incertidumbre de la distancia obtenida del certificado de calibración de la cinta métrica =</t>
  </si>
  <si>
    <t>δA = incertidumbre del coeficiente obtenido en el ajuste de la curva (2m) =</t>
  </si>
  <si>
    <t>PRIMER PUNTO DE CALIBRACIÓN</t>
  </si>
  <si>
    <t>SEGUNDO PUNTO DE CALIBRACIÓN</t>
  </si>
  <si>
    <t>TERCER PUNTO DE CALIBRACIÓN</t>
  </si>
  <si>
    <t>CUARTO PUNTO DE CALIBRACIÓN</t>
  </si>
  <si>
    <t>QUINTO PUNTO DE CALIBRACIÓN</t>
  </si>
  <si>
    <t>SEXTO PUNTO DE CALIBRACIÓN</t>
  </si>
  <si>
    <t>SÉPTIMO PUNTO DE CALIBRACIÓN</t>
  </si>
  <si>
    <t>OCTAVO PUNTO DE CALIBRACIÓN</t>
  </si>
  <si>
    <t>Tasa VCV</t>
  </si>
  <si>
    <t>El certificado sin sello ni firma, carece de valor.</t>
  </si>
  <si>
    <t>Monitor de contaminación de superficie</t>
  </si>
  <si>
    <t>NOVENO PUNTO DE CALIBRACIÓN</t>
  </si>
  <si>
    <t>2.b) Cálculo incertidumbre estándar</t>
  </si>
  <si>
    <t>1.b) Cálculo incertidumbre estándar</t>
  </si>
  <si>
    <t>3.b) Cálculo incertidumbre estándar</t>
  </si>
  <si>
    <t>N° ïtem</t>
  </si>
  <si>
    <t>4.b) Cálculo incertidumbre estándar</t>
  </si>
  <si>
    <t>5.b) Cálculo incertidumbre estándar</t>
  </si>
  <si>
    <t>6.b) Cálculo incertidumbre estándar</t>
  </si>
  <si>
    <t>7.b) Cálculo incertidumbre estándar</t>
  </si>
  <si>
    <t>8.b) Cálculo incertidumbre estándar</t>
  </si>
  <si>
    <t>9.b) Cálculo incertidumbre estándar</t>
  </si>
  <si>
    <r>
      <t xml:space="preserve">Estimación de la incertidumbre en la calibración de monitores de radiación - </t>
    </r>
    <r>
      <rPr>
        <b/>
        <i/>
        <sz val="14"/>
        <color theme="1"/>
        <rFont val="Calibri"/>
        <family val="2"/>
        <scheme val="minor"/>
      </rPr>
      <t>U</t>
    </r>
    <r>
      <rPr>
        <b/>
        <i/>
        <vertAlign val="subscript"/>
        <sz val="14"/>
        <color theme="1"/>
        <rFont val="Calibri"/>
        <family val="2"/>
        <scheme val="minor"/>
      </rPr>
      <t>mon</t>
    </r>
  </si>
  <si>
    <t>contribución % incert. estándar</t>
  </si>
  <si>
    <t>Lecturas lejos de la fuente plana</t>
  </si>
  <si>
    <t>Región 1</t>
  </si>
  <si>
    <t>Lecturas en la región 1 (ver representación gráfica)</t>
  </si>
  <si>
    <t>Lecturas en la región 2 (ver representación gráfica)</t>
  </si>
  <si>
    <t>Lecturas en la región 3 (ver representación gráfica)</t>
  </si>
  <si>
    <t>Lecturas en la región 4 (ver representación gráfica)</t>
  </si>
  <si>
    <t>Lecturas en la región 5 (ver representación gráfica)</t>
  </si>
  <si>
    <t>Lecturas en la región 6 (ver representación gráfica)</t>
  </si>
  <si>
    <t>Lecturas en la región 7 (ver representación gráfica)</t>
  </si>
  <si>
    <t>Lecturas en la región 8 (ver representación gráfica)</t>
  </si>
  <si>
    <t>Lecturas en la región 9 (ver representación gráfica)</t>
  </si>
  <si>
    <t>REPRESENTACIÓN GRÁFICA DEL ESTUDIO DE HOMOGENEIDAD DE LA FUENTE PLANA Sr-90</t>
  </si>
  <si>
    <t>Ctas. Netas</t>
  </si>
  <si>
    <t>Región 2</t>
  </si>
  <si>
    <t>Región 5</t>
  </si>
  <si>
    <t>Región 7</t>
  </si>
  <si>
    <t>Región 3</t>
  </si>
  <si>
    <t>Región 8</t>
  </si>
  <si>
    <t>Región 4</t>
  </si>
  <si>
    <t>Región 6</t>
  </si>
  <si>
    <t>Región 9</t>
  </si>
  <si>
    <t>TOMA DE DATOS PARA LA HOMOGENEIDAD DE LA FUENTE PLANA</t>
  </si>
  <si>
    <r>
      <t xml:space="preserve">Fuentre plana 2: 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Cl (β); Marca: Eckert &amp; Ziegler; Modelo: CIR07032; Serie: AJ-4189.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</si>
  <si>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f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</si>
  <si>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h</t>
    </r>
  </si>
  <si>
    <t>Cálculo de las incertidumbres relativas</t>
  </si>
  <si>
    <t>Incertidumbre relativa de la tasa de emisión de superficie de la fuente</t>
  </si>
  <si>
    <r>
      <t>a (</t>
    </r>
    <r>
      <rPr>
        <vertAlign val="superscript"/>
        <sz val="11"/>
        <color theme="1"/>
        <rFont val="Calibri"/>
        <family val="2"/>
        <scheme val="minor"/>
      </rPr>
      <t>241</t>
    </r>
    <r>
      <rPr>
        <sz val="11"/>
        <color theme="1"/>
        <rFont val="Calibri"/>
        <family val="2"/>
        <scheme val="minor"/>
      </rPr>
      <t>Am) =</t>
    </r>
  </si>
  <si>
    <r>
      <t>a(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Cl) =</t>
    </r>
  </si>
  <si>
    <r>
      <t>a(</t>
    </r>
    <r>
      <rPr>
        <vertAlign val="super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>Sr) =</t>
    </r>
  </si>
  <si>
    <r>
      <t xml:space="preserve">Fuente plana 3: </t>
    </r>
    <r>
      <rPr>
        <vertAlign val="super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>Sr (β); Marca: Eckert &amp; Ziegler; Modelo: SIR07032; Serie: AJ-4190.</t>
    </r>
  </si>
  <si>
    <r>
      <t xml:space="preserve">Fuente plana 1: </t>
    </r>
    <r>
      <rPr>
        <vertAlign val="superscript"/>
        <sz val="11"/>
        <color theme="1"/>
        <rFont val="Calibri"/>
        <family val="2"/>
        <scheme val="minor"/>
      </rPr>
      <t>241</t>
    </r>
    <r>
      <rPr>
        <sz val="11"/>
        <color theme="1"/>
        <rFont val="Calibri"/>
        <family val="2"/>
        <scheme val="minor"/>
      </rPr>
      <t>Am; Marca: Eckert &amp; Ziegler; Modelo: AMR07032; Serie: AJ-4188.</t>
    </r>
  </si>
  <si>
    <t>1.b) Cálculo incertidumbre relativa</t>
  </si>
  <si>
    <t>valor incert. relativa</t>
  </si>
  <si>
    <t>2.c) Cálculo incertidumbre relativa</t>
  </si>
  <si>
    <t>valor central</t>
  </si>
  <si>
    <t>cpm</t>
  </si>
  <si>
    <r>
      <t>cuentas netas del valor central (</t>
    </r>
    <r>
      <rPr>
        <vertAlign val="superscript"/>
        <sz val="11"/>
        <color theme="1"/>
        <rFont val="Calibri"/>
        <family val="2"/>
        <scheme val="minor"/>
      </rPr>
      <t>241</t>
    </r>
    <r>
      <rPr>
        <sz val="11"/>
        <color theme="1"/>
        <rFont val="Calibri"/>
        <family val="2"/>
        <scheme val="minor"/>
      </rPr>
      <t>Am) =</t>
    </r>
  </si>
  <si>
    <r>
      <t>cuentas netas del valor central 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Cl) =</t>
    </r>
  </si>
  <si>
    <r>
      <t>cuentas netas del valor central (</t>
    </r>
    <r>
      <rPr>
        <vertAlign val="super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>Sr) =</t>
    </r>
  </si>
  <si>
    <t>3.a) Cálculo incertidumbre relativa</t>
  </si>
  <si>
    <r>
      <t>u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 =</t>
    </r>
  </si>
  <si>
    <t>La incertidumbre relativa es tomada del ISO 7503-3 / Anexo E y cumple para las tres fuentes planas</t>
  </si>
  <si>
    <t>3) Eficiencia del monitor</t>
  </si>
  <si>
    <t>4) Área de la ventana del monitor (ISO 7503-3 / Anexo E)</t>
  </si>
  <si>
    <t>4.a) Cálculo incertidumbre relativa</t>
  </si>
  <si>
    <t>S.E. International</t>
  </si>
  <si>
    <t>Inspector usb</t>
  </si>
  <si>
    <t>48991</t>
  </si>
  <si>
    <r>
      <rPr>
        <vertAlign val="super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>Sr (β); Marca: Eckert &amp; Ziegler; Modelo: SIR07032; Serie: AJ-4190. / Trazable al NIST</t>
    </r>
  </si>
  <si>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Cl (β); Marca: Eckert &amp; Ziegler; Modelo: CIR07032; Serie: AJ-4189. / Trazable al NIST</t>
    </r>
  </si>
  <si>
    <r>
      <rPr>
        <vertAlign val="superscript"/>
        <sz val="11"/>
        <color theme="1"/>
        <rFont val="Calibri"/>
        <family val="2"/>
        <scheme val="minor"/>
      </rPr>
      <t>241</t>
    </r>
    <r>
      <rPr>
        <sz val="11"/>
        <color theme="1"/>
        <rFont val="Calibri"/>
        <family val="2"/>
        <scheme val="minor"/>
      </rPr>
      <t>Am; Marca: Eckert &amp; Ziegler; Modelo: AMR07032; Serie: AJ-4188. / Trazable al NIST</t>
    </r>
  </si>
  <si>
    <t>Fecha toma de datos:</t>
  </si>
  <si>
    <t>Lima, 21 de agosto del 2017</t>
  </si>
  <si>
    <t>HOMOGENEIDAD DE LA FUENTE PLANA DE Sr-90</t>
  </si>
  <si>
    <t>Condiciones Ambientales</t>
  </si>
  <si>
    <t>HOMOGENEIDAD DE LA FUENTE PLANA DE Am-241</t>
  </si>
  <si>
    <t>HOMOGENEIDAD DE LA FUENTE PLANA DE Cl-36</t>
  </si>
  <si>
    <t>Lima, 28 de agosto del 2017</t>
  </si>
  <si>
    <t>TOMA DE DATOS HORIZONTAL A 3 mm DE DISTANCIA FUENTE - MONITOR</t>
  </si>
  <si>
    <t>TOMA DE DATOS HORIZONTAL A 6 mm DE DISTANCIA FUENTE - MONITOR</t>
  </si>
  <si>
    <t>TOMA DE DATOS CON INCLINACIÓN FUENTE - MONITOR (a 3 mm de distancia por una extremo del monitor y a 6 mm por el otro extremo del monitor) (Datos para la posición horizontal)</t>
  </si>
  <si>
    <t xml:space="preserve">Lecturas </t>
  </si>
  <si>
    <t>5.c) Cálculo incertidumbre relativa</t>
  </si>
  <si>
    <t>6.c) Cálculo incertidumbre relativa</t>
  </si>
  <si>
    <r>
      <t>cuentas netas a 3 mm distancia fuente - detector (</t>
    </r>
    <r>
      <rPr>
        <vertAlign val="superscript"/>
        <sz val="11"/>
        <color theme="1"/>
        <rFont val="Calibri"/>
        <family val="2"/>
        <scheme val="minor"/>
      </rPr>
      <t>241</t>
    </r>
    <r>
      <rPr>
        <sz val="11"/>
        <color theme="1"/>
        <rFont val="Calibri"/>
        <family val="2"/>
        <scheme val="minor"/>
      </rPr>
      <t>Am) =</t>
    </r>
  </si>
  <si>
    <r>
      <t>cuentas netas a 3 mm distancia fuente - detector 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Cl) =</t>
    </r>
  </si>
  <si>
    <r>
      <t>cuentas netas a 3 mm distancia fuente - detector (</t>
    </r>
    <r>
      <rPr>
        <vertAlign val="super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>Sr) =</t>
    </r>
  </si>
  <si>
    <t>TOMA DE DATOS PARA LA DISTANCIA FUENTE PLANA - MONITOR / POSICIÓN HORIZONTAL DEL MONITOR SOBRE LA FUENTE PLANA</t>
  </si>
  <si>
    <t>distancia fuente - monitor (mm)</t>
  </si>
  <si>
    <t>Lect. Mín.</t>
  </si>
  <si>
    <t>Repetibilidad en la lectura del monitor de contaminación superficial</t>
  </si>
  <si>
    <t>3.c) Cálculo incertidumbre relativa</t>
  </si>
  <si>
    <t>4.c) Cálculo incertidumbre relativa</t>
  </si>
  <si>
    <t>5) Repetibilidad en la lectura del monitor de contaminación superficial</t>
  </si>
  <si>
    <t>Promedio cuentas totales (cps)</t>
  </si>
  <si>
    <t>(Lectura máxima registrada del monitor - Lectura mínima registrada del monitor)/2</t>
  </si>
  <si>
    <t>Resolución de la escala del monitor de contaminación superficial</t>
  </si>
  <si>
    <t>6) Resolución de la escala del monitor de contaminación superficial</t>
  </si>
  <si>
    <r>
      <t xml:space="preserve">Incert. expan. (95 %)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mon</t>
    </r>
    <r>
      <rPr>
        <sz val="11"/>
        <color theme="1"/>
        <rFont val="Calibri"/>
        <family val="2"/>
        <scheme val="minor"/>
      </rPr>
      <t>=</t>
    </r>
  </si>
  <si>
    <r>
      <t xml:space="preserve">Incert. expan. (95 %)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sup</t>
    </r>
    <r>
      <rPr>
        <sz val="11"/>
        <color theme="1"/>
        <rFont val="Calibri"/>
        <family val="2"/>
        <scheme val="minor"/>
      </rPr>
      <t>=</t>
    </r>
  </si>
  <si>
    <t>Lectura del monitor</t>
  </si>
  <si>
    <t>Antes del ajuste</t>
  </si>
  <si>
    <t>Después del ajuste</t>
  </si>
  <si>
    <t>Factor de Calibración (FC)</t>
  </si>
  <si>
    <t>mrem/h</t>
  </si>
  <si>
    <r>
      <t>u</t>
    </r>
    <r>
      <rPr>
        <vertAlign val="subscript"/>
        <sz val="11"/>
        <color theme="1"/>
        <rFont val="Calibri"/>
        <family val="2"/>
        <scheme val="minor"/>
      </rPr>
      <t>tr-ob</t>
    </r>
  </si>
  <si>
    <r>
      <t>u</t>
    </r>
    <r>
      <rPr>
        <vertAlign val="subscript"/>
        <sz val="11"/>
        <color theme="1"/>
        <rFont val="Calibri"/>
        <family val="2"/>
        <scheme val="minor"/>
      </rPr>
      <t>cr</t>
    </r>
  </si>
  <si>
    <r>
      <t>u</t>
    </r>
    <r>
      <rPr>
        <vertAlign val="subscript"/>
        <sz val="11"/>
        <color theme="1"/>
        <rFont val="Calibri"/>
        <family val="2"/>
        <scheme val="minor"/>
      </rPr>
      <t>res-cr</t>
    </r>
  </si>
  <si>
    <r>
      <t>t</t>
    </r>
    <r>
      <rPr>
        <vertAlign val="subscript"/>
        <sz val="11"/>
        <color theme="1"/>
        <rFont val="Calibri"/>
        <family val="2"/>
        <scheme val="minor"/>
      </rPr>
      <t>irradiación</t>
    </r>
    <r>
      <rPr>
        <sz val="11"/>
        <color theme="1"/>
        <rFont val="Calibri"/>
        <family val="2"/>
        <scheme val="minor"/>
      </rPr>
      <t xml:space="preserve"> =</t>
    </r>
  </si>
  <si>
    <r>
      <t>t*(K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-K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)/(n*K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-K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)</t>
    </r>
  </si>
  <si>
    <r>
      <t>C</t>
    </r>
    <r>
      <rPr>
        <vertAlign val="subscript"/>
        <sz val="11"/>
        <color theme="1"/>
        <rFont val="Calibri"/>
        <family val="2"/>
        <scheme val="minor"/>
      </rPr>
      <t>tr-ob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</si>
  <si>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 xml:space="preserve"> =</t>
    </r>
  </si>
  <si>
    <r>
      <rPr>
        <b/>
        <sz val="9"/>
        <color theme="1"/>
        <rFont val="Calibri"/>
        <family val="2"/>
        <scheme val="minor"/>
      </rPr>
      <t>Telef.:</t>
    </r>
    <r>
      <rPr>
        <sz val="9"/>
        <color theme="1"/>
        <rFont val="Calibri"/>
        <family val="2"/>
        <scheme val="minor"/>
      </rPr>
      <t xml:space="preserve"> (01) 628-7778 / (01) 628-7752 / 997580543 </t>
    </r>
    <r>
      <rPr>
        <b/>
        <sz val="9"/>
        <color theme="1"/>
        <rFont val="Calibri"/>
        <family val="2"/>
        <scheme val="minor"/>
      </rPr>
      <t xml:space="preserve">Consulta técnica: </t>
    </r>
    <r>
      <rPr>
        <sz val="9"/>
        <color theme="1"/>
        <rFont val="Calibri"/>
        <family val="2"/>
        <scheme val="minor"/>
      </rPr>
      <t xml:space="preserve">997580541  </t>
    </r>
    <r>
      <rPr>
        <b/>
        <sz val="9"/>
        <color theme="1"/>
        <rFont val="Calibri"/>
        <family val="2"/>
        <scheme val="minor"/>
      </rPr>
      <t xml:space="preserve"> E-mail:</t>
    </r>
    <r>
      <rPr>
        <sz val="9"/>
        <color theme="1"/>
        <rFont val="Calibri"/>
        <family val="2"/>
        <scheme val="minor"/>
      </rPr>
      <t xml:space="preserve"> informes@alephsac.com  </t>
    </r>
    <r>
      <rPr>
        <b/>
        <sz val="9"/>
        <color theme="1"/>
        <rFont val="Calibri"/>
        <family val="2"/>
        <scheme val="minor"/>
      </rPr>
      <t>Web:</t>
    </r>
    <r>
      <rPr>
        <sz val="9"/>
        <color theme="1"/>
        <rFont val="Calibri"/>
        <family val="2"/>
        <scheme val="minor"/>
      </rPr>
      <t xml:space="preserve"> www.alephsac.com</t>
    </r>
  </si>
  <si>
    <t>Lectura tasa de dosis del monitor (unidad del monitor)</t>
  </si>
  <si>
    <t>Conversión de unidades</t>
  </si>
  <si>
    <t>La incertidumbre (U) se determinó con un factor de cobertura K=2, para un nivel de confianza de 95%.</t>
  </si>
  <si>
    <t>ANTES DEL AJUSTE</t>
  </si>
  <si>
    <t>DESPUÉS DEL AJUSTE</t>
  </si>
  <si>
    <t>Lectura 1</t>
  </si>
  <si>
    <t>Lectura 2</t>
  </si>
  <si>
    <t>Lectura 3</t>
  </si>
  <si>
    <t>Lectura 4</t>
  </si>
  <si>
    <t>Lectura 5</t>
  </si>
  <si>
    <t>Lectura 6</t>
  </si>
  <si>
    <t>Lectura 7</t>
  </si>
  <si>
    <t>Lectura 8</t>
  </si>
  <si>
    <t>Lectura 9</t>
  </si>
  <si>
    <t>Lectura 10</t>
  </si>
  <si>
    <t>Lectura</t>
  </si>
  <si>
    <t>RESUMEN DATOS ANTES DEL AJUSTE</t>
  </si>
  <si>
    <t>RESUMEN DATOS DESPUÉS DEL AJUSTE</t>
  </si>
  <si>
    <t>Monitor (µSv/h)</t>
  </si>
  <si>
    <t>País:</t>
  </si>
  <si>
    <t>Test</t>
  </si>
  <si>
    <t>Factor k</t>
  </si>
  <si>
    <t>PROCEDIMIENTOS DE CALIBRACIÓN</t>
  </si>
  <si>
    <t>(Observación: Un valor posible es 10 y otro valor posible es 8,77)</t>
  </si>
  <si>
    <t>(Observación: Un valor posible es 10000 y otro valor posible es 8770)</t>
  </si>
  <si>
    <t>(Observación: Un valor posible es 0,01 y otro valor posible es 0,00877)</t>
  </si>
  <si>
    <t xml:space="preserve">Eje longitudinal del detector Geiger-Mueller transversal al eje central del haz de radiación
</t>
  </si>
  <si>
    <t>Centro geométrico de la cámara de ionización del monitor</t>
  </si>
  <si>
    <t>Centro geométrico de la cámara de ionización</t>
  </si>
  <si>
    <t>Base del monitor ubicada en forma perpendicular al eje del haz de radiación</t>
  </si>
  <si>
    <t>Centro geométrico de la cámara de ionización del monitor (intersección de la proyección de los puntos blancos)</t>
  </si>
  <si>
    <t>Centro geométrico del volumen sensible del detector Geiger-Mueller</t>
  </si>
  <si>
    <t>: 29/11/2017</t>
  </si>
  <si>
    <t>: 03</t>
  </si>
  <si>
    <t>Var. Resp (%)</t>
  </si>
  <si>
    <t>Cámara de ionización, Marca: PTW; Modelo: TN32002; Serie: 000568; Certificado de calibración N°: T163053, con fecha 09-Dec-16 (K&amp;S Associates, Inc.); Trazable al NIST.</t>
  </si>
  <si>
    <t>DÉCIMO PUNTO DE CALIBRACIÓN</t>
  </si>
  <si>
    <t>ONCEAVO PUNTO DE CALIBRACIÓN</t>
  </si>
  <si>
    <t>DOCEAVO PUNTO DE CALIBRACIÓN</t>
  </si>
  <si>
    <t>Centro geométrico del volumen sensible del detector</t>
  </si>
  <si>
    <t xml:space="preserve">Eje longitudinal del detector transversal al eje central del haz de radiación
</t>
  </si>
  <si>
    <t>Ti (°C) =</t>
  </si>
  <si>
    <t>HRi (%) =</t>
  </si>
  <si>
    <t>Pi (hPa) =</t>
  </si>
  <si>
    <t>Tf (°C) =</t>
  </si>
  <si>
    <t>HRf (%) =</t>
  </si>
  <si>
    <t>Pf (hPa) =</t>
  </si>
  <si>
    <t>: 02</t>
  </si>
  <si>
    <t>ESPECIFICACIONES</t>
  </si>
  <si>
    <t>α</t>
  </si>
  <si>
    <t>β</t>
  </si>
  <si>
    <t>Este informe sólo puede ser difundido completamente y sin modificaciones. Los extractos o modificaciones requieren la autorización por escrito de ALEPH SAC.</t>
  </si>
  <si>
    <t>Baterías</t>
  </si>
  <si>
    <t>Respuesta a la radiación</t>
  </si>
  <si>
    <t>Sonido</t>
  </si>
  <si>
    <t>Botón ON/OFF</t>
  </si>
  <si>
    <t>Botón reset</t>
  </si>
  <si>
    <t>Ventana del detector</t>
  </si>
  <si>
    <t>Alarma luminosa</t>
  </si>
  <si>
    <t>Respuesta rápido/lento</t>
  </si>
  <si>
    <t>Marcación cero</t>
  </si>
  <si>
    <t>Otros</t>
  </si>
  <si>
    <t>Funcionamiento</t>
  </si>
  <si>
    <t>Apto para calibración</t>
  </si>
  <si>
    <t>Mantenimiento correctivo</t>
  </si>
  <si>
    <t>La incertidumbre (U) se determinó con un factor de cobertura K=2, para un nivel de confianza de 95 %.</t>
  </si>
  <si>
    <t>Tipo de radiación</t>
  </si>
  <si>
    <t>Lecrtura 10</t>
  </si>
  <si>
    <t>FUENTE</t>
  </si>
  <si>
    <t>Fondo</t>
  </si>
  <si>
    <t>I(A)</t>
  </si>
  <si>
    <t>C(A)</t>
  </si>
  <si>
    <t xml:space="preserve">I(E) </t>
  </si>
  <si>
    <t xml:space="preserve">C(E) </t>
  </si>
  <si>
    <t xml:space="preserve">C(A) </t>
  </si>
  <si>
    <t>C(E) : Factor de calibración de emisión</t>
  </si>
  <si>
    <t>C(A) : Factor de calibración de actividad</t>
  </si>
  <si>
    <t>[cps.cm²/Bq]</t>
  </si>
  <si>
    <t xml:space="preserve"> [cps.cm²/s⁻¹]</t>
  </si>
  <si>
    <r>
      <t>A</t>
    </r>
    <r>
      <rPr>
        <vertAlign val="subscript"/>
        <sz val="10"/>
        <color theme="1"/>
        <rFont val="Arial"/>
        <family val="2"/>
      </rPr>
      <t>s</t>
    </r>
  </si>
  <si>
    <r>
      <t>A</t>
    </r>
    <r>
      <rPr>
        <vertAlign val="subscript"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 xml:space="preserve"> : Actividad por unidad de área de contaminación = Lectura x C(A)</t>
    </r>
  </si>
  <si>
    <t>Fecha cal.:</t>
  </si>
  <si>
    <t>Marca monitor:</t>
  </si>
  <si>
    <t>Contacto:</t>
  </si>
  <si>
    <t>informes@alephsac.com</t>
  </si>
  <si>
    <t>Próx. cal.:</t>
  </si>
  <si>
    <t>Cert. N°:</t>
  </si>
  <si>
    <t>FC</t>
  </si>
  <si>
    <t>²⁴¹Am</t>
  </si>
  <si>
    <t>³⁶Cl</t>
  </si>
  <si>
    <t>⁹⁰Sr</t>
  </si>
  <si>
    <r>
      <t xml:space="preserve"> (Bq/cm²</t>
    </r>
    <r>
      <rPr>
        <sz val="11"/>
        <color theme="1"/>
        <rFont val="Calibri"/>
        <family val="2"/>
        <scheme val="minor"/>
      </rPr>
      <t>)</t>
    </r>
  </si>
  <si>
    <t>VCV H*(10) (µSv/h)</t>
  </si>
  <si>
    <t>Patrón</t>
  </si>
  <si>
    <t>As : Actividad por unidad de área de contaminación</t>
  </si>
  <si>
    <t>Perú</t>
  </si>
  <si>
    <t>Página 1 de 1</t>
  </si>
  <si>
    <t xml:space="preserve">
</t>
  </si>
  <si>
    <t>INFORME TÉCNICO DE RECEPCIÓN DE MONITORES DE RADIACIÓN EN EL LSCD</t>
  </si>
  <si>
    <t>: F-LSCD-014</t>
  </si>
  <si>
    <t>4. PRUEBAS REALIZADAS</t>
  </si>
  <si>
    <t>FECHA</t>
  </si>
  <si>
    <t>HORA</t>
  </si>
  <si>
    <t>REALIZADO POR</t>
  </si>
  <si>
    <t>Marca sonda:</t>
  </si>
  <si>
    <t>Página 1 de 2</t>
  </si>
  <si>
    <t>Página 2 de 2</t>
  </si>
  <si>
    <t>Alarma</t>
  </si>
  <si>
    <t>off</t>
  </si>
  <si>
    <t>on</t>
  </si>
  <si>
    <t>O. Pedido N° 111-3727</t>
  </si>
  <si>
    <t>INSPECCIONES C &amp; N S.A.C.</t>
  </si>
  <si>
    <t>Cal. 6 Mza. B Lote 3 y Asoc - Ex Fun Oquendo (Lote 3 y 4-Km 7,5 N Gambetta</t>
  </si>
  <si>
    <t>Callao</t>
  </si>
  <si>
    <t>NDS PRODUCTS, INC.</t>
  </si>
  <si>
    <t>x10</t>
  </si>
  <si>
    <t>x100</t>
  </si>
  <si>
    <t>Lima, 16 de febrero del 2018</t>
  </si>
  <si>
    <t>10 - 300</t>
  </si>
  <si>
    <t>ND-15</t>
  </si>
  <si>
    <t>89364</t>
  </si>
  <si>
    <t>ISO 4037, aplicado al PROC-LSCD-001 "Calibración de dosímetros personales"</t>
  </si>
  <si>
    <t>Según fabricante</t>
  </si>
  <si>
    <t>Indicación sonora (Alarma)</t>
  </si>
  <si>
    <t>Chirps/min</t>
  </si>
  <si>
    <t>VCV de la tasa de dosis equivalente personal Hp(10) (µSv/h)</t>
  </si>
  <si>
    <t xml:space="preserve">Sobre la superficie del fantoma (ISO) con el eje longitudinal del detector transversal al eje central del haz de radiación
</t>
  </si>
  <si>
    <t>021-2018</t>
  </si>
  <si>
    <t>La unidad "Chirps/min" es indicada por el fabricante</t>
  </si>
  <si>
    <t>Monitor de radiación personal con alarma</t>
  </si>
  <si>
    <t>Sonidos registrados</t>
  </si>
  <si>
    <t>Indicación según fabricante = Sonidos registrados x FC</t>
  </si>
  <si>
    <t>Registr.</t>
  </si>
  <si>
    <t>Fabr.</t>
  </si>
  <si>
    <t>(Chirps/min)</t>
  </si>
  <si>
    <t>Hp(10) (µSv/h)</t>
  </si>
  <si>
    <t>Fabr. = Registr. x FC</t>
  </si>
  <si>
    <t>Lectura del dosímetro</t>
  </si>
  <si>
    <t>unidades de dosis</t>
  </si>
  <si>
    <t>µSv</t>
  </si>
  <si>
    <t>Sv</t>
  </si>
  <si>
    <t>R</t>
  </si>
  <si>
    <t>mR</t>
  </si>
  <si>
    <t>µR</t>
  </si>
  <si>
    <t>mrem</t>
  </si>
  <si>
    <t>I (Grafito)</t>
  </si>
  <si>
    <r>
      <t>Av. Rafael Escardó 154, Urb. Maranga, San Miguel, Lima - Perú.</t>
    </r>
    <r>
      <rPr>
        <b/>
        <sz val="11"/>
        <color theme="1"/>
        <rFont val="Calibri"/>
        <family val="2"/>
        <scheme val="minor"/>
      </rPr>
      <t/>
    </r>
  </si>
  <si>
    <t>Prom FC</t>
  </si>
  <si>
    <t>REPORTE DE CALIBRACIÓN</t>
  </si>
  <si>
    <t>Este reporte sólo puede ser difundido completamente y sin modificaciones. Los extractos o modificaciones requieren la autorización por escrito de ALEPH SAC.</t>
  </si>
  <si>
    <t>El resultado de este reporte es válido sólo para el equipo calibrado, refiriéndose al momento y condiciones en que se realizaron las mediciones y no deben utilizarse como certificado de conformidad con normas de producto o como certificado del sistema de calidad.</t>
  </si>
  <si>
    <t>El reporte sin sello ni firma, carece de valor.</t>
  </si>
  <si>
    <t>7. OBSERVACIÓN</t>
  </si>
  <si>
    <t>Los resultados muestran valores de incertidumbres mayores al máximo sugerido. Por tanto, no se recomienda el uso de esta sonda para mediciones de contaminación superficial.</t>
  </si>
  <si>
    <t>x1</t>
  </si>
  <si>
    <t>x1000</t>
  </si>
  <si>
    <t>Superficie del detector Geiger-Mueller paralelo al eje central del haz de radiación</t>
  </si>
  <si>
    <t>Superficie del detector Geiger-Mueller perpendicular al eje central del haz de radiación</t>
  </si>
  <si>
    <t>Superficie del detector (cámara de ionización) perpendicular al eje central del haz de radiación</t>
  </si>
  <si>
    <t>Superficie del detector (cámara de ionización) paralelo al eje central del haz de radiación</t>
  </si>
  <si>
    <t>Superficie frontal del detector (cámara de ionización) perpendicular al eje central del haz de radiación</t>
  </si>
  <si>
    <t>Superficie frontal del detector (cámara de ionización) paralelo al eje central del haz de radiación</t>
  </si>
  <si>
    <t>Superficie frontal perpendicular al eje central del haz de radiación</t>
  </si>
  <si>
    <t>Superficie frontal paralelo al eje central del haz de radiación</t>
  </si>
  <si>
    <t>Superficie del detector perpendicular al eje central del haz de radiación</t>
  </si>
  <si>
    <t>Superficie del detector paralelo al eje central del haz de radiación</t>
  </si>
  <si>
    <t xml:space="preserve">Eje longitudinal del detector Geiger-Mueller paralelo al eje central del haz de radiación
</t>
  </si>
  <si>
    <t xml:space="preserve">Eje longitudinal del detector paralelo al eje central del haz de radiación
</t>
  </si>
  <si>
    <t xml:space="preserve">Sonda: Eje longitudinal del detector Geiger-Mueller paralelo al eje central del haz de radiación / Detector interno: Eje longitudinal del detector Geiger-Mueller transversal al eje central del haz de radiación
</t>
  </si>
  <si>
    <t xml:space="preserve">Sonda: Eje longitudinal del detector Geiger-Mueller transversal al eje central del haz de radiación / Detector interno: Eje longitudinal del detector Geiger-Mueller transversal al eje central del haz de radiación
</t>
  </si>
  <si>
    <t xml:space="preserve">Sonda: Eje longitudinal del detector paralelo al eje central del haz de radiación / Detector interno: Eje longitudinal del detector transversal al eje central del haz de radiación
</t>
  </si>
  <si>
    <t xml:space="preserve">Sonda: Eje longitudinal del detector transversal al eje central del haz de radiación / Detector interno: Eje longitudinal del detector transversal al eje central del haz de radiación
</t>
  </si>
  <si>
    <r>
      <t xml:space="preserve">(Factor de calibración de la C.I. en </t>
    </r>
    <r>
      <rPr>
        <i/>
        <sz val="11"/>
        <color theme="1"/>
        <rFont val="Calibri"/>
        <family val="2"/>
        <scheme val="minor"/>
      </rPr>
      <t>N</t>
    </r>
    <r>
      <rPr>
        <i/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) * (Incertidumbre de calibración de la C.I. en </t>
    </r>
    <r>
      <rPr>
        <i/>
        <sz val="11"/>
        <color theme="1"/>
        <rFont val="Calibri"/>
        <family val="2"/>
        <scheme val="minor"/>
      </rPr>
      <t>N</t>
    </r>
    <r>
      <rPr>
        <i/>
        <vertAlign val="subscript"/>
        <sz val="11"/>
        <color theme="1"/>
        <rFont val="Calibri"/>
        <family val="2"/>
        <scheme val="minor"/>
      </rPr>
      <t>k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en %)</t>
    </r>
  </si>
  <si>
    <t>(Factor de calibración del electrómetro) * (Incertidumbre de calibración del electrómetro en %)</t>
  </si>
  <si>
    <t>9) Calibración de la cinta métrica</t>
  </si>
  <si>
    <t>Calibración de la cinta métrica</t>
  </si>
  <si>
    <t>11) Calibración del termohigrómetro (en temperatura)</t>
  </si>
  <si>
    <t>Calibración del termohigrómetro (en temperatura)</t>
  </si>
  <si>
    <t>Calibración del barómetro</t>
  </si>
  <si>
    <t>13) Calibración del barómetro</t>
  </si>
  <si>
    <t>Posicionamiento longitudinal de la distancia fuente - monitor</t>
  </si>
  <si>
    <t>6) Calibración de la cinta métrica</t>
  </si>
  <si>
    <t>Posicionamiento longitudinal de la distancia fuente - dosímetro</t>
  </si>
  <si>
    <t>4) Posicionamiento longitudinal de la distancia fuente - dosímetro</t>
  </si>
  <si>
    <t xml:space="preserve">Considerando que al posicionar longitudinalmente el dosímetro de radiación se puede errar en: </t>
  </si>
  <si>
    <t>(Mayor % error respecto a la medición en la posición centrada de la fuente en el irradiador con la C.I. a d metros /2)*(Kerma de aire en d metros)</t>
  </si>
  <si>
    <t>8) Coeficiente de conversión</t>
  </si>
  <si>
    <t>10) Resolución del cronómetro</t>
  </si>
  <si>
    <t>9) Calibración del cronómetro</t>
  </si>
  <si>
    <t>Calibración del cronómetro</t>
  </si>
  <si>
    <t>8) Calibración del cronómetro</t>
  </si>
  <si>
    <t>9) Resolución del cronómetro</t>
  </si>
  <si>
    <r>
      <t xml:space="preserve">Estimación de la incertidumbre en la irradiación controlada de dosímetros en D(10)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ir-D(10)</t>
    </r>
  </si>
  <si>
    <t>Resolución del dosímetro</t>
  </si>
  <si>
    <t>11) Resolución del dosímetro</t>
  </si>
  <si>
    <t>La resolución (lectura mínima) del dosímetro es:</t>
  </si>
  <si>
    <r>
      <t>C</t>
    </r>
    <r>
      <rPr>
        <i/>
        <vertAlign val="subscript"/>
        <sz val="11"/>
        <color theme="1"/>
        <rFont val="Calibri"/>
        <family val="2"/>
        <scheme val="minor"/>
      </rPr>
      <t>res-dos</t>
    </r>
    <r>
      <rPr>
        <i/>
        <sz val="11"/>
        <color theme="1"/>
        <rFont val="Calibri"/>
        <family val="2"/>
        <scheme val="minor"/>
      </rPr>
      <t xml:space="preserve"> =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</si>
  <si>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res-dos</t>
    </r>
  </si>
  <si>
    <r>
      <t xml:space="preserve">Estimación de la incertidumbre en la calibración de dosímetros en D(10)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cal-D(10)</t>
    </r>
  </si>
  <si>
    <t>10) Resolución del dosímetro</t>
  </si>
  <si>
    <r>
      <t xml:space="preserve">Estimación de la incertidumbre en la calibración de monitores de contaminación de superficie - </t>
    </r>
    <r>
      <rPr>
        <b/>
        <i/>
        <sz val="14"/>
        <color theme="1"/>
        <rFont val="Calibri"/>
        <family val="2"/>
        <scheme val="minor"/>
      </rPr>
      <t>U</t>
    </r>
    <r>
      <rPr>
        <b/>
        <i/>
        <vertAlign val="subscript"/>
        <sz val="14"/>
        <color theme="1"/>
        <rFont val="Calibri"/>
        <family val="2"/>
        <scheme val="minor"/>
      </rPr>
      <t>sup</t>
    </r>
  </si>
  <si>
    <t>1) Tasa de emisión de superficie de la fuente patrón</t>
  </si>
  <si>
    <t>Tasa de emisión de superficie de la fuente patrón</t>
  </si>
  <si>
    <t>Homogeneidad de la fuente patrón</t>
  </si>
  <si>
    <t>Distancia fuente patrón - detector del monitor</t>
  </si>
  <si>
    <t>Posición horizontal del detector del monitor sobre la fuente patrón</t>
  </si>
  <si>
    <t>2) Homogeneidad de la fuente patrón</t>
  </si>
  <si>
    <t>3) Distancia fuente patrón - detector del monitor</t>
  </si>
  <si>
    <t>4) Posición horizontal del detector del monitor sobre la fuente patrón</t>
  </si>
  <si>
    <t>(Mayor cps de las 9 regiones de la fuente plana - Menor cps de las 9 regiones de la fuente plana)/2</t>
  </si>
  <si>
    <t>(cps neta a la distancia fuente detector de 3 mm - cps neta a la distancia fuente detector de 6 mm) /2</t>
  </si>
  <si>
    <r>
      <t>u</t>
    </r>
    <r>
      <rPr>
        <vertAlign val="subscript"/>
        <sz val="11"/>
        <color theme="1"/>
        <rFont val="Calibri"/>
        <family val="2"/>
        <scheme val="minor"/>
      </rPr>
      <t>f-det</t>
    </r>
  </si>
  <si>
    <t>(cps neta con el detector horizontal sobre la fuente a la distancia de 3 mm - cps neta con el monitor formando un ángulo sobre la fuente) /2</t>
  </si>
  <si>
    <t>El resultado de este informe es válido sólo para los dosímetros irradiados, refiriéndose al momento y condiciones en que se realizaron las irradiaciones y no deben utilizarse como certificado de conformidad con normas de producto o como certificado del sistema de calidad.</t>
  </si>
  <si>
    <t>Dosis equivalente personal, Hp(10)</t>
  </si>
  <si>
    <t>13</t>
  </si>
  <si>
    <t>14</t>
  </si>
  <si>
    <t>15</t>
  </si>
  <si>
    <t xml:space="preserve">Sobre la superficie del fantoma "ISO water slab phantom" con el eje longitudinal del detector transversal al eje central del haz de radiación.
</t>
  </si>
  <si>
    <t xml:space="preserve">Sobre la superficie del fantoma "ISO water slab phantom" con el eje longitudinal del detector paralelo al eje central del haz de radiación.
</t>
  </si>
  <si>
    <t>Equipo</t>
  </si>
  <si>
    <t>Monitor de radiación (digital)</t>
  </si>
  <si>
    <t>Monitor de radiación (analógico)</t>
  </si>
  <si>
    <t>Dosímetro personal (digital)</t>
  </si>
  <si>
    <t>Dosímetro personal (analógico)</t>
  </si>
  <si>
    <t>Dosis equivalente personal, Hp(0,07)</t>
  </si>
  <si>
    <t>Dosis absorbida, D(10)</t>
  </si>
  <si>
    <t>magnitud:</t>
  </si>
  <si>
    <t>Tasa de dosis equivalente ambiental, H*(10)</t>
  </si>
  <si>
    <t>[Bq/cm²]</t>
  </si>
  <si>
    <t>LABORATORIO DE ENSAYO ACREDITADO POR 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ORGANISMO PERUANO DE ACREDITACIÓN                                                                                                                                                                                                                                                                               INACAL - DA CON REGISTRO N° LE-101</t>
  </si>
  <si>
    <t>Med</t>
  </si>
  <si>
    <t>Coef. Calib. (C/C rdg)</t>
  </si>
  <si>
    <t>Dosis absorbida a 10 mm de profundidad (nivel de accidentes) D(10)</t>
  </si>
  <si>
    <r>
      <t>D(10)/K</t>
    </r>
    <r>
      <rPr>
        <vertAlign val="subscript"/>
        <sz val="11"/>
        <color theme="1"/>
        <rFont val="Calibri"/>
        <family val="2"/>
        <scheme val="minor"/>
      </rPr>
      <t>a</t>
    </r>
  </si>
  <si>
    <t>D(10) (Gy/h)</t>
  </si>
  <si>
    <t>Coeficiente de calibración Cámara de ionización (C.I.) / Certificado N° LNMRI 1130/2018</t>
  </si>
  <si>
    <t>Electrómetro PTW Unidos, Type 10005, Serie 50121 / Certificado N° T172327 (K&amp;S Associates, Inc) / Fecha: 25-09-17</t>
  </si>
  <si>
    <t>Barómetro, Marca: Robert W. White Instruments (Barigo); Modelo: AB-1310; Serie: 1507337; Código Alpeh: E-LSCD-003 / Certificado N° LFP-058-2018 (INACAL)</t>
  </si>
  <si>
    <t>Termohigrómetro, Marca: Boeco; Modelo: HTC-8; Serie: 151213209; Código Alpeh: E-LSCD-002 / Certificado N° T-2142-2018 (METROIL)</t>
  </si>
  <si>
    <t>Cinta Métrica, Marca: Stanley; Modelo: 30-615; Código Alpeh: E-LSCD-030 / Certificado N° L-0686-2018 (METROIL)</t>
  </si>
  <si>
    <t>PATRÓN DE REFERENCIA</t>
  </si>
  <si>
    <t>Gerencia de Radiaciones / Laboratorio Secundario de Calibraciones Dosimétricas</t>
  </si>
  <si>
    <t>ti (s)</t>
  </si>
  <si>
    <t>tf (s)</t>
  </si>
  <si>
    <t>If (A)</t>
  </si>
  <si>
    <t>antes</t>
  </si>
  <si>
    <t>después</t>
  </si>
  <si>
    <t>% Fuga</t>
  </si>
  <si>
    <t>Mi (C)</t>
  </si>
  <si>
    <t>Mi corregido (C)</t>
  </si>
  <si>
    <t>Mf (C)</t>
  </si>
  <si>
    <t>Mf corregido (C)</t>
  </si>
  <si>
    <t>abs</t>
  </si>
  <si>
    <t>Q/Qmax</t>
  </si>
  <si>
    <t>Geometría irradiación:</t>
  </si>
  <si>
    <t>Fecha de irradiación:</t>
  </si>
  <si>
    <t>Fecha emisión:</t>
  </si>
  <si>
    <t>Magnitud:</t>
  </si>
  <si>
    <t>Dosis equivalente personal, Hp(10) / Dosis equivalente personal, Hp(0,07)</t>
  </si>
  <si>
    <t>Dosis equivalente personal, Hp(10) / Dosis absorbida, D(10)</t>
  </si>
  <si>
    <t>Dosis equivalente personal, Hp(0,07) / Dosis absorbida, D(10)</t>
  </si>
  <si>
    <t>C/s</t>
  </si>
  <si>
    <t>: 04</t>
  </si>
  <si>
    <t>OBSERVACIONES</t>
  </si>
  <si>
    <t>INFORME DE CALIBRACIÓN</t>
  </si>
  <si>
    <t>El resultado de este informe es válido sólo para el equipo calibrado, refiriéndose al momento y condiciones en que se realizaron las mediciones y no deben utilizarse como certificado de conformidad con normas de producto o como certificado del sistema de calidad.</t>
  </si>
  <si>
    <t>4) Posicionamiento longitudinal de la distancia fuente - monitor</t>
  </si>
  <si>
    <t>,</t>
  </si>
  <si>
    <t>t (min)</t>
  </si>
  <si>
    <t>: 20/07/2018</t>
  </si>
  <si>
    <t>DOSIMETRIA DE LA FUENTE DE IRRADIACIÓN</t>
  </si>
  <si>
    <t>Dosis equivalente personal, Hp(10) / Dosis equivalente personal, Hp(0,07) / Dosis absorbida, D(10)</t>
  </si>
  <si>
    <r>
      <t>K</t>
    </r>
    <r>
      <rPr>
        <vertAlign val="subscript"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 xml:space="preserve">     (Gy/h)</t>
    </r>
  </si>
  <si>
    <t>rango electrómetro</t>
  </si>
  <si>
    <t>rango electr.</t>
  </si>
  <si>
    <t>RANGOS LECTURAS DE ELECTRÓMETROS</t>
  </si>
  <si>
    <t>JUEGOS DE ATENUADORES</t>
  </si>
  <si>
    <t>DISTANCIA FUENTE-PUNTO DE REFERENCIA</t>
  </si>
  <si>
    <t>MAGNITUD DOSIS DE IRRADIACIÓN</t>
  </si>
  <si>
    <t>IRD</t>
  </si>
  <si>
    <t>LNMRI 1130/2018</t>
  </si>
  <si>
    <t>Tiempo</t>
  </si>
  <si>
    <t>Acor =</t>
  </si>
  <si>
    <r>
      <t>µSv/h*m</t>
    </r>
    <r>
      <rPr>
        <vertAlign val="superscript"/>
        <sz val="11"/>
        <color theme="1"/>
        <rFont val="Calibri"/>
        <family val="2"/>
        <scheme val="minor"/>
      </rPr>
      <t>2</t>
    </r>
  </si>
  <si>
    <t>10) Ajuste de la curva de dosimetría</t>
  </si>
  <si>
    <t>d = distancia (m)</t>
  </si>
  <si>
    <t>D = Tasa de dosis (del ajuste de la curva) (µSv/h)</t>
  </si>
  <si>
    <t>10.b) Cálculo incertiumbre estándar</t>
  </si>
  <si>
    <t>Ajuste de la curva de dosimetría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</si>
  <si>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curv</t>
    </r>
  </si>
  <si>
    <r>
      <t xml:space="preserve">Grados de libertad </t>
    </r>
    <r>
      <rPr>
        <i/>
        <sz val="11"/>
        <color theme="1"/>
        <rFont val="Calibri"/>
        <family val="2"/>
        <scheme val="minor"/>
      </rP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</si>
  <si>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infinito</t>
  </si>
  <si>
    <r>
      <t xml:space="preserve">Grados de libertad </t>
    </r>
    <r>
      <rPr>
        <i/>
        <sz val="11"/>
        <color theme="1"/>
        <rFont val="Calibri"/>
        <family val="2"/>
        <scheme val="minor"/>
      </rPr>
      <t>v</t>
    </r>
    <r>
      <rPr>
        <i/>
        <vertAlign val="subscript"/>
        <sz val="11"/>
        <color theme="1"/>
        <rFont val="Calibri"/>
        <family val="2"/>
        <scheme val="minor"/>
      </rPr>
      <t xml:space="preserve">eff </t>
    </r>
    <r>
      <rPr>
        <i/>
        <sz val="11"/>
        <color theme="1"/>
        <rFont val="Calibri"/>
        <family val="2"/>
        <scheme val="minor"/>
      </rPr>
      <t>=</t>
    </r>
  </si>
  <si>
    <t>1. Cliente</t>
  </si>
  <si>
    <t>2. Referencia</t>
  </si>
  <si>
    <t>Decimales</t>
  </si>
  <si>
    <t>Presión atmosférica</t>
  </si>
  <si>
    <t>Humedad relativa</t>
  </si>
  <si>
    <t>Temperatura ambiental</t>
  </si>
  <si>
    <t>Factor de calibración (FC)</t>
  </si>
  <si>
    <t>Ventana del detector perpendicular al eje central del haz de radiación</t>
  </si>
  <si>
    <t>Ventana del detector (cámara de ionización) perpendicular al eje central del haz de radiación</t>
  </si>
  <si>
    <t>Conversión SI (*)</t>
  </si>
  <si>
    <t>La incertidumbre reportada en el presente certificado es la incertidumbre expandida de medición que resulta de multiplicar la incertidumbre estándar combinada por el factor de cobertura k = 2, de modo que la probabilidad de cobertura corresponde aproximadamente a un nivel de confianza del 95 %.</t>
  </si>
  <si>
    <t>x 10</t>
  </si>
  <si>
    <t>x 100</t>
  </si>
  <si>
    <r>
      <t>ALEPH GROUP &amp; ASOCIADOS SAC - Av. Rafaél Escardó 154, Urb. Maranga, San Miguel, Lima - Perú.</t>
    </r>
    <r>
      <rPr>
        <b/>
        <sz val="11"/>
        <color theme="1"/>
        <rFont val="Calibri"/>
        <family val="2"/>
        <scheme val="minor"/>
      </rPr>
      <t/>
    </r>
  </si>
  <si>
    <t>LABORATORIO SECUNDARIO DE CALIBRACIONES DOSIMÉTRICAS</t>
  </si>
  <si>
    <r>
      <rPr>
        <sz val="10"/>
        <rFont val="Calibri"/>
        <family val="2"/>
      </rPr>
      <t>²⁴¹</t>
    </r>
    <r>
      <rPr>
        <sz val="10"/>
        <rFont val="Arial"/>
        <family val="2"/>
      </rPr>
      <t>Am (α); Marca: Eckert &amp; Ziegler; Modelo: AMR07032; Serie: AJ-4188; Certificado de calibración N°: 030516, con fecha 2017-01-18 (Eckert &amp; Ziegler); Trazable al PTB.</t>
    </r>
  </si>
  <si>
    <r>
      <rPr>
        <sz val="10"/>
        <rFont val="Calibri"/>
        <family val="2"/>
      </rPr>
      <t>³⁶</t>
    </r>
    <r>
      <rPr>
        <sz val="10"/>
        <rFont val="Arial"/>
        <family val="2"/>
      </rPr>
      <t>Cl (</t>
    </r>
    <r>
      <rPr>
        <sz val="10"/>
        <rFont val="Calibri"/>
        <family val="2"/>
      </rPr>
      <t>β</t>
    </r>
    <r>
      <rPr>
        <sz val="10"/>
        <rFont val="Arial"/>
        <family val="2"/>
      </rPr>
      <t>); Marca: Eckert &amp; Ziegler; Modelo: CIR07032; Serie: AJ-4189; Certificado de calibración N°: 030515, con fecha 2017-01-17 (Eckert &amp; Ziegler); Trazable al PTB.</t>
    </r>
  </si>
  <si>
    <r>
      <rPr>
        <sz val="10"/>
        <rFont val="Calibri"/>
        <family val="2"/>
      </rPr>
      <t>⁹⁰</t>
    </r>
    <r>
      <rPr>
        <sz val="10"/>
        <rFont val="Arial"/>
        <family val="2"/>
      </rPr>
      <t>Sr (β); Marca: Eckert &amp; Ziegler; Modelo: SIR07032; Serie: AJ-4190; Certificado de calibración N°: 030514, con fecha 2017-01-19 (Eckert &amp; Ziegler); Trazable al PTB.</t>
    </r>
  </si>
  <si>
    <t>3. Lugar de calibración</t>
  </si>
  <si>
    <t>4. Equipo calibrado</t>
  </si>
  <si>
    <t>5. Método de calibración</t>
  </si>
  <si>
    <t>6. Trazabilidad</t>
  </si>
  <si>
    <t>7. Condiciones de calibración</t>
  </si>
  <si>
    <t>8. Fecha de calibración</t>
  </si>
  <si>
    <t>9. Fecha de emisión</t>
  </si>
  <si>
    <t>10. Resultado de la calibración</t>
  </si>
  <si>
    <t>Av. Rafael Escardó 154, San Miguel, Lima</t>
  </si>
  <si>
    <t>5. Método</t>
  </si>
  <si>
    <t>10. RESULTADO DE LA CALIBRACIÓN</t>
  </si>
  <si>
    <t>LSCD de ALEPH S.A.C.</t>
  </si>
  <si>
    <t>U</t>
  </si>
  <si>
    <t>VCV = Valor convencionalmente verdadero</t>
  </si>
  <si>
    <t>x 1</t>
  </si>
  <si>
    <t>La incertidumbre reportada en el presente certificado es la incertidumbre expandida de medición que resulta de multiplicar la incertidumbre estándar combinada por el factor de cobertura k = 2, de modo que la probabilidad de cobertura corresponde aproximadamente a un nivel de confianza del 95%.</t>
  </si>
  <si>
    <t xml:space="preserve">Sobre la superficie del fantoma "ISO water slab phantom" (30 cm x 30 cm x 15 cm) con el eje longitudinal del detector transversal al eje central del haz de radiación.
</t>
  </si>
  <si>
    <t xml:space="preserve">Sobre la superficie del fantoma "ISO water slab phantom" (30 cm x 30 cm x 15 cm) con el eje longitudinal del detector paralelo al eje central del haz de radiación.
</t>
  </si>
  <si>
    <t>Dosímetro personal (con indicación audible)</t>
  </si>
  <si>
    <t>Dosímetro personal (analógico tipo lapicero)</t>
  </si>
  <si>
    <r>
      <t xml:space="preserve">Estimación de la incertidumbre en la calibración de dosímetros en Hp(10), Hp(0,07) y D(10)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cal-dos-per</t>
    </r>
  </si>
  <si>
    <r>
      <t xml:space="preserve">Estimación de la incertidumbre en la irradiación controlada de dosímetros en Hp(10), Hp(0,07) y D(10) -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ir-dos-per</t>
    </r>
  </si>
  <si>
    <t>x 1000</t>
  </si>
  <si>
    <t>Factor de calibración (FC) [(µSv/h)/cps]</t>
  </si>
  <si>
    <t xml:space="preserve">Eje longitudinal de la ventana del detector paralelo al eje central del haz de radiación
</t>
  </si>
  <si>
    <t>VCV = Valor convencionalmente verdadero = Lectura del monitor x FC</t>
  </si>
  <si>
    <t>El símbolo "-" significa que no se realizó dicha medición (no se realizó ajuste al equipo)</t>
  </si>
  <si>
    <t>Dosímetro personal</t>
  </si>
  <si>
    <t>4. Muestra</t>
  </si>
  <si>
    <t>7. Condiciones de irradiación</t>
  </si>
  <si>
    <t>5. Método de irradiación</t>
  </si>
  <si>
    <t>3. Lugar de irradiación</t>
  </si>
  <si>
    <t>Geometría de irradiación</t>
  </si>
  <si>
    <t>8. Fecha de irradiación</t>
  </si>
  <si>
    <t>10. Resultado de la homogeneidad</t>
  </si>
  <si>
    <t>Homogeneidad</t>
  </si>
  <si>
    <t>Criterio de aceptación</t>
  </si>
  <si>
    <t>≤ 30%</t>
  </si>
  <si>
    <t>Lote de 3900 dosímetros</t>
  </si>
  <si>
    <t>Lectura mínima*</t>
  </si>
  <si>
    <t>Lectura máxima*</t>
  </si>
  <si>
    <t>* Lecturas reportadas por el Laboratorio de Dosimetría de ALEPH SAC</t>
  </si>
  <si>
    <t>El resultado de este informe es válido refiriéndose al momento y condiciones en que se realizaron las mediciones y no deben utilizarse como certificado de conformidad con normas de producto o como certificado del sistema de calidad.</t>
  </si>
  <si>
    <t xml:space="preserve">Sonda: Superficie del detector Geiger-Mueller perpendicular al eje central del haz de radiación / Detector interno: Eje longitudinal del detector transversal al eje central del haz de radiación
</t>
  </si>
  <si>
    <t xml:space="preserve">Sonda: Superficie del detector Geiger-Mueller paralelo al eje central del haz de radiación / Detector interno: Eje longitudinal del detector transversal al eje central del haz de radiación
</t>
  </si>
  <si>
    <t>Factor de calibración (FC) [(µSv/h)/cpm]</t>
  </si>
  <si>
    <t>3. Muestra</t>
  </si>
  <si>
    <t>4. Método de irradiación</t>
  </si>
  <si>
    <t>5. Trazabilidad</t>
  </si>
  <si>
    <t>6. Condiciones de irradiación</t>
  </si>
  <si>
    <t>7. Fecha de irradiación</t>
  </si>
  <si>
    <t>8. Fecha de emisión</t>
  </si>
  <si>
    <t>Q =</t>
  </si>
  <si>
    <t>n =</t>
  </si>
  <si>
    <t>Tendendia</t>
  </si>
  <si>
    <t>S =</t>
  </si>
  <si>
    <t>L =</t>
  </si>
  <si>
    <t>Nivel de tolerancia</t>
  </si>
  <si>
    <r>
      <rPr>
        <i/>
        <sz val="11"/>
        <color theme="1"/>
        <rFont val="Calibri"/>
        <family val="2"/>
      </rPr>
      <t>|</t>
    </r>
    <r>
      <rPr>
        <i/>
        <sz val="11"/>
        <color theme="1"/>
        <rFont val="Calibri"/>
        <family val="2"/>
        <scheme val="minor"/>
      </rPr>
      <t>B| =</t>
    </r>
  </si>
  <si>
    <r>
      <t>(B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+S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)</t>
    </r>
    <r>
      <rPr>
        <i/>
        <vertAlign val="superscript"/>
        <sz val="11"/>
        <color theme="1"/>
        <rFont val="Calibri"/>
        <family val="2"/>
        <scheme val="minor"/>
      </rPr>
      <t>1/2</t>
    </r>
  </si>
  <si>
    <t>R =</t>
  </si>
  <si>
    <t>O =</t>
  </si>
  <si>
    <t>N =</t>
  </si>
  <si>
    <r>
      <t xml:space="preserve">Desviación estándar de </t>
    </r>
    <r>
      <rPr>
        <i/>
        <sz val="11"/>
        <color theme="1"/>
        <rFont val="Calibri"/>
        <family val="2"/>
        <scheme val="minor"/>
      </rPr>
      <t>Q</t>
    </r>
  </si>
  <si>
    <r>
      <t xml:space="preserve">Promedio de </t>
    </r>
    <r>
      <rPr>
        <i/>
        <sz val="11"/>
        <color theme="1"/>
        <rFont val="Calibri"/>
        <family val="2"/>
        <scheme val="minor"/>
      </rPr>
      <t>Q</t>
    </r>
  </si>
  <si>
    <t>Nro. de puntos fuera de los límites</t>
  </si>
  <si>
    <t>% de puntos dentro de los límites</t>
  </si>
  <si>
    <t>Q</t>
  </si>
  <si>
    <t>9. Resultados</t>
  </si>
  <si>
    <t>Identificación del dosimetro</t>
  </si>
  <si>
    <t>1. Participante</t>
  </si>
  <si>
    <r>
      <t>D(10)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/D(10)</t>
    </r>
    <r>
      <rPr>
        <vertAlign val="subscript"/>
        <sz val="11"/>
        <color theme="1"/>
        <rFont val="Calibri"/>
        <family val="2"/>
        <scheme val="minor"/>
      </rPr>
      <t>LSCD</t>
    </r>
  </si>
  <si>
    <t>Cociente de la dosis reportada por el participante y la dosis reportada por el LSCD</t>
  </si>
  <si>
    <t>participante</t>
  </si>
  <si>
    <t>Nro. de dosímetros evaluados</t>
  </si>
  <si>
    <t>Ángulo (°)</t>
  </si>
  <si>
    <t>9.2. Criterio ANSI/HPS N13.11-2009</t>
  </si>
  <si>
    <t>9.3. Criterio ISO 14146:2018</t>
  </si>
  <si>
    <t>F =</t>
  </si>
  <si>
    <t>F</t>
  </si>
  <si>
    <r>
      <t>H</t>
    </r>
    <r>
      <rPr>
        <vertAlign val="subscript"/>
        <sz val="11"/>
        <color theme="1"/>
        <rFont val="Calibri"/>
        <family val="2"/>
        <scheme val="minor"/>
      </rPr>
      <t xml:space="preserve">0
</t>
    </r>
    <r>
      <rPr>
        <sz val="11"/>
        <color theme="1"/>
        <rFont val="Calibri"/>
        <family val="2"/>
        <scheme val="minor"/>
      </rPr>
      <t>(mSv)</t>
    </r>
  </si>
  <si>
    <t>Hc
(mSv)</t>
  </si>
  <si>
    <t>Límite inferior 
(mSv)</t>
  </si>
  <si>
    <t>Límite superior 
(mSv)</t>
  </si>
  <si>
    <r>
      <t>H</t>
    </r>
    <r>
      <rPr>
        <i/>
        <vertAlign val="subscript"/>
        <sz val="11"/>
        <color theme="1"/>
        <rFont val="Calibri"/>
        <family val="2"/>
        <scheme val="minor"/>
      </rPr>
      <t>0</t>
    </r>
    <r>
      <rPr>
        <i/>
        <sz val="11"/>
        <color theme="1"/>
        <rFont val="Calibri"/>
        <family val="2"/>
        <scheme val="minor"/>
      </rPr>
      <t xml:space="preserve"> (mSv) =</t>
    </r>
  </si>
  <si>
    <r>
      <t>H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 xml:space="preserve"> (mSv) =</t>
    </r>
  </si>
  <si>
    <t>(valor referencial)</t>
  </si>
  <si>
    <t>(respuesta: Hexp/Hc)</t>
  </si>
  <si>
    <t>(resultado del ensayo)</t>
  </si>
  <si>
    <t>Hexp =</t>
  </si>
  <si>
    <t>9.1. Resultados presentados por el participante</t>
  </si>
  <si>
    <t>LSCD ALEPH SAC
(valor referencial)</t>
  </si>
  <si>
    <r>
      <t xml:space="preserve">El desempeño del sistema de dosimetría del participante es aceptado si: </t>
    </r>
    <r>
      <rPr>
        <i/>
        <sz val="11"/>
        <color theme="1"/>
        <rFont val="Calibri"/>
        <family val="2"/>
        <scheme val="minor"/>
      </rPr>
      <t>(B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 xml:space="preserve"> + S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)</t>
    </r>
    <r>
      <rPr>
        <i/>
        <vertAlign val="superscript"/>
        <sz val="11"/>
        <color theme="1"/>
        <rFont val="Calibri"/>
        <family val="2"/>
        <scheme val="minor"/>
      </rPr>
      <t>1/2</t>
    </r>
    <r>
      <rPr>
        <i/>
        <sz val="11"/>
        <color theme="1"/>
        <rFont val="Calibri"/>
        <family val="2"/>
        <scheme val="minor"/>
      </rPr>
      <t xml:space="preserve"> ≤ L </t>
    </r>
    <r>
      <rPr>
        <sz val="11"/>
        <color theme="1"/>
        <rFont val="Calibri"/>
        <family val="2"/>
        <scheme val="minor"/>
      </rPr>
      <t>y</t>
    </r>
    <r>
      <rPr>
        <i/>
        <sz val="11"/>
        <color theme="1"/>
        <rFont val="Calibri"/>
        <family val="2"/>
        <scheme val="minor"/>
      </rPr>
      <t xml:space="preserve"> N ≥ 95%</t>
    </r>
  </si>
  <si>
    <t>: 2018-07-20</t>
  </si>
  <si>
    <t>Certificado N°:</t>
  </si>
  <si>
    <t>Electrómetro</t>
  </si>
  <si>
    <t>Resolución electrómetro</t>
  </si>
  <si>
    <t>Termohigrómetro</t>
  </si>
  <si>
    <t>Barómetro</t>
  </si>
  <si>
    <t>Cronómetro</t>
  </si>
  <si>
    <t>Cinta Métrica</t>
  </si>
  <si>
    <t>Marca: Stanley; modelo: 30-615; código Alpeh: E-LSCD-030 / Certificado N° L-0686-2018 (METROIL)</t>
  </si>
  <si>
    <t>atenuador</t>
  </si>
  <si>
    <t>Valores de ajuste de la curva</t>
  </si>
  <si>
    <t>PATRÓN DE REFERENCIA (C.I.)</t>
  </si>
  <si>
    <t>TASA DE DOSIS GENERADO POR EL HAZ DEL INCARAD DEL LSCD</t>
  </si>
  <si>
    <t>: 2017-05-01</t>
  </si>
  <si>
    <t>Datos del Laboratorio Solicitante</t>
  </si>
  <si>
    <t>: 2017-01-06</t>
  </si>
  <si>
    <t>: 2018-09-19</t>
  </si>
  <si>
    <t>: 2017-11-29</t>
  </si>
  <si>
    <t>: 2018-01-17</t>
  </si>
  <si>
    <t>5. RESULTADO</t>
  </si>
  <si>
    <t>6. OBSERVACIONES</t>
  </si>
  <si>
    <t>Medición corriente de fuga</t>
  </si>
  <si>
    <t>LABORATORIO DE ENSAYO ACREDITADO POR EL 
ORGANISMO PERUANO DE ACREDITACIÓN 
INACAL - DA CON REGISTRO N° LE-101</t>
  </si>
  <si>
    <t>10. Resultados de la irradiación</t>
  </si>
  <si>
    <t>La incertidumbre (U) se determinó con un factor de cobertura k=2, para un nivel de confianza de 95 %.</t>
  </si>
  <si>
    <t>DOSIMETRÍA DE LA FUENTE DEL INCARAD DEL LSCD</t>
  </si>
  <si>
    <t xml:space="preserve">Campo de radiación calibrado usando un fantoma, según ISO 4037-3 (2019), aplicado al PROC-LSCD-001 Irradiación controlada de dosímetros personales (versión 05)
</t>
  </si>
  <si>
    <t>Campo de radiación calibrado usando un fantoma, según ISO 4037-3 (2019), aplicado al PROC-LSCD-012 Calibración de dosímetros personales (versión 05)</t>
  </si>
  <si>
    <t>Marca: Aleph; modelo: ALEPH JH-2405; serie: 1405; código Aleph E-LSCD-060 / Informe de Calibración N°LTF-027-2019</t>
  </si>
  <si>
    <t>Fin del documento</t>
  </si>
  <si>
    <t>Fuentes patrones planas de clase 2:</t>
  </si>
  <si>
    <t>La incertidumbre (U) se determinó con un factor de cobertura k=2, para un nivel de confianza de 95%.</t>
  </si>
  <si>
    <t>Marca: PTW Unidos, modelo: T10005, serie 50121 / Certificado N° LSCD 072-2019 (ALEPH SAC) / Fecha: 2019-11-12</t>
  </si>
  <si>
    <t>Digital</t>
  </si>
  <si>
    <t>Irradiación sobre la superficie del fantoma "ISO water slab phantom" (30 cm x 30 cm x 15 cm), con su eje longitudinal paralelo al eje central del haz de radiación.</t>
  </si>
  <si>
    <t>Irradiación sobre la superficie del fantoma "ISO rod phantom" (cilindro de 19 mm de diámetro y 300 mm de longitud), con su eje longitudinal perpendicular al eje central del haz de radiación.</t>
  </si>
  <si>
    <t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t>
  </si>
  <si>
    <t>Para Hp(10) y D(10):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t>
  </si>
  <si>
    <t>NO APLICA</t>
  </si>
  <si>
    <t>VCV = Valor convencionalmente verdadero = Lectura del equipo x FC</t>
  </si>
  <si>
    <t>Aleph Group</t>
  </si>
  <si>
    <t>Laboratorio Dosimetría</t>
  </si>
  <si>
    <t>Rolando Páucar Jáuregui</t>
  </si>
  <si>
    <t>dosimetria@alephsac.com</t>
  </si>
  <si>
    <t>Solicitud N° 017-2019, según F-LD-018</t>
  </si>
  <si>
    <t>Auditoría INACAL</t>
  </si>
  <si>
    <t>Panasonic</t>
  </si>
  <si>
    <t>UD 802-AT</t>
  </si>
  <si>
    <t>16</t>
  </si>
  <si>
    <t>17</t>
  </si>
  <si>
    <t>18</t>
  </si>
  <si>
    <t>19</t>
  </si>
  <si>
    <t>20</t>
  </si>
  <si>
    <t>Av. Rafel Escardó, 154</t>
  </si>
  <si>
    <t>San Miguel</t>
  </si>
  <si>
    <t>Lima</t>
  </si>
  <si>
    <t>017-2019</t>
  </si>
  <si>
    <t>N° Dosímetros de control:</t>
  </si>
  <si>
    <t>N° Dosímetros irradiados:</t>
  </si>
  <si>
    <r>
      <t xml:space="preserve">Equipo </t>
    </r>
    <r>
      <rPr>
        <b/>
        <i/>
        <u/>
        <sz val="11"/>
        <color theme="1"/>
        <rFont val="Calibri"/>
        <family val="2"/>
        <scheme val="minor"/>
      </rPr>
      <t>o muestra</t>
    </r>
    <r>
      <rPr>
        <sz val="11"/>
        <color theme="1"/>
        <rFont val="Calibri"/>
        <family val="2"/>
        <scheme val="minor"/>
      </rPr>
      <t>:</t>
    </r>
  </si>
  <si>
    <t>Dosímetros personales</t>
  </si>
  <si>
    <t>4. Muestra(s)</t>
  </si>
  <si>
    <t>Irradiadas</t>
  </si>
  <si>
    <t>No irradiadas (de control)</t>
  </si>
  <si>
    <t>El símbolo "-" significa que no se reporta la dosis irradiada en dicha magnitud</t>
  </si>
  <si>
    <t>10. Dosímetros de control (no irradiados)</t>
  </si>
  <si>
    <t>N° dosímetros de control</t>
  </si>
  <si>
    <t>N° dosímetros irradiados</t>
  </si>
  <si>
    <t>11. Resultados de los dosímetros irradiados</t>
  </si>
  <si>
    <t>INFORME DE ENSAYO N° XXX-20XX ALEPH/GR/LSCD</t>
  </si>
  <si>
    <t>DESGASTADA</t>
  </si>
  <si>
    <t>NO PRESENTA</t>
  </si>
  <si>
    <t>NO EVALUADO</t>
  </si>
  <si>
    <t>NO</t>
  </si>
  <si>
    <t>REQUIERE</t>
  </si>
  <si>
    <t>05:55 p.m.</t>
  </si>
  <si>
    <t>FERNANDO PARREÑO</t>
  </si>
  <si>
    <t>1) Se realizo cambio de bateria para continuar con las pruebas de recepcion.
2) El monitor de radiacion no presenta respuesta en ninguna de sus escalas x1, x10, x100</t>
  </si>
  <si>
    <t>PRESENTA DESVIACION MECANICA (imagen1)</t>
  </si>
  <si>
    <t>PRESENTA SUCIEDAD (imagen 2)</t>
  </si>
  <si>
    <t>Celso Fernando Parreño Zorrilla</t>
  </si>
  <si>
    <t>Analista LSCD</t>
  </si>
  <si>
    <t>Campo de radiación calibrado en aire, según ISO 4037-3 (2019), aplicado al PROC-LSCD-008 Calibración dosimétrica de monitor de radiación portátil (versión 07)</t>
  </si>
  <si>
    <t>Campo de radiación calibrado en aire, según ISO 4037-3 (2019), aplicado al PROC-LSCD-009 Calibración dosimétrica de monitor de radiación de área (versión 07)</t>
  </si>
  <si>
    <t>Comparación, según ISO 7503-3 (2016), aplicado al PROC-LSCD-010 Calibración de monitores de contaminación de superficie (versión 07)</t>
  </si>
  <si>
    <t>ALEPH GROUP &amp; ASOCIADOS SAC - Av. Rafaél Escardó 154, Urb. Maranga, San Miguel, Lima - Perú.</t>
  </si>
  <si>
    <t>11. Declaratoria de Conformidad</t>
  </si>
  <si>
    <t>Los valores de las lecturas y la incertidumbre expandida están acorde a las especificaciones del fabricante.</t>
  </si>
  <si>
    <t>011-2021</t>
  </si>
  <si>
    <t>5,8 µSv/h</t>
  </si>
  <si>
    <t>DG: 13580-21</t>
  </si>
  <si>
    <t>Cámara de ionización patrón de 1 L , marca: PTW; modelo: TN32002; serie: 000568; Reporte de calibración de Kerma en aire DG: 13580-21 con fecha 2021-04-01 (NIST); trazable al NIST.</t>
  </si>
  <si>
    <t>Marca: Boeco; modelo: HTC-8; serie: 151213209; código Aleph: E-LSCD-002 / Certificado N° T-2378-2020 (METROIL)</t>
  </si>
  <si>
    <t>Marca: CNMC; modelo: DBT-100; serie: 1810597; código Aleph: E-LSCD-066 / Certificado N° LFP-234-2020 (INACAL)</t>
  </si>
  <si>
    <t>ALEPH SAC</t>
  </si>
  <si>
    <t>Av. Rafael Escardo 154</t>
  </si>
  <si>
    <t>MGP</t>
  </si>
  <si>
    <t>DMC 2000S</t>
  </si>
  <si>
    <t>690384T</t>
  </si>
  <si>
    <t>029-2021</t>
  </si>
  <si>
    <t>OT 111-12925</t>
  </si>
  <si>
    <t>1.b) Cálculo coeficiente de sensibilidad</t>
  </si>
  <si>
    <t>Ninguna</t>
  </si>
  <si>
    <t>Código:</t>
  </si>
  <si>
    <t>Versión:</t>
  </si>
  <si>
    <t>Página:</t>
  </si>
  <si>
    <t>F-LSCD-003</t>
  </si>
  <si>
    <t>1 de 1</t>
  </si>
  <si>
    <t>Precision</t>
  </si>
  <si>
    <t>SE MANTIENE</t>
  </si>
  <si>
    <t>200 cm</t>
  </si>
  <si>
    <t>150 cm</t>
  </si>
  <si>
    <t>100 cm</t>
  </si>
  <si>
    <t>250 cm</t>
  </si>
  <si>
    <t>300 cm</t>
  </si>
  <si>
    <t>0.85 cm</t>
  </si>
  <si>
    <t>350 cm</t>
  </si>
  <si>
    <t>- Valor medio</t>
  </si>
  <si>
    <t>- Valores promedio</t>
  </si>
  <si>
    <t>- Valor dentro del rango medio</t>
  </si>
  <si>
    <t>- Valor medio máximo</t>
  </si>
  <si>
    <t>- Valor mínimo dentro del rango medio</t>
  </si>
  <si>
    <t>- Valores fuera del rango medio</t>
  </si>
  <si>
    <t>Año0</t>
  </si>
  <si>
    <t>AñoN</t>
  </si>
  <si>
    <t>Var.</t>
  </si>
  <si>
    <t>DifFechas:</t>
  </si>
  <si>
    <t>LN (2) - (Excel)</t>
  </si>
  <si>
    <t>LN (2) - (Web)</t>
  </si>
  <si>
    <t>CargaCorregida ('C') - Excel</t>
  </si>
  <si>
    <t>CargaCorregida ('C') - Web</t>
  </si>
  <si>
    <r>
      <t>k</t>
    </r>
    <r>
      <rPr>
        <vertAlign val="subscript"/>
        <sz val="11"/>
        <color theme="1"/>
        <rFont val="Calibri"/>
        <family val="2"/>
        <scheme val="minor"/>
      </rPr>
      <t>TP - Excel</t>
    </r>
  </si>
  <si>
    <r>
      <t>k</t>
    </r>
    <r>
      <rPr>
        <vertAlign val="subscript"/>
        <sz val="11"/>
        <color theme="1"/>
        <rFont val="Calibri"/>
        <family val="2"/>
        <scheme val="minor"/>
      </rPr>
      <t>TP - Web</t>
    </r>
  </si>
  <si>
    <t>C/s (corr.) - Excel</t>
  </si>
  <si>
    <t>C/s (corr.) - Web</t>
  </si>
  <si>
    <t>Valor de Exp. - Excl:</t>
  </si>
  <si>
    <t>Valor de Exp. - Web:</t>
  </si>
  <si>
    <t>Kar (Gy/h) - Excel</t>
  </si>
  <si>
    <t>Kar (Gy/h) - Web</t>
  </si>
  <si>
    <t>rem/h - Excel</t>
  </si>
  <si>
    <t>rem/h - Web</t>
  </si>
  <si>
    <t>H*(10) (Sv/h) - Excel</t>
  </si>
  <si>
    <t>H*(10) (Sv/h) - Web</t>
  </si>
  <si>
    <t>D(10) (Gy/h) - Excel</t>
  </si>
  <si>
    <t>D(10) (Gy/h) - Web</t>
  </si>
  <si>
    <t>Hp(10) (Sv/h) - Excel</t>
  </si>
  <si>
    <t>Hp(10) (Sv/h) - Web</t>
  </si>
  <si>
    <t>Hp(0.07) (Sv/h) - Excel</t>
  </si>
  <si>
    <t>Hp(0.07) (Sv/h) -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</si>
</sst>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3" formatCode="_-* #,##0.00_-;\-* #,##0.00_-;_-* &quot;-&quot;??_-;_-@_-"/>
    <numFmt numFmtId="164" formatCode="0.0"/>
    <numFmt numFmtId="165" formatCode="dd\-mmm\-yyyy"/>
    <numFmt numFmtId="166" formatCode="hh:mm\ AM/PM"/>
    <numFmt numFmtId="167" formatCode="0.000"/>
    <numFmt numFmtId="168" formatCode="0.0000"/>
    <numFmt numFmtId="169" formatCode="0.00000"/>
    <numFmt numFmtId="170" formatCode="d\-mmm\-yyyy"/>
    <numFmt numFmtId="171" formatCode="0.000E+00"/>
    <numFmt numFmtId="172" formatCode="0.0%"/>
    <numFmt numFmtId="173" formatCode="0.0000%"/>
    <numFmt numFmtId="174" formatCode="0.000000"/>
    <numFmt numFmtId="175" formatCode="0.00000E+00"/>
    <numFmt numFmtId="176" formatCode="0.000%"/>
    <numFmt numFmtId="177" formatCode="yyyy\-mm\-dd"/>
    <numFmt numFmtId="178" formatCode="yyyy\-mm\-dd\ /\ h:mm"/>
    <numFmt numFmtId="179" formatCode="yyyy\-mm\-dd;@"/>
    <numFmt numFmtId="180" formatCode="0.000000000000"/>
    <numFmt numFmtId="181" formatCode="0.0000000E+00"/>
    <numFmt numFmtId="182" formatCode="0.000000E+00"/>
    <numFmt numFmtId="183" formatCode="0.0000000000"/>
    <numFmt numFmtId="184" formatCode="#,##0.00000000000000"/>
    <numFmt numFmtId="185" formatCode="0.00000000000000"/>
    <numFmt numFmtId="186" formatCode="0.0000000000000E+00"/>
    <numFmt numFmtId="187" formatCode="0.000000000000000"/>
    <numFmt numFmtId="188" formatCode="0.000000000000000E+00"/>
  </numFmts>
  <fonts count="8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0.249977111117893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sz val="10"/>
      <name val="Calibri"/>
      <family val="2"/>
    </font>
    <font>
      <b/>
      <sz val="8"/>
      <color theme="1"/>
      <name val="Arial"/>
      <family val="2"/>
    </font>
    <font>
      <b/>
      <i/>
      <u/>
      <sz val="10"/>
      <color theme="1"/>
      <name val="Arial"/>
      <family val="2"/>
    </font>
    <font>
      <b/>
      <sz val="14"/>
      <color theme="1"/>
      <name val="Arial"/>
      <family val="2"/>
    </font>
    <font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vertAlign val="subscript"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10"/>
      <color theme="1"/>
      <name val="Arial"/>
      <family val="2"/>
    </font>
    <font>
      <sz val="7"/>
      <color theme="1"/>
      <name val="Calibri"/>
      <family val="2"/>
      <scheme val="minor"/>
    </font>
    <font>
      <sz val="7"/>
      <color theme="1"/>
      <name val="Arial"/>
      <family val="2"/>
    </font>
    <font>
      <sz val="7"/>
      <name val="Arial"/>
      <family val="2"/>
    </font>
    <font>
      <b/>
      <sz val="14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Arial"/>
      <family val="2"/>
    </font>
    <font>
      <sz val="10"/>
      <name val="Cambria Math"/>
      <family val="1"/>
    </font>
    <font>
      <sz val="10"/>
      <name val="Arial"/>
      <family val="1"/>
    </font>
    <font>
      <i/>
      <sz val="11"/>
      <color theme="1"/>
      <name val="Calibri"/>
      <family val="2"/>
    </font>
    <font>
      <i/>
      <vertAlign val="superscript"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8"/>
      <color theme="1"/>
      <name val="Arial"/>
      <family val="2"/>
    </font>
    <font>
      <b/>
      <sz val="10"/>
      <color theme="0"/>
      <name val="Arial"/>
      <family val="2"/>
    </font>
    <font>
      <i/>
      <sz val="8"/>
      <name val="Arial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8885"/>
        <bgColor indexed="64"/>
      </patternFill>
    </fill>
    <fill>
      <patternFill patternType="solid">
        <fgColor rgb="FFBBE3BD"/>
        <bgColor indexed="64"/>
      </patternFill>
    </fill>
    <fill>
      <patternFill patternType="solid">
        <fgColor rgb="FF8682DE"/>
        <bgColor indexed="64"/>
      </patternFill>
    </fill>
    <fill>
      <patternFill patternType="solid">
        <fgColor rgb="FFF6BE9C"/>
        <bgColor indexed="64"/>
      </patternFill>
    </fill>
    <fill>
      <patternFill patternType="solid">
        <fgColor rgb="FFFF474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2A25"/>
        <bgColor indexed="64"/>
      </patternFill>
    </fill>
    <fill>
      <patternFill patternType="solid">
        <fgColor theme="5" tint="0.39997558519241921"/>
        <bgColor indexed="64"/>
      </patternFill>
    </fill>
  </fills>
  <borders count="16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theme="4"/>
      </left>
      <right/>
      <top style="double">
        <color theme="4"/>
      </top>
      <bottom/>
      <diagonal/>
    </border>
    <border>
      <left/>
      <right/>
      <top style="double">
        <color theme="4"/>
      </top>
      <bottom/>
      <diagonal/>
    </border>
    <border>
      <left/>
      <right style="double">
        <color theme="4"/>
      </right>
      <top style="double">
        <color theme="4"/>
      </top>
      <bottom/>
      <diagonal/>
    </border>
    <border>
      <left style="double">
        <color theme="4"/>
      </left>
      <right/>
      <top/>
      <bottom/>
      <diagonal/>
    </border>
    <border>
      <left/>
      <right style="double">
        <color theme="4"/>
      </right>
      <top/>
      <bottom/>
      <diagonal/>
    </border>
    <border>
      <left style="double">
        <color theme="4"/>
      </left>
      <right/>
      <top/>
      <bottom style="double">
        <color theme="4"/>
      </bottom>
      <diagonal/>
    </border>
    <border>
      <left/>
      <right/>
      <top/>
      <bottom style="double">
        <color theme="4"/>
      </bottom>
      <diagonal/>
    </border>
    <border>
      <left/>
      <right style="double">
        <color theme="4"/>
      </right>
      <top/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rgb="FFC00000"/>
      </left>
      <right style="thin">
        <color indexed="64"/>
      </right>
      <top style="medium">
        <color rgb="FFC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medium">
        <color indexed="64"/>
      </bottom>
      <diagonal/>
    </border>
    <border>
      <left style="thin">
        <color indexed="64"/>
      </left>
      <right/>
      <top style="medium">
        <color rgb="FFC00000"/>
      </top>
      <bottom style="medium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medium">
        <color indexed="64"/>
      </bottom>
      <diagonal/>
    </border>
    <border>
      <left style="medium">
        <color rgb="FFC0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indexed="64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/>
      <right style="thin">
        <color indexed="64"/>
      </right>
      <top style="medium">
        <color rgb="FFC00000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mediumDashDot">
        <color rgb="FFC00000"/>
      </right>
      <top style="medium">
        <color rgb="FFC00000"/>
      </top>
      <bottom style="medium">
        <color indexed="64"/>
      </bottom>
      <diagonal/>
    </border>
    <border>
      <left style="thin">
        <color indexed="64"/>
      </left>
      <right style="mediumDashDot">
        <color rgb="FFC0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C00000"/>
      </right>
      <top/>
      <bottom style="medium">
        <color rgb="FFC00000"/>
      </bottom>
      <diagonal/>
    </border>
    <border>
      <left style="mediumDashDot">
        <color rgb="FFC00000"/>
      </left>
      <right style="thin">
        <color indexed="64"/>
      </right>
      <top style="medium">
        <color rgb="FFC00000"/>
      </top>
      <bottom style="medium">
        <color indexed="64"/>
      </bottom>
      <diagonal/>
    </border>
    <border>
      <left style="mediumDashDot">
        <color rgb="FFC0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theme="4" tint="-0.499984740745262"/>
      </left>
      <right style="medium">
        <color rgb="FFC00000"/>
      </right>
      <top style="medium">
        <color theme="4" tint="-0.499984740745262"/>
      </top>
      <bottom style="medium">
        <color theme="4" tint="-0.499984740745262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double">
        <color auto="1"/>
      </bottom>
      <diagonal/>
    </border>
    <border>
      <left style="thick">
        <color auto="1"/>
      </left>
      <right style="thick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 style="thick">
        <color auto="1"/>
      </right>
      <top style="double">
        <color auto="1"/>
      </top>
      <bottom style="thick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auto="1"/>
      </left>
      <right/>
      <top/>
      <bottom style="thick">
        <color rgb="FFFF0000"/>
      </bottom>
      <diagonal/>
    </border>
    <border>
      <left/>
      <right style="thick">
        <color auto="1"/>
      </right>
      <top/>
      <bottom style="thick">
        <color rgb="FFFF0000"/>
      </bottom>
      <diagonal/>
    </border>
  </borders>
  <cellStyleXfs count="3">
    <xf numFmtId="0" fontId="0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3486">
    <xf numFmtId="0" fontId="0" fillId="0" borderId="0" xfId="0"/>
    <xf numFmtId="0" fontId="0" fillId="2" borderId="1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14" fontId="0" fillId="0" borderId="20" xfId="0" applyNumberFormat="1" applyBorder="1" applyAlignment="1">
      <alignment horizontal="center" vertical="center" wrapText="1"/>
    </xf>
    <xf numFmtId="164" fontId="0" fillId="0" borderId="20" xfId="0" applyNumberFormat="1" applyBorder="1" applyAlignment="1">
      <alignment horizontal="center" vertical="center" wrapText="1"/>
    </xf>
    <xf numFmtId="164" fontId="0" fillId="0" borderId="22" xfId="0" applyNumberFormat="1" applyBorder="1" applyAlignment="1">
      <alignment horizontal="center" vertical="center" wrapText="1"/>
    </xf>
    <xf numFmtId="11" fontId="0" fillId="0" borderId="24" xfId="0" applyNumberForma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11" fontId="0" fillId="0" borderId="27" xfId="0" applyNumberFormat="1" applyBorder="1" applyAlignment="1">
      <alignment horizontal="center" vertical="center" wrapText="1"/>
    </xf>
    <xf numFmtId="11" fontId="0" fillId="0" borderId="26" xfId="0" applyNumberFormat="1" applyBorder="1" applyAlignment="1">
      <alignment horizontal="center" vertical="center" wrapText="1"/>
    </xf>
    <xf numFmtId="11" fontId="0" fillId="0" borderId="0" xfId="0" applyNumberFormat="1" applyAlignment="1">
      <alignment horizontal="center" vertical="center" wrapText="1"/>
    </xf>
    <xf numFmtId="0" fontId="0" fillId="2" borderId="28" xfId="0" applyFill="1" applyBorder="1" applyAlignment="1">
      <alignment horizontal="center" vertical="center" wrapText="1"/>
    </xf>
    <xf numFmtId="164" fontId="0" fillId="0" borderId="29" xfId="0" applyNumberForma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11" fontId="0" fillId="0" borderId="18" xfId="0" applyNumberForma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11" fontId="0" fillId="0" borderId="17" xfId="0" applyNumberFormat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 wrapText="1"/>
    </xf>
    <xf numFmtId="164" fontId="0" fillId="0" borderId="31" xfId="0" applyNumberFormat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164" fontId="0" fillId="0" borderId="32" xfId="0" applyNumberFormat="1" applyBorder="1" applyAlignment="1">
      <alignment horizontal="center" vertical="center" wrapText="1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 applyAlignment="1">
      <alignment horizontal="right"/>
    </xf>
    <xf numFmtId="0" fontId="0" fillId="3" borderId="33" xfId="0" applyFill="1" applyBorder="1"/>
    <xf numFmtId="0" fontId="0" fillId="3" borderId="0" xfId="0" applyFill="1"/>
    <xf numFmtId="0" fontId="0" fillId="3" borderId="34" xfId="0" applyFill="1" applyBorder="1"/>
    <xf numFmtId="14" fontId="0" fillId="3" borderId="0" xfId="0" applyNumberFormat="1" applyFill="1"/>
    <xf numFmtId="14" fontId="0" fillId="3" borderId="34" xfId="0" applyNumberFormat="1" applyFill="1" applyBorder="1"/>
    <xf numFmtId="0" fontId="0" fillId="2" borderId="35" xfId="0" applyFill="1" applyBorder="1" applyAlignment="1">
      <alignment horizontal="left" vertical="center"/>
    </xf>
    <xf numFmtId="0" fontId="0" fillId="2" borderId="36" xfId="0" applyFill="1" applyBorder="1" applyAlignment="1">
      <alignment horizontal="left" vertical="center"/>
    </xf>
    <xf numFmtId="0" fontId="0" fillId="0" borderId="37" xfId="0" applyBorder="1" applyAlignment="1">
      <alignment horizontal="center" vertical="center" wrapText="1"/>
    </xf>
    <xf numFmtId="0" fontId="0" fillId="3" borderId="4" xfId="0" applyFill="1" applyBorder="1"/>
    <xf numFmtId="0" fontId="0" fillId="3" borderId="5" xfId="0" applyFill="1" applyBorder="1"/>
    <xf numFmtId="2" fontId="0" fillId="0" borderId="48" xfId="0" applyNumberFormat="1" applyBorder="1" applyAlignment="1">
      <alignment horizontal="center" vertical="center" wrapText="1"/>
    </xf>
    <xf numFmtId="2" fontId="0" fillId="0" borderId="52" xfId="0" applyNumberFormat="1" applyBorder="1" applyAlignment="1">
      <alignment horizontal="center" vertical="center" wrapText="1"/>
    </xf>
    <xf numFmtId="2" fontId="0" fillId="0" borderId="25" xfId="0" applyNumberFormat="1" applyBorder="1" applyAlignment="1">
      <alignment horizontal="center" vertical="center" wrapText="1"/>
    </xf>
    <xf numFmtId="2" fontId="0" fillId="0" borderId="27" xfId="0" applyNumberFormat="1" applyBorder="1" applyAlignment="1">
      <alignment horizontal="center" vertical="center" wrapText="1"/>
    </xf>
    <xf numFmtId="2" fontId="0" fillId="0" borderId="47" xfId="0" applyNumberFormat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 wrapText="1"/>
    </xf>
    <xf numFmtId="2" fontId="0" fillId="0" borderId="45" xfId="0" applyNumberFormat="1" applyBorder="1" applyAlignment="1">
      <alignment horizontal="center" vertical="center" wrapText="1"/>
    </xf>
    <xf numFmtId="2" fontId="0" fillId="0" borderId="39" xfId="0" applyNumberFormat="1" applyBorder="1" applyAlignment="1">
      <alignment horizontal="center" vertical="center" wrapText="1"/>
    </xf>
    <xf numFmtId="2" fontId="0" fillId="0" borderId="46" xfId="0" applyNumberFormat="1" applyBorder="1" applyAlignment="1">
      <alignment horizontal="center" vertical="center" wrapText="1"/>
    </xf>
    <xf numFmtId="2" fontId="0" fillId="0" borderId="5" xfId="0" applyNumberFormat="1" applyBorder="1" applyAlignment="1">
      <alignment horizontal="center" vertical="center" wrapText="1"/>
    </xf>
    <xf numFmtId="11" fontId="0" fillId="0" borderId="55" xfId="0" applyNumberFormat="1" applyBorder="1" applyAlignment="1">
      <alignment horizontal="center" vertical="center" wrapText="1"/>
    </xf>
    <xf numFmtId="0" fontId="0" fillId="0" borderId="62" xfId="0" applyBorder="1"/>
    <xf numFmtId="0" fontId="0" fillId="0" borderId="61" xfId="0" applyBorder="1"/>
    <xf numFmtId="0" fontId="0" fillId="0" borderId="63" xfId="0" applyBorder="1"/>
    <xf numFmtId="0" fontId="0" fillId="0" borderId="60" xfId="0" applyBorder="1"/>
    <xf numFmtId="0" fontId="0" fillId="0" borderId="64" xfId="0" applyBorder="1"/>
    <xf numFmtId="0" fontId="0" fillId="0" borderId="38" xfId="0" applyBorder="1"/>
    <xf numFmtId="0" fontId="0" fillId="0" borderId="15" xfId="0" applyBorder="1"/>
    <xf numFmtId="0" fontId="0" fillId="0" borderId="47" xfId="0" applyBorder="1"/>
    <xf numFmtId="0" fontId="0" fillId="0" borderId="0" xfId="0" applyAlignment="1">
      <alignment horizontal="center" vertical="center" wrapText="1"/>
    </xf>
    <xf numFmtId="11" fontId="0" fillId="0" borderId="15" xfId="0" applyNumberFormat="1" applyBorder="1" applyAlignment="1">
      <alignment horizontal="center" vertical="center" wrapText="1"/>
    </xf>
    <xf numFmtId="11" fontId="0" fillId="0" borderId="52" xfId="0" applyNumberFormat="1" applyBorder="1" applyAlignment="1">
      <alignment horizontal="center" vertical="center" wrapText="1"/>
    </xf>
    <xf numFmtId="14" fontId="0" fillId="3" borderId="0" xfId="0" applyNumberFormat="1" applyFill="1" applyAlignment="1">
      <alignment horizontal="right"/>
    </xf>
    <xf numFmtId="14" fontId="0" fillId="3" borderId="34" xfId="0" applyNumberFormat="1" applyFill="1" applyBorder="1" applyAlignment="1">
      <alignment horizontal="right"/>
    </xf>
    <xf numFmtId="164" fontId="0" fillId="3" borderId="6" xfId="0" applyNumberFormat="1" applyFill="1" applyBorder="1"/>
    <xf numFmtId="11" fontId="0" fillId="0" borderId="43" xfId="0" applyNumberFormat="1" applyBorder="1" applyAlignment="1">
      <alignment horizontal="center" vertical="center" wrapText="1"/>
    </xf>
    <xf numFmtId="11" fontId="0" fillId="0" borderId="56" xfId="0" applyNumberFormat="1" applyBorder="1" applyAlignment="1">
      <alignment horizontal="center" vertical="center" wrapText="1"/>
    </xf>
    <xf numFmtId="11" fontId="0" fillId="0" borderId="40" xfId="0" applyNumberFormat="1" applyBorder="1" applyAlignment="1">
      <alignment horizontal="center" vertical="center" wrapText="1"/>
    </xf>
    <xf numFmtId="11" fontId="0" fillId="0" borderId="38" xfId="0" applyNumberFormat="1" applyBorder="1" applyAlignment="1">
      <alignment horizontal="center" vertical="center" wrapText="1"/>
    </xf>
    <xf numFmtId="11" fontId="0" fillId="0" borderId="48" xfId="0" applyNumberForma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4" fontId="0" fillId="0" borderId="23" xfId="0" applyNumberFormat="1" applyBorder="1" applyAlignment="1" applyProtection="1">
      <alignment horizontal="center" vertical="center" wrapText="1"/>
      <protection locked="0"/>
    </xf>
    <xf numFmtId="164" fontId="0" fillId="0" borderId="50" xfId="0" applyNumberFormat="1" applyBorder="1" applyAlignment="1" applyProtection="1">
      <alignment horizontal="center" vertical="center" wrapText="1"/>
      <protection locked="0"/>
    </xf>
    <xf numFmtId="11" fontId="0" fillId="0" borderId="52" xfId="0" applyNumberFormat="1" applyBorder="1" applyAlignment="1" applyProtection="1">
      <alignment horizontal="center" vertical="center" wrapText="1"/>
      <protection locked="0"/>
    </xf>
    <xf numFmtId="0" fontId="0" fillId="0" borderId="52" xfId="0" applyBorder="1" applyAlignment="1">
      <alignment horizontal="center" vertical="center" wrapText="1"/>
    </xf>
    <xf numFmtId="11" fontId="0" fillId="4" borderId="55" xfId="0" applyNumberFormat="1" applyFill="1" applyBorder="1" applyAlignment="1">
      <alignment horizontal="center" vertical="center" wrapText="1"/>
    </xf>
    <xf numFmtId="11" fontId="0" fillId="4" borderId="52" xfId="0" applyNumberFormat="1" applyFill="1" applyBorder="1" applyAlignment="1">
      <alignment horizontal="center" vertical="center" wrapText="1"/>
    </xf>
    <xf numFmtId="11" fontId="0" fillId="0" borderId="57" xfId="0" applyNumberFormat="1" applyBorder="1" applyAlignment="1">
      <alignment horizontal="center" vertical="center" wrapText="1"/>
    </xf>
    <xf numFmtId="11" fontId="0" fillId="4" borderId="56" xfId="0" applyNumberFormat="1" applyFill="1" applyBorder="1" applyAlignment="1">
      <alignment horizontal="center" vertical="center" wrapText="1"/>
    </xf>
    <xf numFmtId="11" fontId="0" fillId="0" borderId="48" xfId="0" applyNumberFormat="1" applyBorder="1" applyAlignment="1" applyProtection="1">
      <alignment horizontal="center" vertical="center" wrapText="1"/>
      <protection locked="0"/>
    </xf>
    <xf numFmtId="11" fontId="0" fillId="4" borderId="57" xfId="0" applyNumberFormat="1" applyFill="1" applyBorder="1" applyAlignment="1">
      <alignment horizontal="center" vertical="center" wrapText="1"/>
    </xf>
    <xf numFmtId="11" fontId="0" fillId="0" borderId="21" xfId="0" applyNumberFormat="1" applyBorder="1" applyAlignment="1">
      <alignment horizontal="center" vertical="center" wrapText="1"/>
    </xf>
    <xf numFmtId="1" fontId="0" fillId="0" borderId="52" xfId="0" applyNumberFormat="1" applyBorder="1" applyAlignment="1" applyProtection="1">
      <alignment horizontal="center" vertical="center" wrapText="1"/>
      <protection locked="0"/>
    </xf>
    <xf numFmtId="1" fontId="0" fillId="0" borderId="48" xfId="0" applyNumberFormat="1" applyBorder="1" applyAlignment="1" applyProtection="1">
      <alignment horizontal="center" vertical="center" wrapText="1"/>
      <protection locked="0"/>
    </xf>
    <xf numFmtId="2" fontId="0" fillId="0" borderId="17" xfId="0" applyNumberFormat="1" applyBorder="1" applyAlignment="1">
      <alignment horizontal="center" vertical="center" wrapText="1"/>
    </xf>
    <xf numFmtId="2" fontId="0" fillId="0" borderId="50" xfId="0" applyNumberFormat="1" applyBorder="1" applyAlignment="1">
      <alignment horizontal="center" vertical="center" wrapText="1"/>
    </xf>
    <xf numFmtId="2" fontId="0" fillId="0" borderId="16" xfId="0" applyNumberForma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42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45" xfId="0" applyNumberFormat="1" applyBorder="1" applyAlignment="1">
      <alignment horizontal="center" vertical="center" wrapText="1"/>
    </xf>
    <xf numFmtId="164" fontId="0" fillId="0" borderId="27" xfId="0" applyNumberFormat="1" applyBorder="1" applyAlignment="1">
      <alignment horizontal="center" vertical="center" wrapText="1"/>
    </xf>
    <xf numFmtId="11" fontId="0" fillId="0" borderId="29" xfId="0" applyNumberFormat="1" applyBorder="1" applyAlignment="1">
      <alignment horizontal="center" vertical="center" wrapText="1"/>
    </xf>
    <xf numFmtId="15" fontId="0" fillId="0" borderId="52" xfId="0" applyNumberFormat="1" applyBorder="1" applyAlignment="1" applyProtection="1">
      <alignment horizontal="center" vertical="center" wrapText="1"/>
      <protection locked="0"/>
    </xf>
    <xf numFmtId="15" fontId="0" fillId="0" borderId="27" xfId="0" applyNumberFormat="1" applyBorder="1" applyAlignment="1" applyProtection="1">
      <alignment horizontal="center" vertical="center" wrapText="1"/>
      <protection locked="0"/>
    </xf>
    <xf numFmtId="2" fontId="0" fillId="0" borderId="38" xfId="0" applyNumberFormat="1" applyBorder="1" applyAlignment="1">
      <alignment horizontal="center" vertical="center" wrapText="1"/>
    </xf>
    <xf numFmtId="2" fontId="0" fillId="0" borderId="65" xfId="0" applyNumberFormat="1" applyBorder="1" applyAlignment="1">
      <alignment horizontal="center" vertical="center" wrapText="1"/>
    </xf>
    <xf numFmtId="1" fontId="0" fillId="0" borderId="27" xfId="0" applyNumberFormat="1" applyBorder="1" applyAlignment="1" applyProtection="1">
      <alignment horizontal="center" vertical="center" wrapText="1"/>
      <protection locked="0"/>
    </xf>
    <xf numFmtId="11" fontId="0" fillId="0" borderId="22" xfId="0" applyNumberFormat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5" borderId="66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0" borderId="52" xfId="0" quotePrefix="1" applyBorder="1" applyAlignment="1">
      <alignment horizontal="center" vertical="center" wrapText="1"/>
    </xf>
    <xf numFmtId="0" fontId="0" fillId="0" borderId="52" xfId="0" applyBorder="1" applyAlignment="1">
      <alignment horizontal="right" vertical="center" wrapText="1"/>
    </xf>
    <xf numFmtId="0" fontId="0" fillId="5" borderId="52" xfId="0" applyFill="1" applyBorder="1" applyAlignment="1">
      <alignment horizontal="left" vertical="center"/>
    </xf>
    <xf numFmtId="15" fontId="0" fillId="0" borderId="48" xfId="0" applyNumberFormat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/>
    </xf>
    <xf numFmtId="0" fontId="0" fillId="0" borderId="56" xfId="0" applyBorder="1" applyAlignment="1">
      <alignment horizontal="center" vertical="center" wrapText="1"/>
    </xf>
    <xf numFmtId="0" fontId="0" fillId="5" borderId="38" xfId="0" applyFill="1" applyBorder="1" applyAlignment="1">
      <alignment horizontal="right" vertical="center" wrapText="1"/>
    </xf>
    <xf numFmtId="0" fontId="0" fillId="5" borderId="56" xfId="0" applyFill="1" applyBorder="1" applyAlignment="1">
      <alignment horizontal="right" vertical="center" wrapText="1"/>
    </xf>
    <xf numFmtId="0" fontId="0" fillId="0" borderId="51" xfId="0" applyBorder="1" applyAlignment="1">
      <alignment horizontal="left" vertical="center" wrapText="1"/>
    </xf>
    <xf numFmtId="0" fontId="0" fillId="0" borderId="27" xfId="0" applyBorder="1" applyAlignment="1">
      <alignment horizontal="center" vertical="center" wrapText="1"/>
    </xf>
    <xf numFmtId="0" fontId="1" fillId="0" borderId="0" xfId="0" applyFont="1"/>
    <xf numFmtId="49" fontId="1" fillId="0" borderId="0" xfId="0" applyNumberFormat="1" applyFont="1"/>
    <xf numFmtId="0" fontId="1" fillId="0" borderId="0" xfId="0" applyFont="1" applyAlignment="1">
      <alignment horizontal="center"/>
    </xf>
    <xf numFmtId="0" fontId="9" fillId="0" borderId="62" xfId="0" applyFont="1" applyBorder="1"/>
    <xf numFmtId="0" fontId="9" fillId="0" borderId="61" xfId="0" applyFont="1" applyBorder="1"/>
    <xf numFmtId="0" fontId="9" fillId="0" borderId="63" xfId="0" applyFont="1" applyBorder="1"/>
    <xf numFmtId="0" fontId="9" fillId="0" borderId="0" xfId="0" applyFont="1"/>
    <xf numFmtId="0" fontId="9" fillId="0" borderId="60" xfId="0" applyFont="1" applyBorder="1"/>
    <xf numFmtId="0" fontId="9" fillId="0" borderId="64" xfId="0" applyFont="1" applyBorder="1"/>
    <xf numFmtId="0" fontId="9" fillId="0" borderId="38" xfId="0" applyFont="1" applyBorder="1"/>
    <xf numFmtId="0" fontId="9" fillId="0" borderId="15" xfId="0" applyFont="1" applyBorder="1"/>
    <xf numFmtId="0" fontId="9" fillId="0" borderId="47" xfId="0" applyFont="1" applyBorder="1"/>
    <xf numFmtId="0" fontId="10" fillId="0" borderId="0" xfId="0" applyFont="1" applyAlignment="1">
      <alignment horizontal="center" vertical="center" wrapText="1"/>
    </xf>
    <xf numFmtId="49" fontId="11" fillId="0" borderId="0" xfId="0" applyNumberFormat="1" applyFont="1"/>
    <xf numFmtId="0" fontId="11" fillId="0" borderId="0" xfId="0" applyFont="1"/>
    <xf numFmtId="0" fontId="9" fillId="0" borderId="56" xfId="0" applyFont="1" applyBorder="1"/>
    <xf numFmtId="0" fontId="9" fillId="0" borderId="57" xfId="0" applyFont="1" applyBorder="1"/>
    <xf numFmtId="0" fontId="9" fillId="0" borderId="51" xfId="0" applyFont="1" applyBorder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 wrapText="1"/>
    </xf>
    <xf numFmtId="11" fontId="9" fillId="0" borderId="0" xfId="0" applyNumberFormat="1" applyFont="1" applyAlignment="1">
      <alignment horizontal="center"/>
    </xf>
    <xf numFmtId="49" fontId="9" fillId="0" borderId="0" xfId="0" applyNumberFormat="1" applyFont="1"/>
    <xf numFmtId="0" fontId="9" fillId="0" borderId="0" xfId="0" applyFont="1" applyAlignment="1">
      <alignment horizontal="left" vertical="center"/>
    </xf>
    <xf numFmtId="2" fontId="9" fillId="0" borderId="36" xfId="0" applyNumberFormat="1" applyFont="1" applyBorder="1" applyAlignment="1">
      <alignment horizontal="center"/>
    </xf>
    <xf numFmtId="0" fontId="9" fillId="0" borderId="36" xfId="0" applyFont="1" applyBorder="1" applyAlignment="1">
      <alignment horizontal="left"/>
    </xf>
    <xf numFmtId="0" fontId="9" fillId="0" borderId="36" xfId="0" applyFont="1" applyBorder="1"/>
    <xf numFmtId="1" fontId="9" fillId="0" borderId="36" xfId="0" applyNumberFormat="1" applyFont="1" applyBorder="1"/>
    <xf numFmtId="0" fontId="9" fillId="0" borderId="37" xfId="0" applyFont="1" applyBorder="1"/>
    <xf numFmtId="0" fontId="9" fillId="0" borderId="0" xfId="0" applyFont="1" applyAlignment="1">
      <alignment horizontal="center" vertic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/>
    </xf>
    <xf numFmtId="1" fontId="9" fillId="0" borderId="0" xfId="0" applyNumberFormat="1" applyFont="1"/>
    <xf numFmtId="0" fontId="9" fillId="0" borderId="8" xfId="0" applyFont="1" applyBorder="1"/>
    <xf numFmtId="0" fontId="0" fillId="0" borderId="62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62" xfId="0" applyBorder="1" applyAlignment="1">
      <alignment horizontal="left" vertical="center"/>
    </xf>
    <xf numFmtId="0" fontId="0" fillId="0" borderId="63" xfId="0" applyBorder="1" applyAlignment="1">
      <alignment horizontal="left" vertical="center"/>
    </xf>
    <xf numFmtId="0" fontId="0" fillId="0" borderId="60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60" xfId="0" applyBorder="1" applyAlignment="1">
      <alignment horizontal="left" vertical="center"/>
    </xf>
    <xf numFmtId="0" fontId="0" fillId="0" borderId="64" xfId="0" applyBorder="1" applyAlignment="1">
      <alignment horizontal="left" vertical="center"/>
    </xf>
    <xf numFmtId="0" fontId="0" fillId="0" borderId="3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8" xfId="0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9" fillId="0" borderId="37" xfId="0" applyFont="1" applyBorder="1" applyAlignment="1">
      <alignment horizontal="center"/>
    </xf>
    <xf numFmtId="0" fontId="9" fillId="0" borderId="56" xfId="0" applyFont="1" applyBorder="1" applyAlignment="1">
      <alignment horizontal="left" vertical="center"/>
    </xf>
    <xf numFmtId="0" fontId="9" fillId="0" borderId="57" xfId="0" applyFont="1" applyBorder="1" applyAlignment="1">
      <alignment horizontal="left" vertical="center"/>
    </xf>
    <xf numFmtId="0" fontId="13" fillId="0" borderId="0" xfId="0" applyFont="1"/>
    <xf numFmtId="0" fontId="16" fillId="0" borderId="0" xfId="0" applyFont="1" applyAlignment="1">
      <alignment horizontal="center" vertical="center"/>
    </xf>
    <xf numFmtId="0" fontId="13" fillId="0" borderId="33" xfId="0" applyFont="1" applyBorder="1"/>
    <xf numFmtId="0" fontId="14" fillId="0" borderId="0" xfId="0" applyFont="1"/>
    <xf numFmtId="0" fontId="13" fillId="0" borderId="34" xfId="0" applyFont="1" applyBorder="1"/>
    <xf numFmtId="0" fontId="18" fillId="0" borderId="0" xfId="0" applyFont="1"/>
    <xf numFmtId="17" fontId="13" fillId="0" borderId="0" xfId="0" applyNumberFormat="1" applyFont="1"/>
    <xf numFmtId="0" fontId="14" fillId="0" borderId="0" xfId="0" applyFont="1" applyAlignment="1">
      <alignment vertical="top"/>
    </xf>
    <xf numFmtId="0" fontId="1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 applyProtection="1">
      <alignment vertical="top" wrapText="1"/>
      <protection locked="0"/>
    </xf>
    <xf numFmtId="0" fontId="18" fillId="0" borderId="60" xfId="0" applyFont="1" applyBorder="1" applyAlignment="1" applyProtection="1">
      <alignment vertical="top" wrapText="1"/>
      <protection locked="0"/>
    </xf>
    <xf numFmtId="0" fontId="16" fillId="0" borderId="0" xfId="0" applyFont="1"/>
    <xf numFmtId="0" fontId="18" fillId="0" borderId="60" xfId="0" applyFont="1" applyBorder="1" applyAlignment="1" applyProtection="1">
      <alignment horizontal="justify" vertical="top" wrapText="1"/>
      <protection locked="0"/>
    </xf>
    <xf numFmtId="0" fontId="18" fillId="0" borderId="0" xfId="0" applyFont="1" applyAlignment="1" applyProtection="1">
      <alignment vertical="top"/>
      <protection locked="0"/>
    </xf>
    <xf numFmtId="0" fontId="14" fillId="0" borderId="0" xfId="0" applyFont="1" applyAlignment="1">
      <alignment horizontal="center" vertical="top"/>
    </xf>
    <xf numFmtId="0" fontId="18" fillId="0" borderId="0" xfId="0" applyFont="1" applyAlignment="1" applyProtection="1">
      <alignment vertical="center"/>
      <protection locked="0"/>
    </xf>
    <xf numFmtId="0" fontId="18" fillId="0" borderId="0" xfId="0" applyFont="1" applyAlignment="1">
      <alignment vertical="center"/>
    </xf>
    <xf numFmtId="0" fontId="14" fillId="0" borderId="0" xfId="0" applyFont="1" applyAlignment="1">
      <alignment horizontal="justify" vertical="top" wrapText="1"/>
    </xf>
    <xf numFmtId="0" fontId="14" fillId="0" borderId="0" xfId="0" applyFont="1" applyAlignment="1">
      <alignment vertical="top" wrapText="1"/>
    </xf>
    <xf numFmtId="166" fontId="18" fillId="0" borderId="0" xfId="0" quotePrefix="1" applyNumberFormat="1" applyFont="1" applyAlignment="1">
      <alignment horizontal="left" vertical="center"/>
    </xf>
    <xf numFmtId="15" fontId="18" fillId="0" borderId="0" xfId="0" applyNumberFormat="1" applyFont="1" applyAlignment="1">
      <alignment vertical="center"/>
    </xf>
    <xf numFmtId="0" fontId="18" fillId="0" borderId="0" xfId="0" applyFont="1" applyAlignment="1">
      <alignment horizontal="left" vertical="center"/>
    </xf>
    <xf numFmtId="167" fontId="14" fillId="0" borderId="0" xfId="0" applyNumberFormat="1" applyFont="1"/>
    <xf numFmtId="167" fontId="13" fillId="0" borderId="0" xfId="0" applyNumberFormat="1" applyFont="1"/>
    <xf numFmtId="167" fontId="18" fillId="0" borderId="0" xfId="0" applyNumberFormat="1" applyFont="1"/>
    <xf numFmtId="0" fontId="14" fillId="0" borderId="69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2" fontId="20" fillId="0" borderId="11" xfId="0" applyNumberFormat="1" applyFont="1" applyBorder="1" applyAlignment="1">
      <alignment horizontal="center" vertical="center" wrapText="1"/>
    </xf>
    <xf numFmtId="0" fontId="18" fillId="0" borderId="28" xfId="0" applyFont="1" applyBorder="1" applyAlignment="1">
      <alignment horizontal="center" vertical="center" wrapText="1"/>
    </xf>
    <xf numFmtId="2" fontId="20" fillId="0" borderId="57" xfId="0" applyNumberFormat="1" applyFont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 wrapText="1"/>
    </xf>
    <xf numFmtId="0" fontId="13" fillId="0" borderId="71" xfId="0" applyFont="1" applyBorder="1"/>
    <xf numFmtId="0" fontId="13" fillId="0" borderId="72" xfId="0" applyFont="1" applyBorder="1"/>
    <xf numFmtId="0" fontId="13" fillId="0" borderId="73" xfId="0" applyFont="1" applyBorder="1"/>
    <xf numFmtId="0" fontId="16" fillId="0" borderId="42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13" fillId="0" borderId="0" xfId="0" quotePrefix="1" applyFont="1"/>
    <xf numFmtId="1" fontId="9" fillId="0" borderId="52" xfId="0" applyNumberFormat="1" applyFont="1" applyBorder="1" applyAlignment="1" applyProtection="1">
      <alignment horizontal="center"/>
      <protection locked="0"/>
    </xf>
    <xf numFmtId="0" fontId="9" fillId="0" borderId="35" xfId="0" applyFont="1" applyBorder="1" applyAlignment="1" applyProtection="1">
      <alignment horizontal="center"/>
      <protection locked="0"/>
    </xf>
    <xf numFmtId="2" fontId="9" fillId="0" borderId="0" xfId="0" applyNumberFormat="1" applyFont="1" applyProtection="1">
      <protection locked="0"/>
    </xf>
    <xf numFmtId="21" fontId="0" fillId="0" borderId="52" xfId="0" applyNumberFormat="1" applyBorder="1" applyAlignment="1" applyProtection="1">
      <alignment horizontal="center" vertical="center"/>
      <protection locked="0"/>
    </xf>
    <xf numFmtId="0" fontId="0" fillId="0" borderId="52" xfId="0" applyBorder="1" applyAlignment="1" applyProtection="1">
      <alignment horizontal="center" vertical="center"/>
      <protection locked="0"/>
    </xf>
    <xf numFmtId="0" fontId="13" fillId="0" borderId="15" xfId="0" applyFont="1" applyBorder="1"/>
    <xf numFmtId="0" fontId="13" fillId="0" borderId="14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164" fontId="13" fillId="0" borderId="0" xfId="0" applyNumberFormat="1" applyFont="1"/>
    <xf numFmtId="0" fontId="13" fillId="0" borderId="0" xfId="0" applyFont="1" applyAlignment="1">
      <alignment horizontal="center" vertical="center"/>
    </xf>
    <xf numFmtId="2" fontId="20" fillId="0" borderId="0" xfId="0" applyNumberFormat="1" applyFont="1" applyAlignment="1">
      <alignment horizontal="center" vertical="center" wrapText="1"/>
    </xf>
    <xf numFmtId="2" fontId="20" fillId="0" borderId="2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2" fontId="0" fillId="4" borderId="78" xfId="0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8" fillId="0" borderId="0" xfId="0" quotePrefix="1" applyFont="1" applyAlignment="1" applyProtection="1">
      <alignment horizontal="left" vertical="center"/>
      <protection locked="0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7" fillId="0" borderId="60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0" fillId="0" borderId="17" xfId="0" applyBorder="1" applyAlignment="1">
      <alignment horizontal="center" vertical="center" wrapText="1"/>
    </xf>
    <xf numFmtId="11" fontId="0" fillId="0" borderId="27" xfId="0" applyNumberFormat="1" applyBorder="1" applyAlignment="1" applyProtection="1">
      <alignment horizontal="center" vertical="center" wrapText="1"/>
      <protection locked="0"/>
    </xf>
    <xf numFmtId="1" fontId="0" fillId="0" borderId="52" xfId="0" applyNumberFormat="1" applyBorder="1" applyAlignment="1">
      <alignment horizontal="center" vertical="center" wrapText="1"/>
    </xf>
    <xf numFmtId="11" fontId="0" fillId="0" borderId="38" xfId="0" quotePrefix="1" applyNumberFormat="1" applyBorder="1" applyAlignment="1">
      <alignment horizontal="center" vertical="center" wrapText="1"/>
    </xf>
    <xf numFmtId="11" fontId="0" fillId="0" borderId="24" xfId="0" quotePrefix="1" applyNumberFormat="1" applyBorder="1" applyAlignment="1">
      <alignment horizontal="center" vertical="center" wrapText="1"/>
    </xf>
    <xf numFmtId="11" fontId="0" fillId="0" borderId="17" xfId="0" quotePrefix="1" applyNumberFormat="1" applyBorder="1" applyAlignment="1">
      <alignment horizontal="center" vertical="center" wrapText="1"/>
    </xf>
    <xf numFmtId="1" fontId="0" fillId="0" borderId="38" xfId="0" applyNumberFormat="1" applyBorder="1" applyAlignment="1">
      <alignment horizontal="center" vertical="center" wrapText="1"/>
    </xf>
    <xf numFmtId="0" fontId="18" fillId="0" borderId="64" xfId="0" applyFont="1" applyBorder="1" applyAlignment="1" applyProtection="1">
      <alignment vertical="top" wrapText="1"/>
      <protection locked="0"/>
    </xf>
    <xf numFmtId="0" fontId="13" fillId="0" borderId="0" xfId="0" applyFont="1" applyAlignment="1">
      <alignment horizontal="left" vertical="center"/>
    </xf>
    <xf numFmtId="1" fontId="0" fillId="0" borderId="15" xfId="0" applyNumberFormat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164" fontId="0" fillId="0" borderId="25" xfId="0" applyNumberFormat="1" applyBorder="1" applyAlignment="1" applyProtection="1">
      <alignment horizontal="center" vertical="center" wrapText="1"/>
      <protection locked="0"/>
    </xf>
    <xf numFmtId="1" fontId="0" fillId="0" borderId="47" xfId="0" applyNumberFormat="1" applyBorder="1" applyAlignment="1">
      <alignment horizontal="center" vertical="center" wrapText="1"/>
    </xf>
    <xf numFmtId="164" fontId="0" fillId="0" borderId="50" xfId="0" applyNumberFormat="1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11" fontId="0" fillId="0" borderId="52" xfId="0" applyNumberFormat="1" applyBorder="1" applyAlignment="1">
      <alignment horizontal="center" vertical="center"/>
    </xf>
    <xf numFmtId="167" fontId="0" fillId="0" borderId="52" xfId="0" applyNumberFormat="1" applyBorder="1" applyAlignment="1">
      <alignment horizontal="center" vertical="center" wrapText="1"/>
    </xf>
    <xf numFmtId="168" fontId="0" fillId="0" borderId="52" xfId="0" applyNumberFormat="1" applyBorder="1" applyAlignment="1">
      <alignment horizontal="center" vertical="center"/>
    </xf>
    <xf numFmtId="11" fontId="0" fillId="0" borderId="52" xfId="0" applyNumberFormat="1" applyBorder="1" applyAlignment="1" applyProtection="1">
      <alignment horizontal="center" vertical="center"/>
      <protection locked="0"/>
    </xf>
    <xf numFmtId="0" fontId="0" fillId="0" borderId="56" xfId="0" applyBorder="1" applyAlignment="1">
      <alignment horizontal="right" vertical="center"/>
    </xf>
    <xf numFmtId="0" fontId="0" fillId="0" borderId="57" xfId="0" applyBorder="1" applyAlignment="1">
      <alignment horizontal="right" vertical="center"/>
    </xf>
    <xf numFmtId="0" fontId="0" fillId="0" borderId="51" xfId="0" applyBorder="1" applyAlignment="1">
      <alignment horizontal="right" vertical="center"/>
    </xf>
    <xf numFmtId="0" fontId="0" fillId="0" borderId="44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11" fontId="0" fillId="0" borderId="10" xfId="0" applyNumberFormat="1" applyBorder="1" applyAlignment="1">
      <alignment horizontal="center" vertical="center" wrapText="1"/>
    </xf>
    <xf numFmtId="0" fontId="0" fillId="2" borderId="86" xfId="0" applyFill="1" applyBorder="1" applyAlignment="1">
      <alignment horizontal="center" vertical="center" wrapText="1"/>
    </xf>
    <xf numFmtId="0" fontId="0" fillId="2" borderId="69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8" borderId="35" xfId="0" applyFill="1" applyBorder="1" applyAlignment="1">
      <alignment horizontal="center" vertical="center" wrapText="1"/>
    </xf>
    <xf numFmtId="11" fontId="0" fillId="0" borderId="9" xfId="0" applyNumberFormat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5" borderId="37" xfId="0" applyFill="1" applyBorder="1" applyAlignment="1">
      <alignment horizontal="center" vertical="center" wrapText="1"/>
    </xf>
    <xf numFmtId="164" fontId="0" fillId="5" borderId="53" xfId="0" applyNumberFormat="1" applyFill="1" applyBorder="1" applyAlignment="1">
      <alignment horizontal="center" vertical="center" wrapText="1"/>
    </xf>
    <xf numFmtId="164" fontId="0" fillId="5" borderId="44" xfId="0" applyNumberForma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36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5" borderId="52" xfId="0" applyFill="1" applyBorder="1" applyAlignment="1">
      <alignment horizontal="center" vertical="center" wrapText="1"/>
    </xf>
    <xf numFmtId="11" fontId="0" fillId="0" borderId="74" xfId="0" applyNumberFormat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11" fontId="0" fillId="0" borderId="4" xfId="0" applyNumberFormat="1" applyBorder="1" applyAlignment="1">
      <alignment horizontal="center" vertical="center" wrapText="1"/>
    </xf>
    <xf numFmtId="11" fontId="0" fillId="0" borderId="14" xfId="0" applyNumberFormat="1" applyBorder="1" applyAlignment="1">
      <alignment horizontal="center" vertical="center" wrapText="1"/>
    </xf>
    <xf numFmtId="11" fontId="0" fillId="0" borderId="28" xfId="0" applyNumberFormat="1" applyBorder="1" applyAlignment="1">
      <alignment horizontal="center" vertical="center" wrapText="1"/>
    </xf>
    <xf numFmtId="11" fontId="0" fillId="0" borderId="44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2" fontId="0" fillId="0" borderId="52" xfId="0" quotePrefix="1" applyNumberFormat="1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11" fontId="0" fillId="0" borderId="20" xfId="0" applyNumberFormat="1" applyBorder="1" applyAlignment="1">
      <alignment horizontal="center" vertical="center" wrapText="1"/>
    </xf>
    <xf numFmtId="0" fontId="0" fillId="5" borderId="69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12" xfId="0" applyNumberFormat="1" applyBorder="1" applyAlignment="1">
      <alignment horizontal="center" vertical="center" wrapText="1"/>
    </xf>
    <xf numFmtId="10" fontId="0" fillId="0" borderId="28" xfId="0" applyNumberFormat="1" applyBorder="1" applyAlignment="1">
      <alignment horizontal="center" vertical="center" wrapText="1"/>
    </xf>
    <xf numFmtId="10" fontId="0" fillId="0" borderId="20" xfId="0" applyNumberFormat="1" applyBorder="1" applyAlignment="1">
      <alignment horizontal="center" vertical="center" wrapText="1"/>
    </xf>
    <xf numFmtId="10" fontId="0" fillId="0" borderId="11" xfId="0" applyNumberFormat="1" applyBorder="1" applyAlignment="1">
      <alignment horizontal="center" vertical="center" wrapText="1"/>
    </xf>
    <xf numFmtId="10" fontId="0" fillId="0" borderId="57" xfId="0" applyNumberFormat="1" applyBorder="1" applyAlignment="1">
      <alignment horizontal="center" vertical="center" wrapText="1"/>
    </xf>
    <xf numFmtId="10" fontId="0" fillId="0" borderId="21" xfId="0" applyNumberFormat="1" applyBorder="1" applyAlignment="1">
      <alignment horizontal="center" vertical="center" wrapText="1"/>
    </xf>
    <xf numFmtId="172" fontId="0" fillId="0" borderId="27" xfId="1" applyNumberFormat="1" applyFont="1" applyBorder="1" applyAlignment="1">
      <alignment horizontal="center" vertical="center" wrapText="1"/>
    </xf>
    <xf numFmtId="172" fontId="0" fillId="0" borderId="17" xfId="1" applyNumberFormat="1" applyFont="1" applyBorder="1" applyAlignment="1">
      <alignment horizontal="center" vertical="center" wrapText="1"/>
    </xf>
    <xf numFmtId="0" fontId="0" fillId="7" borderId="36" xfId="0" applyFill="1" applyBorder="1" applyAlignment="1">
      <alignment horizontal="center" vertical="center" wrapText="1"/>
    </xf>
    <xf numFmtId="10" fontId="0" fillId="0" borderId="29" xfId="0" applyNumberFormat="1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51" xfId="0" applyFill="1" applyBorder="1" applyAlignment="1">
      <alignment horizontal="right" vertical="center"/>
    </xf>
    <xf numFmtId="0" fontId="0" fillId="7" borderId="64" xfId="0" applyFill="1" applyBorder="1" applyAlignment="1">
      <alignment horizontal="right" vertical="center"/>
    </xf>
    <xf numFmtId="0" fontId="0" fillId="7" borderId="6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69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6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66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0" fillId="7" borderId="54" xfId="0" applyFill="1" applyBorder="1" applyAlignment="1">
      <alignment horizontal="right" vertical="center"/>
    </xf>
    <xf numFmtId="0" fontId="0" fillId="7" borderId="33" xfId="0" applyFill="1" applyBorder="1" applyAlignment="1">
      <alignment horizontal="center" vertical="center"/>
    </xf>
    <xf numFmtId="0" fontId="0" fillId="7" borderId="7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7" borderId="68" xfId="0" applyFill="1" applyBorder="1" applyAlignment="1">
      <alignment horizontal="right" vertical="center"/>
    </xf>
    <xf numFmtId="11" fontId="0" fillId="4" borderId="32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0" fillId="10" borderId="2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33" xfId="0" applyFill="1" applyBorder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34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0" xfId="0" applyFill="1"/>
    <xf numFmtId="11" fontId="0" fillId="10" borderId="0" xfId="0" applyNumberFormat="1" applyFill="1" applyAlignment="1">
      <alignment horizontal="center" vertical="center"/>
    </xf>
    <xf numFmtId="0" fontId="25" fillId="10" borderId="0" xfId="0" applyFont="1" applyFill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1" fontId="0" fillId="9" borderId="0" xfId="0" applyNumberFormat="1" applyFill="1" applyAlignment="1">
      <alignment horizontal="center" vertical="center"/>
    </xf>
    <xf numFmtId="0" fontId="0" fillId="11" borderId="1" xfId="0" applyFill="1" applyBorder="1" applyAlignment="1">
      <alignment horizontal="left" vertical="center"/>
    </xf>
    <xf numFmtId="0" fontId="0" fillId="11" borderId="2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33" xfId="0" applyFill="1" applyBorder="1" applyAlignment="1">
      <alignment horizontal="left" vertical="center"/>
    </xf>
    <xf numFmtId="0" fontId="0" fillId="11" borderId="0" xfId="0" applyFill="1" applyAlignment="1">
      <alignment horizontal="center" vertical="center"/>
    </xf>
    <xf numFmtId="0" fontId="0" fillId="11" borderId="34" xfId="0" applyFill="1" applyBorder="1" applyAlignment="1">
      <alignment horizontal="center" vertical="center"/>
    </xf>
    <xf numFmtId="0" fontId="0" fillId="11" borderId="33" xfId="0" applyFill="1" applyBorder="1" applyAlignment="1">
      <alignment horizontal="center" vertical="center"/>
    </xf>
    <xf numFmtId="0" fontId="0" fillId="11" borderId="0" xfId="0" applyFill="1"/>
    <xf numFmtId="11" fontId="0" fillId="11" borderId="0" xfId="0" applyNumberForma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167" fontId="0" fillId="11" borderId="0" xfId="0" applyNumberFormat="1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25" fillId="11" borderId="0" xfId="0" applyFont="1" applyFill="1" applyAlignment="1">
      <alignment horizontal="right" vertical="center"/>
    </xf>
    <xf numFmtId="2" fontId="0" fillId="11" borderId="0" xfId="0" applyNumberFormat="1" applyFill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4" xfId="0" applyFill="1" applyBorder="1"/>
    <xf numFmtId="0" fontId="0" fillId="10" borderId="5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11" fontId="0" fillId="10" borderId="2" xfId="0" applyNumberFormat="1" applyFill="1" applyBorder="1" applyAlignment="1">
      <alignment horizontal="center" vertical="center"/>
    </xf>
    <xf numFmtId="168" fontId="0" fillId="10" borderId="0" xfId="0" applyNumberFormat="1" applyFill="1" applyAlignment="1">
      <alignment horizontal="center" vertical="center"/>
    </xf>
    <xf numFmtId="171" fontId="0" fillId="10" borderId="0" xfId="0" applyNumberFormat="1" applyFill="1" applyAlignment="1">
      <alignment horizontal="center" vertical="center"/>
    </xf>
    <xf numFmtId="0" fontId="25" fillId="10" borderId="5" xfId="0" applyFont="1" applyFill="1" applyBorder="1" applyAlignment="1">
      <alignment horizontal="center" vertical="center"/>
    </xf>
    <xf numFmtId="171" fontId="0" fillId="10" borderId="5" xfId="0" applyNumberFormat="1" applyFill="1" applyBorder="1" applyAlignment="1">
      <alignment horizontal="center" vertical="center"/>
    </xf>
    <xf numFmtId="171" fontId="0" fillId="10" borderId="2" xfId="0" applyNumberFormat="1" applyFill="1" applyBorder="1" applyAlignment="1">
      <alignment horizontal="center" vertical="center"/>
    </xf>
    <xf numFmtId="0" fontId="0" fillId="10" borderId="4" xfId="0" applyFill="1" applyBorder="1" applyAlignment="1">
      <alignment horizontal="left" vertical="center"/>
    </xf>
    <xf numFmtId="11" fontId="0" fillId="10" borderId="5" xfId="0" applyNumberFormat="1" applyFill="1" applyBorder="1" applyAlignment="1">
      <alignment horizontal="center" vertical="center"/>
    </xf>
    <xf numFmtId="11" fontId="0" fillId="10" borderId="0" xfId="0" applyNumberFormat="1" applyFill="1" applyAlignment="1">
      <alignment horizontal="left" vertical="center"/>
    </xf>
    <xf numFmtId="0" fontId="0" fillId="10" borderId="5" xfId="0" applyFill="1" applyBorder="1"/>
    <xf numFmtId="0" fontId="0" fillId="10" borderId="2" xfId="0" applyFill="1" applyBorder="1"/>
    <xf numFmtId="0" fontId="0" fillId="9" borderId="28" xfId="0" applyFill="1" applyBorder="1" applyAlignment="1">
      <alignment horizontal="center" vertical="center"/>
    </xf>
    <xf numFmtId="0" fontId="25" fillId="9" borderId="55" xfId="0" applyFont="1" applyFill="1" applyBorder="1" applyAlignment="1">
      <alignment horizontal="center" vertical="center"/>
    </xf>
    <xf numFmtId="11" fontId="0" fillId="9" borderId="57" xfId="0" applyNumberFormat="1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9" borderId="55" xfId="0" applyFill="1" applyBorder="1" applyAlignment="1">
      <alignment horizontal="center" vertical="center"/>
    </xf>
    <xf numFmtId="11" fontId="0" fillId="9" borderId="50" xfId="0" applyNumberFormat="1" applyFill="1" applyBorder="1" applyAlignment="1">
      <alignment horizontal="center" vertical="center"/>
    </xf>
    <xf numFmtId="11" fontId="0" fillId="9" borderId="11" xfId="0" applyNumberFormat="1" applyFill="1" applyBorder="1" applyAlignment="1">
      <alignment horizontal="center" vertical="center"/>
    </xf>
    <xf numFmtId="11" fontId="0" fillId="9" borderId="12" xfId="0" applyNumberFormat="1" applyFill="1" applyBorder="1" applyAlignment="1">
      <alignment horizontal="center" vertical="center"/>
    </xf>
    <xf numFmtId="11" fontId="0" fillId="9" borderId="34" xfId="0" applyNumberFormat="1" applyFill="1" applyBorder="1" applyAlignment="1">
      <alignment horizontal="center" vertical="center"/>
    </xf>
    <xf numFmtId="1" fontId="0" fillId="9" borderId="57" xfId="0" applyNumberFormat="1" applyFill="1" applyBorder="1" applyAlignment="1">
      <alignment horizontal="center" vertical="center"/>
    </xf>
    <xf numFmtId="11" fontId="0" fillId="9" borderId="29" xfId="0" applyNumberFormat="1" applyFill="1" applyBorder="1" applyAlignment="1">
      <alignment horizontal="center" vertical="center"/>
    </xf>
    <xf numFmtId="2" fontId="0" fillId="9" borderId="56" xfId="0" applyNumberFormat="1" applyFill="1" applyBorder="1" applyAlignment="1">
      <alignment horizontal="center" vertical="center"/>
    </xf>
    <xf numFmtId="11" fontId="0" fillId="9" borderId="32" xfId="0" applyNumberFormat="1" applyFill="1" applyBorder="1" applyAlignment="1">
      <alignment horizontal="center" vertical="center"/>
    </xf>
    <xf numFmtId="11" fontId="0" fillId="9" borderId="28" xfId="0" applyNumberFormat="1" applyFill="1" applyBorder="1" applyAlignment="1">
      <alignment horizontal="center" vertical="center"/>
    </xf>
    <xf numFmtId="11" fontId="0" fillId="9" borderId="20" xfId="0" applyNumberFormat="1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2" fontId="0" fillId="9" borderId="14" xfId="0" applyNumberFormat="1" applyFill="1" applyBorder="1" applyAlignment="1">
      <alignment horizontal="center" vertical="center"/>
    </xf>
    <xf numFmtId="2" fontId="0" fillId="9" borderId="53" xfId="0" applyNumberFormat="1" applyFill="1" applyBorder="1" applyAlignment="1">
      <alignment horizontal="center" vertical="center"/>
    </xf>
    <xf numFmtId="2" fontId="0" fillId="9" borderId="28" xfId="0" applyNumberFormat="1" applyFill="1" applyBorder="1" applyAlignment="1">
      <alignment horizontal="center" vertical="center"/>
    </xf>
    <xf numFmtId="2" fontId="0" fillId="9" borderId="20" xfId="0" applyNumberFormat="1" applyFill="1" applyBorder="1" applyAlignment="1">
      <alignment horizontal="center" vertical="center"/>
    </xf>
    <xf numFmtId="10" fontId="0" fillId="4" borderId="21" xfId="0" applyNumberFormat="1" applyFill="1" applyBorder="1" applyAlignment="1">
      <alignment horizontal="center" vertical="center"/>
    </xf>
    <xf numFmtId="0" fontId="0" fillId="10" borderId="0" xfId="0" applyFill="1" applyAlignment="1">
      <alignment horizontal="left" vertical="center" wrapText="1"/>
    </xf>
    <xf numFmtId="2" fontId="0" fillId="9" borderId="65" xfId="0" applyNumberFormat="1" applyFill="1" applyBorder="1" applyAlignment="1">
      <alignment horizontal="center" vertical="center"/>
    </xf>
    <xf numFmtId="11" fontId="0" fillId="9" borderId="39" xfId="0" applyNumberForma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25" fillId="9" borderId="24" xfId="0" applyFont="1" applyFill="1" applyBorder="1" applyAlignment="1">
      <alignment horizontal="center" vertical="center"/>
    </xf>
    <xf numFmtId="11" fontId="0" fillId="9" borderId="23" xfId="0" applyNumberFormat="1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43" xfId="0" applyFill="1" applyBorder="1" applyAlignment="1">
      <alignment horizontal="center" vertical="center"/>
    </xf>
    <xf numFmtId="11" fontId="0" fillId="9" borderId="14" xfId="0" applyNumberForma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11" fontId="0" fillId="9" borderId="5" xfId="0" applyNumberFormat="1" applyFill="1" applyBorder="1" applyAlignment="1">
      <alignment horizontal="center" vertical="center"/>
    </xf>
    <xf numFmtId="0" fontId="0" fillId="9" borderId="44" xfId="0" applyFill="1" applyBorder="1" applyAlignment="1">
      <alignment horizontal="center" vertical="center"/>
    </xf>
    <xf numFmtId="0" fontId="0" fillId="9" borderId="54" xfId="0" applyFill="1" applyBorder="1" applyAlignment="1">
      <alignment horizontal="center" vertical="center"/>
    </xf>
    <xf numFmtId="11" fontId="0" fillId="9" borderId="4" xfId="0" applyNumberFormat="1" applyFill="1" applyBorder="1" applyAlignment="1">
      <alignment horizontal="center" vertical="center"/>
    </xf>
    <xf numFmtId="11" fontId="0" fillId="9" borderId="10" xfId="0" applyNumberFormat="1" applyFill="1" applyBorder="1" applyAlignment="1">
      <alignment horizontal="center" vertical="center"/>
    </xf>
    <xf numFmtId="11" fontId="0" fillId="9" borderId="74" xfId="0" applyNumberFormat="1" applyFill="1" applyBorder="1" applyAlignment="1">
      <alignment horizontal="center" vertical="center"/>
    </xf>
    <xf numFmtId="0" fontId="0" fillId="9" borderId="41" xfId="0" applyFill="1" applyBorder="1" applyAlignment="1">
      <alignment horizontal="center" vertical="center"/>
    </xf>
    <xf numFmtId="0" fontId="25" fillId="9" borderId="41" xfId="0" applyFont="1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11" fontId="0" fillId="9" borderId="15" xfId="0" applyNumberFormat="1" applyFill="1" applyBorder="1" applyAlignment="1">
      <alignment horizontal="center" vertical="center"/>
    </xf>
    <xf numFmtId="0" fontId="0" fillId="9" borderId="47" xfId="0" applyFill="1" applyBorder="1" applyAlignment="1">
      <alignment horizontal="center" vertical="center"/>
    </xf>
    <xf numFmtId="2" fontId="0" fillId="9" borderId="38" xfId="0" applyNumberFormat="1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2" fontId="0" fillId="9" borderId="24" xfId="0" applyNumberFormat="1" applyFill="1" applyBorder="1" applyAlignment="1">
      <alignment horizontal="center" vertical="center"/>
    </xf>
    <xf numFmtId="164" fontId="0" fillId="5" borderId="42" xfId="0" applyNumberFormat="1" applyFill="1" applyBorder="1" applyAlignment="1">
      <alignment horizontal="center" vertical="center" wrapText="1"/>
    </xf>
    <xf numFmtId="49" fontId="0" fillId="0" borderId="52" xfId="0" applyNumberFormat="1" applyBorder="1" applyAlignment="1" applyProtection="1">
      <alignment horizontal="center" vertical="center"/>
      <protection locked="0"/>
    </xf>
    <xf numFmtId="0" fontId="30" fillId="0" borderId="62" xfId="0" applyFont="1" applyBorder="1" applyAlignment="1">
      <alignment horizontal="center" vertical="center"/>
    </xf>
    <xf numFmtId="0" fontId="30" fillId="0" borderId="61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2" xfId="0" applyFont="1" applyBorder="1" applyAlignment="1">
      <alignment horizontal="left" vertical="center"/>
    </xf>
    <xf numFmtId="0" fontId="30" fillId="0" borderId="63" xfId="0" applyFont="1" applyBorder="1" applyAlignment="1">
      <alignment horizontal="left" vertical="center"/>
    </xf>
    <xf numFmtId="0" fontId="30" fillId="0" borderId="0" xfId="0" applyFont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64" xfId="0" applyFont="1" applyBorder="1" applyAlignment="1">
      <alignment horizontal="center" vertical="center"/>
    </xf>
    <xf numFmtId="0" fontId="30" fillId="0" borderId="60" xfId="0" applyFont="1" applyBorder="1" applyAlignment="1">
      <alignment horizontal="left" vertical="center"/>
    </xf>
    <xf numFmtId="0" fontId="30" fillId="0" borderId="64" xfId="0" applyFont="1" applyBorder="1" applyAlignment="1">
      <alignment horizontal="left" vertical="center"/>
    </xf>
    <xf numFmtId="0" fontId="30" fillId="0" borderId="38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47" xfId="0" applyFont="1" applyBorder="1" applyAlignment="1">
      <alignment horizontal="center" vertical="center"/>
    </xf>
    <xf numFmtId="0" fontId="30" fillId="0" borderId="38" xfId="0" applyFont="1" applyBorder="1" applyAlignment="1">
      <alignment horizontal="left" vertical="center"/>
    </xf>
    <xf numFmtId="0" fontId="30" fillId="0" borderId="47" xfId="0" applyFont="1" applyBorder="1" applyAlignment="1">
      <alignment horizontal="left" vertical="center"/>
    </xf>
    <xf numFmtId="0" fontId="30" fillId="0" borderId="0" xfId="0" applyFont="1"/>
    <xf numFmtId="0" fontId="30" fillId="0" borderId="0" xfId="0" applyFont="1" applyAlignment="1">
      <alignment horizontal="left" vertical="center"/>
    </xf>
    <xf numFmtId="0" fontId="30" fillId="7" borderId="52" xfId="0" applyFont="1" applyFill="1" applyBorder="1" applyAlignment="1">
      <alignment horizontal="center" vertical="center"/>
    </xf>
    <xf numFmtId="49" fontId="30" fillId="0" borderId="0" xfId="0" applyNumberFormat="1" applyFont="1" applyAlignment="1">
      <alignment horizontal="center" vertical="center"/>
    </xf>
    <xf numFmtId="0" fontId="30" fillId="7" borderId="69" xfId="0" applyFont="1" applyFill="1" applyBorder="1" applyAlignment="1">
      <alignment horizontal="center" vertical="center"/>
    </xf>
    <xf numFmtId="0" fontId="30" fillId="7" borderId="9" xfId="0" applyFont="1" applyFill="1" applyBorder="1" applyAlignment="1">
      <alignment horizontal="center" vertical="center"/>
    </xf>
    <xf numFmtId="0" fontId="30" fillId="7" borderId="69" xfId="0" applyFont="1" applyFill="1" applyBorder="1" applyAlignment="1">
      <alignment horizontal="center" vertical="center" wrapText="1"/>
    </xf>
    <xf numFmtId="0" fontId="30" fillId="7" borderId="36" xfId="0" applyFont="1" applyFill="1" applyBorder="1" applyAlignment="1">
      <alignment horizontal="center" vertical="center" wrapText="1"/>
    </xf>
    <xf numFmtId="0" fontId="30" fillId="7" borderId="7" xfId="0" applyFont="1" applyFill="1" applyBorder="1" applyAlignment="1">
      <alignment horizontal="center" vertical="center" wrapText="1"/>
    </xf>
    <xf numFmtId="0" fontId="30" fillId="7" borderId="66" xfId="0" applyFont="1" applyFill="1" applyBorder="1" applyAlignment="1">
      <alignment horizontal="center" vertical="center" wrapText="1"/>
    </xf>
    <xf numFmtId="0" fontId="30" fillId="7" borderId="7" xfId="0" applyFont="1" applyFill="1" applyBorder="1" applyAlignment="1">
      <alignment horizontal="center" vertical="center"/>
    </xf>
    <xf numFmtId="0" fontId="30" fillId="7" borderId="66" xfId="0" applyFont="1" applyFill="1" applyBorder="1" applyAlignment="1">
      <alignment horizontal="center" vertical="center"/>
    </xf>
    <xf numFmtId="0" fontId="30" fillId="9" borderId="14" xfId="0" applyFont="1" applyFill="1" applyBorder="1" applyAlignment="1">
      <alignment horizontal="center" vertical="center"/>
    </xf>
    <xf numFmtId="0" fontId="32" fillId="9" borderId="24" xfId="0" applyFont="1" applyFill="1" applyBorder="1" applyAlignment="1">
      <alignment horizontal="center" vertical="center"/>
    </xf>
    <xf numFmtId="11" fontId="30" fillId="9" borderId="11" xfId="0" applyNumberFormat="1" applyFont="1" applyFill="1" applyBorder="1" applyAlignment="1">
      <alignment horizontal="center" vertical="center"/>
    </xf>
    <xf numFmtId="0" fontId="30" fillId="9" borderId="54" xfId="0" applyFont="1" applyFill="1" applyBorder="1" applyAlignment="1">
      <alignment horizontal="center" vertical="center"/>
    </xf>
    <xf numFmtId="2" fontId="30" fillId="9" borderId="43" xfId="0" applyNumberFormat="1" applyFont="1" applyFill="1" applyBorder="1" applyAlignment="1">
      <alignment horizontal="center" vertical="center"/>
    </xf>
    <xf numFmtId="11" fontId="30" fillId="9" borderId="10" xfId="0" applyNumberFormat="1" applyFont="1" applyFill="1" applyBorder="1" applyAlignment="1">
      <alignment horizontal="center" vertical="center"/>
    </xf>
    <xf numFmtId="0" fontId="30" fillId="9" borderId="24" xfId="0" applyFont="1" applyFill="1" applyBorder="1" applyAlignment="1">
      <alignment horizontal="center" vertical="center"/>
    </xf>
    <xf numFmtId="11" fontId="30" fillId="9" borderId="23" xfId="0" applyNumberFormat="1" applyFont="1" applyFill="1" applyBorder="1" applyAlignment="1">
      <alignment horizontal="center" vertical="center"/>
    </xf>
    <xf numFmtId="0" fontId="30" fillId="9" borderId="43" xfId="0" applyFont="1" applyFill="1" applyBorder="1" applyAlignment="1">
      <alignment horizontal="center" vertical="center"/>
    </xf>
    <xf numFmtId="11" fontId="30" fillId="9" borderId="14" xfId="0" applyNumberFormat="1" applyFont="1" applyFill="1" applyBorder="1" applyAlignment="1">
      <alignment horizontal="center" vertical="center"/>
    </xf>
    <xf numFmtId="11" fontId="30" fillId="9" borderId="12" xfId="0" applyNumberFormat="1" applyFont="1" applyFill="1" applyBorder="1" applyAlignment="1">
      <alignment horizontal="center" vertical="center"/>
    </xf>
    <xf numFmtId="2" fontId="30" fillId="9" borderId="14" xfId="0" applyNumberFormat="1" applyFont="1" applyFill="1" applyBorder="1" applyAlignment="1">
      <alignment horizontal="center" vertical="center"/>
    </xf>
    <xf numFmtId="11" fontId="30" fillId="0" borderId="0" xfId="0" applyNumberFormat="1" applyFont="1" applyAlignment="1">
      <alignment horizontal="center" vertical="center"/>
    </xf>
    <xf numFmtId="0" fontId="30" fillId="9" borderId="28" xfId="0" applyFont="1" applyFill="1" applyBorder="1" applyAlignment="1">
      <alignment horizontal="center" vertical="center"/>
    </xf>
    <xf numFmtId="0" fontId="32" fillId="9" borderId="55" xfId="0" applyFont="1" applyFill="1" applyBorder="1" applyAlignment="1">
      <alignment horizontal="center" vertical="center"/>
    </xf>
    <xf numFmtId="11" fontId="30" fillId="9" borderId="57" xfId="0" applyNumberFormat="1" applyFont="1" applyFill="1" applyBorder="1" applyAlignment="1">
      <alignment horizontal="center" vertical="center"/>
    </xf>
    <xf numFmtId="0" fontId="30" fillId="9" borderId="51" xfId="0" applyFont="1" applyFill="1" applyBorder="1" applyAlignment="1">
      <alignment horizontal="center" vertical="center"/>
    </xf>
    <xf numFmtId="2" fontId="30" fillId="9" borderId="56" xfId="0" applyNumberFormat="1" applyFont="1" applyFill="1" applyBorder="1" applyAlignment="1">
      <alignment horizontal="center" vertical="center"/>
    </xf>
    <xf numFmtId="11" fontId="30" fillId="9" borderId="74" xfId="0" applyNumberFormat="1" applyFont="1" applyFill="1" applyBorder="1" applyAlignment="1">
      <alignment horizontal="center" vertical="center"/>
    </xf>
    <xf numFmtId="0" fontId="30" fillId="9" borderId="55" xfId="0" applyFont="1" applyFill="1" applyBorder="1" applyAlignment="1">
      <alignment horizontal="center" vertical="center"/>
    </xf>
    <xf numFmtId="0" fontId="30" fillId="9" borderId="50" xfId="0" applyFont="1" applyFill="1" applyBorder="1" applyAlignment="1">
      <alignment horizontal="center" vertical="center"/>
    </xf>
    <xf numFmtId="0" fontId="30" fillId="9" borderId="56" xfId="0" applyFont="1" applyFill="1" applyBorder="1" applyAlignment="1">
      <alignment horizontal="center" vertical="center"/>
    </xf>
    <xf numFmtId="11" fontId="30" fillId="9" borderId="28" xfId="0" applyNumberFormat="1" applyFont="1" applyFill="1" applyBorder="1" applyAlignment="1">
      <alignment horizontal="center" vertical="center"/>
    </xf>
    <xf numFmtId="11" fontId="30" fillId="9" borderId="29" xfId="0" applyNumberFormat="1" applyFont="1" applyFill="1" applyBorder="1" applyAlignment="1">
      <alignment horizontal="center" vertical="center"/>
    </xf>
    <xf numFmtId="2" fontId="30" fillId="9" borderId="53" xfId="0" applyNumberFormat="1" applyFont="1" applyFill="1" applyBorder="1" applyAlignment="1">
      <alignment horizontal="center" vertical="center"/>
    </xf>
    <xf numFmtId="11" fontId="30" fillId="9" borderId="50" xfId="0" applyNumberFormat="1" applyFont="1" applyFill="1" applyBorder="1" applyAlignment="1">
      <alignment horizontal="center" vertical="center"/>
    </xf>
    <xf numFmtId="0" fontId="30" fillId="9" borderId="57" xfId="0" applyFont="1" applyFill="1" applyBorder="1" applyAlignment="1">
      <alignment horizontal="center" vertical="center"/>
    </xf>
    <xf numFmtId="2" fontId="30" fillId="9" borderId="28" xfId="0" applyNumberFormat="1" applyFont="1" applyFill="1" applyBorder="1" applyAlignment="1">
      <alignment horizontal="center" vertical="center"/>
    </xf>
    <xf numFmtId="0" fontId="30" fillId="9" borderId="44" xfId="0" applyFont="1" applyFill="1" applyBorder="1" applyAlignment="1">
      <alignment horizontal="center" vertical="center"/>
    </xf>
    <xf numFmtId="0" fontId="32" fillId="9" borderId="41" xfId="0" applyFont="1" applyFill="1" applyBorder="1" applyAlignment="1">
      <alignment horizontal="center" vertical="center"/>
    </xf>
    <xf numFmtId="11" fontId="30" fillId="9" borderId="5" xfId="0" applyNumberFormat="1" applyFont="1" applyFill="1" applyBorder="1" applyAlignment="1">
      <alignment horizontal="center" vertical="center"/>
    </xf>
    <xf numFmtId="0" fontId="30" fillId="9" borderId="5" xfId="0" applyFont="1" applyFill="1" applyBorder="1" applyAlignment="1">
      <alignment horizontal="center" vertical="center"/>
    </xf>
    <xf numFmtId="2" fontId="30" fillId="9" borderId="65" xfId="0" applyNumberFormat="1" applyFont="1" applyFill="1" applyBorder="1" applyAlignment="1">
      <alignment horizontal="center" vertical="center"/>
    </xf>
    <xf numFmtId="11" fontId="30" fillId="9" borderId="4" xfId="0" applyNumberFormat="1" applyFont="1" applyFill="1" applyBorder="1" applyAlignment="1">
      <alignment horizontal="center" vertical="center"/>
    </xf>
    <xf numFmtId="0" fontId="30" fillId="9" borderId="41" xfId="0" applyFont="1" applyFill="1" applyBorder="1" applyAlignment="1">
      <alignment horizontal="center" vertical="center"/>
    </xf>
    <xf numFmtId="11" fontId="30" fillId="9" borderId="39" xfId="0" applyNumberFormat="1" applyFont="1" applyFill="1" applyBorder="1" applyAlignment="1">
      <alignment horizontal="center" vertical="center"/>
    </xf>
    <xf numFmtId="11" fontId="30" fillId="9" borderId="44" xfId="0" applyNumberFormat="1" applyFont="1" applyFill="1" applyBorder="1" applyAlignment="1">
      <alignment horizontal="center" vertical="center"/>
    </xf>
    <xf numFmtId="11" fontId="30" fillId="9" borderId="6" xfId="0" applyNumberFormat="1" applyFont="1" applyFill="1" applyBorder="1" applyAlignment="1">
      <alignment horizontal="center" vertical="center"/>
    </xf>
    <xf numFmtId="2" fontId="30" fillId="9" borderId="44" xfId="0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2" fontId="30" fillId="0" borderId="0" xfId="0" applyNumberFormat="1" applyFont="1" applyAlignment="1">
      <alignment horizontal="center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54" xfId="0" applyFont="1" applyFill="1" applyBorder="1" applyAlignment="1">
      <alignment horizontal="right" vertical="center"/>
    </xf>
    <xf numFmtId="0" fontId="30" fillId="7" borderId="33" xfId="0" applyFont="1" applyFill="1" applyBorder="1" applyAlignment="1">
      <alignment horizontal="center" vertical="center"/>
    </xf>
    <xf numFmtId="0" fontId="30" fillId="7" borderId="64" xfId="0" applyFont="1" applyFill="1" applyBorder="1" applyAlignment="1">
      <alignment horizontal="right" vertical="center"/>
    </xf>
    <xf numFmtId="0" fontId="30" fillId="9" borderId="0" xfId="0" applyFont="1" applyFill="1" applyAlignment="1">
      <alignment horizontal="center" vertical="center"/>
    </xf>
    <xf numFmtId="11" fontId="30" fillId="9" borderId="34" xfId="0" applyNumberFormat="1" applyFont="1" applyFill="1" applyBorder="1" applyAlignment="1">
      <alignment horizontal="center" vertical="center"/>
    </xf>
    <xf numFmtId="0" fontId="30" fillId="7" borderId="74" xfId="0" applyFont="1" applyFill="1" applyBorder="1" applyAlignment="1">
      <alignment horizontal="center" vertical="center"/>
    </xf>
    <xf numFmtId="0" fontId="30" fillId="7" borderId="51" xfId="0" applyFont="1" applyFill="1" applyBorder="1" applyAlignment="1">
      <alignment horizontal="right" vertical="center"/>
    </xf>
    <xf numFmtId="1" fontId="30" fillId="9" borderId="57" xfId="0" applyNumberFormat="1" applyFont="1" applyFill="1" applyBorder="1" applyAlignment="1">
      <alignment horizontal="center" vertical="center"/>
    </xf>
    <xf numFmtId="0" fontId="30" fillId="7" borderId="50" xfId="0" applyFont="1" applyFill="1" applyBorder="1" applyAlignment="1">
      <alignment horizontal="center" vertical="center"/>
    </xf>
    <xf numFmtId="11" fontId="30" fillId="9" borderId="0" xfId="0" applyNumberFormat="1" applyFont="1" applyFill="1" applyAlignment="1">
      <alignment horizontal="center" vertical="center"/>
    </xf>
    <xf numFmtId="0" fontId="30" fillId="7" borderId="19" xfId="0" applyFont="1" applyFill="1" applyBorder="1" applyAlignment="1">
      <alignment horizontal="center" vertical="center"/>
    </xf>
    <xf numFmtId="0" fontId="30" fillId="7" borderId="68" xfId="0" applyFont="1" applyFill="1" applyBorder="1" applyAlignment="1">
      <alignment horizontal="right" vertical="center"/>
    </xf>
    <xf numFmtId="11" fontId="30" fillId="4" borderId="32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right" vertical="center"/>
    </xf>
    <xf numFmtId="0" fontId="30" fillId="11" borderId="1" xfId="0" applyFont="1" applyFill="1" applyBorder="1" applyAlignment="1">
      <alignment horizontal="left" vertical="center"/>
    </xf>
    <xf numFmtId="0" fontId="30" fillId="11" borderId="2" xfId="0" applyFont="1" applyFill="1" applyBorder="1" applyAlignment="1">
      <alignment horizontal="center" vertical="center"/>
    </xf>
    <xf numFmtId="0" fontId="30" fillId="11" borderId="3" xfId="0" applyFont="1" applyFill="1" applyBorder="1" applyAlignment="1">
      <alignment horizontal="center" vertical="center"/>
    </xf>
    <xf numFmtId="0" fontId="30" fillId="11" borderId="33" xfId="0" applyFont="1" applyFill="1" applyBorder="1" applyAlignment="1">
      <alignment horizontal="left" vertical="center"/>
    </xf>
    <xf numFmtId="0" fontId="30" fillId="11" borderId="0" xfId="0" applyFont="1" applyFill="1" applyAlignment="1">
      <alignment horizontal="center" vertical="center"/>
    </xf>
    <xf numFmtId="0" fontId="30" fillId="11" borderId="34" xfId="0" applyFont="1" applyFill="1" applyBorder="1" applyAlignment="1">
      <alignment horizontal="center" vertical="center"/>
    </xf>
    <xf numFmtId="0" fontId="30" fillId="11" borderId="33" xfId="0" applyFont="1" applyFill="1" applyBorder="1" applyAlignment="1">
      <alignment horizontal="center" vertical="center"/>
    </xf>
    <xf numFmtId="0" fontId="30" fillId="11" borderId="0" xfId="0" applyFont="1" applyFill="1"/>
    <xf numFmtId="11" fontId="30" fillId="11" borderId="0" xfId="0" applyNumberFormat="1" applyFont="1" applyFill="1" applyAlignment="1">
      <alignment horizontal="center" vertical="center"/>
    </xf>
    <xf numFmtId="0" fontId="32" fillId="11" borderId="0" xfId="0" applyFont="1" applyFill="1" applyAlignment="1">
      <alignment horizontal="center" vertical="center"/>
    </xf>
    <xf numFmtId="167" fontId="30" fillId="11" borderId="0" xfId="0" applyNumberFormat="1" applyFont="1" applyFill="1" applyAlignment="1">
      <alignment horizontal="center" vertical="center"/>
    </xf>
    <xf numFmtId="1" fontId="30" fillId="11" borderId="0" xfId="0" applyNumberFormat="1" applyFont="1" applyFill="1" applyAlignment="1">
      <alignment horizontal="center" vertical="center"/>
    </xf>
    <xf numFmtId="0" fontId="32" fillId="11" borderId="0" xfId="0" applyFont="1" applyFill="1" applyAlignment="1">
      <alignment horizontal="right" vertical="center"/>
    </xf>
    <xf numFmtId="2" fontId="30" fillId="11" borderId="0" xfId="0" applyNumberFormat="1" applyFont="1" applyFill="1" applyAlignment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30" fillId="11" borderId="5" xfId="0" applyFont="1" applyFill="1" applyBorder="1" applyAlignment="1">
      <alignment horizontal="center" vertical="center"/>
    </xf>
    <xf numFmtId="0" fontId="30" fillId="11" borderId="6" xfId="0" applyFont="1" applyFill="1" applyBorder="1" applyAlignment="1">
      <alignment horizontal="center" vertical="center"/>
    </xf>
    <xf numFmtId="0" fontId="30" fillId="11" borderId="1" xfId="0" applyFont="1" applyFill="1" applyBorder="1" applyAlignment="1">
      <alignment horizontal="center" vertical="center"/>
    </xf>
    <xf numFmtId="0" fontId="30" fillId="10" borderId="1" xfId="0" applyFont="1" applyFill="1" applyBorder="1" applyAlignment="1">
      <alignment horizontal="center" vertical="center"/>
    </xf>
    <xf numFmtId="0" fontId="30" fillId="10" borderId="2" xfId="0" applyFont="1" applyFill="1" applyBorder="1" applyAlignment="1">
      <alignment horizontal="center" vertical="center"/>
    </xf>
    <xf numFmtId="0" fontId="30" fillId="10" borderId="3" xfId="0" applyFont="1" applyFill="1" applyBorder="1" applyAlignment="1">
      <alignment horizontal="center" vertical="center"/>
    </xf>
    <xf numFmtId="0" fontId="30" fillId="10" borderId="33" xfId="0" applyFont="1" applyFill="1" applyBorder="1" applyAlignment="1">
      <alignment horizontal="left" vertical="center"/>
    </xf>
    <xf numFmtId="0" fontId="30" fillId="10" borderId="0" xfId="0" applyFont="1" applyFill="1" applyAlignment="1">
      <alignment horizontal="center" vertical="center"/>
    </xf>
    <xf numFmtId="0" fontId="30" fillId="10" borderId="34" xfId="0" applyFont="1" applyFill="1" applyBorder="1" applyAlignment="1">
      <alignment horizontal="center" vertical="center"/>
    </xf>
    <xf numFmtId="0" fontId="30" fillId="10" borderId="33" xfId="0" applyFont="1" applyFill="1" applyBorder="1" applyAlignment="1">
      <alignment horizontal="center" vertical="center"/>
    </xf>
    <xf numFmtId="0" fontId="30" fillId="10" borderId="0" xfId="0" applyFont="1" applyFill="1" applyAlignment="1">
      <alignment horizontal="left" vertical="center"/>
    </xf>
    <xf numFmtId="11" fontId="30" fillId="10" borderId="0" xfId="0" applyNumberFormat="1" applyFont="1" applyFill="1" applyAlignment="1">
      <alignment horizontal="center" vertical="center"/>
    </xf>
    <xf numFmtId="0" fontId="30" fillId="10" borderId="0" xfId="0" applyFont="1" applyFill="1"/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6" xfId="0" applyFont="1" applyFill="1" applyBorder="1" applyAlignment="1">
      <alignment horizontal="center" vertical="center"/>
    </xf>
    <xf numFmtId="0" fontId="30" fillId="10" borderId="52" xfId="0" applyFont="1" applyFill="1" applyBorder="1" applyAlignment="1">
      <alignment horizontal="center" vertical="center"/>
    </xf>
    <xf numFmtId="49" fontId="30" fillId="10" borderId="52" xfId="0" applyNumberFormat="1" applyFont="1" applyFill="1" applyBorder="1" applyAlignment="1">
      <alignment horizontal="center" vertical="center"/>
    </xf>
    <xf numFmtId="49" fontId="30" fillId="10" borderId="0" xfId="0" applyNumberFormat="1" applyFont="1" applyFill="1" applyAlignment="1">
      <alignment horizontal="center" vertical="center"/>
    </xf>
    <xf numFmtId="0" fontId="30" fillId="10" borderId="52" xfId="0" applyFont="1" applyFill="1" applyBorder="1" applyAlignment="1">
      <alignment horizontal="center" vertical="center" wrapText="1"/>
    </xf>
    <xf numFmtId="15" fontId="30" fillId="10" borderId="52" xfId="0" applyNumberFormat="1" applyFont="1" applyFill="1" applyBorder="1" applyAlignment="1">
      <alignment horizontal="center" vertical="center"/>
    </xf>
    <xf numFmtId="11" fontId="30" fillId="10" borderId="52" xfId="0" applyNumberFormat="1" applyFont="1" applyFill="1" applyBorder="1" applyAlignment="1">
      <alignment horizontal="center" vertical="center"/>
    </xf>
    <xf numFmtId="14" fontId="30" fillId="10" borderId="0" xfId="0" applyNumberFormat="1" applyFont="1" applyFill="1" applyAlignment="1">
      <alignment horizontal="center" vertical="center"/>
    </xf>
    <xf numFmtId="0" fontId="30" fillId="10" borderId="0" xfId="0" applyFont="1" applyFill="1" applyAlignment="1">
      <alignment horizontal="left" vertical="center" wrapText="1"/>
    </xf>
    <xf numFmtId="0" fontId="30" fillId="10" borderId="5" xfId="0" applyFont="1" applyFill="1" applyBorder="1" applyAlignment="1">
      <alignment horizontal="left" vertical="center" wrapText="1"/>
    </xf>
    <xf numFmtId="0" fontId="30" fillId="10" borderId="2" xfId="0" applyFont="1" applyFill="1" applyBorder="1" applyAlignment="1">
      <alignment horizontal="left" vertical="center" wrapText="1"/>
    </xf>
    <xf numFmtId="0" fontId="30" fillId="10" borderId="34" xfId="0" applyFont="1" applyFill="1" applyBorder="1"/>
    <xf numFmtId="0" fontId="30" fillId="10" borderId="5" xfId="0" applyFont="1" applyFill="1" applyBorder="1" applyAlignment="1">
      <alignment horizontal="left" vertical="center"/>
    </xf>
    <xf numFmtId="0" fontId="30" fillId="10" borderId="2" xfId="0" applyFont="1" applyFill="1" applyBorder="1" applyAlignment="1">
      <alignment horizontal="left" vertical="center"/>
    </xf>
    <xf numFmtId="0" fontId="32" fillId="10" borderId="0" xfId="0" applyFont="1" applyFill="1" applyAlignment="1">
      <alignment horizontal="center" vertical="center"/>
    </xf>
    <xf numFmtId="11" fontId="30" fillId="10" borderId="2" xfId="0" applyNumberFormat="1" applyFont="1" applyFill="1" applyBorder="1" applyAlignment="1">
      <alignment horizontal="center" vertical="center"/>
    </xf>
    <xf numFmtId="168" fontId="30" fillId="10" borderId="0" xfId="0" applyNumberFormat="1" applyFont="1" applyFill="1" applyAlignment="1">
      <alignment horizontal="center" vertical="center"/>
    </xf>
    <xf numFmtId="171" fontId="30" fillId="10" borderId="0" xfId="0" applyNumberFormat="1" applyFont="1" applyFill="1" applyAlignment="1">
      <alignment horizontal="center" vertical="center"/>
    </xf>
    <xf numFmtId="0" fontId="32" fillId="10" borderId="5" xfId="0" applyFont="1" applyFill="1" applyBorder="1" applyAlignment="1">
      <alignment horizontal="center" vertical="center"/>
    </xf>
    <xf numFmtId="171" fontId="30" fillId="10" borderId="5" xfId="0" applyNumberFormat="1" applyFont="1" applyFill="1" applyBorder="1" applyAlignment="1">
      <alignment horizontal="center" vertical="center"/>
    </xf>
    <xf numFmtId="171" fontId="30" fillId="10" borderId="2" xfId="0" applyNumberFormat="1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left" vertical="center"/>
    </xf>
    <xf numFmtId="0" fontId="30" fillId="10" borderId="1" xfId="0" applyFont="1" applyFill="1" applyBorder="1" applyAlignment="1">
      <alignment horizontal="left" vertical="center"/>
    </xf>
    <xf numFmtId="11" fontId="30" fillId="10" borderId="5" xfId="0" applyNumberFormat="1" applyFont="1" applyFill="1" applyBorder="1" applyAlignment="1">
      <alignment horizontal="center" vertical="center"/>
    </xf>
    <xf numFmtId="11" fontId="30" fillId="10" borderId="0" xfId="0" applyNumberFormat="1" applyFont="1" applyFill="1" applyAlignment="1">
      <alignment horizontal="left" vertical="center"/>
    </xf>
    <xf numFmtId="0" fontId="30" fillId="10" borderId="5" xfId="0" applyFont="1" applyFill="1" applyBorder="1"/>
    <xf numFmtId="0" fontId="30" fillId="10" borderId="2" xfId="0" applyFont="1" applyFill="1" applyBorder="1"/>
    <xf numFmtId="171" fontId="0" fillId="0" borderId="0" xfId="0" applyNumberFormat="1" applyAlignment="1">
      <alignment horizontal="center" vertical="center" wrapText="1"/>
    </xf>
    <xf numFmtId="0" fontId="33" fillId="0" borderId="62" xfId="0" applyFont="1" applyBorder="1"/>
    <xf numFmtId="0" fontId="33" fillId="0" borderId="0" xfId="0" applyFont="1" applyAlignment="1">
      <alignment horizontal="center" vertical="center" wrapText="1"/>
    </xf>
    <xf numFmtId="0" fontId="33" fillId="0" borderId="60" xfId="0" applyFont="1" applyBorder="1"/>
    <xf numFmtId="0" fontId="33" fillId="0" borderId="38" xfId="0" applyFont="1" applyBorder="1"/>
    <xf numFmtId="0" fontId="34" fillId="0" borderId="0" xfId="0" applyFont="1" applyAlignment="1">
      <alignment horizontal="center" vertical="center" wrapText="1"/>
    </xf>
    <xf numFmtId="0" fontId="33" fillId="2" borderId="13" xfId="0" applyFont="1" applyFill="1" applyBorder="1" applyAlignment="1">
      <alignment horizontal="center" vertical="center" wrapText="1"/>
    </xf>
    <xf numFmtId="0" fontId="33" fillId="2" borderId="14" xfId="0" applyFont="1" applyFill="1" applyBorder="1" applyAlignment="1">
      <alignment horizontal="center" vertical="center" wrapText="1"/>
    </xf>
    <xf numFmtId="0" fontId="33" fillId="2" borderId="15" xfId="0" applyFont="1" applyFill="1" applyBorder="1" applyAlignment="1">
      <alignment horizontal="center" vertical="center" wrapText="1"/>
    </xf>
    <xf numFmtId="0" fontId="33" fillId="0" borderId="19" xfId="0" applyFont="1" applyBorder="1" applyAlignment="1">
      <alignment horizontal="center" vertical="center" wrapText="1"/>
    </xf>
    <xf numFmtId="14" fontId="33" fillId="0" borderId="20" xfId="0" applyNumberFormat="1" applyFont="1" applyBorder="1" applyAlignment="1">
      <alignment horizontal="center" vertical="center" wrapText="1"/>
    </xf>
    <xf numFmtId="0" fontId="33" fillId="0" borderId="21" xfId="0" applyFont="1" applyBorder="1" applyAlignment="1">
      <alignment horizontal="center" vertical="center" wrapText="1"/>
    </xf>
    <xf numFmtId="164" fontId="33" fillId="0" borderId="20" xfId="0" applyNumberFormat="1" applyFont="1" applyBorder="1" applyAlignment="1">
      <alignment horizontal="center" vertical="center" wrapText="1"/>
    </xf>
    <xf numFmtId="164" fontId="33" fillId="0" borderId="22" xfId="0" applyNumberFormat="1" applyFont="1" applyBorder="1" applyAlignment="1">
      <alignment horizontal="center" vertical="center" wrapText="1"/>
    </xf>
    <xf numFmtId="0" fontId="33" fillId="2" borderId="28" xfId="0" applyFont="1" applyFill="1" applyBorder="1" applyAlignment="1">
      <alignment horizontal="center" vertical="center" wrapText="1"/>
    </xf>
    <xf numFmtId="164" fontId="33" fillId="0" borderId="29" xfId="0" applyNumberFormat="1" applyFont="1" applyBorder="1" applyAlignment="1">
      <alignment horizontal="center" vertical="center" wrapText="1"/>
    </xf>
    <xf numFmtId="0" fontId="33" fillId="2" borderId="30" xfId="0" applyFont="1" applyFill="1" applyBorder="1" applyAlignment="1">
      <alignment horizontal="center" vertical="center" wrapText="1"/>
    </xf>
    <xf numFmtId="164" fontId="33" fillId="0" borderId="31" xfId="0" applyNumberFormat="1" applyFont="1" applyBorder="1" applyAlignment="1">
      <alignment horizontal="center" vertical="center" wrapText="1"/>
    </xf>
    <xf numFmtId="0" fontId="33" fillId="2" borderId="20" xfId="0" applyFont="1" applyFill="1" applyBorder="1" applyAlignment="1">
      <alignment horizontal="center" vertical="center" wrapText="1"/>
    </xf>
    <xf numFmtId="164" fontId="33" fillId="0" borderId="32" xfId="0" applyNumberFormat="1" applyFont="1" applyBorder="1" applyAlignment="1">
      <alignment horizontal="center" vertical="center" wrapText="1"/>
    </xf>
    <xf numFmtId="0" fontId="33" fillId="2" borderId="4" xfId="0" applyFont="1" applyFill="1" applyBorder="1" applyAlignment="1">
      <alignment horizontal="center" vertical="center" wrapText="1"/>
    </xf>
    <xf numFmtId="0" fontId="33" fillId="0" borderId="13" xfId="0" applyFont="1" applyBorder="1" applyAlignment="1">
      <alignment horizontal="center" vertical="center" wrapText="1"/>
    </xf>
    <xf numFmtId="0" fontId="33" fillId="0" borderId="24" xfId="0" applyFont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69" xfId="0" applyFont="1" applyFill="1" applyBorder="1" applyAlignment="1">
      <alignment horizontal="center" vertical="center" wrapText="1"/>
    </xf>
    <xf numFmtId="0" fontId="33" fillId="2" borderId="86" xfId="0" applyFont="1" applyFill="1" applyBorder="1" applyAlignment="1">
      <alignment horizontal="center" vertical="center" wrapText="1"/>
    </xf>
    <xf numFmtId="0" fontId="33" fillId="0" borderId="18" xfId="0" applyFont="1" applyBorder="1" applyAlignment="1">
      <alignment horizontal="center" vertical="center" wrapText="1"/>
    </xf>
    <xf numFmtId="11" fontId="33" fillId="0" borderId="10" xfId="0" applyNumberFormat="1" applyFont="1" applyBorder="1" applyAlignment="1">
      <alignment horizontal="center" vertical="center" wrapText="1"/>
    </xf>
    <xf numFmtId="0" fontId="33" fillId="0" borderId="14" xfId="0" applyFont="1" applyBorder="1" applyAlignment="1">
      <alignment horizontal="center" vertical="center" wrapText="1"/>
    </xf>
    <xf numFmtId="10" fontId="33" fillId="0" borderId="12" xfId="0" applyNumberFormat="1" applyFont="1" applyBorder="1" applyAlignment="1">
      <alignment horizontal="center" vertical="center" wrapText="1"/>
    </xf>
    <xf numFmtId="11" fontId="33" fillId="0" borderId="74" xfId="0" applyNumberFormat="1" applyFont="1" applyBorder="1" applyAlignment="1">
      <alignment horizontal="center" vertical="center" wrapText="1"/>
    </xf>
    <xf numFmtId="0" fontId="33" fillId="0" borderId="28" xfId="0" applyFont="1" applyBorder="1" applyAlignment="1">
      <alignment horizontal="center" vertical="center" wrapText="1"/>
    </xf>
    <xf numFmtId="10" fontId="33" fillId="0" borderId="29" xfId="0" applyNumberFormat="1" applyFont="1" applyBorder="1" applyAlignment="1">
      <alignment horizontal="center" vertical="center" wrapText="1"/>
    </xf>
    <xf numFmtId="11" fontId="33" fillId="0" borderId="4" xfId="0" applyNumberFormat="1" applyFont="1" applyBorder="1" applyAlignment="1">
      <alignment horizontal="center" vertical="center" wrapText="1"/>
    </xf>
    <xf numFmtId="0" fontId="33" fillId="0" borderId="44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 wrapText="1"/>
    </xf>
    <xf numFmtId="0" fontId="33" fillId="8" borderId="35" xfId="0" applyFont="1" applyFill="1" applyBorder="1" applyAlignment="1">
      <alignment horizontal="center" vertical="center" wrapText="1"/>
    </xf>
    <xf numFmtId="11" fontId="33" fillId="0" borderId="9" xfId="0" applyNumberFormat="1" applyFont="1" applyBorder="1" applyAlignment="1">
      <alignment horizontal="center" vertical="center" wrapText="1"/>
    </xf>
    <xf numFmtId="0" fontId="33" fillId="2" borderId="17" xfId="0" applyFont="1" applyFill="1" applyBorder="1" applyAlignment="1">
      <alignment horizontal="center" vertical="center" wrapText="1"/>
    </xf>
    <xf numFmtId="0" fontId="33" fillId="2" borderId="6" xfId="0" applyFont="1" applyFill="1" applyBorder="1" applyAlignment="1">
      <alignment horizontal="center" vertical="center" wrapText="1"/>
    </xf>
    <xf numFmtId="0" fontId="33" fillId="0" borderId="25" xfId="0" applyFont="1" applyBorder="1" applyAlignment="1">
      <alignment horizontal="center" vertical="center" wrapText="1"/>
    </xf>
    <xf numFmtId="11" fontId="33" fillId="0" borderId="27" xfId="0" applyNumberFormat="1" applyFont="1" applyBorder="1" applyAlignment="1">
      <alignment horizontal="center" vertical="center" wrapText="1"/>
    </xf>
    <xf numFmtId="0" fontId="33" fillId="0" borderId="27" xfId="0" applyFont="1" applyBorder="1" applyAlignment="1">
      <alignment horizontal="center" vertical="center" wrapText="1"/>
    </xf>
    <xf numFmtId="11" fontId="33" fillId="0" borderId="38" xfId="0" quotePrefix="1" applyNumberFormat="1" applyFont="1" applyBorder="1" applyAlignment="1">
      <alignment horizontal="center" vertical="center" wrapText="1"/>
    </xf>
    <xf numFmtId="11" fontId="33" fillId="0" borderId="24" xfId="0" quotePrefix="1" applyNumberFormat="1" applyFont="1" applyBorder="1" applyAlignment="1">
      <alignment horizontal="center" vertical="center" wrapText="1"/>
    </xf>
    <xf numFmtId="0" fontId="33" fillId="0" borderId="16" xfId="0" applyFont="1" applyBorder="1" applyAlignment="1">
      <alignment horizontal="center" vertical="center" wrapText="1"/>
    </xf>
    <xf numFmtId="11" fontId="33" fillId="0" borderId="17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center" wrapText="1"/>
    </xf>
    <xf numFmtId="11" fontId="33" fillId="0" borderId="17" xfId="0" quotePrefix="1" applyNumberFormat="1" applyFont="1" applyBorder="1" applyAlignment="1">
      <alignment horizontal="center" vertical="center" wrapText="1"/>
    </xf>
    <xf numFmtId="11" fontId="33" fillId="0" borderId="18" xfId="0" applyNumberFormat="1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3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3" fillId="0" borderId="23" xfId="0" applyFont="1" applyBorder="1" applyAlignment="1">
      <alignment horizontal="center" vertical="center" wrapText="1"/>
    </xf>
    <xf numFmtId="0" fontId="33" fillId="0" borderId="48" xfId="0" applyFont="1" applyBorder="1" applyAlignment="1">
      <alignment horizontal="center" vertical="center" wrapText="1"/>
    </xf>
    <xf numFmtId="0" fontId="33" fillId="0" borderId="50" xfId="0" applyFont="1" applyBorder="1" applyAlignment="1">
      <alignment horizontal="center" vertical="center" wrapText="1"/>
    </xf>
    <xf numFmtId="0" fontId="33" fillId="0" borderId="52" xfId="0" applyFont="1" applyBorder="1" applyAlignment="1">
      <alignment horizontal="center" vertical="center" wrapText="1"/>
    </xf>
    <xf numFmtId="0" fontId="33" fillId="0" borderId="55" xfId="0" applyFont="1" applyBorder="1" applyAlignment="1">
      <alignment horizontal="center" vertical="center" wrapText="1"/>
    </xf>
    <xf numFmtId="0" fontId="33" fillId="0" borderId="0" xfId="0" applyFont="1" applyAlignment="1">
      <alignment vertical="center" wrapText="1"/>
    </xf>
    <xf numFmtId="0" fontId="33" fillId="5" borderId="52" xfId="0" applyFont="1" applyFill="1" applyBorder="1" applyAlignment="1">
      <alignment horizontal="center" vertical="center" wrapText="1"/>
    </xf>
    <xf numFmtId="0" fontId="33" fillId="0" borderId="52" xfId="0" quotePrefix="1" applyFont="1" applyBorder="1" applyAlignment="1">
      <alignment horizontal="center" vertical="center" wrapText="1"/>
    </xf>
    <xf numFmtId="2" fontId="33" fillId="0" borderId="52" xfId="0" applyNumberFormat="1" applyFont="1" applyBorder="1" applyAlignment="1">
      <alignment horizontal="center" vertical="center" wrapText="1"/>
    </xf>
    <xf numFmtId="0" fontId="33" fillId="0" borderId="52" xfId="0" applyFont="1" applyBorder="1" applyAlignment="1">
      <alignment horizontal="right" vertical="center" wrapText="1"/>
    </xf>
    <xf numFmtId="0" fontId="33" fillId="5" borderId="38" xfId="0" applyFont="1" applyFill="1" applyBorder="1" applyAlignment="1">
      <alignment horizontal="right" vertical="center" wrapText="1"/>
    </xf>
    <xf numFmtId="0" fontId="33" fillId="0" borderId="56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left" vertical="center" wrapText="1"/>
    </xf>
    <xf numFmtId="0" fontId="33" fillId="5" borderId="56" xfId="0" applyFont="1" applyFill="1" applyBorder="1" applyAlignment="1">
      <alignment horizontal="right" vertical="center" wrapText="1"/>
    </xf>
    <xf numFmtId="0" fontId="33" fillId="2" borderId="35" xfId="0" applyFont="1" applyFill="1" applyBorder="1" applyAlignment="1">
      <alignment horizontal="left" vertical="center"/>
    </xf>
    <xf numFmtId="0" fontId="33" fillId="2" borderId="36" xfId="0" applyFont="1" applyFill="1" applyBorder="1" applyAlignment="1">
      <alignment horizontal="left" vertical="center"/>
    </xf>
    <xf numFmtId="0" fontId="33" fillId="2" borderId="36" xfId="0" applyFont="1" applyFill="1" applyBorder="1" applyAlignment="1">
      <alignment horizontal="center" vertical="center" wrapText="1"/>
    </xf>
    <xf numFmtId="0" fontId="33" fillId="0" borderId="37" xfId="0" applyFont="1" applyBorder="1" applyAlignment="1">
      <alignment horizontal="center" vertical="center" wrapText="1"/>
    </xf>
    <xf numFmtId="0" fontId="33" fillId="3" borderId="1" xfId="0" applyFont="1" applyFill="1" applyBorder="1"/>
    <xf numFmtId="0" fontId="33" fillId="3" borderId="2" xfId="0" applyFont="1" applyFill="1" applyBorder="1"/>
    <xf numFmtId="0" fontId="33" fillId="3" borderId="3" xfId="0" applyFont="1" applyFill="1" applyBorder="1" applyAlignment="1">
      <alignment horizontal="right"/>
    </xf>
    <xf numFmtId="0" fontId="33" fillId="3" borderId="33" xfId="0" applyFont="1" applyFill="1" applyBorder="1"/>
    <xf numFmtId="0" fontId="33" fillId="3" borderId="0" xfId="0" applyFont="1" applyFill="1"/>
    <xf numFmtId="0" fontId="33" fillId="3" borderId="34" xfId="0" applyFont="1" applyFill="1" applyBorder="1"/>
    <xf numFmtId="14" fontId="33" fillId="3" borderId="0" xfId="0" applyNumberFormat="1" applyFont="1" applyFill="1" applyAlignment="1">
      <alignment horizontal="right"/>
    </xf>
    <xf numFmtId="14" fontId="33" fillId="3" borderId="34" xfId="0" applyNumberFormat="1" applyFont="1" applyFill="1" applyBorder="1" applyAlignment="1">
      <alignment horizontal="right"/>
    </xf>
    <xf numFmtId="14" fontId="33" fillId="3" borderId="0" xfId="0" applyNumberFormat="1" applyFont="1" applyFill="1"/>
    <xf numFmtId="14" fontId="33" fillId="3" borderId="34" xfId="0" applyNumberFormat="1" applyFont="1" applyFill="1" applyBorder="1"/>
    <xf numFmtId="0" fontId="33" fillId="3" borderId="4" xfId="0" applyFont="1" applyFill="1" applyBorder="1"/>
    <xf numFmtId="0" fontId="33" fillId="3" borderId="5" xfId="0" applyFont="1" applyFill="1" applyBorder="1"/>
    <xf numFmtId="164" fontId="33" fillId="3" borderId="6" xfId="0" applyNumberFormat="1" applyFont="1" applyFill="1" applyBorder="1"/>
    <xf numFmtId="11" fontId="33" fillId="0" borderId="0" xfId="0" applyNumberFormat="1" applyFont="1" applyAlignment="1">
      <alignment horizontal="center" vertical="center" wrapText="1"/>
    </xf>
    <xf numFmtId="0" fontId="33" fillId="5" borderId="42" xfId="0" applyFont="1" applyFill="1" applyBorder="1" applyAlignment="1">
      <alignment horizontal="center" vertical="center" wrapText="1"/>
    </xf>
    <xf numFmtId="0" fontId="33" fillId="5" borderId="7" xfId="0" applyFont="1" applyFill="1" applyBorder="1" applyAlignment="1">
      <alignment horizontal="center" vertical="center" wrapText="1"/>
    </xf>
    <xf numFmtId="0" fontId="33" fillId="5" borderId="8" xfId="0" applyFont="1" applyFill="1" applyBorder="1" applyAlignment="1">
      <alignment horizontal="center" vertical="center" wrapText="1"/>
    </xf>
    <xf numFmtId="0" fontId="33" fillId="5" borderId="66" xfId="0" applyFont="1" applyFill="1" applyBorder="1" applyAlignment="1">
      <alignment horizontal="center" vertical="center" wrapText="1"/>
    </xf>
    <xf numFmtId="0" fontId="33" fillId="5" borderId="9" xfId="0" applyFont="1" applyFill="1" applyBorder="1" applyAlignment="1">
      <alignment horizontal="center" vertical="center" wrapText="1"/>
    </xf>
    <xf numFmtId="0" fontId="33" fillId="5" borderId="67" xfId="0" applyFont="1" applyFill="1" applyBorder="1" applyAlignment="1">
      <alignment horizontal="center" vertical="center" wrapText="1"/>
    </xf>
    <xf numFmtId="11" fontId="33" fillId="0" borderId="48" xfId="0" applyNumberFormat="1" applyFont="1" applyBorder="1" applyAlignment="1" applyProtection="1">
      <alignment horizontal="center" vertical="center" wrapText="1"/>
      <protection locked="0"/>
    </xf>
    <xf numFmtId="15" fontId="33" fillId="0" borderId="52" xfId="0" applyNumberFormat="1" applyFont="1" applyBorder="1" applyAlignment="1" applyProtection="1">
      <alignment horizontal="center" vertical="center" wrapText="1"/>
      <protection locked="0"/>
    </xf>
    <xf numFmtId="11" fontId="33" fillId="0" borderId="27" xfId="0" applyNumberFormat="1" applyFont="1" applyBorder="1" applyAlignment="1" applyProtection="1">
      <alignment horizontal="center" vertical="center" wrapText="1"/>
      <protection locked="0"/>
    </xf>
    <xf numFmtId="2" fontId="33" fillId="0" borderId="27" xfId="0" applyNumberFormat="1" applyFont="1" applyBorder="1" applyAlignment="1">
      <alignment horizontal="center" vertical="center" wrapText="1"/>
    </xf>
    <xf numFmtId="11" fontId="33" fillId="0" borderId="15" xfId="0" applyNumberFormat="1" applyFont="1" applyBorder="1" applyAlignment="1">
      <alignment horizontal="center" vertical="center" wrapText="1"/>
    </xf>
    <xf numFmtId="164" fontId="33" fillId="0" borderId="23" xfId="0" applyNumberFormat="1" applyFont="1" applyBorder="1" applyAlignment="1" applyProtection="1">
      <alignment horizontal="center" vertical="center" wrapText="1"/>
      <protection locked="0"/>
    </xf>
    <xf numFmtId="1" fontId="33" fillId="0" borderId="48" xfId="0" applyNumberFormat="1" applyFont="1" applyBorder="1" applyAlignment="1" applyProtection="1">
      <alignment horizontal="center" vertical="center" wrapText="1"/>
      <protection locked="0"/>
    </xf>
    <xf numFmtId="15" fontId="33" fillId="0" borderId="48" xfId="0" applyNumberFormat="1" applyFont="1" applyBorder="1" applyAlignment="1" applyProtection="1">
      <alignment horizontal="center" vertical="center" wrapText="1"/>
      <protection locked="0"/>
    </xf>
    <xf numFmtId="11" fontId="33" fillId="0" borderId="38" xfId="0" applyNumberFormat="1" applyFont="1" applyBorder="1" applyAlignment="1">
      <alignment horizontal="center" vertical="center" wrapText="1"/>
    </xf>
    <xf numFmtId="11" fontId="33" fillId="0" borderId="26" xfId="0" applyNumberFormat="1" applyFont="1" applyBorder="1" applyAlignment="1">
      <alignment horizontal="center" vertical="center" wrapText="1"/>
    </xf>
    <xf numFmtId="164" fontId="33" fillId="0" borderId="47" xfId="0" applyNumberFormat="1" applyFont="1" applyBorder="1" applyAlignment="1" applyProtection="1">
      <alignment horizontal="center" vertical="center" wrapText="1"/>
      <protection locked="0"/>
    </xf>
    <xf numFmtId="1" fontId="33" fillId="0" borderId="47" xfId="0" applyNumberFormat="1" applyFont="1" applyBorder="1" applyAlignment="1" applyProtection="1">
      <alignment horizontal="center" vertical="center" wrapText="1"/>
      <protection locked="0"/>
    </xf>
    <xf numFmtId="164" fontId="33" fillId="0" borderId="15" xfId="0" applyNumberFormat="1" applyFont="1" applyBorder="1" applyAlignment="1" applyProtection="1">
      <alignment horizontal="center" vertical="center" wrapText="1"/>
      <protection locked="0"/>
    </xf>
    <xf numFmtId="164" fontId="33" fillId="0" borderId="27" xfId="0" applyNumberFormat="1" applyFont="1" applyBorder="1" applyAlignment="1" applyProtection="1">
      <alignment horizontal="center" vertical="center" wrapText="1"/>
      <protection locked="0"/>
    </xf>
    <xf numFmtId="15" fontId="33" fillId="0" borderId="27" xfId="0" applyNumberFormat="1" applyFont="1" applyBorder="1" applyAlignment="1" applyProtection="1">
      <alignment horizontal="center" vertical="center" wrapText="1"/>
      <protection locked="0"/>
    </xf>
    <xf numFmtId="164" fontId="33" fillId="0" borderId="25" xfId="0" applyNumberFormat="1" applyFont="1" applyBorder="1" applyAlignment="1" applyProtection="1">
      <alignment horizontal="center" vertical="center" wrapText="1"/>
      <protection locked="0"/>
    </xf>
    <xf numFmtId="11" fontId="33" fillId="0" borderId="15" xfId="0" applyNumberFormat="1" applyFont="1" applyBorder="1" applyAlignment="1" applyProtection="1">
      <alignment horizontal="center" vertical="center" wrapText="1"/>
      <protection locked="0"/>
    </xf>
    <xf numFmtId="1" fontId="33" fillId="0" borderId="15" xfId="0" applyNumberFormat="1" applyFont="1" applyBorder="1" applyAlignment="1" applyProtection="1">
      <alignment horizontal="center" vertical="center" wrapText="1"/>
      <protection locked="0"/>
    </xf>
    <xf numFmtId="1" fontId="33" fillId="0" borderId="27" xfId="0" applyNumberFormat="1" applyFont="1" applyBorder="1" applyAlignment="1" applyProtection="1">
      <alignment horizontal="center" vertical="center" wrapText="1"/>
      <protection locked="0"/>
    </xf>
    <xf numFmtId="164" fontId="33" fillId="0" borderId="50" xfId="0" applyNumberFormat="1" applyFont="1" applyBorder="1" applyAlignment="1" applyProtection="1">
      <alignment horizontal="center" vertical="center" wrapText="1"/>
      <protection locked="0"/>
    </xf>
    <xf numFmtId="1" fontId="33" fillId="0" borderId="51" xfId="0" applyNumberFormat="1" applyFont="1" applyBorder="1" applyAlignment="1" applyProtection="1">
      <alignment horizontal="center" vertical="center" wrapText="1"/>
      <protection locked="0"/>
    </xf>
    <xf numFmtId="164" fontId="33" fillId="0" borderId="57" xfId="0" applyNumberFormat="1" applyFont="1" applyBorder="1" applyAlignment="1" applyProtection="1">
      <alignment horizontal="center" vertical="center" wrapText="1"/>
      <protection locked="0"/>
    </xf>
    <xf numFmtId="11" fontId="33" fillId="0" borderId="52" xfId="0" applyNumberFormat="1" applyFont="1" applyBorder="1" applyAlignment="1" applyProtection="1">
      <alignment horizontal="center" vertical="center" wrapText="1"/>
      <protection locked="0"/>
    </xf>
    <xf numFmtId="11" fontId="33" fillId="0" borderId="52" xfId="0" applyNumberFormat="1" applyFont="1" applyBorder="1" applyAlignment="1">
      <alignment horizontal="center" vertical="center" wrapText="1"/>
    </xf>
    <xf numFmtId="1" fontId="33" fillId="0" borderId="52" xfId="0" applyNumberFormat="1" applyFont="1" applyBorder="1" applyAlignment="1" applyProtection="1">
      <alignment horizontal="center" vertical="center" wrapText="1"/>
      <protection locked="0"/>
    </xf>
    <xf numFmtId="11" fontId="33" fillId="0" borderId="57" xfId="0" applyNumberFormat="1" applyFont="1" applyBorder="1" applyAlignment="1">
      <alignment horizontal="center" vertical="center" wrapText="1"/>
    </xf>
    <xf numFmtId="11" fontId="33" fillId="0" borderId="56" xfId="0" applyNumberFormat="1" applyFont="1" applyBorder="1" applyAlignment="1">
      <alignment horizontal="center" vertical="center" wrapText="1"/>
    </xf>
    <xf numFmtId="11" fontId="33" fillId="0" borderId="55" xfId="0" applyNumberFormat="1" applyFont="1" applyBorder="1" applyAlignment="1">
      <alignment horizontal="center" vertical="center" wrapText="1"/>
    </xf>
    <xf numFmtId="164" fontId="33" fillId="0" borderId="51" xfId="0" applyNumberFormat="1" applyFont="1" applyBorder="1" applyAlignment="1" applyProtection="1">
      <alignment horizontal="center" vertical="center" wrapText="1"/>
      <protection locked="0"/>
    </xf>
    <xf numFmtId="164" fontId="33" fillId="0" borderId="52" xfId="0" applyNumberFormat="1" applyFont="1" applyBorder="1" applyAlignment="1" applyProtection="1">
      <alignment horizontal="center" vertical="center" wrapText="1"/>
      <protection locked="0"/>
    </xf>
    <xf numFmtId="11" fontId="33" fillId="0" borderId="57" xfId="0" applyNumberFormat="1" applyFont="1" applyBorder="1" applyAlignment="1" applyProtection="1">
      <alignment horizontal="center" vertical="center" wrapText="1"/>
      <protection locked="0"/>
    </xf>
    <xf numFmtId="1" fontId="33" fillId="0" borderId="57" xfId="0" applyNumberFormat="1" applyFont="1" applyBorder="1" applyAlignment="1" applyProtection="1">
      <alignment horizontal="center" vertical="center" wrapText="1"/>
      <protection locked="0"/>
    </xf>
    <xf numFmtId="164" fontId="33" fillId="5" borderId="53" xfId="0" applyNumberFormat="1" applyFont="1" applyFill="1" applyBorder="1" applyAlignment="1">
      <alignment horizontal="center" vertical="center" wrapText="1"/>
    </xf>
    <xf numFmtId="2" fontId="33" fillId="0" borderId="25" xfId="0" applyNumberFormat="1" applyFont="1" applyBorder="1" applyAlignment="1">
      <alignment horizontal="center" vertical="center" wrapText="1"/>
    </xf>
    <xf numFmtId="164" fontId="33" fillId="0" borderId="47" xfId="0" applyNumberFormat="1" applyFont="1" applyBorder="1" applyAlignment="1">
      <alignment horizontal="center" vertical="center" wrapText="1"/>
    </xf>
    <xf numFmtId="164" fontId="33" fillId="0" borderId="15" xfId="0" applyNumberFormat="1" applyFont="1" applyBorder="1" applyAlignment="1">
      <alignment horizontal="center" vertical="center" wrapText="1"/>
    </xf>
    <xf numFmtId="164" fontId="33" fillId="0" borderId="27" xfId="0" applyNumberFormat="1" applyFont="1" applyBorder="1" applyAlignment="1">
      <alignment horizontal="center" vertical="center" wrapText="1"/>
    </xf>
    <xf numFmtId="11" fontId="33" fillId="4" borderId="56" xfId="0" applyNumberFormat="1" applyFont="1" applyFill="1" applyBorder="1" applyAlignment="1">
      <alignment horizontal="center" vertical="center" wrapText="1"/>
    </xf>
    <xf numFmtId="11" fontId="33" fillId="4" borderId="52" xfId="0" applyNumberFormat="1" applyFont="1" applyFill="1" applyBorder="1" applyAlignment="1">
      <alignment horizontal="center" vertical="center" wrapText="1"/>
    </xf>
    <xf numFmtId="2" fontId="33" fillId="0" borderId="50" xfId="0" applyNumberFormat="1" applyFont="1" applyBorder="1" applyAlignment="1">
      <alignment horizontal="center" vertical="center" wrapText="1"/>
    </xf>
    <xf numFmtId="164" fontId="33" fillId="0" borderId="52" xfId="0" applyNumberFormat="1" applyFont="1" applyBorder="1" applyAlignment="1">
      <alignment horizontal="center" vertical="center" wrapText="1"/>
    </xf>
    <xf numFmtId="11" fontId="33" fillId="4" borderId="55" xfId="0" applyNumberFormat="1" applyFont="1" applyFill="1" applyBorder="1" applyAlignment="1">
      <alignment horizontal="center" vertical="center" wrapText="1"/>
    </xf>
    <xf numFmtId="2" fontId="33" fillId="0" borderId="47" xfId="0" applyNumberFormat="1" applyFont="1" applyBorder="1" applyAlignment="1">
      <alignment horizontal="center" vertical="center" wrapText="1"/>
    </xf>
    <xf numFmtId="164" fontId="33" fillId="0" borderId="25" xfId="0" applyNumberFormat="1" applyFont="1" applyBorder="1" applyAlignment="1">
      <alignment horizontal="center" vertical="center" wrapText="1"/>
    </xf>
    <xf numFmtId="1" fontId="33" fillId="0" borderId="15" xfId="0" applyNumberFormat="1" applyFont="1" applyBorder="1" applyAlignment="1">
      <alignment horizontal="center" vertical="center" wrapText="1"/>
    </xf>
    <xf numFmtId="1" fontId="33" fillId="0" borderId="27" xfId="0" applyNumberFormat="1" applyFont="1" applyBorder="1" applyAlignment="1">
      <alignment horizontal="center" vertical="center" wrapText="1"/>
    </xf>
    <xf numFmtId="2" fontId="33" fillId="0" borderId="15" xfId="0" applyNumberFormat="1" applyFont="1" applyBorder="1" applyAlignment="1">
      <alignment horizontal="center" vertical="center" wrapText="1"/>
    </xf>
    <xf numFmtId="2" fontId="33" fillId="0" borderId="0" xfId="0" applyNumberFormat="1" applyFont="1" applyAlignment="1">
      <alignment horizontal="center" vertical="center" wrapText="1"/>
    </xf>
    <xf numFmtId="11" fontId="33" fillId="0" borderId="40" xfId="0" applyNumberFormat="1" applyFont="1" applyBorder="1" applyAlignment="1">
      <alignment horizontal="center" vertical="center" wrapText="1"/>
    </xf>
    <xf numFmtId="11" fontId="33" fillId="0" borderId="21" xfId="0" applyNumberFormat="1" applyFont="1" applyBorder="1" applyAlignment="1">
      <alignment horizontal="center" vertical="center" wrapText="1"/>
    </xf>
    <xf numFmtId="2" fontId="33" fillId="0" borderId="16" xfId="0" applyNumberFormat="1" applyFont="1" applyBorder="1" applyAlignment="1">
      <alignment horizontal="center" vertical="center" wrapText="1"/>
    </xf>
    <xf numFmtId="2" fontId="33" fillId="0" borderId="17" xfId="0" applyNumberFormat="1" applyFont="1" applyBorder="1" applyAlignment="1">
      <alignment horizontal="center" vertical="center" wrapText="1"/>
    </xf>
    <xf numFmtId="11" fontId="33" fillId="0" borderId="5" xfId="0" applyNumberFormat="1" applyFont="1" applyBorder="1" applyAlignment="1">
      <alignment horizontal="center" vertical="center" wrapText="1"/>
    </xf>
    <xf numFmtId="2" fontId="33" fillId="0" borderId="48" xfId="0" applyNumberFormat="1" applyFont="1" applyBorder="1" applyAlignment="1">
      <alignment horizontal="center" vertical="center" wrapText="1"/>
    </xf>
    <xf numFmtId="11" fontId="33" fillId="0" borderId="48" xfId="0" applyNumberFormat="1" applyFont="1" applyBorder="1" applyAlignment="1">
      <alignment horizontal="center" vertical="center" wrapText="1"/>
    </xf>
    <xf numFmtId="11" fontId="33" fillId="0" borderId="43" xfId="0" applyNumberFormat="1" applyFont="1" applyBorder="1" applyAlignment="1">
      <alignment horizontal="center" vertical="center" wrapText="1"/>
    </xf>
    <xf numFmtId="11" fontId="33" fillId="0" borderId="24" xfId="0" applyNumberFormat="1" applyFont="1" applyBorder="1" applyAlignment="1">
      <alignment horizontal="center" vertical="center" wrapText="1"/>
    </xf>
    <xf numFmtId="1" fontId="33" fillId="0" borderId="54" xfId="0" applyNumberFormat="1" applyFont="1" applyBorder="1" applyAlignment="1" applyProtection="1">
      <alignment horizontal="center" vertical="center" wrapText="1"/>
      <protection locked="0"/>
    </xf>
    <xf numFmtId="164" fontId="33" fillId="0" borderId="11" xfId="0" applyNumberFormat="1" applyFont="1" applyBorder="1" applyAlignment="1" applyProtection="1">
      <alignment horizontal="center" vertical="center" wrapText="1"/>
      <protection locked="0"/>
    </xf>
    <xf numFmtId="164" fontId="33" fillId="0" borderId="48" xfId="0" applyNumberFormat="1" applyFont="1" applyBorder="1" applyAlignment="1" applyProtection="1">
      <alignment horizontal="center" vertical="center" wrapText="1"/>
      <protection locked="0"/>
    </xf>
    <xf numFmtId="164" fontId="33" fillId="0" borderId="50" xfId="0" applyNumberFormat="1" applyFont="1" applyBorder="1" applyAlignment="1">
      <alignment horizontal="center" vertical="center" wrapText="1"/>
    </xf>
    <xf numFmtId="1" fontId="33" fillId="0" borderId="52" xfId="0" applyNumberFormat="1" applyFont="1" applyBorder="1" applyAlignment="1">
      <alignment horizontal="center" vertical="center" wrapText="1"/>
    </xf>
    <xf numFmtId="1" fontId="33" fillId="0" borderId="47" xfId="0" applyNumberFormat="1" applyFont="1" applyBorder="1" applyAlignment="1">
      <alignment horizontal="center" vertical="center" wrapText="1"/>
    </xf>
    <xf numFmtId="0" fontId="33" fillId="0" borderId="33" xfId="0" applyFont="1" applyBorder="1" applyAlignment="1">
      <alignment horizontal="center" vertical="center" wrapText="1"/>
    </xf>
    <xf numFmtId="0" fontId="33" fillId="0" borderId="34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3" fillId="0" borderId="34" xfId="0" applyFont="1" applyBorder="1" applyAlignment="1">
      <alignment horizontal="center" vertical="center"/>
    </xf>
    <xf numFmtId="0" fontId="33" fillId="0" borderId="33" xfId="0" applyFont="1" applyBorder="1" applyAlignment="1">
      <alignment horizontal="left" vertical="center"/>
    </xf>
    <xf numFmtId="0" fontId="33" fillId="0" borderId="0" xfId="0" applyFont="1" applyAlignment="1">
      <alignment horizontal="right" vertical="center" wrapText="1"/>
    </xf>
    <xf numFmtId="0" fontId="36" fillId="0" borderId="0" xfId="0" applyFont="1" applyAlignment="1">
      <alignment horizontal="center" vertical="center" wrapText="1"/>
    </xf>
    <xf numFmtId="11" fontId="33" fillId="0" borderId="0" xfId="0" applyNumberFormat="1" applyFont="1" applyAlignment="1" applyProtection="1">
      <alignment horizontal="center" vertical="center" wrapText="1"/>
      <protection locked="0"/>
    </xf>
    <xf numFmtId="164" fontId="33" fillId="0" borderId="0" xfId="0" applyNumberFormat="1" applyFont="1" applyAlignment="1">
      <alignment horizontal="center" vertical="center" wrapText="1"/>
    </xf>
    <xf numFmtId="164" fontId="33" fillId="0" borderId="0" xfId="0" applyNumberFormat="1" applyFont="1" applyAlignment="1" applyProtection="1">
      <alignment horizontal="center" vertical="center" wrapText="1"/>
      <protection locked="0"/>
    </xf>
    <xf numFmtId="0" fontId="33" fillId="0" borderId="0" xfId="0" applyFont="1" applyAlignment="1" applyProtection="1">
      <alignment horizontal="center" vertical="center" wrapText="1"/>
      <protection locked="0"/>
    </xf>
    <xf numFmtId="0" fontId="33" fillId="0" borderId="4" xfId="0" applyFont="1" applyBorder="1" applyAlignment="1">
      <alignment horizontal="center" vertical="center" wrapText="1"/>
    </xf>
    <xf numFmtId="0" fontId="33" fillId="0" borderId="5" xfId="0" applyFont="1" applyBorder="1" applyAlignment="1">
      <alignment horizontal="center" vertical="center" wrapText="1"/>
    </xf>
    <xf numFmtId="11" fontId="33" fillId="4" borderId="0" xfId="0" applyNumberFormat="1" applyFont="1" applyFill="1" applyAlignment="1">
      <alignment horizontal="center" vertical="center" wrapText="1"/>
    </xf>
    <xf numFmtId="0" fontId="33" fillId="4" borderId="0" xfId="0" applyFont="1" applyFill="1" applyAlignment="1">
      <alignment horizontal="center" vertical="center" wrapText="1"/>
    </xf>
    <xf numFmtId="2" fontId="33" fillId="4" borderId="0" xfId="0" applyNumberFormat="1" applyFont="1" applyFill="1" applyAlignment="1">
      <alignment horizontal="center" vertical="center" wrapText="1"/>
    </xf>
    <xf numFmtId="0" fontId="37" fillId="0" borderId="62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7" fillId="0" borderId="60" xfId="0" applyFont="1" applyBorder="1" applyAlignment="1">
      <alignment horizontal="center" vertical="center"/>
    </xf>
    <xf numFmtId="0" fontId="37" fillId="0" borderId="38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7" fillId="0" borderId="0" xfId="0" applyFont="1"/>
    <xf numFmtId="0" fontId="37" fillId="0" borderId="0" xfId="0" applyFont="1" applyAlignment="1">
      <alignment horizontal="left" vertical="center"/>
    </xf>
    <xf numFmtId="0" fontId="37" fillId="7" borderId="52" xfId="0" applyFont="1" applyFill="1" applyBorder="1" applyAlignment="1">
      <alignment horizontal="center" vertical="center"/>
    </xf>
    <xf numFmtId="49" fontId="37" fillId="0" borderId="0" xfId="0" applyNumberFormat="1" applyFont="1" applyAlignment="1">
      <alignment horizontal="center" vertical="center"/>
    </xf>
    <xf numFmtId="0" fontId="37" fillId="7" borderId="69" xfId="0" applyFont="1" applyFill="1" applyBorder="1" applyAlignment="1">
      <alignment horizontal="center" vertical="center"/>
    </xf>
    <xf numFmtId="0" fontId="37" fillId="7" borderId="7" xfId="0" applyFont="1" applyFill="1" applyBorder="1" applyAlignment="1">
      <alignment horizontal="center" vertical="center" wrapText="1"/>
    </xf>
    <xf numFmtId="0" fontId="37" fillId="7" borderId="66" xfId="0" applyFont="1" applyFill="1" applyBorder="1" applyAlignment="1">
      <alignment horizontal="center" vertical="center" wrapText="1"/>
    </xf>
    <xf numFmtId="0" fontId="37" fillId="9" borderId="28" xfId="0" applyFont="1" applyFill="1" applyBorder="1" applyAlignment="1">
      <alignment horizontal="center" vertical="center"/>
    </xf>
    <xf numFmtId="11" fontId="37" fillId="9" borderId="57" xfId="0" applyNumberFormat="1" applyFont="1" applyFill="1" applyBorder="1" applyAlignment="1">
      <alignment horizontal="center" vertical="center"/>
    </xf>
    <xf numFmtId="0" fontId="37" fillId="9" borderId="57" xfId="0" applyFont="1" applyFill="1" applyBorder="1" applyAlignment="1">
      <alignment horizontal="center" vertical="center"/>
    </xf>
    <xf numFmtId="1" fontId="37" fillId="9" borderId="57" xfId="0" applyNumberFormat="1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11" fontId="37" fillId="0" borderId="0" xfId="0" applyNumberFormat="1" applyFont="1" applyAlignment="1">
      <alignment horizontal="center" vertical="center"/>
    </xf>
    <xf numFmtId="0" fontId="37" fillId="10" borderId="1" xfId="0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/>
    </xf>
    <xf numFmtId="0" fontId="37" fillId="10" borderId="3" xfId="0" applyFont="1" applyFill="1" applyBorder="1" applyAlignment="1">
      <alignment horizontal="center" vertical="center"/>
    </xf>
    <xf numFmtId="0" fontId="37" fillId="10" borderId="33" xfId="0" applyFont="1" applyFill="1" applyBorder="1" applyAlignment="1">
      <alignment horizontal="left" vertical="center"/>
    </xf>
    <xf numFmtId="0" fontId="37" fillId="10" borderId="0" xfId="0" applyFont="1" applyFill="1" applyAlignment="1">
      <alignment horizontal="center" vertical="center"/>
    </xf>
    <xf numFmtId="0" fontId="37" fillId="10" borderId="34" xfId="0" applyFont="1" applyFill="1" applyBorder="1" applyAlignment="1">
      <alignment horizontal="center" vertical="center"/>
    </xf>
    <xf numFmtId="0" fontId="37" fillId="10" borderId="33" xfId="0" applyFont="1" applyFill="1" applyBorder="1" applyAlignment="1">
      <alignment horizontal="center" vertical="center"/>
    </xf>
    <xf numFmtId="0" fontId="37" fillId="10" borderId="0" xfId="0" applyFont="1" applyFill="1" applyAlignment="1">
      <alignment horizontal="left" vertical="center"/>
    </xf>
    <xf numFmtId="10" fontId="37" fillId="10" borderId="0" xfId="0" applyNumberFormat="1" applyFont="1" applyFill="1" applyAlignment="1">
      <alignment horizontal="center" vertical="center"/>
    </xf>
    <xf numFmtId="0" fontId="37" fillId="10" borderId="4" xfId="0" applyFont="1" applyFill="1" applyBorder="1" applyAlignment="1">
      <alignment horizontal="center" vertical="center"/>
    </xf>
    <xf numFmtId="0" fontId="37" fillId="10" borderId="5" xfId="0" applyFont="1" applyFill="1" applyBorder="1" applyAlignment="1">
      <alignment horizontal="center" vertical="center"/>
    </xf>
    <xf numFmtId="0" fontId="37" fillId="10" borderId="6" xfId="0" applyFont="1" applyFill="1" applyBorder="1" applyAlignment="1">
      <alignment horizontal="center" vertical="center"/>
    </xf>
    <xf numFmtId="10" fontId="37" fillId="10" borderId="0" xfId="1" applyNumberFormat="1" applyFont="1" applyFill="1" applyAlignment="1">
      <alignment horizontal="center" vertical="center"/>
    </xf>
    <xf numFmtId="11" fontId="37" fillId="10" borderId="0" xfId="0" applyNumberFormat="1" applyFont="1" applyFill="1" applyAlignment="1">
      <alignment horizontal="center" vertical="center"/>
    </xf>
    <xf numFmtId="0" fontId="37" fillId="10" borderId="0" xfId="0" quotePrefix="1" applyFont="1" applyFill="1" applyAlignment="1">
      <alignment horizontal="center" vertical="center"/>
    </xf>
    <xf numFmtId="168" fontId="37" fillId="10" borderId="0" xfId="0" applyNumberFormat="1" applyFont="1" applyFill="1" applyAlignment="1">
      <alignment horizontal="center" vertical="center"/>
    </xf>
    <xf numFmtId="0" fontId="39" fillId="10" borderId="5" xfId="0" applyFont="1" applyFill="1" applyBorder="1" applyAlignment="1">
      <alignment horizontal="center" vertical="center"/>
    </xf>
    <xf numFmtId="171" fontId="37" fillId="10" borderId="5" xfId="0" applyNumberFormat="1" applyFont="1" applyFill="1" applyBorder="1" applyAlignment="1">
      <alignment horizontal="center" vertical="center"/>
    </xf>
    <xf numFmtId="171" fontId="37" fillId="10" borderId="2" xfId="0" applyNumberFormat="1" applyFont="1" applyFill="1" applyBorder="1" applyAlignment="1">
      <alignment horizontal="center" vertical="center"/>
    </xf>
    <xf numFmtId="171" fontId="37" fillId="10" borderId="0" xfId="0" applyNumberFormat="1" applyFont="1" applyFill="1" applyAlignment="1">
      <alignment horizontal="center" vertical="center"/>
    </xf>
    <xf numFmtId="0" fontId="37" fillId="10" borderId="2" xfId="0" applyFont="1" applyFill="1" applyBorder="1" applyAlignment="1">
      <alignment horizontal="left" vertical="center"/>
    </xf>
    <xf numFmtId="2" fontId="37" fillId="10" borderId="0" xfId="0" applyNumberFormat="1" applyFont="1" applyFill="1" applyAlignment="1">
      <alignment horizontal="center" vertical="center"/>
    </xf>
    <xf numFmtId="0" fontId="37" fillId="10" borderId="4" xfId="0" applyFont="1" applyFill="1" applyBorder="1" applyAlignment="1">
      <alignment horizontal="left" vertical="center"/>
    </xf>
    <xf numFmtId="0" fontId="37" fillId="10" borderId="5" xfId="0" applyFont="1" applyFill="1" applyBorder="1" applyAlignment="1">
      <alignment horizontal="left" vertical="center"/>
    </xf>
    <xf numFmtId="0" fontId="37" fillId="10" borderId="1" xfId="0" applyFont="1" applyFill="1" applyBorder="1" applyAlignment="1">
      <alignment horizontal="left" vertical="center"/>
    </xf>
    <xf numFmtId="11" fontId="37" fillId="10" borderId="5" xfId="0" applyNumberFormat="1" applyFont="1" applyFill="1" applyBorder="1" applyAlignment="1">
      <alignment horizontal="center" vertical="center"/>
    </xf>
    <xf numFmtId="0" fontId="37" fillId="10" borderId="2" xfId="0" applyFont="1" applyFill="1" applyBorder="1"/>
    <xf numFmtId="9" fontId="37" fillId="10" borderId="0" xfId="1" applyFont="1" applyFill="1" applyAlignment="1">
      <alignment horizontal="center" vertical="center"/>
    </xf>
    <xf numFmtId="0" fontId="37" fillId="10" borderId="5" xfId="0" applyFont="1" applyFill="1" applyBorder="1"/>
    <xf numFmtId="0" fontId="40" fillId="10" borderId="0" xfId="0" applyFont="1" applyFill="1" applyAlignment="1">
      <alignment horizontal="left" vertical="center"/>
    </xf>
    <xf numFmtId="0" fontId="37" fillId="0" borderId="33" xfId="0" applyFont="1" applyBorder="1" applyAlignment="1">
      <alignment horizontal="center" vertical="center"/>
    </xf>
    <xf numFmtId="0" fontId="37" fillId="7" borderId="44" xfId="0" applyFont="1" applyFill="1" applyBorder="1" applyAlignment="1">
      <alignment horizontal="center" vertical="center"/>
    </xf>
    <xf numFmtId="167" fontId="37" fillId="0" borderId="0" xfId="0" applyNumberFormat="1" applyFont="1" applyAlignment="1">
      <alignment horizontal="center" vertical="center"/>
    </xf>
    <xf numFmtId="0" fontId="37" fillId="9" borderId="10" xfId="0" applyFont="1" applyFill="1" applyBorder="1" applyAlignment="1">
      <alignment horizontal="center" vertical="center"/>
    </xf>
    <xf numFmtId="0" fontId="37" fillId="9" borderId="74" xfId="0" applyFont="1" applyFill="1" applyBorder="1" applyAlignment="1">
      <alignment horizontal="center" vertical="center"/>
    </xf>
    <xf numFmtId="0" fontId="37" fillId="9" borderId="29" xfId="0" applyFont="1" applyFill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37" fillId="0" borderId="6" xfId="0" applyFont="1" applyBorder="1" applyAlignment="1">
      <alignment horizontal="center" vertical="center"/>
    </xf>
    <xf numFmtId="0" fontId="37" fillId="9" borderId="56" xfId="0" applyFont="1" applyFill="1" applyBorder="1" applyAlignment="1">
      <alignment horizontal="center" vertical="center"/>
    </xf>
    <xf numFmtId="1" fontId="37" fillId="9" borderId="56" xfId="0" applyNumberFormat="1" applyFont="1" applyFill="1" applyBorder="1" applyAlignment="1">
      <alignment horizontal="center" vertical="center"/>
    </xf>
    <xf numFmtId="11" fontId="37" fillId="9" borderId="56" xfId="0" applyNumberFormat="1" applyFont="1" applyFill="1" applyBorder="1" applyAlignment="1">
      <alignment horizontal="center" vertical="center"/>
    </xf>
    <xf numFmtId="10" fontId="37" fillId="4" borderId="5" xfId="0" applyNumberFormat="1" applyFont="1" applyFill="1" applyBorder="1" applyAlignment="1">
      <alignment horizontal="center" vertical="center"/>
    </xf>
    <xf numFmtId="0" fontId="37" fillId="4" borderId="6" xfId="0" applyFont="1" applyFill="1" applyBorder="1" applyAlignment="1">
      <alignment horizontal="center" vertical="center"/>
    </xf>
    <xf numFmtId="10" fontId="37" fillId="4" borderId="65" xfId="0" applyNumberFormat="1" applyFont="1" applyFill="1" applyBorder="1" applyAlignment="1">
      <alignment horizontal="center" vertical="center"/>
    </xf>
    <xf numFmtId="0" fontId="39" fillId="9" borderId="14" xfId="0" applyFont="1" applyFill="1" applyBorder="1" applyAlignment="1">
      <alignment horizontal="center" vertical="center"/>
    </xf>
    <xf numFmtId="0" fontId="39" fillId="9" borderId="28" xfId="0" applyFont="1" applyFill="1" applyBorder="1" applyAlignment="1">
      <alignment horizontal="center" vertical="center"/>
    </xf>
    <xf numFmtId="0" fontId="39" fillId="9" borderId="20" xfId="0" applyFont="1" applyFill="1" applyBorder="1" applyAlignment="1">
      <alignment horizontal="center" vertical="center"/>
    </xf>
    <xf numFmtId="0" fontId="37" fillId="9" borderId="20" xfId="0" applyFont="1" applyFill="1" applyBorder="1" applyAlignment="1">
      <alignment horizontal="center" vertical="center"/>
    </xf>
    <xf numFmtId="0" fontId="37" fillId="9" borderId="22" xfId="0" applyFont="1" applyFill="1" applyBorder="1" applyAlignment="1">
      <alignment horizontal="center" vertical="center"/>
    </xf>
    <xf numFmtId="0" fontId="37" fillId="9" borderId="19" xfId="0" applyFont="1" applyFill="1" applyBorder="1" applyAlignment="1">
      <alignment horizontal="center" vertical="center"/>
    </xf>
    <xf numFmtId="0" fontId="37" fillId="9" borderId="38" xfId="0" applyFont="1" applyFill="1" applyBorder="1" applyAlignment="1">
      <alignment horizontal="center" vertical="center"/>
    </xf>
    <xf numFmtId="0" fontId="37" fillId="7" borderId="8" xfId="0" applyFont="1" applyFill="1" applyBorder="1" applyAlignment="1">
      <alignment horizontal="center" vertical="center"/>
    </xf>
    <xf numFmtId="0" fontId="37" fillId="7" borderId="8" xfId="0" applyFont="1" applyFill="1" applyBorder="1" applyAlignment="1">
      <alignment horizontal="center" vertical="center" wrapText="1"/>
    </xf>
    <xf numFmtId="0" fontId="37" fillId="7" borderId="9" xfId="0" applyFont="1" applyFill="1" applyBorder="1" applyAlignment="1">
      <alignment horizontal="center" vertical="center" wrapText="1"/>
    </xf>
    <xf numFmtId="0" fontId="37" fillId="7" borderId="4" xfId="0" applyFont="1" applyFill="1" applyBorder="1" applyAlignment="1">
      <alignment horizontal="center" vertical="center" wrapText="1"/>
    </xf>
    <xf numFmtId="10" fontId="37" fillId="10" borderId="50" xfId="0" applyNumberFormat="1" applyFont="1" applyFill="1" applyBorder="1" applyAlignment="1">
      <alignment horizontal="center" vertical="center"/>
    </xf>
    <xf numFmtId="0" fontId="37" fillId="10" borderId="52" xfId="0" applyFont="1" applyFill="1" applyBorder="1" applyAlignment="1">
      <alignment horizontal="center" vertical="center"/>
    </xf>
    <xf numFmtId="2" fontId="37" fillId="10" borderId="52" xfId="0" applyNumberFormat="1" applyFont="1" applyFill="1" applyBorder="1" applyAlignment="1">
      <alignment horizontal="center" vertical="center"/>
    </xf>
    <xf numFmtId="11" fontId="37" fillId="10" borderId="50" xfId="0" applyNumberFormat="1" applyFont="1" applyFill="1" applyBorder="1" applyAlignment="1">
      <alignment horizontal="center" vertical="center"/>
    </xf>
    <xf numFmtId="11" fontId="37" fillId="10" borderId="52" xfId="0" applyNumberFormat="1" applyFont="1" applyFill="1" applyBorder="1" applyAlignment="1">
      <alignment horizontal="center" vertical="center"/>
    </xf>
    <xf numFmtId="0" fontId="37" fillId="10" borderId="50" xfId="0" applyFont="1" applyFill="1" applyBorder="1" applyAlignment="1">
      <alignment horizontal="center" vertical="center"/>
    </xf>
    <xf numFmtId="9" fontId="37" fillId="10" borderId="16" xfId="0" applyNumberFormat="1" applyFont="1" applyFill="1" applyBorder="1" applyAlignment="1">
      <alignment horizontal="center" vertical="center"/>
    </xf>
    <xf numFmtId="0" fontId="37" fillId="10" borderId="17" xfId="0" applyFont="1" applyFill="1" applyBorder="1" applyAlignment="1">
      <alignment horizontal="center" vertical="center"/>
    </xf>
    <xf numFmtId="2" fontId="37" fillId="10" borderId="17" xfId="0" applyNumberFormat="1" applyFont="1" applyFill="1" applyBorder="1" applyAlignment="1">
      <alignment horizontal="center" vertical="center"/>
    </xf>
    <xf numFmtId="0" fontId="37" fillId="10" borderId="55" xfId="0" applyFont="1" applyFill="1" applyBorder="1" applyAlignment="1">
      <alignment horizontal="center" vertical="center"/>
    </xf>
    <xf numFmtId="0" fontId="37" fillId="10" borderId="18" xfId="0" applyFont="1" applyFill="1" applyBorder="1" applyAlignment="1">
      <alignment horizontal="center" vertical="center"/>
    </xf>
    <xf numFmtId="167" fontId="37" fillId="10" borderId="52" xfId="0" applyNumberFormat="1" applyFont="1" applyFill="1" applyBorder="1" applyAlignment="1">
      <alignment horizontal="center" vertical="center"/>
    </xf>
    <xf numFmtId="167" fontId="37" fillId="10" borderId="17" xfId="0" applyNumberFormat="1" applyFont="1" applyFill="1" applyBorder="1" applyAlignment="1">
      <alignment horizontal="center" vertical="center"/>
    </xf>
    <xf numFmtId="0" fontId="37" fillId="9" borderId="53" xfId="0" applyFont="1" applyFill="1" applyBorder="1" applyAlignment="1">
      <alignment horizontal="center" vertical="center"/>
    </xf>
    <xf numFmtId="167" fontId="37" fillId="10" borderId="56" xfId="0" applyNumberFormat="1" applyFont="1" applyFill="1" applyBorder="1" applyAlignment="1">
      <alignment horizontal="center" vertical="center"/>
    </xf>
    <xf numFmtId="11" fontId="37" fillId="10" borderId="56" xfId="0" applyNumberFormat="1" applyFont="1" applyFill="1" applyBorder="1" applyAlignment="1">
      <alignment horizontal="center" vertical="center"/>
    </xf>
    <xf numFmtId="0" fontId="37" fillId="9" borderId="15" xfId="0" applyFont="1" applyFill="1" applyBorder="1" applyAlignment="1">
      <alignment horizontal="center" vertical="center"/>
    </xf>
    <xf numFmtId="10" fontId="37" fillId="10" borderId="23" xfId="0" applyNumberFormat="1" applyFont="1" applyFill="1" applyBorder="1" applyAlignment="1">
      <alignment horizontal="center" vertical="center"/>
    </xf>
    <xf numFmtId="0" fontId="37" fillId="10" borderId="48" xfId="0" applyFont="1" applyFill="1" applyBorder="1" applyAlignment="1">
      <alignment horizontal="center" vertical="center"/>
    </xf>
    <xf numFmtId="2" fontId="37" fillId="10" borderId="48" xfId="0" applyNumberFormat="1" applyFont="1" applyFill="1" applyBorder="1" applyAlignment="1">
      <alignment horizontal="center" vertical="center"/>
    </xf>
    <xf numFmtId="167" fontId="37" fillId="10" borderId="48" xfId="0" applyNumberFormat="1" applyFont="1" applyFill="1" applyBorder="1" applyAlignment="1">
      <alignment horizontal="center" vertical="center"/>
    </xf>
    <xf numFmtId="0" fontId="37" fillId="10" borderId="24" xfId="0" applyFont="1" applyFill="1" applyBorder="1" applyAlignment="1">
      <alignment horizontal="center" vertical="center"/>
    </xf>
    <xf numFmtId="0" fontId="37" fillId="7" borderId="87" xfId="0" applyFont="1" applyFill="1" applyBorder="1" applyAlignment="1">
      <alignment horizontal="center" vertical="center" wrapText="1"/>
    </xf>
    <xf numFmtId="0" fontId="37" fillId="7" borderId="81" xfId="0" applyFont="1" applyFill="1" applyBorder="1" applyAlignment="1">
      <alignment horizontal="center" vertical="center" wrapText="1"/>
    </xf>
    <xf numFmtId="0" fontId="37" fillId="7" borderId="88" xfId="0" applyFont="1" applyFill="1" applyBorder="1" applyAlignment="1">
      <alignment horizontal="center" vertical="center"/>
    </xf>
    <xf numFmtId="0" fontId="37" fillId="7" borderId="88" xfId="0" applyFont="1" applyFill="1" applyBorder="1" applyAlignment="1">
      <alignment horizontal="center" vertical="center" wrapText="1"/>
    </xf>
    <xf numFmtId="0" fontId="37" fillId="7" borderId="82" xfId="0" applyFont="1" applyFill="1" applyBorder="1" applyAlignment="1">
      <alignment horizontal="center" vertical="center" wrapText="1"/>
    </xf>
    <xf numFmtId="0" fontId="37" fillId="10" borderId="29" xfId="0" applyFont="1" applyFill="1" applyBorder="1" applyAlignment="1">
      <alignment horizontal="center" vertical="center"/>
    </xf>
    <xf numFmtId="0" fontId="37" fillId="10" borderId="32" xfId="0" applyFont="1" applyFill="1" applyBorder="1" applyAlignment="1">
      <alignment horizontal="center" vertical="center"/>
    </xf>
    <xf numFmtId="10" fontId="37" fillId="10" borderId="43" xfId="0" applyNumberFormat="1" applyFont="1" applyFill="1" applyBorder="1" applyAlignment="1">
      <alignment horizontal="center" vertical="center"/>
    </xf>
    <xf numFmtId="10" fontId="37" fillId="10" borderId="38" xfId="0" applyNumberFormat="1" applyFont="1" applyFill="1" applyBorder="1" applyAlignment="1">
      <alignment horizontal="center" vertical="center"/>
    </xf>
    <xf numFmtId="10" fontId="37" fillId="10" borderId="65" xfId="0" applyNumberFormat="1" applyFont="1" applyFill="1" applyBorder="1" applyAlignment="1">
      <alignment horizontal="center" vertical="center"/>
    </xf>
    <xf numFmtId="10" fontId="37" fillId="10" borderId="27" xfId="0" applyNumberFormat="1" applyFont="1" applyFill="1" applyBorder="1" applyAlignment="1">
      <alignment horizontal="center" vertical="center"/>
    </xf>
    <xf numFmtId="10" fontId="37" fillId="10" borderId="48" xfId="0" applyNumberFormat="1" applyFont="1" applyFill="1" applyBorder="1" applyAlignment="1">
      <alignment horizontal="center" vertical="center"/>
    </xf>
    <xf numFmtId="10" fontId="37" fillId="10" borderId="45" xfId="0" applyNumberFormat="1" applyFont="1" applyFill="1" applyBorder="1" applyAlignment="1">
      <alignment horizontal="center" vertical="center"/>
    </xf>
    <xf numFmtId="10" fontId="37" fillId="10" borderId="48" xfId="1" applyNumberFormat="1" applyFont="1" applyFill="1" applyBorder="1" applyAlignment="1">
      <alignment horizontal="center" vertical="center"/>
    </xf>
    <xf numFmtId="10" fontId="37" fillId="10" borderId="52" xfId="1" applyNumberFormat="1" applyFont="1" applyFill="1" applyBorder="1" applyAlignment="1">
      <alignment horizontal="center" vertical="center"/>
    </xf>
    <xf numFmtId="10" fontId="37" fillId="10" borderId="17" xfId="1" applyNumberFormat="1" applyFont="1" applyFill="1" applyBorder="1" applyAlignment="1">
      <alignment horizontal="center" vertical="center"/>
    </xf>
    <xf numFmtId="10" fontId="37" fillId="10" borderId="27" xfId="1" applyNumberFormat="1" applyFont="1" applyFill="1" applyBorder="1" applyAlignment="1">
      <alignment horizontal="center" vertical="center"/>
    </xf>
    <xf numFmtId="0" fontId="37" fillId="10" borderId="12" xfId="0" applyFont="1" applyFill="1" applyBorder="1" applyAlignment="1">
      <alignment horizontal="center" vertical="center"/>
    </xf>
    <xf numFmtId="10" fontId="37" fillId="10" borderId="45" xfId="1" applyNumberFormat="1" applyFont="1" applyFill="1" applyBorder="1" applyAlignment="1">
      <alignment horizontal="center" vertical="center"/>
    </xf>
    <xf numFmtId="173" fontId="37" fillId="10" borderId="48" xfId="0" applyNumberFormat="1" applyFont="1" applyFill="1" applyBorder="1" applyAlignment="1">
      <alignment horizontal="center" vertical="center"/>
    </xf>
    <xf numFmtId="173" fontId="37" fillId="10" borderId="52" xfId="0" applyNumberFormat="1" applyFont="1" applyFill="1" applyBorder="1" applyAlignment="1">
      <alignment horizontal="center" vertical="center"/>
    </xf>
    <xf numFmtId="173" fontId="37" fillId="10" borderId="17" xfId="0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7" fillId="0" borderId="4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41" fillId="0" borderId="62" xfId="0" applyFont="1" applyBorder="1" applyAlignment="1">
      <alignment horizontal="center" vertical="center"/>
    </xf>
    <xf numFmtId="0" fontId="41" fillId="0" borderId="61" xfId="0" applyFont="1" applyBorder="1" applyAlignment="1">
      <alignment horizontal="center" vertical="center"/>
    </xf>
    <xf numFmtId="0" fontId="41" fillId="0" borderId="63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60" xfId="0" applyFont="1" applyBorder="1" applyAlignment="1">
      <alignment horizontal="center" vertical="center"/>
    </xf>
    <xf numFmtId="0" fontId="41" fillId="0" borderId="64" xfId="0" applyFont="1" applyBorder="1" applyAlignment="1">
      <alignment horizontal="center" vertical="center"/>
    </xf>
    <xf numFmtId="0" fontId="41" fillId="0" borderId="38" xfId="0" applyFont="1" applyBorder="1" applyAlignment="1">
      <alignment horizontal="center" vertical="center"/>
    </xf>
    <xf numFmtId="0" fontId="41" fillId="0" borderId="15" xfId="0" applyFont="1" applyBorder="1" applyAlignment="1">
      <alignment horizontal="center" vertical="center"/>
    </xf>
    <xf numFmtId="0" fontId="41" fillId="0" borderId="4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1" fillId="0" borderId="0" xfId="0" applyFont="1" applyAlignment="1">
      <alignment horizontal="left" vertical="center"/>
    </xf>
    <xf numFmtId="0" fontId="41" fillId="0" borderId="0" xfId="0" quotePrefix="1" applyFont="1" applyAlignment="1">
      <alignment horizontal="center" vertical="center"/>
    </xf>
    <xf numFmtId="15" fontId="41" fillId="0" borderId="0" xfId="0" applyNumberFormat="1" applyFont="1" applyAlignment="1">
      <alignment horizontal="center" vertical="center"/>
    </xf>
    <xf numFmtId="11" fontId="41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0" fontId="41" fillId="0" borderId="0" xfId="0" applyFont="1" applyAlignment="1">
      <alignment vertical="center"/>
    </xf>
    <xf numFmtId="0" fontId="41" fillId="0" borderId="0" xfId="0" applyFont="1" applyAlignment="1">
      <alignment horizontal="center" vertical="center" wrapText="1"/>
    </xf>
    <xf numFmtId="0" fontId="41" fillId="0" borderId="0" xfId="0" applyFont="1" applyAlignment="1">
      <alignment horizontal="right" vertical="center"/>
    </xf>
    <xf numFmtId="1" fontId="41" fillId="0" borderId="0" xfId="0" applyNumberFormat="1" applyFont="1" applyAlignment="1">
      <alignment horizontal="center" vertical="center"/>
    </xf>
    <xf numFmtId="0" fontId="25" fillId="9" borderId="14" xfId="0" applyFont="1" applyFill="1" applyBorder="1" applyAlignment="1">
      <alignment horizontal="center" vertical="center"/>
    </xf>
    <xf numFmtId="0" fontId="25" fillId="9" borderId="28" xfId="0" applyFont="1" applyFill="1" applyBorder="1" applyAlignment="1">
      <alignment horizontal="center" vertical="center"/>
    </xf>
    <xf numFmtId="0" fontId="37" fillId="9" borderId="14" xfId="0" applyFon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 wrapText="1"/>
    </xf>
    <xf numFmtId="9" fontId="37" fillId="10" borderId="23" xfId="0" applyNumberFormat="1" applyFont="1" applyFill="1" applyBorder="1" applyAlignment="1">
      <alignment horizontal="center" vertical="center"/>
    </xf>
    <xf numFmtId="0" fontId="0" fillId="10" borderId="0" xfId="0" applyFill="1" applyAlignment="1">
      <alignment horizontal="right" vertical="center"/>
    </xf>
    <xf numFmtId="0" fontId="37" fillId="10" borderId="0" xfId="0" applyFont="1" applyFill="1" applyAlignment="1">
      <alignment horizontal="right" vertical="center"/>
    </xf>
    <xf numFmtId="9" fontId="37" fillId="10" borderId="48" xfId="1" applyFont="1" applyFill="1" applyBorder="1" applyAlignment="1">
      <alignment horizontal="center" vertical="center"/>
    </xf>
    <xf numFmtId="9" fontId="37" fillId="10" borderId="52" xfId="1" applyFont="1" applyFill="1" applyBorder="1" applyAlignment="1">
      <alignment horizontal="center" vertical="center"/>
    </xf>
    <xf numFmtId="10" fontId="41" fillId="0" borderId="0" xfId="0" applyNumberFormat="1" applyFont="1" applyAlignment="1">
      <alignment horizontal="center" vertical="center"/>
    </xf>
    <xf numFmtId="164" fontId="37" fillId="10" borderId="50" xfId="0" applyNumberFormat="1" applyFont="1" applyFill="1" applyBorder="1" applyAlignment="1">
      <alignment horizontal="center" vertical="center"/>
    </xf>
    <xf numFmtId="1" fontId="37" fillId="10" borderId="50" xfId="0" applyNumberFormat="1" applyFont="1" applyFill="1" applyBorder="1" applyAlignment="1">
      <alignment horizontal="center" vertical="center"/>
    </xf>
    <xf numFmtId="0" fontId="0" fillId="7" borderId="88" xfId="0" applyFill="1" applyBorder="1" applyAlignment="1">
      <alignment horizontal="center" vertical="center" wrapText="1"/>
    </xf>
    <xf numFmtId="9" fontId="0" fillId="10" borderId="0" xfId="1" applyFont="1" applyFill="1" applyAlignment="1">
      <alignment horizontal="center" vertical="center"/>
    </xf>
    <xf numFmtId="1" fontId="0" fillId="10" borderId="0" xfId="1" applyNumberFormat="1" applyFont="1" applyFill="1" applyAlignment="1">
      <alignment horizontal="center" vertical="center"/>
    </xf>
    <xf numFmtId="1" fontId="37" fillId="10" borderId="0" xfId="0" applyNumberFormat="1" applyFont="1" applyFill="1" applyAlignment="1">
      <alignment horizontal="center" vertical="center"/>
    </xf>
    <xf numFmtId="9" fontId="37" fillId="10" borderId="0" xfId="1" applyFont="1" applyFill="1" applyAlignment="1">
      <alignment horizontal="left" vertical="center"/>
    </xf>
    <xf numFmtId="0" fontId="41" fillId="2" borderId="0" xfId="0" applyFont="1" applyFill="1" applyAlignment="1">
      <alignment horizontal="center" vertical="center"/>
    </xf>
    <xf numFmtId="0" fontId="41" fillId="2" borderId="0" xfId="0" quotePrefix="1" applyFont="1" applyFill="1" applyAlignment="1">
      <alignment horizontal="left" vertical="center"/>
    </xf>
    <xf numFmtId="0" fontId="41" fillId="2" borderId="34" xfId="0" applyFont="1" applyFill="1" applyBorder="1" applyAlignment="1">
      <alignment horizontal="center" vertical="center"/>
    </xf>
    <xf numFmtId="0" fontId="41" fillId="7" borderId="33" xfId="0" applyFont="1" applyFill="1" applyBorder="1" applyAlignment="1">
      <alignment horizontal="left" vertical="center"/>
    </xf>
    <xf numFmtId="0" fontId="41" fillId="2" borderId="11" xfId="0" applyFont="1" applyFill="1" applyBorder="1" applyAlignment="1">
      <alignment horizontal="left" vertical="center"/>
    </xf>
    <xf numFmtId="0" fontId="41" fillId="2" borderId="11" xfId="0" applyFont="1" applyFill="1" applyBorder="1" applyAlignment="1">
      <alignment horizontal="center" vertical="center"/>
    </xf>
    <xf numFmtId="0" fontId="41" fillId="2" borderId="11" xfId="0" applyFont="1" applyFill="1" applyBorder="1" applyAlignment="1">
      <alignment horizontal="right" vertical="center"/>
    </xf>
    <xf numFmtId="0" fontId="41" fillId="2" borderId="12" xfId="0" applyFont="1" applyFill="1" applyBorder="1" applyAlignment="1">
      <alignment horizontal="left" vertical="center"/>
    </xf>
    <xf numFmtId="0" fontId="41" fillId="2" borderId="57" xfId="0" applyFont="1" applyFill="1" applyBorder="1" applyAlignment="1">
      <alignment horizontal="left" vertical="center"/>
    </xf>
    <xf numFmtId="0" fontId="41" fillId="2" borderId="57" xfId="0" applyFont="1" applyFill="1" applyBorder="1" applyAlignment="1">
      <alignment horizontal="center" vertical="center"/>
    </xf>
    <xf numFmtId="0" fontId="41" fillId="2" borderId="29" xfId="0" applyFont="1" applyFill="1" applyBorder="1" applyAlignment="1">
      <alignment horizontal="center" vertical="center"/>
    </xf>
    <xf numFmtId="49" fontId="41" fillId="2" borderId="57" xfId="0" quotePrefix="1" applyNumberFormat="1" applyFont="1" applyFill="1" applyBorder="1" applyAlignment="1">
      <alignment horizontal="left" vertical="center"/>
    </xf>
    <xf numFmtId="0" fontId="41" fillId="2" borderId="57" xfId="0" quotePrefix="1" applyFont="1" applyFill="1" applyBorder="1" applyAlignment="1">
      <alignment horizontal="left" vertical="center"/>
    </xf>
    <xf numFmtId="0" fontId="41" fillId="7" borderId="74" xfId="0" applyFont="1" applyFill="1" applyBorder="1" applyAlignment="1">
      <alignment horizontal="left" vertical="center"/>
    </xf>
    <xf numFmtId="0" fontId="41" fillId="7" borderId="64" xfId="0" applyFont="1" applyFill="1" applyBorder="1" applyAlignment="1">
      <alignment horizontal="left" vertical="center"/>
    </xf>
    <xf numFmtId="0" fontId="41" fillId="7" borderId="51" xfId="0" applyFont="1" applyFill="1" applyBorder="1" applyAlignment="1">
      <alignment horizontal="right" vertical="center"/>
    </xf>
    <xf numFmtId="165" fontId="41" fillId="2" borderId="21" xfId="0" applyNumberFormat="1" applyFont="1" applyFill="1" applyBorder="1" applyAlignment="1">
      <alignment horizontal="left" vertical="center"/>
    </xf>
    <xf numFmtId="0" fontId="41" fillId="2" borderId="21" xfId="0" applyFont="1" applyFill="1" applyBorder="1" applyAlignment="1">
      <alignment horizontal="center" vertical="center"/>
    </xf>
    <xf numFmtId="0" fontId="41" fillId="2" borderId="32" xfId="0" applyFont="1" applyFill="1" applyBorder="1" applyAlignment="1">
      <alignment horizontal="center" vertical="center"/>
    </xf>
    <xf numFmtId="0" fontId="41" fillId="2" borderId="24" xfId="0" applyFont="1" applyFill="1" applyBorder="1" applyAlignment="1">
      <alignment horizontal="center" vertical="center"/>
    </xf>
    <xf numFmtId="11" fontId="41" fillId="2" borderId="55" xfId="0" applyNumberFormat="1" applyFont="1" applyFill="1" applyBorder="1" applyAlignment="1">
      <alignment horizontal="center" vertical="center"/>
    </xf>
    <xf numFmtId="11" fontId="41" fillId="2" borderId="18" xfId="0" applyNumberFormat="1" applyFont="1" applyFill="1" applyBorder="1" applyAlignment="1">
      <alignment horizontal="center" vertical="center"/>
    </xf>
    <xf numFmtId="0" fontId="41" fillId="7" borderId="48" xfId="0" applyFont="1" applyFill="1" applyBorder="1" applyAlignment="1">
      <alignment horizontal="right" vertical="center"/>
    </xf>
    <xf numFmtId="0" fontId="41" fillId="2" borderId="48" xfId="0" applyFont="1" applyFill="1" applyBorder="1" applyAlignment="1">
      <alignment horizontal="center" vertical="center"/>
    </xf>
    <xf numFmtId="0" fontId="41" fillId="7" borderId="48" xfId="0" applyFont="1" applyFill="1" applyBorder="1" applyAlignment="1">
      <alignment horizontal="center" vertical="center"/>
    </xf>
    <xf numFmtId="0" fontId="41" fillId="7" borderId="17" xfId="0" applyFont="1" applyFill="1" applyBorder="1" applyAlignment="1">
      <alignment horizontal="right" vertical="center"/>
    </xf>
    <xf numFmtId="0" fontId="41" fillId="2" borderId="17" xfId="0" applyFont="1" applyFill="1" applyBorder="1" applyAlignment="1">
      <alignment horizontal="center" vertical="center"/>
    </xf>
    <xf numFmtId="0" fontId="41" fillId="7" borderId="17" xfId="0" applyFont="1" applyFill="1" applyBorder="1" applyAlignment="1">
      <alignment horizontal="center" vertical="center"/>
    </xf>
    <xf numFmtId="0" fontId="41" fillId="2" borderId="18" xfId="0" applyFont="1" applyFill="1" applyBorder="1" applyAlignment="1">
      <alignment horizontal="center" vertical="center"/>
    </xf>
    <xf numFmtId="0" fontId="41" fillId="0" borderId="1" xfId="0" applyFont="1" applyBorder="1" applyAlignment="1">
      <alignment vertical="top"/>
    </xf>
    <xf numFmtId="0" fontId="41" fillId="0" borderId="2" xfId="0" applyFont="1" applyBorder="1" applyAlignment="1">
      <alignment vertical="top"/>
    </xf>
    <xf numFmtId="0" fontId="41" fillId="0" borderId="3" xfId="0" applyFont="1" applyBorder="1" applyAlignment="1">
      <alignment vertical="top"/>
    </xf>
    <xf numFmtId="0" fontId="41" fillId="0" borderId="4" xfId="0" applyFont="1" applyBorder="1" applyAlignment="1">
      <alignment vertical="top"/>
    </xf>
    <xf numFmtId="0" fontId="41" fillId="0" borderId="5" xfId="0" applyFont="1" applyBorder="1" applyAlignment="1">
      <alignment vertical="top"/>
    </xf>
    <xf numFmtId="0" fontId="41" fillId="0" borderId="6" xfId="0" applyFont="1" applyBorder="1" applyAlignment="1">
      <alignment vertical="top"/>
    </xf>
    <xf numFmtId="0" fontId="45" fillId="7" borderId="10" xfId="0" applyFont="1" applyFill="1" applyBorder="1" applyAlignment="1">
      <alignment horizontal="center" vertical="center"/>
    </xf>
    <xf numFmtId="0" fontId="45" fillId="7" borderId="14" xfId="0" applyFont="1" applyFill="1" applyBorder="1" applyAlignment="1">
      <alignment horizontal="center" vertical="center"/>
    </xf>
    <xf numFmtId="0" fontId="45" fillId="7" borderId="11" xfId="0" applyFont="1" applyFill="1" applyBorder="1" applyAlignment="1">
      <alignment horizontal="center" vertical="center"/>
    </xf>
    <xf numFmtId="0" fontId="45" fillId="17" borderId="14" xfId="0" applyFont="1" applyFill="1" applyBorder="1" applyAlignment="1">
      <alignment horizontal="center" vertical="center"/>
    </xf>
    <xf numFmtId="2" fontId="41" fillId="2" borderId="19" xfId="0" applyNumberFormat="1" applyFont="1" applyFill="1" applyBorder="1" applyAlignment="1">
      <alignment horizontal="center" vertical="center"/>
    </xf>
    <xf numFmtId="1" fontId="41" fillId="2" borderId="19" xfId="0" applyNumberFormat="1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2" fontId="45" fillId="17" borderId="42" xfId="0" applyNumberFormat="1" applyFont="1" applyFill="1" applyBorder="1" applyAlignment="1">
      <alignment horizontal="center" vertical="center"/>
    </xf>
    <xf numFmtId="2" fontId="45" fillId="17" borderId="44" xfId="0" applyNumberFormat="1" applyFont="1" applyFill="1" applyBorder="1" applyAlignment="1">
      <alignment horizontal="center" vertical="center"/>
    </xf>
    <xf numFmtId="2" fontId="45" fillId="17" borderId="49" xfId="0" applyNumberFormat="1" applyFont="1" applyFill="1" applyBorder="1" applyAlignment="1">
      <alignment horizontal="center" vertical="center"/>
    </xf>
    <xf numFmtId="2" fontId="41" fillId="2" borderId="40" xfId="0" applyNumberFormat="1" applyFont="1" applyFill="1" applyBorder="1" applyAlignment="1">
      <alignment horizontal="center" vertical="center"/>
    </xf>
    <xf numFmtId="2" fontId="41" fillId="2" borderId="18" xfId="0" applyNumberFormat="1" applyFont="1" applyFill="1" applyBorder="1" applyAlignment="1">
      <alignment horizontal="center" vertical="center"/>
    </xf>
    <xf numFmtId="1" fontId="41" fillId="2" borderId="40" xfId="0" applyNumberFormat="1" applyFont="1" applyFill="1" applyBorder="1" applyAlignment="1">
      <alignment horizontal="center" vertical="center"/>
    </xf>
    <xf numFmtId="1" fontId="41" fillId="2" borderId="18" xfId="0" applyNumberFormat="1" applyFont="1" applyFill="1" applyBorder="1" applyAlignment="1">
      <alignment horizontal="center" vertical="center"/>
    </xf>
    <xf numFmtId="1" fontId="41" fillId="6" borderId="19" xfId="0" applyNumberFormat="1" applyFont="1" applyFill="1" applyBorder="1" applyAlignment="1">
      <alignment horizontal="center" vertical="center"/>
    </xf>
    <xf numFmtId="2" fontId="41" fillId="6" borderId="20" xfId="0" applyNumberFormat="1" applyFont="1" applyFill="1" applyBorder="1" applyAlignment="1">
      <alignment horizontal="center" vertical="center"/>
    </xf>
    <xf numFmtId="2" fontId="41" fillId="6" borderId="21" xfId="0" applyNumberFormat="1" applyFont="1" applyFill="1" applyBorder="1" applyAlignment="1">
      <alignment horizontal="center" vertical="center"/>
    </xf>
    <xf numFmtId="1" fontId="0" fillId="6" borderId="19" xfId="0" applyNumberFormat="1" applyFill="1" applyBorder="1" applyAlignment="1">
      <alignment horizontal="center" vertical="center"/>
    </xf>
    <xf numFmtId="2" fontId="41" fillId="6" borderId="19" xfId="0" applyNumberFormat="1" applyFont="1" applyFill="1" applyBorder="1" applyAlignment="1">
      <alignment horizontal="center" vertical="center"/>
    </xf>
    <xf numFmtId="0" fontId="41" fillId="6" borderId="19" xfId="0" applyFont="1" applyFill="1" applyBorder="1" applyAlignment="1">
      <alignment horizontal="center" vertical="center"/>
    </xf>
    <xf numFmtId="1" fontId="41" fillId="6" borderId="4" xfId="0" applyNumberFormat="1" applyFont="1" applyFill="1" applyBorder="1" applyAlignment="1">
      <alignment horizontal="center" vertical="center"/>
    </xf>
    <xf numFmtId="1" fontId="41" fillId="6" borderId="85" xfId="0" applyNumberFormat="1" applyFont="1" applyFill="1" applyBorder="1" applyAlignment="1">
      <alignment horizontal="center" vertical="center"/>
    </xf>
    <xf numFmtId="2" fontId="41" fillId="6" borderId="30" xfId="0" applyNumberFormat="1" applyFont="1" applyFill="1" applyBorder="1" applyAlignment="1">
      <alignment horizontal="center" vertical="center"/>
    </xf>
    <xf numFmtId="2" fontId="41" fillId="6" borderId="61" xfId="0" applyNumberFormat="1" applyFont="1" applyFill="1" applyBorder="1" applyAlignment="1">
      <alignment horizontal="center" vertical="center"/>
    </xf>
    <xf numFmtId="1" fontId="41" fillId="6" borderId="33" xfId="0" applyNumberFormat="1" applyFont="1" applyFill="1" applyBorder="1" applyAlignment="1">
      <alignment horizontal="center" vertical="center"/>
    </xf>
    <xf numFmtId="164" fontId="41" fillId="2" borderId="19" xfId="0" applyNumberFormat="1" applyFont="1" applyFill="1" applyBorder="1" applyAlignment="1">
      <alignment horizontal="center" vertical="center"/>
    </xf>
    <xf numFmtId="164" fontId="41" fillId="2" borderId="40" xfId="0" applyNumberFormat="1" applyFont="1" applyFill="1" applyBorder="1" applyAlignment="1">
      <alignment horizontal="center" vertical="center"/>
    </xf>
    <xf numFmtId="164" fontId="41" fillId="2" borderId="18" xfId="0" applyNumberFormat="1" applyFont="1" applyFill="1" applyBorder="1" applyAlignment="1">
      <alignment horizontal="center" vertical="center"/>
    </xf>
    <xf numFmtId="164" fontId="41" fillId="6" borderId="19" xfId="0" applyNumberFormat="1" applyFont="1" applyFill="1" applyBorder="1" applyAlignment="1">
      <alignment horizontal="center" vertical="center"/>
    </xf>
    <xf numFmtId="164" fontId="41" fillId="6" borderId="4" xfId="0" applyNumberFormat="1" applyFont="1" applyFill="1" applyBorder="1" applyAlignment="1">
      <alignment horizontal="center" vertical="center"/>
    </xf>
    <xf numFmtId="164" fontId="41" fillId="6" borderId="85" xfId="0" applyNumberFormat="1" applyFont="1" applyFill="1" applyBorder="1" applyAlignment="1">
      <alignment horizontal="center" vertical="center"/>
    </xf>
    <xf numFmtId="164" fontId="41" fillId="6" borderId="33" xfId="0" applyNumberFormat="1" applyFont="1" applyFill="1" applyBorder="1" applyAlignment="1">
      <alignment horizontal="center" vertical="center"/>
    </xf>
    <xf numFmtId="164" fontId="0" fillId="6" borderId="19" xfId="0" applyNumberFormat="1" applyFill="1" applyBorder="1" applyAlignment="1">
      <alignment horizontal="center" vertical="center"/>
    </xf>
    <xf numFmtId="2" fontId="0" fillId="10" borderId="0" xfId="1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164" fontId="0" fillId="10" borderId="0" xfId="1" applyNumberFormat="1" applyFont="1" applyFill="1" applyAlignment="1">
      <alignment horizontal="center" vertical="center"/>
    </xf>
    <xf numFmtId="164" fontId="37" fillId="10" borderId="0" xfId="0" applyNumberFormat="1" applyFont="1" applyFill="1" applyAlignment="1">
      <alignment horizontal="center" vertical="center"/>
    </xf>
    <xf numFmtId="10" fontId="41" fillId="0" borderId="0" xfId="1" applyNumberFormat="1" applyFont="1" applyAlignment="1">
      <alignment vertical="center"/>
    </xf>
    <xf numFmtId="0" fontId="1" fillId="7" borderId="14" xfId="0" applyFont="1" applyFill="1" applyBorder="1" applyAlignment="1">
      <alignment horizontal="center" vertical="center"/>
    </xf>
    <xf numFmtId="0" fontId="41" fillId="6" borderId="20" xfId="0" applyFont="1" applyFill="1" applyBorder="1" applyAlignment="1">
      <alignment horizontal="center" vertical="center"/>
    </xf>
    <xf numFmtId="1" fontId="41" fillId="6" borderId="44" xfId="0" applyNumberFormat="1" applyFont="1" applyFill="1" applyBorder="1" applyAlignment="1">
      <alignment horizontal="center" vertical="center"/>
    </xf>
    <xf numFmtId="164" fontId="41" fillId="6" borderId="20" xfId="0" applyNumberFormat="1" applyFont="1" applyFill="1" applyBorder="1" applyAlignment="1">
      <alignment horizontal="center" vertical="center"/>
    </xf>
    <xf numFmtId="164" fontId="41" fillId="6" borderId="44" xfId="0" applyNumberFormat="1" applyFont="1" applyFill="1" applyBorder="1" applyAlignment="1">
      <alignment horizontal="center" vertical="center"/>
    </xf>
    <xf numFmtId="172" fontId="37" fillId="10" borderId="52" xfId="1" applyNumberFormat="1" applyFont="1" applyFill="1" applyBorder="1" applyAlignment="1">
      <alignment horizontal="center" vertical="center"/>
    </xf>
    <xf numFmtId="164" fontId="37" fillId="10" borderId="52" xfId="0" applyNumberFormat="1" applyFont="1" applyFill="1" applyBorder="1" applyAlignment="1">
      <alignment horizontal="center" vertical="center"/>
    </xf>
    <xf numFmtId="1" fontId="37" fillId="10" borderId="52" xfId="0" applyNumberFormat="1" applyFont="1" applyFill="1" applyBorder="1" applyAlignment="1">
      <alignment horizontal="center" vertical="center"/>
    </xf>
    <xf numFmtId="9" fontId="37" fillId="9" borderId="38" xfId="1" applyFont="1" applyFill="1" applyBorder="1" applyAlignment="1">
      <alignment horizontal="center" vertical="center"/>
    </xf>
    <xf numFmtId="10" fontId="37" fillId="9" borderId="38" xfId="0" applyNumberFormat="1" applyFont="1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2" borderId="57" xfId="0" applyFill="1" applyBorder="1" applyAlignment="1">
      <alignment horizontal="left" vertical="center"/>
    </xf>
    <xf numFmtId="0" fontId="0" fillId="2" borderId="57" xfId="0" applyFill="1" applyBorder="1" applyAlignment="1">
      <alignment horizontal="right" vertical="center"/>
    </xf>
    <xf numFmtId="0" fontId="0" fillId="2" borderId="61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11" fontId="0" fillId="2" borderId="6" xfId="0" applyNumberFormat="1" applyFill="1" applyBorder="1" applyAlignment="1">
      <alignment horizontal="center" vertical="center"/>
    </xf>
    <xf numFmtId="0" fontId="0" fillId="7" borderId="48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7" borderId="17" xfId="0" applyFill="1" applyBorder="1" applyAlignment="1">
      <alignment horizontal="right" vertical="center"/>
    </xf>
    <xf numFmtId="0" fontId="0" fillId="7" borderId="17" xfId="0" applyFill="1" applyBorder="1" applyAlignment="1">
      <alignment horizontal="center" vertical="center"/>
    </xf>
    <xf numFmtId="2" fontId="0" fillId="10" borderId="48" xfId="0" applyNumberFormat="1" applyFill="1" applyBorder="1" applyAlignment="1">
      <alignment horizontal="center" vertical="center"/>
    </xf>
    <xf numFmtId="169" fontId="0" fillId="4" borderId="78" xfId="0" applyNumberFormat="1" applyFill="1" applyBorder="1" applyAlignment="1">
      <alignment horizontal="center" vertical="center"/>
    </xf>
    <xf numFmtId="169" fontId="0" fillId="4" borderId="84" xfId="0" applyNumberFormat="1" applyFill="1" applyBorder="1" applyAlignment="1">
      <alignment horizontal="center" vertical="center"/>
    </xf>
    <xf numFmtId="0" fontId="13" fillId="0" borderId="0" xfId="0" applyFont="1" applyAlignment="1">
      <alignment vertical="top"/>
    </xf>
    <xf numFmtId="11" fontId="0" fillId="2" borderId="26" xfId="0" applyNumberFormat="1" applyFill="1" applyBorder="1" applyAlignment="1">
      <alignment horizontal="center" vertical="center"/>
    </xf>
    <xf numFmtId="0" fontId="1" fillId="17" borderId="14" xfId="0" applyFont="1" applyFill="1" applyBorder="1" applyAlignment="1">
      <alignment horizontal="center" vertical="center"/>
    </xf>
    <xf numFmtId="2" fontId="0" fillId="17" borderId="78" xfId="0" applyNumberFormat="1" applyFill="1" applyBorder="1" applyAlignment="1">
      <alignment horizontal="center" vertical="center"/>
    </xf>
    <xf numFmtId="2" fontId="0" fillId="17" borderId="20" xfId="0" applyNumberFormat="1" applyFill="1" applyBorder="1" applyAlignment="1">
      <alignment horizontal="center" vertical="center"/>
    </xf>
    <xf numFmtId="0" fontId="0" fillId="17" borderId="20" xfId="0" applyFill="1" applyBorder="1" applyAlignment="1">
      <alignment horizontal="center" vertical="center"/>
    </xf>
    <xf numFmtId="11" fontId="0" fillId="17" borderId="20" xfId="0" applyNumberFormat="1" applyFill="1" applyBorder="1" applyAlignment="1">
      <alignment horizontal="center" vertical="center"/>
    </xf>
    <xf numFmtId="0" fontId="0" fillId="17" borderId="44" xfId="0" applyFill="1" applyBorder="1" applyAlignment="1">
      <alignment horizontal="center" vertical="center"/>
    </xf>
    <xf numFmtId="2" fontId="0" fillId="12" borderId="10" xfId="0" applyNumberFormat="1" applyFill="1" applyBorder="1" applyAlignment="1">
      <alignment horizontal="center" vertical="center"/>
    </xf>
    <xf numFmtId="2" fontId="0" fillId="12" borderId="14" xfId="0" applyNumberFormat="1" applyFill="1" applyBorder="1" applyAlignment="1">
      <alignment horizontal="center" vertical="center"/>
    </xf>
    <xf numFmtId="2" fontId="0" fillId="12" borderId="74" xfId="0" applyNumberFormat="1" applyFill="1" applyBorder="1" applyAlignment="1">
      <alignment horizontal="center" vertical="center"/>
    </xf>
    <xf numFmtId="2" fontId="0" fillId="12" borderId="28" xfId="0" applyNumberFormat="1" applyFill="1" applyBorder="1" applyAlignment="1">
      <alignment horizontal="center" vertical="center"/>
    </xf>
    <xf numFmtId="164" fontId="0" fillId="12" borderId="74" xfId="0" applyNumberFormat="1" applyFill="1" applyBorder="1" applyAlignment="1">
      <alignment horizontal="center" vertical="center"/>
    </xf>
    <xf numFmtId="164" fontId="0" fillId="12" borderId="13" xfId="0" applyNumberFormat="1" applyFill="1" applyBorder="1" applyAlignment="1">
      <alignment horizontal="center" vertical="center"/>
    </xf>
    <xf numFmtId="164" fontId="0" fillId="12" borderId="4" xfId="0" applyNumberFormat="1" applyFill="1" applyBorder="1" applyAlignment="1">
      <alignment horizontal="center" vertical="center"/>
    </xf>
    <xf numFmtId="2" fontId="0" fillId="12" borderId="20" xfId="0" applyNumberFormat="1" applyFill="1" applyBorder="1" applyAlignment="1">
      <alignment horizontal="center" vertical="center"/>
    </xf>
    <xf numFmtId="2" fontId="0" fillId="12" borderId="19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6" fillId="0" borderId="0" xfId="0" applyFont="1"/>
    <xf numFmtId="0" fontId="46" fillId="0" borderId="33" xfId="0" applyFont="1" applyBorder="1"/>
    <xf numFmtId="0" fontId="47" fillId="0" borderId="0" xfId="0" applyFont="1"/>
    <xf numFmtId="0" fontId="46" fillId="0" borderId="34" xfId="0" applyFont="1" applyBorder="1"/>
    <xf numFmtId="0" fontId="51" fillId="0" borderId="0" xfId="0" quotePrefix="1" applyFont="1" applyAlignment="1" applyProtection="1">
      <alignment horizontal="left" vertical="center"/>
      <protection locked="0"/>
    </xf>
    <xf numFmtId="0" fontId="51" fillId="0" borderId="0" xfId="0" applyFont="1" applyAlignment="1">
      <alignment horizontal="center" vertical="center"/>
    </xf>
    <xf numFmtId="0" fontId="51" fillId="0" borderId="0" xfId="0" applyFont="1" applyAlignment="1">
      <alignment vertical="center"/>
    </xf>
    <xf numFmtId="0" fontId="46" fillId="0" borderId="0" xfId="0" quotePrefix="1" applyFont="1"/>
    <xf numFmtId="0" fontId="52" fillId="0" borderId="0" xfId="0" applyFont="1" applyAlignment="1">
      <alignment vertical="center"/>
    </xf>
    <xf numFmtId="0" fontId="51" fillId="0" borderId="0" xfId="0" applyFont="1" applyAlignment="1" applyProtection="1">
      <alignment vertical="top" wrapText="1"/>
      <protection locked="0"/>
    </xf>
    <xf numFmtId="0" fontId="50" fillId="0" borderId="60" xfId="0" applyFont="1" applyBorder="1" applyAlignment="1">
      <alignment vertical="center" wrapText="1"/>
    </xf>
    <xf numFmtId="0" fontId="50" fillId="0" borderId="0" xfId="0" applyFont="1" applyAlignment="1">
      <alignment vertical="center" wrapText="1"/>
    </xf>
    <xf numFmtId="0" fontId="49" fillId="0" borderId="0" xfId="0" applyFont="1"/>
    <xf numFmtId="0" fontId="51" fillId="0" borderId="0" xfId="0" applyFont="1" applyAlignment="1" applyProtection="1">
      <alignment vertical="top"/>
      <protection locked="0"/>
    </xf>
    <xf numFmtId="0" fontId="47" fillId="0" borderId="0" xfId="0" applyFont="1" applyAlignment="1">
      <alignment horizontal="center" vertical="center"/>
    </xf>
    <xf numFmtId="0" fontId="51" fillId="0" borderId="0" xfId="0" applyFont="1" applyAlignment="1" applyProtection="1">
      <alignment vertical="center"/>
      <protection locked="0"/>
    </xf>
    <xf numFmtId="0" fontId="50" fillId="0" borderId="60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53" fillId="0" borderId="0" xfId="0" applyFont="1"/>
    <xf numFmtId="15" fontId="51" fillId="0" borderId="0" xfId="0" applyNumberFormat="1" applyFont="1" applyAlignment="1">
      <alignment vertical="center"/>
    </xf>
    <xf numFmtId="167" fontId="46" fillId="0" borderId="0" xfId="0" applyNumberFormat="1" applyFont="1"/>
    <xf numFmtId="167" fontId="47" fillId="0" borderId="0" xfId="0" applyNumberFormat="1" applyFont="1"/>
    <xf numFmtId="167" fontId="51" fillId="0" borderId="0" xfId="0" applyNumberFormat="1" applyFont="1"/>
    <xf numFmtId="0" fontId="47" fillId="0" borderId="0" xfId="0" applyFont="1" applyAlignment="1">
      <alignment horizontal="center" vertical="center" wrapText="1"/>
    </xf>
    <xf numFmtId="164" fontId="51" fillId="0" borderId="0" xfId="0" applyNumberFormat="1" applyFont="1" applyAlignment="1">
      <alignment horizontal="center" vertical="center" wrapText="1"/>
    </xf>
    <xf numFmtId="0" fontId="51" fillId="0" borderId="0" xfId="0" applyFont="1"/>
    <xf numFmtId="0" fontId="51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46" fillId="0" borderId="71" xfId="0" applyFont="1" applyBorder="1"/>
    <xf numFmtId="0" fontId="46" fillId="0" borderId="72" xfId="0" applyFont="1" applyBorder="1"/>
    <xf numFmtId="0" fontId="46" fillId="0" borderId="73" xfId="0" applyFont="1" applyBorder="1"/>
    <xf numFmtId="0" fontId="50" fillId="0" borderId="0" xfId="0" applyFont="1" applyAlignment="1">
      <alignment vertical="top"/>
    </xf>
    <xf numFmtId="0" fontId="54" fillId="0" borderId="62" xfId="0" applyFont="1" applyBorder="1" applyAlignment="1">
      <alignment horizontal="center" vertical="center"/>
    </xf>
    <xf numFmtId="0" fontId="54" fillId="0" borderId="61" xfId="0" applyFont="1" applyBorder="1" applyAlignment="1">
      <alignment horizontal="center" vertical="center"/>
    </xf>
    <xf numFmtId="0" fontId="54" fillId="0" borderId="63" xfId="0" applyFont="1" applyBorder="1" applyAlignment="1">
      <alignment horizontal="center" vertical="center"/>
    </xf>
    <xf numFmtId="0" fontId="54" fillId="0" borderId="62" xfId="0" applyFont="1" applyBorder="1" applyAlignment="1">
      <alignment horizontal="left" vertical="center"/>
    </xf>
    <xf numFmtId="0" fontId="54" fillId="0" borderId="63" xfId="0" applyFont="1" applyBorder="1" applyAlignment="1">
      <alignment horizontal="left" vertical="center"/>
    </xf>
    <xf numFmtId="0" fontId="54" fillId="0" borderId="0" xfId="0" applyFont="1" applyAlignment="1">
      <alignment horizontal="center" vertical="center"/>
    </xf>
    <xf numFmtId="0" fontId="54" fillId="0" borderId="60" xfId="0" applyFont="1" applyBorder="1" applyAlignment="1">
      <alignment horizontal="center" vertical="center"/>
    </xf>
    <xf numFmtId="0" fontId="54" fillId="0" borderId="64" xfId="0" applyFont="1" applyBorder="1" applyAlignment="1">
      <alignment horizontal="center" vertical="center"/>
    </xf>
    <xf numFmtId="0" fontId="54" fillId="0" borderId="60" xfId="0" applyFont="1" applyBorder="1" applyAlignment="1">
      <alignment horizontal="left" vertical="center"/>
    </xf>
    <xf numFmtId="0" fontId="54" fillId="0" borderId="64" xfId="0" applyFont="1" applyBorder="1" applyAlignment="1">
      <alignment horizontal="left" vertical="center"/>
    </xf>
    <xf numFmtId="0" fontId="54" fillId="0" borderId="38" xfId="0" applyFont="1" applyBorder="1" applyAlignment="1">
      <alignment horizontal="center" vertical="center"/>
    </xf>
    <xf numFmtId="0" fontId="54" fillId="0" borderId="15" xfId="0" applyFont="1" applyBorder="1" applyAlignment="1">
      <alignment horizontal="center" vertical="center"/>
    </xf>
    <xf numFmtId="0" fontId="54" fillId="0" borderId="47" xfId="0" applyFont="1" applyBorder="1" applyAlignment="1">
      <alignment horizontal="center" vertical="center"/>
    </xf>
    <xf numFmtId="0" fontId="54" fillId="0" borderId="38" xfId="0" applyFont="1" applyBorder="1" applyAlignment="1">
      <alignment horizontal="left" vertical="center"/>
    </xf>
    <xf numFmtId="0" fontId="54" fillId="0" borderId="47" xfId="0" applyFont="1" applyBorder="1" applyAlignment="1">
      <alignment horizontal="left" vertical="center"/>
    </xf>
    <xf numFmtId="0" fontId="54" fillId="0" borderId="0" xfId="0" applyFont="1"/>
    <xf numFmtId="0" fontId="54" fillId="0" borderId="0" xfId="0" applyFont="1" applyAlignment="1">
      <alignment horizontal="left" vertical="center"/>
    </xf>
    <xf numFmtId="0" fontId="54" fillId="7" borderId="52" xfId="0" applyFont="1" applyFill="1" applyBorder="1" applyAlignment="1">
      <alignment horizontal="center" vertical="center"/>
    </xf>
    <xf numFmtId="49" fontId="54" fillId="0" borderId="0" xfId="0" applyNumberFormat="1" applyFont="1" applyAlignment="1">
      <alignment horizontal="center" vertical="center"/>
    </xf>
    <xf numFmtId="0" fontId="54" fillId="7" borderId="69" xfId="0" applyFont="1" applyFill="1" applyBorder="1" applyAlignment="1">
      <alignment horizontal="center" vertical="center"/>
    </xf>
    <xf numFmtId="0" fontId="54" fillId="7" borderId="9" xfId="0" applyFont="1" applyFill="1" applyBorder="1" applyAlignment="1">
      <alignment horizontal="center" vertical="center"/>
    </xf>
    <xf numFmtId="0" fontId="54" fillId="7" borderId="69" xfId="0" applyFont="1" applyFill="1" applyBorder="1" applyAlignment="1">
      <alignment horizontal="center" vertical="center" wrapText="1"/>
    </xf>
    <xf numFmtId="0" fontId="54" fillId="7" borderId="36" xfId="0" applyFont="1" applyFill="1" applyBorder="1" applyAlignment="1">
      <alignment horizontal="center" vertical="center" wrapText="1"/>
    </xf>
    <xf numFmtId="0" fontId="54" fillId="7" borderId="7" xfId="0" applyFont="1" applyFill="1" applyBorder="1" applyAlignment="1">
      <alignment horizontal="center" vertical="center" wrapText="1"/>
    </xf>
    <xf numFmtId="0" fontId="54" fillId="7" borderId="66" xfId="0" applyFont="1" applyFill="1" applyBorder="1" applyAlignment="1">
      <alignment horizontal="center" vertical="center" wrapText="1"/>
    </xf>
    <xf numFmtId="0" fontId="54" fillId="7" borderId="7" xfId="0" applyFont="1" applyFill="1" applyBorder="1" applyAlignment="1">
      <alignment horizontal="center" vertical="center"/>
    </xf>
    <xf numFmtId="0" fontId="54" fillId="7" borderId="66" xfId="0" applyFont="1" applyFill="1" applyBorder="1" applyAlignment="1">
      <alignment horizontal="center" vertical="center"/>
    </xf>
    <xf numFmtId="0" fontId="54" fillId="9" borderId="14" xfId="0" applyFont="1" applyFill="1" applyBorder="1" applyAlignment="1">
      <alignment horizontal="center" vertical="center"/>
    </xf>
    <xf numFmtId="0" fontId="56" fillId="9" borderId="24" xfId="0" applyFont="1" applyFill="1" applyBorder="1" applyAlignment="1">
      <alignment horizontal="center" vertical="center"/>
    </xf>
    <xf numFmtId="0" fontId="54" fillId="9" borderId="54" xfId="0" applyFont="1" applyFill="1" applyBorder="1" applyAlignment="1">
      <alignment horizontal="center" vertical="center"/>
    </xf>
    <xf numFmtId="2" fontId="54" fillId="9" borderId="43" xfId="0" applyNumberFormat="1" applyFont="1" applyFill="1" applyBorder="1" applyAlignment="1">
      <alignment horizontal="center" vertical="center"/>
    </xf>
    <xf numFmtId="11" fontId="54" fillId="9" borderId="10" xfId="0" applyNumberFormat="1" applyFont="1" applyFill="1" applyBorder="1" applyAlignment="1">
      <alignment horizontal="center" vertical="center"/>
    </xf>
    <xf numFmtId="0" fontId="54" fillId="9" borderId="24" xfId="0" applyFont="1" applyFill="1" applyBorder="1" applyAlignment="1">
      <alignment horizontal="center" vertical="center"/>
    </xf>
    <xf numFmtId="11" fontId="54" fillId="9" borderId="23" xfId="0" applyNumberFormat="1" applyFont="1" applyFill="1" applyBorder="1" applyAlignment="1">
      <alignment horizontal="center" vertical="center"/>
    </xf>
    <xf numFmtId="0" fontId="54" fillId="9" borderId="43" xfId="0" applyFont="1" applyFill="1" applyBorder="1" applyAlignment="1">
      <alignment horizontal="center" vertical="center"/>
    </xf>
    <xf numFmtId="11" fontId="54" fillId="9" borderId="14" xfId="0" applyNumberFormat="1" applyFont="1" applyFill="1" applyBorder="1" applyAlignment="1">
      <alignment horizontal="center" vertical="center"/>
    </xf>
    <xf numFmtId="11" fontId="54" fillId="9" borderId="12" xfId="0" applyNumberFormat="1" applyFont="1" applyFill="1" applyBorder="1" applyAlignment="1">
      <alignment horizontal="center" vertical="center"/>
    </xf>
    <xf numFmtId="2" fontId="54" fillId="9" borderId="14" xfId="0" applyNumberFormat="1" applyFont="1" applyFill="1" applyBorder="1" applyAlignment="1">
      <alignment horizontal="center" vertical="center"/>
    </xf>
    <xf numFmtId="0" fontId="54" fillId="9" borderId="28" xfId="0" applyFont="1" applyFill="1" applyBorder="1" applyAlignment="1">
      <alignment horizontal="center" vertical="center"/>
    </xf>
    <xf numFmtId="0" fontId="56" fillId="9" borderId="55" xfId="0" applyFont="1" applyFill="1" applyBorder="1" applyAlignment="1">
      <alignment horizontal="center" vertical="center"/>
    </xf>
    <xf numFmtId="0" fontId="54" fillId="9" borderId="51" xfId="0" applyFont="1" applyFill="1" applyBorder="1" applyAlignment="1">
      <alignment horizontal="center" vertical="center"/>
    </xf>
    <xf numFmtId="2" fontId="54" fillId="9" borderId="56" xfId="0" applyNumberFormat="1" applyFont="1" applyFill="1" applyBorder="1" applyAlignment="1">
      <alignment horizontal="center" vertical="center"/>
    </xf>
    <xf numFmtId="11" fontId="54" fillId="9" borderId="74" xfId="0" applyNumberFormat="1" applyFont="1" applyFill="1" applyBorder="1" applyAlignment="1">
      <alignment horizontal="center" vertical="center"/>
    </xf>
    <xf numFmtId="0" fontId="54" fillId="9" borderId="55" xfId="0" applyFont="1" applyFill="1" applyBorder="1" applyAlignment="1">
      <alignment horizontal="center" vertical="center"/>
    </xf>
    <xf numFmtId="11" fontId="54" fillId="9" borderId="50" xfId="0" applyNumberFormat="1" applyFont="1" applyFill="1" applyBorder="1" applyAlignment="1">
      <alignment horizontal="center" vertical="center"/>
    </xf>
    <xf numFmtId="0" fontId="54" fillId="9" borderId="56" xfId="0" applyFont="1" applyFill="1" applyBorder="1" applyAlignment="1">
      <alignment horizontal="center" vertical="center"/>
    </xf>
    <xf numFmtId="11" fontId="54" fillId="9" borderId="28" xfId="0" applyNumberFormat="1" applyFont="1" applyFill="1" applyBorder="1" applyAlignment="1">
      <alignment horizontal="center" vertical="center"/>
    </xf>
    <xf numFmtId="11" fontId="54" fillId="9" borderId="29" xfId="0" applyNumberFormat="1" applyFont="1" applyFill="1" applyBorder="1" applyAlignment="1">
      <alignment horizontal="center" vertical="center"/>
    </xf>
    <xf numFmtId="2" fontId="54" fillId="9" borderId="53" xfId="0" applyNumberFormat="1" applyFont="1" applyFill="1" applyBorder="1" applyAlignment="1">
      <alignment horizontal="center" vertical="center"/>
    </xf>
    <xf numFmtId="11" fontId="54" fillId="9" borderId="55" xfId="0" applyNumberFormat="1" applyFont="1" applyFill="1" applyBorder="1" applyAlignment="1">
      <alignment horizontal="center" vertical="center"/>
    </xf>
    <xf numFmtId="0" fontId="54" fillId="9" borderId="20" xfId="0" applyFont="1" applyFill="1" applyBorder="1" applyAlignment="1">
      <alignment horizontal="center" vertical="center"/>
    </xf>
    <xf numFmtId="0" fontId="56" fillId="9" borderId="18" xfId="0" applyFont="1" applyFill="1" applyBorder="1" applyAlignment="1">
      <alignment horizontal="center" vertical="center"/>
    </xf>
    <xf numFmtId="0" fontId="54" fillId="9" borderId="68" xfId="0" applyFont="1" applyFill="1" applyBorder="1" applyAlignment="1">
      <alignment horizontal="center" vertical="center"/>
    </xf>
    <xf numFmtId="2" fontId="54" fillId="9" borderId="40" xfId="0" applyNumberFormat="1" applyFont="1" applyFill="1" applyBorder="1" applyAlignment="1">
      <alignment horizontal="center" vertical="center"/>
    </xf>
    <xf numFmtId="11" fontId="54" fillId="9" borderId="19" xfId="0" applyNumberFormat="1" applyFont="1" applyFill="1" applyBorder="1" applyAlignment="1">
      <alignment horizontal="center" vertical="center"/>
    </xf>
    <xf numFmtId="0" fontId="54" fillId="9" borderId="18" xfId="0" applyFont="1" applyFill="1" applyBorder="1" applyAlignment="1">
      <alignment horizontal="center" vertical="center"/>
    </xf>
    <xf numFmtId="11" fontId="54" fillId="9" borderId="16" xfId="0" applyNumberFormat="1" applyFont="1" applyFill="1" applyBorder="1" applyAlignment="1">
      <alignment horizontal="center" vertical="center"/>
    </xf>
    <xf numFmtId="0" fontId="54" fillId="9" borderId="40" xfId="0" applyFont="1" applyFill="1" applyBorder="1" applyAlignment="1">
      <alignment horizontal="center" vertical="center"/>
    </xf>
    <xf numFmtId="11" fontId="54" fillId="9" borderId="20" xfId="0" applyNumberFormat="1" applyFont="1" applyFill="1" applyBorder="1" applyAlignment="1">
      <alignment horizontal="center" vertical="center"/>
    </xf>
    <xf numFmtId="11" fontId="54" fillId="9" borderId="32" xfId="0" applyNumberFormat="1" applyFont="1" applyFill="1" applyBorder="1" applyAlignment="1">
      <alignment horizontal="center" vertical="center"/>
    </xf>
    <xf numFmtId="2" fontId="54" fillId="9" borderId="44" xfId="0" applyNumberFormat="1" applyFont="1" applyFill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11" fontId="54" fillId="0" borderId="0" xfId="0" applyNumberFormat="1" applyFont="1" applyAlignment="1">
      <alignment horizontal="center" vertical="center"/>
    </xf>
    <xf numFmtId="2" fontId="54" fillId="0" borderId="0" xfId="0" applyNumberFormat="1" applyFont="1" applyAlignment="1">
      <alignment horizontal="center" vertical="center"/>
    </xf>
    <xf numFmtId="0" fontId="54" fillId="7" borderId="10" xfId="0" applyFont="1" applyFill="1" applyBorder="1" applyAlignment="1">
      <alignment horizontal="center" vertical="center"/>
    </xf>
    <xf numFmtId="0" fontId="54" fillId="7" borderId="54" xfId="0" applyFont="1" applyFill="1" applyBorder="1" applyAlignment="1">
      <alignment horizontal="right" vertical="center"/>
    </xf>
    <xf numFmtId="11" fontId="54" fillId="9" borderId="11" xfId="0" applyNumberFormat="1" applyFont="1" applyFill="1" applyBorder="1" applyAlignment="1">
      <alignment horizontal="center" vertical="center"/>
    </xf>
    <xf numFmtId="0" fontId="54" fillId="7" borderId="33" xfId="0" applyFont="1" applyFill="1" applyBorder="1" applyAlignment="1">
      <alignment horizontal="center" vertical="center"/>
    </xf>
    <xf numFmtId="0" fontId="54" fillId="7" borderId="64" xfId="0" applyFont="1" applyFill="1" applyBorder="1" applyAlignment="1">
      <alignment horizontal="right" vertical="center"/>
    </xf>
    <xf numFmtId="0" fontId="54" fillId="9" borderId="0" xfId="0" applyFont="1" applyFill="1" applyAlignment="1">
      <alignment horizontal="center" vertical="center"/>
    </xf>
    <xf numFmtId="11" fontId="54" fillId="9" borderId="34" xfId="0" applyNumberFormat="1" applyFont="1" applyFill="1" applyBorder="1" applyAlignment="1">
      <alignment horizontal="center" vertical="center"/>
    </xf>
    <xf numFmtId="0" fontId="54" fillId="7" borderId="74" xfId="0" applyFont="1" applyFill="1" applyBorder="1" applyAlignment="1">
      <alignment horizontal="center" vertical="center"/>
    </xf>
    <xf numFmtId="0" fontId="54" fillId="7" borderId="51" xfId="0" applyFont="1" applyFill="1" applyBorder="1" applyAlignment="1">
      <alignment horizontal="right" vertical="center"/>
    </xf>
    <xf numFmtId="1" fontId="54" fillId="9" borderId="57" xfId="0" applyNumberFormat="1" applyFont="1" applyFill="1" applyBorder="1" applyAlignment="1">
      <alignment horizontal="center" vertical="center"/>
    </xf>
    <xf numFmtId="0" fontId="54" fillId="7" borderId="50" xfId="0" applyFont="1" applyFill="1" applyBorder="1" applyAlignment="1">
      <alignment horizontal="center" vertical="center"/>
    </xf>
    <xf numFmtId="11" fontId="54" fillId="9" borderId="0" xfId="0" applyNumberFormat="1" applyFont="1" applyFill="1" applyAlignment="1">
      <alignment horizontal="center" vertical="center"/>
    </xf>
    <xf numFmtId="0" fontId="54" fillId="7" borderId="19" xfId="0" applyFont="1" applyFill="1" applyBorder="1" applyAlignment="1">
      <alignment horizontal="center" vertical="center"/>
    </xf>
    <xf numFmtId="0" fontId="54" fillId="7" borderId="68" xfId="0" applyFont="1" applyFill="1" applyBorder="1" applyAlignment="1">
      <alignment horizontal="right" vertical="center"/>
    </xf>
    <xf numFmtId="11" fontId="54" fillId="4" borderId="32" xfId="0" applyNumberFormat="1" applyFont="1" applyFill="1" applyBorder="1" applyAlignment="1">
      <alignment horizontal="center" vertical="center"/>
    </xf>
    <xf numFmtId="0" fontId="54" fillId="0" borderId="0" xfId="0" applyFont="1" applyAlignment="1">
      <alignment horizontal="right" vertical="center"/>
    </xf>
    <xf numFmtId="0" fontId="54" fillId="11" borderId="1" xfId="0" applyFont="1" applyFill="1" applyBorder="1" applyAlignment="1">
      <alignment horizontal="left" vertical="center"/>
    </xf>
    <xf numFmtId="0" fontId="54" fillId="11" borderId="2" xfId="0" applyFont="1" applyFill="1" applyBorder="1" applyAlignment="1">
      <alignment horizontal="center" vertical="center"/>
    </xf>
    <xf numFmtId="0" fontId="54" fillId="11" borderId="3" xfId="0" applyFont="1" applyFill="1" applyBorder="1" applyAlignment="1">
      <alignment horizontal="center" vertical="center"/>
    </xf>
    <xf numFmtId="0" fontId="54" fillId="11" borderId="33" xfId="0" applyFont="1" applyFill="1" applyBorder="1" applyAlignment="1">
      <alignment horizontal="left" vertical="center"/>
    </xf>
    <xf numFmtId="0" fontId="54" fillId="11" borderId="0" xfId="0" applyFont="1" applyFill="1" applyAlignment="1">
      <alignment horizontal="center" vertical="center"/>
    </xf>
    <xf numFmtId="0" fontId="54" fillId="11" borderId="34" xfId="0" applyFont="1" applyFill="1" applyBorder="1" applyAlignment="1">
      <alignment horizontal="center" vertical="center"/>
    </xf>
    <xf numFmtId="0" fontId="54" fillId="11" borderId="33" xfId="0" applyFont="1" applyFill="1" applyBorder="1" applyAlignment="1">
      <alignment horizontal="center" vertical="center"/>
    </xf>
    <xf numFmtId="0" fontId="54" fillId="11" borderId="0" xfId="0" applyFont="1" applyFill="1"/>
    <xf numFmtId="11" fontId="54" fillId="11" borderId="0" xfId="0" applyNumberFormat="1" applyFont="1" applyFill="1" applyAlignment="1">
      <alignment horizontal="center" vertical="center"/>
    </xf>
    <xf numFmtId="0" fontId="56" fillId="11" borderId="0" xfId="0" applyFont="1" applyFill="1" applyAlignment="1">
      <alignment horizontal="center" vertical="center"/>
    </xf>
    <xf numFmtId="167" fontId="54" fillId="11" borderId="0" xfId="0" applyNumberFormat="1" applyFont="1" applyFill="1" applyAlignment="1">
      <alignment horizontal="center" vertical="center"/>
    </xf>
    <xf numFmtId="1" fontId="54" fillId="11" borderId="0" xfId="0" applyNumberFormat="1" applyFont="1" applyFill="1" applyAlignment="1">
      <alignment horizontal="center" vertical="center"/>
    </xf>
    <xf numFmtId="0" fontId="56" fillId="11" borderId="0" xfId="0" applyFont="1" applyFill="1" applyAlignment="1">
      <alignment horizontal="right" vertical="center"/>
    </xf>
    <xf numFmtId="2" fontId="54" fillId="11" borderId="0" xfId="0" applyNumberFormat="1" applyFont="1" applyFill="1" applyAlignment="1">
      <alignment horizontal="center" vertical="center"/>
    </xf>
    <xf numFmtId="0" fontId="54" fillId="11" borderId="4" xfId="0" applyFont="1" applyFill="1" applyBorder="1" applyAlignment="1">
      <alignment horizontal="center" vertical="center"/>
    </xf>
    <xf numFmtId="0" fontId="54" fillId="11" borderId="5" xfId="0" applyFont="1" applyFill="1" applyBorder="1" applyAlignment="1">
      <alignment horizontal="center" vertical="center"/>
    </xf>
    <xf numFmtId="0" fontId="54" fillId="11" borderId="6" xfId="0" applyFont="1" applyFill="1" applyBorder="1" applyAlignment="1">
      <alignment horizontal="center" vertical="center"/>
    </xf>
    <xf numFmtId="0" fontId="54" fillId="11" borderId="1" xfId="0" applyFont="1" applyFill="1" applyBorder="1" applyAlignment="1">
      <alignment horizontal="center" vertical="center"/>
    </xf>
    <xf numFmtId="0" fontId="54" fillId="10" borderId="1" xfId="0" applyFont="1" applyFill="1" applyBorder="1" applyAlignment="1">
      <alignment horizontal="center" vertical="center"/>
    </xf>
    <xf numFmtId="0" fontId="54" fillId="10" borderId="2" xfId="0" applyFont="1" applyFill="1" applyBorder="1" applyAlignment="1">
      <alignment horizontal="center" vertical="center"/>
    </xf>
    <xf numFmtId="0" fontId="54" fillId="10" borderId="3" xfId="0" applyFont="1" applyFill="1" applyBorder="1" applyAlignment="1">
      <alignment horizontal="center" vertical="center"/>
    </xf>
    <xf numFmtId="0" fontId="54" fillId="10" borderId="33" xfId="0" applyFont="1" applyFill="1" applyBorder="1" applyAlignment="1">
      <alignment horizontal="left" vertical="center"/>
    </xf>
    <xf numFmtId="0" fontId="54" fillId="10" borderId="0" xfId="0" applyFont="1" applyFill="1" applyAlignment="1">
      <alignment horizontal="center" vertical="center"/>
    </xf>
    <xf numFmtId="11" fontId="54" fillId="10" borderId="0" xfId="0" applyNumberFormat="1" applyFont="1" applyFill="1" applyAlignment="1">
      <alignment horizontal="center" vertical="center"/>
    </xf>
    <xf numFmtId="0" fontId="54" fillId="10" borderId="34" xfId="0" applyFont="1" applyFill="1" applyBorder="1" applyAlignment="1">
      <alignment horizontal="center" vertical="center"/>
    </xf>
    <xf numFmtId="0" fontId="54" fillId="10" borderId="33" xfId="0" applyFont="1" applyFill="1" applyBorder="1" applyAlignment="1">
      <alignment horizontal="center" vertical="center"/>
    </xf>
    <xf numFmtId="0" fontId="54" fillId="10" borderId="0" xfId="0" applyFont="1" applyFill="1" applyAlignment="1">
      <alignment horizontal="left" vertical="center"/>
    </xf>
    <xf numFmtId="11" fontId="54" fillId="10" borderId="0" xfId="2" applyNumberFormat="1" applyFont="1" applyFill="1" applyAlignment="1">
      <alignment horizontal="center" vertical="center"/>
    </xf>
    <xf numFmtId="0" fontId="54" fillId="10" borderId="0" xfId="0" applyFont="1" applyFill="1"/>
    <xf numFmtId="0" fontId="54" fillId="10" borderId="4" xfId="0" applyFont="1" applyFill="1" applyBorder="1" applyAlignment="1">
      <alignment horizontal="center" vertical="center"/>
    </xf>
    <xf numFmtId="0" fontId="54" fillId="10" borderId="5" xfId="0" applyFont="1" applyFill="1" applyBorder="1" applyAlignment="1">
      <alignment horizontal="center" vertical="center"/>
    </xf>
    <xf numFmtId="0" fontId="54" fillId="10" borderId="6" xfId="0" applyFont="1" applyFill="1" applyBorder="1" applyAlignment="1">
      <alignment horizontal="center" vertical="center"/>
    </xf>
    <xf numFmtId="11" fontId="54" fillId="10" borderId="2" xfId="0" applyNumberFormat="1" applyFont="1" applyFill="1" applyBorder="1" applyAlignment="1">
      <alignment horizontal="center" vertical="center"/>
    </xf>
    <xf numFmtId="0" fontId="54" fillId="10" borderId="2" xfId="0" applyFont="1" applyFill="1" applyBorder="1"/>
    <xf numFmtId="0" fontId="56" fillId="10" borderId="0" xfId="0" applyFont="1" applyFill="1" applyAlignment="1">
      <alignment horizontal="left" vertical="center"/>
    </xf>
    <xf numFmtId="0" fontId="56" fillId="10" borderId="0" xfId="0" applyFont="1" applyFill="1" applyAlignment="1">
      <alignment horizontal="center" vertical="center"/>
    </xf>
    <xf numFmtId="0" fontId="54" fillId="10" borderId="2" xfId="0" applyFont="1" applyFill="1" applyBorder="1" applyAlignment="1">
      <alignment horizontal="left" vertical="center"/>
    </xf>
    <xf numFmtId="0" fontId="54" fillId="10" borderId="4" xfId="0" applyFont="1" applyFill="1" applyBorder="1" applyAlignment="1">
      <alignment horizontal="left" vertical="center"/>
    </xf>
    <xf numFmtId="0" fontId="54" fillId="10" borderId="5" xfId="0" applyFont="1" applyFill="1" applyBorder="1" applyAlignment="1">
      <alignment horizontal="left" vertical="center"/>
    </xf>
    <xf numFmtId="0" fontId="54" fillId="10" borderId="1" xfId="0" applyFont="1" applyFill="1" applyBorder="1" applyAlignment="1">
      <alignment horizontal="left" vertical="center"/>
    </xf>
    <xf numFmtId="11" fontId="54" fillId="10" borderId="5" xfId="0" applyNumberFormat="1" applyFont="1" applyFill="1" applyBorder="1" applyAlignment="1">
      <alignment horizontal="center" vertical="center"/>
    </xf>
    <xf numFmtId="0" fontId="1" fillId="17" borderId="44" xfId="0" applyFont="1" applyFill="1" applyBorder="1" applyAlignment="1">
      <alignment horizontal="center" vertical="center"/>
    </xf>
    <xf numFmtId="164" fontId="1" fillId="17" borderId="42" xfId="0" applyNumberFormat="1" applyFont="1" applyFill="1" applyBorder="1" applyAlignment="1">
      <alignment horizontal="center" vertical="center"/>
    </xf>
    <xf numFmtId="164" fontId="1" fillId="17" borderId="49" xfId="0" applyNumberFormat="1" applyFont="1" applyFill="1" applyBorder="1" applyAlignment="1">
      <alignment horizontal="center" vertical="center"/>
    </xf>
    <xf numFmtId="0" fontId="0" fillId="7" borderId="48" xfId="0" applyFill="1" applyBorder="1" applyAlignment="1">
      <alignment horizontal="right" vertical="center"/>
    </xf>
    <xf numFmtId="0" fontId="4" fillId="0" borderId="0" xfId="0" applyFont="1"/>
    <xf numFmtId="0" fontId="0" fillId="10" borderId="52" xfId="0" applyFill="1" applyBorder="1" applyAlignment="1">
      <alignment horizontal="center" vertical="center"/>
    </xf>
    <xf numFmtId="0" fontId="37" fillId="10" borderId="11" xfId="0" applyFont="1" applyFill="1" applyBorder="1" applyAlignment="1">
      <alignment horizontal="center" vertical="center"/>
    </xf>
    <xf numFmtId="0" fontId="37" fillId="10" borderId="57" xfId="0" applyFont="1" applyFill="1" applyBorder="1" applyAlignment="1">
      <alignment horizontal="center" vertical="center"/>
    </xf>
    <xf numFmtId="0" fontId="37" fillId="10" borderId="21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 vertical="center"/>
    </xf>
    <xf numFmtId="0" fontId="37" fillId="10" borderId="43" xfId="0" applyFont="1" applyFill="1" applyBorder="1" applyAlignment="1">
      <alignment horizontal="center" vertical="center"/>
    </xf>
    <xf numFmtId="0" fontId="37" fillId="10" borderId="56" xfId="0" applyFont="1" applyFill="1" applyBorder="1" applyAlignment="1">
      <alignment horizontal="center" vertical="center"/>
    </xf>
    <xf numFmtId="0" fontId="37" fillId="10" borderId="40" xfId="0" applyFont="1" applyFill="1" applyBorder="1" applyAlignment="1">
      <alignment horizontal="center" vertical="center"/>
    </xf>
    <xf numFmtId="0" fontId="37" fillId="7" borderId="89" xfId="0" applyFont="1" applyFill="1" applyBorder="1" applyAlignment="1">
      <alignment horizontal="center" vertical="center" wrapText="1"/>
    </xf>
    <xf numFmtId="10" fontId="37" fillId="10" borderId="90" xfId="0" applyNumberFormat="1" applyFont="1" applyFill="1" applyBorder="1" applyAlignment="1">
      <alignment horizontal="center" vertical="center"/>
    </xf>
    <xf numFmtId="10" fontId="37" fillId="10" borderId="91" xfId="0" applyNumberFormat="1" applyFont="1" applyFill="1" applyBorder="1" applyAlignment="1">
      <alignment horizontal="center" vertical="center"/>
    </xf>
    <xf numFmtId="11" fontId="37" fillId="10" borderId="91" xfId="0" applyNumberFormat="1" applyFont="1" applyFill="1" applyBorder="1" applyAlignment="1">
      <alignment horizontal="center" vertical="center"/>
    </xf>
    <xf numFmtId="0" fontId="37" fillId="10" borderId="91" xfId="0" applyFont="1" applyFill="1" applyBorder="1" applyAlignment="1">
      <alignment horizontal="center" vertical="center"/>
    </xf>
    <xf numFmtId="9" fontId="37" fillId="10" borderId="92" xfId="0" applyNumberFormat="1" applyFont="1" applyFill="1" applyBorder="1" applyAlignment="1">
      <alignment horizontal="center" vertical="center"/>
    </xf>
    <xf numFmtId="0" fontId="37" fillId="0" borderId="96" xfId="0" applyFont="1" applyBorder="1" applyAlignment="1">
      <alignment horizontal="center" vertical="center"/>
    </xf>
    <xf numFmtId="0" fontId="37" fillId="0" borderId="97" xfId="0" applyFont="1" applyBorder="1" applyAlignment="1">
      <alignment horizontal="center" vertical="center"/>
    </xf>
    <xf numFmtId="0" fontId="37" fillId="0" borderId="95" xfId="0" applyFont="1" applyBorder="1" applyAlignment="1">
      <alignment horizontal="center" vertical="center"/>
    </xf>
    <xf numFmtId="0" fontId="37" fillId="7" borderId="100" xfId="0" applyFont="1" applyFill="1" applyBorder="1" applyAlignment="1">
      <alignment horizontal="center" vertical="center" wrapText="1"/>
    </xf>
    <xf numFmtId="0" fontId="0" fillId="0" borderId="96" xfId="0" applyBorder="1" applyAlignment="1">
      <alignment horizontal="left" vertical="center"/>
    </xf>
    <xf numFmtId="0" fontId="1" fillId="12" borderId="101" xfId="0" applyFont="1" applyFill="1" applyBorder="1" applyAlignment="1">
      <alignment horizontal="center" vertical="center"/>
    </xf>
    <xf numFmtId="0" fontId="1" fillId="12" borderId="44" xfId="0" applyFont="1" applyFill="1" applyBorder="1" applyAlignment="1">
      <alignment horizontal="center" vertical="center"/>
    </xf>
    <xf numFmtId="0" fontId="1" fillId="18" borderId="101" xfId="0" applyFont="1" applyFill="1" applyBorder="1" applyAlignment="1">
      <alignment horizontal="center" vertical="center"/>
    </xf>
    <xf numFmtId="0" fontId="1" fillId="18" borderId="44" xfId="0" applyFont="1" applyFill="1" applyBorder="1" applyAlignment="1">
      <alignment horizontal="center" vertical="center"/>
    </xf>
    <xf numFmtId="2" fontId="0" fillId="12" borderId="21" xfId="0" applyNumberFormat="1" applyFill="1" applyBorder="1" applyAlignment="1">
      <alignment horizontal="center" vertical="center"/>
    </xf>
    <xf numFmtId="172" fontId="0" fillId="12" borderId="20" xfId="0" applyNumberFormat="1" applyFill="1" applyBorder="1" applyAlignment="1">
      <alignment horizontal="center" vertical="center"/>
    </xf>
    <xf numFmtId="2" fontId="0" fillId="18" borderId="20" xfId="0" applyNumberFormat="1" applyFill="1" applyBorder="1" applyAlignment="1">
      <alignment horizontal="center" vertical="center"/>
    </xf>
    <xf numFmtId="2" fontId="0" fillId="18" borderId="21" xfId="0" applyNumberFormat="1" applyFill="1" applyBorder="1" applyAlignment="1">
      <alignment horizontal="center" vertical="center"/>
    </xf>
    <xf numFmtId="172" fontId="0" fillId="18" borderId="20" xfId="0" applyNumberFormat="1" applyFill="1" applyBorder="1" applyAlignment="1">
      <alignment horizontal="center" vertical="center"/>
    </xf>
    <xf numFmtId="172" fontId="0" fillId="18" borderId="44" xfId="0" applyNumberFormat="1" applyFill="1" applyBorder="1" applyAlignment="1">
      <alignment horizontal="center" vertical="center"/>
    </xf>
    <xf numFmtId="2" fontId="0" fillId="18" borderId="101" xfId="0" applyNumberFormat="1" applyFill="1" applyBorder="1" applyAlignment="1">
      <alignment horizontal="center" vertical="center"/>
    </xf>
    <xf numFmtId="2" fontId="0" fillId="18" borderId="105" xfId="0" applyNumberFormat="1" applyFill="1" applyBorder="1" applyAlignment="1">
      <alignment horizontal="center" vertical="center"/>
    </xf>
    <xf numFmtId="172" fontId="0" fillId="18" borderId="101" xfId="0" applyNumberFormat="1" applyFill="1" applyBorder="1" applyAlignment="1">
      <alignment horizontal="center" vertical="center"/>
    </xf>
    <xf numFmtId="2" fontId="0" fillId="12" borderId="101" xfId="0" applyNumberFormat="1" applyFill="1" applyBorder="1" applyAlignment="1">
      <alignment horizontal="center" vertical="center"/>
    </xf>
    <xf numFmtId="2" fontId="0" fillId="12" borderId="105" xfId="0" applyNumberFormat="1" applyFill="1" applyBorder="1" applyAlignment="1">
      <alignment horizontal="center" vertical="center"/>
    </xf>
    <xf numFmtId="172" fontId="0" fillId="12" borderId="101" xfId="0" applyNumberFormat="1" applyFill="1" applyBorder="1" applyAlignment="1">
      <alignment horizontal="center" vertical="center"/>
    </xf>
    <xf numFmtId="172" fontId="0" fillId="12" borderId="44" xfId="0" applyNumberForma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4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42" xfId="0" applyFont="1" applyFill="1" applyBorder="1" applyAlignment="1">
      <alignment horizontal="center" vertical="center" wrapText="1"/>
    </xf>
    <xf numFmtId="0" fontId="1" fillId="7" borderId="81" xfId="0" applyFont="1" applyFill="1" applyBorder="1" applyAlignment="1">
      <alignment horizontal="center" vertical="center"/>
    </xf>
    <xf numFmtId="0" fontId="1" fillId="7" borderId="88" xfId="0" applyFont="1" applyFill="1" applyBorder="1" applyAlignment="1">
      <alignment horizontal="center" vertical="center"/>
    </xf>
    <xf numFmtId="0" fontId="1" fillId="7" borderId="8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2" fontId="0" fillId="12" borderId="44" xfId="0" applyNumberFormat="1" applyFill="1" applyBorder="1" applyAlignment="1">
      <alignment horizontal="center" vertical="center"/>
    </xf>
    <xf numFmtId="0" fontId="0" fillId="2" borderId="57" xfId="0" applyFill="1" applyBorder="1" applyAlignment="1" applyProtection="1">
      <alignment horizontal="center" vertical="center"/>
      <protection locked="0"/>
    </xf>
    <xf numFmtId="0" fontId="0" fillId="2" borderId="29" xfId="0" applyFill="1" applyBorder="1" applyAlignment="1" applyProtection="1">
      <alignment horizontal="center" vertical="center"/>
      <protection locked="0"/>
    </xf>
    <xf numFmtId="0" fontId="0" fillId="2" borderId="43" xfId="0" quotePrefix="1" applyFill="1" applyBorder="1" applyAlignment="1" applyProtection="1">
      <alignment horizontal="left" vertical="center"/>
      <protection locked="0"/>
    </xf>
    <xf numFmtId="0" fontId="0" fillId="2" borderId="11" xfId="0" applyFill="1" applyBorder="1" applyAlignment="1" applyProtection="1">
      <alignment horizontal="center" vertical="center"/>
      <protection locked="0"/>
    </xf>
    <xf numFmtId="0" fontId="0" fillId="2" borderId="12" xfId="0" applyFill="1" applyBorder="1" applyAlignment="1" applyProtection="1">
      <alignment horizontal="center" vertical="center"/>
      <protection locked="0"/>
    </xf>
    <xf numFmtId="0" fontId="0" fillId="2" borderId="56" xfId="0" applyFill="1" applyBorder="1" applyAlignment="1" applyProtection="1">
      <alignment horizontal="left" vertical="center"/>
      <protection locked="0"/>
    </xf>
    <xf numFmtId="0" fontId="0" fillId="2" borderId="57" xfId="0" applyFill="1" applyBorder="1" applyAlignment="1" applyProtection="1">
      <alignment horizontal="left" vertical="center"/>
      <protection locked="0"/>
    </xf>
    <xf numFmtId="0" fontId="0" fillId="2" borderId="57" xfId="0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horizontal="center" vertical="center"/>
      <protection locked="0"/>
    </xf>
    <xf numFmtId="49" fontId="0" fillId="2" borderId="56" xfId="0" quotePrefix="1" applyNumberFormat="1" applyFill="1" applyBorder="1" applyAlignment="1" applyProtection="1">
      <alignment horizontal="left" vertical="center"/>
      <protection locked="0"/>
    </xf>
    <xf numFmtId="2" fontId="0" fillId="2" borderId="57" xfId="0" applyNumberFormat="1" applyFill="1" applyBorder="1" applyAlignment="1" applyProtection="1">
      <alignment horizontal="center" vertical="center"/>
      <protection locked="0"/>
    </xf>
    <xf numFmtId="0" fontId="0" fillId="2" borderId="15" xfId="0" applyFill="1" applyBorder="1" applyAlignment="1" applyProtection="1">
      <alignment horizontal="center" vertical="center"/>
      <protection locked="0"/>
    </xf>
    <xf numFmtId="165" fontId="0" fillId="2" borderId="40" xfId="0" applyNumberFormat="1" applyFill="1" applyBorder="1" applyAlignment="1" applyProtection="1">
      <alignment horizontal="left" vertical="center"/>
      <protection locked="0"/>
    </xf>
    <xf numFmtId="0" fontId="0" fillId="2" borderId="21" xfId="0" applyFill="1" applyBorder="1" applyAlignment="1" applyProtection="1">
      <alignment horizontal="center" vertical="center"/>
      <protection locked="0"/>
    </xf>
    <xf numFmtId="0" fontId="0" fillId="2" borderId="32" xfId="0" applyFill="1" applyBorder="1" applyAlignment="1" applyProtection="1">
      <alignment horizontal="center" vertical="center"/>
      <protection locked="0"/>
    </xf>
    <xf numFmtId="0" fontId="0" fillId="7" borderId="27" xfId="0" applyFill="1" applyBorder="1" applyAlignment="1">
      <alignment horizontal="right" vertical="center"/>
    </xf>
    <xf numFmtId="0" fontId="0" fillId="7" borderId="27" xfId="0" applyFill="1" applyBorder="1" applyAlignment="1">
      <alignment horizontal="center" vertical="center"/>
    </xf>
    <xf numFmtId="0" fontId="0" fillId="7" borderId="107" xfId="0" applyFill="1" applyBorder="1" applyAlignment="1">
      <alignment horizontal="right" vertical="center"/>
    </xf>
    <xf numFmtId="0" fontId="0" fillId="7" borderId="107" xfId="0" applyFill="1" applyBorder="1" applyAlignment="1">
      <alignment horizontal="center" vertical="center"/>
    </xf>
    <xf numFmtId="0" fontId="0" fillId="2" borderId="48" xfId="0" applyFill="1" applyBorder="1" applyAlignment="1" applyProtection="1">
      <alignment horizontal="center" vertical="center"/>
      <protection locked="0"/>
    </xf>
    <xf numFmtId="0" fontId="0" fillId="2" borderId="107" xfId="0" applyFill="1" applyBorder="1" applyAlignment="1" applyProtection="1">
      <alignment horizontal="center" vertical="center"/>
      <protection locked="0"/>
    </xf>
    <xf numFmtId="0" fontId="0" fillId="2" borderId="27" xfId="0" applyFill="1" applyBorder="1" applyAlignment="1" applyProtection="1">
      <alignment horizontal="center" vertical="center"/>
      <protection locked="0"/>
    </xf>
    <xf numFmtId="0" fontId="0" fillId="2" borderId="17" xfId="0" applyFill="1" applyBorder="1" applyAlignment="1" applyProtection="1">
      <alignment horizontal="center" vertical="center"/>
      <protection locked="0"/>
    </xf>
    <xf numFmtId="1" fontId="0" fillId="2" borderId="24" xfId="0" applyNumberFormat="1" applyFill="1" applyBorder="1" applyAlignment="1" applyProtection="1">
      <alignment horizontal="center" vertical="center"/>
      <protection locked="0"/>
    </xf>
    <xf numFmtId="1" fontId="0" fillId="2" borderId="77" xfId="0" applyNumberFormat="1" applyFill="1" applyBorder="1" applyAlignment="1" applyProtection="1">
      <alignment horizontal="center" vertical="center"/>
      <protection locked="0"/>
    </xf>
    <xf numFmtId="1" fontId="0" fillId="2" borderId="26" xfId="0" applyNumberFormat="1" applyFill="1" applyBorder="1" applyAlignment="1" applyProtection="1">
      <alignment horizontal="center" vertical="center"/>
      <protection locked="0"/>
    </xf>
    <xf numFmtId="1" fontId="0" fillId="2" borderId="18" xfId="0" applyNumberFormat="1" applyFill="1" applyBorder="1" applyAlignment="1" applyProtection="1">
      <alignment horizontal="center" vertical="center"/>
      <protection locked="0"/>
    </xf>
    <xf numFmtId="0" fontId="0" fillId="18" borderId="17" xfId="0" applyFill="1" applyBorder="1" applyAlignment="1" applyProtection="1">
      <alignment horizontal="center" vertical="center"/>
      <protection locked="0"/>
    </xf>
    <xf numFmtId="0" fontId="0" fillId="12" borderId="17" xfId="0" applyFill="1" applyBorder="1" applyAlignment="1" applyProtection="1">
      <alignment horizontal="center" vertical="center"/>
      <protection locked="0"/>
    </xf>
    <xf numFmtId="1" fontId="0" fillId="12" borderId="16" xfId="0" applyNumberFormat="1" applyFill="1" applyBorder="1" applyAlignment="1" applyProtection="1">
      <alignment horizontal="center" vertical="center"/>
      <protection locked="0"/>
    </xf>
    <xf numFmtId="1" fontId="0" fillId="12" borderId="17" xfId="0" applyNumberFormat="1" applyFill="1" applyBorder="1" applyAlignment="1" applyProtection="1">
      <alignment horizontal="center" vertical="center"/>
      <protection locked="0"/>
    </xf>
    <xf numFmtId="1" fontId="0" fillId="12" borderId="18" xfId="0" applyNumberFormat="1" applyFill="1" applyBorder="1" applyAlignment="1" applyProtection="1">
      <alignment horizontal="center" vertical="center"/>
      <protection locked="0"/>
    </xf>
    <xf numFmtId="1" fontId="0" fillId="18" borderId="102" xfId="0" applyNumberFormat="1" applyFill="1" applyBorder="1" applyAlignment="1" applyProtection="1">
      <alignment horizontal="center" vertical="center"/>
      <protection locked="0"/>
    </xf>
    <xf numFmtId="1" fontId="0" fillId="18" borderId="103" xfId="0" applyNumberFormat="1" applyFill="1" applyBorder="1" applyAlignment="1" applyProtection="1">
      <alignment horizontal="center" vertical="center"/>
      <protection locked="0"/>
    </xf>
    <xf numFmtId="1" fontId="0" fillId="18" borderId="104" xfId="0" applyNumberFormat="1" applyFill="1" applyBorder="1" applyAlignment="1" applyProtection="1">
      <alignment horizontal="center" vertical="center"/>
      <protection locked="0"/>
    </xf>
    <xf numFmtId="2" fontId="0" fillId="18" borderId="101" xfId="0" applyNumberFormat="1" applyFill="1" applyBorder="1" applyAlignment="1" applyProtection="1">
      <alignment horizontal="center" vertical="center"/>
      <protection locked="0"/>
    </xf>
    <xf numFmtId="2" fontId="0" fillId="18" borderId="20" xfId="0" applyNumberFormat="1" applyFill="1" applyBorder="1" applyAlignment="1" applyProtection="1">
      <alignment horizontal="center" vertical="center"/>
      <protection locked="0"/>
    </xf>
    <xf numFmtId="2" fontId="0" fillId="12" borderId="101" xfId="0" applyNumberFormat="1" applyFill="1" applyBorder="1" applyAlignment="1" applyProtection="1">
      <alignment horizontal="center" vertical="center"/>
      <protection locked="0"/>
    </xf>
    <xf numFmtId="2" fontId="0" fillId="12" borderId="20" xfId="0" applyNumberFormat="1" applyFill="1" applyBorder="1" applyAlignment="1" applyProtection="1">
      <alignment horizontal="center" vertical="center"/>
      <protection locked="0"/>
    </xf>
    <xf numFmtId="0" fontId="1" fillId="18" borderId="69" xfId="0" applyFont="1" applyFill="1" applyBorder="1" applyAlignment="1">
      <alignment horizontal="center" vertical="center" wrapText="1"/>
    </xf>
    <xf numFmtId="0" fontId="1" fillId="18" borderId="44" xfId="0" applyFont="1" applyFill="1" applyBorder="1" applyAlignment="1">
      <alignment horizontal="center" vertical="center" wrapText="1"/>
    </xf>
    <xf numFmtId="0" fontId="1" fillId="18" borderId="5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/>
    </xf>
    <xf numFmtId="0" fontId="0" fillId="7" borderId="57" xfId="0" applyFill="1" applyBorder="1" applyAlignment="1">
      <alignment horizontal="right" vertical="center"/>
    </xf>
    <xf numFmtId="0" fontId="0" fillId="7" borderId="56" xfId="0" applyFill="1" applyBorder="1" applyAlignment="1">
      <alignment horizontal="center" vertical="center"/>
    </xf>
    <xf numFmtId="0" fontId="0" fillId="2" borderId="51" xfId="0" applyFill="1" applyBorder="1" applyAlignment="1" applyProtection="1">
      <alignment horizontal="center" vertical="center"/>
      <protection locked="0"/>
    </xf>
    <xf numFmtId="0" fontId="0" fillId="2" borderId="51" xfId="0" applyFill="1" applyBorder="1" applyAlignment="1" applyProtection="1">
      <alignment horizontal="left" vertical="center"/>
      <protection locked="0"/>
    </xf>
    <xf numFmtId="0" fontId="54" fillId="0" borderId="61" xfId="0" applyFont="1" applyBorder="1" applyAlignment="1">
      <alignment horizontal="left" vertical="center"/>
    </xf>
    <xf numFmtId="0" fontId="54" fillId="0" borderId="15" xfId="0" applyFont="1" applyBorder="1" applyAlignment="1">
      <alignment horizontal="left" vertical="center"/>
    </xf>
    <xf numFmtId="2" fontId="0" fillId="12" borderId="69" xfId="0" applyNumberFormat="1" applyFill="1" applyBorder="1" applyAlignment="1">
      <alignment horizontal="center" vertical="center"/>
    </xf>
    <xf numFmtId="2" fontId="0" fillId="18" borderId="69" xfId="0" applyNumberFormat="1" applyFill="1" applyBorder="1" applyAlignment="1">
      <alignment horizontal="center" vertical="center"/>
    </xf>
    <xf numFmtId="0" fontId="51" fillId="0" borderId="0" xfId="0" applyFont="1" applyAlignment="1">
      <alignment vertical="center" wrapText="1"/>
    </xf>
    <xf numFmtId="1" fontId="0" fillId="18" borderId="101" xfId="0" applyNumberFormat="1" applyFill="1" applyBorder="1" applyAlignment="1" applyProtection="1">
      <alignment horizontal="center" vertical="center"/>
      <protection locked="0"/>
    </xf>
    <xf numFmtId="0" fontId="18" fillId="0" borderId="0" xfId="0" applyFont="1" applyAlignment="1">
      <alignment vertical="center" wrapText="1"/>
    </xf>
    <xf numFmtId="0" fontId="0" fillId="0" borderId="0" xfId="0" quotePrefix="1"/>
    <xf numFmtId="164" fontId="0" fillId="2" borderId="48" xfId="0" applyNumberFormat="1" applyFill="1" applyBorder="1" applyAlignment="1" applyProtection="1">
      <alignment horizontal="center" vertical="center"/>
      <protection locked="0"/>
    </xf>
    <xf numFmtId="164" fontId="0" fillId="2" borderId="107" xfId="0" applyNumberFormat="1" applyFill="1" applyBorder="1" applyAlignment="1" applyProtection="1">
      <alignment horizontal="center" vertical="center"/>
      <protection locked="0"/>
    </xf>
    <xf numFmtId="1" fontId="0" fillId="12" borderId="102" xfId="0" applyNumberFormat="1" applyFill="1" applyBorder="1" applyAlignment="1" applyProtection="1">
      <alignment horizontal="center" vertical="center"/>
      <protection locked="0"/>
    </xf>
    <xf numFmtId="1" fontId="0" fillId="12" borderId="103" xfId="0" applyNumberFormat="1" applyFill="1" applyBorder="1" applyAlignment="1" applyProtection="1">
      <alignment horizontal="center" vertical="center"/>
      <protection locked="0"/>
    </xf>
    <xf numFmtId="1" fontId="0" fillId="12" borderId="104" xfId="0" applyNumberFormat="1" applyFill="1" applyBorder="1" applyAlignment="1" applyProtection="1">
      <alignment horizontal="center" vertical="center"/>
      <protection locked="0"/>
    </xf>
    <xf numFmtId="1" fontId="0" fillId="12" borderId="101" xfId="0" applyNumberFormat="1" applyFill="1" applyBorder="1" applyAlignment="1" applyProtection="1">
      <alignment horizontal="center" vertical="center"/>
      <protection locked="0"/>
    </xf>
    <xf numFmtId="0" fontId="47" fillId="0" borderId="0" xfId="0" applyFont="1" applyAlignment="1">
      <alignment vertical="top"/>
    </xf>
    <xf numFmtId="0" fontId="47" fillId="0" borderId="0" xfId="0" applyFont="1" applyAlignment="1">
      <alignment vertical="top" wrapText="1"/>
    </xf>
    <xf numFmtId="0" fontId="47" fillId="0" borderId="0" xfId="0" applyFont="1" applyAlignment="1">
      <alignment horizontal="justify" vertical="top" wrapText="1"/>
    </xf>
    <xf numFmtId="0" fontId="51" fillId="0" borderId="0" xfId="0" applyFont="1" applyAlignment="1">
      <alignment vertical="top"/>
    </xf>
    <xf numFmtId="166" fontId="51" fillId="0" borderId="0" xfId="0" quotePrefix="1" applyNumberFormat="1" applyFont="1" applyAlignment="1">
      <alignment horizontal="left" vertical="top"/>
    </xf>
    <xf numFmtId="0" fontId="53" fillId="0" borderId="0" xfId="0" applyFont="1" applyAlignment="1">
      <alignment vertical="top"/>
    </xf>
    <xf numFmtId="15" fontId="51" fillId="0" borderId="0" xfId="0" applyNumberFormat="1" applyFont="1" applyAlignment="1">
      <alignment horizontal="left" vertical="top"/>
    </xf>
    <xf numFmtId="15" fontId="51" fillId="0" borderId="0" xfId="0" applyNumberFormat="1" applyFont="1" applyAlignment="1">
      <alignment vertical="top"/>
    </xf>
    <xf numFmtId="0" fontId="47" fillId="0" borderId="0" xfId="0" applyFont="1" applyAlignment="1">
      <alignment horizontal="center" vertical="top"/>
    </xf>
    <xf numFmtId="164" fontId="0" fillId="2" borderId="27" xfId="0" applyNumberFormat="1" applyFill="1" applyBorder="1" applyAlignment="1" applyProtection="1">
      <alignment horizontal="center" vertical="center"/>
      <protection locked="0"/>
    </xf>
    <xf numFmtId="1" fontId="0" fillId="12" borderId="20" xfId="0" applyNumberFormat="1" applyFill="1" applyBorder="1" applyAlignment="1" applyProtection="1">
      <alignment horizontal="center" vertical="center"/>
      <protection locked="0"/>
    </xf>
    <xf numFmtId="1" fontId="0" fillId="18" borderId="16" xfId="0" applyNumberFormat="1" applyFill="1" applyBorder="1" applyAlignment="1" applyProtection="1">
      <alignment horizontal="center" vertical="center"/>
      <protection locked="0"/>
    </xf>
    <xf numFmtId="1" fontId="0" fillId="18" borderId="20" xfId="0" applyNumberFormat="1" applyFill="1" applyBorder="1" applyAlignment="1" applyProtection="1">
      <alignment horizontal="center" vertical="center"/>
      <protection locked="0"/>
    </xf>
    <xf numFmtId="1" fontId="0" fillId="18" borderId="17" xfId="0" applyNumberFormat="1" applyFill="1" applyBorder="1" applyAlignment="1" applyProtection="1">
      <alignment horizontal="center" vertical="center"/>
      <protection locked="0"/>
    </xf>
    <xf numFmtId="1" fontId="0" fillId="18" borderId="18" xfId="0" applyNumberFormat="1" applyFill="1" applyBorder="1" applyAlignment="1" applyProtection="1">
      <alignment horizontal="center" vertical="center"/>
      <protection locked="0"/>
    </xf>
    <xf numFmtId="164" fontId="0" fillId="18" borderId="101" xfId="0" applyNumberFormat="1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2" fontId="0" fillId="18" borderId="102" xfId="0" applyNumberFormat="1" applyFill="1" applyBorder="1" applyAlignment="1">
      <alignment horizontal="center" vertical="center"/>
    </xf>
    <xf numFmtId="2" fontId="0" fillId="18" borderId="19" xfId="0" applyNumberFormat="1" applyFill="1" applyBorder="1" applyAlignment="1">
      <alignment horizontal="center" vertical="center"/>
    </xf>
    <xf numFmtId="2" fontId="0" fillId="12" borderId="102" xfId="0" applyNumberFormat="1" applyFill="1" applyBorder="1" applyAlignment="1">
      <alignment horizontal="center" vertical="center"/>
    </xf>
    <xf numFmtId="9" fontId="0" fillId="18" borderId="101" xfId="1" applyFont="1" applyFill="1" applyBorder="1" applyAlignment="1">
      <alignment horizontal="center" vertical="center"/>
    </xf>
    <xf numFmtId="9" fontId="0" fillId="18" borderId="20" xfId="1" applyFont="1" applyFill="1" applyBorder="1" applyAlignment="1">
      <alignment horizontal="center" vertical="center"/>
    </xf>
    <xf numFmtId="9" fontId="0" fillId="12" borderId="101" xfId="1" applyFont="1" applyFill="1" applyBorder="1" applyAlignment="1">
      <alignment horizontal="center" vertical="center"/>
    </xf>
    <xf numFmtId="9" fontId="0" fillId="12" borderId="20" xfId="1" applyFont="1" applyFill="1" applyBorder="1" applyAlignment="1">
      <alignment horizontal="center" vertical="center"/>
    </xf>
    <xf numFmtId="9" fontId="0" fillId="18" borderId="44" xfId="1" applyFont="1" applyFill="1" applyBorder="1" applyAlignment="1">
      <alignment horizontal="center" vertical="center"/>
    </xf>
    <xf numFmtId="9" fontId="0" fillId="12" borderId="44" xfId="1" applyFont="1" applyFill="1" applyBorder="1" applyAlignment="1">
      <alignment horizontal="center" vertical="center"/>
    </xf>
    <xf numFmtId="164" fontId="0" fillId="12" borderId="102" xfId="0" applyNumberFormat="1" applyFill="1" applyBorder="1" applyAlignment="1" applyProtection="1">
      <alignment horizontal="center" vertical="center"/>
      <protection locked="0"/>
    </xf>
    <xf numFmtId="164" fontId="0" fillId="12" borderId="103" xfId="0" applyNumberFormat="1" applyFill="1" applyBorder="1" applyAlignment="1" applyProtection="1">
      <alignment horizontal="center" vertical="center"/>
      <protection locked="0"/>
    </xf>
    <xf numFmtId="164" fontId="0" fillId="12" borderId="104" xfId="0" applyNumberFormat="1" applyFill="1" applyBorder="1" applyAlignment="1" applyProtection="1">
      <alignment horizontal="center" vertical="center"/>
      <protection locked="0"/>
    </xf>
    <xf numFmtId="164" fontId="0" fillId="12" borderId="101" xfId="0" applyNumberForma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left"/>
    </xf>
    <xf numFmtId="174" fontId="0" fillId="0" borderId="0" xfId="0" applyNumberFormat="1" applyAlignment="1">
      <alignment horizontal="center" vertical="center"/>
    </xf>
    <xf numFmtId="0" fontId="57" fillId="0" borderId="33" xfId="0" applyFont="1" applyBorder="1" applyAlignment="1">
      <alignment horizontal="center" vertical="top"/>
    </xf>
    <xf numFmtId="0" fontId="57" fillId="0" borderId="0" xfId="0" applyFont="1" applyAlignment="1">
      <alignment horizontal="center" vertical="top"/>
    </xf>
    <xf numFmtId="0" fontId="57" fillId="0" borderId="34" xfId="0" applyFont="1" applyBorder="1" applyAlignment="1">
      <alignment horizontal="center" vertical="top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justify" vertical="center" wrapText="1"/>
    </xf>
    <xf numFmtId="0" fontId="18" fillId="0" borderId="0" xfId="0" applyFont="1" applyAlignment="1" applyProtection="1">
      <alignment horizontal="left" vertical="center" wrapText="1"/>
      <protection locked="0"/>
    </xf>
    <xf numFmtId="15" fontId="18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 vertical="center"/>
    </xf>
    <xf numFmtId="0" fontId="13" fillId="0" borderId="0" xfId="0" applyFont="1" applyAlignment="1">
      <alignment vertical="center" wrapText="1"/>
    </xf>
    <xf numFmtId="0" fontId="18" fillId="0" borderId="0" xfId="0" applyFont="1" applyAlignment="1">
      <alignment vertical="top" wrapText="1"/>
    </xf>
    <xf numFmtId="0" fontId="18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 wrapText="1"/>
    </xf>
    <xf numFmtId="167" fontId="16" fillId="0" borderId="0" xfId="0" applyNumberFormat="1" applyFont="1" applyAlignment="1">
      <alignment horizontal="center" vertical="center"/>
    </xf>
    <xf numFmtId="2" fontId="1" fillId="16" borderId="42" xfId="0" applyNumberFormat="1" applyFont="1" applyFill="1" applyBorder="1" applyAlignment="1">
      <alignment horizontal="center" vertical="center"/>
    </xf>
    <xf numFmtId="2" fontId="1" fillId="16" borderId="49" xfId="0" applyNumberFormat="1" applyFont="1" applyFill="1" applyBorder="1" applyAlignment="1">
      <alignment horizontal="center" vertical="center"/>
    </xf>
    <xf numFmtId="0" fontId="1" fillId="16" borderId="44" xfId="0" applyFont="1" applyFill="1" applyBorder="1" applyAlignment="1">
      <alignment horizontal="center" vertical="center"/>
    </xf>
    <xf numFmtId="0" fontId="13" fillId="0" borderId="52" xfId="0" applyFont="1" applyBorder="1"/>
    <xf numFmtId="0" fontId="14" fillId="0" borderId="52" xfId="0" applyFont="1" applyBorder="1" applyAlignment="1">
      <alignment horizontal="center" vertical="top"/>
    </xf>
    <xf numFmtId="0" fontId="18" fillId="0" borderId="52" xfId="0" applyFont="1" applyBorder="1" applyAlignment="1">
      <alignment vertical="top"/>
    </xf>
    <xf numFmtId="0" fontId="14" fillId="0" borderId="52" xfId="0" applyFont="1" applyBorder="1" applyAlignment="1">
      <alignment horizontal="center" vertical="center"/>
    </xf>
    <xf numFmtId="0" fontId="18" fillId="0" borderId="52" xfId="0" applyFont="1" applyBorder="1" applyAlignment="1">
      <alignment horizontal="justify" vertical="top" wrapText="1"/>
    </xf>
    <xf numFmtId="0" fontId="18" fillId="0" borderId="52" xfId="0" applyFont="1" applyBorder="1" applyAlignment="1">
      <alignment vertical="top" wrapText="1"/>
    </xf>
    <xf numFmtId="164" fontId="0" fillId="12" borderId="69" xfId="0" applyNumberFormat="1" applyFill="1" applyBorder="1" applyAlignment="1">
      <alignment horizontal="center" vertical="center"/>
    </xf>
    <xf numFmtId="164" fontId="0" fillId="12" borderId="101" xfId="0" applyNumberFormat="1" applyFill="1" applyBorder="1" applyAlignment="1">
      <alignment horizontal="center" vertical="center"/>
    </xf>
    <xf numFmtId="164" fontId="0" fillId="18" borderId="69" xfId="0" applyNumberFormat="1" applyFill="1" applyBorder="1" applyAlignment="1">
      <alignment horizontal="center" vertical="center"/>
    </xf>
    <xf numFmtId="164" fontId="0" fillId="2" borderId="17" xfId="0" applyNumberFormat="1" applyFill="1" applyBorder="1" applyAlignment="1" applyProtection="1">
      <alignment horizontal="center" vertical="center"/>
      <protection locked="0"/>
    </xf>
    <xf numFmtId="169" fontId="0" fillId="0" borderId="0" xfId="0" applyNumberFormat="1" applyAlignment="1">
      <alignment horizontal="center" vertical="center"/>
    </xf>
    <xf numFmtId="2" fontId="1" fillId="16" borderId="33" xfId="0" applyNumberFormat="1" applyFont="1" applyFill="1" applyBorder="1" applyAlignment="1">
      <alignment horizontal="center" vertical="center"/>
    </xf>
    <xf numFmtId="0" fontId="1" fillId="16" borderId="4" xfId="0" applyFont="1" applyFill="1" applyBorder="1" applyAlignment="1">
      <alignment horizontal="center" vertical="center"/>
    </xf>
    <xf numFmtId="0" fontId="0" fillId="7" borderId="23" xfId="0" applyFill="1" applyBorder="1" applyAlignment="1">
      <alignment vertical="center"/>
    </xf>
    <xf numFmtId="0" fontId="0" fillId="7" borderId="54" xfId="0" applyFill="1" applyBorder="1" applyAlignment="1">
      <alignment vertical="center"/>
    </xf>
    <xf numFmtId="0" fontId="0" fillId="7" borderId="16" xfId="0" applyFill="1" applyBorder="1" applyAlignment="1">
      <alignment vertical="center"/>
    </xf>
    <xf numFmtId="0" fontId="0" fillId="7" borderId="68" xfId="0" applyFill="1" applyBorder="1" applyAlignment="1">
      <alignment vertical="center"/>
    </xf>
    <xf numFmtId="0" fontId="0" fillId="7" borderId="50" xfId="0" applyFill="1" applyBorder="1" applyAlignment="1">
      <alignment vertical="center"/>
    </xf>
    <xf numFmtId="0" fontId="0" fillId="7" borderId="51" xfId="0" applyFill="1" applyBorder="1" applyAlignment="1">
      <alignment vertical="center"/>
    </xf>
    <xf numFmtId="0" fontId="0" fillId="7" borderId="33" xfId="0" applyFill="1" applyBorder="1" applyAlignment="1">
      <alignment horizontal="right" vertical="center"/>
    </xf>
    <xf numFmtId="0" fontId="0" fillId="7" borderId="0" xfId="0" applyFill="1" applyAlignment="1">
      <alignment horizontal="right" vertical="center"/>
    </xf>
    <xf numFmtId="2" fontId="0" fillId="17" borderId="84" xfId="0" applyNumberFormat="1" applyFill="1" applyBorder="1" applyAlignment="1">
      <alignment horizontal="center" vertical="center"/>
    </xf>
    <xf numFmtId="168" fontId="0" fillId="17" borderId="78" xfId="0" applyNumberFormat="1" applyFill="1" applyBorder="1" applyAlignment="1">
      <alignment horizontal="center" vertical="center"/>
    </xf>
    <xf numFmtId="168" fontId="0" fillId="17" borderId="20" xfId="0" applyNumberFormat="1" applyFill="1" applyBorder="1" applyAlignment="1">
      <alignment horizontal="center" vertical="center"/>
    </xf>
    <xf numFmtId="168" fontId="0" fillId="17" borderId="84" xfId="0" applyNumberFormat="1" applyFill="1" applyBorder="1" applyAlignment="1">
      <alignment horizontal="center" vertical="center"/>
    </xf>
    <xf numFmtId="168" fontId="0" fillId="17" borderId="44" xfId="0" applyNumberFormat="1" applyFill="1" applyBorder="1" applyAlignment="1">
      <alignment horizontal="center" vertical="center"/>
    </xf>
    <xf numFmtId="0" fontId="0" fillId="2" borderId="74" xfId="0" quotePrefix="1" applyFill="1" applyBorder="1" applyAlignment="1">
      <alignment horizontal="left" vertical="center"/>
    </xf>
    <xf numFmtId="0" fontId="0" fillId="2" borderId="34" xfId="0" applyFill="1" applyBorder="1" applyAlignment="1">
      <alignment horizontal="center" vertical="center"/>
    </xf>
    <xf numFmtId="0" fontId="1" fillId="7" borderId="44" xfId="0" applyFont="1" applyFill="1" applyBorder="1" applyAlignment="1">
      <alignment horizontal="center" vertical="center"/>
    </xf>
    <xf numFmtId="0" fontId="1" fillId="7" borderId="44" xfId="0" applyFont="1" applyFill="1" applyBorder="1" applyAlignment="1">
      <alignment horizontal="center" vertical="center" wrapText="1"/>
    </xf>
    <xf numFmtId="0" fontId="0" fillId="17" borderId="84" xfId="0" applyFill="1" applyBorder="1" applyAlignment="1">
      <alignment horizontal="center" vertical="center"/>
    </xf>
    <xf numFmtId="2" fontId="1" fillId="16" borderId="4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left"/>
    </xf>
    <xf numFmtId="0" fontId="12" fillId="0" borderId="0" xfId="0" applyFont="1"/>
    <xf numFmtId="0" fontId="12" fillId="0" borderId="0" xfId="0" applyFont="1" applyAlignment="1">
      <alignment horizontal="right"/>
    </xf>
    <xf numFmtId="0" fontId="61" fillId="0" borderId="111" xfId="0" applyFont="1" applyBorder="1" applyAlignment="1">
      <alignment horizontal="center" vertical="center"/>
    </xf>
    <xf numFmtId="0" fontId="61" fillId="0" borderId="112" xfId="0" applyFont="1" applyBorder="1" applyAlignment="1">
      <alignment horizontal="center" vertical="center"/>
    </xf>
    <xf numFmtId="0" fontId="61" fillId="0" borderId="113" xfId="0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114" xfId="0" applyFont="1" applyBorder="1" applyAlignment="1">
      <alignment horizontal="center" vertical="center"/>
    </xf>
    <xf numFmtId="0" fontId="61" fillId="0" borderId="62" xfId="0" applyFont="1" applyBorder="1" applyAlignment="1">
      <alignment horizontal="center" vertical="center"/>
    </xf>
    <xf numFmtId="0" fontId="61" fillId="0" borderId="61" xfId="0" applyFont="1" applyBorder="1" applyAlignment="1">
      <alignment horizontal="center" vertical="center"/>
    </xf>
    <xf numFmtId="0" fontId="61" fillId="0" borderId="63" xfId="0" applyFont="1" applyBorder="1" applyAlignment="1">
      <alignment horizontal="center" vertical="center"/>
    </xf>
    <xf numFmtId="0" fontId="61" fillId="0" borderId="115" xfId="0" applyFont="1" applyBorder="1" applyAlignment="1">
      <alignment horizontal="center" vertical="center"/>
    </xf>
    <xf numFmtId="0" fontId="61" fillId="0" borderId="60" xfId="0" applyFont="1" applyBorder="1" applyAlignment="1">
      <alignment horizontal="center" vertical="center"/>
    </xf>
    <xf numFmtId="0" fontId="61" fillId="0" borderId="64" xfId="0" applyFont="1" applyBorder="1" applyAlignment="1">
      <alignment horizontal="center" vertical="center"/>
    </xf>
    <xf numFmtId="15" fontId="61" fillId="0" borderId="0" xfId="0" applyNumberFormat="1" applyFont="1" applyAlignment="1">
      <alignment horizontal="center" vertical="center"/>
    </xf>
    <xf numFmtId="0" fontId="61" fillId="0" borderId="38" xfId="0" applyFont="1" applyBorder="1" applyAlignment="1">
      <alignment horizontal="center" vertical="center"/>
    </xf>
    <xf numFmtId="0" fontId="61" fillId="0" borderId="15" xfId="0" applyFont="1" applyBorder="1" applyAlignment="1">
      <alignment horizontal="center" vertical="center"/>
    </xf>
    <xf numFmtId="0" fontId="61" fillId="0" borderId="4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1" fillId="0" borderId="0" xfId="0" applyFont="1" applyAlignment="1">
      <alignment horizontal="right" vertical="center"/>
    </xf>
    <xf numFmtId="0" fontId="61" fillId="0" borderId="0" xfId="0" applyFont="1" applyAlignment="1">
      <alignment horizontal="left" vertical="center"/>
    </xf>
    <xf numFmtId="49" fontId="61" fillId="0" borderId="0" xfId="0" applyNumberFormat="1" applyFont="1" applyAlignment="1">
      <alignment horizontal="left" vertical="center"/>
    </xf>
    <xf numFmtId="0" fontId="63" fillId="0" borderId="70" xfId="0" applyFont="1" applyBorder="1" applyAlignment="1">
      <alignment horizontal="center" vertical="center" wrapText="1"/>
    </xf>
    <xf numFmtId="9" fontId="63" fillId="0" borderId="52" xfId="0" applyNumberFormat="1" applyFont="1" applyBorder="1" applyAlignment="1">
      <alignment horizontal="center" vertical="center"/>
    </xf>
    <xf numFmtId="0" fontId="61" fillId="0" borderId="116" xfId="0" applyFont="1" applyBorder="1" applyAlignment="1">
      <alignment horizontal="center" vertical="center"/>
    </xf>
    <xf numFmtId="0" fontId="61" fillId="0" borderId="117" xfId="0" applyFont="1" applyBorder="1" applyAlignment="1">
      <alignment horizontal="center" vertical="center"/>
    </xf>
    <xf numFmtId="0" fontId="61" fillId="0" borderId="118" xfId="0" applyFont="1" applyBorder="1" applyAlignment="1">
      <alignment horizontal="center" vertical="center"/>
    </xf>
    <xf numFmtId="167" fontId="62" fillId="0" borderId="52" xfId="0" applyNumberFormat="1" applyFont="1" applyBorder="1" applyAlignment="1">
      <alignment horizontal="center" vertical="center" wrapText="1"/>
    </xf>
    <xf numFmtId="0" fontId="63" fillId="0" borderId="52" xfId="0" applyFont="1" applyBorder="1" applyAlignment="1">
      <alignment horizontal="center" vertical="center" wrapText="1"/>
    </xf>
    <xf numFmtId="172" fontId="63" fillId="0" borderId="52" xfId="0" applyNumberFormat="1" applyFont="1" applyBorder="1" applyAlignment="1">
      <alignment horizontal="center" vertical="center"/>
    </xf>
    <xf numFmtId="2" fontId="51" fillId="0" borderId="0" xfId="0" applyNumberFormat="1" applyFont="1" applyAlignment="1">
      <alignment horizontal="center" vertical="center" wrapText="1"/>
    </xf>
    <xf numFmtId="0" fontId="66" fillId="0" borderId="61" xfId="0" applyFont="1" applyBorder="1" applyAlignment="1">
      <alignment horizontal="left" vertical="center"/>
    </xf>
    <xf numFmtId="0" fontId="66" fillId="0" borderId="61" xfId="0" applyFont="1" applyBorder="1" applyAlignment="1">
      <alignment vertical="center" wrapText="1"/>
    </xf>
    <xf numFmtId="0" fontId="14" fillId="0" borderId="63" xfId="0" applyFont="1" applyBorder="1" applyAlignment="1">
      <alignment vertical="center" wrapText="1"/>
    </xf>
    <xf numFmtId="0" fontId="66" fillId="0" borderId="0" xfId="0" applyFont="1" applyAlignment="1">
      <alignment horizontal="left" vertical="center"/>
    </xf>
    <xf numFmtId="0" fontId="66" fillId="0" borderId="0" xfId="0" applyFont="1" applyAlignment="1">
      <alignment vertical="center" wrapText="1"/>
    </xf>
    <xf numFmtId="0" fontId="14" fillId="0" borderId="64" xfId="0" applyFont="1" applyBorder="1" applyAlignment="1">
      <alignment vertical="center" wrapText="1"/>
    </xf>
    <xf numFmtId="0" fontId="66" fillId="0" borderId="15" xfId="0" applyFont="1" applyBorder="1" applyAlignment="1">
      <alignment horizontal="left" vertical="center"/>
    </xf>
    <xf numFmtId="0" fontId="66" fillId="0" borderId="15" xfId="0" applyFont="1" applyBorder="1" applyAlignment="1">
      <alignment vertical="center" wrapText="1"/>
    </xf>
    <xf numFmtId="0" fontId="14" fillId="0" borderId="47" xfId="0" applyFont="1" applyBorder="1" applyAlignment="1">
      <alignment vertical="center" wrapText="1"/>
    </xf>
    <xf numFmtId="0" fontId="13" fillId="0" borderId="60" xfId="0" applyFont="1" applyBorder="1"/>
    <xf numFmtId="0" fontId="13" fillId="0" borderId="64" xfId="0" applyFont="1" applyBorder="1"/>
    <xf numFmtId="0" fontId="18" fillId="0" borderId="70" xfId="0" applyFont="1" applyBorder="1" applyAlignment="1">
      <alignment vertical="top"/>
    </xf>
    <xf numFmtId="0" fontId="14" fillId="0" borderId="70" xfId="0" applyFont="1" applyBorder="1" applyAlignment="1">
      <alignment horizontal="center" vertical="center"/>
    </xf>
    <xf numFmtId="0" fontId="13" fillId="0" borderId="0" xfId="0" applyFont="1" applyAlignment="1">
      <alignment horizontal="left" vertical="top"/>
    </xf>
    <xf numFmtId="167" fontId="13" fillId="0" borderId="0" xfId="0" applyNumberFormat="1" applyFont="1" applyAlignment="1">
      <alignment horizontal="center"/>
    </xf>
    <xf numFmtId="0" fontId="18" fillId="0" borderId="0" xfId="0" applyFont="1" applyAlignment="1">
      <alignment vertical="top"/>
    </xf>
    <xf numFmtId="0" fontId="14" fillId="0" borderId="0" xfId="0" applyFont="1" applyAlignment="1">
      <alignment horizontal="right" vertical="center"/>
    </xf>
    <xf numFmtId="167" fontId="16" fillId="0" borderId="0" xfId="0" applyNumberFormat="1" applyFont="1"/>
    <xf numFmtId="0" fontId="16" fillId="0" borderId="0" xfId="0" applyFont="1" applyAlignment="1">
      <alignment horizontal="right"/>
    </xf>
    <xf numFmtId="0" fontId="13" fillId="0" borderId="38" xfId="0" applyFont="1" applyBorder="1"/>
    <xf numFmtId="0" fontId="13" fillId="0" borderId="47" xfId="0" applyFont="1" applyBorder="1"/>
    <xf numFmtId="0" fontId="18" fillId="0" borderId="0" xfId="0" applyFont="1" applyAlignment="1">
      <alignment horizontal="left" vertical="top" wrapText="1"/>
    </xf>
    <xf numFmtId="1" fontId="0" fillId="18" borderId="16" xfId="0" quotePrefix="1" applyNumberFormat="1" applyFill="1" applyBorder="1" applyAlignment="1" applyProtection="1">
      <alignment horizontal="center" vertical="center"/>
      <protection locked="0"/>
    </xf>
    <xf numFmtId="1" fontId="0" fillId="18" borderId="17" xfId="0" quotePrefix="1" applyNumberFormat="1" applyFill="1" applyBorder="1" applyAlignment="1" applyProtection="1">
      <alignment horizontal="center" vertical="center"/>
      <protection locked="0"/>
    </xf>
    <xf numFmtId="0" fontId="18" fillId="0" borderId="0" xfId="0" applyFont="1" applyAlignment="1">
      <alignment horizontal="justify" vertical="center"/>
    </xf>
    <xf numFmtId="0" fontId="46" fillId="0" borderId="0" xfId="0" applyFont="1" applyAlignment="1">
      <alignment horizontal="left" vertical="center"/>
    </xf>
    <xf numFmtId="0" fontId="46" fillId="0" borderId="1" xfId="0" applyFont="1" applyBorder="1"/>
    <xf numFmtId="0" fontId="46" fillId="0" borderId="2" xfId="0" applyFont="1" applyBorder="1"/>
    <xf numFmtId="0" fontId="46" fillId="0" borderId="3" xfId="0" applyFont="1" applyBorder="1"/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0" fillId="2" borderId="57" xfId="0" quotePrefix="1" applyFill="1" applyBorder="1" applyAlignment="1" applyProtection="1">
      <alignment vertical="center"/>
      <protection locked="0"/>
    </xf>
    <xf numFmtId="0" fontId="61" fillId="0" borderId="62" xfId="0" applyFont="1" applyBorder="1" applyAlignment="1">
      <alignment horizontal="right" vertical="center"/>
    </xf>
    <xf numFmtId="0" fontId="61" fillId="0" borderId="60" xfId="0" applyFont="1" applyBorder="1" applyAlignment="1">
      <alignment horizontal="right" vertical="center"/>
    </xf>
    <xf numFmtId="2" fontId="63" fillId="0" borderId="52" xfId="0" applyNumberFormat="1" applyFont="1" applyBorder="1" applyAlignment="1">
      <alignment horizontal="center" vertical="center"/>
    </xf>
    <xf numFmtId="0" fontId="61" fillId="0" borderId="38" xfId="0" applyFont="1" applyBorder="1" applyAlignment="1">
      <alignment horizontal="right" vertical="center"/>
    </xf>
    <xf numFmtId="2" fontId="63" fillId="0" borderId="52" xfId="0" applyNumberFormat="1" applyFont="1" applyBorder="1" applyAlignment="1">
      <alignment horizontal="center" vertical="center" wrapText="1"/>
    </xf>
    <xf numFmtId="1" fontId="0" fillId="18" borderId="105" xfId="0" applyNumberFormat="1" applyFill="1" applyBorder="1" applyAlignment="1" applyProtection="1">
      <alignment horizontal="center" vertical="center"/>
      <protection locked="0"/>
    </xf>
    <xf numFmtId="167" fontId="33" fillId="0" borderId="0" xfId="0" applyNumberFormat="1" applyFont="1" applyAlignment="1">
      <alignment horizontal="center" vertical="center" wrapText="1"/>
    </xf>
    <xf numFmtId="165" fontId="0" fillId="2" borderId="56" xfId="0" applyNumberFormat="1" applyFill="1" applyBorder="1" applyAlignment="1" applyProtection="1">
      <alignment horizontal="left" vertical="center"/>
      <protection locked="0"/>
    </xf>
    <xf numFmtId="0" fontId="0" fillId="2" borderId="56" xfId="0" quotePrefix="1" applyFill="1" applyBorder="1" applyAlignment="1" applyProtection="1">
      <alignment horizontal="left" vertical="center"/>
      <protection locked="0"/>
    </xf>
    <xf numFmtId="0" fontId="50" fillId="0" borderId="0" xfId="0" applyFont="1" applyAlignment="1">
      <alignment horizontal="justify" vertical="center" wrapText="1"/>
    </xf>
    <xf numFmtId="0" fontId="50" fillId="0" borderId="60" xfId="0" applyFont="1" applyBorder="1" applyAlignment="1">
      <alignment horizontal="justify" vertical="center" wrapText="1"/>
    </xf>
    <xf numFmtId="0" fontId="47" fillId="0" borderId="0" xfId="0" applyFont="1" applyAlignment="1">
      <alignment horizontal="center"/>
    </xf>
    <xf numFmtId="2" fontId="0" fillId="18" borderId="69" xfId="0" applyNumberFormat="1" applyFill="1" applyBorder="1" applyAlignment="1" applyProtection="1">
      <alignment horizontal="center" vertical="center"/>
      <protection locked="0"/>
    </xf>
    <xf numFmtId="2" fontId="0" fillId="12" borderId="69" xfId="0" applyNumberFormat="1" applyFill="1" applyBorder="1" applyAlignment="1" applyProtection="1">
      <alignment horizontal="center" vertical="center"/>
      <protection locked="0"/>
    </xf>
    <xf numFmtId="164" fontId="18" fillId="0" borderId="52" xfId="0" applyNumberFormat="1" applyFont="1" applyBorder="1" applyAlignment="1">
      <alignment horizontal="center" vertical="center" wrapText="1"/>
    </xf>
    <xf numFmtId="0" fontId="61" fillId="0" borderId="52" xfId="0" applyFont="1" applyBorder="1" applyAlignment="1">
      <alignment vertical="center"/>
    </xf>
    <xf numFmtId="2" fontId="51" fillId="0" borderId="0" xfId="0" applyNumberFormat="1" applyFont="1" applyAlignment="1">
      <alignment vertical="center" wrapText="1"/>
    </xf>
    <xf numFmtId="0" fontId="1" fillId="18" borderId="102" xfId="0" applyFont="1" applyFill="1" applyBorder="1" applyAlignment="1">
      <alignment horizontal="center" vertical="center"/>
    </xf>
    <xf numFmtId="1" fontId="0" fillId="12" borderId="79" xfId="0" applyNumberFormat="1" applyFill="1" applyBorder="1" applyAlignment="1" applyProtection="1">
      <alignment horizontal="center" vertical="center"/>
      <protection locked="0"/>
    </xf>
    <xf numFmtId="1" fontId="0" fillId="12" borderId="80" xfId="0" applyNumberFormat="1" applyFill="1" applyBorder="1" applyAlignment="1" applyProtection="1">
      <alignment horizontal="center" vertical="center"/>
      <protection locked="0"/>
    </xf>
    <xf numFmtId="1" fontId="0" fillId="12" borderId="30" xfId="0" applyNumberFormat="1" applyFill="1" applyBorder="1" applyAlignment="1" applyProtection="1">
      <alignment horizontal="center" vertical="center"/>
      <protection locked="0"/>
    </xf>
    <xf numFmtId="164" fontId="62" fillId="0" borderId="0" xfId="0" applyNumberFormat="1" applyFont="1" applyAlignment="1">
      <alignment vertical="center"/>
    </xf>
    <xf numFmtId="0" fontId="62" fillId="0" borderId="0" xfId="0" applyFont="1" applyAlignment="1">
      <alignment vertical="center" wrapText="1"/>
    </xf>
    <xf numFmtId="0" fontId="63" fillId="0" borderId="0" xfId="0" applyFont="1" applyAlignment="1">
      <alignment horizontal="center" vertical="center" wrapText="1"/>
    </xf>
    <xf numFmtId="172" fontId="63" fillId="0" borderId="0" xfId="0" applyNumberFormat="1" applyFont="1" applyAlignment="1">
      <alignment horizontal="center" vertical="center"/>
    </xf>
    <xf numFmtId="1" fontId="0" fillId="18" borderId="101" xfId="0" applyNumberFormat="1" applyFill="1" applyBorder="1" applyAlignment="1">
      <alignment horizontal="center" vertical="center"/>
    </xf>
    <xf numFmtId="167" fontId="18" fillId="0" borderId="0" xfId="0" applyNumberFormat="1" applyFont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8" fillId="0" borderId="0" xfId="0" applyFont="1" applyAlignment="1" applyProtection="1">
      <alignment horizontal="left" vertical="center"/>
      <protection locked="0"/>
    </xf>
    <xf numFmtId="0" fontId="51" fillId="0" borderId="0" xfId="0" applyFont="1" applyAlignment="1">
      <alignment wrapText="1"/>
    </xf>
    <xf numFmtId="9" fontId="0" fillId="4" borderId="78" xfId="1" applyFont="1" applyFill="1" applyBorder="1" applyAlignment="1">
      <alignment horizontal="center" vertical="center"/>
    </xf>
    <xf numFmtId="11" fontId="0" fillId="0" borderId="0" xfId="0" applyNumberFormat="1" applyAlignment="1">
      <alignment vertical="center"/>
    </xf>
    <xf numFmtId="0" fontId="54" fillId="9" borderId="19" xfId="0" applyFont="1" applyFill="1" applyBorder="1" applyAlignment="1">
      <alignment horizontal="center" vertical="center"/>
    </xf>
    <xf numFmtId="0" fontId="54" fillId="9" borderId="74" xfId="0" applyFont="1" applyFill="1" applyBorder="1" applyAlignment="1">
      <alignment horizontal="center" vertical="center"/>
    </xf>
    <xf numFmtId="0" fontId="39" fillId="9" borderId="29" xfId="0" applyFont="1" applyFill="1" applyBorder="1" applyAlignment="1">
      <alignment horizontal="center" vertical="center"/>
    </xf>
    <xf numFmtId="11" fontId="37" fillId="10" borderId="0" xfId="1" applyNumberFormat="1" applyFont="1" applyFill="1" applyAlignment="1">
      <alignment horizontal="center" vertical="center"/>
    </xf>
    <xf numFmtId="0" fontId="54" fillId="9" borderId="10" xfId="0" applyFont="1" applyFill="1" applyBorder="1" applyAlignment="1">
      <alignment horizontal="center" vertical="center"/>
    </xf>
    <xf numFmtId="11" fontId="54" fillId="9" borderId="14" xfId="1" applyNumberFormat="1" applyFont="1" applyFill="1" applyBorder="1" applyAlignment="1">
      <alignment horizontal="center" vertical="center"/>
    </xf>
    <xf numFmtId="172" fontId="54" fillId="4" borderId="21" xfId="0" applyNumberFormat="1" applyFont="1" applyFill="1" applyBorder="1" applyAlignment="1">
      <alignment horizontal="center" vertical="center"/>
    </xf>
    <xf numFmtId="172" fontId="30" fillId="4" borderId="21" xfId="0" applyNumberFormat="1" applyFont="1" applyFill="1" applyBorder="1" applyAlignment="1">
      <alignment horizontal="center" vertical="center"/>
    </xf>
    <xf numFmtId="0" fontId="54" fillId="9" borderId="44" xfId="0" applyFont="1" applyFill="1" applyBorder="1" applyAlignment="1">
      <alignment horizontal="center" vertical="center"/>
    </xf>
    <xf numFmtId="0" fontId="54" fillId="9" borderId="4" xfId="0" applyFont="1" applyFill="1" applyBorder="1" applyAlignment="1">
      <alignment horizontal="center" vertical="center"/>
    </xf>
    <xf numFmtId="11" fontId="54" fillId="9" borderId="44" xfId="0" applyNumberFormat="1" applyFont="1" applyFill="1" applyBorder="1" applyAlignment="1">
      <alignment horizontal="center" vertical="center"/>
    </xf>
    <xf numFmtId="0" fontId="54" fillId="9" borderId="46" xfId="0" applyFont="1" applyFill="1" applyBorder="1" applyAlignment="1">
      <alignment horizontal="center" vertical="center"/>
    </xf>
    <xf numFmtId="2" fontId="54" fillId="9" borderId="65" xfId="0" applyNumberFormat="1" applyFont="1" applyFill="1" applyBorder="1" applyAlignment="1">
      <alignment horizontal="center" vertical="center"/>
    </xf>
    <xf numFmtId="11" fontId="54" fillId="9" borderId="4" xfId="0" applyNumberFormat="1" applyFont="1" applyFill="1" applyBorder="1" applyAlignment="1">
      <alignment horizontal="center" vertical="center"/>
    </xf>
    <xf numFmtId="0" fontId="54" fillId="9" borderId="41" xfId="0" applyFont="1" applyFill="1" applyBorder="1" applyAlignment="1">
      <alignment horizontal="center" vertical="center"/>
    </xf>
    <xf numFmtId="11" fontId="54" fillId="9" borderId="39" xfId="0" applyNumberFormat="1" applyFont="1" applyFill="1" applyBorder="1" applyAlignment="1">
      <alignment horizontal="center" vertical="center"/>
    </xf>
    <xf numFmtId="0" fontId="54" fillId="9" borderId="65" xfId="0" applyFont="1" applyFill="1" applyBorder="1" applyAlignment="1">
      <alignment horizontal="center" vertical="center"/>
    </xf>
    <xf numFmtId="11" fontId="54" fillId="9" borderId="6" xfId="0" applyNumberFormat="1" applyFont="1" applyFill="1" applyBorder="1" applyAlignment="1">
      <alignment horizontal="center" vertical="center"/>
    </xf>
    <xf numFmtId="2" fontId="54" fillId="9" borderId="28" xfId="0" applyNumberFormat="1" applyFont="1" applyFill="1" applyBorder="1" applyAlignment="1">
      <alignment horizontal="center" vertical="center"/>
    </xf>
    <xf numFmtId="11" fontId="0" fillId="10" borderId="52" xfId="0" applyNumberFormat="1" applyFill="1" applyBorder="1" applyAlignment="1" applyProtection="1">
      <alignment horizontal="center" vertical="center"/>
      <protection locked="0"/>
    </xf>
    <xf numFmtId="0" fontId="18" fillId="0" borderId="0" xfId="0" applyFont="1" applyAlignment="1">
      <alignment horizontal="center" vertical="center" wrapText="1"/>
    </xf>
    <xf numFmtId="2" fontId="18" fillId="0" borderId="0" xfId="0" applyNumberFormat="1" applyFont="1" applyAlignment="1">
      <alignment horizontal="center" vertical="center" wrapText="1"/>
    </xf>
    <xf numFmtId="2" fontId="18" fillId="0" borderId="29" xfId="0" applyNumberFormat="1" applyFont="1" applyBorder="1" applyAlignment="1">
      <alignment horizontal="center" vertical="center" wrapText="1"/>
    </xf>
    <xf numFmtId="2" fontId="18" fillId="0" borderId="32" xfId="0" applyNumberFormat="1" applyFont="1" applyBorder="1" applyAlignment="1">
      <alignment horizontal="center" vertical="center" wrapText="1"/>
    </xf>
    <xf numFmtId="2" fontId="18" fillId="0" borderId="12" xfId="0" applyNumberFormat="1" applyFont="1" applyBorder="1" applyAlignment="1">
      <alignment horizontal="center" vertical="center" wrapText="1"/>
    </xf>
    <xf numFmtId="0" fontId="18" fillId="0" borderId="0" xfId="0" quotePrefix="1" applyFont="1" applyAlignment="1">
      <alignment horizontal="justify" vertical="center" wrapText="1"/>
    </xf>
    <xf numFmtId="15" fontId="18" fillId="0" borderId="0" xfId="0" quotePrefix="1" applyNumberFormat="1" applyFont="1" applyAlignment="1">
      <alignment horizontal="justify" vertical="center" wrapText="1"/>
    </xf>
    <xf numFmtId="0" fontId="18" fillId="0" borderId="0" xfId="0" applyFont="1" applyAlignment="1" applyProtection="1">
      <alignment horizontal="justify" vertical="top" wrapText="1"/>
      <protection locked="0"/>
    </xf>
    <xf numFmtId="0" fontId="14" fillId="0" borderId="0" xfId="0" applyFont="1" applyAlignment="1">
      <alignment horizontal="center" vertical="center" wrapText="1"/>
    </xf>
    <xf numFmtId="0" fontId="13" fillId="0" borderId="1" xfId="0" applyFont="1" applyBorder="1"/>
    <xf numFmtId="0" fontId="13" fillId="0" borderId="2" xfId="0" applyFont="1" applyBorder="1"/>
    <xf numFmtId="0" fontId="13" fillId="0" borderId="3" xfId="0" applyFont="1" applyBorder="1"/>
    <xf numFmtId="2" fontId="18" fillId="0" borderId="11" xfId="0" applyNumberFormat="1" applyFont="1" applyBorder="1" applyAlignment="1">
      <alignment vertical="center" wrapText="1"/>
    </xf>
    <xf numFmtId="2" fontId="18" fillId="0" borderId="12" xfId="0" applyNumberFormat="1" applyFont="1" applyBorder="1" applyAlignment="1">
      <alignment vertical="center" wrapText="1"/>
    </xf>
    <xf numFmtId="2" fontId="18" fillId="0" borderId="57" xfId="0" applyNumberFormat="1" applyFont="1" applyBorder="1" applyAlignment="1">
      <alignment vertical="center" wrapText="1"/>
    </xf>
    <xf numFmtId="2" fontId="18" fillId="0" borderId="29" xfId="0" applyNumberFormat="1" applyFont="1" applyBorder="1" applyAlignment="1">
      <alignment vertical="center" wrapText="1"/>
    </xf>
    <xf numFmtId="0" fontId="13" fillId="0" borderId="53" xfId="0" applyFont="1" applyBorder="1" applyAlignment="1">
      <alignment horizontal="center" vertical="center"/>
    </xf>
    <xf numFmtId="0" fontId="18" fillId="0" borderId="53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top"/>
    </xf>
    <xf numFmtId="0" fontId="12" fillId="0" borderId="0" xfId="0" applyFont="1" applyAlignment="1">
      <alignment horizontal="left" vertical="top"/>
    </xf>
    <xf numFmtId="0" fontId="12" fillId="0" borderId="0" xfId="0" applyFont="1" applyAlignment="1">
      <alignment horizontal="right" vertical="top"/>
    </xf>
    <xf numFmtId="2" fontId="18" fillId="0" borderId="21" xfId="0" applyNumberFormat="1" applyFont="1" applyBorder="1" applyAlignment="1">
      <alignment vertical="center" wrapText="1"/>
    </xf>
    <xf numFmtId="2" fontId="18" fillId="0" borderId="32" xfId="0" applyNumberFormat="1" applyFont="1" applyBorder="1" applyAlignment="1">
      <alignment vertical="center" wrapText="1"/>
    </xf>
    <xf numFmtId="2" fontId="18" fillId="0" borderId="0" xfId="0" applyNumberFormat="1" applyFont="1" applyAlignment="1">
      <alignment vertical="center" wrapText="1"/>
    </xf>
    <xf numFmtId="164" fontId="0" fillId="0" borderId="52" xfId="0" applyNumberFormat="1" applyBorder="1" applyAlignment="1" applyProtection="1">
      <alignment horizontal="center" vertical="center"/>
      <protection locked="0"/>
    </xf>
    <xf numFmtId="2" fontId="0" fillId="18" borderId="16" xfId="0" applyNumberFormat="1" applyFill="1" applyBorder="1" applyAlignment="1" applyProtection="1">
      <alignment horizontal="center" vertical="center"/>
      <protection locked="0"/>
    </xf>
    <xf numFmtId="2" fontId="0" fillId="18" borderId="18" xfId="0" applyNumberFormat="1" applyFill="1" applyBorder="1" applyAlignment="1" applyProtection="1">
      <alignment horizontal="center" vertical="center"/>
      <protection locked="0"/>
    </xf>
    <xf numFmtId="167" fontId="0" fillId="18" borderId="69" xfId="0" applyNumberFormat="1" applyFill="1" applyBorder="1" applyAlignment="1">
      <alignment horizontal="center" vertical="center"/>
    </xf>
    <xf numFmtId="167" fontId="0" fillId="12" borderId="69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quotePrefix="1" applyAlignment="1">
      <alignment horizontal="left"/>
    </xf>
    <xf numFmtId="0" fontId="0" fillId="2" borderId="56" xfId="0" quotePrefix="1" applyFill="1" applyBorder="1" applyAlignment="1">
      <alignment horizontal="left" vertical="center"/>
    </xf>
    <xf numFmtId="0" fontId="1" fillId="0" borderId="0" xfId="0" applyFont="1" applyAlignment="1">
      <alignment wrapText="1"/>
    </xf>
    <xf numFmtId="2" fontId="0" fillId="12" borderId="16" xfId="0" applyNumberFormat="1" applyFill="1" applyBorder="1" applyAlignment="1" applyProtection="1">
      <alignment horizontal="center" vertical="center"/>
      <protection locked="0"/>
    </xf>
    <xf numFmtId="2" fontId="0" fillId="12" borderId="18" xfId="0" applyNumberFormat="1" applyFill="1" applyBorder="1" applyAlignment="1" applyProtection="1">
      <alignment horizontal="center" vertical="center"/>
      <protection locked="0"/>
    </xf>
    <xf numFmtId="2" fontId="0" fillId="17" borderId="19" xfId="0" applyNumberFormat="1" applyFill="1" applyBorder="1" applyAlignment="1" applyProtection="1">
      <alignment horizontal="center" vertical="center"/>
      <protection locked="0"/>
    </xf>
    <xf numFmtId="0" fontId="0" fillId="2" borderId="77" xfId="0" applyFill="1" applyBorder="1" applyAlignment="1" applyProtection="1">
      <alignment horizontal="center" vertical="center"/>
      <protection locked="0"/>
    </xf>
    <xf numFmtId="165" fontId="0" fillId="2" borderId="74" xfId="0" applyNumberFormat="1" applyFill="1" applyBorder="1" applyAlignment="1" applyProtection="1">
      <alignment horizontal="left" vertical="center"/>
      <protection locked="0"/>
    </xf>
    <xf numFmtId="0" fontId="0" fillId="2" borderId="74" xfId="0" quotePrefix="1" applyFill="1" applyBorder="1" applyAlignment="1" applyProtection="1">
      <alignment horizontal="left" vertical="center"/>
      <protection locked="0"/>
    </xf>
    <xf numFmtId="0" fontId="0" fillId="2" borderId="74" xfId="0" applyFill="1" applyBorder="1" applyAlignment="1" applyProtection="1">
      <alignment horizontal="left" vertical="center"/>
      <protection locked="0"/>
    </xf>
    <xf numFmtId="0" fontId="0" fillId="2" borderId="10" xfId="0" quotePrefix="1" applyFill="1" applyBorder="1" applyAlignment="1" applyProtection="1">
      <alignment horizontal="left" vertical="center"/>
      <protection locked="0"/>
    </xf>
    <xf numFmtId="0" fontId="0" fillId="2" borderId="85" xfId="0" quotePrefix="1" applyFill="1" applyBorder="1" applyAlignment="1">
      <alignment horizontal="left" vertical="center"/>
    </xf>
    <xf numFmtId="2" fontId="0" fillId="12" borderId="16" xfId="0" quotePrefix="1" applyNumberFormat="1" applyFill="1" applyBorder="1" applyAlignment="1" applyProtection="1">
      <alignment horizontal="center" vertical="center"/>
      <protection locked="0"/>
    </xf>
    <xf numFmtId="164" fontId="0" fillId="17" borderId="101" xfId="0" applyNumberFormat="1" applyFill="1" applyBorder="1" applyAlignment="1">
      <alignment horizontal="center" vertical="center"/>
    </xf>
    <xf numFmtId="164" fontId="0" fillId="17" borderId="69" xfId="0" applyNumberFormat="1" applyFill="1" applyBorder="1" applyAlignment="1">
      <alignment horizontal="center" vertical="center"/>
    </xf>
    <xf numFmtId="2" fontId="0" fillId="17" borderId="101" xfId="0" applyNumberFormat="1" applyFill="1" applyBorder="1" applyAlignment="1">
      <alignment horizontal="center" vertical="center"/>
    </xf>
    <xf numFmtId="2" fontId="0" fillId="17" borderId="119" xfId="0" applyNumberFormat="1" applyFill="1" applyBorder="1" applyAlignment="1">
      <alignment horizontal="center" vertical="center"/>
    </xf>
    <xf numFmtId="2" fontId="0" fillId="17" borderId="44" xfId="0" applyNumberFormat="1" applyFill="1" applyBorder="1" applyAlignment="1">
      <alignment horizontal="center" vertical="center"/>
    </xf>
    <xf numFmtId="2" fontId="0" fillId="17" borderId="6" xfId="0" applyNumberFormat="1" applyFill="1" applyBorder="1" applyAlignment="1">
      <alignment horizontal="center" vertical="center"/>
    </xf>
    <xf numFmtId="167" fontId="18" fillId="0" borderId="0" xfId="0" applyNumberFormat="1" applyFont="1" applyProtection="1">
      <protection locked="0"/>
    </xf>
    <xf numFmtId="0" fontId="13" fillId="0" borderId="0" xfId="0" applyFont="1" applyProtection="1">
      <protection locked="0"/>
    </xf>
    <xf numFmtId="0" fontId="59" fillId="0" borderId="0" xfId="0" applyFont="1" applyAlignment="1">
      <alignment horizontal="left" vertical="center"/>
    </xf>
    <xf numFmtId="49" fontId="0" fillId="0" borderId="52" xfId="0" applyNumberFormat="1" applyBorder="1" applyAlignment="1">
      <alignment horizontal="center" vertical="center"/>
    </xf>
    <xf numFmtId="0" fontId="33" fillId="0" borderId="58" xfId="0" applyFont="1" applyBorder="1" applyAlignment="1">
      <alignment horizontal="center" vertical="center" wrapText="1"/>
    </xf>
    <xf numFmtId="11" fontId="33" fillId="0" borderId="60" xfId="0" quotePrefix="1" applyNumberFormat="1" applyFont="1" applyBorder="1" applyAlignment="1">
      <alignment horizontal="center" vertical="center" wrapText="1"/>
    </xf>
    <xf numFmtId="11" fontId="33" fillId="0" borderId="86" xfId="0" quotePrefix="1" applyNumberFormat="1" applyFont="1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11" fontId="0" fillId="0" borderId="58" xfId="0" applyNumberFormat="1" applyBorder="1" applyAlignment="1">
      <alignment horizontal="center" vertical="center" wrapText="1"/>
    </xf>
    <xf numFmtId="10" fontId="33" fillId="0" borderId="27" xfId="1" applyNumberFormat="1" applyFont="1" applyBorder="1" applyAlignment="1">
      <alignment horizontal="center" vertical="center" wrapText="1"/>
    </xf>
    <xf numFmtId="10" fontId="33" fillId="0" borderId="58" xfId="1" applyNumberFormat="1" applyFont="1" applyBorder="1" applyAlignment="1">
      <alignment horizontal="center" vertical="center" wrapText="1"/>
    </xf>
    <xf numFmtId="10" fontId="33" fillId="0" borderId="17" xfId="1" applyNumberFormat="1" applyFont="1" applyBorder="1" applyAlignment="1">
      <alignment horizontal="center" vertical="center" wrapText="1"/>
    </xf>
    <xf numFmtId="164" fontId="33" fillId="0" borderId="17" xfId="0" applyNumberFormat="1" applyFont="1" applyBorder="1" applyAlignment="1">
      <alignment horizontal="center" vertical="center" wrapText="1"/>
    </xf>
    <xf numFmtId="0" fontId="0" fillId="0" borderId="56" xfId="0" applyBorder="1"/>
    <xf numFmtId="2" fontId="33" fillId="0" borderId="68" xfId="0" applyNumberFormat="1" applyFont="1" applyBorder="1" applyAlignment="1">
      <alignment horizontal="center" vertical="center" wrapText="1"/>
    </xf>
    <xf numFmtId="2" fontId="33" fillId="0" borderId="21" xfId="0" applyNumberFormat="1" applyFont="1" applyBorder="1" applyAlignment="1">
      <alignment horizontal="center" vertical="center" wrapText="1"/>
    </xf>
    <xf numFmtId="164" fontId="33" fillId="5" borderId="28" xfId="0" applyNumberFormat="1" applyFont="1" applyFill="1" applyBorder="1" applyAlignment="1">
      <alignment horizontal="center" vertical="center" wrapText="1"/>
    </xf>
    <xf numFmtId="2" fontId="33" fillId="0" borderId="51" xfId="0" applyNumberFormat="1" applyFont="1" applyBorder="1" applyAlignment="1">
      <alignment horizontal="center" vertical="center" wrapText="1"/>
    </xf>
    <xf numFmtId="2" fontId="33" fillId="0" borderId="57" xfId="0" applyNumberFormat="1" applyFont="1" applyBorder="1" applyAlignment="1">
      <alignment horizontal="center" vertical="center" wrapText="1"/>
    </xf>
    <xf numFmtId="11" fontId="33" fillId="0" borderId="11" xfId="0" applyNumberFormat="1" applyFont="1" applyBorder="1" applyAlignment="1">
      <alignment horizontal="center" vertical="center" wrapText="1"/>
    </xf>
    <xf numFmtId="164" fontId="0" fillId="5" borderId="20" xfId="0" applyNumberFormat="1" applyFill="1" applyBorder="1" applyAlignment="1">
      <alignment horizontal="center" vertical="center" wrapText="1"/>
    </xf>
    <xf numFmtId="164" fontId="33" fillId="0" borderId="79" xfId="0" applyNumberFormat="1" applyFont="1" applyBorder="1" applyAlignment="1" applyProtection="1">
      <alignment horizontal="center" vertical="center" wrapText="1"/>
      <protection locked="0"/>
    </xf>
    <xf numFmtId="1" fontId="33" fillId="0" borderId="70" xfId="0" applyNumberFormat="1" applyFont="1" applyBorder="1" applyAlignment="1" applyProtection="1">
      <alignment horizontal="center" vertical="center" wrapText="1"/>
      <protection locked="0"/>
    </xf>
    <xf numFmtId="11" fontId="33" fillId="0" borderId="70" xfId="0" applyNumberFormat="1" applyFont="1" applyBorder="1" applyAlignment="1" applyProtection="1">
      <alignment horizontal="center" vertical="center" wrapText="1"/>
      <protection locked="0"/>
    </xf>
    <xf numFmtId="11" fontId="33" fillId="0" borderId="58" xfId="0" applyNumberFormat="1" applyFont="1" applyBorder="1" applyAlignment="1" applyProtection="1">
      <alignment horizontal="center" vertical="center" wrapText="1"/>
      <protection locked="0"/>
    </xf>
    <xf numFmtId="1" fontId="33" fillId="0" borderId="0" xfId="0" applyNumberFormat="1" applyFont="1" applyAlignment="1" applyProtection="1">
      <alignment horizontal="center" vertical="center" wrapText="1"/>
      <protection locked="0"/>
    </xf>
    <xf numFmtId="169" fontId="33" fillId="0" borderId="0" xfId="0" applyNumberFormat="1" applyFont="1" applyAlignment="1">
      <alignment horizontal="center" vertical="center" wrapText="1"/>
    </xf>
    <xf numFmtId="2" fontId="33" fillId="0" borderId="48" xfId="0" applyNumberFormat="1" applyFont="1" applyBorder="1" applyAlignment="1" applyProtection="1">
      <alignment horizontal="center" vertical="center" wrapText="1"/>
      <protection locked="0"/>
    </xf>
    <xf numFmtId="2" fontId="33" fillId="0" borderId="27" xfId="0" applyNumberFormat="1" applyFont="1" applyBorder="1" applyAlignment="1" applyProtection="1">
      <alignment horizontal="center" vertical="center" wrapText="1"/>
      <protection locked="0"/>
    </xf>
    <xf numFmtId="0" fontId="0" fillId="7" borderId="52" xfId="0" applyFill="1" applyBorder="1" applyAlignment="1">
      <alignment horizontal="center" vertical="center" wrapText="1"/>
    </xf>
    <xf numFmtId="0" fontId="0" fillId="7" borderId="52" xfId="0" applyFill="1" applyBorder="1" applyAlignment="1">
      <alignment horizontal="right" vertical="center"/>
    </xf>
    <xf numFmtId="15" fontId="0" fillId="7" borderId="52" xfId="0" applyNumberFormat="1" applyFill="1" applyBorder="1" applyAlignment="1">
      <alignment horizontal="right" vertical="center"/>
    </xf>
    <xf numFmtId="0" fontId="0" fillId="8" borderId="57" xfId="0" quotePrefix="1" applyFill="1" applyBorder="1" applyAlignment="1">
      <alignment horizontal="left" vertical="center" wrapText="1"/>
    </xf>
    <xf numFmtId="0" fontId="0" fillId="8" borderId="51" xfId="0" quotePrefix="1" applyFill="1" applyBorder="1" applyAlignment="1">
      <alignment horizontal="left" vertical="center" wrapText="1"/>
    </xf>
    <xf numFmtId="15" fontId="13" fillId="0" borderId="0" xfId="0" applyNumberFormat="1" applyFont="1"/>
    <xf numFmtId="0" fontId="0" fillId="7" borderId="52" xfId="0" quotePrefix="1" applyFill="1" applyBorder="1" applyAlignment="1">
      <alignment horizontal="right" vertical="center" wrapText="1"/>
    </xf>
    <xf numFmtId="175" fontId="33" fillId="0" borderId="0" xfId="0" applyNumberFormat="1" applyFont="1" applyAlignment="1">
      <alignment horizontal="center" vertical="center" wrapText="1"/>
    </xf>
    <xf numFmtId="2" fontId="33" fillId="0" borderId="0" xfId="0" applyNumberFormat="1" applyFont="1" applyAlignment="1" applyProtection="1">
      <alignment horizontal="center" vertical="center" wrapText="1"/>
      <protection locked="0"/>
    </xf>
    <xf numFmtId="11" fontId="33" fillId="0" borderId="70" xfId="0" applyNumberFormat="1" applyFont="1" applyBorder="1" applyAlignment="1">
      <alignment horizontal="center" vertical="center" wrapText="1"/>
    </xf>
    <xf numFmtId="2" fontId="33" fillId="0" borderId="79" xfId="0" applyNumberFormat="1" applyFont="1" applyBorder="1" applyAlignment="1">
      <alignment horizontal="center" vertical="center" wrapText="1"/>
    </xf>
    <xf numFmtId="2" fontId="33" fillId="0" borderId="63" xfId="0" applyNumberFormat="1" applyFont="1" applyBorder="1" applyAlignment="1">
      <alignment horizontal="center" vertical="center" wrapText="1"/>
    </xf>
    <xf numFmtId="2" fontId="33" fillId="0" borderId="61" xfId="0" applyNumberFormat="1" applyFont="1" applyBorder="1" applyAlignment="1">
      <alignment horizontal="center" vertical="center" wrapText="1"/>
    </xf>
    <xf numFmtId="2" fontId="33" fillId="0" borderId="70" xfId="0" applyNumberFormat="1" applyFont="1" applyBorder="1" applyAlignment="1">
      <alignment horizontal="center" vertical="center" wrapText="1"/>
    </xf>
    <xf numFmtId="11" fontId="33" fillId="0" borderId="61" xfId="0" applyNumberFormat="1" applyFont="1" applyBorder="1" applyAlignment="1">
      <alignment horizontal="center" vertical="center" wrapText="1"/>
    </xf>
    <xf numFmtId="11" fontId="33" fillId="0" borderId="62" xfId="0" applyNumberFormat="1" applyFont="1" applyBorder="1" applyAlignment="1">
      <alignment horizontal="center" vertical="center" wrapText="1"/>
    </xf>
    <xf numFmtId="11" fontId="33" fillId="0" borderId="80" xfId="0" applyNumberFormat="1" applyFont="1" applyBorder="1" applyAlignment="1">
      <alignment horizontal="center" vertical="center" wrapText="1"/>
    </xf>
    <xf numFmtId="0" fontId="33" fillId="0" borderId="63" xfId="0" applyFont="1" applyBorder="1" applyAlignment="1">
      <alignment horizontal="center" vertical="center" wrapText="1"/>
    </xf>
    <xf numFmtId="0" fontId="33" fillId="0" borderId="64" xfId="0" applyFont="1" applyBorder="1" applyAlignment="1">
      <alignment horizontal="center" vertical="center" wrapText="1"/>
    </xf>
    <xf numFmtId="0" fontId="33" fillId="0" borderId="47" xfId="0" applyFont="1" applyBorder="1" applyAlignment="1">
      <alignment horizontal="center" vertical="center" wrapText="1"/>
    </xf>
    <xf numFmtId="0" fontId="33" fillId="0" borderId="61" xfId="0" applyFont="1" applyBorder="1"/>
    <xf numFmtId="0" fontId="33" fillId="0" borderId="15" xfId="0" applyFont="1" applyBorder="1"/>
    <xf numFmtId="0" fontId="23" fillId="0" borderId="64" xfId="0" applyFont="1" applyBorder="1" applyAlignment="1">
      <alignment vertical="center" wrapText="1"/>
    </xf>
    <xf numFmtId="0" fontId="23" fillId="0" borderId="47" xfId="0" applyFont="1" applyBorder="1" applyAlignment="1">
      <alignment vertical="center" wrapText="1"/>
    </xf>
    <xf numFmtId="164" fontId="33" fillId="0" borderId="39" xfId="0" applyNumberFormat="1" applyFont="1" applyBorder="1" applyAlignment="1" applyProtection="1">
      <alignment horizontal="center" vertical="center" wrapText="1"/>
      <protection locked="0"/>
    </xf>
    <xf numFmtId="1" fontId="33" fillId="0" borderId="45" xfId="0" applyNumberFormat="1" applyFont="1" applyBorder="1" applyAlignment="1" applyProtection="1">
      <alignment horizontal="center" vertical="center" wrapText="1"/>
      <protection locked="0"/>
    </xf>
    <xf numFmtId="11" fontId="33" fillId="0" borderId="45" xfId="0" applyNumberFormat="1" applyFont="1" applyBorder="1" applyAlignment="1" applyProtection="1">
      <alignment horizontal="center" vertical="center" wrapText="1"/>
      <protection locked="0"/>
    </xf>
    <xf numFmtId="2" fontId="33" fillId="0" borderId="45" xfId="0" applyNumberFormat="1" applyFont="1" applyBorder="1" applyAlignment="1" applyProtection="1">
      <alignment horizontal="center" vertical="center" wrapText="1"/>
      <protection locked="0"/>
    </xf>
    <xf numFmtId="15" fontId="33" fillId="0" borderId="45" xfId="0" applyNumberFormat="1" applyFont="1" applyBorder="1" applyAlignment="1" applyProtection="1">
      <alignment horizontal="center" vertical="center" wrapText="1"/>
      <protection locked="0"/>
    </xf>
    <xf numFmtId="11" fontId="33" fillId="0" borderId="65" xfId="0" applyNumberFormat="1" applyFont="1" applyBorder="1" applyAlignment="1">
      <alignment horizontal="center" vertical="center" wrapText="1"/>
    </xf>
    <xf numFmtId="2" fontId="33" fillId="0" borderId="45" xfId="0" applyNumberFormat="1" applyFont="1" applyBorder="1" applyAlignment="1">
      <alignment horizontal="center" vertical="center" wrapText="1"/>
    </xf>
    <xf numFmtId="11" fontId="33" fillId="0" borderId="45" xfId="0" applyNumberFormat="1" applyFont="1" applyBorder="1" applyAlignment="1">
      <alignment horizontal="center" vertical="center" wrapText="1"/>
    </xf>
    <xf numFmtId="11" fontId="33" fillId="0" borderId="41" xfId="0" applyNumberFormat="1" applyFont="1" applyBorder="1" applyAlignment="1">
      <alignment horizontal="center" vertical="center" wrapText="1"/>
    </xf>
    <xf numFmtId="11" fontId="9" fillId="0" borderId="0" xfId="0" applyNumberFormat="1" applyFont="1"/>
    <xf numFmtId="0" fontId="9" fillId="0" borderId="0" xfId="0" applyFont="1" applyAlignment="1">
      <alignment vertical="center" wrapText="1"/>
    </xf>
    <xf numFmtId="1" fontId="0" fillId="17" borderId="101" xfId="0" applyNumberFormat="1" applyFill="1" applyBorder="1" applyAlignment="1" applyProtection="1">
      <alignment horizontal="center" vertical="center"/>
      <protection locked="0"/>
    </xf>
    <xf numFmtId="1" fontId="0" fillId="17" borderId="44" xfId="0" applyNumberFormat="1" applyFill="1" applyBorder="1" applyAlignment="1" applyProtection="1">
      <alignment horizontal="center" vertical="center"/>
      <protection locked="0"/>
    </xf>
    <xf numFmtId="49" fontId="0" fillId="8" borderId="57" xfId="0" quotePrefix="1" applyNumberFormat="1" applyFill="1" applyBorder="1" applyAlignment="1" applyProtection="1">
      <alignment vertical="center" wrapText="1"/>
      <protection locked="0"/>
    </xf>
    <xf numFmtId="2" fontId="0" fillId="0" borderId="0" xfId="0" applyNumberFormat="1"/>
    <xf numFmtId="0" fontId="18" fillId="0" borderId="10" xfId="0" applyFont="1" applyBorder="1" applyAlignment="1">
      <alignment horizontal="center" vertical="center" wrapText="1"/>
    </xf>
    <xf numFmtId="0" fontId="18" fillId="0" borderId="74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61" fillId="0" borderId="52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164" fontId="0" fillId="0" borderId="52" xfId="0" applyNumberFormat="1" applyBorder="1" applyAlignment="1">
      <alignment horizontal="center" vertical="center"/>
    </xf>
    <xf numFmtId="164" fontId="30" fillId="11" borderId="0" xfId="0" applyNumberFormat="1" applyFont="1" applyFill="1" applyAlignment="1">
      <alignment horizontal="center" vertical="center"/>
    </xf>
    <xf numFmtId="172" fontId="37" fillId="4" borderId="56" xfId="1" applyNumberFormat="1" applyFont="1" applyFill="1" applyBorder="1" applyAlignment="1">
      <alignment horizontal="center" vertical="center"/>
    </xf>
    <xf numFmtId="11" fontId="54" fillId="10" borderId="14" xfId="1" applyNumberFormat="1" applyFont="1" applyFill="1" applyBorder="1" applyAlignment="1">
      <alignment horizontal="center" vertical="center"/>
    </xf>
    <xf numFmtId="0" fontId="54" fillId="10" borderId="14" xfId="0" applyFont="1" applyFill="1" applyBorder="1" applyAlignment="1">
      <alignment horizontal="center" vertical="center"/>
    </xf>
    <xf numFmtId="0" fontId="54" fillId="10" borderId="54" xfId="0" applyFont="1" applyFill="1" applyBorder="1" applyAlignment="1">
      <alignment horizontal="center" vertical="center"/>
    </xf>
    <xf numFmtId="2" fontId="54" fillId="10" borderId="43" xfId="0" applyNumberFormat="1" applyFont="1" applyFill="1" applyBorder="1" applyAlignment="1">
      <alignment horizontal="center" vertical="center"/>
    </xf>
    <xf numFmtId="11" fontId="54" fillId="10" borderId="10" xfId="0" applyNumberFormat="1" applyFont="1" applyFill="1" applyBorder="1" applyAlignment="1">
      <alignment horizontal="center" vertical="center"/>
    </xf>
    <xf numFmtId="0" fontId="54" fillId="10" borderId="24" xfId="0" applyFont="1" applyFill="1" applyBorder="1" applyAlignment="1">
      <alignment horizontal="center" vertical="center"/>
    </xf>
    <xf numFmtId="11" fontId="54" fillId="10" borderId="23" xfId="0" applyNumberFormat="1" applyFont="1" applyFill="1" applyBorder="1" applyAlignment="1">
      <alignment horizontal="center" vertical="center"/>
    </xf>
    <xf numFmtId="0" fontId="54" fillId="10" borderId="43" xfId="0" applyFont="1" applyFill="1" applyBorder="1" applyAlignment="1">
      <alignment horizontal="center" vertical="center"/>
    </xf>
    <xf numFmtId="11" fontId="54" fillId="10" borderId="14" xfId="0" applyNumberFormat="1" applyFont="1" applyFill="1" applyBorder="1" applyAlignment="1">
      <alignment horizontal="center" vertical="center"/>
    </xf>
    <xf numFmtId="11" fontId="54" fillId="10" borderId="12" xfId="0" applyNumberFormat="1" applyFont="1" applyFill="1" applyBorder="1" applyAlignment="1">
      <alignment horizontal="center" vertical="center"/>
    </xf>
    <xf numFmtId="2" fontId="54" fillId="10" borderId="14" xfId="0" applyNumberFormat="1" applyFont="1" applyFill="1" applyBorder="1" applyAlignment="1">
      <alignment horizontal="center" vertical="center"/>
    </xf>
    <xf numFmtId="11" fontId="54" fillId="10" borderId="28" xfId="0" applyNumberFormat="1" applyFont="1" applyFill="1" applyBorder="1" applyAlignment="1">
      <alignment horizontal="center" vertical="center"/>
    </xf>
    <xf numFmtId="0" fontId="54" fillId="10" borderId="28" xfId="0" applyFont="1" applyFill="1" applyBorder="1" applyAlignment="1">
      <alignment horizontal="center" vertical="center"/>
    </xf>
    <xf numFmtId="0" fontId="54" fillId="10" borderId="51" xfId="0" applyFont="1" applyFill="1" applyBorder="1" applyAlignment="1">
      <alignment horizontal="center" vertical="center"/>
    </xf>
    <xf numFmtId="2" fontId="54" fillId="10" borderId="56" xfId="0" applyNumberFormat="1" applyFont="1" applyFill="1" applyBorder="1" applyAlignment="1">
      <alignment horizontal="center" vertical="center"/>
    </xf>
    <xf numFmtId="11" fontId="54" fillId="10" borderId="74" xfId="0" applyNumberFormat="1" applyFont="1" applyFill="1" applyBorder="1" applyAlignment="1">
      <alignment horizontal="center" vertical="center"/>
    </xf>
    <xf numFmtId="0" fontId="54" fillId="10" borderId="55" xfId="0" applyFont="1" applyFill="1" applyBorder="1" applyAlignment="1">
      <alignment horizontal="center" vertical="center"/>
    </xf>
    <xf numFmtId="11" fontId="54" fillId="10" borderId="50" xfId="0" applyNumberFormat="1" applyFont="1" applyFill="1" applyBorder="1" applyAlignment="1">
      <alignment horizontal="center" vertical="center"/>
    </xf>
    <xf numFmtId="0" fontId="54" fillId="10" borderId="56" xfId="0" applyFont="1" applyFill="1" applyBorder="1" applyAlignment="1">
      <alignment horizontal="center" vertical="center"/>
    </xf>
    <xf numFmtId="11" fontId="54" fillId="10" borderId="29" xfId="0" applyNumberFormat="1" applyFont="1" applyFill="1" applyBorder="1" applyAlignment="1">
      <alignment horizontal="center" vertical="center"/>
    </xf>
    <xf numFmtId="2" fontId="54" fillId="10" borderId="53" xfId="0" applyNumberFormat="1" applyFont="1" applyFill="1" applyBorder="1" applyAlignment="1">
      <alignment horizontal="center" vertical="center"/>
    </xf>
    <xf numFmtId="0" fontId="0" fillId="10" borderId="56" xfId="0" applyFill="1" applyBorder="1" applyAlignment="1">
      <alignment horizontal="center" vertical="center"/>
    </xf>
    <xf numFmtId="0" fontId="0" fillId="10" borderId="55" xfId="0" applyFill="1" applyBorder="1" applyAlignment="1">
      <alignment horizontal="center" vertical="center"/>
    </xf>
    <xf numFmtId="11" fontId="54" fillId="10" borderId="55" xfId="0" applyNumberFormat="1" applyFont="1" applyFill="1" applyBorder="1" applyAlignment="1">
      <alignment horizontal="center" vertical="center"/>
    </xf>
    <xf numFmtId="2" fontId="54" fillId="10" borderId="28" xfId="0" applyNumberFormat="1" applyFont="1" applyFill="1" applyBorder="1" applyAlignment="1">
      <alignment horizontal="center" vertical="center"/>
    </xf>
    <xf numFmtId="11" fontId="54" fillId="10" borderId="44" xfId="0" applyNumberFormat="1" applyFont="1" applyFill="1" applyBorder="1" applyAlignment="1">
      <alignment horizontal="center" vertical="center"/>
    </xf>
    <xf numFmtId="0" fontId="54" fillId="10" borderId="44" xfId="0" applyFont="1" applyFill="1" applyBorder="1" applyAlignment="1">
      <alignment horizontal="center" vertical="center"/>
    </xf>
    <xf numFmtId="0" fontId="54" fillId="10" borderId="46" xfId="0" applyFont="1" applyFill="1" applyBorder="1" applyAlignment="1">
      <alignment horizontal="center" vertical="center"/>
    </xf>
    <xf numFmtId="2" fontId="54" fillId="10" borderId="65" xfId="0" applyNumberFormat="1" applyFont="1" applyFill="1" applyBorder="1" applyAlignment="1">
      <alignment horizontal="center" vertical="center"/>
    </xf>
    <xf numFmtId="11" fontId="54" fillId="10" borderId="4" xfId="0" applyNumberFormat="1" applyFont="1" applyFill="1" applyBorder="1" applyAlignment="1">
      <alignment horizontal="center" vertical="center"/>
    </xf>
    <xf numFmtId="0" fontId="54" fillId="10" borderId="41" xfId="0" applyFont="1" applyFill="1" applyBorder="1" applyAlignment="1">
      <alignment horizontal="center" vertical="center"/>
    </xf>
    <xf numFmtId="11" fontId="54" fillId="10" borderId="39" xfId="0" applyNumberFormat="1" applyFont="1" applyFill="1" applyBorder="1" applyAlignment="1">
      <alignment horizontal="center" vertical="center"/>
    </xf>
    <xf numFmtId="0" fontId="54" fillId="10" borderId="65" xfId="0" applyFont="1" applyFill="1" applyBorder="1" applyAlignment="1">
      <alignment horizontal="center" vertical="center"/>
    </xf>
    <xf numFmtId="11" fontId="54" fillId="10" borderId="6" xfId="0" applyNumberFormat="1" applyFont="1" applyFill="1" applyBorder="1" applyAlignment="1">
      <alignment horizontal="center" vertical="center"/>
    </xf>
    <xf numFmtId="2" fontId="54" fillId="10" borderId="44" xfId="0" applyNumberFormat="1" applyFont="1" applyFill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54" fillId="0" borderId="2" xfId="0" applyFont="1" applyBorder="1" applyAlignment="1">
      <alignment horizontal="center" vertical="center"/>
    </xf>
    <xf numFmtId="11" fontId="54" fillId="0" borderId="2" xfId="0" applyNumberFormat="1" applyFont="1" applyBorder="1" applyAlignment="1">
      <alignment horizontal="center" vertical="center"/>
    </xf>
    <xf numFmtId="2" fontId="54" fillId="0" borderId="2" xfId="0" applyNumberFormat="1" applyFont="1" applyBorder="1" applyAlignment="1">
      <alignment horizontal="center" vertical="center"/>
    </xf>
    <xf numFmtId="2" fontId="54" fillId="0" borderId="3" xfId="0" applyNumberFormat="1" applyFont="1" applyBorder="1" applyAlignment="1">
      <alignment horizontal="center" vertical="center"/>
    </xf>
    <xf numFmtId="0" fontId="54" fillId="0" borderId="33" xfId="0" applyFont="1" applyBorder="1" applyAlignment="1">
      <alignment horizontal="center" vertical="center"/>
    </xf>
    <xf numFmtId="2" fontId="54" fillId="0" borderId="34" xfId="0" applyNumberFormat="1" applyFont="1" applyBorder="1" applyAlignment="1">
      <alignment horizontal="center" vertical="center"/>
    </xf>
    <xf numFmtId="0" fontId="54" fillId="0" borderId="34" xfId="0" applyFont="1" applyBorder="1" applyAlignment="1">
      <alignment horizontal="center" vertical="center"/>
    </xf>
    <xf numFmtId="0" fontId="54" fillId="0" borderId="4" xfId="0" applyFont="1" applyBorder="1" applyAlignment="1">
      <alignment horizontal="center" vertical="center"/>
    </xf>
    <xf numFmtId="0" fontId="54" fillId="0" borderId="5" xfId="0" applyFont="1" applyBorder="1" applyAlignment="1">
      <alignment horizontal="center" vertical="center"/>
    </xf>
    <xf numFmtId="0" fontId="54" fillId="0" borderId="5" xfId="0" applyFont="1" applyBorder="1" applyAlignment="1">
      <alignment horizontal="right" vertical="center"/>
    </xf>
    <xf numFmtId="11" fontId="54" fillId="0" borderId="5" xfId="0" applyNumberFormat="1" applyFont="1" applyBorder="1" applyAlignment="1">
      <alignment horizontal="center" vertical="center"/>
    </xf>
    <xf numFmtId="0" fontId="54" fillId="0" borderId="6" xfId="0" applyFont="1" applyBorder="1" applyAlignment="1">
      <alignment horizontal="center" vertical="center"/>
    </xf>
    <xf numFmtId="0" fontId="33" fillId="14" borderId="17" xfId="0" applyFont="1" applyFill="1" applyBorder="1" applyAlignment="1">
      <alignment horizontal="center" vertical="center" wrapText="1"/>
    </xf>
    <xf numFmtId="10" fontId="33" fillId="14" borderId="17" xfId="1" applyNumberFormat="1" applyFont="1" applyFill="1" applyBorder="1" applyAlignment="1">
      <alignment horizontal="center" vertical="center" wrapText="1"/>
    </xf>
    <xf numFmtId="0" fontId="33" fillId="14" borderId="48" xfId="0" applyFont="1" applyFill="1" applyBorder="1" applyAlignment="1">
      <alignment horizontal="center" vertical="center" wrapText="1"/>
    </xf>
    <xf numFmtId="0" fontId="33" fillId="2" borderId="42" xfId="0" applyFont="1" applyFill="1" applyBorder="1" applyAlignment="1">
      <alignment horizontal="center" vertical="center" wrapText="1"/>
    </xf>
    <xf numFmtId="172" fontId="0" fillId="0" borderId="14" xfId="1" applyNumberFormat="1" applyFont="1" applyBorder="1" applyAlignment="1">
      <alignment horizontal="center" vertical="center" wrapText="1"/>
    </xf>
    <xf numFmtId="172" fontId="0" fillId="0" borderId="20" xfId="1" applyNumberFormat="1" applyFont="1" applyBorder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10" borderId="0" xfId="0" applyFont="1" applyFill="1" applyAlignment="1">
      <alignment horizontal="center" vertical="center"/>
    </xf>
    <xf numFmtId="176" fontId="37" fillId="10" borderId="0" xfId="1" applyNumberFormat="1" applyFont="1" applyFill="1" applyAlignment="1">
      <alignment horizontal="center" vertical="center"/>
    </xf>
    <xf numFmtId="9" fontId="37" fillId="10" borderId="50" xfId="0" applyNumberFormat="1" applyFont="1" applyFill="1" applyBorder="1" applyAlignment="1">
      <alignment horizontal="center" vertical="center"/>
    </xf>
    <xf numFmtId="9" fontId="37" fillId="10" borderId="91" xfId="0" applyNumberFormat="1" applyFont="1" applyFill="1" applyBorder="1" applyAlignment="1">
      <alignment horizontal="center" vertical="center"/>
    </xf>
    <xf numFmtId="173" fontId="37" fillId="0" borderId="0" xfId="0" applyNumberFormat="1" applyFont="1" applyAlignment="1">
      <alignment horizontal="center" vertical="center"/>
    </xf>
    <xf numFmtId="0" fontId="37" fillId="7" borderId="35" xfId="0" applyFont="1" applyFill="1" applyBorder="1" applyAlignment="1">
      <alignment horizontal="center" vertical="center" wrapText="1"/>
    </xf>
    <xf numFmtId="0" fontId="37" fillId="9" borderId="44" xfId="0" applyFont="1" applyFill="1" applyBorder="1" applyAlignment="1">
      <alignment horizontal="center" vertical="center"/>
    </xf>
    <xf numFmtId="0" fontId="25" fillId="9" borderId="20" xfId="0" applyFont="1" applyFill="1" applyBorder="1" applyAlignment="1">
      <alignment horizontal="center" vertical="center"/>
    </xf>
    <xf numFmtId="0" fontId="37" fillId="9" borderId="4" xfId="0" applyFont="1" applyFill="1" applyBorder="1" applyAlignment="1">
      <alignment horizontal="center" vertical="center"/>
    </xf>
    <xf numFmtId="11" fontId="37" fillId="10" borderId="39" xfId="0" applyNumberFormat="1" applyFont="1" applyFill="1" applyBorder="1" applyAlignment="1">
      <alignment horizontal="center" vertical="center"/>
    </xf>
    <xf numFmtId="0" fontId="37" fillId="10" borderId="45" xfId="0" applyFont="1" applyFill="1" applyBorder="1" applyAlignment="1">
      <alignment horizontal="center" vertical="center"/>
    </xf>
    <xf numFmtId="2" fontId="37" fillId="10" borderId="45" xfId="0" applyNumberFormat="1" applyFont="1" applyFill="1" applyBorder="1" applyAlignment="1">
      <alignment horizontal="center" vertical="center"/>
    </xf>
    <xf numFmtId="167" fontId="37" fillId="10" borderId="45" xfId="0" applyNumberFormat="1" applyFont="1" applyFill="1" applyBorder="1" applyAlignment="1">
      <alignment horizontal="center" vertical="center"/>
    </xf>
    <xf numFmtId="0" fontId="37" fillId="10" borderId="65" xfId="0" applyFont="1" applyFill="1" applyBorder="1" applyAlignment="1">
      <alignment horizontal="center" vertical="center"/>
    </xf>
    <xf numFmtId="0" fontId="37" fillId="10" borderId="41" xfId="0" applyFont="1" applyFill="1" applyBorder="1" applyAlignment="1">
      <alignment horizontal="center" vertical="center"/>
    </xf>
    <xf numFmtId="11" fontId="37" fillId="10" borderId="92" xfId="0" applyNumberFormat="1" applyFont="1" applyFill="1" applyBorder="1" applyAlignment="1">
      <alignment horizontal="center" vertical="center"/>
    </xf>
    <xf numFmtId="1" fontId="30" fillId="9" borderId="53" xfId="0" applyNumberFormat="1" applyFont="1" applyFill="1" applyBorder="1" applyAlignment="1">
      <alignment horizontal="center" vertical="center"/>
    </xf>
    <xf numFmtId="11" fontId="30" fillId="9" borderId="56" xfId="0" applyNumberFormat="1" applyFont="1" applyFill="1" applyBorder="1" applyAlignment="1">
      <alignment horizontal="center" vertical="center"/>
    </xf>
    <xf numFmtId="11" fontId="30" fillId="9" borderId="43" xfId="0" applyNumberFormat="1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15" fontId="51" fillId="0" borderId="0" xfId="0" quotePrefix="1" applyNumberFormat="1" applyFont="1" applyAlignment="1">
      <alignment horizontal="justify" vertical="top" wrapText="1"/>
    </xf>
    <xf numFmtId="170" fontId="51" fillId="0" borderId="0" xfId="0" applyNumberFormat="1" applyFont="1" applyAlignment="1">
      <alignment horizontal="left" vertical="top"/>
    </xf>
    <xf numFmtId="0" fontId="0" fillId="7" borderId="56" xfId="0" applyFill="1" applyBorder="1" applyAlignment="1">
      <alignment horizontal="right" vertical="center"/>
    </xf>
    <xf numFmtId="15" fontId="18" fillId="0" borderId="0" xfId="0" quotePrefix="1" applyNumberFormat="1" applyFont="1" applyAlignment="1">
      <alignment horizontal="left" vertical="center"/>
    </xf>
    <xf numFmtId="0" fontId="13" fillId="0" borderId="0" xfId="0" applyFont="1" applyAlignment="1">
      <alignment horizontal="justify" vertical="center" wrapText="1"/>
    </xf>
    <xf numFmtId="164" fontId="0" fillId="2" borderId="24" xfId="0" applyNumberFormat="1" applyFill="1" applyBorder="1" applyAlignment="1" applyProtection="1">
      <alignment horizontal="center" vertical="center"/>
      <protection locked="0"/>
    </xf>
    <xf numFmtId="164" fontId="0" fillId="2" borderId="77" xfId="0" applyNumberFormat="1" applyFill="1" applyBorder="1" applyAlignment="1" applyProtection="1">
      <alignment horizontal="center" vertical="center"/>
      <protection locked="0"/>
    </xf>
    <xf numFmtId="164" fontId="0" fillId="2" borderId="26" xfId="0" applyNumberFormat="1" applyFill="1" applyBorder="1" applyAlignment="1" applyProtection="1">
      <alignment horizontal="center" vertical="center"/>
      <protection locked="0"/>
    </xf>
    <xf numFmtId="164" fontId="0" fillId="2" borderId="18" xfId="0" applyNumberFormat="1" applyFill="1" applyBorder="1" applyAlignment="1" applyProtection="1">
      <alignment horizontal="center" vertical="center"/>
      <protection locked="0"/>
    </xf>
    <xf numFmtId="0" fontId="0" fillId="2" borderId="29" xfId="0" quotePrefix="1" applyFill="1" applyBorder="1" applyAlignment="1" applyProtection="1">
      <alignment vertical="center"/>
      <protection locked="0"/>
    </xf>
    <xf numFmtId="0" fontId="16" fillId="0" borderId="0" xfId="0" applyFont="1" applyAlignment="1">
      <alignment vertical="top"/>
    </xf>
    <xf numFmtId="0" fontId="49" fillId="0" borderId="0" xfId="0" applyFont="1" applyAlignment="1">
      <alignment vertical="center"/>
    </xf>
    <xf numFmtId="0" fontId="0" fillId="7" borderId="15" xfId="0" applyFill="1" applyBorder="1" applyAlignment="1">
      <alignment horizontal="center" vertical="center"/>
    </xf>
    <xf numFmtId="0" fontId="0" fillId="2" borderId="15" xfId="0" quotePrefix="1" applyFill="1" applyBorder="1" applyAlignment="1" applyProtection="1">
      <alignment vertical="center"/>
      <protection locked="0"/>
    </xf>
    <xf numFmtId="0" fontId="0" fillId="2" borderId="5" xfId="0" applyFill="1" applyBorder="1" applyAlignment="1" applyProtection="1">
      <alignment horizontal="center" vertical="center"/>
      <protection locked="0"/>
    </xf>
    <xf numFmtId="10" fontId="54" fillId="4" borderId="21" xfId="0" applyNumberFormat="1" applyFont="1" applyFill="1" applyBorder="1" applyAlignment="1">
      <alignment horizontal="center" vertical="center"/>
    </xf>
    <xf numFmtId="0" fontId="51" fillId="0" borderId="0" xfId="0" applyFont="1" applyAlignment="1" applyProtection="1">
      <alignment horizontal="left" vertical="center" wrapText="1"/>
      <protection locked="0"/>
    </xf>
    <xf numFmtId="0" fontId="51" fillId="0" borderId="0" xfId="0" applyFont="1" applyAlignment="1">
      <alignment horizontal="justify" vertical="center" wrapText="1"/>
    </xf>
    <xf numFmtId="164" fontId="46" fillId="0" borderId="0" xfId="0" applyNumberFormat="1" applyFont="1" applyAlignment="1">
      <alignment horizontal="center" vertical="center"/>
    </xf>
    <xf numFmtId="172" fontId="51" fillId="0" borderId="0" xfId="0" applyNumberFormat="1" applyFont="1" applyAlignment="1">
      <alignment horizontal="center" vertical="center"/>
    </xf>
    <xf numFmtId="164" fontId="51" fillId="0" borderId="0" xfId="0" applyNumberFormat="1" applyFont="1" applyAlignment="1">
      <alignment horizontal="center" vertical="center"/>
    </xf>
    <xf numFmtId="0" fontId="16" fillId="0" borderId="0" xfId="0" applyFont="1" applyAlignment="1">
      <alignment vertical="center"/>
    </xf>
    <xf numFmtId="0" fontId="47" fillId="0" borderId="0" xfId="0" applyFont="1" applyAlignment="1">
      <alignment vertical="center" wrapText="1"/>
    </xf>
    <xf numFmtId="0" fontId="46" fillId="0" borderId="0" xfId="0" applyFont="1" applyAlignment="1">
      <alignment vertical="center"/>
    </xf>
    <xf numFmtId="177" fontId="51" fillId="0" borderId="0" xfId="0" applyNumberFormat="1" applyFont="1" applyAlignment="1">
      <alignment horizontal="left" vertical="center"/>
    </xf>
    <xf numFmtId="0" fontId="47" fillId="0" borderId="0" xfId="0" applyFont="1" applyAlignment="1">
      <alignment vertical="center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justify" vertical="top" wrapText="1"/>
    </xf>
    <xf numFmtId="9" fontId="0" fillId="4" borderId="84" xfId="1" applyFont="1" applyFill="1" applyBorder="1" applyAlignment="1">
      <alignment horizontal="center" vertical="center"/>
    </xf>
    <xf numFmtId="2" fontId="51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left" vertical="center"/>
    </xf>
    <xf numFmtId="1" fontId="0" fillId="12" borderId="70" xfId="0" applyNumberFormat="1" applyFill="1" applyBorder="1" applyAlignment="1" applyProtection="1">
      <alignment horizontal="center" vertical="center"/>
      <protection locked="0"/>
    </xf>
    <xf numFmtId="177" fontId="0" fillId="8" borderId="57" xfId="0" quotePrefix="1" applyNumberFormat="1" applyFill="1" applyBorder="1" applyAlignment="1" applyProtection="1">
      <alignment horizontal="left" vertical="center"/>
      <protection locked="0"/>
    </xf>
    <xf numFmtId="14" fontId="0" fillId="8" borderId="47" xfId="0" applyNumberFormat="1" applyFill="1" applyBorder="1" applyAlignment="1">
      <alignment vertical="center"/>
    </xf>
    <xf numFmtId="178" fontId="0" fillId="0" borderId="52" xfId="0" applyNumberFormat="1" applyBorder="1" applyAlignment="1" applyProtection="1">
      <alignment horizontal="center" vertical="center"/>
      <protection locked="0"/>
    </xf>
    <xf numFmtId="168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9" fillId="0" borderId="61" xfId="0" applyFont="1" applyBorder="1" applyAlignment="1">
      <alignment horizontal="center" vertical="center"/>
    </xf>
    <xf numFmtId="0" fontId="9" fillId="0" borderId="63" xfId="0" applyFont="1" applyBorder="1" applyAlignment="1">
      <alignment horizontal="center" vertical="center"/>
    </xf>
    <xf numFmtId="0" fontId="9" fillId="0" borderId="62" xfId="0" applyFont="1" applyBorder="1" applyAlignment="1">
      <alignment horizontal="left" vertical="center"/>
    </xf>
    <xf numFmtId="0" fontId="9" fillId="0" borderId="63" xfId="0" applyFont="1" applyBorder="1" applyAlignment="1">
      <alignment horizontal="left" vertical="center"/>
    </xf>
    <xf numFmtId="0" fontId="9" fillId="0" borderId="60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60" xfId="0" applyFont="1" applyBorder="1" applyAlignment="1">
      <alignment horizontal="left" vertical="center"/>
    </xf>
    <xf numFmtId="0" fontId="9" fillId="0" borderId="64" xfId="0" applyFont="1" applyBorder="1" applyAlignment="1">
      <alignment horizontal="left" vertical="center"/>
    </xf>
    <xf numFmtId="0" fontId="9" fillId="0" borderId="38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38" xfId="0" applyFont="1" applyBorder="1" applyAlignment="1">
      <alignment horizontal="left" vertical="center"/>
    </xf>
    <xf numFmtId="0" fontId="9" fillId="0" borderId="47" xfId="0" applyFont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18" fillId="0" borderId="62" xfId="0" applyFont="1" applyBorder="1" applyAlignment="1" applyProtection="1">
      <alignment vertical="top" wrapText="1"/>
      <protection locked="0"/>
    </xf>
    <xf numFmtId="0" fontId="18" fillId="0" borderId="61" xfId="0" applyFont="1" applyBorder="1" applyAlignment="1" applyProtection="1">
      <alignment vertical="top" wrapText="1"/>
      <protection locked="0"/>
    </xf>
    <xf numFmtId="0" fontId="18" fillId="0" borderId="63" xfId="0" applyFont="1" applyBorder="1" applyAlignment="1" applyProtection="1">
      <alignment vertical="top" wrapText="1"/>
      <protection locked="0"/>
    </xf>
    <xf numFmtId="0" fontId="18" fillId="0" borderId="38" xfId="0" applyFont="1" applyBorder="1" applyAlignment="1" applyProtection="1">
      <alignment vertical="top" wrapText="1"/>
      <protection locked="0"/>
    </xf>
    <xf numFmtId="0" fontId="18" fillId="0" borderId="15" xfId="0" applyFont="1" applyBorder="1" applyAlignment="1" applyProtection="1">
      <alignment vertical="top" wrapText="1"/>
      <protection locked="0"/>
    </xf>
    <xf numFmtId="0" fontId="18" fillId="0" borderId="47" xfId="0" applyFont="1" applyBorder="1" applyAlignment="1" applyProtection="1">
      <alignment vertical="top" wrapText="1"/>
      <protection locked="0"/>
    </xf>
    <xf numFmtId="1" fontId="0" fillId="12" borderId="101" xfId="0" applyNumberFormat="1" applyFill="1" applyBorder="1" applyAlignment="1">
      <alignment horizontal="center" vertical="center"/>
    </xf>
    <xf numFmtId="0" fontId="17" fillId="0" borderId="0" xfId="0" applyFont="1" applyAlignment="1">
      <alignment horizontal="justify" vertical="center" wrapText="1"/>
    </xf>
    <xf numFmtId="0" fontId="18" fillId="0" borderId="0" xfId="0" applyFont="1" applyAlignment="1">
      <alignment horizontal="justify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 applyProtection="1">
      <alignment horizontal="justify" vertical="top" wrapText="1"/>
      <protection locked="0"/>
    </xf>
    <xf numFmtId="0" fontId="16" fillId="0" borderId="0" xfId="0" applyFont="1" applyAlignment="1">
      <alignment horizontal="center" vertical="center"/>
    </xf>
    <xf numFmtId="0" fontId="18" fillId="0" borderId="0" xfId="0" quotePrefix="1" applyFont="1" applyAlignment="1">
      <alignment horizontal="justify" vertical="center" wrapText="1"/>
    </xf>
    <xf numFmtId="15" fontId="18" fillId="0" borderId="0" xfId="0" quotePrefix="1" applyNumberFormat="1" applyFont="1" applyAlignment="1">
      <alignment horizontal="justify" vertical="center" wrapText="1"/>
    </xf>
    <xf numFmtId="0" fontId="18" fillId="0" borderId="0" xfId="0" applyFont="1" applyAlignment="1" applyProtection="1">
      <alignment horizontal="left" vertical="center" wrapText="1"/>
      <protection locked="0"/>
    </xf>
    <xf numFmtId="0" fontId="18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15" fontId="18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/>
    </xf>
    <xf numFmtId="0" fontId="51" fillId="0" borderId="0" xfId="0" applyFont="1" applyAlignment="1" applyProtection="1">
      <alignment horizontal="left" vertical="center" wrapText="1"/>
      <protection locked="0"/>
    </xf>
    <xf numFmtId="0" fontId="50" fillId="0" borderId="60" xfId="0" applyFont="1" applyBorder="1" applyAlignment="1">
      <alignment horizontal="justify" vertical="center" wrapText="1"/>
    </xf>
    <xf numFmtId="0" fontId="50" fillId="0" borderId="0" xfId="0" applyFont="1" applyAlignment="1">
      <alignment horizontal="justify" vertical="center" wrapText="1"/>
    </xf>
    <xf numFmtId="177" fontId="51" fillId="0" borderId="0" xfId="0" applyNumberFormat="1" applyFont="1" applyAlignment="1">
      <alignment horizontal="left" vertical="center"/>
    </xf>
    <xf numFmtId="15" fontId="51" fillId="0" borderId="0" xfId="0" quotePrefix="1" applyNumberFormat="1" applyFont="1" applyAlignment="1">
      <alignment horizontal="justify" vertical="top" wrapText="1"/>
    </xf>
    <xf numFmtId="0" fontId="47" fillId="0" borderId="0" xfId="0" applyFont="1" applyAlignment="1">
      <alignment horizontal="center"/>
    </xf>
    <xf numFmtId="0" fontId="51" fillId="0" borderId="0" xfId="0" applyFont="1" applyAlignment="1">
      <alignment horizontal="justify" vertical="center" wrapText="1"/>
    </xf>
    <xf numFmtId="164" fontId="51" fillId="0" borderId="0" xfId="0" applyNumberFormat="1" applyFont="1" applyAlignment="1">
      <alignment horizontal="center" vertical="center"/>
    </xf>
    <xf numFmtId="164" fontId="46" fillId="0" borderId="0" xfId="0" applyNumberFormat="1" applyFont="1" applyAlignment="1">
      <alignment horizontal="center" vertical="center"/>
    </xf>
    <xf numFmtId="172" fontId="51" fillId="0" borderId="0" xfId="0" applyNumberFormat="1" applyFont="1" applyAlignment="1">
      <alignment horizontal="center" vertical="center"/>
    </xf>
    <xf numFmtId="0" fontId="18" fillId="0" borderId="0" xfId="0" applyFont="1" applyAlignment="1" applyProtection="1">
      <alignment horizontal="left" vertical="center"/>
      <protection locked="0"/>
    </xf>
    <xf numFmtId="0" fontId="46" fillId="0" borderId="0" xfId="0" applyFont="1" applyBorder="1"/>
    <xf numFmtId="164" fontId="46" fillId="0" borderId="0" xfId="0" applyNumberFormat="1" applyFont="1" applyBorder="1" applyAlignment="1">
      <alignment horizontal="center" vertical="center"/>
    </xf>
    <xf numFmtId="2" fontId="51" fillId="0" borderId="0" xfId="0" applyNumberFormat="1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172" fontId="51" fillId="0" borderId="0" xfId="0" applyNumberFormat="1" applyFont="1" applyBorder="1" applyAlignment="1">
      <alignment horizontal="center" vertical="center"/>
    </xf>
    <xf numFmtId="0" fontId="46" fillId="0" borderId="123" xfId="0" applyFont="1" applyBorder="1"/>
    <xf numFmtId="0" fontId="68" fillId="0" borderId="0" xfId="0" applyFont="1" applyAlignment="1">
      <alignment vertical="center" wrapText="1"/>
    </xf>
    <xf numFmtId="164" fontId="69" fillId="0" borderId="52" xfId="0" applyNumberFormat="1" applyFont="1" applyBorder="1" applyAlignment="1">
      <alignment horizontal="center" vertical="center" wrapText="1"/>
    </xf>
    <xf numFmtId="177" fontId="51" fillId="0" borderId="0" xfId="0" applyNumberFormat="1" applyFont="1" applyAlignment="1">
      <alignment vertical="center"/>
    </xf>
    <xf numFmtId="0" fontId="17" fillId="0" borderId="60" xfId="0" applyFont="1" applyBorder="1" applyAlignment="1">
      <alignment vertical="center" wrapText="1"/>
    </xf>
    <xf numFmtId="0" fontId="18" fillId="0" borderId="60" xfId="0" applyFont="1" applyBorder="1" applyAlignment="1" applyProtection="1">
      <alignment vertical="top"/>
      <protection locked="0"/>
    </xf>
    <xf numFmtId="0" fontId="0" fillId="0" borderId="0" xfId="0" applyAlignment="1" applyProtection="1">
      <alignment horizontal="center" vertical="center"/>
      <protection locked="0"/>
    </xf>
    <xf numFmtId="0" fontId="61" fillId="0" borderId="52" xfId="0" applyFont="1" applyBorder="1" applyAlignment="1">
      <alignment horizontal="center" vertical="center"/>
    </xf>
    <xf numFmtId="0" fontId="0" fillId="0" borderId="0" xfId="0" applyAlignment="1"/>
    <xf numFmtId="0" fontId="0" fillId="2" borderId="57" xfId="0" applyFill="1" applyBorder="1" applyAlignment="1" applyProtection="1">
      <alignment horizontal="center" vertical="center"/>
      <protection locked="0"/>
    </xf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vertical="center"/>
    </xf>
    <xf numFmtId="0" fontId="50" fillId="0" borderId="60" xfId="0" applyFont="1" applyBorder="1" applyAlignment="1">
      <alignment horizontal="justify" vertical="center" wrapText="1"/>
    </xf>
    <xf numFmtId="0" fontId="50" fillId="0" borderId="0" xfId="0" applyFont="1" applyAlignment="1">
      <alignment horizontal="justify" vertical="center" wrapText="1"/>
    </xf>
    <xf numFmtId="0" fontId="18" fillId="0" borderId="0" xfId="0" applyFont="1" applyAlignment="1">
      <alignment horizontal="justify" vertical="center"/>
    </xf>
    <xf numFmtId="15" fontId="51" fillId="0" borderId="0" xfId="0" quotePrefix="1" applyNumberFormat="1" applyFont="1" applyAlignment="1">
      <alignment horizontal="justify" vertical="top" wrapText="1"/>
    </xf>
    <xf numFmtId="0" fontId="47" fillId="0" borderId="0" xfId="0" applyFont="1" applyAlignment="1">
      <alignment horizontal="center"/>
    </xf>
    <xf numFmtId="170" fontId="51" fillId="0" borderId="0" xfId="0" applyNumberFormat="1" applyFont="1" applyAlignment="1">
      <alignment horizontal="left" vertical="top"/>
    </xf>
    <xf numFmtId="177" fontId="51" fillId="0" borderId="0" xfId="0" applyNumberFormat="1" applyFont="1" applyAlignment="1">
      <alignment horizontal="left" vertical="center"/>
    </xf>
    <xf numFmtId="15" fontId="51" fillId="0" borderId="0" xfId="0" quotePrefix="1" applyNumberFormat="1" applyFont="1" applyAlignment="1">
      <alignment horizontal="justify" vertical="top" wrapText="1"/>
    </xf>
    <xf numFmtId="0" fontId="51" fillId="0" borderId="0" xfId="0" applyFont="1" applyBorder="1" applyAlignment="1">
      <alignment vertical="center" wrapText="1"/>
    </xf>
    <xf numFmtId="167" fontId="13" fillId="0" borderId="0" xfId="0" applyNumberFormat="1" applyFont="1" applyBorder="1" applyAlignment="1">
      <alignment vertical="center" wrapText="1"/>
    </xf>
    <xf numFmtId="167" fontId="46" fillId="0" borderId="0" xfId="0" applyNumberFormat="1" applyFont="1" applyBorder="1" applyAlignment="1">
      <alignment vertical="center" wrapText="1"/>
    </xf>
    <xf numFmtId="0" fontId="18" fillId="0" borderId="0" xfId="0" applyFont="1" applyBorder="1" applyAlignment="1">
      <alignment vertical="center" wrapText="1"/>
    </xf>
    <xf numFmtId="164" fontId="16" fillId="0" borderId="0" xfId="0" applyNumberFormat="1" applyFont="1" applyAlignment="1">
      <alignment horizontal="left" vertical="center"/>
    </xf>
    <xf numFmtId="0" fontId="50" fillId="0" borderId="0" xfId="0" applyFont="1" applyBorder="1" applyAlignment="1">
      <alignment horizontal="justify" vertical="center" wrapText="1"/>
    </xf>
    <xf numFmtId="0" fontId="46" fillId="0" borderId="52" xfId="0" applyFont="1" applyBorder="1" applyAlignment="1">
      <alignment horizontal="center" vertical="center"/>
    </xf>
    <xf numFmtId="164" fontId="51" fillId="0" borderId="0" xfId="0" applyNumberFormat="1" applyFont="1" applyBorder="1" applyAlignment="1">
      <alignment horizontal="center" vertical="center"/>
    </xf>
    <xf numFmtId="172" fontId="51" fillId="0" borderId="0" xfId="0" applyNumberFormat="1" applyFont="1" applyBorder="1" applyAlignment="1">
      <alignment horizontal="center" vertical="center"/>
    </xf>
    <xf numFmtId="164" fontId="46" fillId="0" borderId="0" xfId="0" applyNumberFormat="1" applyFont="1" applyBorder="1" applyAlignment="1">
      <alignment horizontal="center" vertical="center"/>
    </xf>
    <xf numFmtId="0" fontId="25" fillId="0" borderId="56" xfId="0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7" fillId="0" borderId="0" xfId="0" applyFont="1" applyBorder="1" applyAlignment="1">
      <alignment vertical="top" wrapText="1"/>
    </xf>
    <xf numFmtId="0" fontId="50" fillId="0" borderId="0" xfId="0" applyFont="1" applyBorder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46" fillId="0" borderId="0" xfId="0" applyFont="1" applyAlignment="1">
      <alignment horizontal="justify" vertical="center"/>
    </xf>
    <xf numFmtId="0" fontId="0" fillId="0" borderId="0" xfId="0" applyBorder="1" applyAlignment="1">
      <alignment horizontal="center" vertical="center" wrapText="1"/>
    </xf>
    <xf numFmtId="0" fontId="47" fillId="0" borderId="0" xfId="0" applyFont="1" applyBorder="1"/>
    <xf numFmtId="0" fontId="51" fillId="0" borderId="0" xfId="0" applyFont="1" applyBorder="1" applyAlignment="1">
      <alignment vertical="center"/>
    </xf>
    <xf numFmtId="164" fontId="51" fillId="0" borderId="0" xfId="0" applyNumberFormat="1" applyFont="1" applyBorder="1" applyAlignment="1">
      <alignment horizontal="center" vertical="center" wrapText="1"/>
    </xf>
    <xf numFmtId="164" fontId="16" fillId="0" borderId="0" xfId="0" applyNumberFormat="1" applyFont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164" fontId="13" fillId="0" borderId="0" xfId="0" applyNumberFormat="1" applyFont="1" applyBorder="1" applyAlignment="1">
      <alignment horizontal="left" vertical="center"/>
    </xf>
    <xf numFmtId="0" fontId="51" fillId="0" borderId="0" xfId="0" applyFont="1" applyBorder="1"/>
    <xf numFmtId="0" fontId="49" fillId="0" borderId="0" xfId="0" applyFont="1" applyBorder="1" applyAlignment="1">
      <alignment horizontal="center"/>
    </xf>
    <xf numFmtId="0" fontId="49" fillId="0" borderId="0" xfId="0" applyFont="1" applyBorder="1"/>
    <xf numFmtId="0" fontId="25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justify" vertical="center"/>
    </xf>
    <xf numFmtId="0" fontId="0" fillId="0" borderId="0" xfId="0" applyBorder="1" applyAlignment="1">
      <alignment vertical="center"/>
    </xf>
    <xf numFmtId="0" fontId="25" fillId="0" borderId="0" xfId="0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33" fillId="2" borderId="5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3" fillId="2" borderId="7" xfId="0" applyFont="1" applyFill="1" applyBorder="1" applyAlignment="1">
      <alignment horizontal="center" vertical="center" wrapText="1"/>
    </xf>
    <xf numFmtId="0" fontId="33" fillId="2" borderId="8" xfId="0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3" fillId="5" borderId="52" xfId="0" applyFont="1" applyFill="1" applyBorder="1" applyAlignment="1">
      <alignment horizontal="center" vertical="center" wrapText="1"/>
    </xf>
    <xf numFmtId="0" fontId="0" fillId="0" borderId="52" xfId="0" applyBorder="1" applyAlignment="1" applyProtection="1">
      <alignment horizontal="center" vertical="center"/>
      <protection locked="0"/>
    </xf>
    <xf numFmtId="0" fontId="17" fillId="0" borderId="0" xfId="0" applyFont="1" applyAlignment="1">
      <alignment horizontal="justify" vertical="center" wrapText="1"/>
    </xf>
    <xf numFmtId="0" fontId="18" fillId="0" borderId="0" xfId="0" applyFont="1" applyAlignment="1">
      <alignment horizontal="justify" vertical="center"/>
    </xf>
    <xf numFmtId="0" fontId="18" fillId="0" borderId="0" xfId="0" quotePrefix="1" applyFont="1" applyAlignment="1">
      <alignment horizontal="justify" vertical="center" wrapText="1"/>
    </xf>
    <xf numFmtId="15" fontId="18" fillId="0" borderId="0" xfId="0" quotePrefix="1" applyNumberFormat="1" applyFont="1" applyAlignment="1">
      <alignment horizontal="justify" vertical="center" wrapText="1"/>
    </xf>
    <xf numFmtId="165" fontId="18" fillId="0" borderId="0" xfId="0" quotePrefix="1" applyNumberFormat="1" applyFont="1" applyAlignment="1">
      <alignment horizontal="left" vertical="center"/>
    </xf>
    <xf numFmtId="0" fontId="18" fillId="0" borderId="0" xfId="0" applyFont="1" applyAlignment="1" applyProtection="1">
      <alignment horizontal="justify" vertical="top" wrapText="1"/>
      <protection locked="0"/>
    </xf>
    <xf numFmtId="0" fontId="18" fillId="0" borderId="0" xfId="0" applyFont="1" applyAlignment="1">
      <alignment horizontal="left" vertical="center"/>
    </xf>
    <xf numFmtId="0" fontId="14" fillId="0" borderId="72" xfId="0" applyFont="1" applyBorder="1" applyAlignment="1">
      <alignment horizontal="center" vertical="center" wrapText="1"/>
    </xf>
    <xf numFmtId="0" fontId="18" fillId="0" borderId="0" xfId="0" applyFont="1" applyAlignment="1" applyProtection="1">
      <alignment horizontal="left" vertical="center" wrapText="1"/>
      <protection locked="0"/>
    </xf>
    <xf numFmtId="0" fontId="18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15" fontId="18" fillId="0" borderId="0" xfId="0" applyNumberFormat="1" applyFont="1" applyAlignment="1">
      <alignment horizontal="left" vertical="center"/>
    </xf>
    <xf numFmtId="0" fontId="18" fillId="0" borderId="60" xfId="0" applyFont="1" applyBorder="1" applyAlignment="1" applyProtection="1">
      <alignment horizontal="justify" vertical="top" wrapText="1"/>
      <protection locked="0"/>
    </xf>
    <xf numFmtId="0" fontId="14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46" fillId="0" borderId="0" xfId="0" applyFont="1" applyBorder="1" applyAlignment="1">
      <alignment horizontal="center" vertical="center"/>
    </xf>
    <xf numFmtId="167" fontId="18" fillId="0" borderId="0" xfId="0" applyNumberFormat="1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46" fillId="0" borderId="57" xfId="0" applyFont="1" applyBorder="1" applyAlignment="1">
      <alignment vertical="center"/>
    </xf>
    <xf numFmtId="0" fontId="13" fillId="0" borderId="57" xfId="0" applyFont="1" applyBorder="1" applyAlignment="1">
      <alignment vertical="center"/>
    </xf>
    <xf numFmtId="0" fontId="0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33" fillId="0" borderId="26" xfId="0" applyFont="1" applyBorder="1" applyAlignment="1">
      <alignment horizontal="center" vertical="center" wrapText="1"/>
    </xf>
    <xf numFmtId="0" fontId="33" fillId="0" borderId="0" xfId="0" applyFont="1" applyFill="1" applyBorder="1" applyAlignment="1">
      <alignment vertical="center" wrapText="1"/>
    </xf>
    <xf numFmtId="0" fontId="33" fillId="8" borderId="17" xfId="0" applyFont="1" applyFill="1" applyBorder="1" applyAlignment="1">
      <alignment horizontal="center" vertical="center" wrapText="1"/>
    </xf>
    <xf numFmtId="0" fontId="33" fillId="8" borderId="18" xfId="0" applyFont="1" applyFill="1" applyBorder="1" applyAlignment="1">
      <alignment horizontal="center" vertical="center" wrapText="1"/>
    </xf>
    <xf numFmtId="10" fontId="33" fillId="14" borderId="48" xfId="1" applyNumberFormat="1" applyFont="1" applyFill="1" applyBorder="1" applyAlignment="1">
      <alignment horizontal="center" vertical="center" wrapText="1"/>
    </xf>
    <xf numFmtId="0" fontId="33" fillId="5" borderId="55" xfId="0" applyFont="1" applyFill="1" applyBorder="1" applyAlignment="1">
      <alignment horizontal="center" vertical="center" wrapText="1"/>
    </xf>
    <xf numFmtId="0" fontId="33" fillId="0" borderId="55" xfId="0" quotePrefix="1" applyFont="1" applyBorder="1" applyAlignment="1">
      <alignment horizontal="center" vertical="center" wrapText="1"/>
    </xf>
    <xf numFmtId="2" fontId="33" fillId="0" borderId="55" xfId="0" applyNumberFormat="1" applyFont="1" applyBorder="1" applyAlignment="1">
      <alignment horizontal="center" vertical="center" wrapText="1"/>
    </xf>
    <xf numFmtId="0" fontId="33" fillId="0" borderId="18" xfId="0" quotePrefix="1" applyFont="1" applyBorder="1" applyAlignment="1">
      <alignment horizontal="center" vertical="center" wrapText="1"/>
    </xf>
    <xf numFmtId="0" fontId="33" fillId="5" borderId="13" xfId="0" applyFont="1" applyFill="1" applyBorder="1" applyAlignment="1">
      <alignment horizontal="right" vertical="center" wrapText="1"/>
    </xf>
    <xf numFmtId="0" fontId="33" fillId="0" borderId="29" xfId="0" applyFont="1" applyBorder="1" applyAlignment="1">
      <alignment horizontal="left" vertical="center" wrapText="1"/>
    </xf>
    <xf numFmtId="0" fontId="33" fillId="5" borderId="19" xfId="0" applyFont="1" applyFill="1" applyBorder="1" applyAlignment="1">
      <alignment horizontal="right" vertical="center" wrapText="1"/>
    </xf>
    <xf numFmtId="0" fontId="33" fillId="0" borderId="40" xfId="0" applyFont="1" applyBorder="1" applyAlignment="1">
      <alignment horizontal="center" vertical="center" wrapText="1"/>
    </xf>
    <xf numFmtId="0" fontId="33" fillId="0" borderId="32" xfId="0" applyFont="1" applyBorder="1" applyAlignment="1">
      <alignment horizontal="left" vertical="center" wrapText="1"/>
    </xf>
    <xf numFmtId="0" fontId="33" fillId="0" borderId="33" xfId="0" applyFont="1" applyBorder="1" applyAlignment="1">
      <alignment vertical="center"/>
    </xf>
    <xf numFmtId="0" fontId="33" fillId="0" borderId="0" xfId="0" applyFont="1" applyAlignment="1">
      <alignment vertical="center"/>
    </xf>
    <xf numFmtId="0" fontId="33" fillId="0" borderId="0" xfId="0" applyFont="1" applyBorder="1" applyAlignment="1">
      <alignment vertical="center"/>
    </xf>
    <xf numFmtId="0" fontId="0" fillId="2" borderId="69" xfId="0" applyFont="1" applyFill="1" applyBorder="1" applyAlignment="1">
      <alignment horizontal="right" vertical="center"/>
    </xf>
    <xf numFmtId="0" fontId="33" fillId="2" borderId="44" xfId="0" applyFont="1" applyFill="1" applyBorder="1" applyAlignment="1">
      <alignment horizontal="center" vertical="center" wrapText="1"/>
    </xf>
    <xf numFmtId="0" fontId="0" fillId="0" borderId="0" xfId="0" applyFont="1"/>
    <xf numFmtId="0" fontId="72" fillId="7" borderId="56" xfId="0" applyFont="1" applyFill="1" applyBorder="1" applyAlignment="1">
      <alignment horizontal="center" vertical="center"/>
    </xf>
    <xf numFmtId="0" fontId="72" fillId="7" borderId="56" xfId="0" applyFont="1" applyFill="1" applyBorder="1" applyAlignment="1" applyProtection="1">
      <alignment horizontal="center" vertical="center"/>
      <protection locked="0"/>
    </xf>
    <xf numFmtId="0" fontId="0" fillId="0" borderId="64" xfId="0" applyFont="1" applyBorder="1" applyAlignment="1">
      <alignment horizontal="left" vertical="center"/>
    </xf>
    <xf numFmtId="0" fontId="14" fillId="0" borderId="72" xfId="0" applyFont="1" applyBorder="1"/>
    <xf numFmtId="0" fontId="13" fillId="0" borderId="72" xfId="0" applyFont="1" applyBorder="1" applyAlignment="1">
      <alignment horizontal="center" vertical="center"/>
    </xf>
    <xf numFmtId="0" fontId="18" fillId="0" borderId="72" xfId="0" applyFont="1" applyBorder="1" applyAlignment="1">
      <alignment horizontal="center" vertical="center" wrapText="1"/>
    </xf>
    <xf numFmtId="164" fontId="18" fillId="0" borderId="72" xfId="0" applyNumberFormat="1" applyFont="1" applyBorder="1" applyAlignment="1">
      <alignment horizontal="center" vertical="center" wrapText="1"/>
    </xf>
    <xf numFmtId="167" fontId="19" fillId="0" borderId="0" xfId="0" applyNumberFormat="1" applyFont="1" applyAlignment="1">
      <alignment horizontal="center" vertical="center" wrapText="1"/>
    </xf>
    <xf numFmtId="0" fontId="46" fillId="0" borderId="0" xfId="0" applyFont="1" applyAlignment="1">
      <alignment vertical="top"/>
    </xf>
    <xf numFmtId="0" fontId="73" fillId="0" borderId="0" xfId="0" applyFont="1"/>
    <xf numFmtId="164" fontId="19" fillId="0" borderId="0" xfId="0" applyNumberFormat="1" applyFont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0" fontId="74" fillId="0" borderId="0" xfId="0" applyFont="1" applyAlignment="1">
      <alignment horizontal="center" vertical="center"/>
    </xf>
    <xf numFmtId="0" fontId="73" fillId="0" borderId="0" xfId="0" applyFont="1" applyBorder="1"/>
    <xf numFmtId="0" fontId="73" fillId="0" borderId="72" xfId="0" applyFont="1" applyBorder="1"/>
    <xf numFmtId="0" fontId="73" fillId="0" borderId="72" xfId="0" applyFont="1" applyBorder="1" applyAlignment="1">
      <alignment horizontal="left" vertical="center"/>
    </xf>
    <xf numFmtId="0" fontId="75" fillId="0" borderId="0" xfId="0" applyFont="1"/>
    <xf numFmtId="1" fontId="0" fillId="2" borderId="74" xfId="0" quotePrefix="1" applyNumberFormat="1" applyFill="1" applyBorder="1" applyAlignment="1" applyProtection="1">
      <alignment horizontal="left" vertical="center"/>
      <protection locked="0"/>
    </xf>
    <xf numFmtId="1" fontId="61" fillId="0" borderId="0" xfId="0" applyNumberFormat="1" applyFont="1" applyAlignment="1">
      <alignment horizontal="left" vertical="center"/>
    </xf>
    <xf numFmtId="0" fontId="0" fillId="0" borderId="52" xfId="0" applyBorder="1" applyAlignment="1" applyProtection="1">
      <alignment horizontal="center" vertical="center"/>
      <protection locked="0"/>
    </xf>
    <xf numFmtId="0" fontId="66" fillId="0" borderId="52" xfId="0" applyFont="1" applyBorder="1" applyAlignment="1" applyProtection="1">
      <alignment horizontal="center" vertical="center"/>
      <protection locked="0"/>
    </xf>
    <xf numFmtId="0" fontId="46" fillId="0" borderId="0" xfId="0" applyFont="1" applyAlignment="1">
      <alignment horizontal="center"/>
    </xf>
    <xf numFmtId="0" fontId="46" fillId="0" borderId="52" xfId="0" applyFont="1" applyBorder="1" applyAlignment="1">
      <alignment horizontal="center" vertical="center"/>
    </xf>
    <xf numFmtId="0" fontId="0" fillId="0" borderId="52" xfId="0" applyBorder="1" applyAlignment="1" applyProtection="1">
      <alignment horizontal="center" vertical="center"/>
      <protection locked="0"/>
    </xf>
    <xf numFmtId="0" fontId="66" fillId="0" borderId="52" xfId="0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52" xfId="0" applyBorder="1" applyAlignment="1" applyProtection="1">
      <alignment horizontal="center" vertical="center"/>
    </xf>
    <xf numFmtId="0" fontId="0" fillId="0" borderId="52" xfId="0" applyBorder="1" applyAlignment="1" applyProtection="1">
      <alignment horizontal="center" vertical="center"/>
      <protection locked="0"/>
    </xf>
    <xf numFmtId="0" fontId="13" fillId="0" borderId="69" xfId="0" applyFont="1" applyBorder="1" applyAlignment="1">
      <alignment horizontal="center" vertical="center"/>
    </xf>
    <xf numFmtId="0" fontId="18" fillId="0" borderId="69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52" xfId="0" applyBorder="1" applyAlignment="1" applyProtection="1">
      <alignment horizontal="center" vertical="center"/>
      <protection locked="0"/>
    </xf>
    <xf numFmtId="177" fontId="18" fillId="0" borderId="0" xfId="0" quotePrefix="1" applyNumberFormat="1" applyFont="1" applyAlignment="1">
      <alignment horizontal="left" vertical="center"/>
    </xf>
    <xf numFmtId="0" fontId="13" fillId="0" borderId="44" xfId="0" applyFont="1" applyBorder="1" applyAlignment="1">
      <alignment horizontal="center" vertical="center"/>
    </xf>
    <xf numFmtId="21" fontId="0" fillId="0" borderId="52" xfId="0" quotePrefix="1" applyNumberFormat="1" applyBorder="1" applyAlignment="1" applyProtection="1">
      <alignment horizontal="center" vertical="center"/>
      <protection locked="0"/>
    </xf>
    <xf numFmtId="0" fontId="0" fillId="7" borderId="52" xfId="0" applyFill="1" applyBorder="1" applyAlignment="1">
      <alignment horizontal="center" vertical="center" wrapText="1"/>
    </xf>
    <xf numFmtId="0" fontId="0" fillId="0" borderId="52" xfId="0" applyBorder="1" applyAlignment="1" applyProtection="1">
      <alignment horizontal="center" vertical="center"/>
      <protection locked="0"/>
    </xf>
    <xf numFmtId="0" fontId="0" fillId="0" borderId="52" xfId="0" applyBorder="1" applyAlignment="1">
      <alignment horizontal="center" vertical="center"/>
    </xf>
    <xf numFmtId="0" fontId="17" fillId="0" borderId="60" xfId="0" applyFont="1" applyBorder="1" applyAlignment="1">
      <alignment horizontal="justify" vertical="top" wrapText="1"/>
    </xf>
    <xf numFmtId="0" fontId="17" fillId="0" borderId="0" xfId="0" applyFont="1" applyAlignment="1">
      <alignment horizontal="justify" vertical="top" wrapText="1"/>
    </xf>
    <xf numFmtId="0" fontId="18" fillId="0" borderId="0" xfId="0" applyFont="1" applyAlignment="1" applyProtection="1">
      <alignment horizontal="justify" vertical="top" wrapText="1"/>
      <protection locked="0"/>
    </xf>
    <xf numFmtId="0" fontId="0" fillId="0" borderId="0" xfId="0" applyAlignment="1">
      <alignment horizontal="center" vertical="center"/>
    </xf>
    <xf numFmtId="167" fontId="0" fillId="17" borderId="71" xfId="0" applyNumberFormat="1" applyFill="1" applyBorder="1" applyAlignment="1" applyProtection="1">
      <alignment horizontal="center" vertical="center"/>
      <protection locked="0"/>
    </xf>
    <xf numFmtId="1" fontId="0" fillId="12" borderId="75" xfId="0" applyNumberFormat="1" applyFill="1" applyBorder="1" applyAlignment="1" applyProtection="1">
      <alignment horizontal="center" vertical="center"/>
      <protection locked="0"/>
    </xf>
    <xf numFmtId="1" fontId="0" fillId="12" borderId="76" xfId="0" applyNumberFormat="1" applyFill="1" applyBorder="1" applyAlignment="1" applyProtection="1">
      <alignment horizontal="center" vertical="center"/>
      <protection locked="0"/>
    </xf>
    <xf numFmtId="1" fontId="0" fillId="12" borderId="77" xfId="0" applyNumberFormat="1" applyFill="1" applyBorder="1" applyAlignment="1" applyProtection="1">
      <alignment horizontal="center" vertical="center"/>
      <protection locked="0"/>
    </xf>
    <xf numFmtId="1" fontId="0" fillId="17" borderId="75" xfId="0" applyNumberFormat="1" applyFill="1" applyBorder="1" applyAlignment="1" applyProtection="1">
      <alignment horizontal="center" vertical="center"/>
      <protection locked="0"/>
    </xf>
    <xf numFmtId="1" fontId="0" fillId="18" borderId="75" xfId="0" applyNumberFormat="1" applyFill="1" applyBorder="1" applyAlignment="1" applyProtection="1">
      <alignment horizontal="center" vertical="center"/>
      <protection locked="0"/>
    </xf>
    <xf numFmtId="1" fontId="0" fillId="18" borderId="76" xfId="0" applyNumberFormat="1" applyFill="1" applyBorder="1" applyAlignment="1" applyProtection="1">
      <alignment horizontal="center" vertical="center"/>
      <protection locked="0"/>
    </xf>
    <xf numFmtId="1" fontId="0" fillId="18" borderId="77" xfId="0" applyNumberFormat="1" applyFill="1" applyBorder="1" applyAlignment="1" applyProtection="1">
      <alignment horizontal="center" vertical="center"/>
      <protection locked="0"/>
    </xf>
    <xf numFmtId="0" fontId="17" fillId="0" borderId="60" xfId="0" applyFont="1" applyBorder="1" applyAlignment="1">
      <alignment horizontal="justify" vertical="top" wrapText="1"/>
    </xf>
    <xf numFmtId="0" fontId="17" fillId="0" borderId="0" xfId="0" applyFont="1" applyAlignment="1">
      <alignment horizontal="justify" vertical="top" wrapText="1"/>
    </xf>
    <xf numFmtId="0" fontId="18" fillId="0" borderId="0" xfId="0" applyFont="1" applyAlignment="1" applyProtection="1">
      <alignment horizontal="justify" vertical="top" wrapText="1"/>
      <protection locked="0"/>
    </xf>
    <xf numFmtId="0" fontId="18" fillId="0" borderId="0" xfId="0" applyFont="1" applyAlignment="1">
      <alignment horizontal="left" vertical="center"/>
    </xf>
    <xf numFmtId="177" fontId="18" fillId="0" borderId="0" xfId="0" quotePrefix="1" applyNumberFormat="1" applyFont="1" applyAlignment="1">
      <alignment horizontal="left" vertical="center"/>
    </xf>
    <xf numFmtId="0" fontId="18" fillId="0" borderId="0" xfId="0" applyFont="1" applyAlignment="1" applyProtection="1">
      <alignment horizontal="justify" vertical="top"/>
      <protection locked="0"/>
    </xf>
    <xf numFmtId="0" fontId="18" fillId="0" borderId="74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15" fontId="18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center" vertical="top"/>
    </xf>
    <xf numFmtId="0" fontId="0" fillId="0" borderId="52" xfId="0" quotePrefix="1" applyBorder="1" applyAlignment="1" applyProtection="1">
      <alignment horizontal="center" vertical="center"/>
      <protection locked="0"/>
    </xf>
    <xf numFmtId="0" fontId="0" fillId="8" borderId="57" xfId="0" quotePrefix="1" applyFill="1" applyBorder="1" applyAlignment="1" applyProtection="1">
      <alignment vertical="center" wrapText="1"/>
    </xf>
    <xf numFmtId="0" fontId="0" fillId="8" borderId="51" xfId="0" quotePrefix="1" applyFill="1" applyBorder="1" applyAlignment="1" applyProtection="1">
      <alignment vertical="center" wrapText="1"/>
    </xf>
    <xf numFmtId="0" fontId="0" fillId="7" borderId="57" xfId="0" quotePrefix="1" applyFill="1" applyBorder="1" applyAlignment="1" applyProtection="1">
      <alignment vertical="center" wrapText="1"/>
    </xf>
    <xf numFmtId="0" fontId="0" fillId="7" borderId="56" xfId="0" quotePrefix="1" applyFill="1" applyBorder="1" applyAlignment="1" applyProtection="1">
      <alignment horizontal="right" vertical="center" wrapText="1"/>
    </xf>
    <xf numFmtId="0" fontId="0" fillId="7" borderId="56" xfId="0" quotePrefix="1" applyFill="1" applyBorder="1" applyAlignment="1" applyProtection="1">
      <alignment vertical="center" wrapText="1"/>
    </xf>
    <xf numFmtId="0" fontId="72" fillId="7" borderId="51" xfId="0" quotePrefix="1" applyFont="1" applyFill="1" applyBorder="1" applyAlignment="1" applyProtection="1">
      <alignment horizontal="right" vertical="center"/>
    </xf>
    <xf numFmtId="0" fontId="17" fillId="0" borderId="60" xfId="0" applyFont="1" applyBorder="1" applyAlignment="1">
      <alignment horizontal="justify" vertical="top" wrapText="1"/>
    </xf>
    <xf numFmtId="0" fontId="17" fillId="0" borderId="0" xfId="0" applyFont="1" applyAlignment="1">
      <alignment horizontal="justify" vertical="top" wrapText="1"/>
    </xf>
    <xf numFmtId="0" fontId="17" fillId="0" borderId="0" xfId="0" applyFont="1" applyAlignment="1">
      <alignment horizontal="justify" vertical="center" wrapText="1"/>
    </xf>
    <xf numFmtId="0" fontId="18" fillId="0" borderId="0" xfId="0" applyFont="1" applyAlignment="1">
      <alignment horizontal="justify" vertical="center"/>
    </xf>
    <xf numFmtId="0" fontId="18" fillId="0" borderId="0" xfId="0" quotePrefix="1" applyFont="1" applyAlignment="1">
      <alignment horizontal="justify" vertical="center" wrapText="1"/>
    </xf>
    <xf numFmtId="15" fontId="18" fillId="0" borderId="0" xfId="0" quotePrefix="1" applyNumberFormat="1" applyFont="1" applyAlignment="1">
      <alignment horizontal="justify" vertical="center" wrapText="1"/>
    </xf>
    <xf numFmtId="165" fontId="18" fillId="0" borderId="0" xfId="0" quotePrefix="1" applyNumberFormat="1" applyFont="1" applyAlignment="1">
      <alignment horizontal="left" vertical="center"/>
    </xf>
    <xf numFmtId="0" fontId="18" fillId="0" borderId="0" xfId="0" applyFont="1" applyAlignment="1" applyProtection="1">
      <alignment horizontal="justify" vertical="top" wrapText="1"/>
      <protection locked="0"/>
    </xf>
    <xf numFmtId="0" fontId="18" fillId="0" borderId="0" xfId="0" applyFont="1" applyAlignment="1">
      <alignment horizontal="left" vertical="center"/>
    </xf>
    <xf numFmtId="0" fontId="14" fillId="0" borderId="72" xfId="0" applyFont="1" applyBorder="1" applyAlignment="1">
      <alignment horizontal="center" vertical="center" wrapText="1"/>
    </xf>
    <xf numFmtId="177" fontId="18" fillId="0" borderId="0" xfId="0" quotePrefix="1" applyNumberFormat="1" applyFont="1" applyAlignment="1">
      <alignment horizontal="left" vertical="center"/>
    </xf>
    <xf numFmtId="0" fontId="18" fillId="0" borderId="0" xfId="0" applyFont="1" applyAlignment="1" applyProtection="1">
      <alignment horizontal="justify" vertical="top"/>
      <protection locked="0"/>
    </xf>
    <xf numFmtId="0" fontId="18" fillId="0" borderId="0" xfId="0" applyFont="1" applyAlignment="1">
      <alignment horizontal="left" vertical="top" wrapText="1"/>
    </xf>
    <xf numFmtId="0" fontId="18" fillId="0" borderId="74" xfId="0" applyFont="1" applyBorder="1" applyAlignment="1">
      <alignment horizontal="center" vertical="center" wrapText="1"/>
    </xf>
    <xf numFmtId="0" fontId="18" fillId="0" borderId="0" xfId="0" applyFont="1" applyAlignment="1" applyProtection="1">
      <alignment horizontal="left" vertical="center" wrapText="1"/>
      <protection locked="0"/>
    </xf>
    <xf numFmtId="15" fontId="18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top"/>
    </xf>
    <xf numFmtId="0" fontId="18" fillId="0" borderId="60" xfId="0" applyFont="1" applyBorder="1" applyAlignment="1" applyProtection="1">
      <alignment horizontal="justify" vertical="top" wrapText="1"/>
      <protection locked="0"/>
    </xf>
    <xf numFmtId="0" fontId="13" fillId="0" borderId="0" xfId="0" applyFont="1" applyBorder="1" applyAlignment="1">
      <alignment horizontal="left" vertical="top"/>
    </xf>
    <xf numFmtId="0" fontId="17" fillId="0" borderId="0" xfId="0" applyFont="1" applyAlignment="1">
      <alignment wrapText="1"/>
    </xf>
    <xf numFmtId="0" fontId="17" fillId="0" borderId="0" xfId="0" applyFont="1" applyBorder="1" applyAlignment="1">
      <alignment wrapText="1"/>
    </xf>
    <xf numFmtId="0" fontId="18" fillId="0" borderId="13" xfId="0" applyFont="1" applyBorder="1" applyAlignment="1">
      <alignment horizontal="center" vertical="center" wrapText="1"/>
    </xf>
    <xf numFmtId="0" fontId="18" fillId="0" borderId="44" xfId="0" applyFont="1" applyBorder="1" applyAlignment="1">
      <alignment horizontal="center" vertical="center" wrapText="1"/>
    </xf>
    <xf numFmtId="164" fontId="0" fillId="18" borderId="71" xfId="0" applyNumberFormat="1" applyFill="1" applyBorder="1" applyAlignment="1" applyProtection="1">
      <alignment horizontal="center" vertical="center"/>
      <protection locked="0"/>
    </xf>
    <xf numFmtId="164" fontId="0" fillId="18" borderId="109" xfId="0" applyNumberFormat="1" applyFill="1" applyBorder="1" applyAlignment="1" applyProtection="1">
      <alignment horizontal="center" vertical="center"/>
      <protection locked="0"/>
    </xf>
    <xf numFmtId="164" fontId="0" fillId="18" borderId="110" xfId="0" applyNumberFormat="1" applyFill="1" applyBorder="1" applyAlignment="1" applyProtection="1">
      <alignment horizontal="center" vertical="center"/>
      <protection locked="0"/>
    </xf>
    <xf numFmtId="164" fontId="0" fillId="12" borderId="75" xfId="0" applyNumberFormat="1" applyFill="1" applyBorder="1" applyAlignment="1" applyProtection="1">
      <alignment horizontal="center" vertical="center"/>
      <protection locked="0"/>
    </xf>
    <xf numFmtId="164" fontId="0" fillId="12" borderId="76" xfId="0" applyNumberFormat="1" applyFill="1" applyBorder="1" applyAlignment="1" applyProtection="1">
      <alignment horizontal="center" vertical="center"/>
      <protection locked="0"/>
    </xf>
    <xf numFmtId="164" fontId="0" fillId="12" borderId="77" xfId="0" applyNumberFormat="1" applyFill="1" applyBorder="1" applyAlignment="1" applyProtection="1">
      <alignment horizontal="center" vertical="center"/>
      <protection locked="0"/>
    </xf>
    <xf numFmtId="164" fontId="0" fillId="18" borderId="76" xfId="0" applyNumberFormat="1" applyFill="1" applyBorder="1" applyAlignment="1" applyProtection="1">
      <alignment horizontal="center" vertical="center"/>
      <protection locked="0"/>
    </xf>
    <xf numFmtId="0" fontId="61" fillId="0" borderId="0" xfId="0" applyFont="1" applyAlignment="1">
      <alignment horizontal="center" vertical="center"/>
    </xf>
    <xf numFmtId="0" fontId="61" fillId="0" borderId="64" xfId="0" applyFont="1" applyBorder="1" applyAlignment="1">
      <alignment horizontal="center" vertical="center"/>
    </xf>
    <xf numFmtId="0" fontId="61" fillId="0" borderId="15" xfId="0" applyFont="1" applyBorder="1" applyAlignment="1">
      <alignment horizontal="center" vertical="center"/>
    </xf>
    <xf numFmtId="0" fontId="61" fillId="0" borderId="47" xfId="0" applyFont="1" applyBorder="1" applyAlignment="1">
      <alignment horizontal="center" vertical="center"/>
    </xf>
    <xf numFmtId="0" fontId="61" fillId="0" borderId="0" xfId="0" applyFont="1" applyAlignment="1">
      <alignment horizontal="left" vertical="center"/>
    </xf>
    <xf numFmtId="1" fontId="61" fillId="0" borderId="0" xfId="0" applyNumberFormat="1" applyFont="1" applyAlignment="1">
      <alignment horizontal="center" vertical="center" wrapText="1"/>
    </xf>
    <xf numFmtId="0" fontId="61" fillId="0" borderId="62" xfId="0" applyFont="1" applyBorder="1" applyAlignment="1">
      <alignment horizontal="right" vertical="center"/>
    </xf>
    <xf numFmtId="0" fontId="61" fillId="0" borderId="60" xfId="0" applyFont="1" applyBorder="1" applyAlignment="1">
      <alignment horizontal="right" vertical="center"/>
    </xf>
    <xf numFmtId="0" fontId="61" fillId="0" borderId="0" xfId="0" applyFont="1" applyAlignment="1">
      <alignment horizontal="right" vertical="center"/>
    </xf>
    <xf numFmtId="0" fontId="61" fillId="0" borderId="38" xfId="0" applyFont="1" applyBorder="1" applyAlignment="1">
      <alignment horizontal="right" vertical="center"/>
    </xf>
    <xf numFmtId="0" fontId="51" fillId="0" borderId="0" xfId="0" quotePrefix="1" applyFont="1" applyAlignment="1">
      <alignment horizontal="justify" vertical="top" wrapText="1"/>
    </xf>
    <xf numFmtId="0" fontId="0" fillId="0" borderId="0" xfId="0" applyFont="1" applyProtection="1">
      <protection locked="0"/>
    </xf>
    <xf numFmtId="0" fontId="50" fillId="0" borderId="0" xfId="0" applyFont="1" applyAlignment="1">
      <alignment horizontal="justify" vertical="center" wrapText="1"/>
    </xf>
    <xf numFmtId="0" fontId="0" fillId="0" borderId="0" xfId="0" applyFill="1" applyBorder="1" applyAlignment="1" applyProtection="1">
      <alignment horizontal="justify" vertical="top"/>
      <protection locked="0"/>
    </xf>
    <xf numFmtId="0" fontId="0" fillId="0" borderId="1" xfId="0" applyFill="1" applyBorder="1" applyAlignment="1" applyProtection="1">
      <alignment horizontal="justify" vertical="top"/>
      <protection locked="0"/>
    </xf>
    <xf numFmtId="0" fontId="0" fillId="0" borderId="2" xfId="0" applyFill="1" applyBorder="1" applyAlignment="1" applyProtection="1">
      <alignment horizontal="justify" vertical="top"/>
      <protection locked="0"/>
    </xf>
    <xf numFmtId="0" fontId="0" fillId="0" borderId="3" xfId="0" applyFill="1" applyBorder="1" applyAlignment="1" applyProtection="1">
      <alignment horizontal="justify" vertical="top"/>
      <protection locked="0"/>
    </xf>
    <xf numFmtId="0" fontId="0" fillId="0" borderId="33" xfId="0" applyFill="1" applyBorder="1" applyAlignment="1" applyProtection="1">
      <alignment horizontal="justify" vertical="top"/>
      <protection locked="0"/>
    </xf>
    <xf numFmtId="0" fontId="0" fillId="0" borderId="34" xfId="0" applyFill="1" applyBorder="1" applyAlignment="1" applyProtection="1">
      <alignment horizontal="justify" vertical="top"/>
      <protection locked="0"/>
    </xf>
    <xf numFmtId="0" fontId="0" fillId="0" borderId="4" xfId="0" applyFill="1" applyBorder="1" applyAlignment="1" applyProtection="1">
      <alignment horizontal="justify" vertical="top"/>
      <protection locked="0"/>
    </xf>
    <xf numFmtId="0" fontId="0" fillId="0" borderId="5" xfId="0" applyFill="1" applyBorder="1" applyAlignment="1" applyProtection="1">
      <alignment horizontal="justify" vertical="top"/>
      <protection locked="0"/>
    </xf>
    <xf numFmtId="0" fontId="0" fillId="0" borderId="6" xfId="0" applyFill="1" applyBorder="1" applyAlignment="1" applyProtection="1">
      <alignment horizontal="justify" vertical="top"/>
      <protection locked="0"/>
    </xf>
    <xf numFmtId="1" fontId="18" fillId="0" borderId="27" xfId="0" applyNumberFormat="1" applyFont="1" applyBorder="1" applyAlignment="1">
      <alignment vertical="center" wrapText="1"/>
    </xf>
    <xf numFmtId="0" fontId="17" fillId="0" borderId="60" xfId="0" applyFont="1" applyBorder="1" applyAlignment="1">
      <alignment wrapText="1"/>
    </xf>
    <xf numFmtId="0" fontId="50" fillId="0" borderId="60" xfId="0" applyFont="1" applyBorder="1" applyAlignment="1">
      <alignment wrapText="1"/>
    </xf>
    <xf numFmtId="0" fontId="50" fillId="0" borderId="0" xfId="0" applyFont="1" applyBorder="1" applyAlignment="1">
      <alignment wrapText="1"/>
    </xf>
    <xf numFmtId="0" fontId="50" fillId="0" borderId="34" xfId="0" applyFont="1" applyBorder="1" applyAlignment="1">
      <alignment wrapText="1"/>
    </xf>
    <xf numFmtId="0" fontId="17" fillId="0" borderId="34" xfId="0" applyFont="1" applyBorder="1" applyAlignment="1">
      <alignment wrapText="1"/>
    </xf>
    <xf numFmtId="0" fontId="51" fillId="0" borderId="0" xfId="0" quotePrefix="1" applyFont="1" applyAlignment="1">
      <alignment vertical="top" wrapText="1"/>
    </xf>
    <xf numFmtId="0" fontId="0" fillId="2" borderId="56" xfId="0" applyFill="1" applyBorder="1" applyAlignment="1" applyProtection="1">
      <alignment horizontal="left" vertical="center"/>
      <protection locked="0"/>
    </xf>
    <xf numFmtId="0" fontId="0" fillId="2" borderId="57" xfId="0" applyFill="1" applyBorder="1" applyAlignment="1" applyProtection="1">
      <alignment horizontal="left" vertical="center"/>
      <protection locked="0"/>
    </xf>
    <xf numFmtId="0" fontId="50" fillId="0" borderId="60" xfId="0" applyFont="1" applyBorder="1" applyAlignment="1">
      <alignment horizontal="justify" vertical="center" wrapText="1"/>
    </xf>
    <xf numFmtId="0" fontId="50" fillId="0" borderId="0" xfId="0" applyFont="1" applyAlignment="1">
      <alignment horizontal="justify" vertical="center" wrapText="1"/>
    </xf>
    <xf numFmtId="0" fontId="62" fillId="0" borderId="34" xfId="0" applyFont="1" applyBorder="1" applyAlignment="1">
      <alignment vertical="center" wrapText="1"/>
    </xf>
    <xf numFmtId="0" fontId="0" fillId="2" borderId="56" xfId="0" applyFill="1" applyBorder="1" applyAlignment="1" applyProtection="1">
      <alignment horizontal="left" vertical="center"/>
      <protection locked="0"/>
    </xf>
    <xf numFmtId="11" fontId="33" fillId="13" borderId="27" xfId="0" applyNumberFormat="1" applyFont="1" applyFill="1" applyBorder="1" applyAlignment="1" applyProtection="1">
      <alignment horizontal="center" vertical="center" wrapText="1"/>
      <protection locked="0"/>
    </xf>
    <xf numFmtId="11" fontId="33" fillId="13" borderId="52" xfId="0" applyNumberFormat="1" applyFont="1" applyFill="1" applyBorder="1" applyAlignment="1" applyProtection="1">
      <alignment horizontal="center" vertical="center" wrapText="1"/>
      <protection locked="0"/>
    </xf>
    <xf numFmtId="11" fontId="33" fillId="19" borderId="27" xfId="0" applyNumberFormat="1" applyFont="1" applyFill="1" applyBorder="1" applyAlignment="1">
      <alignment horizontal="center" vertical="center" wrapText="1"/>
    </xf>
    <xf numFmtId="11" fontId="33" fillId="0" borderId="27" xfId="0" applyNumberFormat="1" applyFont="1" applyFill="1" applyBorder="1" applyAlignment="1">
      <alignment horizontal="center" vertical="center" wrapText="1"/>
    </xf>
    <xf numFmtId="164" fontId="33" fillId="13" borderId="25" xfId="0" applyNumberFormat="1" applyFont="1" applyFill="1" applyBorder="1" applyAlignment="1" applyProtection="1">
      <alignment horizontal="center" vertical="center" wrapText="1"/>
      <protection locked="0"/>
    </xf>
    <xf numFmtId="1" fontId="33" fillId="13" borderId="47" xfId="0" applyNumberFormat="1" applyFont="1" applyFill="1" applyBorder="1" applyAlignment="1" applyProtection="1">
      <alignment horizontal="center" vertical="center" wrapText="1"/>
      <protection locked="0"/>
    </xf>
    <xf numFmtId="164" fontId="33" fillId="13" borderId="15" xfId="0" applyNumberFormat="1" applyFont="1" applyFill="1" applyBorder="1" applyAlignment="1" applyProtection="1">
      <alignment horizontal="center" vertical="center" wrapText="1"/>
      <protection locked="0"/>
    </xf>
    <xf numFmtId="1" fontId="33" fillId="13" borderId="27" xfId="0" applyNumberFormat="1" applyFont="1" applyFill="1" applyBorder="1" applyAlignment="1" applyProtection="1">
      <alignment horizontal="center" vertical="center" wrapText="1"/>
      <protection locked="0"/>
    </xf>
    <xf numFmtId="164" fontId="33" fillId="13" borderId="23" xfId="0" applyNumberFormat="1" applyFont="1" applyFill="1" applyBorder="1" applyAlignment="1" applyProtection="1">
      <alignment horizontal="center" vertical="center" wrapText="1"/>
      <protection locked="0"/>
    </xf>
    <xf numFmtId="1" fontId="33" fillId="13" borderId="48" xfId="0" applyNumberFormat="1" applyFont="1" applyFill="1" applyBorder="1" applyAlignment="1" applyProtection="1">
      <alignment horizontal="center" vertical="center" wrapText="1"/>
      <protection locked="0"/>
    </xf>
    <xf numFmtId="164" fontId="33" fillId="3" borderId="25" xfId="0" applyNumberFormat="1" applyFont="1" applyFill="1" applyBorder="1" applyAlignment="1" applyProtection="1">
      <alignment horizontal="center" vertical="center" wrapText="1"/>
      <protection locked="0"/>
    </xf>
    <xf numFmtId="1" fontId="33" fillId="3" borderId="27" xfId="0" applyNumberFormat="1" applyFont="1" applyFill="1" applyBorder="1" applyAlignment="1" applyProtection="1">
      <alignment horizontal="center" vertical="center" wrapText="1"/>
      <protection locked="0"/>
    </xf>
    <xf numFmtId="11" fontId="33" fillId="3" borderId="27" xfId="0" applyNumberFormat="1" applyFont="1" applyFill="1" applyBorder="1" applyAlignment="1" applyProtection="1">
      <alignment horizontal="center" vertical="center" wrapText="1"/>
      <protection locked="0"/>
    </xf>
    <xf numFmtId="11" fontId="33" fillId="3" borderId="52" xfId="0" applyNumberFormat="1" applyFont="1" applyFill="1" applyBorder="1" applyAlignment="1" applyProtection="1">
      <alignment horizontal="center" vertical="center" wrapText="1"/>
      <protection locked="0"/>
    </xf>
    <xf numFmtId="164" fontId="33" fillId="3" borderId="27" xfId="0" applyNumberFormat="1" applyFont="1" applyFill="1" applyBorder="1" applyAlignment="1" applyProtection="1">
      <alignment horizontal="center" vertical="center" wrapText="1"/>
      <protection locked="0"/>
    </xf>
    <xf numFmtId="164" fontId="33" fillId="3" borderId="50" xfId="0" applyNumberFormat="1" applyFont="1" applyFill="1" applyBorder="1" applyAlignment="1" applyProtection="1">
      <alignment horizontal="center" vertical="center" wrapText="1"/>
      <protection locked="0"/>
    </xf>
    <xf numFmtId="1" fontId="33" fillId="3" borderId="52" xfId="0" applyNumberFormat="1" applyFont="1" applyFill="1" applyBorder="1" applyAlignment="1" applyProtection="1">
      <alignment horizontal="center" vertical="center" wrapText="1"/>
      <protection locked="0"/>
    </xf>
    <xf numFmtId="164" fontId="33" fillId="3" borderId="52" xfId="0" applyNumberFormat="1" applyFont="1" applyFill="1" applyBorder="1" applyAlignment="1" applyProtection="1">
      <alignment horizontal="center" vertical="center" wrapText="1"/>
      <protection locked="0"/>
    </xf>
    <xf numFmtId="1" fontId="33" fillId="3" borderId="47" xfId="0" applyNumberFormat="1" applyFont="1" applyFill="1" applyBorder="1" applyAlignment="1" applyProtection="1">
      <alignment horizontal="center" vertical="center" wrapText="1"/>
      <protection locked="0"/>
    </xf>
    <xf numFmtId="164" fontId="33" fillId="3" borderId="15" xfId="0" applyNumberFormat="1" applyFont="1" applyFill="1" applyBorder="1" applyAlignment="1" applyProtection="1">
      <alignment horizontal="center" vertical="center" wrapText="1"/>
      <protection locked="0"/>
    </xf>
    <xf numFmtId="1" fontId="33" fillId="3" borderId="51" xfId="0" applyNumberFormat="1" applyFont="1" applyFill="1" applyBorder="1" applyAlignment="1" applyProtection="1">
      <alignment horizontal="center" vertical="center" wrapText="1"/>
      <protection locked="0"/>
    </xf>
    <xf numFmtId="164" fontId="33" fillId="3" borderId="57" xfId="0" applyNumberFormat="1" applyFont="1" applyFill="1" applyBorder="1" applyAlignment="1" applyProtection="1">
      <alignment horizontal="center" vertical="center" wrapText="1"/>
      <protection locked="0"/>
    </xf>
    <xf numFmtId="1" fontId="33" fillId="3" borderId="15" xfId="0" applyNumberFormat="1" applyFont="1" applyFill="1" applyBorder="1" applyAlignment="1" applyProtection="1">
      <alignment horizontal="center" vertical="center" wrapText="1"/>
      <protection locked="0"/>
    </xf>
    <xf numFmtId="1" fontId="33" fillId="3" borderId="57" xfId="0" applyNumberFormat="1" applyFont="1" applyFill="1" applyBorder="1" applyAlignment="1" applyProtection="1">
      <alignment horizontal="center" vertical="center" wrapText="1"/>
      <protection locked="0"/>
    </xf>
    <xf numFmtId="11" fontId="77" fillId="3" borderId="27" xfId="0" applyNumberFormat="1" applyFont="1" applyFill="1" applyBorder="1" applyAlignment="1" applyProtection="1">
      <alignment horizontal="center" vertical="center" wrapText="1"/>
      <protection locked="0"/>
    </xf>
    <xf numFmtId="11" fontId="77" fillId="3" borderId="52" xfId="0" applyNumberFormat="1" applyFont="1" applyFill="1" applyBorder="1" applyAlignment="1" applyProtection="1">
      <alignment horizontal="center" vertical="center" wrapText="1"/>
      <protection locked="0"/>
    </xf>
    <xf numFmtId="1" fontId="33" fillId="0" borderId="27" xfId="0" applyNumberFormat="1" applyFont="1" applyFill="1" applyBorder="1" applyAlignment="1" applyProtection="1">
      <alignment horizontal="center" vertical="center" wrapText="1"/>
      <protection locked="0"/>
    </xf>
    <xf numFmtId="1" fontId="33" fillId="0" borderId="52" xfId="0" applyNumberFormat="1" applyFont="1" applyFill="1" applyBorder="1" applyAlignment="1" applyProtection="1">
      <alignment horizontal="center" vertical="center" wrapText="1"/>
      <protection locked="0"/>
    </xf>
    <xf numFmtId="11" fontId="33" fillId="20" borderId="35" xfId="0" applyNumberFormat="1" applyFont="1" applyFill="1" applyBorder="1" applyAlignment="1">
      <alignment horizontal="center" vertical="center" wrapText="1"/>
    </xf>
    <xf numFmtId="0" fontId="33" fillId="20" borderId="69" xfId="0" applyFont="1" applyFill="1" applyBorder="1" applyAlignment="1">
      <alignment horizontal="center" vertical="center" wrapText="1"/>
    </xf>
    <xf numFmtId="10" fontId="33" fillId="20" borderId="37" xfId="0" applyNumberFormat="1" applyFont="1" applyFill="1" applyBorder="1" applyAlignment="1">
      <alignment horizontal="center" vertical="center" wrapText="1"/>
    </xf>
    <xf numFmtId="0" fontId="33" fillId="20" borderId="13" xfId="0" applyFont="1" applyFill="1" applyBorder="1" applyAlignment="1">
      <alignment horizontal="center" vertical="center" wrapText="1"/>
    </xf>
    <xf numFmtId="0" fontId="33" fillId="20" borderId="19" xfId="0" applyFont="1" applyFill="1" applyBorder="1" applyAlignment="1">
      <alignment horizontal="center" vertical="center" wrapText="1"/>
    </xf>
    <xf numFmtId="0" fontId="33" fillId="20" borderId="8" xfId="0" applyFont="1" applyFill="1" applyBorder="1" applyAlignment="1">
      <alignment horizontal="center" vertical="center" wrapText="1"/>
    </xf>
    <xf numFmtId="0" fontId="33" fillId="20" borderId="58" xfId="0" applyFont="1" applyFill="1" applyBorder="1" applyAlignment="1">
      <alignment horizontal="center" vertical="center" wrapText="1"/>
    </xf>
    <xf numFmtId="10" fontId="33" fillId="20" borderId="58" xfId="1" applyNumberFormat="1" applyFont="1" applyFill="1" applyBorder="1" applyAlignment="1">
      <alignment horizontal="center" vertical="center" wrapText="1"/>
    </xf>
    <xf numFmtId="0" fontId="33" fillId="21" borderId="48" xfId="0" applyFont="1" applyFill="1" applyBorder="1" applyAlignment="1">
      <alignment horizontal="center" vertical="center" wrapText="1"/>
    </xf>
    <xf numFmtId="0" fontId="33" fillId="21" borderId="5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164" fontId="33" fillId="21" borderId="17" xfId="0" applyNumberFormat="1" applyFont="1" applyFill="1" applyBorder="1" applyAlignment="1">
      <alignment horizontal="center" vertical="center" wrapText="1"/>
    </xf>
    <xf numFmtId="2" fontId="33" fillId="21" borderId="52" xfId="0" applyNumberFormat="1" applyFont="1" applyFill="1" applyBorder="1" applyAlignment="1">
      <alignment horizontal="center" vertical="center" wrapText="1"/>
    </xf>
    <xf numFmtId="0" fontId="33" fillId="21" borderId="8" xfId="0" applyFont="1" applyFill="1" applyBorder="1" applyAlignment="1">
      <alignment horizontal="center" vertical="center" wrapText="1"/>
    </xf>
    <xf numFmtId="0" fontId="0" fillId="5" borderId="67" xfId="0" applyFill="1" applyBorder="1" applyAlignment="1">
      <alignment horizontal="center" vertical="center" wrapText="1"/>
    </xf>
    <xf numFmtId="164" fontId="33" fillId="0" borderId="54" xfId="0" applyNumberFormat="1" applyFont="1" applyBorder="1" applyAlignment="1" applyProtection="1">
      <alignment horizontal="center" vertical="center" wrapText="1"/>
      <protection locked="0"/>
    </xf>
    <xf numFmtId="164" fontId="33" fillId="0" borderId="46" xfId="0" applyNumberFormat="1" applyFont="1" applyBorder="1" applyAlignment="1" applyProtection="1">
      <alignment horizontal="center" vertical="center" wrapText="1"/>
      <protection locked="0"/>
    </xf>
    <xf numFmtId="0" fontId="0" fillId="5" borderId="124" xfId="0" applyFill="1" applyBorder="1" applyAlignment="1">
      <alignment horizontal="center" vertical="center" wrapText="1"/>
    </xf>
    <xf numFmtId="0" fontId="33" fillId="5" borderId="125" xfId="0" applyFont="1" applyFill="1" applyBorder="1" applyAlignment="1">
      <alignment horizontal="center" vertical="center" wrapText="1"/>
    </xf>
    <xf numFmtId="0" fontId="0" fillId="5" borderId="126" xfId="0" applyFill="1" applyBorder="1" applyAlignment="1">
      <alignment horizontal="center" vertical="center" wrapText="1"/>
    </xf>
    <xf numFmtId="0" fontId="0" fillId="5" borderId="125" xfId="0" applyFill="1" applyBorder="1" applyAlignment="1">
      <alignment horizontal="center" vertical="center" wrapText="1"/>
    </xf>
    <xf numFmtId="0" fontId="0" fillId="5" borderId="127" xfId="0" applyFill="1" applyBorder="1" applyAlignment="1">
      <alignment horizontal="center" vertical="center" wrapText="1"/>
    </xf>
    <xf numFmtId="164" fontId="33" fillId="0" borderId="128" xfId="0" applyNumberFormat="1" applyFont="1" applyBorder="1" applyAlignment="1" applyProtection="1">
      <alignment horizontal="center" vertical="center" wrapText="1"/>
      <protection locked="0"/>
    </xf>
    <xf numFmtId="11" fontId="33" fillId="0" borderId="129" xfId="0" applyNumberFormat="1" applyFont="1" applyBorder="1" applyAlignment="1">
      <alignment horizontal="center" vertical="center" wrapText="1"/>
    </xf>
    <xf numFmtId="164" fontId="33" fillId="0" borderId="130" xfId="0" applyNumberFormat="1" applyFont="1" applyBorder="1" applyAlignment="1" applyProtection="1">
      <alignment horizontal="center" vertical="center" wrapText="1"/>
      <protection locked="0"/>
    </xf>
    <xf numFmtId="1" fontId="33" fillId="0" borderId="131" xfId="0" applyNumberFormat="1" applyFont="1" applyBorder="1" applyAlignment="1" applyProtection="1">
      <alignment horizontal="center" vertical="center" wrapText="1"/>
      <protection locked="0"/>
    </xf>
    <xf numFmtId="11" fontId="33" fillId="0" borderId="131" xfId="0" applyNumberFormat="1" applyFont="1" applyBorder="1" applyAlignment="1" applyProtection="1">
      <alignment horizontal="center" vertical="center" wrapText="1"/>
      <protection locked="0"/>
    </xf>
    <xf numFmtId="2" fontId="33" fillId="0" borderId="131" xfId="0" applyNumberFormat="1" applyFont="1" applyBorder="1" applyAlignment="1" applyProtection="1">
      <alignment horizontal="center" vertical="center" wrapText="1"/>
      <protection locked="0"/>
    </xf>
    <xf numFmtId="15" fontId="33" fillId="0" borderId="131" xfId="0" applyNumberFormat="1" applyFont="1" applyBorder="1" applyAlignment="1" applyProtection="1">
      <alignment horizontal="center" vertical="center" wrapText="1"/>
      <protection locked="0"/>
    </xf>
    <xf numFmtId="11" fontId="33" fillId="0" borderId="132" xfId="0" applyNumberFormat="1" applyFont="1" applyBorder="1" applyAlignment="1">
      <alignment horizontal="center" vertical="center" wrapText="1"/>
    </xf>
    <xf numFmtId="11" fontId="33" fillId="0" borderId="131" xfId="0" applyNumberFormat="1" applyFont="1" applyBorder="1" applyAlignment="1">
      <alignment horizontal="center" vertical="center" wrapText="1"/>
    </xf>
    <xf numFmtId="11" fontId="33" fillId="0" borderId="133" xfId="0" applyNumberFormat="1" applyFont="1" applyBorder="1" applyAlignment="1">
      <alignment horizontal="center" vertical="center" wrapText="1"/>
    </xf>
    <xf numFmtId="0" fontId="72" fillId="7" borderId="3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3" fillId="0" borderId="134" xfId="0" applyFont="1" applyBorder="1" applyAlignment="1">
      <alignment horizontal="center" vertical="center" wrapText="1"/>
    </xf>
    <xf numFmtId="0" fontId="33" fillId="0" borderId="135" xfId="0" applyFont="1" applyBorder="1" applyAlignment="1">
      <alignment horizontal="center" vertical="center" wrapText="1"/>
    </xf>
    <xf numFmtId="11" fontId="33" fillId="4" borderId="135" xfId="0" applyNumberFormat="1" applyFont="1" applyFill="1" applyBorder="1" applyAlignment="1">
      <alignment horizontal="center" vertical="center" wrapText="1"/>
    </xf>
    <xf numFmtId="0" fontId="33" fillId="4" borderId="135" xfId="0" applyFont="1" applyFill="1" applyBorder="1" applyAlignment="1">
      <alignment horizontal="center" vertical="center" wrapText="1"/>
    </xf>
    <xf numFmtId="2" fontId="33" fillId="4" borderId="136" xfId="0" applyNumberFormat="1" applyFont="1" applyFill="1" applyBorder="1" applyAlignment="1">
      <alignment horizontal="center" vertical="center" wrapText="1"/>
    </xf>
    <xf numFmtId="0" fontId="33" fillId="0" borderId="137" xfId="0" applyFont="1" applyBorder="1" applyAlignment="1">
      <alignment horizontal="center" vertical="center" wrapText="1"/>
    </xf>
    <xf numFmtId="0" fontId="33" fillId="0" borderId="138" xfId="0" applyFont="1" applyBorder="1" applyAlignment="1">
      <alignment horizontal="center" vertical="center" wrapText="1"/>
    </xf>
    <xf numFmtId="11" fontId="33" fillId="4" borderId="138" xfId="0" applyNumberFormat="1" applyFont="1" applyFill="1" applyBorder="1" applyAlignment="1">
      <alignment horizontal="center" vertical="center" wrapText="1"/>
    </xf>
    <xf numFmtId="0" fontId="33" fillId="4" borderId="138" xfId="0" applyFont="1" applyFill="1" applyBorder="1" applyAlignment="1">
      <alignment horizontal="center" vertical="center" wrapText="1"/>
    </xf>
    <xf numFmtId="2" fontId="33" fillId="4" borderId="139" xfId="0" applyNumberFormat="1" applyFont="1" applyFill="1" applyBorder="1" applyAlignment="1">
      <alignment horizontal="center" vertical="center" wrapText="1"/>
    </xf>
    <xf numFmtId="11" fontId="33" fillId="22" borderId="38" xfId="0" applyNumberFormat="1" applyFont="1" applyFill="1" applyBorder="1" applyAlignment="1">
      <alignment horizontal="center" vertical="center" wrapText="1"/>
    </xf>
    <xf numFmtId="11" fontId="33" fillId="22" borderId="52" xfId="0" applyNumberFormat="1" applyFont="1" applyFill="1" applyBorder="1" applyAlignment="1">
      <alignment horizontal="center" vertical="center" wrapText="1"/>
    </xf>
    <xf numFmtId="11" fontId="33" fillId="22" borderId="56" xfId="0" applyNumberFormat="1" applyFont="1" applyFill="1" applyBorder="1" applyAlignment="1">
      <alignment horizontal="center" vertical="center" wrapText="1"/>
    </xf>
    <xf numFmtId="0" fontId="33" fillId="22" borderId="52" xfId="0" applyFont="1" applyFill="1" applyBorder="1" applyAlignment="1">
      <alignment horizontal="center" vertical="center" wrapText="1"/>
    </xf>
    <xf numFmtId="11" fontId="33" fillId="23" borderId="27" xfId="0" applyNumberFormat="1" applyFont="1" applyFill="1" applyBorder="1" applyAlignment="1">
      <alignment horizontal="center" vertical="center" wrapText="1"/>
    </xf>
    <xf numFmtId="11" fontId="33" fillId="23" borderId="52" xfId="0" applyNumberFormat="1" applyFont="1" applyFill="1" applyBorder="1" applyAlignment="1" applyProtection="1">
      <alignment horizontal="center" vertical="center" wrapText="1"/>
      <protection locked="0"/>
    </xf>
    <xf numFmtId="2" fontId="33" fillId="23" borderId="52" xfId="0" applyNumberFormat="1" applyFont="1" applyFill="1" applyBorder="1" applyAlignment="1">
      <alignment horizontal="center" vertical="center" wrapText="1"/>
    </xf>
    <xf numFmtId="11" fontId="33" fillId="23" borderId="57" xfId="0" applyNumberFormat="1" applyFont="1" applyFill="1" applyBorder="1" applyAlignment="1">
      <alignment horizontal="center" vertical="center" wrapText="1"/>
    </xf>
    <xf numFmtId="11" fontId="33" fillId="23" borderId="27" xfId="0" applyNumberFormat="1" applyFont="1" applyFill="1" applyBorder="1" applyAlignment="1" applyProtection="1">
      <alignment horizontal="center" vertical="center" wrapText="1"/>
      <protection locked="0"/>
    </xf>
    <xf numFmtId="0" fontId="33" fillId="24" borderId="27" xfId="0" applyFont="1" applyFill="1" applyBorder="1" applyAlignment="1">
      <alignment horizontal="center" vertical="center" wrapText="1"/>
    </xf>
    <xf numFmtId="11" fontId="33" fillId="24" borderId="52" xfId="0" applyNumberFormat="1" applyFont="1" applyFill="1" applyBorder="1" applyAlignment="1">
      <alignment horizontal="center" vertical="center" wrapText="1"/>
    </xf>
    <xf numFmtId="11" fontId="33" fillId="24" borderId="55" xfId="0" applyNumberFormat="1" applyFont="1" applyFill="1" applyBorder="1" applyAlignment="1">
      <alignment horizontal="center" vertical="center" wrapText="1"/>
    </xf>
    <xf numFmtId="164" fontId="33" fillId="25" borderId="50" xfId="0" applyNumberFormat="1" applyFont="1" applyFill="1" applyBorder="1" applyAlignment="1" applyProtection="1">
      <alignment horizontal="center" vertical="center" wrapText="1"/>
      <protection locked="0"/>
    </xf>
    <xf numFmtId="1" fontId="33" fillId="25" borderId="52" xfId="0" applyNumberFormat="1" applyFont="1" applyFill="1" applyBorder="1" applyAlignment="1" applyProtection="1">
      <alignment horizontal="center" vertical="center" wrapText="1"/>
      <protection locked="0"/>
    </xf>
    <xf numFmtId="11" fontId="33" fillId="25" borderId="52" xfId="0" applyNumberFormat="1" applyFont="1" applyFill="1" applyBorder="1" applyAlignment="1" applyProtection="1">
      <alignment horizontal="center" vertical="center" wrapText="1"/>
      <protection locked="0"/>
    </xf>
    <xf numFmtId="11" fontId="33" fillId="26" borderId="27" xfId="0" applyNumberFormat="1" applyFont="1" applyFill="1" applyBorder="1" applyAlignment="1">
      <alignment horizontal="center" vertical="center" wrapText="1"/>
    </xf>
    <xf numFmtId="11" fontId="33" fillId="26" borderId="52" xfId="0" applyNumberFormat="1" applyFont="1" applyFill="1" applyBorder="1" applyAlignment="1">
      <alignment horizontal="center" vertical="center" wrapText="1"/>
    </xf>
    <xf numFmtId="0" fontId="33" fillId="25" borderId="0" xfId="0" applyFont="1" applyFill="1" applyAlignment="1">
      <alignment horizontal="center" vertical="center" wrapText="1"/>
    </xf>
    <xf numFmtId="0" fontId="33" fillId="22" borderId="0" xfId="0" applyFont="1" applyFill="1" applyAlignment="1">
      <alignment horizontal="center" vertical="center" wrapText="1"/>
    </xf>
    <xf numFmtId="164" fontId="33" fillId="25" borderId="0" xfId="0" applyNumberFormat="1" applyFont="1" applyFill="1" applyAlignment="1" applyProtection="1">
      <alignment horizontal="center" vertical="center" wrapText="1"/>
      <protection locked="0"/>
    </xf>
    <xf numFmtId="11" fontId="33" fillId="23" borderId="0" xfId="0" applyNumberFormat="1" applyFont="1" applyFill="1" applyAlignment="1">
      <alignment horizontal="center" vertical="center" wrapText="1"/>
    </xf>
    <xf numFmtId="11" fontId="33" fillId="23" borderId="5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2" xfId="0" applyBorder="1" applyAlignment="1">
      <alignment horizontal="center" vertical="center" wrapText="1"/>
    </xf>
    <xf numFmtId="2" fontId="0" fillId="0" borderId="0" xfId="0" quotePrefix="1" applyNumberFormat="1" applyAlignment="1">
      <alignment horizontal="justify" vertical="center" wrapText="1"/>
    </xf>
    <xf numFmtId="167" fontId="0" fillId="0" borderId="0" xfId="0" applyNumberFormat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0" fontId="0" fillId="0" borderId="57" xfId="0" applyBorder="1" applyAlignment="1">
      <alignment horizontal="center" vertical="center"/>
    </xf>
    <xf numFmtId="0" fontId="0" fillId="0" borderId="0" xfId="0" applyBorder="1"/>
    <xf numFmtId="0" fontId="0" fillId="2" borderId="56" xfId="0" quotePrefix="1" applyFill="1" applyBorder="1" applyAlignment="1" applyProtection="1">
      <alignment horizontal="left" vertical="center"/>
      <protection locked="0"/>
    </xf>
    <xf numFmtId="0" fontId="0" fillId="7" borderId="56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3" fillId="5" borderId="140" xfId="0" applyFont="1" applyFill="1" applyBorder="1" applyAlignment="1">
      <alignment horizontal="center" vertical="center" wrapText="1"/>
    </xf>
    <xf numFmtId="2" fontId="33" fillId="0" borderId="54" xfId="0" applyNumberFormat="1" applyFont="1" applyBorder="1" applyAlignment="1">
      <alignment horizontal="center" vertical="center" wrapText="1"/>
    </xf>
    <xf numFmtId="2" fontId="33" fillId="0" borderId="141" xfId="0" applyNumberFormat="1" applyFont="1" applyBorder="1" applyAlignment="1">
      <alignment horizontal="center" vertical="center" wrapText="1"/>
    </xf>
    <xf numFmtId="0" fontId="0" fillId="5" borderId="142" xfId="0" applyFill="1" applyBorder="1" applyAlignment="1">
      <alignment horizontal="center" vertical="center" wrapText="1"/>
    </xf>
    <xf numFmtId="11" fontId="33" fillId="0" borderId="143" xfId="0" applyNumberFormat="1" applyFont="1" applyBorder="1" applyAlignment="1">
      <alignment horizontal="center" vertical="center" wrapText="1"/>
    </xf>
    <xf numFmtId="11" fontId="33" fillId="0" borderId="144" xfId="0" applyNumberFormat="1" applyFont="1" applyBorder="1" applyAlignment="1">
      <alignment horizontal="center" vertical="center" wrapText="1"/>
    </xf>
    <xf numFmtId="0" fontId="33" fillId="5" borderId="145" xfId="0" applyFont="1" applyFill="1" applyBorder="1" applyAlignment="1">
      <alignment horizontal="center" vertical="center" wrapText="1"/>
    </xf>
    <xf numFmtId="2" fontId="33" fillId="0" borderId="146" xfId="0" applyNumberFormat="1" applyFont="1" applyBorder="1" applyAlignment="1">
      <alignment horizontal="center" vertical="center" wrapText="1"/>
    </xf>
    <xf numFmtId="2" fontId="33" fillId="0" borderId="147" xfId="0" applyNumberFormat="1" applyFont="1" applyBorder="1" applyAlignment="1">
      <alignment horizontal="center" vertical="center" wrapText="1"/>
    </xf>
    <xf numFmtId="0" fontId="78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164" fontId="0" fillId="0" borderId="27" xfId="0" applyNumberFormat="1" applyFont="1" applyBorder="1" applyAlignment="1">
      <alignment horizontal="center" vertical="center" wrapText="1"/>
    </xf>
    <xf numFmtId="2" fontId="0" fillId="0" borderId="27" xfId="0" applyNumberFormat="1" applyFont="1" applyBorder="1" applyAlignment="1">
      <alignment horizontal="center" vertical="center" wrapText="1"/>
    </xf>
    <xf numFmtId="11" fontId="78" fillId="0" borderId="21" xfId="0" applyNumberFormat="1" applyFont="1" applyBorder="1" applyAlignment="1">
      <alignment horizontal="center" vertical="center" wrapText="1"/>
    </xf>
    <xf numFmtId="0" fontId="79" fillId="7" borderId="69" xfId="0" applyFont="1" applyFill="1" applyBorder="1" applyAlignment="1">
      <alignment horizontal="center" vertical="center" wrapText="1"/>
    </xf>
    <xf numFmtId="11" fontId="78" fillId="0" borderId="17" xfId="0" applyNumberFormat="1" applyFont="1" applyBorder="1" applyAlignment="1">
      <alignment horizontal="center" vertical="center" wrapText="1"/>
    </xf>
    <xf numFmtId="11" fontId="77" fillId="4" borderId="52" xfId="0" applyNumberFormat="1" applyFont="1" applyFill="1" applyBorder="1" applyAlignment="1">
      <alignment horizontal="center" vertical="center" wrapText="1"/>
    </xf>
    <xf numFmtId="11" fontId="80" fillId="4" borderId="52" xfId="0" applyNumberFormat="1" applyFont="1" applyFill="1" applyBorder="1" applyAlignment="1">
      <alignment horizontal="center" vertical="center" wrapText="1"/>
    </xf>
    <xf numFmtId="11" fontId="81" fillId="27" borderId="52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0" fillId="0" borderId="0" xfId="0" applyFont="1"/>
    <xf numFmtId="49" fontId="0" fillId="0" borderId="0" xfId="0" applyNumberFormat="1"/>
    <xf numFmtId="49" fontId="0" fillId="0" borderId="0" xfId="0" applyNumberFormat="1" applyFont="1"/>
    <xf numFmtId="0" fontId="77" fillId="4" borderId="52" xfId="0" applyNumberFormat="1" applyFont="1" applyFill="1" applyBorder="1" applyAlignment="1">
      <alignment horizontal="center" vertical="center" wrapText="1"/>
    </xf>
    <xf numFmtId="0" fontId="80" fillId="4" borderId="52" xfId="0" applyNumberFormat="1" applyFont="1" applyFill="1" applyBorder="1" applyAlignment="1">
      <alignment horizontal="center" vertical="center" wrapText="1"/>
    </xf>
    <xf numFmtId="0" fontId="81" fillId="27" borderId="52" xfId="0" applyNumberFormat="1" applyFont="1" applyFill="1" applyBorder="1" applyAlignment="1">
      <alignment horizontal="center" vertical="center" wrapText="1"/>
    </xf>
    <xf numFmtId="49" fontId="80" fillId="0" borderId="0" xfId="0" applyNumberFormat="1" applyFont="1"/>
    <xf numFmtId="14" fontId="1" fillId="0" borderId="148" xfId="0" applyNumberFormat="1" applyFont="1" applyBorder="1" applyAlignment="1">
      <alignment horizontal="center" vertical="center" wrapText="1"/>
    </xf>
    <xf numFmtId="0" fontId="33" fillId="0" borderId="149" xfId="0" applyFont="1" applyBorder="1" applyAlignment="1">
      <alignment horizontal="center" vertical="center" wrapText="1"/>
    </xf>
    <xf numFmtId="0" fontId="0" fillId="0" borderId="150" xfId="0" applyFont="1" applyBorder="1" applyAlignment="1">
      <alignment horizontal="center" vertical="center" wrapText="1"/>
    </xf>
    <xf numFmtId="0" fontId="33" fillId="0" borderId="150" xfId="0" applyFont="1" applyBorder="1" applyAlignment="1">
      <alignment horizontal="center" vertical="center" wrapText="1"/>
    </xf>
    <xf numFmtId="0" fontId="0" fillId="0" borderId="151" xfId="0" applyFont="1" applyBorder="1" applyAlignment="1">
      <alignment horizontal="center" vertical="center" wrapText="1"/>
    </xf>
    <xf numFmtId="0" fontId="78" fillId="0" borderId="151" xfId="0" applyFont="1" applyBorder="1" applyAlignment="1">
      <alignment horizontal="center" vertical="center" wrapText="1"/>
    </xf>
    <xf numFmtId="0" fontId="82" fillId="0" borderId="148" xfId="0" applyFont="1" applyBorder="1" applyAlignment="1">
      <alignment horizontal="center" vertical="center" wrapText="1"/>
    </xf>
    <xf numFmtId="180" fontId="33" fillId="14" borderId="43" xfId="0" quotePrefix="1" applyNumberFormat="1" applyFont="1" applyFill="1" applyBorder="1" applyAlignment="1">
      <alignment horizontal="center" vertical="center" wrapText="1"/>
    </xf>
    <xf numFmtId="180" fontId="33" fillId="14" borderId="48" xfId="0" quotePrefix="1" applyNumberFormat="1" applyFont="1" applyFill="1" applyBorder="1" applyAlignment="1">
      <alignment horizontal="center" vertical="center" wrapText="1"/>
    </xf>
    <xf numFmtId="180" fontId="33" fillId="20" borderId="60" xfId="0" quotePrefix="1" applyNumberFormat="1" applyFont="1" applyFill="1" applyBorder="1" applyAlignment="1">
      <alignment horizontal="center" vertical="center" wrapText="1"/>
    </xf>
    <xf numFmtId="180" fontId="33" fillId="20" borderId="52" xfId="0" quotePrefix="1" applyNumberFormat="1" applyFont="1" applyFill="1" applyBorder="1" applyAlignment="1">
      <alignment horizontal="center" vertical="center" wrapText="1"/>
    </xf>
    <xf numFmtId="180" fontId="33" fillId="14" borderId="17" xfId="0" quotePrefix="1" applyNumberFormat="1" applyFont="1" applyFill="1" applyBorder="1" applyAlignment="1">
      <alignment horizontal="center" vertical="center" wrapText="1"/>
    </xf>
    <xf numFmtId="180" fontId="33" fillId="14" borderId="17" xfId="0" applyNumberFormat="1" applyFont="1" applyFill="1" applyBorder="1" applyAlignment="1">
      <alignment horizontal="center" vertical="center" wrapText="1"/>
    </xf>
    <xf numFmtId="0" fontId="80" fillId="0" borderId="152" xfId="0" applyFont="1" applyBorder="1" applyAlignment="1">
      <alignment horizontal="center" vertical="center" wrapText="1"/>
    </xf>
    <xf numFmtId="0" fontId="80" fillId="0" borderId="153" xfId="0" applyFont="1" applyBorder="1" applyAlignment="1">
      <alignment horizontal="center" vertical="center" wrapText="1"/>
    </xf>
    <xf numFmtId="0" fontId="80" fillId="0" borderId="154" xfId="0" applyFont="1" applyBorder="1" applyAlignment="1">
      <alignment horizontal="center" vertical="center" wrapText="1"/>
    </xf>
    <xf numFmtId="0" fontId="33" fillId="26" borderId="0" xfId="0" applyFont="1" applyFill="1" applyAlignment="1">
      <alignment horizontal="center" vertical="center" wrapText="1"/>
    </xf>
    <xf numFmtId="0" fontId="33" fillId="28" borderId="0" xfId="0" applyFont="1" applyFill="1" applyAlignment="1">
      <alignment horizontal="center" vertical="center" wrapText="1"/>
    </xf>
    <xf numFmtId="15" fontId="80" fillId="25" borderId="52" xfId="0" applyNumberFormat="1" applyFont="1" applyFill="1" applyBorder="1" applyAlignment="1" applyProtection="1">
      <alignment horizontal="center" vertical="center" wrapText="1"/>
      <protection locked="0"/>
    </xf>
    <xf numFmtId="15" fontId="33" fillId="25" borderId="52" xfId="0" applyNumberFormat="1" applyFont="1" applyFill="1" applyBorder="1" applyAlignment="1" applyProtection="1">
      <alignment horizontal="center" vertical="center" wrapText="1"/>
      <protection locked="0"/>
    </xf>
    <xf numFmtId="15" fontId="33" fillId="25" borderId="27" xfId="0" applyNumberFormat="1" applyFont="1" applyFill="1" applyBorder="1" applyAlignment="1" applyProtection="1">
      <alignment horizontal="center" vertical="center" wrapText="1"/>
      <protection locked="0"/>
    </xf>
    <xf numFmtId="0" fontId="33" fillId="0" borderId="0" xfId="0" applyFont="1" applyAlignment="1">
      <alignment horizontal="center" vertical="center" wrapText="1"/>
    </xf>
    <xf numFmtId="0" fontId="33" fillId="0" borderId="0" xfId="0" applyFont="1" applyFill="1" applyAlignment="1">
      <alignment horizontal="center" vertical="center" wrapText="1"/>
    </xf>
    <xf numFmtId="11" fontId="0" fillId="0" borderId="0" xfId="0" applyNumberForma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3" borderId="33" xfId="0" applyFont="1" applyFill="1" applyBorder="1"/>
    <xf numFmtId="182" fontId="80" fillId="4" borderId="27" xfId="0" applyNumberFormat="1" applyFont="1" applyFill="1" applyBorder="1" applyAlignment="1" applyProtection="1">
      <alignment horizontal="center" vertical="center" wrapText="1"/>
      <protection locked="0"/>
    </xf>
    <xf numFmtId="1" fontId="77" fillId="4" borderId="27" xfId="0" applyNumberFormat="1" applyFont="1" applyFill="1" applyBorder="1" applyAlignment="1" applyProtection="1">
      <alignment horizontal="center" vertical="center" wrapText="1"/>
      <protection locked="0"/>
    </xf>
    <xf numFmtId="1" fontId="77" fillId="4" borderId="48" xfId="0" applyNumberFormat="1" applyFont="1" applyFill="1" applyBorder="1" applyAlignment="1" applyProtection="1">
      <alignment horizontal="center" vertical="center" wrapText="1"/>
      <protection locked="0"/>
    </xf>
    <xf numFmtId="15" fontId="80" fillId="4" borderId="48" xfId="0" applyNumberFormat="1" applyFont="1" applyFill="1" applyBorder="1" applyAlignment="1" applyProtection="1">
      <alignment horizontal="center" vertical="center" wrapText="1"/>
      <protection locked="0"/>
    </xf>
    <xf numFmtId="15" fontId="33" fillId="4" borderId="48" xfId="0" applyNumberFormat="1" applyFont="1" applyFill="1" applyBorder="1" applyAlignment="1" applyProtection="1">
      <alignment horizontal="center" vertical="center" wrapText="1"/>
      <protection locked="0"/>
    </xf>
    <xf numFmtId="164" fontId="80" fillId="4" borderId="23" xfId="0" applyNumberFormat="1" applyFont="1" applyFill="1" applyBorder="1" applyAlignment="1" applyProtection="1">
      <alignment horizontal="center" vertical="center" wrapText="1"/>
      <protection locked="0"/>
    </xf>
    <xf numFmtId="1" fontId="80" fillId="4" borderId="48" xfId="0" applyNumberFormat="1" applyFont="1" applyFill="1" applyBorder="1" applyAlignment="1" applyProtection="1">
      <alignment horizontal="center" vertical="center" wrapText="1"/>
      <protection locked="0"/>
    </xf>
    <xf numFmtId="175" fontId="80" fillId="4" borderId="48" xfId="0" applyNumberFormat="1" applyFont="1" applyFill="1" applyBorder="1" applyAlignment="1" applyProtection="1">
      <alignment horizontal="center" vertical="center" wrapText="1"/>
      <protection locked="0"/>
    </xf>
    <xf numFmtId="183" fontId="80" fillId="4" borderId="27" xfId="0" applyNumberFormat="1" applyFont="1" applyFill="1" applyBorder="1" applyAlignment="1">
      <alignment horizontal="center" vertical="center" wrapText="1"/>
    </xf>
    <xf numFmtId="0" fontId="33" fillId="0" borderId="0" xfId="0" applyNumberFormat="1" applyFont="1" applyFill="1" applyAlignment="1">
      <alignment horizontal="center" vertical="center" wrapText="1"/>
    </xf>
    <xf numFmtId="182" fontId="80" fillId="4" borderId="27" xfId="0" applyNumberFormat="1" applyFont="1" applyFill="1" applyBorder="1" applyAlignment="1">
      <alignment horizontal="center" vertical="center" wrapText="1"/>
    </xf>
    <xf numFmtId="0" fontId="0" fillId="5" borderId="8" xfId="0" applyFont="1" applyFill="1" applyBorder="1" applyAlignment="1">
      <alignment horizontal="center" vertical="center" wrapText="1"/>
    </xf>
    <xf numFmtId="0" fontId="0" fillId="4" borderId="155" xfId="0" applyFont="1" applyFill="1" applyBorder="1" applyAlignment="1">
      <alignment horizontal="center" vertical="center" wrapText="1"/>
    </xf>
    <xf numFmtId="0" fontId="0" fillId="0" borderId="157" xfId="0" applyFont="1" applyBorder="1" applyAlignment="1">
      <alignment horizontal="center" vertical="center" wrapText="1"/>
    </xf>
    <xf numFmtId="0" fontId="78" fillId="4" borderId="155" xfId="0" applyFont="1" applyFill="1" applyBorder="1" applyAlignment="1">
      <alignment horizontal="center" vertical="center" wrapText="1"/>
    </xf>
    <xf numFmtId="0" fontId="78" fillId="4" borderId="159" xfId="0" applyFont="1" applyFill="1" applyBorder="1" applyAlignment="1">
      <alignment horizontal="center" vertical="center" wrapText="1"/>
    </xf>
    <xf numFmtId="0" fontId="0" fillId="0" borderId="157" xfId="0" applyFont="1" applyFill="1" applyBorder="1" applyAlignment="1">
      <alignment horizontal="center" vertical="center" wrapText="1"/>
    </xf>
    <xf numFmtId="182" fontId="1" fillId="4" borderId="156" xfId="0" applyNumberFormat="1" applyFont="1" applyFill="1" applyBorder="1" applyAlignment="1">
      <alignment horizontal="center" vertical="center" wrapText="1"/>
    </xf>
    <xf numFmtId="182" fontId="1" fillId="0" borderId="158" xfId="0" applyNumberFormat="1" applyFont="1" applyBorder="1" applyAlignment="1">
      <alignment horizontal="center" vertical="center" wrapText="1"/>
    </xf>
    <xf numFmtId="186" fontId="1" fillId="4" borderId="156" xfId="0" applyNumberFormat="1" applyFont="1" applyFill="1" applyBorder="1" applyAlignment="1">
      <alignment horizontal="center" vertical="center" wrapText="1"/>
    </xf>
    <xf numFmtId="186" fontId="1" fillId="0" borderId="158" xfId="0" applyNumberFormat="1" applyFont="1" applyBorder="1" applyAlignment="1">
      <alignment horizontal="center" vertical="center" wrapText="1"/>
    </xf>
    <xf numFmtId="186" fontId="1" fillId="4" borderId="123" xfId="0" applyNumberFormat="1" applyFont="1" applyFill="1" applyBorder="1" applyAlignment="1">
      <alignment horizontal="center" vertical="center" wrapText="1"/>
    </xf>
    <xf numFmtId="185" fontId="1" fillId="4" borderId="156" xfId="0" applyNumberFormat="1" applyFont="1" applyFill="1" applyBorder="1" applyAlignment="1">
      <alignment horizontal="center" vertical="center" wrapText="1"/>
    </xf>
    <xf numFmtId="185" fontId="1" fillId="0" borderId="158" xfId="0" applyNumberFormat="1" applyFont="1" applyBorder="1" applyAlignment="1">
      <alignment horizontal="center" vertical="center" wrapText="1"/>
    </xf>
    <xf numFmtId="187" fontId="1" fillId="4" borderId="156" xfId="0" applyNumberFormat="1" applyFont="1" applyFill="1" applyBorder="1" applyAlignment="1">
      <alignment horizontal="center" vertical="center" wrapText="1"/>
    </xf>
    <xf numFmtId="184" fontId="1" fillId="4" borderId="156" xfId="0" applyNumberFormat="1" applyFont="1" applyFill="1" applyBorder="1" applyAlignment="1">
      <alignment horizontal="center" vertical="center" wrapText="1"/>
    </xf>
    <xf numFmtId="185" fontId="1" fillId="0" borderId="158" xfId="0" applyNumberFormat="1" applyFont="1" applyFill="1" applyBorder="1" applyAlignment="1">
      <alignment horizontal="center" vertical="center" wrapText="1"/>
    </xf>
    <xf numFmtId="0" fontId="0" fillId="0" borderId="159" xfId="0" applyFont="1" applyBorder="1" applyAlignment="1">
      <alignment horizontal="center" vertical="center" wrapText="1"/>
    </xf>
    <xf numFmtId="186" fontId="1" fillId="0" borderId="123" xfId="0" applyNumberFormat="1" applyFont="1" applyBorder="1" applyAlignment="1">
      <alignment horizontal="center" vertical="center" wrapText="1"/>
    </xf>
    <xf numFmtId="0" fontId="78" fillId="4" borderId="160" xfId="0" applyFont="1" applyFill="1" applyBorder="1" applyAlignment="1">
      <alignment horizontal="center" vertical="center" wrapText="1"/>
    </xf>
    <xf numFmtId="0" fontId="0" fillId="0" borderId="162" xfId="0" applyFont="1" applyBorder="1" applyAlignment="1">
      <alignment horizontal="center" vertical="center" wrapText="1"/>
    </xf>
    <xf numFmtId="188" fontId="1" fillId="4" borderId="161" xfId="0" applyNumberFormat="1" applyFont="1" applyFill="1" applyBorder="1" applyAlignment="1">
      <alignment horizontal="center" vertical="center" wrapText="1"/>
    </xf>
    <xf numFmtId="188" fontId="1" fillId="0" borderId="163" xfId="0" applyNumberFormat="1" applyFont="1" applyBorder="1" applyAlignment="1">
      <alignment horizontal="center" vertical="center" wrapText="1"/>
    </xf>
    <xf numFmtId="186" fontId="1" fillId="4" borderId="161" xfId="0" applyNumberFormat="1" applyFont="1" applyFill="1" applyBorder="1" applyAlignment="1">
      <alignment horizontal="center" vertical="center" wrapText="1"/>
    </xf>
    <xf numFmtId="186" fontId="1" fillId="0" borderId="163" xfId="0" applyNumberFormat="1" applyFont="1" applyBorder="1" applyAlignment="1">
      <alignment horizontal="center" vertical="center" wrapText="1"/>
    </xf>
    <xf numFmtId="0" fontId="0" fillId="0" borderId="164" xfId="0" applyFont="1" applyBorder="1" applyAlignment="1">
      <alignment horizontal="center" vertical="center" wrapText="1"/>
    </xf>
    <xf numFmtId="187" fontId="1" fillId="0" borderId="165" xfId="0" applyNumberFormat="1" applyFont="1" applyBorder="1" applyAlignment="1">
      <alignment horizontal="center" vertical="center" wrapText="1"/>
    </xf>
    <xf numFmtId="186" fontId="80" fillId="4" borderId="57" xfId="0" applyNumberFormat="1" applyFont="1" applyFill="1" applyBorder="1" applyAlignment="1">
      <alignment horizontal="center" vertical="center" wrapText="1"/>
    </xf>
    <xf numFmtId="181" fontId="80" fillId="4" borderId="38" xfId="0" applyNumberFormat="1" applyFont="1" applyFill="1" applyBorder="1" applyAlignment="1">
      <alignment horizontal="center" vertical="center" wrapText="1"/>
    </xf>
    <xf numFmtId="181" fontId="80" fillId="4" borderId="27" xfId="0" applyNumberFormat="1" applyFont="1" applyFill="1" applyBorder="1" applyAlignment="1">
      <alignment horizontal="center" vertical="center" wrapText="1"/>
    </xf>
    <xf numFmtId="11" fontId="33" fillId="4" borderId="27" xfId="0" applyNumberFormat="1" applyFont="1" applyFill="1" applyBorder="1" applyAlignment="1">
      <alignment horizontal="center" vertical="center" wrapText="1"/>
    </xf>
    <xf numFmtId="182" fontId="83" fillId="29" borderId="27" xfId="0" applyNumberFormat="1" applyFont="1" applyFill="1" applyBorder="1" applyAlignment="1">
      <alignment horizontal="center" vertical="center" wrapText="1"/>
    </xf>
    <xf numFmtId="0" fontId="83" fillId="29" borderId="27" xfId="0" applyFont="1" applyFill="1" applyBorder="1" applyAlignment="1">
      <alignment horizontal="center" vertical="center" wrapText="1"/>
    </xf>
    <xf numFmtId="182" fontId="83" fillId="29" borderId="26" xfId="0" applyNumberFormat="1" applyFont="1" applyFill="1" applyBorder="1" applyAlignment="1">
      <alignment horizontal="center" vertical="center" wrapText="1"/>
    </xf>
    <xf numFmtId="2" fontId="78" fillId="5" borderId="42" xfId="0" applyNumberFormat="1" applyFont="1" applyFill="1" applyBorder="1" applyAlignment="1">
      <alignment horizontal="center" vertical="center" wrapText="1"/>
    </xf>
    <xf numFmtId="2" fontId="78" fillId="5" borderId="49" xfId="0" applyNumberFormat="1" applyFont="1" applyFill="1" applyBorder="1" applyAlignment="1">
      <alignment horizontal="center" vertical="center" wrapText="1"/>
    </xf>
    <xf numFmtId="2" fontId="78" fillId="5" borderId="53" xfId="0" applyNumberFormat="1" applyFont="1" applyFill="1" applyBorder="1" applyAlignment="1">
      <alignment horizontal="center" vertical="center" wrapText="1"/>
    </xf>
    <xf numFmtId="0" fontId="33" fillId="17" borderId="35" xfId="0" applyFont="1" applyFill="1" applyBorder="1" applyAlignment="1">
      <alignment horizontal="center" vertical="center" wrapText="1"/>
    </xf>
    <xf numFmtId="0" fontId="33" fillId="17" borderId="36" xfId="0" applyFont="1" applyFill="1" applyBorder="1" applyAlignment="1">
      <alignment horizontal="center" vertical="center" wrapText="1"/>
    </xf>
    <xf numFmtId="0" fontId="33" fillId="17" borderId="37" xfId="0" applyFont="1" applyFill="1" applyBorder="1" applyAlignment="1">
      <alignment horizontal="center" vertical="center" wrapText="1"/>
    </xf>
    <xf numFmtId="0" fontId="33" fillId="7" borderId="35" xfId="0" applyFont="1" applyFill="1" applyBorder="1" applyAlignment="1">
      <alignment horizontal="center" vertical="center" wrapText="1"/>
    </xf>
    <xf numFmtId="0" fontId="33" fillId="7" borderId="36" xfId="0" applyFont="1" applyFill="1" applyBorder="1" applyAlignment="1">
      <alignment horizontal="center" vertical="center" wrapText="1"/>
    </xf>
    <xf numFmtId="0" fontId="33" fillId="7" borderId="37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0" fillId="7" borderId="2" xfId="0" applyFont="1" applyFill="1" applyBorder="1" applyAlignment="1">
      <alignment horizontal="center" vertical="center" wrapText="1"/>
    </xf>
    <xf numFmtId="0" fontId="0" fillId="7" borderId="3" xfId="0" applyFont="1" applyFill="1" applyBorder="1" applyAlignment="1">
      <alignment horizontal="center" vertical="center" wrapText="1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164" fontId="33" fillId="5" borderId="42" xfId="0" applyNumberFormat="1" applyFont="1" applyFill="1" applyBorder="1" applyAlignment="1">
      <alignment horizontal="center" vertical="center" wrapText="1"/>
    </xf>
    <xf numFmtId="164" fontId="33" fillId="5" borderId="49" xfId="0" applyNumberFormat="1" applyFont="1" applyFill="1" applyBorder="1" applyAlignment="1">
      <alignment horizontal="center" vertical="center" wrapText="1"/>
    </xf>
    <xf numFmtId="164" fontId="33" fillId="5" borderId="53" xfId="0" applyNumberFormat="1" applyFont="1" applyFill="1" applyBorder="1" applyAlignment="1">
      <alignment horizontal="center" vertical="center" wrapText="1"/>
    </xf>
    <xf numFmtId="164" fontId="33" fillId="5" borderId="44" xfId="0" applyNumberFormat="1" applyFont="1" applyFill="1" applyBorder="1" applyAlignment="1">
      <alignment horizontal="center" vertical="center" wrapText="1"/>
    </xf>
    <xf numFmtId="0" fontId="33" fillId="0" borderId="33" xfId="0" applyFont="1" applyBorder="1" applyAlignment="1">
      <alignment horizontal="right" vertical="center" wrapText="1"/>
    </xf>
    <xf numFmtId="0" fontId="33" fillId="0" borderId="0" xfId="0" applyFont="1" applyAlignment="1">
      <alignment horizontal="right" vertical="center" wrapText="1"/>
    </xf>
    <xf numFmtId="0" fontId="33" fillId="0" borderId="4" xfId="0" applyFont="1" applyBorder="1" applyAlignment="1">
      <alignment horizontal="right" vertical="center" wrapText="1"/>
    </xf>
    <xf numFmtId="0" fontId="33" fillId="0" borderId="5" xfId="0" applyFont="1" applyBorder="1" applyAlignment="1">
      <alignment horizontal="right" vertical="center" wrapText="1"/>
    </xf>
    <xf numFmtId="0" fontId="33" fillId="0" borderId="0" xfId="0" applyFont="1" applyBorder="1" applyAlignment="1">
      <alignment horizontal="center" vertical="center"/>
    </xf>
    <xf numFmtId="0" fontId="0" fillId="0" borderId="3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34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15" fontId="33" fillId="0" borderId="5" xfId="0" applyNumberFormat="1" applyFont="1" applyFill="1" applyBorder="1" applyAlignment="1">
      <alignment horizontal="center" vertical="center" wrapText="1"/>
    </xf>
    <xf numFmtId="15" fontId="33" fillId="0" borderId="6" xfId="0" applyNumberFormat="1" applyFont="1" applyFill="1" applyBorder="1" applyAlignment="1">
      <alignment horizontal="center" vertical="center" wrapText="1"/>
    </xf>
    <xf numFmtId="0" fontId="33" fillId="0" borderId="62" xfId="0" applyFont="1" applyBorder="1" applyAlignment="1">
      <alignment horizontal="center" vertical="center" wrapText="1"/>
    </xf>
    <xf numFmtId="0" fontId="33" fillId="0" borderId="61" xfId="0" applyFont="1" applyBorder="1" applyAlignment="1">
      <alignment horizontal="center" vertical="center" wrapText="1"/>
    </xf>
    <xf numFmtId="0" fontId="33" fillId="0" borderId="60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3" fillId="0" borderId="38" xfId="0" applyFont="1" applyBorder="1" applyAlignment="1">
      <alignment horizontal="center" vertical="center" wrapText="1"/>
    </xf>
    <xf numFmtId="0" fontId="33" fillId="0" borderId="15" xfId="0" applyFont="1" applyBorder="1" applyAlignment="1">
      <alignment horizontal="center" vertical="center" wrapText="1"/>
    </xf>
    <xf numFmtId="0" fontId="23" fillId="0" borderId="62" xfId="0" applyFont="1" applyBorder="1" applyAlignment="1">
      <alignment horizontal="center" vertical="center" wrapText="1"/>
    </xf>
    <xf numFmtId="0" fontId="23" fillId="0" borderId="61" xfId="0" applyFont="1" applyBorder="1" applyAlignment="1">
      <alignment horizontal="center" vertical="center" wrapText="1"/>
    </xf>
    <xf numFmtId="0" fontId="23" fillId="0" borderId="63" xfId="0" applyFont="1" applyBorder="1" applyAlignment="1">
      <alignment horizontal="center" vertical="center" wrapText="1"/>
    </xf>
    <xf numFmtId="0" fontId="23" fillId="0" borderId="60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64" xfId="0" applyFont="1" applyBorder="1" applyAlignment="1">
      <alignment horizontal="center" vertical="center" wrapText="1"/>
    </xf>
    <xf numFmtId="0" fontId="23" fillId="0" borderId="38" xfId="0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3" fillId="0" borderId="47" xfId="0" applyFont="1" applyBorder="1" applyAlignment="1">
      <alignment horizontal="center" vertical="center" wrapText="1"/>
    </xf>
    <xf numFmtId="0" fontId="0" fillId="2" borderId="48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180" fontId="33" fillId="14" borderId="48" xfId="0" applyNumberFormat="1" applyFont="1" applyFill="1" applyBorder="1" applyAlignment="1">
      <alignment horizontal="center" vertical="center" wrapText="1"/>
    </xf>
    <xf numFmtId="180" fontId="33" fillId="14" borderId="52" xfId="0" applyNumberFormat="1" applyFont="1" applyFill="1" applyBorder="1" applyAlignment="1">
      <alignment horizontal="center" vertical="center" wrapText="1"/>
    </xf>
    <xf numFmtId="180" fontId="33" fillId="14" borderId="17" xfId="0" applyNumberFormat="1" applyFont="1" applyFill="1" applyBorder="1" applyAlignment="1">
      <alignment horizontal="center" vertical="center" wrapText="1"/>
    </xf>
    <xf numFmtId="180" fontId="33" fillId="14" borderId="24" xfId="0" applyNumberFormat="1" applyFont="1" applyFill="1" applyBorder="1" applyAlignment="1">
      <alignment horizontal="center" vertical="center" wrapText="1"/>
    </xf>
    <xf numFmtId="180" fontId="33" fillId="14" borderId="55" xfId="0" applyNumberFormat="1" applyFont="1" applyFill="1" applyBorder="1" applyAlignment="1">
      <alignment horizontal="center" vertical="center" wrapText="1"/>
    </xf>
    <xf numFmtId="180" fontId="33" fillId="14" borderId="18" xfId="0" applyNumberFormat="1" applyFont="1" applyFill="1" applyBorder="1" applyAlignment="1">
      <alignment horizontal="center" vertical="center" wrapText="1"/>
    </xf>
    <xf numFmtId="0" fontId="34" fillId="6" borderId="1" xfId="0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34" fillId="6" borderId="4" xfId="0" applyFont="1" applyFill="1" applyBorder="1" applyAlignment="1">
      <alignment horizontal="center" vertical="center" wrapText="1"/>
    </xf>
    <xf numFmtId="0" fontId="34" fillId="6" borderId="5" xfId="0" applyFont="1" applyFill="1" applyBorder="1" applyAlignment="1">
      <alignment horizontal="center" vertical="center" wrapText="1"/>
    </xf>
    <xf numFmtId="0" fontId="34" fillId="6" borderId="6" xfId="0" applyFont="1" applyFill="1" applyBorder="1" applyAlignment="1">
      <alignment horizontal="center" vertical="center" wrapText="1"/>
    </xf>
    <xf numFmtId="0" fontId="33" fillId="2" borderId="7" xfId="0" applyFont="1" applyFill="1" applyBorder="1" applyAlignment="1">
      <alignment horizontal="center" vertical="center" wrapText="1"/>
    </xf>
    <xf numFmtId="0" fontId="33" fillId="2" borderId="8" xfId="0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 wrapText="1"/>
    </xf>
    <xf numFmtId="0" fontId="33" fillId="2" borderId="43" xfId="0" applyFont="1" applyFill="1" applyBorder="1" applyAlignment="1">
      <alignment horizontal="center" vertical="center" wrapText="1"/>
    </xf>
    <xf numFmtId="0" fontId="33" fillId="2" borderId="11" xfId="0" applyFont="1" applyFill="1" applyBorder="1" applyAlignment="1">
      <alignment horizontal="center" vertical="center" wrapText="1"/>
    </xf>
    <xf numFmtId="0" fontId="33" fillId="2" borderId="81" xfId="0" applyFont="1" applyFill="1" applyBorder="1" applyAlignment="1">
      <alignment horizontal="center" vertical="center" wrapText="1"/>
    </xf>
    <xf numFmtId="0" fontId="33" fillId="2" borderId="39" xfId="0" applyFont="1" applyFill="1" applyBorder="1" applyAlignment="1">
      <alignment horizontal="center" vertical="center" wrapText="1"/>
    </xf>
    <xf numFmtId="11" fontId="33" fillId="2" borderId="88" xfId="0" applyNumberFormat="1" applyFont="1" applyFill="1" applyBorder="1" applyAlignment="1">
      <alignment horizontal="center" vertical="center" wrapText="1"/>
    </xf>
    <xf numFmtId="11" fontId="33" fillId="2" borderId="45" xfId="0" applyNumberFormat="1" applyFont="1" applyFill="1" applyBorder="1" applyAlignment="1">
      <alignment horizontal="center" vertical="center" wrapText="1"/>
    </xf>
    <xf numFmtId="0" fontId="0" fillId="2" borderId="88" xfId="0" applyFill="1" applyBorder="1" applyAlignment="1">
      <alignment horizontal="center" vertical="center" wrapText="1"/>
    </xf>
    <xf numFmtId="0" fontId="33" fillId="2" borderId="45" xfId="0" applyFont="1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0" borderId="1" xfId="0" quotePrefix="1" applyBorder="1" applyAlignment="1">
      <alignment horizontal="justify" vertical="center" wrapText="1"/>
    </xf>
    <xf numFmtId="0" fontId="33" fillId="0" borderId="2" xfId="0" applyFont="1" applyBorder="1" applyAlignment="1">
      <alignment horizontal="justify" vertical="center" wrapText="1"/>
    </xf>
    <xf numFmtId="0" fontId="33" fillId="0" borderId="3" xfId="0" applyFont="1" applyBorder="1" applyAlignment="1">
      <alignment horizontal="justify" vertical="center" wrapText="1"/>
    </xf>
    <xf numFmtId="0" fontId="33" fillId="0" borderId="33" xfId="0" applyFont="1" applyBorder="1" applyAlignment="1">
      <alignment horizontal="justify" vertical="center" wrapText="1"/>
    </xf>
    <xf numFmtId="0" fontId="33" fillId="0" borderId="0" xfId="0" applyFont="1" applyAlignment="1">
      <alignment horizontal="justify" vertical="center" wrapText="1"/>
    </xf>
    <xf numFmtId="0" fontId="33" fillId="0" borderId="34" xfId="0" applyFont="1" applyBorder="1" applyAlignment="1">
      <alignment horizontal="justify" vertical="center" wrapText="1"/>
    </xf>
    <xf numFmtId="0" fontId="33" fillId="0" borderId="4" xfId="0" applyFont="1" applyBorder="1" applyAlignment="1">
      <alignment horizontal="justify" vertical="center" wrapText="1"/>
    </xf>
    <xf numFmtId="0" fontId="33" fillId="0" borderId="5" xfId="0" applyFont="1" applyBorder="1" applyAlignment="1">
      <alignment horizontal="justify" vertical="center" wrapText="1"/>
    </xf>
    <xf numFmtId="0" fontId="33" fillId="0" borderId="6" xfId="0" applyFont="1" applyBorder="1" applyAlignment="1">
      <alignment horizontal="justify" vertical="center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33" fillId="2" borderId="33" xfId="0" applyFont="1" applyFill="1" applyBorder="1" applyAlignment="1">
      <alignment horizontal="center" vertical="center" wrapText="1"/>
    </xf>
    <xf numFmtId="0" fontId="33" fillId="2" borderId="34" xfId="0" applyFont="1" applyFill="1" applyBorder="1" applyAlignment="1">
      <alignment horizontal="center" vertical="center" wrapText="1"/>
    </xf>
    <xf numFmtId="0" fontId="33" fillId="2" borderId="4" xfId="0" applyFont="1" applyFill="1" applyBorder="1" applyAlignment="1">
      <alignment horizontal="center" vertical="center" wrapText="1"/>
    </xf>
    <xf numFmtId="0" fontId="33" fillId="2" borderId="6" xfId="0" applyFont="1" applyFill="1" applyBorder="1" applyAlignment="1">
      <alignment horizontal="center" vertical="center" wrapText="1"/>
    </xf>
    <xf numFmtId="0" fontId="0" fillId="0" borderId="36" xfId="0" applyFont="1" applyFill="1" applyBorder="1" applyAlignment="1">
      <alignment horizontal="center" vertical="center"/>
    </xf>
    <xf numFmtId="0" fontId="0" fillId="0" borderId="37" xfId="0" applyFont="1" applyFill="1" applyBorder="1" applyAlignment="1">
      <alignment horizontal="center" vertical="center"/>
    </xf>
    <xf numFmtId="0" fontId="0" fillId="0" borderId="33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33" fillId="5" borderId="23" xfId="0" applyFont="1" applyFill="1" applyBorder="1" applyAlignment="1">
      <alignment horizontal="center" vertical="center"/>
    </xf>
    <xf numFmtId="0" fontId="33" fillId="5" borderId="48" xfId="0" applyFont="1" applyFill="1" applyBorder="1" applyAlignment="1">
      <alignment horizontal="center" vertical="center"/>
    </xf>
    <xf numFmtId="0" fontId="33" fillId="5" borderId="24" xfId="0" applyFont="1" applyFill="1" applyBorder="1" applyAlignment="1">
      <alignment horizontal="center" vertical="center"/>
    </xf>
    <xf numFmtId="0" fontId="33" fillId="5" borderId="74" xfId="0" applyFont="1" applyFill="1" applyBorder="1" applyAlignment="1">
      <alignment horizontal="center" vertical="center"/>
    </xf>
    <xf numFmtId="0" fontId="33" fillId="5" borderId="51" xfId="0" applyFont="1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 wrapText="1"/>
    </xf>
    <xf numFmtId="0" fontId="33" fillId="5" borderId="68" xfId="0" applyFont="1" applyFill="1" applyBorder="1" applyAlignment="1">
      <alignment horizontal="center" vertical="center" wrapText="1"/>
    </xf>
    <xf numFmtId="0" fontId="33" fillId="5" borderId="50" xfId="0" applyFont="1" applyFill="1" applyBorder="1" applyAlignment="1">
      <alignment horizontal="center" vertical="center" wrapText="1"/>
    </xf>
    <xf numFmtId="0" fontId="33" fillId="5" borderId="52" xfId="0" applyFont="1" applyFill="1" applyBorder="1" applyAlignment="1">
      <alignment horizontal="center" vertical="center" wrapText="1"/>
    </xf>
    <xf numFmtId="0" fontId="33" fillId="5" borderId="50" xfId="0" applyFont="1" applyFill="1" applyBorder="1" applyAlignment="1">
      <alignment horizontal="center" vertical="center"/>
    </xf>
    <xf numFmtId="0" fontId="33" fillId="5" borderId="52" xfId="0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 wrapText="1"/>
    </xf>
    <xf numFmtId="0" fontId="33" fillId="5" borderId="48" xfId="0" applyFont="1" applyFill="1" applyBorder="1" applyAlignment="1">
      <alignment horizontal="center" vertical="center" wrapText="1"/>
    </xf>
    <xf numFmtId="0" fontId="33" fillId="5" borderId="2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top"/>
    </xf>
    <xf numFmtId="2" fontId="0" fillId="0" borderId="0" xfId="0" quotePrefix="1" applyNumberFormat="1" applyAlignment="1">
      <alignment horizontal="center" vertical="center" wrapText="1"/>
    </xf>
    <xf numFmtId="15" fontId="9" fillId="0" borderId="0" xfId="0" applyNumberFormat="1" applyFont="1" applyAlignment="1" applyProtection="1">
      <alignment horizontal="left"/>
    </xf>
    <xf numFmtId="0" fontId="0" fillId="7" borderId="52" xfId="0" applyFill="1" applyBorder="1" applyAlignment="1">
      <alignment horizontal="center" vertical="center" wrapText="1"/>
    </xf>
    <xf numFmtId="167" fontId="0" fillId="0" borderId="52" xfId="0" applyNumberFormat="1" applyBorder="1" applyAlignment="1">
      <alignment horizontal="center"/>
    </xf>
    <xf numFmtId="0" fontId="0" fillId="2" borderId="52" xfId="0" applyFill="1" applyBorder="1" applyAlignment="1" applyProtection="1">
      <alignment horizontal="center"/>
      <protection locked="0"/>
    </xf>
    <xf numFmtId="11" fontId="0" fillId="0" borderId="56" xfId="0" applyNumberFormat="1" applyBorder="1" applyAlignment="1" applyProtection="1">
      <alignment horizontal="center"/>
      <protection locked="0"/>
    </xf>
    <xf numFmtId="11" fontId="0" fillId="0" borderId="57" xfId="0" applyNumberFormat="1" applyBorder="1" applyAlignment="1" applyProtection="1">
      <alignment horizontal="center"/>
      <protection locked="0"/>
    </xf>
    <xf numFmtId="11" fontId="0" fillId="0" borderId="51" xfId="0" applyNumberFormat="1" applyBorder="1" applyAlignment="1" applyProtection="1">
      <alignment horizontal="center"/>
      <protection locked="0"/>
    </xf>
    <xf numFmtId="0" fontId="0" fillId="0" borderId="52" xfId="0" applyBorder="1" applyAlignment="1">
      <alignment horizontal="center"/>
    </xf>
    <xf numFmtId="0" fontId="3" fillId="0" borderId="62" xfId="0" applyFont="1" applyBorder="1" applyAlignment="1">
      <alignment horizontal="center" vertical="center" wrapText="1"/>
    </xf>
    <xf numFmtId="0" fontId="3" fillId="0" borderId="61" xfId="0" applyFont="1" applyBorder="1" applyAlignment="1">
      <alignment horizontal="center" vertical="center" wrapText="1"/>
    </xf>
    <xf numFmtId="0" fontId="3" fillId="0" borderId="63" xfId="0" applyFont="1" applyBorder="1" applyAlignment="1">
      <alignment horizontal="center" vertical="center" wrapText="1"/>
    </xf>
    <xf numFmtId="0" fontId="3" fillId="0" borderId="6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4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0" fillId="0" borderId="60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61" xfId="0" applyBorder="1" applyAlignment="1">
      <alignment horizontal="left"/>
    </xf>
    <xf numFmtId="0" fontId="0" fillId="0" borderId="63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4" xfId="0" applyBorder="1" applyAlignment="1">
      <alignment horizontal="left"/>
    </xf>
    <xf numFmtId="0" fontId="0" fillId="0" borderId="47" xfId="0" applyBorder="1" applyAlignment="1">
      <alignment horizontal="left"/>
    </xf>
    <xf numFmtId="179" fontId="0" fillId="0" borderId="0" xfId="0" applyNumberFormat="1" applyAlignment="1">
      <alignment horizontal="left"/>
    </xf>
    <xf numFmtId="179" fontId="0" fillId="0" borderId="64" xfId="0" applyNumberFormat="1" applyBorder="1" applyAlignment="1">
      <alignment horizontal="left"/>
    </xf>
    <xf numFmtId="0" fontId="0" fillId="0" borderId="62" xfId="0" applyBorder="1" applyAlignment="1">
      <alignment horizontal="left"/>
    </xf>
    <xf numFmtId="0" fontId="0" fillId="7" borderId="52" xfId="0" applyFill="1" applyBorder="1" applyAlignment="1">
      <alignment horizontal="center" wrapText="1"/>
    </xf>
    <xf numFmtId="167" fontId="0" fillId="0" borderId="56" xfId="0" applyNumberFormat="1" applyBorder="1" applyAlignment="1">
      <alignment horizontal="center"/>
    </xf>
    <xf numFmtId="167" fontId="0" fillId="0" borderId="57" xfId="0" applyNumberFormat="1" applyBorder="1" applyAlignment="1">
      <alignment horizontal="center"/>
    </xf>
    <xf numFmtId="167" fontId="0" fillId="0" borderId="51" xfId="0" applyNumberFormat="1" applyBorder="1" applyAlignment="1">
      <alignment horizontal="center"/>
    </xf>
    <xf numFmtId="0" fontId="1" fillId="7" borderId="52" xfId="0" applyFont="1" applyFill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top" wrapText="1"/>
    </xf>
    <xf numFmtId="0" fontId="1" fillId="0" borderId="61" xfId="0" applyFont="1" applyBorder="1" applyAlignment="1">
      <alignment horizontal="center" vertical="top" wrapText="1"/>
    </xf>
    <xf numFmtId="0" fontId="1" fillId="0" borderId="38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top" wrapText="1"/>
    </xf>
    <xf numFmtId="0" fontId="0" fillId="0" borderId="61" xfId="0" applyFont="1" applyBorder="1" applyAlignment="1">
      <alignment horizontal="justify" vertical="top" wrapText="1"/>
    </xf>
    <xf numFmtId="0" fontId="0" fillId="0" borderId="63" xfId="0" applyFont="1" applyBorder="1" applyAlignment="1">
      <alignment horizontal="justify" vertical="top" wrapText="1"/>
    </xf>
    <xf numFmtId="0" fontId="0" fillId="0" borderId="15" xfId="0" applyFont="1" applyBorder="1" applyAlignment="1">
      <alignment horizontal="justify" vertical="top" wrapText="1"/>
    </xf>
    <xf numFmtId="0" fontId="0" fillId="0" borderId="47" xfId="0" applyFont="1" applyBorder="1" applyAlignment="1">
      <alignment horizontal="justify" vertical="top" wrapText="1"/>
    </xf>
    <xf numFmtId="177" fontId="0" fillId="2" borderId="56" xfId="0" applyNumberFormat="1" applyFill="1" applyBorder="1" applyAlignment="1" applyProtection="1">
      <alignment horizontal="left" vertical="center"/>
      <protection locked="0"/>
    </xf>
    <xf numFmtId="177" fontId="0" fillId="2" borderId="57" xfId="0" applyNumberFormat="1" applyFill="1" applyBorder="1" applyAlignment="1" applyProtection="1">
      <alignment horizontal="left" vertical="center"/>
      <protection locked="0"/>
    </xf>
    <xf numFmtId="0" fontId="1" fillId="18" borderId="35" xfId="0" applyFont="1" applyFill="1" applyBorder="1" applyAlignment="1">
      <alignment horizontal="center" vertical="center"/>
    </xf>
    <xf numFmtId="0" fontId="1" fillId="18" borderId="36" xfId="0" applyFont="1" applyFill="1" applyBorder="1" applyAlignment="1">
      <alignment horizontal="center" vertical="center"/>
    </xf>
    <xf numFmtId="0" fontId="1" fillId="18" borderId="37" xfId="0" applyFont="1" applyFill="1" applyBorder="1" applyAlignment="1">
      <alignment horizontal="center" vertical="center"/>
    </xf>
    <xf numFmtId="2" fontId="0" fillId="12" borderId="42" xfId="0" applyNumberFormat="1" applyFill="1" applyBorder="1" applyAlignment="1">
      <alignment horizontal="center" vertical="center"/>
    </xf>
    <xf numFmtId="2" fontId="0" fillId="12" borderId="49" xfId="0" applyNumberFormat="1" applyFill="1" applyBorder="1" applyAlignment="1">
      <alignment horizontal="center" vertical="center"/>
    </xf>
    <xf numFmtId="2" fontId="0" fillId="12" borderId="84" xfId="0" applyNumberFormat="1" applyFill="1" applyBorder="1" applyAlignment="1">
      <alignment horizontal="center" vertical="center"/>
    </xf>
    <xf numFmtId="0" fontId="0" fillId="12" borderId="42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44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7" borderId="83" xfId="0" applyFill="1" applyBorder="1" applyAlignment="1">
      <alignment horizontal="center" vertical="center" wrapText="1"/>
    </xf>
    <xf numFmtId="0" fontId="0" fillId="7" borderId="71" xfId="0" applyFill="1" applyBorder="1" applyAlignment="1">
      <alignment horizontal="center" vertical="center" wrapText="1"/>
    </xf>
    <xf numFmtId="0" fontId="0" fillId="7" borderId="106" xfId="0" applyFill="1" applyBorder="1" applyAlignment="1">
      <alignment horizontal="center" vertical="center" wrapText="1"/>
    </xf>
    <xf numFmtId="0" fontId="0" fillId="7" borderId="50" xfId="0" applyFill="1" applyBorder="1" applyAlignment="1">
      <alignment horizontal="right" vertical="center"/>
    </xf>
    <xf numFmtId="0" fontId="0" fillId="7" borderId="52" xfId="0" applyFill="1" applyBorder="1" applyAlignment="1">
      <alignment horizontal="right" vertical="center"/>
    </xf>
    <xf numFmtId="0" fontId="0" fillId="7" borderId="16" xfId="0" applyFill="1" applyBorder="1" applyAlignment="1">
      <alignment horizontal="right" vertical="center"/>
    </xf>
    <xf numFmtId="0" fontId="0" fillId="7" borderId="17" xfId="0" applyFill="1" applyBorder="1" applyAlignment="1">
      <alignment horizontal="right" vertical="center"/>
    </xf>
    <xf numFmtId="0" fontId="0" fillId="7" borderId="74" xfId="0" applyFill="1" applyBorder="1" applyAlignment="1">
      <alignment horizontal="right" vertical="center"/>
    </xf>
    <xf numFmtId="0" fontId="0" fillId="7" borderId="51" xfId="0" applyFill="1" applyBorder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0" fillId="7" borderId="23" xfId="0" applyFill="1" applyBorder="1" applyAlignment="1">
      <alignment horizontal="right" vertical="center"/>
    </xf>
    <xf numFmtId="0" fontId="0" fillId="7" borderId="48" xfId="0" applyFill="1" applyBorder="1" applyAlignment="1">
      <alignment horizontal="right" vertical="center"/>
    </xf>
    <xf numFmtId="0" fontId="0" fillId="2" borderId="56" xfId="0" applyFill="1" applyBorder="1" applyAlignment="1" applyProtection="1">
      <alignment horizontal="left" vertical="center"/>
      <protection locked="0"/>
    </xf>
    <xf numFmtId="0" fontId="0" fillId="2" borderId="57" xfId="0" applyFill="1" applyBorder="1" applyAlignment="1" applyProtection="1">
      <alignment horizontal="left" vertical="center"/>
      <protection locked="0"/>
    </xf>
    <xf numFmtId="0" fontId="72" fillId="17" borderId="35" xfId="0" applyFont="1" applyFill="1" applyBorder="1" applyAlignment="1">
      <alignment horizontal="center" vertical="center"/>
    </xf>
    <xf numFmtId="0" fontId="72" fillId="17" borderId="36" xfId="0" applyFont="1" applyFill="1" applyBorder="1" applyAlignment="1">
      <alignment horizontal="center" vertical="center"/>
    </xf>
    <xf numFmtId="0" fontId="72" fillId="17" borderId="37" xfId="0" applyFont="1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 wrapText="1"/>
    </xf>
    <xf numFmtId="0" fontId="0" fillId="7" borderId="64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46" xfId="0" applyFill="1" applyBorder="1" applyAlignment="1">
      <alignment horizontal="center" vertical="center" wrapText="1"/>
    </xf>
    <xf numFmtId="0" fontId="0" fillId="2" borderId="56" xfId="0" quotePrefix="1" applyFill="1" applyBorder="1" applyAlignment="1" applyProtection="1">
      <alignment horizontal="left" vertical="center"/>
      <protection locked="0"/>
    </xf>
    <xf numFmtId="0" fontId="0" fillId="2" borderId="57" xfId="0" quotePrefix="1" applyFill="1" applyBorder="1" applyAlignment="1" applyProtection="1">
      <alignment horizontal="left" vertical="center"/>
      <protection locked="0"/>
    </xf>
    <xf numFmtId="0" fontId="0" fillId="2" borderId="56" xfId="0" quotePrefix="1" applyFill="1" applyBorder="1" applyAlignment="1" applyProtection="1">
      <alignment horizontal="left" vertical="top" wrapText="1"/>
      <protection locked="0"/>
    </xf>
    <xf numFmtId="0" fontId="0" fillId="2" borderId="57" xfId="0" quotePrefix="1" applyFill="1" applyBorder="1" applyAlignment="1" applyProtection="1">
      <alignment horizontal="left" vertical="top"/>
      <protection locked="0"/>
    </xf>
    <xf numFmtId="0" fontId="0" fillId="2" borderId="57" xfId="0" applyFill="1" applyBorder="1" applyAlignment="1" applyProtection="1">
      <alignment horizontal="center" vertical="center"/>
      <protection locked="0"/>
    </xf>
    <xf numFmtId="0" fontId="0" fillId="9" borderId="50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9" borderId="48" xfId="0" applyFill="1" applyBorder="1" applyAlignment="1">
      <alignment horizontal="center" vertical="center"/>
    </xf>
    <xf numFmtId="0" fontId="0" fillId="9" borderId="43" xfId="0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7" borderId="81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7" borderId="87" xfId="0" applyFill="1" applyBorder="1" applyAlignment="1">
      <alignment horizontal="center" vertical="center"/>
    </xf>
    <xf numFmtId="0" fontId="0" fillId="7" borderId="42" xfId="0" applyFill="1" applyBorder="1" applyAlignment="1">
      <alignment horizontal="center" vertical="center" wrapText="1"/>
    </xf>
    <xf numFmtId="0" fontId="0" fillId="7" borderId="44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66" xfId="0" applyFill="1" applyBorder="1" applyAlignment="1">
      <alignment horizontal="center" vertical="center"/>
    </xf>
    <xf numFmtId="0" fontId="30" fillId="9" borderId="50" xfId="0" applyFont="1" applyFill="1" applyBorder="1" applyAlignment="1">
      <alignment horizontal="center" vertical="center"/>
    </xf>
    <xf numFmtId="0" fontId="30" fillId="9" borderId="52" xfId="0" applyFont="1" applyFill="1" applyBorder="1" applyAlignment="1">
      <alignment horizontal="center" vertical="center"/>
    </xf>
    <xf numFmtId="0" fontId="30" fillId="9" borderId="56" xfId="0" applyFont="1" applyFill="1" applyBorder="1" applyAlignment="1">
      <alignment horizontal="center" vertical="center"/>
    </xf>
    <xf numFmtId="0" fontId="30" fillId="10" borderId="0" xfId="0" applyFont="1" applyFill="1" applyAlignment="1">
      <alignment horizontal="left" vertical="center" wrapText="1"/>
    </xf>
    <xf numFmtId="0" fontId="30" fillId="9" borderId="4" xfId="0" applyFont="1" applyFill="1" applyBorder="1" applyAlignment="1">
      <alignment horizontal="center" vertical="center"/>
    </xf>
    <xf numFmtId="0" fontId="30" fillId="9" borderId="5" xfId="0" applyFont="1" applyFill="1" applyBorder="1" applyAlignment="1">
      <alignment horizontal="center" vertical="center"/>
    </xf>
    <xf numFmtId="0" fontId="30" fillId="7" borderId="35" xfId="0" applyFont="1" applyFill="1" applyBorder="1" applyAlignment="1">
      <alignment horizontal="center" vertical="center"/>
    </xf>
    <xf numFmtId="0" fontId="30" fillId="7" borderId="36" xfId="0" applyFont="1" applyFill="1" applyBorder="1" applyAlignment="1">
      <alignment horizontal="center" vertical="center"/>
    </xf>
    <xf numFmtId="0" fontId="30" fillId="7" borderId="37" xfId="0" applyFont="1" applyFill="1" applyBorder="1" applyAlignment="1">
      <alignment horizontal="center" vertical="center"/>
    </xf>
    <xf numFmtId="0" fontId="30" fillId="7" borderId="44" xfId="0" applyFont="1" applyFill="1" applyBorder="1" applyAlignment="1">
      <alignment horizontal="center" vertical="center" wrapText="1"/>
    </xf>
    <xf numFmtId="0" fontId="30" fillId="7" borderId="3" xfId="0" applyFont="1" applyFill="1" applyBorder="1" applyAlignment="1">
      <alignment horizontal="center" vertical="center" wrapText="1"/>
    </xf>
    <xf numFmtId="0" fontId="30" fillId="7" borderId="6" xfId="0" applyFont="1" applyFill="1" applyBorder="1" applyAlignment="1">
      <alignment horizontal="center" vertical="center" wrapText="1"/>
    </xf>
    <xf numFmtId="0" fontId="30" fillId="7" borderId="42" xfId="0" applyFont="1" applyFill="1" applyBorder="1" applyAlignment="1">
      <alignment horizontal="center" vertical="center" wrapText="1"/>
    </xf>
    <xf numFmtId="0" fontId="30" fillId="9" borderId="74" xfId="0" applyFont="1" applyFill="1" applyBorder="1" applyAlignment="1">
      <alignment horizontal="center" vertical="center"/>
    </xf>
    <xf numFmtId="0" fontId="30" fillId="9" borderId="57" xfId="0" applyFont="1" applyFill="1" applyBorder="1" applyAlignment="1">
      <alignment horizontal="center" vertical="center"/>
    </xf>
    <xf numFmtId="0" fontId="30" fillId="9" borderId="51" xfId="0" applyFont="1" applyFill="1" applyBorder="1" applyAlignment="1">
      <alignment horizontal="center" vertical="center"/>
    </xf>
    <xf numFmtId="0" fontId="30" fillId="9" borderId="23" xfId="0" applyFont="1" applyFill="1" applyBorder="1" applyAlignment="1">
      <alignment horizontal="center" vertical="center"/>
    </xf>
    <xf numFmtId="0" fontId="30" fillId="9" borderId="48" xfId="0" applyFont="1" applyFill="1" applyBorder="1" applyAlignment="1">
      <alignment horizontal="center" vertical="center"/>
    </xf>
    <xf numFmtId="0" fontId="30" fillId="9" borderId="43" xfId="0" applyFont="1" applyFill="1" applyBorder="1" applyAlignment="1">
      <alignment horizontal="center" vertical="center"/>
    </xf>
    <xf numFmtId="0" fontId="31" fillId="0" borderId="62" xfId="0" applyFont="1" applyBorder="1" applyAlignment="1">
      <alignment horizontal="center" vertical="center" wrapText="1"/>
    </xf>
    <xf numFmtId="0" fontId="31" fillId="0" borderId="61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0" fontId="31" fillId="0" borderId="60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31" fillId="0" borderId="64" xfId="0" applyFont="1" applyBorder="1" applyAlignment="1">
      <alignment horizontal="center" vertical="center" wrapText="1"/>
    </xf>
    <xf numFmtId="0" fontId="31" fillId="0" borderId="38" xfId="0" applyFont="1" applyBorder="1" applyAlignment="1">
      <alignment horizontal="center" vertical="center" wrapText="1"/>
    </xf>
    <xf numFmtId="0" fontId="31" fillId="0" borderId="15" xfId="0" applyFont="1" applyBorder="1" applyAlignment="1">
      <alignment horizontal="center" vertical="center" wrapText="1"/>
    </xf>
    <xf numFmtId="0" fontId="31" fillId="0" borderId="47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0" fillId="7" borderId="81" xfId="0" applyFont="1" applyFill="1" applyBorder="1" applyAlignment="1">
      <alignment horizontal="center" vertical="center"/>
    </xf>
    <xf numFmtId="0" fontId="30" fillId="7" borderId="82" xfId="0" applyFont="1" applyFill="1" applyBorder="1" applyAlignment="1">
      <alignment horizontal="center" vertical="center"/>
    </xf>
    <xf numFmtId="0" fontId="30" fillId="7" borderId="87" xfId="0" applyFont="1" applyFill="1" applyBorder="1" applyAlignment="1">
      <alignment horizontal="center" vertical="center"/>
    </xf>
    <xf numFmtId="0" fontId="30" fillId="7" borderId="7" xfId="0" applyFont="1" applyFill="1" applyBorder="1" applyAlignment="1">
      <alignment horizontal="center" vertical="center"/>
    </xf>
    <xf numFmtId="0" fontId="30" fillId="7" borderId="8" xfId="0" applyFont="1" applyFill="1" applyBorder="1" applyAlignment="1">
      <alignment horizontal="center" vertical="center"/>
    </xf>
    <xf numFmtId="0" fontId="30" fillId="7" borderId="66" xfId="0" applyFont="1" applyFill="1" applyBorder="1" applyAlignment="1">
      <alignment horizontal="center" vertical="center"/>
    </xf>
    <xf numFmtId="0" fontId="37" fillId="7" borderId="74" xfId="0" applyFont="1" applyFill="1" applyBorder="1" applyAlignment="1">
      <alignment horizontal="right" vertical="center"/>
    </xf>
    <xf numFmtId="0" fontId="37" fillId="7" borderId="57" xfId="0" applyFont="1" applyFill="1" applyBorder="1" applyAlignment="1">
      <alignment horizontal="right" vertical="center"/>
    </xf>
    <xf numFmtId="0" fontId="37" fillId="7" borderId="51" xfId="0" applyFont="1" applyFill="1" applyBorder="1" applyAlignment="1">
      <alignment horizontal="right" vertical="center"/>
    </xf>
    <xf numFmtId="0" fontId="37" fillId="7" borderId="94" xfId="0" applyFont="1" applyFill="1" applyBorder="1" applyAlignment="1">
      <alignment horizontal="right" vertical="center"/>
    </xf>
    <xf numFmtId="0" fontId="0" fillId="7" borderId="94" xfId="0" applyFill="1" applyBorder="1" applyAlignment="1">
      <alignment horizontal="right" vertical="center"/>
    </xf>
    <xf numFmtId="0" fontId="0" fillId="7" borderId="4" xfId="0" applyFill="1" applyBorder="1" applyAlignment="1">
      <alignment horizontal="right" vertical="center"/>
    </xf>
    <xf numFmtId="0" fontId="37" fillId="7" borderId="5" xfId="0" applyFont="1" applyFill="1" applyBorder="1" applyAlignment="1">
      <alignment horizontal="right" vertical="center"/>
    </xf>
    <xf numFmtId="0" fontId="0" fillId="7" borderId="95" xfId="0" applyFill="1" applyBorder="1" applyAlignment="1">
      <alignment horizontal="right" vertical="center"/>
    </xf>
    <xf numFmtId="0" fontId="1" fillId="7" borderId="35" xfId="0" applyFont="1" applyFill="1" applyBorder="1" applyAlignment="1">
      <alignment horizontal="center" vertical="center"/>
    </xf>
    <xf numFmtId="0" fontId="1" fillId="7" borderId="36" xfId="0" applyFont="1" applyFill="1" applyBorder="1" applyAlignment="1">
      <alignment horizontal="center" vertical="center"/>
    </xf>
    <xf numFmtId="0" fontId="1" fillId="7" borderId="37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66" xfId="0" applyFont="1" applyFill="1" applyBorder="1" applyAlignment="1">
      <alignment horizontal="center" vertical="center"/>
    </xf>
    <xf numFmtId="0" fontId="1" fillId="7" borderId="89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center" vertical="center"/>
    </xf>
    <xf numFmtId="1" fontId="37" fillId="13" borderId="23" xfId="0" applyNumberFormat="1" applyFont="1" applyFill="1" applyBorder="1" applyAlignment="1">
      <alignment horizontal="center" vertical="center"/>
    </xf>
    <xf numFmtId="1" fontId="37" fillId="13" borderId="48" xfId="0" applyNumberFormat="1" applyFont="1" applyFill="1" applyBorder="1" applyAlignment="1">
      <alignment horizontal="center" vertical="center"/>
    </xf>
    <xf numFmtId="1" fontId="37" fillId="13" borderId="43" xfId="0" applyNumberFormat="1" applyFont="1" applyFill="1" applyBorder="1" applyAlignment="1">
      <alignment horizontal="center" vertical="center"/>
    </xf>
    <xf numFmtId="1" fontId="37" fillId="13" borderId="90" xfId="0" applyNumberFormat="1" applyFont="1" applyFill="1" applyBorder="1" applyAlignment="1">
      <alignment horizontal="center" vertical="center"/>
    </xf>
    <xf numFmtId="1" fontId="37" fillId="13" borderId="24" xfId="0" applyNumberFormat="1" applyFont="1" applyFill="1" applyBorder="1" applyAlignment="1">
      <alignment horizontal="center" vertical="center"/>
    </xf>
    <xf numFmtId="2" fontId="37" fillId="13" borderId="50" xfId="0" applyNumberFormat="1" applyFont="1" applyFill="1" applyBorder="1" applyAlignment="1">
      <alignment horizontal="center" vertical="center"/>
    </xf>
    <xf numFmtId="0" fontId="37" fillId="13" borderId="52" xfId="0" applyFont="1" applyFill="1" applyBorder="1" applyAlignment="1">
      <alignment horizontal="center" vertical="center"/>
    </xf>
    <xf numFmtId="0" fontId="37" fillId="13" borderId="56" xfId="0" applyFont="1" applyFill="1" applyBorder="1" applyAlignment="1">
      <alignment horizontal="center" vertical="center"/>
    </xf>
    <xf numFmtId="2" fontId="37" fillId="13" borderId="91" xfId="0" applyNumberFormat="1" applyFont="1" applyFill="1" applyBorder="1" applyAlignment="1">
      <alignment horizontal="center" vertical="center"/>
    </xf>
    <xf numFmtId="0" fontId="37" fillId="13" borderId="55" xfId="0" applyFont="1" applyFill="1" applyBorder="1" applyAlignment="1">
      <alignment horizontal="center" vertical="center"/>
    </xf>
    <xf numFmtId="2" fontId="37" fillId="13" borderId="52" xfId="0" applyNumberFormat="1" applyFont="1" applyFill="1" applyBorder="1" applyAlignment="1">
      <alignment horizontal="center" vertical="center"/>
    </xf>
    <xf numFmtId="2" fontId="37" fillId="13" borderId="56" xfId="0" applyNumberFormat="1" applyFont="1" applyFill="1" applyBorder="1" applyAlignment="1">
      <alignment horizontal="center" vertical="center"/>
    </xf>
    <xf numFmtId="2" fontId="37" fillId="13" borderId="55" xfId="0" applyNumberFormat="1" applyFont="1" applyFill="1" applyBorder="1" applyAlignment="1">
      <alignment horizontal="center" vertical="center"/>
    </xf>
    <xf numFmtId="0" fontId="37" fillId="13" borderId="50" xfId="0" applyFont="1" applyFill="1" applyBorder="1" applyAlignment="1">
      <alignment horizontal="center" vertical="center"/>
    </xf>
    <xf numFmtId="0" fontId="37" fillId="13" borderId="91" xfId="0" applyFont="1" applyFill="1" applyBorder="1" applyAlignment="1">
      <alignment horizontal="center" vertical="center"/>
    </xf>
    <xf numFmtId="167" fontId="37" fillId="13" borderId="16" xfId="0" applyNumberFormat="1" applyFont="1" applyFill="1" applyBorder="1" applyAlignment="1">
      <alignment horizontal="center" vertical="center"/>
    </xf>
    <xf numFmtId="167" fontId="37" fillId="13" borderId="17" xfId="0" applyNumberFormat="1" applyFont="1" applyFill="1" applyBorder="1" applyAlignment="1">
      <alignment horizontal="center" vertical="center"/>
    </xf>
    <xf numFmtId="167" fontId="37" fillId="13" borderId="40" xfId="0" applyNumberFormat="1" applyFont="1" applyFill="1" applyBorder="1" applyAlignment="1">
      <alignment horizontal="center" vertical="center"/>
    </xf>
    <xf numFmtId="167" fontId="37" fillId="13" borderId="92" xfId="0" applyNumberFormat="1" applyFont="1" applyFill="1" applyBorder="1" applyAlignment="1">
      <alignment horizontal="center" vertical="center"/>
    </xf>
    <xf numFmtId="167" fontId="37" fillId="13" borderId="18" xfId="0" applyNumberFormat="1" applyFont="1" applyFill="1" applyBorder="1" applyAlignment="1">
      <alignment horizontal="center" vertical="center"/>
    </xf>
    <xf numFmtId="0" fontId="37" fillId="7" borderId="13" xfId="0" applyFont="1" applyFill="1" applyBorder="1" applyAlignment="1">
      <alignment horizontal="right" vertical="center"/>
    </xf>
    <xf numFmtId="0" fontId="37" fillId="7" borderId="15" xfId="0" applyFont="1" applyFill="1" applyBorder="1" applyAlignment="1">
      <alignment horizontal="right" vertical="center"/>
    </xf>
    <xf numFmtId="0" fontId="37" fillId="7" borderId="47" xfId="0" applyFont="1" applyFill="1" applyBorder="1" applyAlignment="1">
      <alignment horizontal="right" vertical="center"/>
    </xf>
    <xf numFmtId="0" fontId="37" fillId="7" borderId="93" xfId="0" applyFont="1" applyFill="1" applyBorder="1" applyAlignment="1">
      <alignment horizontal="right" vertical="center"/>
    </xf>
    <xf numFmtId="0" fontId="37" fillId="13" borderId="94" xfId="0" applyFont="1" applyFill="1" applyBorder="1" applyAlignment="1">
      <alignment horizontal="center" vertical="center"/>
    </xf>
    <xf numFmtId="0" fontId="37" fillId="13" borderId="57" xfId="0" applyFont="1" applyFill="1" applyBorder="1" applyAlignment="1">
      <alignment horizontal="center" vertical="center"/>
    </xf>
    <xf numFmtId="0" fontId="37" fillId="13" borderId="29" xfId="0" applyFont="1" applyFill="1" applyBorder="1" applyAlignment="1">
      <alignment horizontal="center" vertical="center"/>
    </xf>
    <xf numFmtId="1" fontId="37" fillId="13" borderId="98" xfId="0" applyNumberFormat="1" applyFont="1" applyFill="1" applyBorder="1" applyAlignment="1">
      <alignment horizontal="center" vertical="center"/>
    </xf>
    <xf numFmtId="1" fontId="37" fillId="13" borderId="11" xfId="0" applyNumberFormat="1" applyFont="1" applyFill="1" applyBorder="1" applyAlignment="1">
      <alignment horizontal="center" vertical="center"/>
    </xf>
    <xf numFmtId="1" fontId="37" fillId="13" borderId="12" xfId="0" applyNumberFormat="1" applyFont="1" applyFill="1" applyBorder="1" applyAlignment="1">
      <alignment horizontal="center" vertical="center"/>
    </xf>
    <xf numFmtId="0" fontId="0" fillId="7" borderId="99" xfId="0" applyFill="1" applyBorder="1" applyAlignment="1">
      <alignment horizontal="right" vertical="center"/>
    </xf>
    <xf numFmtId="0" fontId="0" fillId="7" borderId="21" xfId="0" applyFill="1" applyBorder="1" applyAlignment="1">
      <alignment horizontal="right" vertical="center"/>
    </xf>
    <xf numFmtId="0" fontId="0" fillId="7" borderId="68" xfId="0" applyFill="1" applyBorder="1" applyAlignment="1">
      <alignment horizontal="right" vertical="center"/>
    </xf>
    <xf numFmtId="0" fontId="0" fillId="7" borderId="57" xfId="0" applyFill="1" applyBorder="1" applyAlignment="1">
      <alignment horizontal="right" vertical="center"/>
    </xf>
    <xf numFmtId="167" fontId="37" fillId="13" borderId="99" xfId="0" applyNumberFormat="1" applyFont="1" applyFill="1" applyBorder="1" applyAlignment="1">
      <alignment horizontal="center" vertical="center"/>
    </xf>
    <xf numFmtId="167" fontId="37" fillId="13" borderId="21" xfId="0" applyNumberFormat="1" applyFont="1" applyFill="1" applyBorder="1" applyAlignment="1">
      <alignment horizontal="center" vertical="center"/>
    </xf>
    <xf numFmtId="167" fontId="37" fillId="13" borderId="32" xfId="0" applyNumberFormat="1" applyFont="1" applyFill="1" applyBorder="1" applyAlignment="1">
      <alignment horizontal="center" vertical="center"/>
    </xf>
    <xf numFmtId="2" fontId="37" fillId="13" borderId="94" xfId="0" applyNumberFormat="1" applyFont="1" applyFill="1" applyBorder="1" applyAlignment="1">
      <alignment horizontal="center" vertical="center"/>
    </xf>
    <xf numFmtId="2" fontId="37" fillId="13" borderId="57" xfId="0" applyNumberFormat="1" applyFont="1" applyFill="1" applyBorder="1" applyAlignment="1">
      <alignment horizontal="center" vertical="center"/>
    </xf>
    <xf numFmtId="2" fontId="37" fillId="13" borderId="29" xfId="0" applyNumberFormat="1" applyFont="1" applyFill="1" applyBorder="1" applyAlignment="1">
      <alignment horizontal="center" vertical="center"/>
    </xf>
    <xf numFmtId="2" fontId="37" fillId="13" borderId="90" xfId="0" applyNumberFormat="1" applyFont="1" applyFill="1" applyBorder="1" applyAlignment="1">
      <alignment horizontal="center" vertical="center"/>
    </xf>
    <xf numFmtId="2" fontId="37" fillId="13" borderId="48" xfId="0" applyNumberFormat="1" applyFont="1" applyFill="1" applyBorder="1" applyAlignment="1">
      <alignment horizontal="center" vertical="center"/>
    </xf>
    <xf numFmtId="2" fontId="37" fillId="13" borderId="43" xfId="0" applyNumberFormat="1" applyFont="1" applyFill="1" applyBorder="1" applyAlignment="1">
      <alignment horizontal="center" vertical="center"/>
    </xf>
    <xf numFmtId="2" fontId="37" fillId="13" borderId="24" xfId="0" applyNumberFormat="1" applyFont="1" applyFill="1" applyBorder="1" applyAlignment="1">
      <alignment horizontal="center" vertical="center"/>
    </xf>
    <xf numFmtId="168" fontId="37" fillId="13" borderId="91" xfId="0" applyNumberFormat="1" applyFont="1" applyFill="1" applyBorder="1" applyAlignment="1">
      <alignment horizontal="center" vertical="center"/>
    </xf>
    <xf numFmtId="168" fontId="37" fillId="13" borderId="52" xfId="0" applyNumberFormat="1" applyFont="1" applyFill="1" applyBorder="1" applyAlignment="1">
      <alignment horizontal="center" vertical="center"/>
    </xf>
    <xf numFmtId="168" fontId="37" fillId="13" borderId="56" xfId="0" applyNumberFormat="1" applyFont="1" applyFill="1" applyBorder="1" applyAlignment="1">
      <alignment horizontal="center" vertical="center"/>
    </xf>
    <xf numFmtId="168" fontId="37" fillId="13" borderId="55" xfId="0" applyNumberFormat="1" applyFont="1" applyFill="1" applyBorder="1" applyAlignment="1">
      <alignment horizontal="center" vertical="center"/>
    </xf>
    <xf numFmtId="164" fontId="37" fillId="13" borderId="98" xfId="0" applyNumberFormat="1" applyFont="1" applyFill="1" applyBorder="1" applyAlignment="1">
      <alignment horizontal="center" vertical="center"/>
    </xf>
    <xf numFmtId="164" fontId="37" fillId="13" borderId="11" xfId="0" applyNumberFormat="1" applyFont="1" applyFill="1" applyBorder="1" applyAlignment="1">
      <alignment horizontal="center" vertical="center"/>
    </xf>
    <xf numFmtId="164" fontId="37" fillId="13" borderId="12" xfId="0" applyNumberFormat="1" applyFont="1" applyFill="1" applyBorder="1" applyAlignment="1">
      <alignment horizontal="center" vertical="center"/>
    </xf>
    <xf numFmtId="164" fontId="37" fillId="13" borderId="94" xfId="0" applyNumberFormat="1" applyFont="1" applyFill="1" applyBorder="1" applyAlignment="1">
      <alignment horizontal="center" vertical="center"/>
    </xf>
    <xf numFmtId="164" fontId="37" fillId="13" borderId="57" xfId="0" applyNumberFormat="1" applyFont="1" applyFill="1" applyBorder="1" applyAlignment="1">
      <alignment horizontal="center" vertical="center"/>
    </xf>
    <xf numFmtId="164" fontId="37" fillId="13" borderId="29" xfId="0" applyNumberFormat="1" applyFont="1" applyFill="1" applyBorder="1" applyAlignment="1">
      <alignment horizontal="center" vertical="center"/>
    </xf>
    <xf numFmtId="167" fontId="37" fillId="13" borderId="19" xfId="0" applyNumberFormat="1" applyFont="1" applyFill="1" applyBorder="1" applyAlignment="1">
      <alignment horizontal="center" vertical="center"/>
    </xf>
    <xf numFmtId="0" fontId="38" fillId="0" borderId="62" xfId="0" applyFont="1" applyBorder="1" applyAlignment="1">
      <alignment horizontal="center" vertical="center" wrapText="1"/>
    </xf>
    <xf numFmtId="0" fontId="38" fillId="0" borderId="61" xfId="0" applyFont="1" applyBorder="1" applyAlignment="1">
      <alignment horizontal="center" vertical="center" wrapText="1"/>
    </xf>
    <xf numFmtId="0" fontId="38" fillId="0" borderId="63" xfId="0" applyFont="1" applyBorder="1" applyAlignment="1">
      <alignment horizontal="center" vertical="center" wrapText="1"/>
    </xf>
    <xf numFmtId="0" fontId="38" fillId="0" borderId="60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38" fillId="0" borderId="64" xfId="0" applyFont="1" applyBorder="1" applyAlignment="1">
      <alignment horizontal="center" vertical="center" wrapText="1"/>
    </xf>
    <xf numFmtId="0" fontId="38" fillId="0" borderId="38" xfId="0" applyFont="1" applyBorder="1" applyAlignment="1">
      <alignment horizontal="center" vertical="center" wrapText="1"/>
    </xf>
    <xf numFmtId="0" fontId="38" fillId="0" borderId="15" xfId="0" applyFont="1" applyBorder="1" applyAlignment="1">
      <alignment horizontal="center" vertical="center" wrapText="1"/>
    </xf>
    <xf numFmtId="0" fontId="38" fillId="0" borderId="47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7" fillId="7" borderId="35" xfId="0" applyFont="1" applyFill="1" applyBorder="1" applyAlignment="1">
      <alignment horizontal="center" vertical="center"/>
    </xf>
    <xf numFmtId="0" fontId="37" fillId="7" borderId="36" xfId="0" applyFont="1" applyFill="1" applyBorder="1" applyAlignment="1">
      <alignment horizontal="center" vertical="center"/>
    </xf>
    <xf numFmtId="0" fontId="37" fillId="7" borderId="37" xfId="0" applyFont="1" applyFill="1" applyBorder="1" applyAlignment="1">
      <alignment horizontal="center" vertical="center"/>
    </xf>
    <xf numFmtId="0" fontId="37" fillId="9" borderId="54" xfId="0" applyFont="1" applyFill="1" applyBorder="1" applyAlignment="1">
      <alignment horizontal="center" vertical="center"/>
    </xf>
    <xf numFmtId="0" fontId="37" fillId="9" borderId="48" xfId="0" applyFont="1" applyFill="1" applyBorder="1" applyAlignment="1">
      <alignment horizontal="center" vertical="center"/>
    </xf>
    <xf numFmtId="0" fontId="37" fillId="9" borderId="24" xfId="0" applyFont="1" applyFill="1" applyBorder="1" applyAlignment="1">
      <alignment horizontal="center" vertical="center"/>
    </xf>
    <xf numFmtId="0" fontId="37" fillId="9" borderId="51" xfId="0" applyFont="1" applyFill="1" applyBorder="1" applyAlignment="1">
      <alignment horizontal="center" vertical="center"/>
    </xf>
    <xf numFmtId="0" fontId="37" fillId="9" borderId="52" xfId="0" applyFont="1" applyFill="1" applyBorder="1" applyAlignment="1">
      <alignment horizontal="center" vertical="center"/>
    </xf>
    <xf numFmtId="0" fontId="37" fillId="9" borderId="55" xfId="0" applyFont="1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37" fillId="9" borderId="57" xfId="0" applyFont="1" applyFill="1" applyBorder="1" applyAlignment="1">
      <alignment horizontal="center" vertical="center"/>
    </xf>
    <xf numFmtId="0" fontId="37" fillId="9" borderId="29" xfId="0" applyFont="1" applyFill="1" applyBorder="1" applyAlignment="1">
      <alignment horizontal="center" vertical="center"/>
    </xf>
    <xf numFmtId="167" fontId="37" fillId="13" borderId="108" xfId="0" applyNumberFormat="1" applyFont="1" applyFill="1" applyBorder="1" applyAlignment="1">
      <alignment horizontal="center" vertical="center"/>
    </xf>
    <xf numFmtId="0" fontId="37" fillId="7" borderId="16" xfId="0" applyFont="1" applyFill="1" applyBorder="1" applyAlignment="1">
      <alignment horizontal="right" vertical="center"/>
    </xf>
    <xf numFmtId="0" fontId="37" fillId="7" borderId="17" xfId="0" applyFont="1" applyFill="1" applyBorder="1" applyAlignment="1">
      <alignment horizontal="right" vertical="center"/>
    </xf>
    <xf numFmtId="0" fontId="37" fillId="7" borderId="18" xfId="0" applyFont="1" applyFill="1" applyBorder="1" applyAlignment="1">
      <alignment horizontal="right" vertical="center"/>
    </xf>
    <xf numFmtId="0" fontId="37" fillId="13" borderId="51" xfId="0" applyFont="1" applyFill="1" applyBorder="1" applyAlignment="1">
      <alignment horizontal="center" vertical="center"/>
    </xf>
    <xf numFmtId="2" fontId="37" fillId="13" borderId="51" xfId="0" applyNumberFormat="1" applyFont="1" applyFill="1" applyBorder="1" applyAlignment="1">
      <alignment horizontal="center" vertical="center"/>
    </xf>
    <xf numFmtId="168" fontId="37" fillId="13" borderId="51" xfId="0" applyNumberFormat="1" applyFont="1" applyFill="1" applyBorder="1" applyAlignment="1">
      <alignment horizontal="center" vertical="center"/>
    </xf>
    <xf numFmtId="2" fontId="37" fillId="13" borderId="54" xfId="0" applyNumberFormat="1" applyFont="1" applyFill="1" applyBorder="1" applyAlignment="1">
      <alignment horizontal="center" vertical="center"/>
    </xf>
    <xf numFmtId="0" fontId="37" fillId="7" borderId="23" xfId="0" applyFont="1" applyFill="1" applyBorder="1" applyAlignment="1">
      <alignment horizontal="right" vertical="center"/>
    </xf>
    <xf numFmtId="0" fontId="37" fillId="7" borderId="48" xfId="0" applyFont="1" applyFill="1" applyBorder="1" applyAlignment="1">
      <alignment horizontal="right" vertical="center"/>
    </xf>
    <xf numFmtId="0" fontId="37" fillId="7" borderId="24" xfId="0" applyFont="1" applyFill="1" applyBorder="1" applyAlignment="1">
      <alignment horizontal="right" vertical="center"/>
    </xf>
    <xf numFmtId="0" fontId="37" fillId="7" borderId="52" xfId="0" applyFont="1" applyFill="1" applyBorder="1" applyAlignment="1">
      <alignment horizontal="right" vertical="center"/>
    </xf>
    <xf numFmtId="0" fontId="37" fillId="7" borderId="55" xfId="0" applyFont="1" applyFill="1" applyBorder="1" applyAlignment="1">
      <alignment horizontal="right" vertical="center"/>
    </xf>
    <xf numFmtId="0" fontId="37" fillId="7" borderId="50" xfId="0" applyFont="1" applyFill="1" applyBorder="1" applyAlignment="1">
      <alignment horizontal="right" vertical="center"/>
    </xf>
    <xf numFmtId="164" fontId="37" fillId="13" borderId="10" xfId="0" applyNumberFormat="1" applyFont="1" applyFill="1" applyBorder="1" applyAlignment="1">
      <alignment horizontal="center" vertical="center"/>
    </xf>
    <xf numFmtId="167" fontId="37" fillId="13" borderId="74" xfId="0" applyNumberFormat="1" applyFont="1" applyFill="1" applyBorder="1" applyAlignment="1">
      <alignment horizontal="center" vertical="center"/>
    </xf>
    <xf numFmtId="167" fontId="37" fillId="13" borderId="57" xfId="0" applyNumberFormat="1" applyFont="1" applyFill="1" applyBorder="1" applyAlignment="1">
      <alignment horizontal="center" vertical="center"/>
    </xf>
    <xf numFmtId="2" fontId="37" fillId="13" borderId="74" xfId="0" applyNumberFormat="1" applyFont="1" applyFill="1" applyBorder="1" applyAlignment="1">
      <alignment horizontal="center" vertical="center"/>
    </xf>
    <xf numFmtId="164" fontId="37" fillId="13" borderId="74" xfId="0" applyNumberFormat="1" applyFont="1" applyFill="1" applyBorder="1" applyAlignment="1">
      <alignment horizontal="center" vertical="center"/>
    </xf>
    <xf numFmtId="0" fontId="37" fillId="13" borderId="74" xfId="0" applyFont="1" applyFill="1" applyBorder="1" applyAlignment="1">
      <alignment horizontal="center" vertical="center"/>
    </xf>
    <xf numFmtId="0" fontId="0" fillId="7" borderId="19" xfId="0" applyFill="1" applyBorder="1" applyAlignment="1">
      <alignment horizontal="right" vertical="center"/>
    </xf>
    <xf numFmtId="0" fontId="0" fillId="9" borderId="19" xfId="0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9" borderId="32" xfId="0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37" fillId="7" borderId="98" xfId="0" applyFont="1" applyFill="1" applyBorder="1" applyAlignment="1">
      <alignment horizontal="right" vertical="center"/>
    </xf>
    <xf numFmtId="0" fontId="37" fillId="7" borderId="11" xfId="0" applyFont="1" applyFill="1" applyBorder="1" applyAlignment="1">
      <alignment horizontal="right" vertical="center"/>
    </xf>
    <xf numFmtId="0" fontId="37" fillId="7" borderId="54" xfId="0" applyFont="1" applyFill="1" applyBorder="1" applyAlignment="1">
      <alignment horizontal="right" vertical="center"/>
    </xf>
    <xf numFmtId="0" fontId="37" fillId="9" borderId="21" xfId="0" applyFont="1" applyFill="1" applyBorder="1" applyAlignment="1">
      <alignment horizontal="center" vertical="center"/>
    </xf>
    <xf numFmtId="0" fontId="37" fillId="9" borderId="32" xfId="0" applyFont="1" applyFill="1" applyBorder="1" applyAlignment="1">
      <alignment horizontal="center" vertical="center"/>
    </xf>
    <xf numFmtId="0" fontId="37" fillId="7" borderId="10" xfId="0" applyFont="1" applyFill="1" applyBorder="1" applyAlignment="1">
      <alignment horizontal="right" vertical="center"/>
    </xf>
    <xf numFmtId="0" fontId="37" fillId="9" borderId="74" xfId="0" applyFont="1" applyFill="1" applyBorder="1" applyAlignment="1">
      <alignment horizontal="center" vertical="center"/>
    </xf>
    <xf numFmtId="0" fontId="0" fillId="9" borderId="74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54" fillId="7" borderId="35" xfId="0" applyFont="1" applyFill="1" applyBorder="1" applyAlignment="1">
      <alignment horizontal="center" vertical="center"/>
    </xf>
    <xf numFmtId="0" fontId="54" fillId="7" borderId="36" xfId="0" applyFont="1" applyFill="1" applyBorder="1" applyAlignment="1">
      <alignment horizontal="center" vertical="center"/>
    </xf>
    <xf numFmtId="0" fontId="54" fillId="7" borderId="37" xfId="0" applyFont="1" applyFill="1" applyBorder="1" applyAlignment="1">
      <alignment horizontal="center" vertical="center"/>
    </xf>
    <xf numFmtId="0" fontId="54" fillId="9" borderId="74" xfId="0" applyFont="1" applyFill="1" applyBorder="1" applyAlignment="1">
      <alignment horizontal="center" vertical="center"/>
    </xf>
    <xf numFmtId="0" fontId="54" fillId="9" borderId="57" xfId="0" applyFont="1" applyFill="1" applyBorder="1" applyAlignment="1">
      <alignment horizontal="center" vertical="center"/>
    </xf>
    <xf numFmtId="0" fontId="54" fillId="9" borderId="51" xfId="0" applyFont="1" applyFill="1" applyBorder="1" applyAlignment="1">
      <alignment horizontal="center" vertical="center"/>
    </xf>
    <xf numFmtId="0" fontId="54" fillId="9" borderId="19" xfId="0" applyFont="1" applyFill="1" applyBorder="1" applyAlignment="1">
      <alignment horizontal="center" vertical="center"/>
    </xf>
    <xf numFmtId="0" fontId="54" fillId="9" borderId="21" xfId="0" applyFont="1" applyFill="1" applyBorder="1" applyAlignment="1">
      <alignment horizontal="center" vertical="center"/>
    </xf>
    <xf numFmtId="0" fontId="54" fillId="9" borderId="68" xfId="0" applyFont="1" applyFill="1" applyBorder="1" applyAlignment="1">
      <alignment horizontal="center" vertical="center"/>
    </xf>
    <xf numFmtId="0" fontId="55" fillId="0" borderId="62" xfId="0" applyFont="1" applyBorder="1" applyAlignment="1">
      <alignment horizontal="center" vertical="center" wrapText="1"/>
    </xf>
    <xf numFmtId="0" fontId="55" fillId="0" borderId="61" xfId="0" applyFont="1" applyBorder="1" applyAlignment="1">
      <alignment horizontal="center" vertical="center" wrapText="1"/>
    </xf>
    <xf numFmtId="0" fontId="55" fillId="0" borderId="63" xfId="0" applyFont="1" applyBorder="1" applyAlignment="1">
      <alignment horizontal="center" vertical="center" wrapText="1"/>
    </xf>
    <xf numFmtId="0" fontId="55" fillId="0" borderId="60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 wrapText="1"/>
    </xf>
    <xf numFmtId="0" fontId="55" fillId="0" borderId="64" xfId="0" applyFont="1" applyBorder="1" applyAlignment="1">
      <alignment horizontal="center" vertical="center" wrapText="1"/>
    </xf>
    <xf numFmtId="0" fontId="55" fillId="0" borderId="38" xfId="0" applyFont="1" applyBorder="1" applyAlignment="1">
      <alignment horizontal="center" vertical="center" wrapText="1"/>
    </xf>
    <xf numFmtId="0" fontId="55" fillId="0" borderId="15" xfId="0" applyFont="1" applyBorder="1" applyAlignment="1">
      <alignment horizontal="center" vertical="center" wrapText="1"/>
    </xf>
    <xf numFmtId="0" fontId="55" fillId="0" borderId="47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0" fontId="54" fillId="7" borderId="81" xfId="0" applyFont="1" applyFill="1" applyBorder="1" applyAlignment="1">
      <alignment horizontal="center" vertical="center"/>
    </xf>
    <xf numFmtId="0" fontId="54" fillId="7" borderId="82" xfId="0" applyFont="1" applyFill="1" applyBorder="1" applyAlignment="1">
      <alignment horizontal="center" vertical="center"/>
    </xf>
    <xf numFmtId="0" fontId="54" fillId="7" borderId="87" xfId="0" applyFont="1" applyFill="1" applyBorder="1" applyAlignment="1">
      <alignment horizontal="center" vertical="center"/>
    </xf>
    <xf numFmtId="0" fontId="54" fillId="7" borderId="42" xfId="0" applyFont="1" applyFill="1" applyBorder="1" applyAlignment="1">
      <alignment horizontal="center" vertical="center" wrapText="1"/>
    </xf>
    <xf numFmtId="0" fontId="54" fillId="7" borderId="44" xfId="0" applyFont="1" applyFill="1" applyBorder="1" applyAlignment="1">
      <alignment horizontal="center" vertical="center" wrapText="1"/>
    </xf>
    <xf numFmtId="0" fontId="54" fillId="7" borderId="3" xfId="0" applyFont="1" applyFill="1" applyBorder="1" applyAlignment="1">
      <alignment horizontal="center" vertical="center" wrapText="1"/>
    </xf>
    <xf numFmtId="0" fontId="54" fillId="7" borderId="6" xfId="0" applyFont="1" applyFill="1" applyBorder="1" applyAlignment="1">
      <alignment horizontal="center" vertical="center" wrapText="1"/>
    </xf>
    <xf numFmtId="0" fontId="54" fillId="7" borderId="7" xfId="0" applyFont="1" applyFill="1" applyBorder="1" applyAlignment="1">
      <alignment horizontal="center" vertical="center"/>
    </xf>
    <xf numFmtId="0" fontId="54" fillId="7" borderId="8" xfId="0" applyFont="1" applyFill="1" applyBorder="1" applyAlignment="1">
      <alignment horizontal="center" vertical="center"/>
    </xf>
    <xf numFmtId="0" fontId="54" fillId="7" borderId="66" xfId="0" applyFont="1" applyFill="1" applyBorder="1" applyAlignment="1">
      <alignment horizontal="center" vertical="center"/>
    </xf>
    <xf numFmtId="164" fontId="0" fillId="5" borderId="42" xfId="0" applyNumberFormat="1" applyFill="1" applyBorder="1" applyAlignment="1">
      <alignment horizontal="center" vertical="center" wrapText="1"/>
    </xf>
    <xf numFmtId="164" fontId="0" fillId="5" borderId="49" xfId="0" applyNumberFormat="1" applyFill="1" applyBorder="1" applyAlignment="1">
      <alignment horizontal="center" vertical="center" wrapText="1"/>
    </xf>
    <xf numFmtId="164" fontId="0" fillId="5" borderId="44" xfId="0" applyNumberFormat="1" applyFill="1" applyBorder="1" applyAlignment="1">
      <alignment horizontal="center" vertical="center" wrapText="1"/>
    </xf>
    <xf numFmtId="0" fontId="0" fillId="5" borderId="52" xfId="0" applyFill="1" applyBorder="1" applyAlignment="1">
      <alignment horizontal="center" vertical="center" wrapText="1"/>
    </xf>
    <xf numFmtId="0" fontId="0" fillId="5" borderId="5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6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 wrapText="1"/>
    </xf>
    <xf numFmtId="0" fontId="0" fillId="2" borderId="45" xfId="0" applyFill="1" applyBorder="1" applyAlignment="1">
      <alignment horizontal="center" vertical="center" wrapText="1"/>
    </xf>
    <xf numFmtId="11" fontId="0" fillId="2" borderId="58" xfId="0" applyNumberFormat="1" applyFill="1" applyBorder="1" applyAlignment="1">
      <alignment horizontal="center" vertical="center" wrapText="1"/>
    </xf>
    <xf numFmtId="11" fontId="0" fillId="2" borderId="45" xfId="0" applyNumberFormat="1" applyFill="1" applyBorder="1" applyAlignment="1">
      <alignment horizontal="center" vertical="center" wrapText="1"/>
    </xf>
    <xf numFmtId="0" fontId="0" fillId="2" borderId="38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0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15" fontId="0" fillId="2" borderId="66" xfId="0" applyNumberFormat="1" applyFill="1" applyBorder="1" applyAlignment="1">
      <alignment horizontal="center" vertical="center" wrapText="1"/>
    </xf>
    <xf numFmtId="15" fontId="0" fillId="2" borderId="37" xfId="0" applyNumberFormat="1" applyFill="1" applyBorder="1" applyAlignment="1">
      <alignment horizontal="center" vertical="center" wrapText="1"/>
    </xf>
    <xf numFmtId="0" fontId="0" fillId="2" borderId="59" xfId="0" applyFill="1" applyBorder="1" applyAlignment="1">
      <alignment horizontal="center" vertical="center" wrapText="1"/>
    </xf>
    <xf numFmtId="0" fontId="0" fillId="2" borderId="39" xfId="0" applyFill="1" applyBorder="1" applyAlignment="1">
      <alignment horizontal="center" vertical="center" wrapText="1"/>
    </xf>
    <xf numFmtId="0" fontId="0" fillId="7" borderId="35" xfId="0" applyFill="1" applyBorder="1" applyAlignment="1">
      <alignment horizontal="center" vertical="center" wrapText="1"/>
    </xf>
    <xf numFmtId="0" fontId="0" fillId="7" borderId="36" xfId="0" applyFill="1" applyBorder="1" applyAlignment="1">
      <alignment horizontal="center" vertical="center" wrapText="1"/>
    </xf>
    <xf numFmtId="0" fontId="0" fillId="7" borderId="37" xfId="0" applyFill="1" applyBorder="1" applyAlignment="1">
      <alignment horizontal="center" vertical="center" wrapText="1"/>
    </xf>
    <xf numFmtId="10" fontId="0" fillId="0" borderId="22" xfId="0" applyNumberFormat="1" applyBorder="1" applyAlignment="1">
      <alignment horizontal="center" vertical="center" wrapText="1"/>
    </xf>
    <xf numFmtId="10" fontId="0" fillId="0" borderId="29" xfId="0" applyNumberFormat="1" applyBorder="1" applyAlignment="1">
      <alignment horizontal="center" vertical="center" wrapText="1"/>
    </xf>
    <xf numFmtId="10" fontId="0" fillId="0" borderId="32" xfId="0" applyNumberFormat="1" applyBorder="1" applyAlignment="1">
      <alignment horizontal="center" vertical="center" wrapText="1"/>
    </xf>
    <xf numFmtId="0" fontId="0" fillId="5" borderId="35" xfId="0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5" borderId="37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0" xfId="0" quotePrefix="1" applyBorder="1" applyAlignment="1">
      <alignment horizontal="center" vertical="center" wrapText="1"/>
    </xf>
    <xf numFmtId="10" fontId="0" fillId="0" borderId="14" xfId="0" applyNumberFormat="1" applyBorder="1" applyAlignment="1">
      <alignment horizontal="center" vertical="center" wrapText="1"/>
    </xf>
    <xf numFmtId="10" fontId="0" fillId="0" borderId="28" xfId="0" applyNumberFormat="1" applyBorder="1" applyAlignment="1">
      <alignment horizontal="center" vertical="center" wrapText="1"/>
    </xf>
    <xf numFmtId="10" fontId="0" fillId="0" borderId="20" xfId="0" applyNumberFormat="1" applyBorder="1" applyAlignment="1">
      <alignment horizontal="center" vertical="center" wrapText="1"/>
    </xf>
    <xf numFmtId="0" fontId="0" fillId="0" borderId="50" xfId="0" quotePrefix="1" applyBorder="1" applyAlignment="1">
      <alignment horizontal="center" vertical="center"/>
    </xf>
    <xf numFmtId="0" fontId="0" fillId="0" borderId="56" xfId="0" quotePrefix="1" applyBorder="1" applyAlignment="1">
      <alignment horizontal="center" vertical="center"/>
    </xf>
    <xf numFmtId="0" fontId="0" fillId="0" borderId="16" xfId="0" quotePrefix="1" applyBorder="1" applyAlignment="1">
      <alignment horizontal="center" vertical="center"/>
    </xf>
    <xf numFmtId="0" fontId="0" fillId="0" borderId="40" xfId="0" quotePrefix="1" applyBorder="1" applyAlignment="1">
      <alignment horizontal="center" vertical="center"/>
    </xf>
    <xf numFmtId="0" fontId="54" fillId="9" borderId="5" xfId="0" applyFont="1" applyFill="1" applyBorder="1" applyAlignment="1">
      <alignment horizontal="center" vertical="center"/>
    </xf>
    <xf numFmtId="0" fontId="54" fillId="9" borderId="46" xfId="0" applyFont="1" applyFill="1" applyBorder="1" applyAlignment="1">
      <alignment horizontal="center" vertical="center"/>
    </xf>
    <xf numFmtId="0" fontId="54" fillId="7" borderId="42" xfId="0" applyFont="1" applyFill="1" applyBorder="1" applyAlignment="1">
      <alignment horizontal="center" vertical="center"/>
    </xf>
    <xf numFmtId="0" fontId="54" fillId="7" borderId="44" xfId="0" applyFont="1" applyFill="1" applyBorder="1" applyAlignment="1">
      <alignment horizontal="center" vertical="center"/>
    </xf>
    <xf numFmtId="0" fontId="54" fillId="7" borderId="1" xfId="0" applyFont="1" applyFill="1" applyBorder="1" applyAlignment="1">
      <alignment horizontal="center" vertical="center"/>
    </xf>
    <xf numFmtId="0" fontId="54" fillId="7" borderId="2" xfId="0" applyFont="1" applyFill="1" applyBorder="1" applyAlignment="1">
      <alignment horizontal="center" vertical="center"/>
    </xf>
    <xf numFmtId="0" fontId="54" fillId="7" borderId="3" xfId="0" applyFont="1" applyFill="1" applyBorder="1" applyAlignment="1">
      <alignment horizontal="center" vertical="center"/>
    </xf>
    <xf numFmtId="0" fontId="54" fillId="7" borderId="4" xfId="0" applyFont="1" applyFill="1" applyBorder="1" applyAlignment="1">
      <alignment horizontal="center" vertical="center"/>
    </xf>
    <xf numFmtId="0" fontId="54" fillId="7" borderId="5" xfId="0" applyFont="1" applyFill="1" applyBorder="1" applyAlignment="1">
      <alignment horizontal="center" vertical="center"/>
    </xf>
    <xf numFmtId="0" fontId="54" fillId="7" borderId="6" xfId="0" applyFont="1" applyFill="1" applyBorder="1" applyAlignment="1">
      <alignment horizontal="center" vertical="center"/>
    </xf>
    <xf numFmtId="1" fontId="37" fillId="13" borderId="50" xfId="0" applyNumberFormat="1" applyFont="1" applyFill="1" applyBorder="1" applyAlignment="1">
      <alignment horizontal="center" vertical="center"/>
    </xf>
    <xf numFmtId="1" fontId="37" fillId="13" borderId="52" xfId="0" applyNumberFormat="1" applyFont="1" applyFill="1" applyBorder="1" applyAlignment="1">
      <alignment horizontal="center" vertical="center"/>
    </xf>
    <xf numFmtId="1" fontId="37" fillId="13" borderId="56" xfId="0" applyNumberFormat="1" applyFont="1" applyFill="1" applyBorder="1" applyAlignment="1">
      <alignment horizontal="center" vertical="center"/>
    </xf>
    <xf numFmtId="1" fontId="37" fillId="13" borderId="55" xfId="0" applyNumberFormat="1" applyFont="1" applyFill="1" applyBorder="1" applyAlignment="1">
      <alignment horizontal="center" vertical="center"/>
    </xf>
    <xf numFmtId="1" fontId="37" fillId="13" borderId="68" xfId="0" applyNumberFormat="1" applyFont="1" applyFill="1" applyBorder="1" applyAlignment="1">
      <alignment horizontal="center" vertical="center"/>
    </xf>
    <xf numFmtId="1" fontId="37" fillId="13" borderId="17" xfId="0" applyNumberFormat="1" applyFont="1" applyFill="1" applyBorder="1" applyAlignment="1">
      <alignment horizontal="center" vertical="center"/>
    </xf>
    <xf numFmtId="1" fontId="37" fillId="13" borderId="40" xfId="0" applyNumberFormat="1" applyFont="1" applyFill="1" applyBorder="1" applyAlignment="1">
      <alignment horizontal="center" vertical="center"/>
    </xf>
    <xf numFmtId="1" fontId="37" fillId="13" borderId="18" xfId="0" applyNumberFormat="1" applyFont="1" applyFill="1" applyBorder="1" applyAlignment="1">
      <alignment horizontal="center" vertical="center"/>
    </xf>
    <xf numFmtId="164" fontId="37" fillId="13" borderId="51" xfId="0" applyNumberFormat="1" applyFont="1" applyFill="1" applyBorder="1" applyAlignment="1">
      <alignment horizontal="center" vertical="center"/>
    </xf>
    <xf numFmtId="164" fontId="37" fillId="13" borderId="52" xfId="0" applyNumberFormat="1" applyFont="1" applyFill="1" applyBorder="1" applyAlignment="1">
      <alignment horizontal="center" vertical="center"/>
    </xf>
    <xf numFmtId="164" fontId="37" fillId="13" borderId="56" xfId="0" applyNumberFormat="1" applyFont="1" applyFill="1" applyBorder="1" applyAlignment="1">
      <alignment horizontal="center" vertical="center"/>
    </xf>
    <xf numFmtId="164" fontId="37" fillId="13" borderId="55" xfId="0" applyNumberFormat="1" applyFont="1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37" fillId="7" borderId="7" xfId="0" applyFont="1" applyFill="1" applyBorder="1" applyAlignment="1">
      <alignment horizontal="center" vertical="center"/>
    </xf>
    <xf numFmtId="0" fontId="37" fillId="7" borderId="8" xfId="0" applyFont="1" applyFill="1" applyBorder="1" applyAlignment="1">
      <alignment horizontal="center" vertical="center"/>
    </xf>
    <xf numFmtId="0" fontId="37" fillId="7" borderId="66" xfId="0" applyFont="1" applyFill="1" applyBorder="1" applyAlignment="1">
      <alignment horizontal="center" vertical="center"/>
    </xf>
    <xf numFmtId="0" fontId="37" fillId="7" borderId="9" xfId="0" applyFont="1" applyFill="1" applyBorder="1" applyAlignment="1">
      <alignment horizontal="center" vertical="center"/>
    </xf>
    <xf numFmtId="164" fontId="37" fillId="13" borderId="54" xfId="0" applyNumberFormat="1" applyFont="1" applyFill="1" applyBorder="1" applyAlignment="1">
      <alignment horizontal="center" vertical="center"/>
    </xf>
    <xf numFmtId="164" fontId="37" fillId="13" borderId="48" xfId="0" applyNumberFormat="1" applyFont="1" applyFill="1" applyBorder="1" applyAlignment="1">
      <alignment horizontal="center" vertical="center"/>
    </xf>
    <xf numFmtId="164" fontId="37" fillId="13" borderId="43" xfId="0" applyNumberFormat="1" applyFont="1" applyFill="1" applyBorder="1" applyAlignment="1">
      <alignment horizontal="center" vertical="center"/>
    </xf>
    <xf numFmtId="164" fontId="37" fillId="13" borderId="24" xfId="0" applyNumberFormat="1" applyFont="1" applyFill="1" applyBorder="1" applyAlignment="1">
      <alignment horizontal="center" vertical="center"/>
    </xf>
    <xf numFmtId="164" fontId="37" fillId="13" borderId="23" xfId="0" applyNumberFormat="1" applyFont="1" applyFill="1" applyBorder="1" applyAlignment="1">
      <alignment horizontal="center" vertical="center"/>
    </xf>
    <xf numFmtId="164" fontId="37" fillId="13" borderId="50" xfId="0" applyNumberFormat="1" applyFont="1" applyFill="1" applyBorder="1" applyAlignment="1">
      <alignment horizontal="center" vertical="center"/>
    </xf>
    <xf numFmtId="0" fontId="0" fillId="9" borderId="54" xfId="0" applyFill="1" applyBorder="1" applyAlignment="1">
      <alignment horizontal="center" vertical="center"/>
    </xf>
    <xf numFmtId="0" fontId="10" fillId="0" borderId="62" xfId="0" applyFont="1" applyBorder="1" applyAlignment="1">
      <alignment horizontal="center" vertical="center" wrapText="1"/>
    </xf>
    <xf numFmtId="0" fontId="10" fillId="0" borderId="61" xfId="0" applyFont="1" applyBorder="1" applyAlignment="1">
      <alignment horizontal="center" vertical="center" wrapText="1"/>
    </xf>
    <xf numFmtId="0" fontId="10" fillId="0" borderId="63" xfId="0" applyFont="1" applyBorder="1" applyAlignment="1">
      <alignment horizontal="center" vertical="center" wrapText="1"/>
    </xf>
    <xf numFmtId="0" fontId="10" fillId="0" borderId="6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64" xfId="0" applyFont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9" fillId="0" borderId="52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177" fontId="9" fillId="0" borderId="0" xfId="0" applyNumberFormat="1" applyFont="1" applyAlignment="1" applyProtection="1">
      <alignment horizontal="left"/>
      <protection locked="0"/>
    </xf>
    <xf numFmtId="2" fontId="9" fillId="0" borderId="0" xfId="0" applyNumberFormat="1" applyFont="1" applyAlignment="1" applyProtection="1">
      <alignment horizontal="center" vertical="center"/>
      <protection locked="0"/>
    </xf>
    <xf numFmtId="0" fontId="0" fillId="0" borderId="0" xfId="0" quotePrefix="1" applyAlignment="1">
      <alignment horizontal="justify" vertical="justify" wrapText="1"/>
    </xf>
    <xf numFmtId="0" fontId="11" fillId="0" borderId="52" xfId="0" applyFont="1" applyBorder="1" applyAlignment="1">
      <alignment horizontal="center"/>
    </xf>
    <xf numFmtId="0" fontId="9" fillId="0" borderId="0" xfId="0" applyFont="1" applyAlignment="1" applyProtection="1">
      <alignment horizontal="center" vertical="center"/>
      <protection locked="0"/>
    </xf>
    <xf numFmtId="0" fontId="0" fillId="0" borderId="10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54" xfId="0" applyFont="1" applyBorder="1" applyAlignment="1">
      <alignment horizontal="center"/>
    </xf>
    <xf numFmtId="11" fontId="0" fillId="0" borderId="19" xfId="0" applyNumberFormat="1" applyBorder="1" applyAlignment="1">
      <alignment horizontal="center"/>
    </xf>
    <xf numFmtId="11" fontId="9" fillId="0" borderId="21" xfId="0" applyNumberFormat="1" applyFont="1" applyBorder="1" applyAlignment="1">
      <alignment horizontal="center"/>
    </xf>
    <xf numFmtId="11" fontId="9" fillId="0" borderId="68" xfId="0" applyNumberFormat="1" applyFont="1" applyBorder="1" applyAlignment="1">
      <alignment horizontal="center"/>
    </xf>
    <xf numFmtId="11" fontId="9" fillId="0" borderId="40" xfId="0" applyNumberFormat="1" applyFont="1" applyBorder="1" applyAlignment="1">
      <alignment horizontal="center"/>
    </xf>
    <xf numFmtId="11" fontId="9" fillId="0" borderId="32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164" fontId="9" fillId="0" borderId="52" xfId="0" applyNumberFormat="1" applyFont="1" applyBorder="1" applyAlignment="1">
      <alignment horizontal="center"/>
    </xf>
    <xf numFmtId="164" fontId="9" fillId="0" borderId="55" xfId="0" applyNumberFormat="1" applyFont="1" applyBorder="1" applyAlignment="1">
      <alignment horizontal="center"/>
    </xf>
    <xf numFmtId="0" fontId="9" fillId="0" borderId="50" xfId="0" applyFont="1" applyBorder="1" applyAlignment="1">
      <alignment horizontal="center"/>
    </xf>
    <xf numFmtId="164" fontId="9" fillId="0" borderId="35" xfId="0" applyNumberFormat="1" applyFont="1" applyBorder="1" applyAlignment="1">
      <alignment horizontal="center"/>
    </xf>
    <xf numFmtId="164" fontId="9" fillId="0" borderId="36" xfId="0" applyNumberFormat="1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164" fontId="9" fillId="0" borderId="27" xfId="0" applyNumberFormat="1" applyFont="1" applyBorder="1" applyAlignment="1">
      <alignment horizontal="center"/>
    </xf>
    <xf numFmtId="164" fontId="9" fillId="0" borderId="26" xfId="0" applyNumberFormat="1" applyFont="1" applyBorder="1" applyAlignment="1">
      <alignment horizontal="center"/>
    </xf>
    <xf numFmtId="2" fontId="9" fillId="0" borderId="45" xfId="0" applyNumberFormat="1" applyFont="1" applyBorder="1" applyAlignment="1">
      <alignment horizontal="center"/>
    </xf>
    <xf numFmtId="2" fontId="9" fillId="0" borderId="41" xfId="0" applyNumberFormat="1" applyFont="1" applyBorder="1" applyAlignment="1">
      <alignment horizontal="center"/>
    </xf>
    <xf numFmtId="177" fontId="0" fillId="0" borderId="0" xfId="0" applyNumberFormat="1" applyFont="1" applyAlignment="1" applyProtection="1">
      <alignment horizontal="left"/>
      <protection locked="0"/>
    </xf>
    <xf numFmtId="2" fontId="9" fillId="0" borderId="52" xfId="0" applyNumberFormat="1" applyFont="1" applyBorder="1" applyAlignment="1">
      <alignment horizontal="center"/>
    </xf>
    <xf numFmtId="2" fontId="9" fillId="0" borderId="55" xfId="0" applyNumberFormat="1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45" xfId="0" applyFont="1" applyBorder="1" applyAlignment="1">
      <alignment horizontal="center"/>
    </xf>
    <xf numFmtId="164" fontId="9" fillId="0" borderId="45" xfId="0" applyNumberFormat="1" applyFont="1" applyBorder="1" applyAlignment="1">
      <alignment horizontal="center"/>
    </xf>
    <xf numFmtId="164" fontId="9" fillId="0" borderId="41" xfId="0" applyNumberFormat="1" applyFont="1" applyBorder="1" applyAlignment="1">
      <alignment horizontal="center"/>
    </xf>
    <xf numFmtId="2" fontId="9" fillId="0" borderId="27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0" fontId="9" fillId="0" borderId="35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0" fillId="0" borderId="35" xfId="0" applyBorder="1" applyAlignment="1" applyProtection="1">
      <alignment horizontal="center"/>
      <protection locked="0"/>
    </xf>
    <xf numFmtId="0" fontId="0" fillId="0" borderId="36" xfId="0" applyBorder="1" applyAlignment="1" applyProtection="1">
      <alignment horizontal="center"/>
      <protection locked="0"/>
    </xf>
    <xf numFmtId="0" fontId="9" fillId="0" borderId="36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52" xfId="0" applyBorder="1" applyAlignment="1" applyProtection="1">
      <alignment horizontal="center" vertical="center"/>
      <protection locked="0"/>
    </xf>
    <xf numFmtId="0" fontId="0" fillId="0" borderId="56" xfId="0" quotePrefix="1" applyBorder="1" applyAlignment="1" applyProtection="1">
      <alignment horizontal="left" vertical="center" wrapText="1"/>
      <protection locked="0"/>
    </xf>
    <xf numFmtId="0" fontId="0" fillId="0" borderId="57" xfId="0" applyBorder="1" applyAlignment="1" applyProtection="1">
      <alignment horizontal="left" vertical="center" wrapText="1"/>
      <protection locked="0"/>
    </xf>
    <xf numFmtId="0" fontId="0" fillId="0" borderId="51" xfId="0" applyBorder="1" applyAlignment="1" applyProtection="1">
      <alignment horizontal="left" vertical="center" wrapText="1"/>
      <protection locked="0"/>
    </xf>
    <xf numFmtId="0" fontId="0" fillId="0" borderId="52" xfId="0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63" xfId="0" applyFill="1" applyBorder="1" applyAlignment="1">
      <alignment horizontal="center" vertical="center"/>
    </xf>
    <xf numFmtId="0" fontId="0" fillId="0" borderId="52" xfId="0" applyBorder="1" applyAlignment="1">
      <alignment horizontal="right" vertical="center"/>
    </xf>
    <xf numFmtId="0" fontId="0" fillId="0" borderId="56" xfId="0" applyBorder="1" applyAlignment="1" applyProtection="1">
      <alignment horizontal="left" vertical="center" wrapText="1"/>
      <protection locked="0"/>
    </xf>
    <xf numFmtId="14" fontId="0" fillId="0" borderId="56" xfId="0" applyNumberFormat="1" applyBorder="1" applyAlignment="1" applyProtection="1">
      <alignment horizontal="left" vertical="center" wrapText="1"/>
      <protection locked="0"/>
    </xf>
    <xf numFmtId="14" fontId="0" fillId="0" borderId="57" xfId="0" applyNumberFormat="1" applyBorder="1" applyAlignment="1" applyProtection="1">
      <alignment horizontal="left" vertical="center" wrapText="1"/>
      <protection locked="0"/>
    </xf>
    <xf numFmtId="14" fontId="0" fillId="0" borderId="51" xfId="0" applyNumberFormat="1" applyBorder="1" applyAlignment="1" applyProtection="1">
      <alignment horizontal="left" vertical="center" wrapText="1"/>
      <protection locked="0"/>
    </xf>
    <xf numFmtId="0" fontId="0" fillId="0" borderId="56" xfId="0" applyBorder="1" applyAlignment="1">
      <alignment horizontal="right" vertical="center"/>
    </xf>
    <xf numFmtId="0" fontId="0" fillId="0" borderId="57" xfId="0" applyBorder="1" applyAlignment="1">
      <alignment horizontal="right" vertical="center"/>
    </xf>
    <xf numFmtId="0" fontId="0" fillId="0" borderId="51" xfId="0" applyBorder="1" applyAlignment="1">
      <alignment horizontal="right" vertical="center"/>
    </xf>
    <xf numFmtId="177" fontId="0" fillId="0" borderId="56" xfId="0" applyNumberFormat="1" applyBorder="1" applyAlignment="1" applyProtection="1">
      <alignment horizontal="left" vertical="center" wrapText="1"/>
      <protection locked="0"/>
    </xf>
    <xf numFmtId="177" fontId="0" fillId="0" borderId="57" xfId="0" applyNumberFormat="1" applyBorder="1" applyAlignment="1" applyProtection="1">
      <alignment horizontal="left" vertical="center" wrapText="1"/>
      <protection locked="0"/>
    </xf>
    <xf numFmtId="177" fontId="0" fillId="0" borderId="51" xfId="0" applyNumberFormat="1" applyBorder="1" applyAlignment="1" applyProtection="1">
      <alignment horizontal="left" vertical="center" wrapText="1"/>
      <protection locked="0"/>
    </xf>
    <xf numFmtId="15" fontId="0" fillId="0" borderId="56" xfId="0" applyNumberFormat="1" applyBorder="1" applyAlignment="1" applyProtection="1">
      <alignment horizontal="left" vertical="center" wrapText="1"/>
      <protection locked="0"/>
    </xf>
    <xf numFmtId="15" fontId="0" fillId="0" borderId="57" xfId="0" applyNumberFormat="1" applyBorder="1" applyAlignment="1" applyProtection="1">
      <alignment horizontal="left" vertical="center" wrapText="1"/>
      <protection locked="0"/>
    </xf>
    <xf numFmtId="15" fontId="0" fillId="0" borderId="51" xfId="0" applyNumberFormat="1" applyBorder="1" applyAlignment="1" applyProtection="1">
      <alignment horizontal="left" vertical="center" wrapText="1"/>
      <protection locked="0"/>
    </xf>
    <xf numFmtId="0" fontId="0" fillId="7" borderId="56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0" borderId="61" xfId="0" applyBorder="1" applyAlignment="1">
      <alignment horizontal="left" vertical="center" wrapText="1"/>
    </xf>
    <xf numFmtId="0" fontId="1" fillId="7" borderId="52" xfId="0" applyFont="1" applyFill="1" applyBorder="1" applyAlignment="1">
      <alignment horizontal="center" vertical="center"/>
    </xf>
    <xf numFmtId="0" fontId="0" fillId="8" borderId="52" xfId="0" quotePrefix="1" applyFill="1" applyBorder="1" applyAlignment="1" applyProtection="1">
      <alignment horizontal="justify" vertical="center"/>
      <protection locked="0"/>
    </xf>
    <xf numFmtId="0" fontId="0" fillId="8" borderId="56" xfId="0" quotePrefix="1" applyFill="1" applyBorder="1" applyAlignment="1" applyProtection="1">
      <alignment horizontal="justify" vertical="center" wrapText="1"/>
    </xf>
    <xf numFmtId="0" fontId="0" fillId="8" borderId="57" xfId="0" quotePrefix="1" applyFill="1" applyBorder="1" applyAlignment="1" applyProtection="1">
      <alignment horizontal="justify" vertical="center" wrapText="1"/>
    </xf>
    <xf numFmtId="0" fontId="0" fillId="7" borderId="70" xfId="0" applyFill="1" applyBorder="1" applyAlignment="1">
      <alignment horizontal="center" vertical="center" wrapText="1"/>
    </xf>
    <xf numFmtId="0" fontId="0" fillId="7" borderId="27" xfId="0" applyFill="1" applyBorder="1" applyAlignment="1">
      <alignment horizontal="center" vertical="center" wrapText="1"/>
    </xf>
    <xf numFmtId="0" fontId="0" fillId="7" borderId="52" xfId="0" applyFill="1" applyBorder="1" applyAlignment="1">
      <alignment horizontal="center" vertical="center"/>
    </xf>
    <xf numFmtId="0" fontId="0" fillId="7" borderId="70" xfId="0" applyFill="1" applyBorder="1" applyAlignment="1">
      <alignment horizontal="right" vertical="center"/>
    </xf>
    <xf numFmtId="49" fontId="0" fillId="8" borderId="52" xfId="0" applyNumberFormat="1" applyFill="1" applyBorder="1" applyAlignment="1" applyProtection="1">
      <alignment horizontal="left" vertical="center"/>
      <protection locked="0"/>
    </xf>
    <xf numFmtId="177" fontId="0" fillId="8" borderId="52" xfId="0" applyNumberFormat="1" applyFill="1" applyBorder="1" applyAlignment="1" applyProtection="1">
      <alignment horizontal="left" vertical="center"/>
      <protection locked="0"/>
    </xf>
    <xf numFmtId="177" fontId="0" fillId="8" borderId="70" xfId="0" applyNumberFormat="1" applyFill="1" applyBorder="1" applyAlignment="1" applyProtection="1">
      <alignment horizontal="left" vertical="center"/>
      <protection locked="0"/>
    </xf>
    <xf numFmtId="177" fontId="0" fillId="8" borderId="56" xfId="0" applyNumberFormat="1" applyFill="1" applyBorder="1" applyAlignment="1" applyProtection="1">
      <alignment horizontal="left" vertical="center"/>
      <protection locked="0"/>
    </xf>
    <xf numFmtId="177" fontId="0" fillId="8" borderId="57" xfId="0" applyNumberFormat="1" applyFill="1" applyBorder="1" applyAlignment="1" applyProtection="1">
      <alignment horizontal="left" vertical="center"/>
      <protection locked="0"/>
    </xf>
    <xf numFmtId="177" fontId="0" fillId="8" borderId="51" xfId="0" applyNumberFormat="1" applyFill="1" applyBorder="1" applyAlignment="1" applyProtection="1">
      <alignment horizontal="left" vertical="center"/>
      <protection locked="0"/>
    </xf>
    <xf numFmtId="0" fontId="0" fillId="8" borderId="52" xfId="0" applyFill="1" applyBorder="1" applyAlignment="1">
      <alignment horizontal="justify" vertical="center" wrapText="1"/>
    </xf>
    <xf numFmtId="0" fontId="0" fillId="8" borderId="52" xfId="0" applyFill="1" applyBorder="1" applyAlignment="1" applyProtection="1">
      <alignment horizontal="left" vertical="center"/>
      <protection locked="0"/>
    </xf>
    <xf numFmtId="15" fontId="0" fillId="8" borderId="56" xfId="0" applyNumberFormat="1" applyFill="1" applyBorder="1" applyAlignment="1" applyProtection="1">
      <alignment horizontal="left" vertical="center"/>
      <protection locked="0"/>
    </xf>
    <xf numFmtId="15" fontId="0" fillId="8" borderId="57" xfId="0" applyNumberFormat="1" applyFill="1" applyBorder="1" applyAlignment="1" applyProtection="1">
      <alignment horizontal="left" vertical="center"/>
      <protection locked="0"/>
    </xf>
    <xf numFmtId="15" fontId="0" fillId="8" borderId="51" xfId="0" applyNumberFormat="1" applyFill="1" applyBorder="1" applyAlignment="1" applyProtection="1">
      <alignment horizontal="left" vertical="center"/>
      <protection locked="0"/>
    </xf>
    <xf numFmtId="0" fontId="0" fillId="8" borderId="56" xfId="0" applyFill="1" applyBorder="1" applyAlignment="1" applyProtection="1">
      <alignment horizontal="left" vertical="center"/>
      <protection locked="0"/>
    </xf>
    <xf numFmtId="0" fontId="0" fillId="8" borderId="57" xfId="0" applyFill="1" applyBorder="1" applyAlignment="1" applyProtection="1">
      <alignment horizontal="left" vertical="center"/>
      <protection locked="0"/>
    </xf>
    <xf numFmtId="0" fontId="0" fillId="8" borderId="51" xfId="0" applyFill="1" applyBorder="1" applyAlignment="1" applyProtection="1">
      <alignment horizontal="left" vertical="center"/>
      <protection locked="0"/>
    </xf>
    <xf numFmtId="15" fontId="0" fillId="8" borderId="52" xfId="0" applyNumberFormat="1" applyFill="1" applyBorder="1" applyAlignment="1" applyProtection="1">
      <alignment horizontal="left" vertical="center"/>
      <protection locked="0"/>
    </xf>
    <xf numFmtId="0" fontId="0" fillId="8" borderId="52" xfId="0" quotePrefix="1" applyFill="1" applyBorder="1" applyAlignment="1" applyProtection="1">
      <alignment horizontal="left" vertical="center" wrapText="1"/>
      <protection locked="0"/>
    </xf>
    <xf numFmtId="0" fontId="0" fillId="7" borderId="56" xfId="0" quotePrefix="1" applyFill="1" applyBorder="1" applyAlignment="1">
      <alignment horizontal="right" vertical="center"/>
    </xf>
    <xf numFmtId="0" fontId="0" fillId="7" borderId="57" xfId="0" quotePrefix="1" applyFill="1" applyBorder="1" applyAlignment="1">
      <alignment horizontal="right" vertical="center"/>
    </xf>
    <xf numFmtId="0" fontId="0" fillId="8" borderId="56" xfId="0" quotePrefix="1" applyFill="1" applyBorder="1" applyAlignment="1" applyProtection="1">
      <alignment horizontal="justify" vertical="center" wrapText="1"/>
      <protection locked="0"/>
    </xf>
    <xf numFmtId="0" fontId="0" fillId="8" borderId="57" xfId="0" quotePrefix="1" applyFill="1" applyBorder="1" applyAlignment="1" applyProtection="1">
      <alignment horizontal="justify" vertical="center" wrapText="1"/>
      <protection locked="0"/>
    </xf>
    <xf numFmtId="0" fontId="0" fillId="8" borderId="51" xfId="0" quotePrefix="1" applyFill="1" applyBorder="1" applyAlignment="1" applyProtection="1">
      <alignment horizontal="justify" vertical="center" wrapText="1"/>
      <protection locked="0"/>
    </xf>
    <xf numFmtId="14" fontId="0" fillId="8" borderId="56" xfId="0" applyNumberFormat="1" applyFill="1" applyBorder="1" applyAlignment="1" applyProtection="1">
      <alignment horizontal="left" vertical="center"/>
      <protection locked="0"/>
    </xf>
    <xf numFmtId="14" fontId="0" fillId="8" borderId="57" xfId="0" applyNumberFormat="1" applyFill="1" applyBorder="1" applyAlignment="1" applyProtection="1">
      <alignment horizontal="left" vertical="center"/>
      <protection locked="0"/>
    </xf>
    <xf numFmtId="165" fontId="0" fillId="2" borderId="56" xfId="0" applyNumberFormat="1" applyFill="1" applyBorder="1" applyAlignment="1" applyProtection="1">
      <alignment horizontal="left" vertical="center"/>
      <protection locked="0"/>
    </xf>
    <xf numFmtId="165" fontId="0" fillId="2" borderId="57" xfId="0" applyNumberFormat="1" applyFill="1" applyBorder="1" applyAlignment="1" applyProtection="1">
      <alignment horizontal="left" vertical="center"/>
      <protection locked="0"/>
    </xf>
    <xf numFmtId="172" fontId="51" fillId="0" borderId="52" xfId="0" applyNumberFormat="1" applyFont="1" applyBorder="1" applyAlignment="1">
      <alignment horizontal="center" vertical="center"/>
    </xf>
    <xf numFmtId="9" fontId="51" fillId="0" borderId="52" xfId="0" applyNumberFormat="1" applyFont="1" applyBorder="1" applyAlignment="1">
      <alignment horizontal="center" vertical="center"/>
    </xf>
    <xf numFmtId="164" fontId="51" fillId="0" borderId="52" xfId="0" applyNumberFormat="1" applyFont="1" applyBorder="1" applyAlignment="1">
      <alignment horizontal="center" vertical="center"/>
    </xf>
    <xf numFmtId="2" fontId="51" fillId="0" borderId="52" xfId="0" applyNumberFormat="1" applyFont="1" applyBorder="1" applyAlignment="1">
      <alignment horizontal="center" vertical="center"/>
    </xf>
    <xf numFmtId="164" fontId="46" fillId="0" borderId="52" xfId="0" applyNumberFormat="1" applyFont="1" applyBorder="1" applyAlignment="1">
      <alignment horizontal="center" vertical="center"/>
    </xf>
    <xf numFmtId="164" fontId="18" fillId="0" borderId="52" xfId="0" applyNumberFormat="1" applyFont="1" applyBorder="1" applyAlignment="1">
      <alignment horizontal="center" vertical="center"/>
    </xf>
    <xf numFmtId="167" fontId="13" fillId="0" borderId="62" xfId="0" applyNumberFormat="1" applyFont="1" applyBorder="1" applyAlignment="1">
      <alignment horizontal="center" vertical="center" wrapText="1"/>
    </xf>
    <xf numFmtId="167" fontId="13" fillId="0" borderId="61" xfId="0" applyNumberFormat="1" applyFont="1" applyBorder="1" applyAlignment="1">
      <alignment horizontal="center" vertical="center" wrapText="1"/>
    </xf>
    <xf numFmtId="167" fontId="13" fillId="0" borderId="38" xfId="0" applyNumberFormat="1" applyFont="1" applyBorder="1" applyAlignment="1">
      <alignment horizontal="center" vertical="center" wrapText="1"/>
    </xf>
    <xf numFmtId="167" fontId="13" fillId="0" borderId="15" xfId="0" applyNumberFormat="1" applyFont="1" applyBorder="1" applyAlignment="1">
      <alignment horizontal="center" vertical="center" wrapText="1"/>
    </xf>
    <xf numFmtId="167" fontId="13" fillId="0" borderId="63" xfId="0" applyNumberFormat="1" applyFont="1" applyBorder="1" applyAlignment="1">
      <alignment horizontal="center" vertical="center" wrapText="1"/>
    </xf>
    <xf numFmtId="167" fontId="13" fillId="0" borderId="47" xfId="0" applyNumberFormat="1" applyFont="1" applyBorder="1" applyAlignment="1">
      <alignment horizontal="center" vertical="center" wrapText="1"/>
    </xf>
    <xf numFmtId="0" fontId="57" fillId="0" borderId="4" xfId="0" applyFont="1" applyBorder="1" applyAlignment="1">
      <alignment horizontal="center" vertical="top"/>
    </xf>
    <xf numFmtId="0" fontId="57" fillId="0" borderId="5" xfId="0" applyFont="1" applyBorder="1" applyAlignment="1">
      <alignment horizontal="center" vertical="top"/>
    </xf>
    <xf numFmtId="0" fontId="57" fillId="0" borderId="6" xfId="0" applyFont="1" applyBorder="1" applyAlignment="1">
      <alignment horizontal="center" vertical="top"/>
    </xf>
    <xf numFmtId="0" fontId="49" fillId="0" borderId="0" xfId="0" applyFont="1" applyAlignment="1">
      <alignment horizontal="center"/>
    </xf>
    <xf numFmtId="0" fontId="50" fillId="0" borderId="33" xfId="0" applyFont="1" applyBorder="1" applyAlignment="1">
      <alignment horizontal="center"/>
    </xf>
    <xf numFmtId="0" fontId="50" fillId="0" borderId="0" xfId="0" applyFont="1" applyAlignment="1">
      <alignment horizontal="center"/>
    </xf>
    <xf numFmtId="0" fontId="50" fillId="0" borderId="34" xfId="0" applyFont="1" applyBorder="1" applyAlignment="1">
      <alignment horizontal="center"/>
    </xf>
    <xf numFmtId="167" fontId="46" fillId="0" borderId="62" xfId="0" applyNumberFormat="1" applyFont="1" applyBorder="1" applyAlignment="1">
      <alignment horizontal="center" vertical="center" wrapText="1"/>
    </xf>
    <xf numFmtId="167" fontId="46" fillId="0" borderId="61" xfId="0" applyNumberFormat="1" applyFont="1" applyBorder="1" applyAlignment="1">
      <alignment horizontal="center" vertical="center" wrapText="1"/>
    </xf>
    <xf numFmtId="167" fontId="46" fillId="0" borderId="63" xfId="0" applyNumberFormat="1" applyFont="1" applyBorder="1" applyAlignment="1">
      <alignment horizontal="center" vertical="center" wrapText="1"/>
    </xf>
    <xf numFmtId="0" fontId="47" fillId="0" borderId="1" xfId="0" applyFont="1" applyBorder="1" applyAlignment="1">
      <alignment horizontal="right" vertical="center" wrapText="1"/>
    </xf>
    <xf numFmtId="0" fontId="47" fillId="0" borderId="2" xfId="0" applyFont="1" applyBorder="1" applyAlignment="1">
      <alignment horizontal="right" vertical="center" wrapText="1"/>
    </xf>
    <xf numFmtId="0" fontId="47" fillId="0" borderId="3" xfId="0" applyFont="1" applyBorder="1" applyAlignment="1">
      <alignment horizontal="right" vertical="center" wrapText="1"/>
    </xf>
    <xf numFmtId="0" fontId="47" fillId="0" borderId="71" xfId="0" applyFont="1" applyBorder="1" applyAlignment="1">
      <alignment horizontal="right" vertical="center" wrapText="1"/>
    </xf>
    <xf numFmtId="0" fontId="47" fillId="0" borderId="72" xfId="0" applyFont="1" applyBorder="1" applyAlignment="1">
      <alignment horizontal="right" vertical="center" wrapText="1"/>
    </xf>
    <xf numFmtId="0" fontId="47" fillId="0" borderId="73" xfId="0" applyFont="1" applyBorder="1" applyAlignment="1">
      <alignment horizontal="right" vertical="center" wrapText="1"/>
    </xf>
    <xf numFmtId="0" fontId="48" fillId="0" borderId="33" xfId="0" applyFont="1" applyBorder="1" applyAlignment="1">
      <alignment horizontal="center"/>
    </xf>
    <xf numFmtId="0" fontId="48" fillId="0" borderId="0" xfId="0" applyFont="1" applyAlignment="1">
      <alignment horizontal="center"/>
    </xf>
    <xf numFmtId="0" fontId="48" fillId="0" borderId="34" xfId="0" applyFont="1" applyBorder="1" applyAlignment="1">
      <alignment horizontal="center"/>
    </xf>
    <xf numFmtId="0" fontId="48" fillId="0" borderId="33" xfId="0" applyFont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8" fillId="0" borderId="34" xfId="0" applyFont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46" fillId="0" borderId="0" xfId="0" applyFont="1" applyAlignment="1">
      <alignment horizontal="justify" wrapText="1"/>
    </xf>
    <xf numFmtId="0" fontId="51" fillId="0" borderId="0" xfId="0" applyFont="1" applyAlignment="1" applyProtection="1">
      <alignment horizontal="left" vertical="center" wrapText="1"/>
      <protection locked="0"/>
    </xf>
    <xf numFmtId="0" fontId="51" fillId="0" borderId="0" xfId="0" applyFont="1" applyAlignment="1" applyProtection="1">
      <alignment horizontal="justify" vertical="center" wrapText="1"/>
      <protection locked="0"/>
    </xf>
    <xf numFmtId="0" fontId="49" fillId="0" borderId="33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34" xfId="0" applyFont="1" applyBorder="1" applyAlignment="1">
      <alignment horizontal="center" vertical="center"/>
    </xf>
    <xf numFmtId="0" fontId="51" fillId="0" borderId="0" xfId="0" applyFont="1" applyAlignment="1">
      <alignment horizontal="left" vertical="center" wrapText="1"/>
    </xf>
    <xf numFmtId="0" fontId="46" fillId="0" borderId="62" xfId="0" applyFont="1" applyBorder="1" applyAlignment="1">
      <alignment horizontal="center" vertical="center" wrapText="1"/>
    </xf>
    <xf numFmtId="0" fontId="46" fillId="0" borderId="63" xfId="0" applyFont="1" applyBorder="1" applyAlignment="1">
      <alignment horizontal="center" vertical="center" wrapText="1"/>
    </xf>
    <xf numFmtId="0" fontId="46" fillId="0" borderId="60" xfId="0" applyFont="1" applyBorder="1" applyAlignment="1">
      <alignment horizontal="center" vertical="center" wrapText="1"/>
    </xf>
    <xf numFmtId="0" fontId="46" fillId="0" borderId="64" xfId="0" applyFont="1" applyBorder="1" applyAlignment="1">
      <alignment horizontal="center" vertical="center" wrapText="1"/>
    </xf>
    <xf numFmtId="167" fontId="46" fillId="0" borderId="56" xfId="0" applyNumberFormat="1" applyFont="1" applyBorder="1" applyAlignment="1">
      <alignment horizontal="center" vertical="center" wrapText="1"/>
    </xf>
    <xf numFmtId="167" fontId="46" fillId="0" borderId="57" xfId="0" applyNumberFormat="1" applyFont="1" applyBorder="1" applyAlignment="1">
      <alignment horizontal="center" vertical="center" wrapText="1"/>
    </xf>
    <xf numFmtId="167" fontId="46" fillId="0" borderId="51" xfId="0" applyNumberFormat="1" applyFont="1" applyBorder="1" applyAlignment="1">
      <alignment horizontal="center" vertical="center" wrapText="1"/>
    </xf>
    <xf numFmtId="167" fontId="13" fillId="0" borderId="60" xfId="0" applyNumberFormat="1" applyFont="1" applyBorder="1" applyAlignment="1">
      <alignment horizontal="center" vertical="center" wrapText="1"/>
    </xf>
    <xf numFmtId="167" fontId="46" fillId="0" borderId="64" xfId="0" applyNumberFormat="1" applyFont="1" applyBorder="1" applyAlignment="1">
      <alignment horizontal="center" vertical="center" wrapText="1"/>
    </xf>
    <xf numFmtId="167" fontId="46" fillId="0" borderId="60" xfId="0" applyNumberFormat="1" applyFont="1" applyBorder="1" applyAlignment="1">
      <alignment horizontal="center" vertical="center" wrapText="1"/>
    </xf>
    <xf numFmtId="0" fontId="18" fillId="0" borderId="56" xfId="0" applyFont="1" applyBorder="1" applyAlignment="1">
      <alignment horizontal="left" vertical="center" wrapText="1"/>
    </xf>
    <xf numFmtId="0" fontId="18" fillId="0" borderId="57" xfId="0" applyFont="1" applyBorder="1" applyAlignment="1">
      <alignment horizontal="left" vertical="center" wrapText="1"/>
    </xf>
    <xf numFmtId="0" fontId="18" fillId="0" borderId="51" xfId="0" applyFont="1" applyBorder="1" applyAlignment="1">
      <alignment horizontal="left" vertical="center" wrapText="1"/>
    </xf>
    <xf numFmtId="0" fontId="50" fillId="0" borderId="60" xfId="0" applyFont="1" applyBorder="1" applyAlignment="1">
      <alignment horizontal="justify" vertical="center" wrapText="1"/>
    </xf>
    <xf numFmtId="0" fontId="50" fillId="0" borderId="0" xfId="0" applyFont="1" applyBorder="1" applyAlignment="1">
      <alignment horizontal="justify" vertical="center" wrapText="1"/>
    </xf>
    <xf numFmtId="0" fontId="17" fillId="0" borderId="60" xfId="0" applyFont="1" applyBorder="1" applyAlignment="1">
      <alignment horizontal="justify" vertical="top" wrapText="1"/>
    </xf>
    <xf numFmtId="0" fontId="17" fillId="0" borderId="0" xfId="0" applyFont="1" applyAlignment="1">
      <alignment horizontal="justify" vertical="top" wrapText="1"/>
    </xf>
    <xf numFmtId="0" fontId="17" fillId="0" borderId="60" xfId="0" applyFont="1" applyBorder="1" applyAlignment="1">
      <alignment horizontal="justify" vertical="center" wrapText="1"/>
    </xf>
    <xf numFmtId="0" fontId="17" fillId="0" borderId="0" xfId="0" applyFont="1" applyAlignment="1">
      <alignment horizontal="justify" vertical="center" wrapText="1"/>
    </xf>
    <xf numFmtId="0" fontId="51" fillId="0" borderId="0" xfId="0" applyFont="1" applyAlignment="1" applyProtection="1">
      <alignment horizontal="justify" vertical="top" wrapText="1"/>
      <protection locked="0"/>
    </xf>
    <xf numFmtId="0" fontId="46" fillId="0" borderId="0" xfId="0" applyFont="1" applyAlignment="1">
      <alignment horizontal="center"/>
    </xf>
    <xf numFmtId="0" fontId="18" fillId="0" borderId="0" xfId="0" applyFont="1" applyAlignment="1">
      <alignment horizontal="justify" vertical="center"/>
    </xf>
    <xf numFmtId="177" fontId="51" fillId="0" borderId="0" xfId="0" applyNumberFormat="1" applyFont="1" applyAlignment="1">
      <alignment horizontal="left" vertical="center"/>
    </xf>
    <xf numFmtId="0" fontId="51" fillId="0" borderId="0" xfId="0" quotePrefix="1" applyFont="1" applyAlignment="1">
      <alignment horizontal="justify" vertical="top" wrapText="1"/>
    </xf>
    <xf numFmtId="15" fontId="51" fillId="0" borderId="0" xfId="0" quotePrefix="1" applyNumberFormat="1" applyFont="1" applyAlignment="1">
      <alignment horizontal="justify" vertical="top" wrapText="1"/>
    </xf>
    <xf numFmtId="0" fontId="18" fillId="0" borderId="52" xfId="0" applyFont="1" applyBorder="1" applyAlignment="1">
      <alignment horizontal="center" vertical="center" wrapText="1"/>
    </xf>
    <xf numFmtId="0" fontId="51" fillId="0" borderId="52" xfId="0" applyFont="1" applyBorder="1" applyAlignment="1">
      <alignment horizontal="center" vertical="center" wrapText="1"/>
    </xf>
    <xf numFmtId="177" fontId="18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center"/>
    </xf>
    <xf numFmtId="2" fontId="51" fillId="0" borderId="57" xfId="0" applyNumberFormat="1" applyFont="1" applyBorder="1" applyAlignment="1">
      <alignment horizontal="center" vertical="center" wrapText="1"/>
    </xf>
    <xf numFmtId="2" fontId="51" fillId="0" borderId="51" xfId="0" applyNumberFormat="1" applyFont="1" applyBorder="1" applyAlignment="1">
      <alignment horizontal="center" vertical="center" wrapText="1"/>
    </xf>
    <xf numFmtId="0" fontId="51" fillId="0" borderId="52" xfId="0" applyFont="1" applyBorder="1" applyAlignment="1">
      <alignment horizontal="center" vertical="center"/>
    </xf>
    <xf numFmtId="164" fontId="51" fillId="0" borderId="57" xfId="0" applyNumberFormat="1" applyFont="1" applyBorder="1" applyAlignment="1">
      <alignment horizontal="center" vertical="center" wrapText="1"/>
    </xf>
    <xf numFmtId="164" fontId="51" fillId="0" borderId="51" xfId="0" applyNumberFormat="1" applyFont="1" applyBorder="1" applyAlignment="1">
      <alignment horizontal="center" vertical="center" wrapText="1"/>
    </xf>
    <xf numFmtId="1" fontId="51" fillId="0" borderId="57" xfId="0" applyNumberFormat="1" applyFont="1" applyBorder="1" applyAlignment="1">
      <alignment horizontal="center" vertical="center" wrapText="1"/>
    </xf>
    <xf numFmtId="1" fontId="51" fillId="0" borderId="51" xfId="0" applyNumberFormat="1" applyFont="1" applyBorder="1" applyAlignment="1">
      <alignment horizontal="center" vertical="center" wrapText="1"/>
    </xf>
    <xf numFmtId="164" fontId="46" fillId="0" borderId="56" xfId="0" applyNumberFormat="1" applyFont="1" applyBorder="1" applyAlignment="1">
      <alignment horizontal="center" vertical="center"/>
    </xf>
    <xf numFmtId="164" fontId="46" fillId="0" borderId="51" xfId="0" applyNumberFormat="1" applyFont="1" applyBorder="1" applyAlignment="1">
      <alignment horizontal="center" vertical="center"/>
    </xf>
    <xf numFmtId="167" fontId="51" fillId="0" borderId="57" xfId="0" applyNumberFormat="1" applyFont="1" applyBorder="1" applyAlignment="1">
      <alignment horizontal="center" vertical="center" wrapText="1"/>
    </xf>
    <xf numFmtId="167" fontId="51" fillId="0" borderId="51" xfId="0" applyNumberFormat="1" applyFont="1" applyBorder="1" applyAlignment="1">
      <alignment horizontal="center" vertical="center" wrapText="1"/>
    </xf>
    <xf numFmtId="167" fontId="51" fillId="0" borderId="52" xfId="0" applyNumberFormat="1" applyFont="1" applyBorder="1" applyAlignment="1">
      <alignment horizontal="center" vertical="center"/>
    </xf>
    <xf numFmtId="0" fontId="50" fillId="0" borderId="0" xfId="0" applyFont="1" applyAlignment="1">
      <alignment horizontal="justify" vertical="center" wrapText="1"/>
    </xf>
    <xf numFmtId="170" fontId="51" fillId="0" borderId="0" xfId="0" applyNumberFormat="1" applyFont="1" applyAlignment="1">
      <alignment horizontal="left" vertical="top"/>
    </xf>
    <xf numFmtId="167" fontId="51" fillId="0" borderId="57" xfId="0" applyNumberFormat="1" applyFont="1" applyBorder="1" applyAlignment="1">
      <alignment horizontal="center" vertical="center"/>
    </xf>
    <xf numFmtId="167" fontId="51" fillId="0" borderId="51" xfId="0" applyNumberFormat="1" applyFont="1" applyBorder="1" applyAlignment="1">
      <alignment horizontal="center" vertical="center"/>
    </xf>
    <xf numFmtId="2" fontId="51" fillId="0" borderId="57" xfId="0" applyNumberFormat="1" applyFont="1" applyBorder="1" applyAlignment="1">
      <alignment horizontal="center" vertical="center"/>
    </xf>
    <xf numFmtId="2" fontId="51" fillId="0" borderId="51" xfId="0" applyNumberFormat="1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 wrapText="1"/>
    </xf>
    <xf numFmtId="0" fontId="46" fillId="0" borderId="47" xfId="0" applyFont="1" applyBorder="1" applyAlignment="1">
      <alignment horizontal="center" vertical="center" wrapText="1"/>
    </xf>
    <xf numFmtId="167" fontId="46" fillId="0" borderId="38" xfId="0" applyNumberFormat="1" applyFont="1" applyBorder="1" applyAlignment="1">
      <alignment horizontal="center" vertical="center" wrapText="1"/>
    </xf>
    <xf numFmtId="167" fontId="46" fillId="0" borderId="47" xfId="0" applyNumberFormat="1" applyFont="1" applyBorder="1" applyAlignment="1">
      <alignment horizontal="center" vertical="center" wrapText="1"/>
    </xf>
    <xf numFmtId="0" fontId="51" fillId="0" borderId="62" xfId="0" applyFont="1" applyBorder="1" applyAlignment="1">
      <alignment horizontal="center" vertical="center" wrapText="1"/>
    </xf>
    <xf numFmtId="0" fontId="51" fillId="0" borderId="61" xfId="0" applyFont="1" applyBorder="1" applyAlignment="1">
      <alignment horizontal="center" vertical="center" wrapText="1"/>
    </xf>
    <xf numFmtId="0" fontId="51" fillId="0" borderId="63" xfId="0" applyFont="1" applyBorder="1" applyAlignment="1">
      <alignment horizontal="center" vertical="center" wrapText="1"/>
    </xf>
    <xf numFmtId="0" fontId="51" fillId="0" borderId="38" xfId="0" applyFont="1" applyBorder="1" applyAlignment="1">
      <alignment horizontal="center" vertical="center" wrapText="1"/>
    </xf>
    <xf numFmtId="0" fontId="51" fillId="0" borderId="15" xfId="0" applyFont="1" applyBorder="1" applyAlignment="1">
      <alignment horizontal="center" vertical="center" wrapText="1"/>
    </xf>
    <xf numFmtId="0" fontId="51" fillId="0" borderId="47" xfId="0" applyFont="1" applyBorder="1" applyAlignment="1">
      <alignment horizontal="center" vertical="center" wrapText="1"/>
    </xf>
    <xf numFmtId="167" fontId="46" fillId="0" borderId="15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horizontal="justify" vertical="top" wrapText="1"/>
    </xf>
    <xf numFmtId="0" fontId="50" fillId="0" borderId="60" xfId="0" applyFont="1" applyBorder="1" applyAlignment="1">
      <alignment horizontal="justify" vertical="top" wrapText="1"/>
    </xf>
    <xf numFmtId="0" fontId="17" fillId="0" borderId="60" xfId="0" applyFont="1" applyBorder="1" applyAlignment="1">
      <alignment horizontal="justify" wrapText="1"/>
    </xf>
    <xf numFmtId="0" fontId="50" fillId="0" borderId="0" xfId="0" applyFont="1" applyAlignment="1">
      <alignment horizontal="justify" wrapText="1"/>
    </xf>
    <xf numFmtId="0" fontId="50" fillId="0" borderId="60" xfId="0" applyFont="1" applyBorder="1" applyAlignment="1">
      <alignment horizontal="justify" wrapText="1"/>
    </xf>
    <xf numFmtId="0" fontId="51" fillId="0" borderId="0" xfId="0" applyFont="1" applyAlignment="1">
      <alignment horizontal="justify" vertical="center" wrapText="1"/>
    </xf>
    <xf numFmtId="0" fontId="15" fillId="0" borderId="33" xfId="0" applyFont="1" applyBorder="1" applyAlignment="1">
      <alignment horizontal="center"/>
    </xf>
    <xf numFmtId="0" fontId="48" fillId="0" borderId="33" xfId="0" applyFont="1" applyBorder="1" applyAlignment="1" applyProtection="1">
      <alignment horizontal="center" vertical="center"/>
      <protection locked="0"/>
    </xf>
    <xf numFmtId="0" fontId="48" fillId="0" borderId="0" xfId="0" applyFont="1" applyAlignment="1" applyProtection="1">
      <alignment horizontal="center" vertical="center"/>
      <protection locked="0"/>
    </xf>
    <xf numFmtId="0" fontId="48" fillId="0" borderId="34" xfId="0" applyFont="1" applyBorder="1" applyAlignment="1" applyProtection="1">
      <alignment horizontal="center" vertical="center"/>
      <protection locked="0"/>
    </xf>
    <xf numFmtId="1" fontId="18" fillId="0" borderId="70" xfId="0" applyNumberFormat="1" applyFont="1" applyBorder="1" applyAlignment="1">
      <alignment horizontal="center" vertical="center" wrapText="1"/>
    </xf>
    <xf numFmtId="1" fontId="18" fillId="0" borderId="58" xfId="0" applyNumberFormat="1" applyFont="1" applyBorder="1" applyAlignment="1">
      <alignment horizontal="center" vertical="center" wrapText="1"/>
    </xf>
    <xf numFmtId="1" fontId="18" fillId="0" borderId="27" xfId="0" applyNumberFormat="1" applyFont="1" applyBorder="1" applyAlignment="1">
      <alignment horizontal="center" vertical="center" wrapText="1"/>
    </xf>
    <xf numFmtId="1" fontId="51" fillId="0" borderId="57" xfId="0" applyNumberFormat="1" applyFont="1" applyBorder="1" applyAlignment="1">
      <alignment horizontal="center" vertical="center"/>
    </xf>
    <xf numFmtId="1" fontId="51" fillId="0" borderId="51" xfId="0" applyNumberFormat="1" applyFont="1" applyBorder="1" applyAlignment="1">
      <alignment horizontal="center" vertical="center"/>
    </xf>
    <xf numFmtId="1" fontId="51" fillId="0" borderId="52" xfId="0" applyNumberFormat="1" applyFont="1" applyBorder="1" applyAlignment="1">
      <alignment horizontal="center" vertical="center"/>
    </xf>
    <xf numFmtId="1" fontId="51" fillId="0" borderId="58" xfId="0" applyNumberFormat="1" applyFont="1" applyBorder="1" applyAlignment="1">
      <alignment horizontal="center" vertical="center" wrapText="1"/>
    </xf>
    <xf numFmtId="1" fontId="51" fillId="0" borderId="27" xfId="0" applyNumberFormat="1" applyFont="1" applyBorder="1" applyAlignment="1">
      <alignment horizontal="center" vertical="center" wrapText="1"/>
    </xf>
    <xf numFmtId="164" fontId="51" fillId="0" borderId="57" xfId="0" applyNumberFormat="1" applyFont="1" applyBorder="1" applyAlignment="1">
      <alignment horizontal="center" vertical="center"/>
    </xf>
    <xf numFmtId="164" fontId="51" fillId="0" borderId="51" xfId="0" applyNumberFormat="1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46" fillId="0" borderId="52" xfId="0" applyFont="1" applyBorder="1" applyAlignment="1">
      <alignment horizontal="center" vertical="center"/>
    </xf>
    <xf numFmtId="0" fontId="14" fillId="0" borderId="1" xfId="0" applyFont="1" applyBorder="1" applyAlignment="1">
      <alignment horizontal="right" vertical="center" wrapText="1"/>
    </xf>
    <xf numFmtId="0" fontId="14" fillId="0" borderId="2" xfId="0" applyFont="1" applyBorder="1" applyAlignment="1">
      <alignment horizontal="right" vertical="center" wrapText="1"/>
    </xf>
    <xf numFmtId="0" fontId="14" fillId="0" borderId="3" xfId="0" applyFont="1" applyBorder="1" applyAlignment="1">
      <alignment horizontal="right" vertical="center" wrapText="1"/>
    </xf>
    <xf numFmtId="0" fontId="14" fillId="0" borderId="71" xfId="0" applyFont="1" applyBorder="1" applyAlignment="1">
      <alignment horizontal="right" vertical="center" wrapText="1"/>
    </xf>
    <xf numFmtId="0" fontId="14" fillId="0" borderId="72" xfId="0" applyFont="1" applyBorder="1" applyAlignment="1">
      <alignment horizontal="right" vertical="center" wrapText="1"/>
    </xf>
    <xf numFmtId="0" fontId="14" fillId="0" borderId="73" xfId="0" applyFont="1" applyBorder="1" applyAlignment="1">
      <alignment horizontal="right" vertical="center" wrapText="1"/>
    </xf>
    <xf numFmtId="0" fontId="15" fillId="0" borderId="0" xfId="0" applyFont="1" applyAlignment="1">
      <alignment horizontal="center"/>
    </xf>
    <xf numFmtId="0" fontId="15" fillId="0" borderId="34" xfId="0" applyFont="1" applyBorder="1" applyAlignment="1">
      <alignment horizontal="center"/>
    </xf>
    <xf numFmtId="0" fontId="15" fillId="0" borderId="33" xfId="0" applyFont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15" fillId="0" borderId="34" xfId="0" applyFont="1" applyBorder="1" applyAlignment="1" applyProtection="1">
      <alignment horizontal="center" vertical="center"/>
      <protection locked="0"/>
    </xf>
    <xf numFmtId="0" fontId="15" fillId="0" borderId="0" xfId="0" applyFont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18" fillId="0" borderId="0" xfId="0" quotePrefix="1" applyFont="1" applyAlignment="1">
      <alignment horizontal="justify" vertical="center" wrapText="1"/>
    </xf>
    <xf numFmtId="15" fontId="18" fillId="0" borderId="0" xfId="0" quotePrefix="1" applyNumberFormat="1" applyFont="1" applyAlignment="1">
      <alignment horizontal="justify" vertical="center" wrapText="1"/>
    </xf>
    <xf numFmtId="0" fontId="17" fillId="0" borderId="0" xfId="0" applyFont="1" applyAlignment="1">
      <alignment horizontal="justify" wrapText="1"/>
    </xf>
    <xf numFmtId="165" fontId="18" fillId="0" borderId="0" xfId="0" quotePrefix="1" applyNumberFormat="1" applyFont="1" applyAlignment="1">
      <alignment horizontal="left" vertical="center"/>
    </xf>
    <xf numFmtId="15" fontId="18" fillId="0" borderId="0" xfId="0" quotePrefix="1" applyNumberFormat="1" applyFont="1" applyAlignment="1" applyProtection="1">
      <alignment horizontal="justify" vertical="center" wrapText="1"/>
      <protection locked="0"/>
    </xf>
    <xf numFmtId="0" fontId="18" fillId="0" borderId="0" xfId="0" quotePrefix="1" applyFont="1" applyAlignment="1" applyProtection="1">
      <alignment horizontal="justify" vertical="center" wrapText="1"/>
      <protection locked="0"/>
    </xf>
    <xf numFmtId="0" fontId="18" fillId="0" borderId="0" xfId="0" applyFont="1" applyAlignment="1" applyProtection="1">
      <alignment horizontal="justify" vertical="top" wrapText="1"/>
      <protection locked="0"/>
    </xf>
    <xf numFmtId="14" fontId="18" fillId="0" borderId="0" xfId="0" applyNumberFormat="1" applyFont="1" applyAlignment="1" applyProtection="1">
      <alignment horizontal="justify" vertical="top" wrapText="1"/>
      <protection locked="0"/>
    </xf>
    <xf numFmtId="0" fontId="18" fillId="0" borderId="0" xfId="0" applyFont="1" applyAlignment="1" applyProtection="1">
      <alignment horizontal="justify" vertical="center" wrapText="1"/>
      <protection locked="0"/>
    </xf>
    <xf numFmtId="0" fontId="18" fillId="0" borderId="0" xfId="0" applyFont="1" applyAlignment="1">
      <alignment horizontal="left" vertical="center" wrapText="1"/>
    </xf>
    <xf numFmtId="0" fontId="18" fillId="0" borderId="57" xfId="0" applyFont="1" applyBorder="1" applyAlignment="1">
      <alignment horizontal="center" vertical="center" wrapText="1"/>
    </xf>
    <xf numFmtId="0" fontId="18" fillId="0" borderId="29" xfId="0" applyFont="1" applyBorder="1" applyAlignment="1">
      <alignment horizontal="center" vertical="center" wrapText="1"/>
    </xf>
    <xf numFmtId="164" fontId="18" fillId="0" borderId="50" xfId="0" applyNumberFormat="1" applyFont="1" applyBorder="1" applyAlignment="1">
      <alignment horizontal="center" vertical="center" wrapText="1"/>
    </xf>
    <xf numFmtId="164" fontId="18" fillId="0" borderId="52" xfId="0" applyNumberFormat="1" applyFont="1" applyBorder="1" applyAlignment="1">
      <alignment horizontal="center" vertical="center" wrapText="1"/>
    </xf>
    <xf numFmtId="164" fontId="18" fillId="0" borderId="56" xfId="0" applyNumberFormat="1" applyFont="1" applyBorder="1" applyAlignment="1">
      <alignment horizontal="center" vertical="center" wrapText="1"/>
    </xf>
    <xf numFmtId="164" fontId="18" fillId="0" borderId="55" xfId="0" applyNumberFormat="1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8" fillId="0" borderId="54" xfId="0" applyFont="1" applyBorder="1" applyAlignment="1">
      <alignment horizontal="center" vertical="center" wrapText="1"/>
    </xf>
    <xf numFmtId="0" fontId="18" fillId="0" borderId="48" xfId="0" applyFont="1" applyBorder="1" applyAlignment="1">
      <alignment horizontal="center" vertical="center" wrapText="1"/>
    </xf>
    <xf numFmtId="0" fontId="18" fillId="0" borderId="24" xfId="0" applyFont="1" applyBorder="1" applyAlignment="1">
      <alignment horizontal="center" vertical="center" wrapText="1"/>
    </xf>
    <xf numFmtId="164" fontId="18" fillId="0" borderId="23" xfId="0" applyNumberFormat="1" applyFont="1" applyBorder="1" applyAlignment="1">
      <alignment horizontal="center" vertical="center" wrapText="1"/>
    </xf>
    <xf numFmtId="164" fontId="18" fillId="0" borderId="48" xfId="0" applyNumberFormat="1" applyFont="1" applyBorder="1" applyAlignment="1">
      <alignment horizontal="center" vertical="center" wrapText="1"/>
    </xf>
    <xf numFmtId="164" fontId="18" fillId="0" borderId="43" xfId="0" applyNumberFormat="1" applyFont="1" applyBorder="1" applyAlignment="1">
      <alignment horizontal="center" vertical="center" wrapText="1"/>
    </xf>
    <xf numFmtId="164" fontId="18" fillId="0" borderId="24" xfId="0" applyNumberFormat="1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18" fillId="0" borderId="32" xfId="0" applyFont="1" applyBorder="1" applyAlignment="1">
      <alignment horizontal="center" vertical="center" wrapText="1"/>
    </xf>
    <xf numFmtId="164" fontId="18" fillId="0" borderId="16" xfId="0" applyNumberFormat="1" applyFont="1" applyBorder="1" applyAlignment="1">
      <alignment horizontal="center" vertical="center" wrapText="1"/>
    </xf>
    <xf numFmtId="164" fontId="18" fillId="0" borderId="17" xfId="0" applyNumberFormat="1" applyFont="1" applyBorder="1" applyAlignment="1">
      <alignment horizontal="center" vertical="center" wrapText="1"/>
    </xf>
    <xf numFmtId="164" fontId="18" fillId="0" borderId="40" xfId="0" applyNumberFormat="1" applyFont="1" applyBorder="1" applyAlignment="1">
      <alignment horizontal="center" vertical="center" wrapText="1"/>
    </xf>
    <xf numFmtId="164" fontId="18" fillId="0" borderId="18" xfId="0" applyNumberFormat="1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34" xfId="0" applyFont="1" applyBorder="1" applyAlignment="1">
      <alignment horizontal="center"/>
    </xf>
    <xf numFmtId="0" fontId="17" fillId="0" borderId="4" xfId="0" applyFont="1" applyBorder="1" applyAlignment="1">
      <alignment horizontal="center" vertical="top"/>
    </xf>
    <xf numFmtId="0" fontId="17" fillId="0" borderId="5" xfId="0" applyFont="1" applyBorder="1" applyAlignment="1">
      <alignment horizontal="center" vertical="top"/>
    </xf>
    <xf numFmtId="0" fontId="17" fillId="0" borderId="6" xfId="0" applyFont="1" applyBorder="1" applyAlignment="1">
      <alignment horizontal="center" vertical="top"/>
    </xf>
    <xf numFmtId="0" fontId="14" fillId="0" borderId="35" xfId="0" applyFont="1" applyBorder="1" applyAlignment="1">
      <alignment horizontal="center" vertical="center" wrapText="1"/>
    </xf>
    <xf numFmtId="0" fontId="14" fillId="0" borderId="36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2" fontId="18" fillId="0" borderId="10" xfId="0" applyNumberFormat="1" applyFont="1" applyBorder="1" applyAlignment="1">
      <alignment horizontal="center" vertical="center" wrapText="1"/>
    </xf>
    <xf numFmtId="2" fontId="18" fillId="0" borderId="11" xfId="0" applyNumberFormat="1" applyFont="1" applyBorder="1" applyAlignment="1">
      <alignment horizontal="center" vertical="center" wrapText="1"/>
    </xf>
    <xf numFmtId="2" fontId="18" fillId="0" borderId="19" xfId="0" applyNumberFormat="1" applyFont="1" applyBorder="1" applyAlignment="1">
      <alignment horizontal="center" vertical="center" wrapText="1"/>
    </xf>
    <xf numFmtId="2" fontId="18" fillId="0" borderId="21" xfId="0" applyNumberFormat="1" applyFont="1" applyBorder="1" applyAlignment="1">
      <alignment horizontal="center" vertical="center" wrapText="1"/>
    </xf>
    <xf numFmtId="2" fontId="18" fillId="0" borderId="74" xfId="0" applyNumberFormat="1" applyFont="1" applyBorder="1" applyAlignment="1">
      <alignment horizontal="center" vertical="center" wrapText="1"/>
    </xf>
    <xf numFmtId="2" fontId="18" fillId="0" borderId="57" xfId="0" applyNumberFormat="1" applyFont="1" applyBorder="1" applyAlignment="1">
      <alignment horizontal="center" vertical="center" wrapText="1"/>
    </xf>
    <xf numFmtId="0" fontId="13" fillId="0" borderId="52" xfId="0" applyFont="1" applyBorder="1" applyAlignment="1">
      <alignment horizontal="center" vertical="center" wrapText="1"/>
    </xf>
    <xf numFmtId="0" fontId="46" fillId="0" borderId="52" xfId="0" applyFont="1" applyBorder="1" applyAlignment="1">
      <alignment horizontal="center" vertical="center" wrapText="1"/>
    </xf>
    <xf numFmtId="167" fontId="13" fillId="0" borderId="0" xfId="0" applyNumberFormat="1" applyFont="1" applyBorder="1" applyAlignment="1">
      <alignment horizontal="center" vertical="center" wrapText="1"/>
    </xf>
    <xf numFmtId="167" fontId="13" fillId="0" borderId="64" xfId="0" applyNumberFormat="1" applyFont="1" applyBorder="1" applyAlignment="1">
      <alignment horizontal="center" vertical="center" wrapText="1"/>
    </xf>
    <xf numFmtId="172" fontId="51" fillId="0" borderId="56" xfId="1" applyNumberFormat="1" applyFont="1" applyBorder="1" applyAlignment="1">
      <alignment horizontal="center" vertical="center"/>
    </xf>
    <xf numFmtId="172" fontId="51" fillId="0" borderId="57" xfId="1" applyNumberFormat="1" applyFont="1" applyBorder="1" applyAlignment="1">
      <alignment horizontal="center" vertical="center"/>
    </xf>
    <xf numFmtId="172" fontId="51" fillId="0" borderId="51" xfId="1" applyNumberFormat="1" applyFont="1" applyBorder="1" applyAlignment="1">
      <alignment horizontal="center" vertical="center"/>
    </xf>
    <xf numFmtId="164" fontId="51" fillId="0" borderId="56" xfId="0" applyNumberFormat="1" applyFont="1" applyBorder="1" applyAlignment="1">
      <alignment horizontal="center" vertical="center"/>
    </xf>
    <xf numFmtId="15" fontId="46" fillId="0" borderId="0" xfId="0" applyNumberFormat="1" applyFont="1" applyAlignment="1">
      <alignment horizontal="justify" wrapText="1"/>
    </xf>
    <xf numFmtId="15" fontId="51" fillId="0" borderId="0" xfId="0" quotePrefix="1" applyNumberFormat="1" applyFont="1" applyAlignment="1" applyProtection="1">
      <alignment horizontal="justify" vertical="center"/>
      <protection locked="0"/>
    </xf>
    <xf numFmtId="0" fontId="17" fillId="0" borderId="0" xfId="0" applyFont="1" applyBorder="1" applyAlignment="1">
      <alignment horizontal="justify" vertical="center" wrapText="1"/>
    </xf>
    <xf numFmtId="14" fontId="51" fillId="0" borderId="0" xfId="0" applyNumberFormat="1" applyFont="1" applyAlignment="1" applyProtection="1">
      <alignment horizontal="justify" vertical="top" wrapText="1"/>
      <protection locked="0"/>
    </xf>
    <xf numFmtId="164" fontId="51" fillId="0" borderId="15" xfId="0" applyNumberFormat="1" applyFont="1" applyBorder="1" applyAlignment="1">
      <alignment horizontal="center" vertical="center"/>
    </xf>
    <xf numFmtId="164" fontId="51" fillId="0" borderId="61" xfId="0" applyNumberFormat="1" applyFont="1" applyBorder="1" applyAlignment="1">
      <alignment horizontal="center" vertical="center"/>
    </xf>
    <xf numFmtId="164" fontId="51" fillId="0" borderId="0" xfId="0" applyNumberFormat="1" applyFont="1" applyAlignment="1">
      <alignment horizontal="center" vertical="center"/>
    </xf>
    <xf numFmtId="164" fontId="18" fillId="0" borderId="61" xfId="0" applyNumberFormat="1" applyFont="1" applyBorder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164" fontId="18" fillId="0" borderId="15" xfId="0" applyNumberFormat="1" applyFont="1" applyBorder="1" applyAlignment="1">
      <alignment horizontal="center" vertical="center"/>
    </xf>
    <xf numFmtId="164" fontId="51" fillId="0" borderId="62" xfId="0" applyNumberFormat="1" applyFont="1" applyBorder="1" applyAlignment="1">
      <alignment horizontal="center" vertical="center"/>
    </xf>
    <xf numFmtId="164" fontId="51" fillId="0" borderId="63" xfId="0" applyNumberFormat="1" applyFont="1" applyBorder="1" applyAlignment="1">
      <alignment horizontal="center" vertical="center"/>
    </xf>
    <xf numFmtId="0" fontId="50" fillId="0" borderId="120" xfId="0" applyFont="1" applyBorder="1" applyAlignment="1">
      <alignment horizontal="center"/>
    </xf>
    <xf numFmtId="0" fontId="50" fillId="0" borderId="121" xfId="0" applyFont="1" applyBorder="1" applyAlignment="1">
      <alignment horizontal="center"/>
    </xf>
    <xf numFmtId="0" fontId="50" fillId="0" borderId="12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2" fontId="51" fillId="0" borderId="38" xfId="0" applyNumberFormat="1" applyFont="1" applyBorder="1" applyAlignment="1">
      <alignment horizontal="center" vertical="center"/>
    </xf>
    <xf numFmtId="2" fontId="51" fillId="0" borderId="47" xfId="0" applyNumberFormat="1" applyFont="1" applyBorder="1" applyAlignment="1">
      <alignment horizontal="center" vertical="center"/>
    </xf>
    <xf numFmtId="172" fontId="51" fillId="0" borderId="15" xfId="0" applyNumberFormat="1" applyFont="1" applyBorder="1" applyAlignment="1">
      <alignment horizontal="center" vertical="center"/>
    </xf>
    <xf numFmtId="172" fontId="51" fillId="0" borderId="47" xfId="0" applyNumberFormat="1" applyFont="1" applyBorder="1" applyAlignment="1">
      <alignment horizontal="center" vertical="center"/>
    </xf>
    <xf numFmtId="1" fontId="18" fillId="0" borderId="63" xfId="0" applyNumberFormat="1" applyFont="1" applyBorder="1" applyAlignment="1">
      <alignment horizontal="center" vertical="center" wrapText="1"/>
    </xf>
    <xf numFmtId="1" fontId="51" fillId="0" borderId="64" xfId="0" applyNumberFormat="1" applyFont="1" applyBorder="1" applyAlignment="1">
      <alignment horizontal="center" vertical="center" wrapText="1"/>
    </xf>
    <xf numFmtId="1" fontId="51" fillId="0" borderId="47" xfId="0" applyNumberFormat="1" applyFont="1" applyBorder="1" applyAlignment="1">
      <alignment horizontal="center" vertical="center" wrapText="1"/>
    </xf>
    <xf numFmtId="164" fontId="46" fillId="0" borderId="60" xfId="0" applyNumberFormat="1" applyFont="1" applyBorder="1" applyAlignment="1">
      <alignment horizontal="center" vertical="center"/>
    </xf>
    <xf numFmtId="164" fontId="46" fillId="0" borderId="0" xfId="0" applyNumberFormat="1" applyFont="1" applyAlignment="1">
      <alignment horizontal="center" vertical="center"/>
    </xf>
    <xf numFmtId="164" fontId="51" fillId="0" borderId="60" xfId="0" applyNumberFormat="1" applyFont="1" applyBorder="1" applyAlignment="1">
      <alignment horizontal="center" vertical="center"/>
    </xf>
    <xf numFmtId="164" fontId="51" fillId="0" borderId="64" xfId="0" applyNumberFormat="1" applyFont="1" applyBorder="1" applyAlignment="1">
      <alignment horizontal="center" vertical="center"/>
    </xf>
    <xf numFmtId="2" fontId="51" fillId="0" borderId="60" xfId="0" applyNumberFormat="1" applyFont="1" applyBorder="1" applyAlignment="1">
      <alignment horizontal="center" vertical="center"/>
    </xf>
    <xf numFmtId="2" fontId="51" fillId="0" borderId="64" xfId="0" applyNumberFormat="1" applyFont="1" applyBorder="1" applyAlignment="1">
      <alignment horizontal="center" vertical="center"/>
    </xf>
    <xf numFmtId="172" fontId="51" fillId="0" borderId="0" xfId="0" applyNumberFormat="1" applyFont="1" applyAlignment="1">
      <alignment horizontal="center" vertical="center"/>
    </xf>
    <xf numFmtId="172" fontId="51" fillId="0" borderId="64" xfId="0" applyNumberFormat="1" applyFont="1" applyBorder="1" applyAlignment="1">
      <alignment horizontal="center" vertical="center"/>
    </xf>
    <xf numFmtId="164" fontId="46" fillId="0" borderId="38" xfId="0" applyNumberFormat="1" applyFont="1" applyBorder="1" applyAlignment="1">
      <alignment horizontal="center" vertical="center"/>
    </xf>
    <xf numFmtId="164" fontId="46" fillId="0" borderId="15" xfId="0" applyNumberFormat="1" applyFont="1" applyBorder="1" applyAlignment="1">
      <alignment horizontal="center" vertical="center"/>
    </xf>
    <xf numFmtId="164" fontId="51" fillId="0" borderId="38" xfId="0" applyNumberFormat="1" applyFont="1" applyBorder="1" applyAlignment="1">
      <alignment horizontal="center" vertical="center"/>
    </xf>
    <xf numFmtId="164" fontId="51" fillId="0" borderId="47" xfId="0" applyNumberFormat="1" applyFont="1" applyBorder="1" applyAlignment="1">
      <alignment horizontal="center" vertical="center"/>
    </xf>
    <xf numFmtId="164" fontId="46" fillId="0" borderId="62" xfId="0" applyNumberFormat="1" applyFont="1" applyBorder="1" applyAlignment="1">
      <alignment horizontal="center" vertical="center"/>
    </xf>
    <xf numFmtId="164" fontId="46" fillId="0" borderId="61" xfId="0" applyNumberFormat="1" applyFont="1" applyBorder="1" applyAlignment="1">
      <alignment horizontal="center" vertical="center"/>
    </xf>
    <xf numFmtId="2" fontId="51" fillId="0" borderId="62" xfId="0" applyNumberFormat="1" applyFont="1" applyBorder="1" applyAlignment="1">
      <alignment horizontal="center" vertical="center"/>
    </xf>
    <xf numFmtId="2" fontId="51" fillId="0" borderId="63" xfId="0" applyNumberFormat="1" applyFont="1" applyBorder="1" applyAlignment="1">
      <alignment horizontal="center" vertical="center"/>
    </xf>
    <xf numFmtId="172" fontId="51" fillId="0" borderId="61" xfId="0" applyNumberFormat="1" applyFont="1" applyBorder="1" applyAlignment="1">
      <alignment horizontal="center" vertical="center"/>
    </xf>
    <xf numFmtId="172" fontId="51" fillId="0" borderId="63" xfId="0" applyNumberFormat="1" applyFont="1" applyBorder="1" applyAlignment="1">
      <alignment horizontal="center" vertical="center"/>
    </xf>
    <xf numFmtId="9" fontId="51" fillId="0" borderId="61" xfId="0" applyNumberFormat="1" applyFont="1" applyBorder="1" applyAlignment="1">
      <alignment horizontal="center" vertical="center"/>
    </xf>
    <xf numFmtId="9" fontId="51" fillId="0" borderId="63" xfId="0" applyNumberFormat="1" applyFont="1" applyBorder="1" applyAlignment="1">
      <alignment horizontal="center" vertical="center"/>
    </xf>
    <xf numFmtId="164" fontId="46" fillId="0" borderId="64" xfId="0" applyNumberFormat="1" applyFont="1" applyBorder="1" applyAlignment="1">
      <alignment horizontal="center" vertical="center"/>
    </xf>
    <xf numFmtId="164" fontId="46" fillId="0" borderId="47" xfId="0" applyNumberFormat="1" applyFont="1" applyBorder="1" applyAlignment="1">
      <alignment horizontal="center" vertical="center"/>
    </xf>
    <xf numFmtId="164" fontId="46" fillId="0" borderId="63" xfId="0" applyNumberFormat="1" applyFont="1" applyBorder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13" fillId="0" borderId="70" xfId="0" applyFont="1" applyBorder="1" applyAlignment="1">
      <alignment horizontal="center" vertical="center"/>
    </xf>
    <xf numFmtId="0" fontId="46" fillId="0" borderId="70" xfId="0" applyFont="1" applyBorder="1" applyAlignment="1">
      <alignment horizontal="center" vertical="center"/>
    </xf>
    <xf numFmtId="167" fontId="19" fillId="0" borderId="0" xfId="0" applyNumberFormat="1" applyFont="1" applyAlignment="1">
      <alignment horizontal="center" vertical="center" wrapText="1"/>
    </xf>
    <xf numFmtId="177" fontId="51" fillId="0" borderId="0" xfId="0" applyNumberFormat="1" applyFont="1" applyAlignment="1">
      <alignment horizontal="left" vertical="top"/>
    </xf>
    <xf numFmtId="0" fontId="18" fillId="0" borderId="0" xfId="0" applyFont="1" applyAlignment="1">
      <alignment horizontal="left" vertical="center"/>
    </xf>
    <xf numFmtId="0" fontId="50" fillId="0" borderId="60" xfId="0" applyFont="1" applyBorder="1" applyAlignment="1">
      <alignment horizontal="justify" vertical="justify" wrapText="1"/>
    </xf>
    <xf numFmtId="0" fontId="50" fillId="0" borderId="0" xfId="0" applyFont="1" applyAlignment="1">
      <alignment horizontal="justify" vertical="justify" wrapText="1"/>
    </xf>
    <xf numFmtId="0" fontId="51" fillId="0" borderId="60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51" fillId="0" borderId="64" xfId="0" applyFont="1" applyBorder="1" applyAlignment="1">
      <alignment horizontal="center" vertical="center" wrapText="1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34" xfId="0" applyFont="1" applyBorder="1" applyAlignment="1">
      <alignment horizontal="center" vertical="center"/>
    </xf>
    <xf numFmtId="0" fontId="57" fillId="0" borderId="0" xfId="0" applyFont="1" applyAlignment="1">
      <alignment horizontal="justify" wrapText="1"/>
    </xf>
    <xf numFmtId="0" fontId="51" fillId="0" borderId="0" xfId="0" applyFont="1" applyBorder="1" applyAlignment="1">
      <alignment horizontal="center" vertical="center" wrapText="1"/>
    </xf>
    <xf numFmtId="164" fontId="18" fillId="0" borderId="60" xfId="0" applyNumberFormat="1" applyFont="1" applyBorder="1" applyAlignment="1">
      <alignment horizontal="center" vertical="center"/>
    </xf>
    <xf numFmtId="164" fontId="51" fillId="0" borderId="0" xfId="0" applyNumberFormat="1" applyFont="1" applyBorder="1" applyAlignment="1">
      <alignment horizontal="center" vertical="center"/>
    </xf>
    <xf numFmtId="9" fontId="51" fillId="0" borderId="62" xfId="0" applyNumberFormat="1" applyFont="1" applyBorder="1" applyAlignment="1">
      <alignment horizontal="center" vertical="center"/>
    </xf>
    <xf numFmtId="172" fontId="51" fillId="0" borderId="60" xfId="0" applyNumberFormat="1" applyFont="1" applyBorder="1" applyAlignment="1">
      <alignment horizontal="center" vertical="center"/>
    </xf>
    <xf numFmtId="172" fontId="51" fillId="0" borderId="0" xfId="0" applyNumberFormat="1" applyFont="1" applyBorder="1" applyAlignment="1">
      <alignment horizontal="center" vertical="center"/>
    </xf>
    <xf numFmtId="164" fontId="46" fillId="0" borderId="0" xfId="0" applyNumberFormat="1" applyFont="1" applyBorder="1" applyAlignment="1">
      <alignment horizontal="center" vertical="center"/>
    </xf>
    <xf numFmtId="0" fontId="17" fillId="0" borderId="120" xfId="0" applyFont="1" applyBorder="1" applyAlignment="1">
      <alignment horizontal="center"/>
    </xf>
    <xf numFmtId="9" fontId="51" fillId="0" borderId="0" xfId="0" applyNumberFormat="1" applyFont="1" applyBorder="1" applyAlignment="1">
      <alignment horizontal="center" vertical="center"/>
    </xf>
    <xf numFmtId="9" fontId="51" fillId="0" borderId="64" xfId="0" applyNumberFormat="1" applyFont="1" applyBorder="1" applyAlignment="1">
      <alignment horizontal="center" vertical="center"/>
    </xf>
    <xf numFmtId="0" fontId="13" fillId="0" borderId="62" xfId="0" applyFont="1" applyBorder="1" applyAlignment="1">
      <alignment horizontal="center" vertical="center"/>
    </xf>
    <xf numFmtId="0" fontId="46" fillId="0" borderId="61" xfId="0" applyFont="1" applyBorder="1" applyAlignment="1">
      <alignment horizontal="center" vertical="center"/>
    </xf>
    <xf numFmtId="0" fontId="46" fillId="0" borderId="63" xfId="0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6" fillId="0" borderId="15" xfId="0" applyFont="1" applyBorder="1" applyAlignment="1">
      <alignment horizontal="center" vertical="center"/>
    </xf>
    <xf numFmtId="0" fontId="46" fillId="0" borderId="47" xfId="0" applyFont="1" applyBorder="1" applyAlignment="1">
      <alignment horizontal="center" vertical="center"/>
    </xf>
    <xf numFmtId="167" fontId="19" fillId="0" borderId="60" xfId="0" applyNumberFormat="1" applyFont="1" applyBorder="1" applyAlignment="1">
      <alignment horizontal="center" vertical="center" wrapText="1"/>
    </xf>
    <xf numFmtId="0" fontId="17" fillId="0" borderId="0" xfId="0" applyFont="1" applyBorder="1" applyAlignment="1">
      <alignment horizontal="justify" wrapText="1"/>
    </xf>
    <xf numFmtId="0" fontId="13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0" fontId="51" fillId="0" borderId="0" xfId="0" quotePrefix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47" fillId="0" borderId="0" xfId="0" applyFont="1" applyAlignment="1">
      <alignment horizontal="center" vertical="top"/>
    </xf>
    <xf numFmtId="11" fontId="51" fillId="0" borderId="62" xfId="0" applyNumberFormat="1" applyFont="1" applyBorder="1" applyAlignment="1">
      <alignment horizontal="center" vertical="center"/>
    </xf>
    <xf numFmtId="11" fontId="51" fillId="0" borderId="63" xfId="0" applyNumberFormat="1" applyFont="1" applyBorder="1" applyAlignment="1">
      <alignment horizontal="center" vertical="center"/>
    </xf>
    <xf numFmtId="11" fontId="51" fillId="0" borderId="60" xfId="0" applyNumberFormat="1" applyFont="1" applyBorder="1" applyAlignment="1">
      <alignment horizontal="center" vertical="center"/>
    </xf>
    <xf numFmtId="11" fontId="51" fillId="0" borderId="64" xfId="0" applyNumberFormat="1" applyFont="1" applyBorder="1" applyAlignment="1">
      <alignment horizontal="center" vertical="center"/>
    </xf>
    <xf numFmtId="11" fontId="51" fillId="0" borderId="38" xfId="0" applyNumberFormat="1" applyFont="1" applyBorder="1" applyAlignment="1">
      <alignment horizontal="center" vertical="center"/>
    </xf>
    <xf numFmtId="11" fontId="51" fillId="0" borderId="47" xfId="0" applyNumberFormat="1" applyFont="1" applyBorder="1" applyAlignment="1">
      <alignment horizontal="center" vertical="center"/>
    </xf>
    <xf numFmtId="0" fontId="18" fillId="0" borderId="52" xfId="0" applyFont="1" applyBorder="1" applyAlignment="1">
      <alignment horizontal="center" vertical="center"/>
    </xf>
    <xf numFmtId="2" fontId="18" fillId="0" borderId="52" xfId="0" applyNumberFormat="1" applyFont="1" applyBorder="1" applyAlignment="1">
      <alignment horizontal="center" vertical="center"/>
    </xf>
    <xf numFmtId="0" fontId="13" fillId="0" borderId="62" xfId="0" applyFont="1" applyBorder="1" applyAlignment="1">
      <alignment horizontal="center" vertical="center" wrapText="1"/>
    </xf>
    <xf numFmtId="167" fontId="13" fillId="0" borderId="52" xfId="0" applyNumberFormat="1" applyFont="1" applyBorder="1" applyAlignment="1">
      <alignment horizontal="center" vertical="center" wrapText="1"/>
    </xf>
    <xf numFmtId="167" fontId="46" fillId="0" borderId="52" xfId="0" applyNumberFormat="1" applyFont="1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7" fontId="18" fillId="0" borderId="51" xfId="0" applyNumberFormat="1" applyFont="1" applyBorder="1" applyAlignment="1">
      <alignment horizontal="center" vertical="center"/>
    </xf>
    <xf numFmtId="167" fontId="18" fillId="0" borderId="52" xfId="0" applyNumberFormat="1" applyFont="1" applyBorder="1" applyAlignment="1">
      <alignment horizontal="center" vertical="center"/>
    </xf>
    <xf numFmtId="2" fontId="46" fillId="0" borderId="38" xfId="0" applyNumberFormat="1" applyFont="1" applyBorder="1" applyAlignment="1">
      <alignment horizontal="right" vertical="center"/>
    </xf>
    <xf numFmtId="2" fontId="46" fillId="0" borderId="15" xfId="0" applyNumberFormat="1" applyFont="1" applyBorder="1" applyAlignment="1">
      <alignment horizontal="right" vertical="center"/>
    </xf>
    <xf numFmtId="0" fontId="46" fillId="0" borderId="15" xfId="0" applyFont="1" applyBorder="1" applyAlignment="1">
      <alignment horizontal="left" vertical="center"/>
    </xf>
    <xf numFmtId="0" fontId="46" fillId="0" borderId="47" xfId="0" applyFont="1" applyBorder="1" applyAlignment="1">
      <alignment horizontal="left" vertical="center"/>
    </xf>
    <xf numFmtId="0" fontId="51" fillId="0" borderId="0" xfId="0" quotePrefix="1" applyFont="1" applyAlignment="1" applyProtection="1">
      <alignment horizontal="justify" vertical="center"/>
      <protection locked="0"/>
    </xf>
    <xf numFmtId="0" fontId="46" fillId="0" borderId="0" xfId="0" applyFont="1" applyAlignment="1">
      <alignment horizontal="justify" vertical="center"/>
    </xf>
    <xf numFmtId="15" fontId="51" fillId="0" borderId="0" xfId="0" quotePrefix="1" applyNumberFormat="1" applyFont="1" applyAlignment="1">
      <alignment horizontal="justify" vertical="center" wrapText="1"/>
    </xf>
    <xf numFmtId="0" fontId="51" fillId="0" borderId="0" xfId="0" quotePrefix="1" applyFont="1" applyAlignment="1">
      <alignment horizontal="justify" vertical="center" wrapText="1"/>
    </xf>
    <xf numFmtId="0" fontId="51" fillId="0" borderId="0" xfId="0" applyFont="1" applyAlignment="1">
      <alignment horizontal="justify" vertical="center"/>
    </xf>
    <xf numFmtId="15" fontId="46" fillId="0" borderId="0" xfId="0" applyNumberFormat="1" applyFont="1" applyAlignment="1">
      <alignment horizontal="justify" vertical="center" wrapText="1"/>
    </xf>
    <xf numFmtId="0" fontId="46" fillId="0" borderId="0" xfId="0" applyFont="1" applyAlignment="1">
      <alignment horizontal="justify" vertical="center" wrapText="1"/>
    </xf>
    <xf numFmtId="0" fontId="18" fillId="0" borderId="70" xfId="0" applyFont="1" applyBorder="1" applyAlignment="1">
      <alignment horizontal="center" vertical="center"/>
    </xf>
    <xf numFmtId="0" fontId="0" fillId="0" borderId="52" xfId="0" applyBorder="1" applyAlignment="1">
      <alignment horizontal="justify" vertical="center"/>
    </xf>
    <xf numFmtId="2" fontId="0" fillId="0" borderId="52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49" fillId="0" borderId="0" xfId="0" applyFont="1" applyBorder="1" applyAlignment="1">
      <alignment horizontal="center"/>
    </xf>
    <xf numFmtId="0" fontId="50" fillId="0" borderId="0" xfId="0" applyFont="1" applyBorder="1" applyAlignment="1">
      <alignment horizontal="center"/>
    </xf>
    <xf numFmtId="9" fontId="0" fillId="0" borderId="52" xfId="1" applyFont="1" applyBorder="1" applyAlignment="1">
      <alignment horizontal="center" vertical="center"/>
    </xf>
    <xf numFmtId="2" fontId="46" fillId="0" borderId="0" xfId="0" applyNumberFormat="1" applyFont="1" applyAlignment="1">
      <alignment horizontal="center"/>
    </xf>
    <xf numFmtId="0" fontId="14" fillId="0" borderId="71" xfId="0" applyFont="1" applyBorder="1" applyAlignment="1">
      <alignment horizontal="center" vertical="center" wrapText="1"/>
    </xf>
    <xf numFmtId="0" fontId="14" fillId="0" borderId="72" xfId="0" applyFont="1" applyBorder="1" applyAlignment="1">
      <alignment horizontal="center" vertical="center" wrapText="1"/>
    </xf>
    <xf numFmtId="0" fontId="14" fillId="0" borderId="73" xfId="0" applyFont="1" applyBorder="1" applyAlignment="1">
      <alignment horizontal="center" vertical="center" wrapText="1"/>
    </xf>
    <xf numFmtId="0" fontId="15" fillId="0" borderId="0" xfId="0" applyFont="1" applyBorder="1" applyAlignment="1" applyProtection="1">
      <alignment horizontal="center" vertical="center"/>
      <protection locked="0"/>
    </xf>
    <xf numFmtId="177" fontId="18" fillId="0" borderId="0" xfId="0" quotePrefix="1" applyNumberFormat="1" applyFont="1" applyAlignment="1">
      <alignment horizontal="left" vertical="center"/>
    </xf>
    <xf numFmtId="0" fontId="18" fillId="0" borderId="0" xfId="0" applyFont="1" applyAlignment="1">
      <alignment horizontal="justify" vertical="top" wrapText="1"/>
    </xf>
    <xf numFmtId="0" fontId="18" fillId="0" borderId="0" xfId="0" applyFont="1" applyAlignment="1" applyProtection="1">
      <alignment horizontal="justify" vertical="top"/>
      <protection locked="0"/>
    </xf>
    <xf numFmtId="0" fontId="18" fillId="0" borderId="0" xfId="0" applyFont="1" applyAlignment="1">
      <alignment horizontal="left" vertical="top" wrapText="1"/>
    </xf>
    <xf numFmtId="2" fontId="18" fillId="0" borderId="13" xfId="0" applyNumberFormat="1" applyFont="1" applyBorder="1" applyAlignment="1">
      <alignment horizontal="center" vertical="center" wrapText="1"/>
    </xf>
    <xf numFmtId="2" fontId="18" fillId="0" borderId="15" xfId="0" applyNumberFormat="1" applyFont="1" applyBorder="1" applyAlignment="1">
      <alignment horizontal="center" vertical="center" wrapText="1"/>
    </xf>
    <xf numFmtId="2" fontId="18" fillId="0" borderId="22" xfId="0" applyNumberFormat="1" applyFont="1" applyBorder="1" applyAlignment="1">
      <alignment horizontal="center" vertical="center" wrapText="1"/>
    </xf>
    <xf numFmtId="2" fontId="18" fillId="0" borderId="32" xfId="0" applyNumberFormat="1" applyFont="1" applyBorder="1" applyAlignment="1">
      <alignment horizontal="center" vertical="center" wrapText="1"/>
    </xf>
    <xf numFmtId="2" fontId="18" fillId="0" borderId="29" xfId="0" applyNumberFormat="1" applyFont="1" applyBorder="1" applyAlignment="1">
      <alignment horizontal="center" vertical="center" wrapText="1"/>
    </xf>
    <xf numFmtId="0" fontId="18" fillId="0" borderId="67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2" fontId="18" fillId="0" borderId="35" xfId="0" applyNumberFormat="1" applyFont="1" applyBorder="1" applyAlignment="1">
      <alignment horizontal="center" vertical="center" wrapText="1"/>
    </xf>
    <xf numFmtId="2" fontId="18" fillId="0" borderId="36" xfId="0" applyNumberFormat="1" applyFont="1" applyBorder="1" applyAlignment="1">
      <alignment horizontal="center" vertical="center" wrapText="1"/>
    </xf>
    <xf numFmtId="2" fontId="18" fillId="0" borderId="37" xfId="0" applyNumberFormat="1" applyFont="1" applyBorder="1" applyAlignment="1">
      <alignment horizontal="center" vertical="center" wrapText="1"/>
    </xf>
    <xf numFmtId="0" fontId="41" fillId="8" borderId="1" xfId="0" applyFont="1" applyFill="1" applyBorder="1" applyAlignment="1">
      <alignment horizontal="center" vertical="center"/>
    </xf>
    <xf numFmtId="0" fontId="41" fillId="8" borderId="3" xfId="0" applyFont="1" applyFill="1" applyBorder="1" applyAlignment="1">
      <alignment horizontal="center" vertical="center"/>
    </xf>
    <xf numFmtId="0" fontId="41" fillId="8" borderId="33" xfId="0" applyFont="1" applyFill="1" applyBorder="1" applyAlignment="1">
      <alignment horizontal="center" vertical="center"/>
    </xf>
    <xf numFmtId="0" fontId="41" fillId="8" borderId="34" xfId="0" applyFont="1" applyFill="1" applyBorder="1" applyAlignment="1">
      <alignment horizontal="center" vertical="center"/>
    </xf>
    <xf numFmtId="0" fontId="41" fillId="12" borderId="33" xfId="0" applyFont="1" applyFill="1" applyBorder="1" applyAlignment="1">
      <alignment horizontal="center" vertical="center"/>
    </xf>
    <xf numFmtId="0" fontId="41" fillId="12" borderId="34" xfId="0" applyFont="1" applyFill="1" applyBorder="1" applyAlignment="1">
      <alignment horizontal="center" vertical="center"/>
    </xf>
    <xf numFmtId="0" fontId="41" fillId="12" borderId="4" xfId="0" applyFont="1" applyFill="1" applyBorder="1" applyAlignment="1">
      <alignment horizontal="center" vertical="center"/>
    </xf>
    <xf numFmtId="0" fontId="41" fillId="12" borderId="6" xfId="0" applyFont="1" applyFill="1" applyBorder="1" applyAlignment="1">
      <alignment horizontal="center" vertical="center"/>
    </xf>
    <xf numFmtId="0" fontId="41" fillId="7" borderId="50" xfId="0" applyFont="1" applyFill="1" applyBorder="1" applyAlignment="1">
      <alignment horizontal="center" vertical="center"/>
    </xf>
    <xf numFmtId="0" fontId="41" fillId="7" borderId="52" xfId="0" applyFont="1" applyFill="1" applyBorder="1" applyAlignment="1">
      <alignment horizontal="center" vertical="center"/>
    </xf>
    <xf numFmtId="0" fontId="41" fillId="7" borderId="23" xfId="0" applyFont="1" applyFill="1" applyBorder="1" applyAlignment="1">
      <alignment horizontal="center" vertical="center"/>
    </xf>
    <xf numFmtId="0" fontId="41" fillId="7" borderId="48" xfId="0" applyFont="1" applyFill="1" applyBorder="1" applyAlignment="1">
      <alignment horizontal="center" vertical="center"/>
    </xf>
    <xf numFmtId="0" fontId="1" fillId="15" borderId="7" xfId="0" applyFont="1" applyFill="1" applyBorder="1" applyAlignment="1">
      <alignment horizontal="center" vertical="center" wrapText="1"/>
    </xf>
    <xf numFmtId="0" fontId="1" fillId="15" borderId="8" xfId="0" applyFont="1" applyFill="1" applyBorder="1" applyAlignment="1">
      <alignment horizontal="center" vertical="center" wrapText="1"/>
    </xf>
    <xf numFmtId="0" fontId="1" fillId="15" borderId="9" xfId="0" applyFont="1" applyFill="1" applyBorder="1" applyAlignment="1">
      <alignment horizontal="center" vertical="center" wrapText="1"/>
    </xf>
    <xf numFmtId="10" fontId="41" fillId="8" borderId="33" xfId="1" applyNumberFormat="1" applyFont="1" applyFill="1" applyBorder="1" applyAlignment="1">
      <alignment horizontal="center" vertical="center"/>
    </xf>
    <xf numFmtId="10" fontId="41" fillId="8" borderId="34" xfId="1" applyNumberFormat="1" applyFont="1" applyFill="1" applyBorder="1" applyAlignment="1">
      <alignment horizontal="center" vertical="center"/>
    </xf>
    <xf numFmtId="10" fontId="41" fillId="8" borderId="4" xfId="1" applyNumberFormat="1" applyFont="1" applyFill="1" applyBorder="1" applyAlignment="1">
      <alignment horizontal="center" vertical="center"/>
    </xf>
    <xf numFmtId="10" fontId="41" fillId="8" borderId="6" xfId="1" applyNumberFormat="1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41" fillId="14" borderId="3" xfId="0" applyFont="1" applyFill="1" applyBorder="1" applyAlignment="1">
      <alignment horizontal="center" vertical="center"/>
    </xf>
    <xf numFmtId="0" fontId="41" fillId="14" borderId="33" xfId="0" applyFont="1" applyFill="1" applyBorder="1" applyAlignment="1">
      <alignment horizontal="center" vertical="center"/>
    </xf>
    <xf numFmtId="0" fontId="41" fillId="14" borderId="34" xfId="0" applyFont="1" applyFill="1" applyBorder="1" applyAlignment="1">
      <alignment horizontal="center" vertical="center"/>
    </xf>
    <xf numFmtId="0" fontId="41" fillId="12" borderId="1" xfId="0" applyFont="1" applyFill="1" applyBorder="1" applyAlignment="1">
      <alignment horizontal="center" vertical="center"/>
    </xf>
    <xf numFmtId="0" fontId="41" fillId="12" borderId="3" xfId="0" applyFont="1" applyFill="1" applyBorder="1" applyAlignment="1">
      <alignment horizontal="center" vertical="center"/>
    </xf>
    <xf numFmtId="0" fontId="45" fillId="7" borderId="23" xfId="0" applyFont="1" applyFill="1" applyBorder="1" applyAlignment="1">
      <alignment horizontal="center" vertical="center"/>
    </xf>
    <xf numFmtId="0" fontId="45" fillId="7" borderId="48" xfId="0" applyFont="1" applyFill="1" applyBorder="1" applyAlignment="1">
      <alignment horizontal="center" vertical="center"/>
    </xf>
    <xf numFmtId="0" fontId="45" fillId="7" borderId="24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0" fontId="41" fillId="2" borderId="3" xfId="0" applyFont="1" applyFill="1" applyBorder="1" applyAlignment="1">
      <alignment horizontal="center" vertical="center"/>
    </xf>
    <xf numFmtId="0" fontId="41" fillId="2" borderId="33" xfId="0" applyFont="1" applyFill="1" applyBorder="1" applyAlignment="1">
      <alignment horizontal="center" vertical="center"/>
    </xf>
    <xf numFmtId="0" fontId="41" fillId="2" borderId="34" xfId="0" applyFont="1" applyFill="1" applyBorder="1" applyAlignment="1">
      <alignment horizontal="center" vertical="center"/>
    </xf>
    <xf numFmtId="0" fontId="45" fillId="7" borderId="25" xfId="0" applyFont="1" applyFill="1" applyBorder="1" applyAlignment="1">
      <alignment horizontal="center" vertical="center"/>
    </xf>
    <xf numFmtId="0" fontId="45" fillId="7" borderId="27" xfId="0" applyFont="1" applyFill="1" applyBorder="1" applyAlignment="1">
      <alignment horizontal="center" vertical="center"/>
    </xf>
    <xf numFmtId="0" fontId="45" fillId="7" borderId="26" xfId="0" applyFont="1" applyFill="1" applyBorder="1" applyAlignment="1">
      <alignment horizontal="center" vertical="center"/>
    </xf>
    <xf numFmtId="0" fontId="41" fillId="7" borderId="16" xfId="0" applyFont="1" applyFill="1" applyBorder="1" applyAlignment="1">
      <alignment horizontal="center" vertical="center"/>
    </xf>
    <xf numFmtId="0" fontId="41" fillId="7" borderId="17" xfId="0" applyFont="1" applyFill="1" applyBorder="1" applyAlignment="1">
      <alignment horizontal="center" vertical="center"/>
    </xf>
    <xf numFmtId="0" fontId="41" fillId="7" borderId="1" xfId="0" applyFont="1" applyFill="1" applyBorder="1" applyAlignment="1">
      <alignment horizontal="center" vertical="center" wrapText="1"/>
    </xf>
    <xf numFmtId="0" fontId="41" fillId="7" borderId="83" xfId="0" applyFont="1" applyFill="1" applyBorder="1" applyAlignment="1">
      <alignment horizontal="center" vertical="center" wrapText="1"/>
    </xf>
    <xf numFmtId="0" fontId="41" fillId="7" borderId="4" xfId="0" applyFont="1" applyFill="1" applyBorder="1" applyAlignment="1">
      <alignment horizontal="center" vertical="center" wrapText="1"/>
    </xf>
    <xf numFmtId="0" fontId="41" fillId="7" borderId="46" xfId="0" applyFont="1" applyFill="1" applyBorder="1" applyAlignment="1">
      <alignment horizontal="center" vertical="center" wrapText="1"/>
    </xf>
    <xf numFmtId="10" fontId="41" fillId="14" borderId="33" xfId="1" applyNumberFormat="1" applyFont="1" applyFill="1" applyBorder="1" applyAlignment="1">
      <alignment horizontal="center" vertical="center"/>
    </xf>
    <xf numFmtId="10" fontId="41" fillId="14" borderId="34" xfId="1" applyNumberFormat="1" applyFont="1" applyFill="1" applyBorder="1" applyAlignment="1">
      <alignment horizontal="center" vertical="center"/>
    </xf>
    <xf numFmtId="10" fontId="41" fillId="14" borderId="4" xfId="1" applyNumberFormat="1" applyFont="1" applyFill="1" applyBorder="1" applyAlignment="1">
      <alignment horizontal="center" vertical="center"/>
    </xf>
    <xf numFmtId="10" fontId="41" fillId="14" borderId="6" xfId="1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42" fillId="0" borderId="62" xfId="0" applyFont="1" applyBorder="1" applyAlignment="1">
      <alignment horizontal="center" vertical="center" wrapText="1"/>
    </xf>
    <xf numFmtId="0" fontId="42" fillId="0" borderId="61" xfId="0" applyFont="1" applyBorder="1" applyAlignment="1">
      <alignment horizontal="center" vertical="center" wrapText="1"/>
    </xf>
    <xf numFmtId="0" fontId="42" fillId="0" borderId="63" xfId="0" applyFont="1" applyBorder="1" applyAlignment="1">
      <alignment horizontal="center" vertical="center" wrapText="1"/>
    </xf>
    <xf numFmtId="0" fontId="42" fillId="0" borderId="60" xfId="0" applyFont="1" applyBorder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42" fillId="0" borderId="64" xfId="0" applyFont="1" applyBorder="1" applyAlignment="1">
      <alignment horizontal="center" vertical="center" wrapText="1"/>
    </xf>
    <xf numFmtId="0" fontId="42" fillId="0" borderId="38" xfId="0" applyFont="1" applyBorder="1" applyAlignment="1">
      <alignment horizontal="center" vertical="center" wrapText="1"/>
    </xf>
    <xf numFmtId="0" fontId="42" fillId="0" borderId="15" xfId="0" applyFont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41" fillId="7" borderId="74" xfId="0" applyFont="1" applyFill="1" applyBorder="1" applyAlignment="1">
      <alignment horizontal="right" vertical="center"/>
    </xf>
    <xf numFmtId="0" fontId="41" fillId="7" borderId="51" xfId="0" applyFont="1" applyFill="1" applyBorder="1" applyAlignment="1">
      <alignment horizontal="right" vertical="center"/>
    </xf>
    <xf numFmtId="0" fontId="41" fillId="7" borderId="10" xfId="0" applyFont="1" applyFill="1" applyBorder="1" applyAlignment="1">
      <alignment horizontal="right" vertical="center"/>
    </xf>
    <xf numFmtId="0" fontId="41" fillId="7" borderId="54" xfId="0" applyFont="1" applyFill="1" applyBorder="1" applyAlignment="1">
      <alignment horizontal="right" vertical="center"/>
    </xf>
    <xf numFmtId="0" fontId="41" fillId="7" borderId="33" xfId="0" applyFont="1" applyFill="1" applyBorder="1" applyAlignment="1">
      <alignment horizontal="right" vertical="center"/>
    </xf>
    <xf numFmtId="0" fontId="41" fillId="7" borderId="64" xfId="0" applyFont="1" applyFill="1" applyBorder="1" applyAlignment="1">
      <alignment horizontal="right" vertical="center"/>
    </xf>
    <xf numFmtId="0" fontId="0" fillId="2" borderId="0" xfId="0" applyFill="1" applyAlignment="1" applyProtection="1">
      <alignment horizontal="justify" vertical="center" wrapText="1"/>
      <protection locked="0"/>
    </xf>
    <xf numFmtId="0" fontId="44" fillId="2" borderId="0" xfId="0" applyFont="1" applyFill="1" applyAlignment="1" applyProtection="1">
      <alignment horizontal="justify" vertical="center" wrapText="1"/>
      <protection locked="0"/>
    </xf>
    <xf numFmtId="0" fontId="41" fillId="7" borderId="19" xfId="0" applyFont="1" applyFill="1" applyBorder="1" applyAlignment="1">
      <alignment horizontal="right" vertical="center"/>
    </xf>
    <xf numFmtId="0" fontId="41" fillId="7" borderId="68" xfId="0" applyFont="1" applyFill="1" applyBorder="1" applyAlignment="1">
      <alignment horizontal="right" vertical="center"/>
    </xf>
    <xf numFmtId="10" fontId="41" fillId="2" borderId="33" xfId="1" applyNumberFormat="1" applyFont="1" applyFill="1" applyBorder="1" applyAlignment="1">
      <alignment horizontal="center" vertical="center"/>
    </xf>
    <xf numFmtId="10" fontId="41" fillId="2" borderId="34" xfId="1" applyNumberFormat="1" applyFont="1" applyFill="1" applyBorder="1" applyAlignment="1">
      <alignment horizontal="center" vertical="center"/>
    </xf>
    <xf numFmtId="10" fontId="41" fillId="2" borderId="4" xfId="1" applyNumberFormat="1" applyFont="1" applyFill="1" applyBorder="1" applyAlignment="1">
      <alignment horizontal="center" vertical="center"/>
    </xf>
    <xf numFmtId="10" fontId="41" fillId="2" borderId="6" xfId="1" applyNumberFormat="1" applyFont="1" applyFill="1" applyBorder="1" applyAlignment="1">
      <alignment horizontal="center" vertical="center"/>
    </xf>
    <xf numFmtId="167" fontId="13" fillId="0" borderId="56" xfId="0" applyNumberFormat="1" applyFont="1" applyBorder="1" applyAlignment="1">
      <alignment horizontal="center" vertical="center" wrapText="1"/>
    </xf>
    <xf numFmtId="164" fontId="18" fillId="0" borderId="74" xfId="0" applyNumberFormat="1" applyFont="1" applyBorder="1" applyAlignment="1">
      <alignment horizontal="center" vertical="center" wrapText="1"/>
    </xf>
    <xf numFmtId="164" fontId="18" fillId="0" borderId="57" xfId="0" applyNumberFormat="1" applyFont="1" applyBorder="1" applyAlignment="1">
      <alignment horizontal="center" vertical="center" wrapText="1"/>
    </xf>
    <xf numFmtId="164" fontId="18" fillId="0" borderId="29" xfId="0" applyNumberFormat="1" applyFont="1" applyBorder="1" applyAlignment="1">
      <alignment horizontal="center" vertical="center" wrapText="1"/>
    </xf>
    <xf numFmtId="164" fontId="18" fillId="0" borderId="10" xfId="0" applyNumberFormat="1" applyFont="1" applyBorder="1" applyAlignment="1">
      <alignment horizontal="center" vertical="center" wrapText="1"/>
    </xf>
    <xf numFmtId="164" fontId="18" fillId="0" borderId="11" xfId="0" applyNumberFormat="1" applyFont="1" applyBorder="1" applyAlignment="1">
      <alignment horizontal="center" vertical="center" wrapText="1"/>
    </xf>
    <xf numFmtId="164" fontId="18" fillId="0" borderId="12" xfId="0" applyNumberFormat="1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164" fontId="18" fillId="0" borderId="13" xfId="0" applyNumberFormat="1" applyFont="1" applyBorder="1" applyAlignment="1">
      <alignment horizontal="center" vertical="center" wrapText="1"/>
    </xf>
    <xf numFmtId="164" fontId="18" fillId="0" borderId="15" xfId="0" applyNumberFormat="1" applyFont="1" applyBorder="1" applyAlignment="1">
      <alignment horizontal="center" vertical="center" wrapText="1"/>
    </xf>
    <xf numFmtId="164" fontId="18" fillId="0" borderId="22" xfId="0" applyNumberFormat="1" applyFont="1" applyBorder="1" applyAlignment="1">
      <alignment horizontal="center" vertical="center" wrapText="1"/>
    </xf>
    <xf numFmtId="164" fontId="18" fillId="0" borderId="25" xfId="0" applyNumberFormat="1" applyFont="1" applyBorder="1" applyAlignment="1">
      <alignment horizontal="center" vertical="center" wrapText="1"/>
    </xf>
    <xf numFmtId="164" fontId="18" fillId="0" borderId="27" xfId="0" applyNumberFormat="1" applyFont="1" applyBorder="1" applyAlignment="1">
      <alignment horizontal="center" vertical="center" wrapText="1"/>
    </xf>
    <xf numFmtId="164" fontId="18" fillId="0" borderId="38" xfId="0" applyNumberFormat="1" applyFont="1" applyBorder="1" applyAlignment="1">
      <alignment horizontal="center" vertical="center" wrapText="1"/>
    </xf>
    <xf numFmtId="164" fontId="18" fillId="0" borderId="26" xfId="0" applyNumberFormat="1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164" fontId="18" fillId="0" borderId="19" xfId="0" applyNumberFormat="1" applyFont="1" applyBorder="1" applyAlignment="1">
      <alignment horizontal="center" vertical="center" wrapText="1"/>
    </xf>
    <xf numFmtId="164" fontId="18" fillId="0" borderId="21" xfId="0" applyNumberFormat="1" applyFont="1" applyBorder="1" applyAlignment="1">
      <alignment horizontal="center" vertical="center" wrapText="1"/>
    </xf>
    <xf numFmtId="164" fontId="18" fillId="0" borderId="32" xfId="0" applyNumberFormat="1" applyFont="1" applyBorder="1" applyAlignment="1">
      <alignment horizontal="center" vertical="center" wrapText="1"/>
    </xf>
    <xf numFmtId="0" fontId="18" fillId="0" borderId="74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2" fontId="18" fillId="0" borderId="4" xfId="0" applyNumberFormat="1" applyFont="1" applyBorder="1" applyAlignment="1">
      <alignment horizontal="center" vertical="center" wrapText="1"/>
    </xf>
    <xf numFmtId="2" fontId="18" fillId="0" borderId="5" xfId="0" applyNumberFormat="1" applyFont="1" applyBorder="1" applyAlignment="1">
      <alignment horizontal="center" vertical="center" wrapText="1"/>
    </xf>
    <xf numFmtId="2" fontId="18" fillId="0" borderId="6" xfId="0" applyNumberFormat="1" applyFont="1" applyBorder="1" applyAlignment="1">
      <alignment horizontal="center" vertical="center" wrapText="1"/>
    </xf>
    <xf numFmtId="0" fontId="1" fillId="7" borderId="42" xfId="0" applyFont="1" applyFill="1" applyBorder="1" applyAlignment="1">
      <alignment horizontal="center" vertical="center"/>
    </xf>
    <xf numFmtId="0" fontId="1" fillId="7" borderId="44" xfId="0" applyFont="1" applyFill="1" applyBorder="1" applyAlignment="1">
      <alignment horizontal="center" vertical="center"/>
    </xf>
    <xf numFmtId="2" fontId="1" fillId="16" borderId="42" xfId="0" applyNumberFormat="1" applyFont="1" applyFill="1" applyBorder="1" applyAlignment="1">
      <alignment horizontal="center" vertical="center"/>
    </xf>
    <xf numFmtId="2" fontId="1" fillId="16" borderId="44" xfId="0" applyNumberFormat="1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88" xfId="0" applyFont="1" applyFill="1" applyBorder="1" applyAlignment="1">
      <alignment horizontal="center" vertical="center"/>
    </xf>
    <xf numFmtId="0" fontId="1" fillId="7" borderId="45" xfId="0" applyFont="1" applyFill="1" applyBorder="1" applyAlignment="1">
      <alignment horizontal="center" vertical="center"/>
    </xf>
    <xf numFmtId="0" fontId="0" fillId="7" borderId="72" xfId="0" applyFill="1" applyBorder="1" applyAlignment="1">
      <alignment horizontal="center" vertical="center" wrapText="1"/>
    </xf>
    <xf numFmtId="0" fontId="0" fillId="7" borderId="85" xfId="0" applyFill="1" applyBorder="1" applyAlignment="1">
      <alignment horizontal="right" vertical="center"/>
    </xf>
    <xf numFmtId="0" fontId="0" fillId="7" borderId="61" xfId="0" applyFill="1" applyBorder="1" applyAlignment="1">
      <alignment horizontal="right" vertical="center"/>
    </xf>
    <xf numFmtId="0" fontId="0" fillId="2" borderId="57" xfId="0" applyFill="1" applyBorder="1" applyAlignment="1" applyProtection="1">
      <alignment vertical="center"/>
      <protection locked="0"/>
    </xf>
    <xf numFmtId="0" fontId="0" fillId="2" borderId="51" xfId="0" applyFill="1" applyBorder="1" applyAlignment="1" applyProtection="1">
      <alignment vertical="center"/>
      <protection locked="0"/>
    </xf>
    <xf numFmtId="0" fontId="0" fillId="2" borderId="51" xfId="0" applyFill="1" applyBorder="1" applyAlignment="1" applyProtection="1">
      <alignment horizontal="left" vertical="center"/>
      <protection locked="0"/>
    </xf>
    <xf numFmtId="0" fontId="0" fillId="2" borderId="29" xfId="0" applyFill="1" applyBorder="1" applyAlignment="1" applyProtection="1">
      <alignment horizontal="left" vertical="center"/>
      <protection locked="0"/>
    </xf>
    <xf numFmtId="0" fontId="1" fillId="7" borderId="82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7" borderId="42" xfId="0" applyFont="1" applyFill="1" applyBorder="1" applyAlignment="1">
      <alignment horizontal="center" vertical="center" wrapText="1"/>
    </xf>
    <xf numFmtId="0" fontId="1" fillId="7" borderId="44" xfId="0" applyFont="1" applyFill="1" applyBorder="1" applyAlignment="1">
      <alignment horizontal="center" vertical="center" wrapText="1"/>
    </xf>
    <xf numFmtId="0" fontId="0" fillId="7" borderId="56" xfId="0" applyFill="1" applyBorder="1" applyAlignment="1">
      <alignment horizontal="right" vertical="center"/>
    </xf>
    <xf numFmtId="0" fontId="18" fillId="2" borderId="33" xfId="0" applyFont="1" applyFill="1" applyBorder="1" applyAlignment="1">
      <alignment horizontal="left" vertical="center" wrapText="1"/>
    </xf>
    <xf numFmtId="0" fontId="18" fillId="2" borderId="0" xfId="0" applyFont="1" applyFill="1" applyAlignment="1">
      <alignment horizontal="left" vertical="center" wrapText="1"/>
    </xf>
    <xf numFmtId="0" fontId="18" fillId="2" borderId="34" xfId="0" applyFont="1" applyFill="1" applyBorder="1" applyAlignment="1">
      <alignment horizontal="left" vertical="center" wrapText="1"/>
    </xf>
    <xf numFmtId="177" fontId="0" fillId="2" borderId="74" xfId="0" applyNumberFormat="1" applyFill="1" applyBorder="1" applyAlignment="1" applyProtection="1">
      <alignment horizontal="left" vertical="center"/>
      <protection locked="0"/>
    </xf>
    <xf numFmtId="0" fontId="0" fillId="2" borderId="74" xfId="0" quotePrefix="1" applyFill="1" applyBorder="1" applyAlignment="1">
      <alignment horizontal="left" vertical="center"/>
    </xf>
    <xf numFmtId="0" fontId="0" fillId="2" borderId="57" xfId="0" quotePrefix="1" applyFill="1" applyBorder="1" applyAlignment="1">
      <alignment horizontal="left" vertical="center"/>
    </xf>
    <xf numFmtId="0" fontId="0" fillId="7" borderId="10" xfId="0" applyFill="1" applyBorder="1" applyAlignment="1">
      <alignment horizontal="right" vertical="center"/>
    </xf>
    <xf numFmtId="0" fontId="0" fillId="7" borderId="11" xfId="0" applyFill="1" applyBorder="1" applyAlignment="1">
      <alignment horizontal="right" vertical="center"/>
    </xf>
    <xf numFmtId="0" fontId="0" fillId="0" borderId="1" xfId="0" applyBorder="1" applyAlignment="1" applyProtection="1">
      <alignment horizontal="justify" vertical="top"/>
      <protection locked="0"/>
    </xf>
    <xf numFmtId="0" fontId="0" fillId="0" borderId="2" xfId="0" applyBorder="1" applyAlignment="1" applyProtection="1">
      <alignment horizontal="justify" vertical="top"/>
      <protection locked="0"/>
    </xf>
    <xf numFmtId="0" fontId="0" fillId="0" borderId="3" xfId="0" applyBorder="1" applyAlignment="1" applyProtection="1">
      <alignment horizontal="justify" vertical="top"/>
      <protection locked="0"/>
    </xf>
    <xf numFmtId="0" fontId="0" fillId="0" borderId="4" xfId="0" applyBorder="1" applyAlignment="1" applyProtection="1">
      <alignment horizontal="justify" vertical="top"/>
      <protection locked="0"/>
    </xf>
    <xf numFmtId="0" fontId="0" fillId="0" borderId="5" xfId="0" applyBorder="1" applyAlignment="1" applyProtection="1">
      <alignment horizontal="justify" vertical="top"/>
      <protection locked="0"/>
    </xf>
    <xf numFmtId="0" fontId="0" fillId="0" borderId="6" xfId="0" applyBorder="1" applyAlignment="1" applyProtection="1">
      <alignment horizontal="justify" vertical="top"/>
      <protection locked="0"/>
    </xf>
    <xf numFmtId="0" fontId="18" fillId="2" borderId="13" xfId="0" applyFont="1" applyFill="1" applyBorder="1" applyAlignment="1">
      <alignment horizontal="left" vertical="center" wrapText="1"/>
    </xf>
    <xf numFmtId="0" fontId="18" fillId="2" borderId="15" xfId="0" applyFont="1" applyFill="1" applyBorder="1" applyAlignment="1">
      <alignment horizontal="left" vertical="center" wrapText="1"/>
    </xf>
    <xf numFmtId="0" fontId="18" fillId="2" borderId="22" xfId="0" applyFont="1" applyFill="1" applyBorder="1" applyAlignment="1">
      <alignment horizontal="left" vertical="center" wrapText="1"/>
    </xf>
    <xf numFmtId="177" fontId="0" fillId="2" borderId="19" xfId="0" applyNumberFormat="1" applyFill="1" applyBorder="1" applyAlignment="1" applyProtection="1">
      <alignment horizontal="left" vertical="center"/>
      <protection locked="0"/>
    </xf>
    <xf numFmtId="177" fontId="0" fillId="2" borderId="21" xfId="0" applyNumberForma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0" fontId="1" fillId="7" borderId="81" xfId="0" applyFont="1" applyFill="1" applyBorder="1" applyAlignment="1">
      <alignment horizontal="center" vertical="center"/>
    </xf>
    <xf numFmtId="0" fontId="1" fillId="7" borderId="39" xfId="0" applyFont="1" applyFill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9" fontId="18" fillId="0" borderId="56" xfId="0" applyNumberFormat="1" applyFont="1" applyBorder="1" applyAlignment="1">
      <alignment horizontal="center" vertical="center" wrapText="1"/>
    </xf>
    <xf numFmtId="9" fontId="18" fillId="0" borderId="57" xfId="0" applyNumberFormat="1" applyFont="1" applyBorder="1" applyAlignment="1">
      <alignment horizontal="center" vertical="center" wrapText="1"/>
    </xf>
    <xf numFmtId="9" fontId="18" fillId="0" borderId="51" xfId="0" applyNumberFormat="1" applyFont="1" applyBorder="1" applyAlignment="1">
      <alignment horizontal="center" vertical="center" wrapText="1"/>
    </xf>
    <xf numFmtId="168" fontId="18" fillId="0" borderId="56" xfId="0" applyNumberFormat="1" applyFont="1" applyBorder="1" applyAlignment="1">
      <alignment horizontal="center" vertical="center" wrapText="1"/>
    </xf>
    <xf numFmtId="168" fontId="18" fillId="0" borderId="57" xfId="0" applyNumberFormat="1" applyFont="1" applyBorder="1" applyAlignment="1">
      <alignment horizontal="center" vertical="center" wrapText="1"/>
    </xf>
    <xf numFmtId="168" fontId="18" fillId="0" borderId="51" xfId="0" applyNumberFormat="1" applyFont="1" applyBorder="1" applyAlignment="1">
      <alignment horizontal="center" vertical="center" wrapText="1"/>
    </xf>
    <xf numFmtId="169" fontId="18" fillId="0" borderId="56" xfId="0" applyNumberFormat="1" applyFont="1" applyBorder="1" applyAlignment="1">
      <alignment horizontal="center" vertical="center" wrapText="1"/>
    </xf>
    <xf numFmtId="169" fontId="18" fillId="0" borderId="57" xfId="0" applyNumberFormat="1" applyFont="1" applyBorder="1" applyAlignment="1">
      <alignment horizontal="center" vertical="center" wrapText="1"/>
    </xf>
    <xf numFmtId="169" fontId="18" fillId="0" borderId="51" xfId="0" applyNumberFormat="1" applyFont="1" applyBorder="1" applyAlignment="1">
      <alignment horizontal="center" vertical="center" wrapText="1"/>
    </xf>
    <xf numFmtId="0" fontId="18" fillId="0" borderId="56" xfId="0" applyFont="1" applyBorder="1" applyAlignment="1">
      <alignment horizontal="center" vertical="center" wrapText="1"/>
    </xf>
    <xf numFmtId="0" fontId="18" fillId="0" borderId="51" xfId="0" applyFont="1" applyBorder="1" applyAlignment="1">
      <alignment horizontal="center" vertical="center" wrapText="1"/>
    </xf>
    <xf numFmtId="0" fontId="13" fillId="0" borderId="61" xfId="0" applyFont="1" applyBorder="1" applyAlignment="1">
      <alignment horizontal="center" vertical="center" wrapText="1"/>
    </xf>
    <xf numFmtId="0" fontId="13" fillId="0" borderId="63" xfId="0" applyFont="1" applyBorder="1" applyAlignment="1">
      <alignment horizontal="center" vertical="center" wrapText="1"/>
    </xf>
    <xf numFmtId="0" fontId="18" fillId="0" borderId="6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64" xfId="0" applyFont="1" applyBorder="1" applyAlignment="1">
      <alignment horizontal="center" vertical="center" wrapText="1"/>
    </xf>
    <xf numFmtId="0" fontId="18" fillId="0" borderId="38" xfId="0" applyFont="1" applyBorder="1" applyAlignment="1">
      <alignment horizontal="center" vertical="center" wrapText="1"/>
    </xf>
    <xf numFmtId="0" fontId="18" fillId="0" borderId="47" xfId="0" applyFont="1" applyBorder="1" applyAlignment="1">
      <alignment horizontal="center" vertical="center" wrapText="1"/>
    </xf>
    <xf numFmtId="0" fontId="76" fillId="0" borderId="38" xfId="0" applyFont="1" applyBorder="1" applyAlignment="1">
      <alignment horizontal="center" vertical="center" wrapText="1"/>
    </xf>
    <xf numFmtId="0" fontId="76" fillId="0" borderId="15" xfId="0" applyFont="1" applyBorder="1" applyAlignment="1">
      <alignment horizontal="center" vertical="center" wrapText="1"/>
    </xf>
    <xf numFmtId="0" fontId="76" fillId="0" borderId="47" xfId="0" applyFont="1" applyBorder="1" applyAlignment="1">
      <alignment horizontal="center" vertical="center" wrapText="1"/>
    </xf>
    <xf numFmtId="15" fontId="18" fillId="0" borderId="0" xfId="0" quotePrefix="1" applyNumberFormat="1" applyFont="1" applyAlignment="1">
      <alignment horizontal="left" vertical="center"/>
    </xf>
    <xf numFmtId="177" fontId="18" fillId="0" borderId="0" xfId="0" applyNumberFormat="1" applyFont="1" applyAlignment="1">
      <alignment horizontal="left" vertical="center"/>
    </xf>
    <xf numFmtId="167" fontId="13" fillId="0" borderId="62" xfId="0" applyNumberFormat="1" applyFont="1" applyBorder="1" applyAlignment="1">
      <alignment horizontal="center" wrapText="1"/>
    </xf>
    <xf numFmtId="167" fontId="13" fillId="0" borderId="61" xfId="0" applyNumberFormat="1" applyFont="1" applyBorder="1" applyAlignment="1">
      <alignment horizontal="center" wrapText="1"/>
    </xf>
    <xf numFmtId="167" fontId="13" fillId="0" borderId="63" xfId="0" applyNumberFormat="1" applyFont="1" applyBorder="1" applyAlignment="1">
      <alignment horizontal="center" wrapText="1"/>
    </xf>
    <xf numFmtId="0" fontId="18" fillId="0" borderId="62" xfId="0" applyFont="1" applyBorder="1" applyAlignment="1">
      <alignment horizontal="center" vertical="center" wrapText="1"/>
    </xf>
    <xf numFmtId="0" fontId="18" fillId="0" borderId="61" xfId="0" applyFont="1" applyBorder="1" applyAlignment="1">
      <alignment horizontal="center" vertical="center" wrapText="1"/>
    </xf>
    <xf numFmtId="0" fontId="18" fillId="0" borderId="63" xfId="0" applyFont="1" applyBorder="1" applyAlignment="1">
      <alignment horizontal="center" vertical="center" wrapText="1"/>
    </xf>
    <xf numFmtId="9" fontId="18" fillId="0" borderId="56" xfId="0" applyNumberFormat="1" applyFont="1" applyBorder="1" applyAlignment="1">
      <alignment horizontal="center" vertical="center"/>
    </xf>
    <xf numFmtId="9" fontId="18" fillId="0" borderId="57" xfId="0" applyNumberFormat="1" applyFont="1" applyBorder="1" applyAlignment="1">
      <alignment horizontal="center" vertical="center"/>
    </xf>
    <xf numFmtId="9" fontId="18" fillId="0" borderId="51" xfId="0" applyNumberFormat="1" applyFont="1" applyBorder="1" applyAlignment="1">
      <alignment horizontal="center" vertical="center"/>
    </xf>
    <xf numFmtId="0" fontId="18" fillId="0" borderId="0" xfId="0" quotePrefix="1" applyFont="1" applyAlignment="1" applyProtection="1">
      <alignment horizontal="justify" vertical="top" wrapText="1"/>
      <protection locked="0"/>
    </xf>
    <xf numFmtId="0" fontId="18" fillId="0" borderId="0" xfId="0" applyFont="1" applyAlignment="1" applyProtection="1">
      <alignment horizontal="left" vertical="center" wrapText="1"/>
      <protection locked="0"/>
    </xf>
    <xf numFmtId="0" fontId="13" fillId="0" borderId="0" xfId="0" applyFont="1" applyAlignment="1">
      <alignment horizontal="justify" wrapText="1"/>
    </xf>
    <xf numFmtId="0" fontId="13" fillId="0" borderId="56" xfId="0" applyFont="1" applyBorder="1" applyAlignment="1">
      <alignment horizontal="left" vertical="center"/>
    </xf>
    <xf numFmtId="0" fontId="13" fillId="0" borderId="57" xfId="0" applyFont="1" applyBorder="1" applyAlignment="1">
      <alignment horizontal="left" vertical="center"/>
    </xf>
    <xf numFmtId="0" fontId="13" fillId="0" borderId="51" xfId="0" applyFont="1" applyBorder="1" applyAlignment="1">
      <alignment horizontal="left" vertical="center"/>
    </xf>
    <xf numFmtId="0" fontId="18" fillId="0" borderId="0" xfId="0" applyFont="1" applyAlignment="1" applyProtection="1">
      <alignment horizontal="left" vertical="center"/>
      <protection locked="0"/>
    </xf>
    <xf numFmtId="0" fontId="18" fillId="0" borderId="0" xfId="0" applyFont="1" applyAlignment="1">
      <alignment horizontal="justify" vertical="center" wrapText="1"/>
    </xf>
    <xf numFmtId="0" fontId="13" fillId="0" borderId="0" xfId="0" applyFont="1" applyAlignment="1">
      <alignment horizontal="justify" vertical="center" wrapText="1"/>
    </xf>
    <xf numFmtId="0" fontId="18" fillId="0" borderId="61" xfId="0" applyFont="1" applyBorder="1" applyAlignment="1">
      <alignment horizontal="left"/>
    </xf>
    <xf numFmtId="164" fontId="62" fillId="0" borderId="27" xfId="0" applyNumberFormat="1" applyFont="1" applyBorder="1" applyAlignment="1">
      <alignment horizontal="center" vertical="center"/>
    </xf>
    <xf numFmtId="164" fontId="62" fillId="0" borderId="52" xfId="0" applyNumberFormat="1" applyFont="1" applyBorder="1" applyAlignment="1">
      <alignment horizontal="center" vertical="center"/>
    </xf>
    <xf numFmtId="1" fontId="62" fillId="0" borderId="52" xfId="0" applyNumberFormat="1" applyFont="1" applyBorder="1" applyAlignment="1">
      <alignment horizontal="center" vertical="center"/>
    </xf>
    <xf numFmtId="1" fontId="61" fillId="0" borderId="52" xfId="0" applyNumberFormat="1" applyFont="1" applyBorder="1" applyAlignment="1">
      <alignment horizontal="center" vertical="center"/>
    </xf>
    <xf numFmtId="15" fontId="61" fillId="0" borderId="61" xfId="0" applyNumberFormat="1" applyFont="1" applyBorder="1" applyAlignment="1">
      <alignment horizontal="center" vertical="center"/>
    </xf>
    <xf numFmtId="15" fontId="61" fillId="0" borderId="63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64" xfId="0" applyFont="1" applyBorder="1" applyAlignment="1">
      <alignment horizontal="center" vertical="center"/>
    </xf>
    <xf numFmtId="15" fontId="61" fillId="0" borderId="0" xfId="0" applyNumberFormat="1" applyFont="1" applyAlignment="1">
      <alignment horizontal="center" vertical="center"/>
    </xf>
    <xf numFmtId="15" fontId="61" fillId="0" borderId="64" xfId="0" applyNumberFormat="1" applyFont="1" applyBorder="1" applyAlignment="1">
      <alignment horizontal="center" vertical="center"/>
    </xf>
    <xf numFmtId="0" fontId="61" fillId="0" borderId="15" xfId="0" applyFont="1" applyBorder="1" applyAlignment="1">
      <alignment horizontal="center" vertical="center"/>
    </xf>
    <xf numFmtId="0" fontId="61" fillId="0" borderId="47" xfId="0" applyFont="1" applyBorder="1" applyAlignment="1">
      <alignment horizontal="center" vertical="center"/>
    </xf>
    <xf numFmtId="0" fontId="62" fillId="0" borderId="52" xfId="0" applyFont="1" applyBorder="1" applyAlignment="1">
      <alignment horizontal="center" vertical="center" wrapText="1"/>
    </xf>
    <xf numFmtId="167" fontId="62" fillId="0" borderId="70" xfId="0" applyNumberFormat="1" applyFont="1" applyBorder="1" applyAlignment="1">
      <alignment horizontal="center" vertical="center" wrapText="1"/>
    </xf>
    <xf numFmtId="167" fontId="62" fillId="0" borderId="27" xfId="0" applyNumberFormat="1" applyFont="1" applyBorder="1" applyAlignment="1">
      <alignment horizontal="center" vertical="center" wrapText="1"/>
    </xf>
    <xf numFmtId="0" fontId="63" fillId="0" borderId="70" xfId="0" applyFont="1" applyBorder="1" applyAlignment="1">
      <alignment horizontal="center" vertical="center" wrapText="1"/>
    </xf>
    <xf numFmtId="0" fontId="63" fillId="0" borderId="27" xfId="0" applyFont="1" applyBorder="1" applyAlignment="1">
      <alignment horizontal="center" vertical="center" wrapText="1"/>
    </xf>
    <xf numFmtId="0" fontId="61" fillId="0" borderId="70" xfId="0" applyFont="1" applyBorder="1" applyAlignment="1">
      <alignment horizontal="center" vertical="center"/>
    </xf>
    <xf numFmtId="0" fontId="61" fillId="0" borderId="27" xfId="0" applyFont="1" applyBorder="1" applyAlignment="1">
      <alignment horizontal="center" vertical="center"/>
    </xf>
    <xf numFmtId="0" fontId="61" fillId="0" borderId="52" xfId="0" applyFont="1" applyBorder="1" applyAlignment="1">
      <alignment horizontal="center" vertical="center"/>
    </xf>
    <xf numFmtId="177" fontId="61" fillId="0" borderId="61" xfId="0" applyNumberFormat="1" applyFont="1" applyBorder="1" applyAlignment="1">
      <alignment horizontal="center" vertical="center"/>
    </xf>
    <xf numFmtId="177" fontId="61" fillId="0" borderId="63" xfId="0" applyNumberFormat="1" applyFont="1" applyBorder="1" applyAlignment="1">
      <alignment horizontal="center" vertical="center"/>
    </xf>
    <xf numFmtId="177" fontId="61" fillId="0" borderId="0" xfId="0" applyNumberFormat="1" applyFont="1" applyAlignment="1">
      <alignment horizontal="center" vertical="center"/>
    </xf>
    <xf numFmtId="177" fontId="61" fillId="0" borderId="64" xfId="0" applyNumberFormat="1" applyFont="1" applyBorder="1" applyAlignment="1">
      <alignment horizontal="center" vertical="center"/>
    </xf>
    <xf numFmtId="0" fontId="61" fillId="0" borderId="0" xfId="0" applyFont="1" applyAlignment="1">
      <alignment horizontal="left" vertical="center"/>
    </xf>
    <xf numFmtId="2" fontId="62" fillId="0" borderId="52" xfId="0" applyNumberFormat="1" applyFont="1" applyBorder="1" applyAlignment="1">
      <alignment horizontal="center" vertical="center"/>
    </xf>
    <xf numFmtId="1" fontId="61" fillId="0" borderId="0" xfId="0" applyNumberFormat="1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1" fillId="0" borderId="62" xfId="0" applyFont="1" applyBorder="1" applyAlignment="1">
      <alignment horizontal="right" vertical="center"/>
    </xf>
    <xf numFmtId="0" fontId="61" fillId="0" borderId="61" xfId="0" applyFont="1" applyBorder="1" applyAlignment="1">
      <alignment horizontal="right" vertical="center"/>
    </xf>
    <xf numFmtId="0" fontId="61" fillId="0" borderId="60" xfId="0" applyFont="1" applyBorder="1" applyAlignment="1">
      <alignment horizontal="right" vertical="center"/>
    </xf>
    <xf numFmtId="0" fontId="61" fillId="0" borderId="0" xfId="0" applyFont="1" applyAlignment="1">
      <alignment horizontal="right" vertical="center"/>
    </xf>
    <xf numFmtId="2" fontId="63" fillId="0" borderId="52" xfId="0" applyNumberFormat="1" applyFont="1" applyBorder="1" applyAlignment="1">
      <alignment horizontal="center" vertical="center"/>
    </xf>
    <xf numFmtId="0" fontId="61" fillId="0" borderId="38" xfId="0" applyFont="1" applyBorder="1" applyAlignment="1">
      <alignment horizontal="right" vertical="center"/>
    </xf>
    <xf numFmtId="0" fontId="61" fillId="0" borderId="15" xfId="0" applyFont="1" applyBorder="1" applyAlignment="1">
      <alignment horizontal="right" vertical="center"/>
    </xf>
    <xf numFmtId="0" fontId="62" fillId="0" borderId="62" xfId="0" applyFont="1" applyBorder="1" applyAlignment="1">
      <alignment horizontal="center" vertical="center" wrapText="1"/>
    </xf>
    <xf numFmtId="0" fontId="62" fillId="0" borderId="61" xfId="0" applyFont="1" applyBorder="1" applyAlignment="1">
      <alignment horizontal="center" vertical="center" wrapText="1"/>
    </xf>
    <xf numFmtId="0" fontId="62" fillId="0" borderId="63" xfId="0" applyFont="1" applyBorder="1" applyAlignment="1">
      <alignment horizontal="center" vertical="center" wrapText="1"/>
    </xf>
    <xf numFmtId="167" fontId="62" fillId="0" borderId="62" xfId="0" applyNumberFormat="1" applyFont="1" applyBorder="1" applyAlignment="1">
      <alignment horizontal="center" vertical="center" wrapText="1"/>
    </xf>
    <xf numFmtId="167" fontId="62" fillId="0" borderId="61" xfId="0" applyNumberFormat="1" applyFont="1" applyBorder="1" applyAlignment="1">
      <alignment horizontal="center" vertical="center" wrapText="1"/>
    </xf>
    <xf numFmtId="167" fontId="62" fillId="0" borderId="63" xfId="0" applyNumberFormat="1" applyFont="1" applyBorder="1" applyAlignment="1">
      <alignment horizontal="center" vertical="center" wrapText="1"/>
    </xf>
    <xf numFmtId="0" fontId="16" fillId="0" borderId="60" xfId="0" applyFont="1" applyBorder="1" applyAlignment="1">
      <alignment horizontal="center" vertical="center"/>
    </xf>
    <xf numFmtId="0" fontId="16" fillId="0" borderId="64" xfId="0" applyFont="1" applyBorder="1" applyAlignment="1">
      <alignment horizontal="center" vertical="center"/>
    </xf>
    <xf numFmtId="0" fontId="14" fillId="0" borderId="62" xfId="0" applyFont="1" applyBorder="1" applyAlignment="1">
      <alignment horizontal="center" vertical="center" wrapText="1"/>
    </xf>
    <xf numFmtId="0" fontId="14" fillId="0" borderId="61" xfId="0" applyFont="1" applyBorder="1" applyAlignment="1">
      <alignment horizontal="center" vertical="center" wrapText="1"/>
    </xf>
    <xf numFmtId="0" fontId="14" fillId="0" borderId="63" xfId="0" applyFont="1" applyBorder="1" applyAlignment="1">
      <alignment horizontal="center" vertical="center" wrapText="1"/>
    </xf>
    <xf numFmtId="0" fontId="14" fillId="0" borderId="60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64" xfId="0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47" xfId="0" applyFont="1" applyBorder="1" applyAlignment="1">
      <alignment horizontal="center" vertical="center" wrapText="1"/>
    </xf>
    <xf numFmtId="0" fontId="64" fillId="0" borderId="62" xfId="0" applyFont="1" applyBorder="1" applyAlignment="1">
      <alignment horizontal="center" vertical="center" wrapText="1"/>
    </xf>
    <xf numFmtId="0" fontId="65" fillId="0" borderId="61" xfId="0" applyFont="1" applyBorder="1" applyAlignment="1">
      <alignment horizontal="center" vertical="center" wrapText="1"/>
    </xf>
    <xf numFmtId="0" fontId="65" fillId="0" borderId="63" xfId="0" applyFont="1" applyBorder="1" applyAlignment="1">
      <alignment horizontal="center" vertical="center" wrapText="1"/>
    </xf>
    <xf numFmtId="0" fontId="64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 wrapText="1"/>
    </xf>
    <xf numFmtId="0" fontId="65" fillId="0" borderId="64" xfId="0" applyFont="1" applyBorder="1" applyAlignment="1">
      <alignment horizontal="center" vertical="center" wrapText="1"/>
    </xf>
    <xf numFmtId="0" fontId="65" fillId="0" borderId="38" xfId="0" applyFont="1" applyBorder="1" applyAlignment="1">
      <alignment horizontal="center" vertical="center" wrapText="1"/>
    </xf>
    <xf numFmtId="0" fontId="65" fillId="0" borderId="15" xfId="0" applyFont="1" applyBorder="1" applyAlignment="1">
      <alignment horizontal="center" vertical="center" wrapText="1"/>
    </xf>
    <xf numFmtId="0" fontId="65" fillId="0" borderId="47" xfId="0" applyFont="1" applyBorder="1" applyAlignment="1">
      <alignment horizontal="center" vertical="center" wrapText="1"/>
    </xf>
    <xf numFmtId="0" fontId="15" fillId="0" borderId="62" xfId="0" applyFont="1" applyBorder="1" applyAlignment="1">
      <alignment horizontal="center"/>
    </xf>
    <xf numFmtId="0" fontId="15" fillId="0" borderId="61" xfId="0" applyFont="1" applyBorder="1" applyAlignment="1">
      <alignment horizontal="center"/>
    </xf>
    <xf numFmtId="0" fontId="15" fillId="0" borderId="63" xfId="0" applyFont="1" applyBorder="1" applyAlignment="1">
      <alignment horizontal="center"/>
    </xf>
    <xf numFmtId="0" fontId="15" fillId="0" borderId="60" xfId="0" applyFont="1" applyBorder="1" applyAlignment="1" applyProtection="1">
      <alignment horizontal="center" vertical="center"/>
      <protection locked="0"/>
    </xf>
    <xf numFmtId="0" fontId="15" fillId="0" borderId="64" xfId="0" applyFont="1" applyBorder="1" applyAlignment="1" applyProtection="1">
      <alignment horizontal="center" vertical="center"/>
      <protection locked="0"/>
    </xf>
    <xf numFmtId="0" fontId="15" fillId="0" borderId="60" xfId="0" applyFont="1" applyBorder="1" applyAlignment="1">
      <alignment horizontal="center" vertical="center"/>
    </xf>
    <xf numFmtId="0" fontId="15" fillId="0" borderId="64" xfId="0" applyFont="1" applyBorder="1" applyAlignment="1">
      <alignment horizontal="center" vertical="center"/>
    </xf>
    <xf numFmtId="0" fontId="13" fillId="0" borderId="52" xfId="0" applyFont="1" applyBorder="1" applyAlignment="1" applyProtection="1">
      <alignment horizontal="left" vertical="center"/>
      <protection locked="0"/>
    </xf>
    <xf numFmtId="0" fontId="13" fillId="0" borderId="70" xfId="0" applyFont="1" applyBorder="1" applyAlignment="1">
      <alignment horizontal="left" vertical="top"/>
    </xf>
    <xf numFmtId="0" fontId="13" fillId="0" borderId="58" xfId="0" applyFont="1" applyBorder="1" applyAlignment="1">
      <alignment horizontal="left" vertical="top"/>
    </xf>
    <xf numFmtId="0" fontId="13" fillId="0" borderId="27" xfId="0" applyFont="1" applyBorder="1" applyAlignment="1">
      <alignment horizontal="left" vertical="top"/>
    </xf>
    <xf numFmtId="0" fontId="14" fillId="0" borderId="61" xfId="0" applyFont="1" applyBorder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4" fillId="0" borderId="15" xfId="0" applyFont="1" applyBorder="1" applyAlignment="1">
      <alignment horizontal="center" vertical="top"/>
    </xf>
    <xf numFmtId="167" fontId="13" fillId="0" borderId="62" xfId="0" quotePrefix="1" applyNumberFormat="1" applyFont="1" applyBorder="1" applyAlignment="1" applyProtection="1">
      <alignment horizontal="left" vertical="center"/>
      <protection locked="0"/>
    </xf>
    <xf numFmtId="167" fontId="13" fillId="0" borderId="61" xfId="0" applyNumberFormat="1" applyFont="1" applyBorder="1" applyAlignment="1" applyProtection="1">
      <alignment horizontal="left" vertical="center"/>
      <protection locked="0"/>
    </xf>
    <xf numFmtId="167" fontId="13" fillId="0" borderId="63" xfId="0" applyNumberFormat="1" applyFont="1" applyBorder="1" applyAlignment="1" applyProtection="1">
      <alignment horizontal="left" vertical="center"/>
      <protection locked="0"/>
    </xf>
    <xf numFmtId="167" fontId="13" fillId="0" borderId="60" xfId="0" applyNumberFormat="1" applyFont="1" applyBorder="1" applyAlignment="1" applyProtection="1">
      <alignment horizontal="left" vertical="center"/>
      <protection locked="0"/>
    </xf>
    <xf numFmtId="167" fontId="13" fillId="0" borderId="0" xfId="0" applyNumberFormat="1" applyFont="1" applyAlignment="1" applyProtection="1">
      <alignment horizontal="left" vertical="center"/>
      <protection locked="0"/>
    </xf>
    <xf numFmtId="167" fontId="13" fillId="0" borderId="64" xfId="0" applyNumberFormat="1" applyFont="1" applyBorder="1" applyAlignment="1" applyProtection="1">
      <alignment horizontal="left" vertical="center"/>
      <protection locked="0"/>
    </xf>
    <xf numFmtId="167" fontId="13" fillId="0" borderId="38" xfId="0" applyNumberFormat="1" applyFont="1" applyBorder="1" applyAlignment="1" applyProtection="1">
      <alignment horizontal="left"/>
      <protection locked="0"/>
    </xf>
    <xf numFmtId="167" fontId="13" fillId="0" borderId="15" xfId="0" applyNumberFormat="1" applyFont="1" applyBorder="1" applyAlignment="1" applyProtection="1">
      <alignment horizontal="left"/>
      <protection locked="0"/>
    </xf>
    <xf numFmtId="167" fontId="13" fillId="0" borderId="47" xfId="0" applyNumberFormat="1" applyFont="1" applyBorder="1" applyAlignment="1" applyProtection="1">
      <alignment horizontal="left"/>
      <protection locked="0"/>
    </xf>
    <xf numFmtId="0" fontId="18" fillId="0" borderId="60" xfId="0" applyFont="1" applyBorder="1" applyAlignment="1" applyProtection="1">
      <alignment horizontal="justify" vertical="top" wrapText="1"/>
      <protection locked="0"/>
    </xf>
    <xf numFmtId="0" fontId="18" fillId="0" borderId="64" xfId="0" applyFont="1" applyBorder="1" applyAlignment="1" applyProtection="1">
      <alignment horizontal="justify" vertical="top" wrapText="1"/>
      <protection locked="0"/>
    </xf>
    <xf numFmtId="177" fontId="18" fillId="0" borderId="0" xfId="0" applyNumberFormat="1" applyFont="1" applyAlignment="1" applyProtection="1">
      <alignment horizontal="left" vertical="top"/>
      <protection locked="0"/>
    </xf>
    <xf numFmtId="177" fontId="51" fillId="0" borderId="0" xfId="0" applyNumberFormat="1" applyFont="1" applyAlignment="1" applyProtection="1">
      <alignment horizontal="left" vertical="top"/>
      <protection locked="0"/>
    </xf>
    <xf numFmtId="166" fontId="13" fillId="0" borderId="0" xfId="0" applyNumberFormat="1" applyFont="1" applyAlignment="1" applyProtection="1">
      <alignment horizontal="left"/>
      <protection locked="0"/>
    </xf>
    <xf numFmtId="15" fontId="18" fillId="0" borderId="52" xfId="0" quotePrefix="1" applyNumberFormat="1" applyFont="1" applyBorder="1" applyAlignment="1" applyProtection="1">
      <alignment horizontal="left" vertical="center" wrapText="1"/>
      <protection locked="0"/>
    </xf>
    <xf numFmtId="170" fontId="18" fillId="0" borderId="52" xfId="0" applyNumberFormat="1" applyFont="1" applyBorder="1" applyAlignment="1" applyProtection="1">
      <alignment horizontal="left" vertical="center"/>
      <protection locked="0"/>
    </xf>
    <xf numFmtId="170" fontId="18" fillId="0" borderId="70" xfId="0" applyNumberFormat="1" applyFont="1" applyBorder="1" applyAlignment="1" applyProtection="1">
      <alignment horizontal="left" vertical="center"/>
      <protection locked="0"/>
    </xf>
    <xf numFmtId="0" fontId="13" fillId="0" borderId="0" xfId="0" applyFont="1" applyAlignment="1">
      <alignment horizontal="center"/>
    </xf>
    <xf numFmtId="15" fontId="18" fillId="0" borderId="0" xfId="0" applyNumberFormat="1" applyFont="1" applyAlignment="1">
      <alignment horizontal="left" vertical="center"/>
    </xf>
    <xf numFmtId="2" fontId="33" fillId="5" borderId="42" xfId="0" applyNumberFormat="1" applyFont="1" applyFill="1" applyBorder="1" applyAlignment="1">
      <alignment horizontal="center" vertical="center" wrapText="1"/>
    </xf>
    <xf numFmtId="2" fontId="33" fillId="5" borderId="49" xfId="0" applyNumberFormat="1" applyFont="1" applyFill="1" applyBorder="1" applyAlignment="1">
      <alignment horizontal="center" vertical="center" wrapText="1"/>
    </xf>
    <xf numFmtId="2" fontId="33" fillId="5" borderId="53" xfId="0" applyNumberFormat="1" applyFont="1" applyFill="1" applyBorder="1" applyAlignment="1">
      <alignment horizontal="center" vertical="center" wrapText="1"/>
    </xf>
    <xf numFmtId="0" fontId="33" fillId="5" borderId="56" xfId="0" applyFont="1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 wrapText="1"/>
    </xf>
    <xf numFmtId="0" fontId="33" fillId="5" borderId="51" xfId="0" applyFont="1" applyFill="1" applyBorder="1" applyAlignment="1">
      <alignment horizontal="center" vertical="center" wrapText="1"/>
    </xf>
    <xf numFmtId="0" fontId="33" fillId="7" borderId="1" xfId="0" applyFont="1" applyFill="1" applyBorder="1" applyAlignment="1">
      <alignment horizontal="center" vertical="center" wrapText="1"/>
    </xf>
    <xf numFmtId="0" fontId="33" fillId="7" borderId="2" xfId="0" applyFont="1" applyFill="1" applyBorder="1" applyAlignment="1">
      <alignment horizontal="center" vertical="center" wrapText="1"/>
    </xf>
    <xf numFmtId="0" fontId="33" fillId="7" borderId="3" xfId="0" applyFont="1" applyFill="1" applyBorder="1" applyAlignment="1">
      <alignment horizontal="center" vertical="center" wrapText="1"/>
    </xf>
    <xf numFmtId="0" fontId="33" fillId="5" borderId="2" xfId="0" applyFont="1" applyFill="1" applyBorder="1" applyAlignment="1">
      <alignment horizontal="center" vertical="center" wrapText="1"/>
    </xf>
    <xf numFmtId="0" fontId="33" fillId="5" borderId="3" xfId="0" applyFont="1" applyFill="1" applyBorder="1" applyAlignment="1">
      <alignment horizontal="center" vertical="center" wrapText="1"/>
    </xf>
    <xf numFmtId="0" fontId="33" fillId="5" borderId="4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 wrapText="1"/>
    </xf>
    <xf numFmtId="0" fontId="33" fillId="5" borderId="6" xfId="0" applyFont="1" applyFill="1" applyBorder="1" applyAlignment="1">
      <alignment horizontal="center" vertical="center" wrapText="1"/>
    </xf>
    <xf numFmtId="0" fontId="33" fillId="2" borderId="59" xfId="0" applyFont="1" applyFill="1" applyBorder="1" applyAlignment="1">
      <alignment horizontal="center" vertical="center" wrapText="1"/>
    </xf>
    <xf numFmtId="11" fontId="33" fillId="2" borderId="58" xfId="0" applyNumberFormat="1" applyFont="1" applyFill="1" applyBorder="1" applyAlignment="1">
      <alignment horizontal="center" vertical="center" wrapText="1"/>
    </xf>
    <xf numFmtId="0" fontId="33" fillId="2" borderId="38" xfId="0" applyFont="1" applyFill="1" applyBorder="1" applyAlignment="1">
      <alignment horizontal="center" vertical="center" wrapText="1"/>
    </xf>
    <xf numFmtId="0" fontId="33" fillId="2" borderId="22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horizontal="center" vertical="center" wrapText="1"/>
    </xf>
    <xf numFmtId="15" fontId="33" fillId="2" borderId="66" xfId="0" applyNumberFormat="1" applyFont="1" applyFill="1" applyBorder="1" applyAlignment="1">
      <alignment horizontal="center" vertical="center" wrapText="1"/>
    </xf>
    <xf numFmtId="15" fontId="33" fillId="2" borderId="37" xfId="0" applyNumberFormat="1" applyFont="1" applyFill="1" applyBorder="1" applyAlignment="1">
      <alignment horizontal="center" vertical="center" wrapText="1"/>
    </xf>
  </cellXfs>
  <cellStyles count="3">
    <cellStyle name="Millares" xfId="2" builtinId="3"/>
    <cellStyle name="Normal" xfId="0" builtinId="0"/>
    <cellStyle name="Porcentaje" xfId="1" builtinId="5"/>
  </cellStyles>
  <dxfs count="29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8682DE"/>
      <color rgb="FFFF2A25"/>
      <color rgb="FFFF4743"/>
      <color rgb="FFECD0AA"/>
      <color rgb="FFBBE3BD"/>
      <color rgb="FFF6BE9C"/>
      <color rgb="FFFF8885"/>
      <color rgb="FF615B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629124890638670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3.4372922134733155E-2"/>
                  <c:y val="-0.397369130941965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Ref>
              <c:f>'Para hallar "A"'!$B$5:$B$11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'Para hallar "A"'!$C$5:$C$11</c:f>
              <c:numCache>
                <c:formatCode>General</c:formatCode>
                <c:ptCount val="7"/>
                <c:pt idx="1">
                  <c:v>3.4600138044505527E-2</c:v>
                </c:pt>
                <c:pt idx="2">
                  <c:v>1.5782849852069836E-2</c:v>
                </c:pt>
                <c:pt idx="3">
                  <c:v>8.7049140507223198E-3</c:v>
                </c:pt>
                <c:pt idx="4">
                  <c:v>5.6741408226129893E-3</c:v>
                </c:pt>
                <c:pt idx="5">
                  <c:v>3.9519379825549992E-3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4A-4BAB-B8EF-755246518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962224"/>
        <c:axId val="620963208"/>
      </c:scatterChart>
      <c:valAx>
        <c:axId val="62096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0963208"/>
        <c:crosses val="autoZero"/>
        <c:crossBetween val="midCat"/>
      </c:valAx>
      <c:valAx>
        <c:axId val="62096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096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Tasa de Dosis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4.6706292943614357E-2"/>
          <c:y val="8.2397230648534631E-2"/>
          <c:w val="0.87343969949298317"/>
          <c:h val="0.81394228815939018"/>
        </c:manualLayout>
      </c:layout>
      <c:scatterChart>
        <c:scatterStyle val="lineMarker"/>
        <c:varyColors val="0"/>
        <c:ser>
          <c:idx val="0"/>
          <c:order val="0"/>
          <c:tx>
            <c:v>Fondo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('F-LSCD-002 (Dosimetría)'!$A$116,'F-LSCD-002 (Dosimetría)'!$A$125,'F-LSCD-002 (Dosimetría)'!$A$134,'F-LSCD-002 (Dosimetría)'!$A$148,'F-LSCD-002 (Dosimetría)'!$A$157,'F-LSCD-002 (Dosimetría)'!$A$166)</c:f>
              <c:numCache>
                <c:formatCode>0.0</c:formatCode>
                <c:ptCount val="6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(Dosimetría)'!#REF!,'F-LSCD-002 (Dosimetría)'!#REF!,'F-LSCD-002 (Dosimetría)'!#REF!,'F-LSCD-002 (Dosimetría)'!#REF!,'F-LSCD-002 (Dosimetría)'!#REF!,'F-LSCD-002 (Dosimetría)'!#REF!)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F27-4CD2-9639-AE67F2CDB609}"/>
            </c:ext>
          </c:extLst>
        </c:ser>
        <c:ser>
          <c:idx val="1"/>
          <c:order val="1"/>
          <c:tx>
            <c:v>SA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(Dosimetría)'!$N$130,'F-LSCD-002 (Dosimetría)'!$N$144,'F-LSCD-002 (Dosimetría)'!$N$153)</c:f>
              <c:numCache>
                <c:formatCode>0.00E+00</c:formatCode>
                <c:ptCount val="3"/>
                <c:pt idx="0">
                  <c:v>1.3026868212277609E-2</c:v>
                </c:pt>
                <c:pt idx="1">
                  <c:v>7.1848635272250602E-3</c:v>
                </c:pt>
                <c:pt idx="2">
                  <c:v>4.6833161983307102E-3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F27-4CD2-9639-AE67F2CDB609}"/>
            </c:ext>
          </c:extLst>
        </c:ser>
        <c:ser>
          <c:idx val="4"/>
          <c:order val="4"/>
          <c:tx>
            <c:v>III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(Dosimetría)'!$BP$130,'F-LSCD-002 (Dosimetría)'!$BP$144,'F-LSCD-002 (Dosimetría)'!$BP$153)</c:f>
              <c:numCache>
                <c:formatCode>0.00E+00</c:formatCode>
                <c:ptCount val="3"/>
                <c:pt idx="0">
                  <c:v>2.0704010045655766E-3</c:v>
                </c:pt>
                <c:pt idx="1">
                  <c:v>1.1674617636220311E-3</c:v>
                </c:pt>
                <c:pt idx="2">
                  <c:v>7.4921612677721018E-4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F27-4CD2-9639-AE67F2CDB609}"/>
            </c:ext>
          </c:extLst>
        </c:ser>
        <c:ser>
          <c:idx val="5"/>
          <c:order val="5"/>
          <c:tx>
            <c:v>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(Dosimetría)'!$CZ$130,'F-LSCD-002 (Dosimetría)'!$CZ$144,'F-LSCD-002 (Dosimetría)'!$CZ$153)</c:f>
              <c:numCache>
                <c:formatCode>0.00E+00</c:formatCode>
                <c:ptCount val="3"/>
                <c:pt idx="0">
                  <c:v>4.8184287091899433E-3</c:v>
                </c:pt>
                <c:pt idx="1">
                  <c:v>2.7299738957013851E-3</c:v>
                </c:pt>
                <c:pt idx="2">
                  <c:v>1.740370946468135E-3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6F27-4CD2-9639-AE67F2CDB609}"/>
            </c:ext>
          </c:extLst>
        </c:ser>
        <c:ser>
          <c:idx val="6"/>
          <c:order val="6"/>
          <c:tx>
            <c:v>I+IV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(Dosimetría)'!$FB$130,'F-LSCD-002 (Dosimetría)'!$FB$144,'F-LSCD-002 (Dosimetría)'!$FB$153)</c:f>
              <c:numCache>
                <c:formatCode>0.00E+00</c:formatCode>
                <c:ptCount val="3"/>
                <c:pt idx="0">
                  <c:v>1.8126063299275502E-5</c:v>
                </c:pt>
                <c:pt idx="1">
                  <c:v>1.1940203237065004E-5</c:v>
                </c:pt>
                <c:pt idx="2">
                  <c:v>1.5105091220240227E-5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6F27-4CD2-9639-AE67F2CDB609}"/>
            </c:ext>
          </c:extLst>
        </c:ser>
        <c:ser>
          <c:idx val="9"/>
          <c:order val="9"/>
          <c:tx>
            <c:v>II+V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(Dosimetría)'!$PL$130,'F-LSCD-002 (Dosimetría)'!$PL$144,'F-LSCD-002 (Dosimetría)'!$PL$153)</c:f>
              <c:numCache>
                <c:formatCode>0.00E+00</c:formatCode>
                <c:ptCount val="3"/>
                <c:pt idx="0">
                  <c:v>3.5179760702589412E-4</c:v>
                </c:pt>
                <c:pt idx="1">
                  <c:v>2.0071417629399804E-4</c:v>
                </c:pt>
                <c:pt idx="2">
                  <c:v>1.3025805260647472E-4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6F27-4CD2-9639-AE67F2CDB609}"/>
            </c:ext>
          </c:extLst>
        </c:ser>
        <c:ser>
          <c:idx val="10"/>
          <c:order val="10"/>
          <c:tx>
            <c:v>III+V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(Dosimetría)'!$TP$130,'F-LSCD-002 (Dosimetría)'!$TP$144,'F-LSCD-002 (Dosimetría)'!$TP$153)</c:f>
              <c:numCache>
                <c:formatCode>0.00E+00</c:formatCode>
                <c:ptCount val="3"/>
                <c:pt idx="0">
                  <c:v>8.0222959700939657E-4</c:v>
                </c:pt>
                <c:pt idx="1">
                  <c:v>4.5907665220700606E-4</c:v>
                </c:pt>
                <c:pt idx="2">
                  <c:v>2.9574974091256561E-4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6F27-4CD2-9639-AE67F2CDB609}"/>
            </c:ext>
          </c:extLst>
        </c:ser>
        <c:ser>
          <c:idx val="11"/>
          <c:order val="11"/>
          <c:tx>
            <c:v>IV+V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(Dosimetría)'!$UZ$130,'F-LSCD-002 (Dosimetría)'!$UZ$144,'F-LSCD-002 (Dosimetría)'!$UZ$153)</c:f>
              <c:numCache>
                <c:formatCode>0.00E+00</c:formatCode>
                <c:ptCount val="3"/>
                <c:pt idx="0">
                  <c:v>4.5614699799903186E-5</c:v>
                </c:pt>
                <c:pt idx="1">
                  <c:v>3.1494648362368521E-5</c:v>
                </c:pt>
                <c:pt idx="2">
                  <c:v>2.4444551261881349E-5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6F27-4CD2-9639-AE67F2CDB609}"/>
            </c:ext>
          </c:extLst>
        </c:ser>
        <c:ser>
          <c:idx val="12"/>
          <c:order val="12"/>
          <c:tx>
            <c:v>IV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(Dosimetría)'!$CH$130,'F-LSCD-002 (Dosimetría)'!$CH$144,'F-LSCD-002 (Dosimetría)'!$CH$153)</c:f>
              <c:numCache>
                <c:formatCode>0.00E+00</c:formatCode>
                <c:ptCount val="3"/>
                <c:pt idx="0">
                  <c:v>9.8692430312693149E-5</c:v>
                </c:pt>
                <c:pt idx="1">
                  <c:v>5.2606245721347489E-5</c:v>
                </c:pt>
                <c:pt idx="2">
                  <c:v>4.1689446294213005E-5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782-4804-A525-876F10F8EBD6}"/>
            </c:ext>
          </c:extLst>
        </c:ser>
        <c:ser>
          <c:idx val="29"/>
          <c:order val="29"/>
          <c:tx>
            <c:v>II+III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(Dosimetría)'!$OB$130,'F-LSCD-002 (Dosimetría)'!$OB$144,'F-LSCD-002 (Dosimetría)'!$OB$153)</c:f>
              <c:numCache>
                <c:formatCode>0.00E+00</c:formatCode>
                <c:ptCount val="3"/>
                <c:pt idx="0">
                  <c:v>1.5912989989237995E-4</c:v>
                </c:pt>
                <c:pt idx="1">
                  <c:v>9.2721923543624926E-5</c:v>
                </c:pt>
                <c:pt idx="2">
                  <c:v>6.4295340601661831E-5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665F-4041-88AF-CC61669FE119}"/>
            </c:ext>
          </c:extLst>
        </c:ser>
        <c:ser>
          <c:idx val="32"/>
          <c:order val="32"/>
          <c:tx>
            <c:v>III+IV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('F-LSCD-002 (Dosimetría)'!$A$125,'F-LSCD-002 (Dosimetría)'!$A$134,'F-LSCD-002 (Dosimetría)'!$A$148)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  <c:extLst xmlns:c15="http://schemas.microsoft.com/office/drawing/2012/chart"/>
            </c:numRef>
          </c:xVal>
          <c:yVal>
            <c:numRef>
              <c:f>('F-LSCD-002 (Dosimetría)'!$SX$130,'F-LSCD-002 (Dosimetría)'!$SX$144,'F-LSCD-002 (Dosimetría)'!$SX$153)</c:f>
              <c:numCache>
                <c:formatCode>0.00E+00</c:formatCode>
                <c:ptCount val="3"/>
                <c:pt idx="0">
                  <c:v>2.5493835308656555E-5</c:v>
                </c:pt>
                <c:pt idx="1">
                  <c:v>2.0096376157424818E-5</c:v>
                </c:pt>
                <c:pt idx="2">
                  <c:v>1.7828303597495196E-5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665F-4041-88AF-CC61669FE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26400"/>
        <c:axId val="435449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('F-LSCD-002 (Dosimetría)'!$AF$130,'F-LSCD-002 (Dosimetría)'!$AF$144,'F-LSCD-002 (Dosimetría)'!$AF$153)</c15:sqref>
                        </c15:formulaRef>
                      </c:ext>
                    </c:extLst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F27-4CD2-9639-AE67F2CDB60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(Dosimetría)'!$AX$130,'F-LSCD-002 (Dosimetría)'!$AX$144,'F-LSCD-002 (Dosimetría)'!$AX$153)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F27-4CD2-9639-AE67F2CDB60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(Dosimetría)'!$FT$130,'F-LSCD-002 (Dosimetría)'!$FT$144,'F-LSCD-002 (Dosimetría)'!$FT$153)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F27-4CD2-9639-AE67F2CDB60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I+II+III+IV+V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(Dosimetría)'!$NJ$130,'F-LSCD-002 (Dosimetría)'!$NJ$144,'F-LSCD-002 (Dosimetría)'!$NJ$153)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F27-4CD2-9639-AE67F2CDB60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I+II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(Dosimetría)'!$DR$121,'F-LSCD-002 (Dosimetría)'!$DR$144,'F-LSCD-002 (Dosimetría)'!$DR$162)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82-4804-A525-876F10F8EBD6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I+III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(Dosimetría)'!$EJ$121,'F-LSCD-002 (Dosimetría)'!$EJ$144,'F-LSCD-002 (Dosimetría)'!$EJ$162)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82-4804-A525-876F10F8EBD6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I+II+III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(Dosimetría)'!$GL$121,'F-LSCD-002 (Dosimetría)'!$GL$144,'F-LSCD-002 (Dosimetría)'!$GL$162)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82-4804-A525-876F10F8EBD6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I+II+IV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(Dosimetría)'!$HD$121,'F-LSCD-002 (Dosimetría)'!$HD$144,'F-LSCD-002 (Dosimetría)'!$HD$162)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82-4804-A525-876F10F8EBD6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I+II+V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(Dosimetría)'!$HV$121,'F-LSCD-002 (Dosimetría)'!$HV$144,'F-LSCD-002 (Dosimetría)'!$HV$162)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82-4804-A525-876F10F8EBD6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I+III+IV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(Dosimetría)'!$IN$121,'F-LSCD-002 (Dosimetría)'!$IN$144,'F-LSCD-002 (Dosimetría)'!$IN$162)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82-4804-A525-876F10F8EBD6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I+III+V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(Dosimetría)'!$JF$121,'F-LSCD-002 (Dosimetría)'!$JF$144,'F-LSCD-002 (Dosimetría)'!$JF$162)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782-4804-A525-876F10F8EBD6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v>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(Dosimetría)'!$JX$121,'F-LSCD-002 (Dosimetría)'!$JX$144,'F-LSCD-002 (Dosimetría)'!$JX$162)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782-4804-A525-876F10F8EBD6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v>I+II+III+IV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(Dosimetría)'!$KP$121,'F-LSCD-002 (Dosimetría)'!$KP$144,'F-LSCD-002 (Dosimetría)'!$KP$162)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782-4804-A525-876F10F8EBD6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v>I+II+III+V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(Dosimetría)'!$LH$121,'F-LSCD-002 (Dosimetría)'!$LH$144,'F-LSCD-002 (Dosimetría)'!$LH$162)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65F-4041-88AF-CC61669FE119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v>I+II+IV+V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(Dosimetría)'!$LZ$121,'F-LSCD-002 (Dosimetría)'!$LZ$144,'F-LSCD-002 (Dosimetría)'!$LZ$162)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65F-4041-88AF-CC61669FE119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v>I+III+IV+V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(Dosimetría)'!$MR$121,'F-LSCD-002 (Dosimetría)'!$MR$144,'F-LSCD-002 (Dosimetría)'!$MR$162)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5F-4041-88AF-CC61669FE119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v>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(Dosimetría)'!$OT$121,'F-LSCD-002 (Dosimetría)'!$OT$144,'F-LSCD-002 (Dosimetría)'!$OT$162)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5F-4041-88AF-CC61669FE119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v>II+III+IV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(Dosimetría)'!$QD$121,'F-LSCD-002 (Dosimetría)'!$QD$144,'F-LSCD-002 (Dosimetría)'!$QD$162)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5F-4041-88AF-CC61669FE119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v>II+III+V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(Dosimetría)'!$QV$121,'F-LSCD-002 (Dosimetría)'!$QV$144,'F-LSCD-002 (Dosimetría)'!$QV$162)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65F-4041-88AF-CC61669FE119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v>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(Dosimetría)'!$UH$121,'F-LSCD-002 (Dosimetría)'!$UH$144,'F-LSCD-002 (Dosimetría)'!$UH$162)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65F-4041-88AF-CC61669FE119}"/>
                  </c:ext>
                </c:extLst>
              </c15:ser>
            </c15:filteredScatterSeries>
            <c15:filteredScatterSeries>
              <c15:ser>
                <c:idx val="30"/>
                <c:order val="30"/>
                <c:tx>
                  <c:v>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(Dosimetría)'!$RN$130,'F-LSCD-002 (Dosimetría)'!$RN$144,'F-LSCD-002 (Dosimetría)'!$RN$153)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65F-4041-88AF-CC61669FE119}"/>
                  </c:ext>
                </c:extLst>
              </c15:ser>
            </c15:filteredScatterSeries>
            <c15:filteredScatterSeries>
              <c15:ser>
                <c:idx val="31"/>
                <c:order val="31"/>
                <c:tx>
                  <c:v>II+III+IV+V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(Dosimetría)'!$SF$130,'F-LSCD-002 (Dosimetría)'!$SF$144,'F-LSCD-002 (Dosimetría)'!$SF$153)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65F-4041-88AF-CC61669FE119}"/>
                  </c:ext>
                </c:extLst>
              </c15:ser>
            </c15:filteredScatterSeries>
          </c:ext>
        </c:extLst>
      </c:scatterChart>
      <c:valAx>
        <c:axId val="4352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544960"/>
        <c:crosses val="autoZero"/>
        <c:crossBetween val="midCat"/>
      </c:valAx>
      <c:valAx>
        <c:axId val="435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52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'F-LSCD-002 (Dosimetría)'!$J$230:$J$244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2-4CEB-AA9D-D8B73471D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39648"/>
        <c:axId val="86634880"/>
      </c:scatterChart>
      <c:valAx>
        <c:axId val="8453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6634880"/>
        <c:crosses val="autoZero"/>
        <c:crossBetween val="midCat"/>
      </c:valAx>
      <c:valAx>
        <c:axId val="866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45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2.728018372703412E-2"/>
                  <c:y val="-0.198070501603966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0,0378x</a:t>
                    </a:r>
                    <a:r>
                      <a:rPr lang="en-US" sz="2000" baseline="30000"/>
                      <a:t>-1,989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1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5"/>
              <c:pt idx="0">
                <c:v>1</c:v>
              </c:pt>
              <c:pt idx="1">
                <c:v>1.5</c:v>
              </c:pt>
              <c:pt idx="2">
                <c:v>2</c:v>
              </c:pt>
              <c:pt idx="3">
                <c:v>2.5</c:v>
              </c:pt>
              <c:pt idx="4">
                <c:v>3</c:v>
              </c:pt>
            </c:numLit>
          </c:xVal>
          <c:yVal>
            <c:numRef>
              <c:f>('F-LSCD-002 (Dosimetría)'!$P$121,'F-LSCD-002 (Dosimetría)'!$P$130,'F-LSCD-002 (Dosimetría)'!$P$144,'F-LSCD-002 (Dosimetría)'!$P$153,'F-LSCD-002 (Dosimetría)'!$P$162)</c:f>
              <c:numCache>
                <c:formatCode>0.00E+00</c:formatCode>
                <c:ptCount val="5"/>
                <c:pt idx="0">
                  <c:v>3.4560876792603598E-2</c:v>
                </c:pt>
                <c:pt idx="1">
                  <c:v>1.563224185473313E-2</c:v>
                </c:pt>
                <c:pt idx="2">
                  <c:v>8.621836232670075E-3</c:v>
                </c:pt>
                <c:pt idx="3">
                  <c:v>5.6199794379968521E-3</c:v>
                </c:pt>
                <c:pt idx="4">
                  <c:v>3.9142080364002237E-3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D7-4DA7-8D79-E145BBA3E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2784"/>
        <c:axId val="116760960"/>
      </c:scatterChart>
      <c:valAx>
        <c:axId val="11674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6760960"/>
        <c:crosses val="autoZero"/>
        <c:crossBetween val="midCat"/>
      </c:valAx>
      <c:valAx>
        <c:axId val="11676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674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2324059492563431"/>
                  <c:y val="-0.1485316418780985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0,006x</a:t>
                    </a:r>
                    <a:r>
                      <a:rPr lang="en-US" sz="2000" baseline="30000"/>
                      <a:t>-2,002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0,9999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(Dosimetría)'!$BR$130,'F-LSCD-002 (Dosimetría)'!$BR$144,'F-LSCD-002 (Dosimetría)'!$BR$153)</c:f>
              <c:numCache>
                <c:formatCode>0.00E+00</c:formatCode>
                <c:ptCount val="3"/>
                <c:pt idx="0">
                  <c:v>2.484481205478692E-3</c:v>
                </c:pt>
                <c:pt idx="1">
                  <c:v>1.4009541163464367E-3</c:v>
                </c:pt>
                <c:pt idx="2">
                  <c:v>8.9905935213265215E-4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F4-48FC-B84F-832A08883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84128"/>
        <c:axId val="122356480"/>
      </c:scatterChart>
      <c:valAx>
        <c:axId val="11678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2356480"/>
        <c:crosses val="autoZero"/>
        <c:crossBetween val="midCat"/>
      </c:valAx>
      <c:valAx>
        <c:axId val="12235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678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2842104111986003"/>
                  <c:y val="-0.132306794983960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0,0003x</a:t>
                    </a:r>
                    <a:r>
                      <a:rPr lang="en-US" sz="2000" baseline="30000"/>
                      <a:t>-2,061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0,9997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(Dosimetría)'!$CJ$130,'F-LSCD-002 (Dosimetría)'!$CJ$144,'F-LSCD-002 (Dosimetría)'!$CJ$153)</c:f>
              <c:numCache>
                <c:formatCode>0.00E+00</c:formatCode>
                <c:ptCount val="3"/>
                <c:pt idx="0">
                  <c:v>1.1843091637523176E-4</c:v>
                </c:pt>
                <c:pt idx="1">
                  <c:v>6.3127494865616971E-5</c:v>
                </c:pt>
                <c:pt idx="2">
                  <c:v>5.0027335553055604E-5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AA-47F9-B9F7-043C4C9E2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06784"/>
        <c:axId val="122408320"/>
      </c:scatterChart>
      <c:valAx>
        <c:axId val="12240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2408320"/>
        <c:crosses val="autoZero"/>
        <c:crossBetween val="midCat"/>
      </c:valAx>
      <c:valAx>
        <c:axId val="1224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240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3953215223097113"/>
                  <c:y val="-0.1301556576261300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0,0141x</a:t>
                    </a:r>
                    <a:r>
                      <a:rPr lang="en-US" sz="2000" baseline="30000"/>
                      <a:t>-2,009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1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(Dosimetría)'!$DB$130,'F-LSCD-002 (Dosimetría)'!$DB$144,'F-LSCD-002 (Dosimetría)'!$DB$151:$DB$153)</c:f>
              <c:numCache>
                <c:formatCode>0.00E+00</c:formatCode>
                <c:ptCount val="5"/>
                <c:pt idx="0">
                  <c:v>5.7821144510279317E-3</c:v>
                </c:pt>
                <c:pt idx="1">
                  <c:v>3.2759686748416623E-3</c:v>
                </c:pt>
                <c:pt idx="2">
                  <c:v>2.0941884302095133E-3</c:v>
                </c:pt>
                <c:pt idx="3">
                  <c:v>2.0838125217329095E-3</c:v>
                </c:pt>
                <c:pt idx="4">
                  <c:v>2.0884451357617616E-3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36-4E4B-83EA-F3B3097C0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95872"/>
        <c:axId val="123697408"/>
      </c:scatterChart>
      <c:valAx>
        <c:axId val="12369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697408"/>
        <c:crosses val="autoZero"/>
        <c:crossBetween val="midCat"/>
      </c:valAx>
      <c:valAx>
        <c:axId val="1236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69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(Dosimetría)'!$FD$130,'F-LSCD-002 (Dosimetría)'!$FD$144,'F-LSCD-002 (Dosimetría)'!$FD$153)</c:f>
              <c:numCache>
                <c:formatCode>0.00E+00</c:formatCode>
                <c:ptCount val="3"/>
                <c:pt idx="0">
                  <c:v>2.1751275959130603E-5</c:v>
                </c:pt>
                <c:pt idx="1">
                  <c:v>1.4328243884478004E-5</c:v>
                </c:pt>
                <c:pt idx="2">
                  <c:v>1.8126109464288276E-5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70-42AC-8246-1F4CD0B4D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21600"/>
        <c:axId val="123723136"/>
      </c:scatterChart>
      <c:valAx>
        <c:axId val="12372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723136"/>
        <c:crosses val="autoZero"/>
        <c:crossBetween val="midCat"/>
      </c:valAx>
      <c:valAx>
        <c:axId val="12372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72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(Dosimetría)'!$OD$130,'F-LSCD-002 (Dosimetría)'!$OD$144,'F-LSCD-002 (Dosimetría)'!$OD$153)</c:f>
              <c:numCache>
                <c:formatCode>0.00E+00</c:formatCode>
                <c:ptCount val="3"/>
                <c:pt idx="0">
                  <c:v>1.9095587987085592E-4</c:v>
                </c:pt>
                <c:pt idx="1">
                  <c:v>1.1126630825234988E-4</c:v>
                </c:pt>
                <c:pt idx="2">
                  <c:v>7.7154408721994211E-5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36-4B9D-87AF-E2B66170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73696"/>
        <c:axId val="123775232"/>
      </c:scatterChart>
      <c:valAx>
        <c:axId val="12377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775232"/>
        <c:crosses val="autoZero"/>
        <c:crossBetween val="midCat"/>
      </c:valAx>
      <c:valAx>
        <c:axId val="1237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77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(Dosimetría)'!$PN$130,'F-LSCD-002 (Dosimetría)'!$PN$144,'F-LSCD-002 (Dosimetría)'!$PN$153)</c:f>
              <c:numCache>
                <c:formatCode>0.00E+00</c:formatCode>
                <c:ptCount val="3"/>
                <c:pt idx="0">
                  <c:v>4.22157128431073E-4</c:v>
                </c:pt>
                <c:pt idx="1">
                  <c:v>2.4085701155279765E-4</c:v>
                </c:pt>
                <c:pt idx="2">
                  <c:v>1.5630966312776964E-4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D-4A63-ACCC-307FFE21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6112"/>
        <c:axId val="123900672"/>
      </c:scatterChart>
      <c:valAx>
        <c:axId val="12386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900672"/>
        <c:crosses val="autoZero"/>
        <c:crossBetween val="midCat"/>
      </c:valAx>
      <c:valAx>
        <c:axId val="1239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86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(Dosimetría)'!$SZ$130,'F-LSCD-002 (Dosimetría)'!$SZ$144,'F-LSCD-002 (Dosimetría)'!$SZ$153)</c:f>
              <c:numCache>
                <c:formatCode>0.00E+00</c:formatCode>
                <c:ptCount val="3"/>
                <c:pt idx="0">
                  <c:v>3.0592602370387865E-5</c:v>
                </c:pt>
                <c:pt idx="1">
                  <c:v>2.4115651388909787E-5</c:v>
                </c:pt>
                <c:pt idx="2">
                  <c:v>2.1393964316994234E-5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D9-4DEE-A550-780C11B75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10016"/>
        <c:axId val="123911552"/>
      </c:scatterChart>
      <c:valAx>
        <c:axId val="1239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911552"/>
        <c:crosses val="autoZero"/>
        <c:crossBetween val="midCat"/>
      </c:valAx>
      <c:valAx>
        <c:axId val="1239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91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(Dosimetría)'!$TR$130,'F-LSCD-002 (Dosimetría)'!$TR$144,'F-LSCD-002 (Dosimetría)'!$TR$153)</c:f>
              <c:numCache>
                <c:formatCode>0.00E+00</c:formatCode>
                <c:ptCount val="3"/>
                <c:pt idx="0">
                  <c:v>9.6267551641127601E-4</c:v>
                </c:pt>
                <c:pt idx="1">
                  <c:v>5.5089198264840716E-4</c:v>
                </c:pt>
                <c:pt idx="2">
                  <c:v>3.5489968909507873E-4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E-4409-97C3-FE2278FA6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8016"/>
        <c:axId val="123959552"/>
      </c:scatterChart>
      <c:valAx>
        <c:axId val="12395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959552"/>
        <c:crosses val="autoZero"/>
        <c:crossBetween val="midCat"/>
      </c:valAx>
      <c:valAx>
        <c:axId val="12395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95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(Dosimetría)'!$VB$130,'F-LSCD-002 (Dosimetría)'!$VB$144,'F-LSCD-002 (Dosimetría)'!$VB$153)</c:f>
              <c:numCache>
                <c:formatCode>0.00E+00</c:formatCode>
                <c:ptCount val="3"/>
                <c:pt idx="0">
                  <c:v>5.4737639759883824E-5</c:v>
                </c:pt>
                <c:pt idx="1">
                  <c:v>3.7793578034842223E-5</c:v>
                </c:pt>
                <c:pt idx="2">
                  <c:v>2.9333461514257615E-5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63-4EFE-8564-AE85677FF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77088"/>
        <c:axId val="125392000"/>
      </c:scatterChart>
      <c:valAx>
        <c:axId val="12397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5392000"/>
        <c:crosses val="autoZero"/>
        <c:crossBetween val="midCat"/>
      </c:valAx>
      <c:valAx>
        <c:axId val="1253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397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'F-LSCD-002 (Dosimetría)'!$UT$256:$UT$261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'F-LSCD-002 (Dosimetría)'!$UU$256:$UU$261</c:f>
              <c:numCache>
                <c:formatCode>General</c:formatCode>
                <c:ptCount val="6"/>
                <c:pt idx="0">
                  <c:v>4</c:v>
                </c:pt>
                <c:pt idx="1">
                  <c:v>8</c:v>
                </c:pt>
                <c:pt idx="2">
                  <c:v>13</c:v>
                </c:pt>
                <c:pt idx="3">
                  <c:v>16</c:v>
                </c:pt>
                <c:pt idx="4">
                  <c:v>19</c:v>
                </c:pt>
                <c:pt idx="5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69-420F-AAA1-96801FBA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510648"/>
        <c:axId val="598511632"/>
      </c:scatterChart>
      <c:valAx>
        <c:axId val="598510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98511632"/>
        <c:crosses val="autoZero"/>
        <c:crossBetween val="midCat"/>
      </c:valAx>
      <c:valAx>
        <c:axId val="5985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98510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dosimetría - </a:t>
            </a:r>
            <a:r>
              <a:rPr lang="es-PE" i="1" baseline="0"/>
              <a:t>U</a:t>
            </a:r>
            <a:r>
              <a:rPr lang="es-PE" i="1" baseline="-25000"/>
              <a:t>Nk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9A6-4EAC-9419-1135055A97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9A6-4EAC-9419-1135055A97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9A6-4EAC-9419-1135055A97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9A6-4EAC-9419-1135055A970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9A6-4EAC-9419-1135055A970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9A6-4EAC-9419-1135055A970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9A6-4EAC-9419-1135055A970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9A6-4EAC-9419-1135055A970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9A6-4EAC-9419-1135055A970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9A6-4EAC-9419-1135055A970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9A6-4EAC-9419-1135055A970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9A6-4EAC-9419-1135055A970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9A6-4EAC-9419-1135055A97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'Incert. Nk'!$B$19:$F$31</c:f>
              <c:strCache>
                <c:ptCount val="13"/>
                <c:pt idx="0">
                  <c:v>Dosimetría C.I. patrón de Aleph SAC</c:v>
                </c:pt>
                <c:pt idx="1">
                  <c:v>Factor de calibración del electrómetro</c:v>
                </c:pt>
                <c:pt idx="2">
                  <c:v>Resolución del electrómetro</c:v>
                </c:pt>
                <c:pt idx="3">
                  <c:v>Homogeneidad del campo</c:v>
                </c:pt>
                <c:pt idx="4">
                  <c:v>Repetibilidad de las mediciones</c:v>
                </c:pt>
                <c:pt idx="5">
                  <c:v>Posicionamiento longitudinal de la distancia fuente - C.I.</c:v>
                </c:pt>
                <c:pt idx="6">
                  <c:v>Posición de la fuente en el irradiador</c:v>
                </c:pt>
                <c:pt idx="7">
                  <c:v>Incertidumbre de calibración de la cinta métrica</c:v>
                </c:pt>
                <c:pt idx="8">
                  <c:v>Resolución de la cinta métrica</c:v>
                </c:pt>
                <c:pt idx="9">
                  <c:v>Incertidumbre de calibración del termohigrómetro (en temperatura)</c:v>
                </c:pt>
                <c:pt idx="10">
                  <c:v>Resolución del termohigrómetro (en temperatura)</c:v>
                </c:pt>
                <c:pt idx="11">
                  <c:v>Incertidumbre de calibración del barómetro</c:v>
                </c:pt>
                <c:pt idx="12">
                  <c:v>Resolución del barómetro</c:v>
                </c:pt>
              </c:strCache>
            </c:strRef>
          </c:cat>
          <c:val>
            <c:numRef>
              <c:f>'Incert. Nk'!$S$19:$S$31</c:f>
              <c:numCache>
                <c:formatCode>0.00</c:formatCode>
                <c:ptCount val="13"/>
                <c:pt idx="0">
                  <c:v>91.283793759792857</c:v>
                </c:pt>
                <c:pt idx="1">
                  <c:v>2.9662996559921937</c:v>
                </c:pt>
                <c:pt idx="2">
                  <c:v>1.2369565940360292E-2</c:v>
                </c:pt>
                <c:pt idx="3">
                  <c:v>0.17592252381599804</c:v>
                </c:pt>
                <c:pt idx="4">
                  <c:v>3.4634784633030056E-3</c:v>
                </c:pt>
                <c:pt idx="5">
                  <c:v>3.3445493247767044</c:v>
                </c:pt>
                <c:pt idx="6">
                  <c:v>1.4739908165702249</c:v>
                </c:pt>
                <c:pt idx="7">
                  <c:v>8.4170803584175544E-2</c:v>
                </c:pt>
                <c:pt idx="8">
                  <c:v>9.2764101842056176E-2</c:v>
                </c:pt>
                <c:pt idx="9">
                  <c:v>0.52580996764547894</c:v>
                </c:pt>
                <c:pt idx="10">
                  <c:v>1.0954374325947482E-2</c:v>
                </c:pt>
                <c:pt idx="11">
                  <c:v>2.4986211991709081E-2</c:v>
                </c:pt>
                <c:pt idx="12">
                  <c:v>9.2541525895218821E-4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9A6-4EAC-9419-1135055A970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972073644107363"/>
          <c:y val="0.11590995193022598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dosimetría - </a:t>
            </a:r>
            <a:r>
              <a:rPr lang="es-PE" i="1" baseline="0"/>
              <a:t>U</a:t>
            </a:r>
            <a:r>
              <a:rPr lang="es-PE" i="1" baseline="-25000"/>
              <a:t>Dos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C4AA-46AB-AD70-8477146931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C8F-4129-B457-528C3A5252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C8F-4129-B457-528C3A5252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C8F-4129-B457-528C3A5252F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C8F-4129-B457-528C3A5252F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C8F-4129-B457-528C3A5252F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C8F-4129-B457-528C3A5252F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C8F-4129-B457-528C3A5252F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C8F-4129-B457-528C3A5252F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C8F-4129-B457-528C3A5252F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BC8F-4129-B457-528C3A5252F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BC8F-4129-B457-528C3A5252F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BC8F-4129-B457-528C3A5252F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BC8F-4129-B457-528C3A5252F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601D-400C-8B9A-FFA4A027F5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'Incert. Dos.'!$B$19:$F$33</c:f>
              <c:strCache>
                <c:ptCount val="15"/>
                <c:pt idx="0">
                  <c:v>Factor de calibración de la cámara de ionización (C.I.) patrón</c:v>
                </c:pt>
                <c:pt idx="1">
                  <c:v>Estabilidad de la C.I. patrón</c:v>
                </c:pt>
                <c:pt idx="2">
                  <c:v>Factor de calibración del electrómetro</c:v>
                </c:pt>
                <c:pt idx="3">
                  <c:v>Resolución del electrómetro</c:v>
                </c:pt>
                <c:pt idx="4">
                  <c:v>Homogeneidad del campo</c:v>
                </c:pt>
                <c:pt idx="5">
                  <c:v>Repetibilidad de las mediciones</c:v>
                </c:pt>
                <c:pt idx="6">
                  <c:v>Posicionamiento longitudinal de la distancia fuente - C.I.</c:v>
                </c:pt>
                <c:pt idx="7">
                  <c:v>Posición de la fuente en el irradiador</c:v>
                </c:pt>
                <c:pt idx="8">
                  <c:v>Calibración de la cinta métrica</c:v>
                </c:pt>
                <c:pt idx="9">
                  <c:v>Resolución de la cinta métrica</c:v>
                </c:pt>
                <c:pt idx="10">
                  <c:v>Calibración del termohigrómetro (en temperatura)</c:v>
                </c:pt>
                <c:pt idx="11">
                  <c:v>Resolución del termohigrómetro (en temperatura)</c:v>
                </c:pt>
                <c:pt idx="12">
                  <c:v>Calibración del barómetro</c:v>
                </c:pt>
                <c:pt idx="13">
                  <c:v>Resolución del barómetro</c:v>
                </c:pt>
                <c:pt idx="14">
                  <c:v>Resolución del tiempo de recolección de datos por el electrómetro</c:v>
                </c:pt>
              </c:strCache>
            </c:strRef>
          </c:cat>
          <c:val>
            <c:numRef>
              <c:f>'Incert. Dos.'!$S$19:$S$33</c:f>
              <c:numCache>
                <c:formatCode>0.00</c:formatCode>
                <c:ptCount val="15"/>
                <c:pt idx="0">
                  <c:v>19.90708437242618</c:v>
                </c:pt>
                <c:pt idx="1">
                  <c:v>64.801706941491474</c:v>
                </c:pt>
                <c:pt idx="2">
                  <c:v>3.2514904474962774</c:v>
                </c:pt>
                <c:pt idx="3">
                  <c:v>4.5718036561784667E-3</c:v>
                </c:pt>
                <c:pt idx="4">
                  <c:v>0.19621650569600713</c:v>
                </c:pt>
                <c:pt idx="5">
                  <c:v>5.3082297891157078</c:v>
                </c:pt>
                <c:pt idx="6">
                  <c:v>3.730368160941274</c:v>
                </c:pt>
                <c:pt idx="7">
                  <c:v>1.6440267066536507</c:v>
                </c:pt>
                <c:pt idx="8">
                  <c:v>0.37614252606280457</c:v>
                </c:pt>
                <c:pt idx="9">
                  <c:v>0.41448203534188199</c:v>
                </c:pt>
                <c:pt idx="10">
                  <c:v>0.32517741163533537</c:v>
                </c:pt>
                <c:pt idx="11">
                  <c:v>1.204360783834576E-2</c:v>
                </c:pt>
                <c:pt idx="12">
                  <c:v>2.7442738357733872E-2</c:v>
                </c:pt>
                <c:pt idx="13">
                  <c:v>1.0163977169531065E-3</c:v>
                </c:pt>
                <c:pt idx="14">
                  <c:v>5.5557018982760211E-7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A-46AB-AD70-8477146931D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972073644107363"/>
          <c:y val="0.11590995193022598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Ref>
              <c:f>'Incert. Cal. Mon.'!$C$157:$C$167</c:f>
              <c:numCache>
                <c:formatCode>General</c:formatCode>
                <c:ptCount val="11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'Incert. Cal. Mon.'!$D$157:$D$167</c:f>
              <c:numCache>
                <c:formatCode>0.00</c:formatCode>
                <c:ptCount val="11"/>
                <c:pt idx="0">
                  <c:v>1.1000000000000001</c:v>
                </c:pt>
                <c:pt idx="1">
                  <c:v>0.22</c:v>
                </c:pt>
                <c:pt idx="2">
                  <c:v>0.11</c:v>
                </c:pt>
                <c:pt idx="3">
                  <c:v>7.3333333333333334E-2</c:v>
                </c:pt>
                <c:pt idx="4">
                  <c:v>5.5E-2</c:v>
                </c:pt>
                <c:pt idx="5">
                  <c:v>4.4000000000000004E-2</c:v>
                </c:pt>
                <c:pt idx="6">
                  <c:v>3.6666666666666667E-2</c:v>
                </c:pt>
                <c:pt idx="7">
                  <c:v>3.1428571428571431E-2</c:v>
                </c:pt>
                <c:pt idx="8">
                  <c:v>2.75E-2</c:v>
                </c:pt>
                <c:pt idx="9">
                  <c:v>2.4444444444444449E-2</c:v>
                </c:pt>
                <c:pt idx="10">
                  <c:v>2.2000000000000002E-2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E-4687-A346-53CEF7B71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52128"/>
        <c:axId val="131162112"/>
      </c:scatterChart>
      <c:valAx>
        <c:axId val="13115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1162112"/>
        <c:crosses val="autoZero"/>
        <c:crossBetween val="midCat"/>
      </c:valAx>
      <c:valAx>
        <c:axId val="1311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115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Contribución incert. 1er punto de calibración (antes del ajuste)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1er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149-4AA7-BD45-596F4B2330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149-4AA7-BD45-596F4B2330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149-4AA7-BD45-596F4B2330E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149-4AA7-BD45-596F4B2330E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4149-4AA7-BD45-596F4B2330E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149-4AA7-BD45-596F4B2330E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149-4AA7-BD45-596F4B2330E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149-4AA7-BD45-596F4B2330E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149-4AA7-BD45-596F4B2330E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0C26-448F-97E9-E6FB8F3B5F80}"/>
              </c:ext>
            </c:extLst>
          </c:dPt>
          <c:dLbls>
            <c:dLbl>
              <c:idx val="0"/>
              <c:layout>
                <c:manualLayout>
                  <c:x val="6.7001675041876041E-2"/>
                  <c:y val="0.3504643293701867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49-4AA7-BD45-596F4B2330E4}"/>
                </c:ext>
              </c:extLst>
            </c:dLbl>
            <c:dLbl>
              <c:idx val="1"/>
              <c:layout>
                <c:manualLayout>
                  <c:x val="0.18983807928531546"/>
                  <c:y val="7.4979605855237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49-4AA7-BD45-596F4B2330E4}"/>
                </c:ext>
              </c:extLst>
            </c:dLbl>
            <c:dLbl>
              <c:idx val="2"/>
              <c:layout>
                <c:manualLayout>
                  <c:x val="6.9398787463124903E-2"/>
                  <c:y val="-0.169559152774091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49-4AA7-BD45-596F4B2330E4}"/>
                </c:ext>
              </c:extLst>
            </c:dLbl>
            <c:dLbl>
              <c:idx val="3"/>
              <c:layout>
                <c:manualLayout>
                  <c:x val="-0.20770519262981574"/>
                  <c:y val="6.19396744021525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49-4AA7-BD45-596F4B2330E4}"/>
                </c:ext>
              </c:extLst>
            </c:dLbl>
            <c:dLbl>
              <c:idx val="4"/>
              <c:layout>
                <c:manualLayout>
                  <c:x val="-0.20993858179787828"/>
                  <c:y val="0.2966584405576777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149-4AA7-BD45-596F4B2330E4}"/>
                </c:ext>
              </c:extLst>
            </c:dLbl>
            <c:dLbl>
              <c:idx val="5"/>
              <c:layout>
                <c:manualLayout>
                  <c:x val="0.57202099737532797"/>
                  <c:y val="0.2245967760566323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529625379742103"/>
                      <c:h val="0.125178208118332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4149-4AA7-BD45-596F4B2330E4}"/>
                </c:ext>
              </c:extLst>
            </c:dLbl>
            <c:dLbl>
              <c:idx val="6"/>
              <c:layout>
                <c:manualLayout>
                  <c:x val="-0.22333891680625348"/>
                  <c:y val="0.1695191088901015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49-4AA7-BD45-596F4B2330E4}"/>
                </c:ext>
              </c:extLst>
            </c:dLbl>
            <c:dLbl>
              <c:idx val="7"/>
              <c:layout>
                <c:manualLayout>
                  <c:x val="2.2333891680625349E-3"/>
                  <c:y val="0.316218337737304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5517526389603"/>
                      <c:h val="0.1183573998787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4149-4AA7-BD45-596F4B2330E4}"/>
                </c:ext>
              </c:extLst>
            </c:dLbl>
            <c:dLbl>
              <c:idx val="8"/>
              <c:layout>
                <c:manualLayout>
                  <c:x val="0.52607147724624881"/>
                  <c:y val="3.34140542738375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648931446383274"/>
                      <c:h val="9.87975026991117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149-4AA7-BD45-596F4B2330E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Mon.'!$N$25:$N$34</c:f>
              <c:numCache>
                <c:formatCode>0.00%</c:formatCode>
                <c:ptCount val="10"/>
                <c:pt idx="0">
                  <c:v>0.16376385601580237</c:v>
                </c:pt>
                <c:pt idx="1">
                  <c:v>3.2133171586724786E-4</c:v>
                </c:pt>
                <c:pt idx="2">
                  <c:v>0</c:v>
                </c:pt>
                <c:pt idx="3">
                  <c:v>1.6533104745671233E-2</c:v>
                </c:pt>
                <c:pt idx="4">
                  <c:v>2.6923215287456238E-3</c:v>
                </c:pt>
                <c:pt idx="5">
                  <c:v>1.6748543519879439E-3</c:v>
                </c:pt>
                <c:pt idx="6">
                  <c:v>4.6150537053803327E-4</c:v>
                </c:pt>
                <c:pt idx="7">
                  <c:v>2.7724514612328436E-5</c:v>
                </c:pt>
                <c:pt idx="8">
                  <c:v>0.81452530175677429</c:v>
                </c:pt>
                <c:pt idx="9">
                  <c:v>1.114098641620367E-15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9-4AA7-BD45-596F4B233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6525233340807"/>
          <c:y val="0.49021671441985398"/>
          <c:w val="0.72173694368605934"/>
          <c:h val="0.490223388400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2do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F43-4834-9D8F-EFF9DBA277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7F43-4834-9D8F-EFF9DBA277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F43-4834-9D8F-EFF9DBA277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7F43-4834-9D8F-EFF9DBA277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F43-4834-9D8F-EFF9DBA277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7F43-4834-9D8F-EFF9DBA277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F43-4834-9D8F-EFF9DBA277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7F43-4834-9D8F-EFF9DBA277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F43-4834-9D8F-EFF9DBA277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8574-4D54-80AB-4B5971C66F2C}"/>
              </c:ext>
            </c:extLst>
          </c:dPt>
          <c:dLbls>
            <c:dLbl>
              <c:idx val="0"/>
              <c:layout>
                <c:manualLayout>
                  <c:x val="0.11467116357504233"/>
                  <c:y val="-5.51500405515004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43-4834-9D8F-EFF9DBA2779B}"/>
                </c:ext>
              </c:extLst>
            </c:dLbl>
            <c:dLbl>
              <c:idx val="1"/>
              <c:layout>
                <c:manualLayout>
                  <c:x val="0.10342889263631254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43-4834-9D8F-EFF9DBA2779B}"/>
                </c:ext>
              </c:extLst>
            </c:dLbl>
            <c:dLbl>
              <c:idx val="2"/>
              <c:layout>
                <c:manualLayout>
                  <c:x val="0.40022484541877468"/>
                  <c:y val="-3.8929440389294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43-4834-9D8F-EFF9DBA2779B}"/>
                </c:ext>
              </c:extLst>
            </c:dLbl>
            <c:dLbl>
              <c:idx val="3"/>
              <c:layout>
                <c:manualLayout>
                  <c:x val="-0.12816188870151771"/>
                  <c:y val="0.330900243309002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F43-4834-9D8F-EFF9DBA2779B}"/>
                </c:ext>
              </c:extLst>
            </c:dLbl>
            <c:dLbl>
              <c:idx val="4"/>
              <c:layout>
                <c:manualLayout>
                  <c:x val="-0.13715570545250141"/>
                  <c:y val="0.1849148418491484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43-4834-9D8F-EFF9DBA2779B}"/>
                </c:ext>
              </c:extLst>
            </c:dLbl>
            <c:dLbl>
              <c:idx val="5"/>
              <c:layout>
                <c:manualLayout>
                  <c:x val="-0.12816188870151771"/>
                  <c:y val="5.190592051905914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43-4834-9D8F-EFF9DBA2779B}"/>
                </c:ext>
              </c:extLst>
            </c:dLbl>
            <c:dLbl>
              <c:idx val="6"/>
              <c:layout>
                <c:manualLayout>
                  <c:x val="-0.12366498032602585"/>
                  <c:y val="-5.190592051905923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43-4834-9D8F-EFF9DBA2779B}"/>
                </c:ext>
              </c:extLst>
            </c:dLbl>
            <c:dLbl>
              <c:idx val="7"/>
              <c:layout>
                <c:manualLayout>
                  <c:x val="-0.12141652613827993"/>
                  <c:y val="-0.165450121654501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43-4834-9D8F-EFF9DBA2779B}"/>
                </c:ext>
              </c:extLst>
            </c:dLbl>
            <c:dLbl>
              <c:idx val="8"/>
              <c:layout>
                <c:manualLayout>
                  <c:x val="-0.18437324339516584"/>
                  <c:y val="-0.10705596107055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43-4834-9D8F-EFF9DBA2779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Mon.'!$AB$25:$AB$34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3-4834-9D8F-EFF9DBA2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3er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BE2-4F3B-BAB5-B041E1FFE7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BE2-4F3B-BAB5-B041E1FFE7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BE2-4F3B-BAB5-B041E1FFE7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BE2-4F3B-BAB5-B041E1FFE7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BE2-4F3B-BAB5-B041E1FFE7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BE2-4F3B-BAB5-B041E1FFE7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BE2-4F3B-BAB5-B041E1FFE7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BE2-4F3B-BAB5-B041E1FFE7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BE2-4F3B-BAB5-B041E1FFE7A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CAD-4B52-A264-AF4516355DF0}"/>
              </c:ext>
            </c:extLst>
          </c:dPt>
          <c:dLbls>
            <c:dLbl>
              <c:idx val="0"/>
              <c:layout>
                <c:manualLayout>
                  <c:x val="5.7657657657657568E-2"/>
                  <c:y val="-4.54176804541768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E2-4F3B-BAB5-B041E1FFE7A2}"/>
                </c:ext>
              </c:extLst>
            </c:dLbl>
            <c:dLbl>
              <c:idx val="1"/>
              <c:layout>
                <c:manualLayout>
                  <c:x val="0.4756756756756757"/>
                  <c:y val="-9.73236009732360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E2-4F3B-BAB5-B041E1FFE7A2}"/>
                </c:ext>
              </c:extLst>
            </c:dLbl>
            <c:dLbl>
              <c:idx val="2"/>
              <c:layout>
                <c:manualLayout>
                  <c:x val="0.34834834834834832"/>
                  <c:y val="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E2-4F3B-BAB5-B041E1FFE7A2}"/>
                </c:ext>
              </c:extLst>
            </c:dLbl>
            <c:dLbl>
              <c:idx val="3"/>
              <c:layout>
                <c:manualLayout>
                  <c:x val="-0.19219219219219219"/>
                  <c:y val="0.266017842660178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E2-4F3B-BAB5-B041E1FFE7A2}"/>
                </c:ext>
              </c:extLst>
            </c:dLbl>
            <c:dLbl>
              <c:idx val="4"/>
              <c:layout>
                <c:manualLayout>
                  <c:x val="-0.17297297297297298"/>
                  <c:y val="0.139497161394971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E2-4F3B-BAB5-B041E1FFE7A2}"/>
                </c:ext>
              </c:extLst>
            </c:dLbl>
            <c:dLbl>
              <c:idx val="5"/>
              <c:layout>
                <c:manualLayout>
                  <c:x val="-0.12252252252252252"/>
                  <c:y val="9.732360097323542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BE2-4F3B-BAB5-B041E1FFE7A2}"/>
                </c:ext>
              </c:extLst>
            </c:dLbl>
            <c:dLbl>
              <c:idx val="6"/>
              <c:layout>
                <c:manualLayout>
                  <c:x val="-0.14414414414414414"/>
                  <c:y val="-8.75912408759124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BE2-4F3B-BAB5-B041E1FFE7A2}"/>
                </c:ext>
              </c:extLst>
            </c:dLbl>
            <c:dLbl>
              <c:idx val="7"/>
              <c:layout>
                <c:manualLayout>
                  <c:x val="-0.18498498498498497"/>
                  <c:y val="-0.2076236820762368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BE2-4F3B-BAB5-B041E1FFE7A2}"/>
                </c:ext>
              </c:extLst>
            </c:dLbl>
            <c:dLbl>
              <c:idx val="8"/>
              <c:layout>
                <c:manualLayout>
                  <c:x val="-0.11531531531531532"/>
                  <c:y val="-8.75912408759124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BE2-4F3B-BAB5-B041E1FFE7A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Mon.'!$AP$25:$AP$34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BE2-4F3B-BAB5-B041E1FFE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4to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6BC-4F24-B8D5-2F05FCD134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6BC-4F24-B8D5-2F05FCD134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6BC-4F24-B8D5-2F05FCD134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6BC-4F24-B8D5-2F05FCD134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6BC-4F24-B8D5-2F05FCD134B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6BC-4F24-B8D5-2F05FCD134B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6BC-4F24-B8D5-2F05FCD134B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6BC-4F24-B8D5-2F05FCD134B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6BC-4F24-B8D5-2F05FCD134B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560-4C2F-BEC0-E75267327864}"/>
              </c:ext>
            </c:extLst>
          </c:dPt>
          <c:dLbls>
            <c:dLbl>
              <c:idx val="0"/>
              <c:layout>
                <c:manualLayout>
                  <c:x val="0.10386473429951681"/>
                  <c:y val="-0.1297648012976480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6BC-4F24-B8D5-2F05FCD134BA}"/>
                </c:ext>
              </c:extLst>
            </c:dLbl>
            <c:dLbl>
              <c:idx val="1"/>
              <c:layout>
                <c:manualLayout>
                  <c:x val="0.29951690821256038"/>
                  <c:y val="-1.94647201946472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BC-4F24-B8D5-2F05FCD134BA}"/>
                </c:ext>
              </c:extLst>
            </c:dLbl>
            <c:dLbl>
              <c:idx val="2"/>
              <c:layout>
                <c:manualLayout>
                  <c:x val="-0.21256038647342995"/>
                  <c:y val="0.460665044606650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BC-4F24-B8D5-2F05FCD134BA}"/>
                </c:ext>
              </c:extLst>
            </c:dLbl>
            <c:dLbl>
              <c:idx val="3"/>
              <c:layout>
                <c:manualLayout>
                  <c:x val="-0.18115942028985507"/>
                  <c:y val="0.3341443633414436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6BC-4F24-B8D5-2F05FCD134BA}"/>
                </c:ext>
              </c:extLst>
            </c:dLbl>
            <c:dLbl>
              <c:idx val="4"/>
              <c:layout>
                <c:manualLayout>
                  <c:x val="-0.15458937198067632"/>
                  <c:y val="0.188158961881589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BC-4F24-B8D5-2F05FCD134BA}"/>
                </c:ext>
              </c:extLst>
            </c:dLbl>
            <c:dLbl>
              <c:idx val="5"/>
              <c:layout>
                <c:manualLayout>
                  <c:x val="-0.14975845410628019"/>
                  <c:y val="3.24412003244119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BC-4F24-B8D5-2F05FCD134BA}"/>
                </c:ext>
              </c:extLst>
            </c:dLbl>
            <c:dLbl>
              <c:idx val="6"/>
              <c:layout>
                <c:manualLayout>
                  <c:x val="-0.14251207729468598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BC-4F24-B8D5-2F05FCD134BA}"/>
                </c:ext>
              </c:extLst>
            </c:dLbl>
            <c:dLbl>
              <c:idx val="7"/>
              <c:layout>
                <c:manualLayout>
                  <c:x val="-0.15217391304347827"/>
                  <c:y val="-0.191403081914030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6BC-4F24-B8D5-2F05FCD134BA}"/>
                </c:ext>
              </c:extLst>
            </c:dLbl>
            <c:dLbl>
              <c:idx val="8"/>
              <c:layout>
                <c:manualLayout>
                  <c:x val="-0.106280193236715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6BC-4F24-B8D5-2F05FCD134B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Mon.'!$BD$25:$BD$34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6BC-4F24-B8D5-2F05FCD13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5to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289-4FA8-A0B9-99F0E89D18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289-4FA8-A0B9-99F0E89D18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289-4FA8-A0B9-99F0E89D189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289-4FA8-A0B9-99F0E89D189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289-4FA8-A0B9-99F0E89D189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289-4FA8-A0B9-99F0E89D189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289-4FA8-A0B9-99F0E89D189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289-4FA8-A0B9-99F0E89D189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289-4FA8-A0B9-99F0E89D189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2D9-4A42-AC33-1AB5B47A2FEC}"/>
              </c:ext>
            </c:extLst>
          </c:dPt>
          <c:dLbls>
            <c:dLbl>
              <c:idx val="0"/>
              <c:layout>
                <c:manualLayout>
                  <c:x val="0.12318840579710146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89-4FA8-A0B9-99F0E89D189A}"/>
                </c:ext>
              </c:extLst>
            </c:dLbl>
            <c:dLbl>
              <c:idx val="1"/>
              <c:layout>
                <c:manualLayout>
                  <c:x val="0.51207729468599039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89-4FA8-A0B9-99F0E89D189A}"/>
                </c:ext>
              </c:extLst>
            </c:dLbl>
            <c:dLbl>
              <c:idx val="2"/>
              <c:layout>
                <c:manualLayout>
                  <c:x val="0.40821256038647336"/>
                  <c:y val="-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89-4FA8-A0B9-99F0E89D189A}"/>
                </c:ext>
              </c:extLst>
            </c:dLbl>
            <c:dLbl>
              <c:idx val="3"/>
              <c:layout>
                <c:manualLayout>
                  <c:x val="-0.20289855072463769"/>
                  <c:y val="0.233576642335766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89-4FA8-A0B9-99F0E89D189A}"/>
                </c:ext>
              </c:extLst>
            </c:dLbl>
            <c:dLbl>
              <c:idx val="4"/>
              <c:layout>
                <c:manualLayout>
                  <c:x val="-0.1811594202898551"/>
                  <c:y val="0.110300081103000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289-4FA8-A0B9-99F0E89D189A}"/>
                </c:ext>
              </c:extLst>
            </c:dLbl>
            <c:dLbl>
              <c:idx val="5"/>
              <c:layout>
                <c:manualLayout>
                  <c:x val="-0.16666666666666666"/>
                  <c:y val="-1.94647201946472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289-4FA8-A0B9-99F0E89D189A}"/>
                </c:ext>
              </c:extLst>
            </c:dLbl>
            <c:dLbl>
              <c:idx val="6"/>
              <c:layout>
                <c:manualLayout>
                  <c:x val="-0.18840579710144928"/>
                  <c:y val="-0.113544201135442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289-4FA8-A0B9-99F0E89D189A}"/>
                </c:ext>
              </c:extLst>
            </c:dLbl>
            <c:dLbl>
              <c:idx val="7"/>
              <c:layout>
                <c:manualLayout>
                  <c:x val="-0.21014492753623187"/>
                  <c:y val="-0.2465531224655312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289-4FA8-A0B9-99F0E89D189A}"/>
                </c:ext>
              </c:extLst>
            </c:dLbl>
            <c:dLbl>
              <c:idx val="8"/>
              <c:layout>
                <c:manualLayout>
                  <c:x val="-0.13768115942028988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289-4FA8-A0B9-99F0E89D189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Mon.'!$BR$25:$BR$34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289-4FA8-A0B9-99F0E89D1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6to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37C-4153-AD90-637AE909C4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37C-4153-AD90-637AE909C4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37C-4153-AD90-637AE909C4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37C-4153-AD90-637AE909C4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37C-4153-AD90-637AE909C4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37C-4153-AD90-637AE909C4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37C-4153-AD90-637AE909C4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37C-4153-AD90-637AE909C4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A00-4771-96B6-6B15307789FA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Mon.'!$CF$25:$CF$34</c:f>
              <c:numCache>
                <c:formatCode>0.0000%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7C-4153-AD90-637AE909C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7mo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15-4BDD-8E4C-B7BD65E46F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E15-4BDD-8E4C-B7BD65E46F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E15-4BDD-8E4C-B7BD65E46F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E15-4BDD-8E4C-B7BD65E46F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E15-4BDD-8E4C-B7BD65E46F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E15-4BDD-8E4C-B7BD65E46F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E15-4BDD-8E4C-B7BD65E46F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E15-4BDD-8E4C-B7BD65E46F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FD4-4147-9D8C-E2B7565450DA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Mon.'!$CT$25:$CT$34</c:f>
              <c:numCache>
                <c:formatCode>0.0000%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15-4BDD-8E4C-B7BD65E46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8vo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881-4968-AA2F-8335ED5172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881-4968-AA2F-8335ED5172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881-4968-AA2F-8335ED5172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881-4968-AA2F-8335ED5172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881-4968-AA2F-8335ED51724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881-4968-AA2F-8335ED51724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881-4968-AA2F-8335ED51724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881-4968-AA2F-8335ED5172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9FB-4B5F-ABCD-BD086327FAF1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Mon.'!$DH$25:$DH$34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81-4968-AA2F-8335ED517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793-4404-8770-78FD87A05C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793-4404-8770-78FD87A05C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793-4404-8770-78FD87A05C7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793-4404-8770-78FD87A05C7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793-4404-8770-78FD87A05C7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793-4404-8770-78FD87A05C7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793-4404-8770-78FD87A05C7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793-4404-8770-78FD87A05C7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A25-4A3A-8CCD-12964E47BBE8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793-4404-8770-78FD87A05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Contribución incert. 1er punto de calibración (después</a:t>
            </a:r>
            <a:r>
              <a:rPr lang="en-US" baseline="0"/>
              <a:t> del ajuste)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1er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9F9-4CEB-BA2B-7D34C971FA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9F9-4CEB-BA2B-7D34C971FA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9F9-4CEB-BA2B-7D34C971FA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9F9-4CEB-BA2B-7D34C971FA3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9F9-4CEB-BA2B-7D34C971FA3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9F9-4CEB-BA2B-7D34C971FA3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9F9-4CEB-BA2B-7D34C971FA3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9F9-4CEB-BA2B-7D34C971FA3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9F9-4CEB-BA2B-7D34C971FA3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AA0B-4E64-A11D-6A1914BF31D2}"/>
              </c:ext>
            </c:extLst>
          </c:dPt>
          <c:dLbls>
            <c:dLbl>
              <c:idx val="0"/>
              <c:layout>
                <c:manualLayout>
                  <c:x val="6.7001675041876041E-2"/>
                  <c:y val="0.3504643293701867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F9-4CEB-BA2B-7D34C971FA34}"/>
                </c:ext>
              </c:extLst>
            </c:dLbl>
            <c:dLbl>
              <c:idx val="1"/>
              <c:layout>
                <c:manualLayout>
                  <c:x val="0.18983807928531546"/>
                  <c:y val="7.4979605855237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F9-4CEB-BA2B-7D34C971FA34}"/>
                </c:ext>
              </c:extLst>
            </c:dLbl>
            <c:dLbl>
              <c:idx val="2"/>
              <c:layout>
                <c:manualLayout>
                  <c:x val="6.9398787463124903E-2"/>
                  <c:y val="-0.169559152774091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F9-4CEB-BA2B-7D34C971FA34}"/>
                </c:ext>
              </c:extLst>
            </c:dLbl>
            <c:dLbl>
              <c:idx val="3"/>
              <c:layout>
                <c:manualLayout>
                  <c:x val="-0.20770519262981574"/>
                  <c:y val="6.19396744021525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F9-4CEB-BA2B-7D34C971FA34}"/>
                </c:ext>
              </c:extLst>
            </c:dLbl>
            <c:dLbl>
              <c:idx val="4"/>
              <c:layout>
                <c:manualLayout>
                  <c:x val="-0.20993858179787828"/>
                  <c:y val="0.2966584405576777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F9-4CEB-BA2B-7D34C971FA34}"/>
                </c:ext>
              </c:extLst>
            </c:dLbl>
            <c:dLbl>
              <c:idx val="5"/>
              <c:layout>
                <c:manualLayout>
                  <c:x val="0.57202099737532797"/>
                  <c:y val="0.2245967760566323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529625379742103"/>
                      <c:h val="0.125178208118332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9F9-4CEB-BA2B-7D34C971FA34}"/>
                </c:ext>
              </c:extLst>
            </c:dLbl>
            <c:dLbl>
              <c:idx val="6"/>
              <c:layout>
                <c:manualLayout>
                  <c:x val="-0.22333891680625348"/>
                  <c:y val="0.1695191088901015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F9-4CEB-BA2B-7D34C971FA34}"/>
                </c:ext>
              </c:extLst>
            </c:dLbl>
            <c:dLbl>
              <c:idx val="7"/>
              <c:layout>
                <c:manualLayout>
                  <c:x val="2.2333891680625349E-3"/>
                  <c:y val="0.316218337737304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5517526389603"/>
                      <c:h val="0.1183573998787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9F9-4CEB-BA2B-7D34C971FA34}"/>
                </c:ext>
              </c:extLst>
            </c:dLbl>
            <c:dLbl>
              <c:idx val="8"/>
              <c:layout>
                <c:manualLayout>
                  <c:x val="0.52607147724624881"/>
                  <c:y val="3.34140542738375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648931446383274"/>
                      <c:h val="9.87975026991117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89F9-4CEB-BA2B-7D34C971FA3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Mon.'!$N$25:$N$34</c:f>
              <c:numCache>
                <c:formatCode>0.00%</c:formatCode>
                <c:ptCount val="10"/>
                <c:pt idx="0">
                  <c:v>0.16376385601580237</c:v>
                </c:pt>
                <c:pt idx="1">
                  <c:v>3.2133171586724786E-4</c:v>
                </c:pt>
                <c:pt idx="2">
                  <c:v>0</c:v>
                </c:pt>
                <c:pt idx="3">
                  <c:v>1.6533104745671233E-2</c:v>
                </c:pt>
                <c:pt idx="4">
                  <c:v>2.6923215287456238E-3</c:v>
                </c:pt>
                <c:pt idx="5">
                  <c:v>1.6748543519879439E-3</c:v>
                </c:pt>
                <c:pt idx="6">
                  <c:v>4.6150537053803327E-4</c:v>
                </c:pt>
                <c:pt idx="7">
                  <c:v>2.7724514612328436E-5</c:v>
                </c:pt>
                <c:pt idx="8">
                  <c:v>0.81452530175677429</c:v>
                </c:pt>
                <c:pt idx="9">
                  <c:v>1.114098641620367E-15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9F9-4CEB-BA2B-7D34C971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6525233340807"/>
          <c:y val="0.49021671441985398"/>
          <c:w val="0.72173694368605934"/>
          <c:h val="0.490223388400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2do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523-458A-AA45-FE4698D6C0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523-458A-AA45-FE4698D6C0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523-458A-AA45-FE4698D6C0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523-458A-AA45-FE4698D6C0D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523-458A-AA45-FE4698D6C0D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523-458A-AA45-FE4698D6C0D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523-458A-AA45-FE4698D6C0D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523-458A-AA45-FE4698D6C0D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523-458A-AA45-FE4698D6C0D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FD95-4E4D-A8D4-1182CB131986}"/>
              </c:ext>
            </c:extLst>
          </c:dPt>
          <c:dLbls>
            <c:dLbl>
              <c:idx val="0"/>
              <c:layout>
                <c:manualLayout>
                  <c:x val="0.11467116357504233"/>
                  <c:y val="-5.51500405515004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23-458A-AA45-FE4698D6C0DC}"/>
                </c:ext>
              </c:extLst>
            </c:dLbl>
            <c:dLbl>
              <c:idx val="1"/>
              <c:layout>
                <c:manualLayout>
                  <c:x val="0.10342889263631254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23-458A-AA45-FE4698D6C0DC}"/>
                </c:ext>
              </c:extLst>
            </c:dLbl>
            <c:dLbl>
              <c:idx val="2"/>
              <c:layout>
                <c:manualLayout>
                  <c:x val="0.40022484541877468"/>
                  <c:y val="-3.8929440389294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23-458A-AA45-FE4698D6C0DC}"/>
                </c:ext>
              </c:extLst>
            </c:dLbl>
            <c:dLbl>
              <c:idx val="3"/>
              <c:layout>
                <c:manualLayout>
                  <c:x val="-0.12816188870151771"/>
                  <c:y val="0.330900243309002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523-458A-AA45-FE4698D6C0DC}"/>
                </c:ext>
              </c:extLst>
            </c:dLbl>
            <c:dLbl>
              <c:idx val="4"/>
              <c:layout>
                <c:manualLayout>
                  <c:x val="-0.13715570545250141"/>
                  <c:y val="0.1849148418491484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23-458A-AA45-FE4698D6C0DC}"/>
                </c:ext>
              </c:extLst>
            </c:dLbl>
            <c:dLbl>
              <c:idx val="5"/>
              <c:layout>
                <c:manualLayout>
                  <c:x val="-0.12816188870151771"/>
                  <c:y val="5.190592051905914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523-458A-AA45-FE4698D6C0DC}"/>
                </c:ext>
              </c:extLst>
            </c:dLbl>
            <c:dLbl>
              <c:idx val="6"/>
              <c:layout>
                <c:manualLayout>
                  <c:x val="-0.12366498032602585"/>
                  <c:y val="-5.190592051905923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523-458A-AA45-FE4698D6C0DC}"/>
                </c:ext>
              </c:extLst>
            </c:dLbl>
            <c:dLbl>
              <c:idx val="7"/>
              <c:layout>
                <c:manualLayout>
                  <c:x val="-0.12141652613827993"/>
                  <c:y val="-0.165450121654501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523-458A-AA45-FE4698D6C0DC}"/>
                </c:ext>
              </c:extLst>
            </c:dLbl>
            <c:dLbl>
              <c:idx val="8"/>
              <c:layout>
                <c:manualLayout>
                  <c:x val="-0.18437324339516584"/>
                  <c:y val="-0.10705596107055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523-458A-AA45-FE4698D6C0D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Mon.'!$AB$25:$AB$34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523-458A-AA45-FE4698D6C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3er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5A9-4ADC-96B1-184420A4C0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5A9-4ADC-96B1-184420A4C0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5A9-4ADC-96B1-184420A4C0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5A9-4ADC-96B1-184420A4C09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5A9-4ADC-96B1-184420A4C09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5A9-4ADC-96B1-184420A4C0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5A9-4ADC-96B1-184420A4C09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5A9-4ADC-96B1-184420A4C09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5A9-4ADC-96B1-184420A4C09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10F3-4429-B634-C3CB48B57621}"/>
              </c:ext>
            </c:extLst>
          </c:dPt>
          <c:dLbls>
            <c:dLbl>
              <c:idx val="0"/>
              <c:layout>
                <c:manualLayout>
                  <c:x val="5.7657657657657568E-2"/>
                  <c:y val="-4.54176804541768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A9-4ADC-96B1-184420A4C091}"/>
                </c:ext>
              </c:extLst>
            </c:dLbl>
            <c:dLbl>
              <c:idx val="1"/>
              <c:layout>
                <c:manualLayout>
                  <c:x val="0.4756756756756757"/>
                  <c:y val="-9.73236009732360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A9-4ADC-96B1-184420A4C091}"/>
                </c:ext>
              </c:extLst>
            </c:dLbl>
            <c:dLbl>
              <c:idx val="2"/>
              <c:layout>
                <c:manualLayout>
                  <c:x val="0.34834834834834832"/>
                  <c:y val="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A9-4ADC-96B1-184420A4C091}"/>
                </c:ext>
              </c:extLst>
            </c:dLbl>
            <c:dLbl>
              <c:idx val="3"/>
              <c:layout>
                <c:manualLayout>
                  <c:x val="-0.19219219219219219"/>
                  <c:y val="0.266017842660178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5A9-4ADC-96B1-184420A4C091}"/>
                </c:ext>
              </c:extLst>
            </c:dLbl>
            <c:dLbl>
              <c:idx val="4"/>
              <c:layout>
                <c:manualLayout>
                  <c:x val="-0.17297297297297298"/>
                  <c:y val="0.139497161394971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5A9-4ADC-96B1-184420A4C091}"/>
                </c:ext>
              </c:extLst>
            </c:dLbl>
            <c:dLbl>
              <c:idx val="5"/>
              <c:layout>
                <c:manualLayout>
                  <c:x val="-0.12252252252252252"/>
                  <c:y val="9.732360097323542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A9-4ADC-96B1-184420A4C091}"/>
                </c:ext>
              </c:extLst>
            </c:dLbl>
            <c:dLbl>
              <c:idx val="6"/>
              <c:layout>
                <c:manualLayout>
                  <c:x val="-0.14414414414414414"/>
                  <c:y val="-8.75912408759124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5A9-4ADC-96B1-184420A4C091}"/>
                </c:ext>
              </c:extLst>
            </c:dLbl>
            <c:dLbl>
              <c:idx val="7"/>
              <c:layout>
                <c:manualLayout>
                  <c:x val="-0.18498498498498497"/>
                  <c:y val="-0.2076236820762368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5A9-4ADC-96B1-184420A4C091}"/>
                </c:ext>
              </c:extLst>
            </c:dLbl>
            <c:dLbl>
              <c:idx val="8"/>
              <c:layout>
                <c:manualLayout>
                  <c:x val="-0.11531531531531532"/>
                  <c:y val="-8.75912408759124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5A9-4ADC-96B1-184420A4C09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Mon.'!$AP$25:$AP$34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A9-4ADC-96B1-184420A4C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4to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087-48B5-B577-D5BB19C8E2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087-48B5-B577-D5BB19C8E2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087-48B5-B577-D5BB19C8E25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087-48B5-B577-D5BB19C8E25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087-48B5-B577-D5BB19C8E25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087-48B5-B577-D5BB19C8E25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087-48B5-B577-D5BB19C8E25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087-48B5-B577-D5BB19C8E25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C087-48B5-B577-D5BB19C8E25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028-4736-B149-A19C333F4C0E}"/>
              </c:ext>
            </c:extLst>
          </c:dPt>
          <c:dLbls>
            <c:dLbl>
              <c:idx val="0"/>
              <c:layout>
                <c:manualLayout>
                  <c:x val="0.10386473429951681"/>
                  <c:y val="-0.1297648012976480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87-48B5-B577-D5BB19C8E254}"/>
                </c:ext>
              </c:extLst>
            </c:dLbl>
            <c:dLbl>
              <c:idx val="1"/>
              <c:layout>
                <c:manualLayout>
                  <c:x val="0.29951690821256038"/>
                  <c:y val="-1.94647201946472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87-48B5-B577-D5BB19C8E254}"/>
                </c:ext>
              </c:extLst>
            </c:dLbl>
            <c:dLbl>
              <c:idx val="2"/>
              <c:layout>
                <c:manualLayout>
                  <c:x val="-0.21256038647342995"/>
                  <c:y val="0.460665044606650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87-48B5-B577-D5BB19C8E254}"/>
                </c:ext>
              </c:extLst>
            </c:dLbl>
            <c:dLbl>
              <c:idx val="3"/>
              <c:layout>
                <c:manualLayout>
                  <c:x val="-0.18115942028985507"/>
                  <c:y val="0.3341443633414436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087-48B5-B577-D5BB19C8E254}"/>
                </c:ext>
              </c:extLst>
            </c:dLbl>
            <c:dLbl>
              <c:idx val="4"/>
              <c:layout>
                <c:manualLayout>
                  <c:x val="-0.15458937198067632"/>
                  <c:y val="0.188158961881589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087-48B5-B577-D5BB19C8E254}"/>
                </c:ext>
              </c:extLst>
            </c:dLbl>
            <c:dLbl>
              <c:idx val="5"/>
              <c:layout>
                <c:manualLayout>
                  <c:x val="-0.14975845410628019"/>
                  <c:y val="3.24412003244119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087-48B5-B577-D5BB19C8E254}"/>
                </c:ext>
              </c:extLst>
            </c:dLbl>
            <c:dLbl>
              <c:idx val="6"/>
              <c:layout>
                <c:manualLayout>
                  <c:x val="-0.14251207729468598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087-48B5-B577-D5BB19C8E254}"/>
                </c:ext>
              </c:extLst>
            </c:dLbl>
            <c:dLbl>
              <c:idx val="7"/>
              <c:layout>
                <c:manualLayout>
                  <c:x val="-0.15217391304347827"/>
                  <c:y val="-0.191403081914030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087-48B5-B577-D5BB19C8E254}"/>
                </c:ext>
              </c:extLst>
            </c:dLbl>
            <c:dLbl>
              <c:idx val="8"/>
              <c:layout>
                <c:manualLayout>
                  <c:x val="-0.106280193236715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087-48B5-B577-D5BB19C8E2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Mon.'!$BD$25:$BD$34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87-48B5-B577-D5BB19C8E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5to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1B-49D5-8308-1BA33376D1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1B-49D5-8308-1BA33376D17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1B-49D5-8308-1BA33376D17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1B-49D5-8308-1BA33376D17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1B-49D5-8308-1BA33376D17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1B-49D5-8308-1BA33376D17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1B-49D5-8308-1BA33376D17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1B-49D5-8308-1BA33376D17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1B-49D5-8308-1BA33376D17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92-47FD-B004-311C84A360A8}"/>
              </c:ext>
            </c:extLst>
          </c:dPt>
          <c:dLbls>
            <c:dLbl>
              <c:idx val="0"/>
              <c:layout>
                <c:manualLayout>
                  <c:x val="0.12318840579710146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1B-49D5-8308-1BA33376D179}"/>
                </c:ext>
              </c:extLst>
            </c:dLbl>
            <c:dLbl>
              <c:idx val="1"/>
              <c:layout>
                <c:manualLayout>
                  <c:x val="0.51207729468599039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1B-49D5-8308-1BA33376D179}"/>
                </c:ext>
              </c:extLst>
            </c:dLbl>
            <c:dLbl>
              <c:idx val="2"/>
              <c:layout>
                <c:manualLayout>
                  <c:x val="0.40821256038647336"/>
                  <c:y val="-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1B-49D5-8308-1BA33376D179}"/>
                </c:ext>
              </c:extLst>
            </c:dLbl>
            <c:dLbl>
              <c:idx val="3"/>
              <c:layout>
                <c:manualLayout>
                  <c:x val="-0.20289855072463769"/>
                  <c:y val="0.233576642335766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1B-49D5-8308-1BA33376D179}"/>
                </c:ext>
              </c:extLst>
            </c:dLbl>
            <c:dLbl>
              <c:idx val="4"/>
              <c:layout>
                <c:manualLayout>
                  <c:x val="-0.1811594202898551"/>
                  <c:y val="0.110300081103000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1B-49D5-8308-1BA33376D179}"/>
                </c:ext>
              </c:extLst>
            </c:dLbl>
            <c:dLbl>
              <c:idx val="5"/>
              <c:layout>
                <c:manualLayout>
                  <c:x val="-0.16666666666666666"/>
                  <c:y val="-1.94647201946472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1B-49D5-8308-1BA33376D179}"/>
                </c:ext>
              </c:extLst>
            </c:dLbl>
            <c:dLbl>
              <c:idx val="6"/>
              <c:layout>
                <c:manualLayout>
                  <c:x val="-0.18840579710144928"/>
                  <c:y val="-0.113544201135442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1B-49D5-8308-1BA33376D179}"/>
                </c:ext>
              </c:extLst>
            </c:dLbl>
            <c:dLbl>
              <c:idx val="7"/>
              <c:layout>
                <c:manualLayout>
                  <c:x val="-0.21014492753623187"/>
                  <c:y val="-0.2465531224655312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81B-49D5-8308-1BA33376D179}"/>
                </c:ext>
              </c:extLst>
            </c:dLbl>
            <c:dLbl>
              <c:idx val="8"/>
              <c:layout>
                <c:manualLayout>
                  <c:x val="-0.13768115942028988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81B-49D5-8308-1BA33376D17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Mon.'!$BR$25:$BR$34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1B-49D5-8308-1BA33376D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6to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FF0-4681-9BB2-6C9FC9BD8B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FF0-4681-9BB2-6C9FC9BD8B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FF0-4681-9BB2-6C9FC9BD8B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FF0-4681-9BB2-6C9FC9BD8BF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FF0-4681-9BB2-6C9FC9BD8BF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FF0-4681-9BB2-6C9FC9BD8BF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FF0-4681-9BB2-6C9FC9BD8BF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FF0-4681-9BB2-6C9FC9BD8BF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13A-4C5B-8915-63793530FC13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Mon.'!$CF$25:$CF$34</c:f>
              <c:numCache>
                <c:formatCode>0.0000%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FF0-4681-9BB2-6C9FC9BD8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7mo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7B7-4C02-BFD9-67B3423090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7B7-4C02-BFD9-67B3423090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7B7-4C02-BFD9-67B3423090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7B7-4C02-BFD9-67B3423090D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7B7-4C02-BFD9-67B3423090D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7B7-4C02-BFD9-67B3423090D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7B7-4C02-BFD9-67B3423090D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7B7-4C02-BFD9-67B3423090D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7EB-4BC7-BCCD-8C76CCB1F25A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Mon.'!$CT$25:$CT$34</c:f>
              <c:numCache>
                <c:formatCode>0.0000%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7B7-4C02-BFD9-67B342309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8vo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130-4A37-B572-53209B7479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130-4A37-B572-53209B7479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130-4A37-B572-53209B7479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130-4A37-B572-53209B7479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130-4A37-B572-53209B7479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130-4A37-B572-53209B7479E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130-4A37-B572-53209B7479E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130-4A37-B572-53209B7479E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631-4F34-8429-34D7F238F0EF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Mon.'!$DH$25:$DH$34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30-4A37-B572-53209B747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455-4026-8A62-C8793F0C86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455-4026-8A62-C8793F0C86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455-4026-8A62-C8793F0C86F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455-4026-8A62-C8793F0C86F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455-4026-8A62-C8793F0C86F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455-4026-8A62-C8793F0C86F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455-4026-8A62-C8793F0C86F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455-4026-8A62-C8793F0C86F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1D9-47E6-A0B4-15D6CEFD5386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455-4026-8A62-C8793F0C8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CC2-4CB5-96B7-67856E360A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CC2-4CB5-96B7-67856E360A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CC2-4CB5-96B7-67856E360A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CC2-4CB5-96B7-67856E360AC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CC2-4CB5-96B7-67856E360AC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CC2-4CB5-96B7-67856E360AC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CC2-4CB5-96B7-67856E360AC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CC2-4CB5-96B7-67856E360AC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167-4089-B937-5C5E11FC112D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CC2-4CB5-96B7-67856E360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10D-42A3-BCCE-493239778B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10D-42A3-BCCE-493239778B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10D-42A3-BCCE-493239778B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10D-42A3-BCCE-493239778BC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10D-42A3-BCCE-493239778BC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10D-42A3-BCCE-493239778BC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10D-42A3-BCCE-493239778BC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10D-42A3-BCCE-493239778BC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652-4E15-B239-C7A4F92F8C10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10D-42A3-BCCE-49323977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F4A-48F5-BECE-21AB854B03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F4A-48F5-BECE-21AB854B03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F4A-48F5-BECE-21AB854B03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F4A-48F5-BECE-21AB854B032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F4A-48F5-BECE-21AB854B032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F4A-48F5-BECE-21AB854B032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F4A-48F5-BECE-21AB854B032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F4A-48F5-BECE-21AB854B032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48D-4594-9920-35ABE9790D18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F4A-48F5-BECE-21AB854B0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9F0-4C94-9F25-A62E909A2D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9F0-4C94-9F25-A62E909A2D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9F0-4C94-9F25-A62E909A2D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9F0-4C94-9F25-A62E909A2D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9F0-4C94-9F25-A62E909A2D6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9F0-4C94-9F25-A62E909A2D6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9F0-4C94-9F25-A62E909A2D6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9F0-4C94-9F25-A62E909A2D6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6C4-434C-BCD7-52418E66A3CF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F0-4C94-9F25-A62E909A2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A3D-4CAE-96C2-B96F78319B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A3D-4CAE-96C2-B96F78319B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A3D-4CAE-96C2-B96F78319B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A3D-4CAE-96C2-B96F78319B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A3D-4CAE-96C2-B96F78319B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A3D-4CAE-96C2-B96F78319B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A3D-4CAE-96C2-B96F78319B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A3D-4CAE-96C2-B96F78319B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6C2-49E1-B6F1-DD5DD1A81CE7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A3D-4CAE-96C2-B96F7831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6CB-4750-9E4A-AB13900348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6CB-4750-9E4A-AB13900348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6CB-4750-9E4A-AB13900348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6CB-4750-9E4A-AB13900348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6CB-4750-9E4A-AB13900348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6CB-4750-9E4A-AB13900348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6CB-4750-9E4A-AB13900348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6CB-4750-9E4A-AB13900348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192-48DD-B09F-5CF177F39953}"/>
              </c:ext>
            </c:extLst>
          </c:dPt>
          <c:cat>
            <c:strRef>
              <c:f>'Incert. Cal. Mon.'!$B$25:$F$34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monitor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  <c:pt idx="9">
                  <c:v>Ajuste de la curva de dosimetría</c:v>
                </c:pt>
              </c:strCache>
            </c:strRef>
          </c:cat>
          <c:val>
            <c:numRef>
              <c:f>'Incert. Cal. Mon.'!$DV$25:$DV$34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6CB-4750-9E4A-AB1390034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Ref>
              <c:f>'Incert. Cal. Mon. (Dos. Hp(10))'!$C$156:$C$166</c:f>
              <c:numCache>
                <c:formatCode>General</c:formatCode>
                <c:ptCount val="11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'Incert. Cal. Mon. (Dos. Hp(10))'!$D$156:$D$166</c:f>
              <c:numCache>
                <c:formatCode>0.00</c:formatCode>
                <c:ptCount val="11"/>
                <c:pt idx="0">
                  <c:v>1.1000000000000001</c:v>
                </c:pt>
                <c:pt idx="1">
                  <c:v>0.22</c:v>
                </c:pt>
                <c:pt idx="2">
                  <c:v>0.11</c:v>
                </c:pt>
                <c:pt idx="3">
                  <c:v>7.3333333333333334E-2</c:v>
                </c:pt>
                <c:pt idx="4">
                  <c:v>5.5E-2</c:v>
                </c:pt>
                <c:pt idx="5">
                  <c:v>4.4000000000000004E-2</c:v>
                </c:pt>
                <c:pt idx="6">
                  <c:v>3.6666666666666667E-2</c:v>
                </c:pt>
                <c:pt idx="7">
                  <c:v>3.1428571428571431E-2</c:v>
                </c:pt>
                <c:pt idx="8">
                  <c:v>2.75E-2</c:v>
                </c:pt>
                <c:pt idx="9">
                  <c:v>2.4444444444444449E-2</c:v>
                </c:pt>
                <c:pt idx="10">
                  <c:v>2.2000000000000002E-2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BD-4612-8F90-0884DCD44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2912"/>
        <c:axId val="131228800"/>
      </c:scatterChart>
      <c:valAx>
        <c:axId val="13122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1228800"/>
        <c:crosses val="autoZero"/>
        <c:crossBetween val="midCat"/>
      </c:valAx>
      <c:valAx>
        <c:axId val="1312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122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Contribución incert. 1er punto de calibración (antes del ajuste)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1er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215-47A3-847E-2C1DFBBE27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215-47A3-847E-2C1DFBBE27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215-47A3-847E-2C1DFBBE27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215-47A3-847E-2C1DFBBE27B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215-47A3-847E-2C1DFBBE27B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215-47A3-847E-2C1DFBBE27B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215-47A3-847E-2C1DFBBE27B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215-47A3-847E-2C1DFBBE27B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215-47A3-847E-2C1DFBBE27BE}"/>
              </c:ext>
            </c:extLst>
          </c:dPt>
          <c:dLbls>
            <c:dLbl>
              <c:idx val="0"/>
              <c:layout>
                <c:manualLayout>
                  <c:x val="6.7001675041876041E-2"/>
                  <c:y val="0.3504643293701867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15-47A3-847E-2C1DFBBE27BE}"/>
                </c:ext>
              </c:extLst>
            </c:dLbl>
            <c:dLbl>
              <c:idx val="1"/>
              <c:layout>
                <c:manualLayout>
                  <c:x val="0.18983807928531546"/>
                  <c:y val="7.4979605855237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15-47A3-847E-2C1DFBBE27BE}"/>
                </c:ext>
              </c:extLst>
            </c:dLbl>
            <c:dLbl>
              <c:idx val="2"/>
              <c:layout>
                <c:manualLayout>
                  <c:x val="6.9398787463124903E-2"/>
                  <c:y val="-0.169559152774091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15-47A3-847E-2C1DFBBE27BE}"/>
                </c:ext>
              </c:extLst>
            </c:dLbl>
            <c:dLbl>
              <c:idx val="3"/>
              <c:layout>
                <c:manualLayout>
                  <c:x val="-0.20770519262981574"/>
                  <c:y val="6.19396744021525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215-47A3-847E-2C1DFBBE27BE}"/>
                </c:ext>
              </c:extLst>
            </c:dLbl>
            <c:dLbl>
              <c:idx val="4"/>
              <c:layout>
                <c:manualLayout>
                  <c:x val="-0.20993858179787828"/>
                  <c:y val="0.2966584405576777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215-47A3-847E-2C1DFBBE27BE}"/>
                </c:ext>
              </c:extLst>
            </c:dLbl>
            <c:dLbl>
              <c:idx val="5"/>
              <c:layout>
                <c:manualLayout>
                  <c:x val="0.57202099737532797"/>
                  <c:y val="0.2245967760566323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529625379742103"/>
                      <c:h val="0.125178208118332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1215-47A3-847E-2C1DFBBE27BE}"/>
                </c:ext>
              </c:extLst>
            </c:dLbl>
            <c:dLbl>
              <c:idx val="6"/>
              <c:layout>
                <c:manualLayout>
                  <c:x val="-0.22333891680625348"/>
                  <c:y val="0.1695191088901015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215-47A3-847E-2C1DFBBE27BE}"/>
                </c:ext>
              </c:extLst>
            </c:dLbl>
            <c:dLbl>
              <c:idx val="7"/>
              <c:layout>
                <c:manualLayout>
                  <c:x val="2.2333891680625349E-3"/>
                  <c:y val="0.316218337737304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5517526389603"/>
                      <c:h val="0.1183573998787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215-47A3-847E-2C1DFBBE27BE}"/>
                </c:ext>
              </c:extLst>
            </c:dLbl>
            <c:dLbl>
              <c:idx val="8"/>
              <c:layout>
                <c:manualLayout>
                  <c:x val="0.52607147724624881"/>
                  <c:y val="3.34140542738375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648931446383274"/>
                      <c:h val="9.87975026991117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215-47A3-847E-2C1DFBBE27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Hp(10))'!$N$25:$N$33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215-47A3-847E-2C1DFBBE2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6525233340807"/>
          <c:y val="0.49021671441985398"/>
          <c:w val="0.72173694368605934"/>
          <c:h val="0.490223388400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2do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D6F-49AC-9A4E-21709F0017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D6F-49AC-9A4E-21709F0017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D6F-49AC-9A4E-21709F0017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D6F-49AC-9A4E-21709F0017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D6F-49AC-9A4E-21709F0017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D6F-49AC-9A4E-21709F00175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D6F-49AC-9A4E-21709F00175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D6F-49AC-9A4E-21709F00175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D6F-49AC-9A4E-21709F00175F}"/>
              </c:ext>
            </c:extLst>
          </c:dPt>
          <c:dLbls>
            <c:dLbl>
              <c:idx val="0"/>
              <c:layout>
                <c:manualLayout>
                  <c:x val="0.11467116357504233"/>
                  <c:y val="-5.51500405515004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6F-49AC-9A4E-21709F00175F}"/>
                </c:ext>
              </c:extLst>
            </c:dLbl>
            <c:dLbl>
              <c:idx val="1"/>
              <c:layout>
                <c:manualLayout>
                  <c:x val="0.10342889263631254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D6F-49AC-9A4E-21709F00175F}"/>
                </c:ext>
              </c:extLst>
            </c:dLbl>
            <c:dLbl>
              <c:idx val="2"/>
              <c:layout>
                <c:manualLayout>
                  <c:x val="0.40022484541877468"/>
                  <c:y val="-3.8929440389294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D6F-49AC-9A4E-21709F00175F}"/>
                </c:ext>
              </c:extLst>
            </c:dLbl>
            <c:dLbl>
              <c:idx val="3"/>
              <c:layout>
                <c:manualLayout>
                  <c:x val="-0.12816188870151771"/>
                  <c:y val="0.330900243309002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D6F-49AC-9A4E-21709F00175F}"/>
                </c:ext>
              </c:extLst>
            </c:dLbl>
            <c:dLbl>
              <c:idx val="4"/>
              <c:layout>
                <c:manualLayout>
                  <c:x val="-0.13715570545250141"/>
                  <c:y val="0.1849148418491484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D6F-49AC-9A4E-21709F00175F}"/>
                </c:ext>
              </c:extLst>
            </c:dLbl>
            <c:dLbl>
              <c:idx val="5"/>
              <c:layout>
                <c:manualLayout>
                  <c:x val="-0.12816188870151771"/>
                  <c:y val="5.190592051905914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D6F-49AC-9A4E-21709F00175F}"/>
                </c:ext>
              </c:extLst>
            </c:dLbl>
            <c:dLbl>
              <c:idx val="6"/>
              <c:layout>
                <c:manualLayout>
                  <c:x val="-0.12366498032602585"/>
                  <c:y val="-5.190592051905923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D6F-49AC-9A4E-21709F00175F}"/>
                </c:ext>
              </c:extLst>
            </c:dLbl>
            <c:dLbl>
              <c:idx val="7"/>
              <c:layout>
                <c:manualLayout>
                  <c:x val="-0.12141652613827993"/>
                  <c:y val="-0.165450121654501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D6F-49AC-9A4E-21709F00175F}"/>
                </c:ext>
              </c:extLst>
            </c:dLbl>
            <c:dLbl>
              <c:idx val="8"/>
              <c:layout>
                <c:manualLayout>
                  <c:x val="-0.18437324339516584"/>
                  <c:y val="-0.10705596107055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D6F-49AC-9A4E-21709F0017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Hp(10))'!$AB$25:$AB$33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D6F-49AC-9A4E-21709F001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3er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6F-49D7-9E9C-A5C56AC08A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6F-49D7-9E9C-A5C56AC08A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6F-49D7-9E9C-A5C56AC08A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6F-49D7-9E9C-A5C56AC08AC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06F-49D7-9E9C-A5C56AC08AC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06F-49D7-9E9C-A5C56AC08AC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06F-49D7-9E9C-A5C56AC08AC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06F-49D7-9E9C-A5C56AC08AC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06F-49D7-9E9C-A5C56AC08ACC}"/>
              </c:ext>
            </c:extLst>
          </c:dPt>
          <c:dLbls>
            <c:dLbl>
              <c:idx val="0"/>
              <c:layout>
                <c:manualLayout>
                  <c:x val="5.7657657657657568E-2"/>
                  <c:y val="-4.54176804541768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6F-49D7-9E9C-A5C56AC08ACC}"/>
                </c:ext>
              </c:extLst>
            </c:dLbl>
            <c:dLbl>
              <c:idx val="1"/>
              <c:layout>
                <c:manualLayout>
                  <c:x val="0.4756756756756757"/>
                  <c:y val="-9.73236009732360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6F-49D7-9E9C-A5C56AC08ACC}"/>
                </c:ext>
              </c:extLst>
            </c:dLbl>
            <c:dLbl>
              <c:idx val="2"/>
              <c:layout>
                <c:manualLayout>
                  <c:x val="0.34834834834834832"/>
                  <c:y val="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06F-49D7-9E9C-A5C56AC08ACC}"/>
                </c:ext>
              </c:extLst>
            </c:dLbl>
            <c:dLbl>
              <c:idx val="3"/>
              <c:layout>
                <c:manualLayout>
                  <c:x val="-0.19219219219219219"/>
                  <c:y val="0.266017842660178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06F-49D7-9E9C-A5C56AC08ACC}"/>
                </c:ext>
              </c:extLst>
            </c:dLbl>
            <c:dLbl>
              <c:idx val="4"/>
              <c:layout>
                <c:manualLayout>
                  <c:x val="-0.17297297297297298"/>
                  <c:y val="0.139497161394971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06F-49D7-9E9C-A5C56AC08ACC}"/>
                </c:ext>
              </c:extLst>
            </c:dLbl>
            <c:dLbl>
              <c:idx val="5"/>
              <c:layout>
                <c:manualLayout>
                  <c:x val="-0.12252252252252252"/>
                  <c:y val="9.732360097323542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06F-49D7-9E9C-A5C56AC08ACC}"/>
                </c:ext>
              </c:extLst>
            </c:dLbl>
            <c:dLbl>
              <c:idx val="6"/>
              <c:layout>
                <c:manualLayout>
                  <c:x val="-0.14414414414414414"/>
                  <c:y val="-8.75912408759124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06F-49D7-9E9C-A5C56AC08ACC}"/>
                </c:ext>
              </c:extLst>
            </c:dLbl>
            <c:dLbl>
              <c:idx val="7"/>
              <c:layout>
                <c:manualLayout>
                  <c:x val="-0.18498498498498497"/>
                  <c:y val="-0.2076236820762368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06F-49D7-9E9C-A5C56AC08ACC}"/>
                </c:ext>
              </c:extLst>
            </c:dLbl>
            <c:dLbl>
              <c:idx val="8"/>
              <c:layout>
                <c:manualLayout>
                  <c:x val="-0.11531531531531532"/>
                  <c:y val="-8.75912408759124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06F-49D7-9E9C-A5C56AC08AC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Hp(10))'!$AP$25:$AP$33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06F-49D7-9E9C-A5C56AC08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4to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F10-4873-ABDE-612CEF939F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F10-4873-ABDE-612CEF939F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F10-4873-ABDE-612CEF939F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F10-4873-ABDE-612CEF939F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F10-4873-ABDE-612CEF939F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F10-4873-ABDE-612CEF939F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F10-4873-ABDE-612CEF939F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F10-4873-ABDE-612CEF939F2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F10-4873-ABDE-612CEF939F2C}"/>
              </c:ext>
            </c:extLst>
          </c:dPt>
          <c:dLbls>
            <c:dLbl>
              <c:idx val="0"/>
              <c:layout>
                <c:manualLayout>
                  <c:x val="0.10386473429951681"/>
                  <c:y val="-0.1297648012976480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10-4873-ABDE-612CEF939F2C}"/>
                </c:ext>
              </c:extLst>
            </c:dLbl>
            <c:dLbl>
              <c:idx val="1"/>
              <c:layout>
                <c:manualLayout>
                  <c:x val="0.29951690821256038"/>
                  <c:y val="-1.94647201946472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10-4873-ABDE-612CEF939F2C}"/>
                </c:ext>
              </c:extLst>
            </c:dLbl>
            <c:dLbl>
              <c:idx val="2"/>
              <c:layout>
                <c:manualLayout>
                  <c:x val="-0.21256038647342995"/>
                  <c:y val="0.460665044606650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F10-4873-ABDE-612CEF939F2C}"/>
                </c:ext>
              </c:extLst>
            </c:dLbl>
            <c:dLbl>
              <c:idx val="3"/>
              <c:layout>
                <c:manualLayout>
                  <c:x val="-0.18115942028985507"/>
                  <c:y val="0.3341443633414436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10-4873-ABDE-612CEF939F2C}"/>
                </c:ext>
              </c:extLst>
            </c:dLbl>
            <c:dLbl>
              <c:idx val="4"/>
              <c:layout>
                <c:manualLayout>
                  <c:x val="-0.15458937198067632"/>
                  <c:y val="0.188158961881589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F10-4873-ABDE-612CEF939F2C}"/>
                </c:ext>
              </c:extLst>
            </c:dLbl>
            <c:dLbl>
              <c:idx val="5"/>
              <c:layout>
                <c:manualLayout>
                  <c:x val="-0.14975845410628019"/>
                  <c:y val="3.24412003244119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F10-4873-ABDE-612CEF939F2C}"/>
                </c:ext>
              </c:extLst>
            </c:dLbl>
            <c:dLbl>
              <c:idx val="6"/>
              <c:layout>
                <c:manualLayout>
                  <c:x val="-0.14251207729468598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F10-4873-ABDE-612CEF939F2C}"/>
                </c:ext>
              </c:extLst>
            </c:dLbl>
            <c:dLbl>
              <c:idx val="7"/>
              <c:layout>
                <c:manualLayout>
                  <c:x val="-0.15217391304347827"/>
                  <c:y val="-0.191403081914030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F10-4873-ABDE-612CEF939F2C}"/>
                </c:ext>
              </c:extLst>
            </c:dLbl>
            <c:dLbl>
              <c:idx val="8"/>
              <c:layout>
                <c:manualLayout>
                  <c:x val="-0.106280193236715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F10-4873-ABDE-612CEF939F2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Hp(10))'!$BD$25:$BD$33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10-4873-ABDE-612CEF939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5to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819-47A7-BEC6-035306473B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819-47A7-BEC6-035306473B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819-47A7-BEC6-035306473B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819-47A7-BEC6-035306473B6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819-47A7-BEC6-035306473B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819-47A7-BEC6-035306473B6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819-47A7-BEC6-035306473B6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819-47A7-BEC6-035306473B6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819-47A7-BEC6-035306473B63}"/>
              </c:ext>
            </c:extLst>
          </c:dPt>
          <c:dLbls>
            <c:dLbl>
              <c:idx val="0"/>
              <c:layout>
                <c:manualLayout>
                  <c:x val="0.12318840579710146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19-47A7-BEC6-035306473B63}"/>
                </c:ext>
              </c:extLst>
            </c:dLbl>
            <c:dLbl>
              <c:idx val="1"/>
              <c:layout>
                <c:manualLayout>
                  <c:x val="0.51207729468599039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19-47A7-BEC6-035306473B63}"/>
                </c:ext>
              </c:extLst>
            </c:dLbl>
            <c:dLbl>
              <c:idx val="2"/>
              <c:layout>
                <c:manualLayout>
                  <c:x val="0.40821256038647336"/>
                  <c:y val="-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819-47A7-BEC6-035306473B63}"/>
                </c:ext>
              </c:extLst>
            </c:dLbl>
            <c:dLbl>
              <c:idx val="3"/>
              <c:layout>
                <c:manualLayout>
                  <c:x val="-0.20289855072463769"/>
                  <c:y val="0.233576642335766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819-47A7-BEC6-035306473B63}"/>
                </c:ext>
              </c:extLst>
            </c:dLbl>
            <c:dLbl>
              <c:idx val="4"/>
              <c:layout>
                <c:manualLayout>
                  <c:x val="-0.1811594202898551"/>
                  <c:y val="0.110300081103000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819-47A7-BEC6-035306473B63}"/>
                </c:ext>
              </c:extLst>
            </c:dLbl>
            <c:dLbl>
              <c:idx val="5"/>
              <c:layout>
                <c:manualLayout>
                  <c:x val="-0.16666666666666666"/>
                  <c:y val="-1.94647201946472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819-47A7-BEC6-035306473B63}"/>
                </c:ext>
              </c:extLst>
            </c:dLbl>
            <c:dLbl>
              <c:idx val="6"/>
              <c:layout>
                <c:manualLayout>
                  <c:x val="-0.18840579710144928"/>
                  <c:y val="-0.113544201135442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819-47A7-BEC6-035306473B63}"/>
                </c:ext>
              </c:extLst>
            </c:dLbl>
            <c:dLbl>
              <c:idx val="7"/>
              <c:layout>
                <c:manualLayout>
                  <c:x val="-0.21014492753623187"/>
                  <c:y val="-0.2465531224655312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819-47A7-BEC6-035306473B63}"/>
                </c:ext>
              </c:extLst>
            </c:dLbl>
            <c:dLbl>
              <c:idx val="8"/>
              <c:layout>
                <c:manualLayout>
                  <c:x val="-0.13768115942028988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819-47A7-BEC6-035306473B6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Hp(10))'!$BR$25:$BR$33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819-47A7-BEC6-035306473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6to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7C9-48FB-88D8-8ACC5010D1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7C9-48FB-88D8-8ACC5010D1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7C9-48FB-88D8-8ACC5010D14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7C9-48FB-88D8-8ACC5010D14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7C9-48FB-88D8-8ACC5010D14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7C9-48FB-88D8-8ACC5010D14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7C9-48FB-88D8-8ACC5010D14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7C9-48FB-88D8-8ACC5010D14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7C9-48FB-88D8-8ACC5010D149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Hp(10))'!$CF$25:$CF$33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7C9-48FB-88D8-8ACC5010D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7mo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DE2-42DA-BF3C-A00881C269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DE2-42DA-BF3C-A00881C269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DE2-42DA-BF3C-A00881C269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DE2-42DA-BF3C-A00881C269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DE2-42DA-BF3C-A00881C2698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DE2-42DA-BF3C-A00881C2698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DE2-42DA-BF3C-A00881C2698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DE2-42DA-BF3C-A00881C2698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DE2-42DA-BF3C-A00881C26988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Hp(10))'!$CT$25:$CT$33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DE2-42DA-BF3C-A00881C2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8vo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AB5-4DDC-9B8B-5E4FBFC385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AB5-4DDC-9B8B-5E4FBFC385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AB5-4DDC-9B8B-5E4FBFC385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AB5-4DDC-9B8B-5E4FBFC385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AB5-4DDC-9B8B-5E4FBFC3858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AB5-4DDC-9B8B-5E4FBFC3858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AB5-4DDC-9B8B-5E4FBFC3858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AB5-4DDC-9B8B-5E4FBFC3858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AB5-4DDC-9B8B-5E4FBFC3858A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Hp(10))'!$DH$25:$DH$33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AB5-4DDC-9B8B-5E4FBFC38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539-4583-8B28-12B983FEF3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539-4583-8B28-12B983FEF3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539-4583-8B28-12B983FEF3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539-4583-8B28-12B983FEF3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539-4583-8B28-12B983FEF3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539-4583-8B28-12B983FEF3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539-4583-8B28-12B983FEF3B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539-4583-8B28-12B983FEF3B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539-4583-8B28-12B983FEF3B2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539-4583-8B28-12B983FEF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Contribución incert. 1er punto de calibración (después</a:t>
            </a:r>
            <a:r>
              <a:rPr lang="en-US" baseline="0"/>
              <a:t> del ajuste)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1er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6FB-4790-AA43-D187E82814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6FB-4790-AA43-D187E82814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6FB-4790-AA43-D187E82814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6FB-4790-AA43-D187E82814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6FB-4790-AA43-D187E82814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6FB-4790-AA43-D187E82814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6FB-4790-AA43-D187E82814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6FB-4790-AA43-D187E82814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6FB-4790-AA43-D187E8281427}"/>
              </c:ext>
            </c:extLst>
          </c:dPt>
          <c:dLbls>
            <c:dLbl>
              <c:idx val="0"/>
              <c:layout>
                <c:manualLayout>
                  <c:x val="6.7001675041876041E-2"/>
                  <c:y val="0.3504643293701867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6FB-4790-AA43-D187E8281427}"/>
                </c:ext>
              </c:extLst>
            </c:dLbl>
            <c:dLbl>
              <c:idx val="1"/>
              <c:layout>
                <c:manualLayout>
                  <c:x val="0.18983807928531546"/>
                  <c:y val="7.4979605855237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FB-4790-AA43-D187E8281427}"/>
                </c:ext>
              </c:extLst>
            </c:dLbl>
            <c:dLbl>
              <c:idx val="2"/>
              <c:layout>
                <c:manualLayout>
                  <c:x val="6.9398787463124903E-2"/>
                  <c:y val="-0.169559152774091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FB-4790-AA43-D187E8281427}"/>
                </c:ext>
              </c:extLst>
            </c:dLbl>
            <c:dLbl>
              <c:idx val="3"/>
              <c:layout>
                <c:manualLayout>
                  <c:x val="-0.20770519262981574"/>
                  <c:y val="6.19396744021525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6FB-4790-AA43-D187E8281427}"/>
                </c:ext>
              </c:extLst>
            </c:dLbl>
            <c:dLbl>
              <c:idx val="4"/>
              <c:layout>
                <c:manualLayout>
                  <c:x val="-0.20993858179787828"/>
                  <c:y val="0.2966584405576777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FB-4790-AA43-D187E8281427}"/>
                </c:ext>
              </c:extLst>
            </c:dLbl>
            <c:dLbl>
              <c:idx val="5"/>
              <c:layout>
                <c:manualLayout>
                  <c:x val="0.57202099737532797"/>
                  <c:y val="0.2245967760566323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529625379742103"/>
                      <c:h val="0.125178208118332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96FB-4790-AA43-D187E8281427}"/>
                </c:ext>
              </c:extLst>
            </c:dLbl>
            <c:dLbl>
              <c:idx val="6"/>
              <c:layout>
                <c:manualLayout>
                  <c:x val="-0.22333891680625348"/>
                  <c:y val="0.1695191088901015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FB-4790-AA43-D187E8281427}"/>
                </c:ext>
              </c:extLst>
            </c:dLbl>
            <c:dLbl>
              <c:idx val="7"/>
              <c:layout>
                <c:manualLayout>
                  <c:x val="2.2333891680625349E-3"/>
                  <c:y val="0.316218337737304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5517526389603"/>
                      <c:h val="0.1183573998787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96FB-4790-AA43-D187E8281427}"/>
                </c:ext>
              </c:extLst>
            </c:dLbl>
            <c:dLbl>
              <c:idx val="8"/>
              <c:layout>
                <c:manualLayout>
                  <c:x val="0.52607147724624881"/>
                  <c:y val="3.34140542738375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648931446383274"/>
                      <c:h val="9.87975026991117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96FB-4790-AA43-D187E82814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Hp(10))'!$N$25:$N$33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6FB-4790-AA43-D187E8281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6525233340807"/>
          <c:y val="0.49021671441985398"/>
          <c:w val="0.72173694368605934"/>
          <c:h val="0.490223388400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2do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85F-4B04-BDAA-F6D013CFD0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85F-4B04-BDAA-F6D013CFD00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85F-4B04-BDAA-F6D013CFD00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85F-4B04-BDAA-F6D013CFD00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85F-4B04-BDAA-F6D013CFD00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85F-4B04-BDAA-F6D013CFD00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85F-4B04-BDAA-F6D013CFD00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85F-4B04-BDAA-F6D013CFD00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C85F-4B04-BDAA-F6D013CFD007}"/>
              </c:ext>
            </c:extLst>
          </c:dPt>
          <c:dLbls>
            <c:dLbl>
              <c:idx val="0"/>
              <c:layout>
                <c:manualLayout>
                  <c:x val="0.11467116357504233"/>
                  <c:y val="-5.51500405515004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5F-4B04-BDAA-F6D013CFD007}"/>
                </c:ext>
              </c:extLst>
            </c:dLbl>
            <c:dLbl>
              <c:idx val="1"/>
              <c:layout>
                <c:manualLayout>
                  <c:x val="0.10342889263631254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5F-4B04-BDAA-F6D013CFD007}"/>
                </c:ext>
              </c:extLst>
            </c:dLbl>
            <c:dLbl>
              <c:idx val="2"/>
              <c:layout>
                <c:manualLayout>
                  <c:x val="0.40022484541877468"/>
                  <c:y val="-3.8929440389294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5F-4B04-BDAA-F6D013CFD007}"/>
                </c:ext>
              </c:extLst>
            </c:dLbl>
            <c:dLbl>
              <c:idx val="3"/>
              <c:layout>
                <c:manualLayout>
                  <c:x val="-0.12816188870151771"/>
                  <c:y val="0.330900243309002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85F-4B04-BDAA-F6D013CFD007}"/>
                </c:ext>
              </c:extLst>
            </c:dLbl>
            <c:dLbl>
              <c:idx val="4"/>
              <c:layout>
                <c:manualLayout>
                  <c:x val="-0.13715570545250141"/>
                  <c:y val="0.1849148418491484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5F-4B04-BDAA-F6D013CFD007}"/>
                </c:ext>
              </c:extLst>
            </c:dLbl>
            <c:dLbl>
              <c:idx val="5"/>
              <c:layout>
                <c:manualLayout>
                  <c:x val="-0.12816188870151771"/>
                  <c:y val="5.190592051905914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85F-4B04-BDAA-F6D013CFD007}"/>
                </c:ext>
              </c:extLst>
            </c:dLbl>
            <c:dLbl>
              <c:idx val="6"/>
              <c:layout>
                <c:manualLayout>
                  <c:x val="-0.12366498032602585"/>
                  <c:y val="-5.190592051905923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85F-4B04-BDAA-F6D013CFD007}"/>
                </c:ext>
              </c:extLst>
            </c:dLbl>
            <c:dLbl>
              <c:idx val="7"/>
              <c:layout>
                <c:manualLayout>
                  <c:x val="-0.12141652613827993"/>
                  <c:y val="-0.165450121654501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85F-4B04-BDAA-F6D013CFD007}"/>
                </c:ext>
              </c:extLst>
            </c:dLbl>
            <c:dLbl>
              <c:idx val="8"/>
              <c:layout>
                <c:manualLayout>
                  <c:x val="-0.18437324339516584"/>
                  <c:y val="-0.10705596107055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85F-4B04-BDAA-F6D013CFD00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Hp(10))'!$AB$25:$AB$33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85F-4B04-BDAA-F6D013CFD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3er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16B-4713-9FB9-90844887BF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16B-4713-9FB9-90844887BF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16B-4713-9FB9-90844887BF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16B-4713-9FB9-90844887BF9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16B-4713-9FB9-90844887BF9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16B-4713-9FB9-90844887BF9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16B-4713-9FB9-90844887BF9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16B-4713-9FB9-90844887BF9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16B-4713-9FB9-90844887BF9D}"/>
              </c:ext>
            </c:extLst>
          </c:dPt>
          <c:dLbls>
            <c:dLbl>
              <c:idx val="0"/>
              <c:layout>
                <c:manualLayout>
                  <c:x val="5.7657657657657568E-2"/>
                  <c:y val="-4.54176804541768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6B-4713-9FB9-90844887BF9D}"/>
                </c:ext>
              </c:extLst>
            </c:dLbl>
            <c:dLbl>
              <c:idx val="1"/>
              <c:layout>
                <c:manualLayout>
                  <c:x val="0.4756756756756757"/>
                  <c:y val="-9.73236009732360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6B-4713-9FB9-90844887BF9D}"/>
                </c:ext>
              </c:extLst>
            </c:dLbl>
            <c:dLbl>
              <c:idx val="2"/>
              <c:layout>
                <c:manualLayout>
                  <c:x val="0.34834834834834832"/>
                  <c:y val="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6B-4713-9FB9-90844887BF9D}"/>
                </c:ext>
              </c:extLst>
            </c:dLbl>
            <c:dLbl>
              <c:idx val="3"/>
              <c:layout>
                <c:manualLayout>
                  <c:x val="-0.19219219219219219"/>
                  <c:y val="0.266017842660178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6B-4713-9FB9-90844887BF9D}"/>
                </c:ext>
              </c:extLst>
            </c:dLbl>
            <c:dLbl>
              <c:idx val="4"/>
              <c:layout>
                <c:manualLayout>
                  <c:x val="-0.17297297297297298"/>
                  <c:y val="0.139497161394971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6B-4713-9FB9-90844887BF9D}"/>
                </c:ext>
              </c:extLst>
            </c:dLbl>
            <c:dLbl>
              <c:idx val="5"/>
              <c:layout>
                <c:manualLayout>
                  <c:x val="-0.12252252252252252"/>
                  <c:y val="9.732360097323542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16B-4713-9FB9-90844887BF9D}"/>
                </c:ext>
              </c:extLst>
            </c:dLbl>
            <c:dLbl>
              <c:idx val="6"/>
              <c:layout>
                <c:manualLayout>
                  <c:x val="-0.14414414414414414"/>
                  <c:y val="-8.75912408759124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16B-4713-9FB9-90844887BF9D}"/>
                </c:ext>
              </c:extLst>
            </c:dLbl>
            <c:dLbl>
              <c:idx val="7"/>
              <c:layout>
                <c:manualLayout>
                  <c:x val="-0.18498498498498497"/>
                  <c:y val="-0.2076236820762368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16B-4713-9FB9-90844887BF9D}"/>
                </c:ext>
              </c:extLst>
            </c:dLbl>
            <c:dLbl>
              <c:idx val="8"/>
              <c:layout>
                <c:manualLayout>
                  <c:x val="-0.11531531531531532"/>
                  <c:y val="-8.75912408759124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16B-4713-9FB9-90844887BF9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Hp(10))'!$AP$25:$AP$33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16B-4713-9FB9-90844887B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4to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B9A-4EC7-90F2-0C8804E970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B9A-4EC7-90F2-0C8804E970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B9A-4EC7-90F2-0C8804E970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B9A-4EC7-90F2-0C8804E970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B9A-4EC7-90F2-0C8804E970B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B9A-4EC7-90F2-0C8804E970B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B9A-4EC7-90F2-0C8804E970B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B9A-4EC7-90F2-0C8804E970B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B9A-4EC7-90F2-0C8804E970BA}"/>
              </c:ext>
            </c:extLst>
          </c:dPt>
          <c:dLbls>
            <c:dLbl>
              <c:idx val="0"/>
              <c:layout>
                <c:manualLayout>
                  <c:x val="0.10386473429951681"/>
                  <c:y val="-0.1297648012976480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B9A-4EC7-90F2-0C8804E970BA}"/>
                </c:ext>
              </c:extLst>
            </c:dLbl>
            <c:dLbl>
              <c:idx val="1"/>
              <c:layout>
                <c:manualLayout>
                  <c:x val="0.29951690821256038"/>
                  <c:y val="-1.94647201946472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B9A-4EC7-90F2-0C8804E970BA}"/>
                </c:ext>
              </c:extLst>
            </c:dLbl>
            <c:dLbl>
              <c:idx val="2"/>
              <c:layout>
                <c:manualLayout>
                  <c:x val="-0.21256038647342995"/>
                  <c:y val="0.460665044606650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B9A-4EC7-90F2-0C8804E970BA}"/>
                </c:ext>
              </c:extLst>
            </c:dLbl>
            <c:dLbl>
              <c:idx val="3"/>
              <c:layout>
                <c:manualLayout>
                  <c:x val="-0.18115942028985507"/>
                  <c:y val="0.3341443633414436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B9A-4EC7-90F2-0C8804E970BA}"/>
                </c:ext>
              </c:extLst>
            </c:dLbl>
            <c:dLbl>
              <c:idx val="4"/>
              <c:layout>
                <c:manualLayout>
                  <c:x val="-0.15458937198067632"/>
                  <c:y val="0.188158961881589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B9A-4EC7-90F2-0C8804E970BA}"/>
                </c:ext>
              </c:extLst>
            </c:dLbl>
            <c:dLbl>
              <c:idx val="5"/>
              <c:layout>
                <c:manualLayout>
                  <c:x val="-0.14975845410628019"/>
                  <c:y val="3.24412003244119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B9A-4EC7-90F2-0C8804E970BA}"/>
                </c:ext>
              </c:extLst>
            </c:dLbl>
            <c:dLbl>
              <c:idx val="6"/>
              <c:layout>
                <c:manualLayout>
                  <c:x val="-0.14251207729468598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B9A-4EC7-90F2-0C8804E970BA}"/>
                </c:ext>
              </c:extLst>
            </c:dLbl>
            <c:dLbl>
              <c:idx val="7"/>
              <c:layout>
                <c:manualLayout>
                  <c:x val="-0.15217391304347827"/>
                  <c:y val="-0.191403081914030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B9A-4EC7-90F2-0C8804E970BA}"/>
                </c:ext>
              </c:extLst>
            </c:dLbl>
            <c:dLbl>
              <c:idx val="8"/>
              <c:layout>
                <c:manualLayout>
                  <c:x val="-0.106280193236715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B9A-4EC7-90F2-0C8804E970B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Hp(10))'!$BD$25:$BD$33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B9A-4EC7-90F2-0C8804E97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5to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314-4594-911D-28165FEEF2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314-4594-911D-28165FEEF2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314-4594-911D-28165FEEF2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314-4594-911D-28165FEEF25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314-4594-911D-28165FEEF25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314-4594-911D-28165FEEF25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314-4594-911D-28165FEEF25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314-4594-911D-28165FEEF25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314-4594-911D-28165FEEF252}"/>
              </c:ext>
            </c:extLst>
          </c:dPt>
          <c:dLbls>
            <c:dLbl>
              <c:idx val="0"/>
              <c:layout>
                <c:manualLayout>
                  <c:x val="0.12318840579710146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14-4594-911D-28165FEEF252}"/>
                </c:ext>
              </c:extLst>
            </c:dLbl>
            <c:dLbl>
              <c:idx val="1"/>
              <c:layout>
                <c:manualLayout>
                  <c:x val="0.51207729468599039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14-4594-911D-28165FEEF252}"/>
                </c:ext>
              </c:extLst>
            </c:dLbl>
            <c:dLbl>
              <c:idx val="2"/>
              <c:layout>
                <c:manualLayout>
                  <c:x val="0.40821256038647336"/>
                  <c:y val="-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314-4594-911D-28165FEEF252}"/>
                </c:ext>
              </c:extLst>
            </c:dLbl>
            <c:dLbl>
              <c:idx val="3"/>
              <c:layout>
                <c:manualLayout>
                  <c:x val="-0.20289855072463769"/>
                  <c:y val="0.233576642335766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14-4594-911D-28165FEEF252}"/>
                </c:ext>
              </c:extLst>
            </c:dLbl>
            <c:dLbl>
              <c:idx val="4"/>
              <c:layout>
                <c:manualLayout>
                  <c:x val="-0.1811594202898551"/>
                  <c:y val="0.110300081103000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14-4594-911D-28165FEEF252}"/>
                </c:ext>
              </c:extLst>
            </c:dLbl>
            <c:dLbl>
              <c:idx val="5"/>
              <c:layout>
                <c:manualLayout>
                  <c:x val="-0.16666666666666666"/>
                  <c:y val="-1.94647201946472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14-4594-911D-28165FEEF252}"/>
                </c:ext>
              </c:extLst>
            </c:dLbl>
            <c:dLbl>
              <c:idx val="6"/>
              <c:layout>
                <c:manualLayout>
                  <c:x val="-0.18840579710144928"/>
                  <c:y val="-0.113544201135442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14-4594-911D-28165FEEF252}"/>
                </c:ext>
              </c:extLst>
            </c:dLbl>
            <c:dLbl>
              <c:idx val="7"/>
              <c:layout>
                <c:manualLayout>
                  <c:x val="-0.21014492753623187"/>
                  <c:y val="-0.2465531224655312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314-4594-911D-28165FEEF252}"/>
                </c:ext>
              </c:extLst>
            </c:dLbl>
            <c:dLbl>
              <c:idx val="8"/>
              <c:layout>
                <c:manualLayout>
                  <c:x val="-0.13768115942028988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314-4594-911D-28165FEEF25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Hp(10))'!$BR$25:$BR$33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314-4594-911D-28165FEE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6to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AF0-4AC0-AAAF-3EBC188EA4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AF0-4AC0-AAAF-3EBC188EA4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AF0-4AC0-AAAF-3EBC188EA4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AF0-4AC0-AAAF-3EBC188EA4A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AF0-4AC0-AAAF-3EBC188EA4A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AF0-4AC0-AAAF-3EBC188EA4A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AF0-4AC0-AAAF-3EBC188EA4A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AF0-4AC0-AAAF-3EBC188EA4A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AF0-4AC0-AAAF-3EBC188EA4A9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Hp(10))'!$CF$25:$CF$33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F0-4AC0-AAAF-3EBC188EA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7mo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EE1-41BB-B28F-1E4413D4C9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EE1-41BB-B28F-1E4413D4C9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EE1-41BB-B28F-1E4413D4C9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EE1-41BB-B28F-1E4413D4C93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EE1-41BB-B28F-1E4413D4C93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EE1-41BB-B28F-1E4413D4C93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EE1-41BB-B28F-1E4413D4C93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EE1-41BB-B28F-1E4413D4C93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EE1-41BB-B28F-1E4413D4C93A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Hp(10))'!$CT$25:$CT$33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EE1-41BB-B28F-1E4413D4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8vo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2E6-4870-B73C-057A92F286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2E6-4870-B73C-057A92F286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2E6-4870-B73C-057A92F286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2E6-4870-B73C-057A92F2865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2E6-4870-B73C-057A92F2865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2E6-4870-B73C-057A92F2865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2E6-4870-B73C-057A92F2865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2E6-4870-B73C-057A92F2865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2E6-4870-B73C-057A92F28653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Hp(10))'!$DH$25:$DH$33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E6-4870-B73C-057A92F28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67F-4A26-A65A-1688ACF117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67F-4A26-A65A-1688ACF117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67F-4A26-A65A-1688ACF117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67F-4A26-A65A-1688ACF1171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67F-4A26-A65A-1688ACF1171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67F-4A26-A65A-1688ACF1171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67F-4A26-A65A-1688ACF1171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67F-4A26-A65A-1688ACF1171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67F-4A26-A65A-1688ACF1171B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67F-4A26-A65A-1688ACF1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BBA-45A9-9D2D-6195C70802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BBA-45A9-9D2D-6195C70802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BA-45A9-9D2D-6195C70802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BBA-45A9-9D2D-6195C70802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BBA-45A9-9D2D-6195C70802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BBA-45A9-9D2D-6195C708025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BBA-45A9-9D2D-6195C708025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BBA-45A9-9D2D-6195C708025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BBA-45A9-9D2D-6195C7080250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BA-45A9-9D2D-6195C7080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459-43F9-A820-98AD3803CF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459-43F9-A820-98AD3803CF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459-43F9-A820-98AD3803CF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459-43F9-A820-98AD3803CFC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459-43F9-A820-98AD3803CFC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459-43F9-A820-98AD3803CFC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459-43F9-A820-98AD3803CFC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459-43F9-A820-98AD3803CFC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459-43F9-A820-98AD3803CFC6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59-43F9-A820-98AD3803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9F9-4849-BF2E-495FC18531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9F9-4849-BF2E-495FC18531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9F9-4849-BF2E-495FC18531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9F9-4849-BF2E-495FC18531A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9F9-4849-BF2E-495FC18531A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9F9-4849-BF2E-495FC18531A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9F9-4849-BF2E-495FC18531A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9F9-4849-BF2E-495FC18531A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9F9-4849-BF2E-495FC18531AD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9F9-4849-BF2E-495FC1853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404-4F49-93BE-C614BCBBAF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404-4F49-93BE-C614BCBBAF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404-4F49-93BE-C614BCBBAF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404-4F49-93BE-C614BCBBAF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404-4F49-93BE-C614BCBBAF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404-4F49-93BE-C614BCBBAF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404-4F49-93BE-C614BCBBAF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404-4F49-93BE-C614BCBBAF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404-4F49-93BE-C614BCBBAFE7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404-4F49-93BE-C614BCBBA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73B-4522-95A7-DC3C5351EC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73B-4522-95A7-DC3C5351EC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73B-4522-95A7-DC3C5351EC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73B-4522-95A7-DC3C5351EC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73B-4522-95A7-DC3C5351EC8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73B-4522-95A7-DC3C5351EC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73B-4522-95A7-DC3C5351EC8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73B-4522-95A7-DC3C5351EC8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73B-4522-95A7-DC3C5351EC85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73B-4522-95A7-DC3C5351E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FA7-4007-B96A-4208AE0CC5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FA7-4007-B96A-4208AE0CC5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FA7-4007-B96A-4208AE0CC5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FA7-4007-B96A-4208AE0CC5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FA7-4007-B96A-4208AE0CC56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FA7-4007-B96A-4208AE0CC56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FA7-4007-B96A-4208AE0CC56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FA7-4007-B96A-4208AE0CC56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FA7-4007-B96A-4208AE0CC568}"/>
              </c:ext>
            </c:extLst>
          </c:dPt>
          <c:cat>
            <c:strRef>
              <c:f>'Incert. Cal. Mon. (Dos.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(Dos.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FA7-4007-B96A-4208AE0CC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Ref>
              <c:f>'Incert. Cal. Mon. (Pers Hp(10))'!$C$156:$C$166</c:f>
              <c:numCache>
                <c:formatCode>General</c:formatCode>
                <c:ptCount val="11"/>
                <c:pt idx="0">
                  <c:v>100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'Incert. Cal. Mon. (Pers Hp(10))'!$D$156:$D$166</c:f>
              <c:numCache>
                <c:formatCode>0.00</c:formatCode>
                <c:ptCount val="11"/>
                <c:pt idx="0">
                  <c:v>1.1000000000000001</c:v>
                </c:pt>
                <c:pt idx="1">
                  <c:v>0.22</c:v>
                </c:pt>
                <c:pt idx="2">
                  <c:v>0.11</c:v>
                </c:pt>
                <c:pt idx="3">
                  <c:v>7.3333333333333334E-2</c:v>
                </c:pt>
                <c:pt idx="4">
                  <c:v>5.5E-2</c:v>
                </c:pt>
                <c:pt idx="5">
                  <c:v>4.4000000000000004E-2</c:v>
                </c:pt>
                <c:pt idx="6">
                  <c:v>3.6666666666666667E-2</c:v>
                </c:pt>
                <c:pt idx="7">
                  <c:v>3.1428571428571431E-2</c:v>
                </c:pt>
                <c:pt idx="8">
                  <c:v>2.75E-2</c:v>
                </c:pt>
                <c:pt idx="9">
                  <c:v>2.4444444444444449E-2</c:v>
                </c:pt>
                <c:pt idx="10">
                  <c:v>2.2000000000000002E-2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EE-489B-B12C-3A347D6F1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11264"/>
        <c:axId val="136812800"/>
      </c:scatterChart>
      <c:valAx>
        <c:axId val="13681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6812800"/>
        <c:crosses val="autoZero"/>
        <c:crossBetween val="midCat"/>
      </c:valAx>
      <c:valAx>
        <c:axId val="1368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681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Contribución incert. 1er punto de calibración (antes del ajuste)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1er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252-4D9D-A11D-1E7019D7FF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252-4D9D-A11D-1E7019D7FF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252-4D9D-A11D-1E7019D7FF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252-4D9D-A11D-1E7019D7FFF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252-4D9D-A11D-1E7019D7FFF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252-4D9D-A11D-1E7019D7FFF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252-4D9D-A11D-1E7019D7FFF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252-4D9D-A11D-1E7019D7FFF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252-4D9D-A11D-1E7019D7FFF5}"/>
              </c:ext>
            </c:extLst>
          </c:dPt>
          <c:dLbls>
            <c:dLbl>
              <c:idx val="0"/>
              <c:layout>
                <c:manualLayout>
                  <c:x val="6.7001675041876041E-2"/>
                  <c:y val="0.3504643293701867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52-4D9D-A11D-1E7019D7FFF5}"/>
                </c:ext>
              </c:extLst>
            </c:dLbl>
            <c:dLbl>
              <c:idx val="1"/>
              <c:layout>
                <c:manualLayout>
                  <c:x val="0.18983807928531546"/>
                  <c:y val="7.4979605855237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52-4D9D-A11D-1E7019D7FFF5}"/>
                </c:ext>
              </c:extLst>
            </c:dLbl>
            <c:dLbl>
              <c:idx val="2"/>
              <c:layout>
                <c:manualLayout>
                  <c:x val="6.9398787463124903E-2"/>
                  <c:y val="-0.169559152774091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52-4D9D-A11D-1E7019D7FFF5}"/>
                </c:ext>
              </c:extLst>
            </c:dLbl>
            <c:dLbl>
              <c:idx val="3"/>
              <c:layout>
                <c:manualLayout>
                  <c:x val="-0.20770519262981574"/>
                  <c:y val="6.19396744021525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52-4D9D-A11D-1E7019D7FFF5}"/>
                </c:ext>
              </c:extLst>
            </c:dLbl>
            <c:dLbl>
              <c:idx val="4"/>
              <c:layout>
                <c:manualLayout>
                  <c:x val="-0.20993858179787828"/>
                  <c:y val="0.2966584405576777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252-4D9D-A11D-1E7019D7FFF5}"/>
                </c:ext>
              </c:extLst>
            </c:dLbl>
            <c:dLbl>
              <c:idx val="5"/>
              <c:layout>
                <c:manualLayout>
                  <c:x val="0.57202099737532797"/>
                  <c:y val="0.2245967760566323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529625379742103"/>
                      <c:h val="0.125178208118332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252-4D9D-A11D-1E7019D7FFF5}"/>
                </c:ext>
              </c:extLst>
            </c:dLbl>
            <c:dLbl>
              <c:idx val="6"/>
              <c:layout>
                <c:manualLayout>
                  <c:x val="-0.22333891680625348"/>
                  <c:y val="0.1695191088901015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252-4D9D-A11D-1E7019D7FFF5}"/>
                </c:ext>
              </c:extLst>
            </c:dLbl>
            <c:dLbl>
              <c:idx val="7"/>
              <c:layout>
                <c:manualLayout>
                  <c:x val="2.2333891680625349E-3"/>
                  <c:y val="0.316218337737304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5517526389603"/>
                      <c:h val="0.1183573998787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5252-4D9D-A11D-1E7019D7FFF5}"/>
                </c:ext>
              </c:extLst>
            </c:dLbl>
            <c:dLbl>
              <c:idx val="8"/>
              <c:layout>
                <c:manualLayout>
                  <c:x val="0.52607147724624881"/>
                  <c:y val="3.34140542738375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648931446383274"/>
                      <c:h val="9.87975026991117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5252-4D9D-A11D-1E7019D7FFF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Hp(10))'!$N$25:$N$33</c:f>
              <c:numCache>
                <c:formatCode>0.00%</c:formatCode>
                <c:ptCount val="9"/>
                <c:pt idx="0">
                  <c:v>1.2728832554551505E-5</c:v>
                </c:pt>
                <c:pt idx="1">
                  <c:v>2.4976070454436776E-6</c:v>
                </c:pt>
                <c:pt idx="2">
                  <c:v>0</c:v>
                </c:pt>
                <c:pt idx="3">
                  <c:v>0.88040202827390712</c:v>
                </c:pt>
                <c:pt idx="4">
                  <c:v>2.0926540664205097E-5</c:v>
                </c:pt>
                <c:pt idx="5">
                  <c:v>8.8772024824621446E-2</c:v>
                </c:pt>
                <c:pt idx="6">
                  <c:v>2.4455089545935286E-2</c:v>
                </c:pt>
                <c:pt idx="7">
                  <c:v>3.6637966311579324E-6</c:v>
                </c:pt>
                <c:pt idx="8">
                  <c:v>6.3310405786409056E-3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52-4D9D-A11D-1E7019D7F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6525233340807"/>
          <c:y val="0.49021671441985398"/>
          <c:w val="0.72173694368605934"/>
          <c:h val="0.490223388400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2do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D91-4CE8-89E6-678B8FDF0D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D91-4CE8-89E6-678B8FDF0D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D91-4CE8-89E6-678B8FDF0D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D91-4CE8-89E6-678B8FDF0D3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D91-4CE8-89E6-678B8FDF0D3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D91-4CE8-89E6-678B8FDF0D3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D91-4CE8-89E6-678B8FDF0D3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D91-4CE8-89E6-678B8FDF0D3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D91-4CE8-89E6-678B8FDF0D34}"/>
              </c:ext>
            </c:extLst>
          </c:dPt>
          <c:dLbls>
            <c:dLbl>
              <c:idx val="0"/>
              <c:layout>
                <c:manualLayout>
                  <c:x val="0.11467116357504233"/>
                  <c:y val="-5.51500405515004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91-4CE8-89E6-678B8FDF0D34}"/>
                </c:ext>
              </c:extLst>
            </c:dLbl>
            <c:dLbl>
              <c:idx val="1"/>
              <c:layout>
                <c:manualLayout>
                  <c:x val="0.10342889263631254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91-4CE8-89E6-678B8FDF0D34}"/>
                </c:ext>
              </c:extLst>
            </c:dLbl>
            <c:dLbl>
              <c:idx val="2"/>
              <c:layout>
                <c:manualLayout>
                  <c:x val="0.40022484541877468"/>
                  <c:y val="-3.8929440389294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91-4CE8-89E6-678B8FDF0D34}"/>
                </c:ext>
              </c:extLst>
            </c:dLbl>
            <c:dLbl>
              <c:idx val="3"/>
              <c:layout>
                <c:manualLayout>
                  <c:x val="-0.12816188870151771"/>
                  <c:y val="0.330900243309002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91-4CE8-89E6-678B8FDF0D34}"/>
                </c:ext>
              </c:extLst>
            </c:dLbl>
            <c:dLbl>
              <c:idx val="4"/>
              <c:layout>
                <c:manualLayout>
                  <c:x val="-0.13715570545250141"/>
                  <c:y val="0.1849148418491484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91-4CE8-89E6-678B8FDF0D34}"/>
                </c:ext>
              </c:extLst>
            </c:dLbl>
            <c:dLbl>
              <c:idx val="5"/>
              <c:layout>
                <c:manualLayout>
                  <c:x val="-0.12816188870151771"/>
                  <c:y val="5.190592051905914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91-4CE8-89E6-678B8FDF0D34}"/>
                </c:ext>
              </c:extLst>
            </c:dLbl>
            <c:dLbl>
              <c:idx val="6"/>
              <c:layout>
                <c:manualLayout>
                  <c:x val="-0.12366498032602585"/>
                  <c:y val="-5.190592051905923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D91-4CE8-89E6-678B8FDF0D34}"/>
                </c:ext>
              </c:extLst>
            </c:dLbl>
            <c:dLbl>
              <c:idx val="7"/>
              <c:layout>
                <c:manualLayout>
                  <c:x val="-0.12141652613827993"/>
                  <c:y val="-0.165450121654501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D91-4CE8-89E6-678B8FDF0D34}"/>
                </c:ext>
              </c:extLst>
            </c:dLbl>
            <c:dLbl>
              <c:idx val="8"/>
              <c:layout>
                <c:manualLayout>
                  <c:x val="-0.18437324339516584"/>
                  <c:y val="-0.10705596107055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D91-4CE8-89E6-678B8FDF0D3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Hp(10))'!$AB$25:$AB$33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D91-4CE8-89E6-678B8FDF0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3er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4C5-4325-B0FA-A529FD98F1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4C5-4325-B0FA-A529FD98F1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4C5-4325-B0FA-A529FD98F1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4C5-4325-B0FA-A529FD98F1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4C5-4325-B0FA-A529FD98F1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4C5-4325-B0FA-A529FD98F1A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4C5-4325-B0FA-A529FD98F1A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4C5-4325-B0FA-A529FD98F1A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4C5-4325-B0FA-A529FD98F1A8}"/>
              </c:ext>
            </c:extLst>
          </c:dPt>
          <c:dLbls>
            <c:dLbl>
              <c:idx val="0"/>
              <c:layout>
                <c:manualLayout>
                  <c:x val="5.7657657657657568E-2"/>
                  <c:y val="-4.54176804541768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C5-4325-B0FA-A529FD98F1A8}"/>
                </c:ext>
              </c:extLst>
            </c:dLbl>
            <c:dLbl>
              <c:idx val="1"/>
              <c:layout>
                <c:manualLayout>
                  <c:x val="0.4756756756756757"/>
                  <c:y val="-9.73236009732360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C5-4325-B0FA-A529FD98F1A8}"/>
                </c:ext>
              </c:extLst>
            </c:dLbl>
            <c:dLbl>
              <c:idx val="2"/>
              <c:layout>
                <c:manualLayout>
                  <c:x val="0.34834834834834832"/>
                  <c:y val="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C5-4325-B0FA-A529FD98F1A8}"/>
                </c:ext>
              </c:extLst>
            </c:dLbl>
            <c:dLbl>
              <c:idx val="3"/>
              <c:layout>
                <c:manualLayout>
                  <c:x val="-0.19219219219219219"/>
                  <c:y val="0.266017842660178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C5-4325-B0FA-A529FD98F1A8}"/>
                </c:ext>
              </c:extLst>
            </c:dLbl>
            <c:dLbl>
              <c:idx val="4"/>
              <c:layout>
                <c:manualLayout>
                  <c:x val="-0.17297297297297298"/>
                  <c:y val="0.139497161394971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C5-4325-B0FA-A529FD98F1A8}"/>
                </c:ext>
              </c:extLst>
            </c:dLbl>
            <c:dLbl>
              <c:idx val="5"/>
              <c:layout>
                <c:manualLayout>
                  <c:x val="-0.12252252252252252"/>
                  <c:y val="9.732360097323542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C5-4325-B0FA-A529FD98F1A8}"/>
                </c:ext>
              </c:extLst>
            </c:dLbl>
            <c:dLbl>
              <c:idx val="6"/>
              <c:layout>
                <c:manualLayout>
                  <c:x val="-0.14414414414414414"/>
                  <c:y val="-8.75912408759124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4C5-4325-B0FA-A529FD98F1A8}"/>
                </c:ext>
              </c:extLst>
            </c:dLbl>
            <c:dLbl>
              <c:idx val="7"/>
              <c:layout>
                <c:manualLayout>
                  <c:x val="-0.18498498498498497"/>
                  <c:y val="-0.2076236820762368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4C5-4325-B0FA-A529FD98F1A8}"/>
                </c:ext>
              </c:extLst>
            </c:dLbl>
            <c:dLbl>
              <c:idx val="8"/>
              <c:layout>
                <c:manualLayout>
                  <c:x val="-0.11531531531531532"/>
                  <c:y val="-8.75912408759124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4C5-4325-B0FA-A529FD98F1A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Hp(10))'!$AP$25:$AP$33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4C5-4325-B0FA-A529FD98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4to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80C-45ED-B288-A9624878DD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80C-45ED-B288-A9624878DD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80C-45ED-B288-A9624878DD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80C-45ED-B288-A9624878DD3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80C-45ED-B288-A9624878DD3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80C-45ED-B288-A9624878DD3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80C-45ED-B288-A9624878DD3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80C-45ED-B288-A9624878DD3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80C-45ED-B288-A9624878DD3F}"/>
              </c:ext>
            </c:extLst>
          </c:dPt>
          <c:dLbls>
            <c:dLbl>
              <c:idx val="0"/>
              <c:layout>
                <c:manualLayout>
                  <c:x val="0.10386473429951681"/>
                  <c:y val="-0.1297648012976480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80C-45ED-B288-A9624878DD3F}"/>
                </c:ext>
              </c:extLst>
            </c:dLbl>
            <c:dLbl>
              <c:idx val="1"/>
              <c:layout>
                <c:manualLayout>
                  <c:x val="0.29951690821256038"/>
                  <c:y val="-1.94647201946472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C-45ED-B288-A9624878DD3F}"/>
                </c:ext>
              </c:extLst>
            </c:dLbl>
            <c:dLbl>
              <c:idx val="2"/>
              <c:layout>
                <c:manualLayout>
                  <c:x val="-0.21256038647342995"/>
                  <c:y val="0.460665044606650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C-45ED-B288-A9624878DD3F}"/>
                </c:ext>
              </c:extLst>
            </c:dLbl>
            <c:dLbl>
              <c:idx val="3"/>
              <c:layout>
                <c:manualLayout>
                  <c:x val="-0.18115942028985507"/>
                  <c:y val="0.3341443633414436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0C-45ED-B288-A9624878DD3F}"/>
                </c:ext>
              </c:extLst>
            </c:dLbl>
            <c:dLbl>
              <c:idx val="4"/>
              <c:layout>
                <c:manualLayout>
                  <c:x val="-0.15458937198067632"/>
                  <c:y val="0.188158961881589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0C-45ED-B288-A9624878DD3F}"/>
                </c:ext>
              </c:extLst>
            </c:dLbl>
            <c:dLbl>
              <c:idx val="5"/>
              <c:layout>
                <c:manualLayout>
                  <c:x val="-0.14975845410628019"/>
                  <c:y val="3.24412003244119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0C-45ED-B288-A9624878DD3F}"/>
                </c:ext>
              </c:extLst>
            </c:dLbl>
            <c:dLbl>
              <c:idx val="6"/>
              <c:layout>
                <c:manualLayout>
                  <c:x val="-0.14251207729468598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C-45ED-B288-A9624878DD3F}"/>
                </c:ext>
              </c:extLst>
            </c:dLbl>
            <c:dLbl>
              <c:idx val="7"/>
              <c:layout>
                <c:manualLayout>
                  <c:x val="-0.15217391304347827"/>
                  <c:y val="-0.191403081914030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80C-45ED-B288-A9624878DD3F}"/>
                </c:ext>
              </c:extLst>
            </c:dLbl>
            <c:dLbl>
              <c:idx val="8"/>
              <c:layout>
                <c:manualLayout>
                  <c:x val="-0.106280193236715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80C-45ED-B288-A9624878DD3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Hp(10))'!$BD$25:$BD$33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80C-45ED-B288-A9624878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5to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9F3-4C92-8AD3-139C3181DA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9F3-4C92-8AD3-139C3181DA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9F3-4C92-8AD3-139C3181DA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9F3-4C92-8AD3-139C3181DA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9F3-4C92-8AD3-139C3181DAD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9F3-4C92-8AD3-139C3181DAD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9F3-4C92-8AD3-139C3181DAD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9F3-4C92-8AD3-139C3181DAD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9F3-4C92-8AD3-139C3181DADE}"/>
              </c:ext>
            </c:extLst>
          </c:dPt>
          <c:dLbls>
            <c:dLbl>
              <c:idx val="0"/>
              <c:layout>
                <c:manualLayout>
                  <c:x val="0.12318840579710146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F3-4C92-8AD3-139C3181DADE}"/>
                </c:ext>
              </c:extLst>
            </c:dLbl>
            <c:dLbl>
              <c:idx val="1"/>
              <c:layout>
                <c:manualLayout>
                  <c:x val="0.51207729468599039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F3-4C92-8AD3-139C3181DADE}"/>
                </c:ext>
              </c:extLst>
            </c:dLbl>
            <c:dLbl>
              <c:idx val="2"/>
              <c:layout>
                <c:manualLayout>
                  <c:x val="0.40821256038647336"/>
                  <c:y val="-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F3-4C92-8AD3-139C3181DADE}"/>
                </c:ext>
              </c:extLst>
            </c:dLbl>
            <c:dLbl>
              <c:idx val="3"/>
              <c:layout>
                <c:manualLayout>
                  <c:x val="-0.20289855072463769"/>
                  <c:y val="0.233576642335766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9F3-4C92-8AD3-139C3181DADE}"/>
                </c:ext>
              </c:extLst>
            </c:dLbl>
            <c:dLbl>
              <c:idx val="4"/>
              <c:layout>
                <c:manualLayout>
                  <c:x val="-0.1811594202898551"/>
                  <c:y val="0.110300081103000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9F3-4C92-8AD3-139C3181DADE}"/>
                </c:ext>
              </c:extLst>
            </c:dLbl>
            <c:dLbl>
              <c:idx val="5"/>
              <c:layout>
                <c:manualLayout>
                  <c:x val="-0.16666666666666666"/>
                  <c:y val="-1.94647201946472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9F3-4C92-8AD3-139C3181DADE}"/>
                </c:ext>
              </c:extLst>
            </c:dLbl>
            <c:dLbl>
              <c:idx val="6"/>
              <c:layout>
                <c:manualLayout>
                  <c:x val="-0.18840579710144928"/>
                  <c:y val="-0.113544201135442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9F3-4C92-8AD3-139C3181DADE}"/>
                </c:ext>
              </c:extLst>
            </c:dLbl>
            <c:dLbl>
              <c:idx val="7"/>
              <c:layout>
                <c:manualLayout>
                  <c:x val="-0.21014492753623187"/>
                  <c:y val="-0.2465531224655312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9F3-4C92-8AD3-139C3181DADE}"/>
                </c:ext>
              </c:extLst>
            </c:dLbl>
            <c:dLbl>
              <c:idx val="8"/>
              <c:layout>
                <c:manualLayout>
                  <c:x val="-0.13768115942028988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9F3-4C92-8AD3-139C3181DA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Hp(10))'!$BR$25:$BR$33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9F3-4C92-8AD3-139C3181D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6to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2CE-4C38-836E-709B32D169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2CE-4C38-836E-709B32D169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2CE-4C38-836E-709B32D169E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2CE-4C38-836E-709B32D169E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2CE-4C38-836E-709B32D169E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2CE-4C38-836E-709B32D169E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2CE-4C38-836E-709B32D169E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2CE-4C38-836E-709B32D169E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2CE-4C38-836E-709B32D169E8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Hp(10))'!$CF$25:$CF$33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2CE-4C38-836E-709B32D1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7mo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38F-48A1-AE65-8C8777DF27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38F-48A1-AE65-8C8777DF27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38F-48A1-AE65-8C8777DF27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38F-48A1-AE65-8C8777DF275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38F-48A1-AE65-8C8777DF275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38F-48A1-AE65-8C8777DF27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38F-48A1-AE65-8C8777DF275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38F-48A1-AE65-8C8777DF275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38F-48A1-AE65-8C8777DF2757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Hp(10))'!$CT$25:$CT$33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38F-48A1-AE65-8C8777DF2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8vo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07D-4F71-9DA7-8F4127A9E8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07D-4F71-9DA7-8F4127A9E8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07D-4F71-9DA7-8F4127A9E8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07D-4F71-9DA7-8F4127A9E8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07D-4F71-9DA7-8F4127A9E8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07D-4F71-9DA7-8F4127A9E8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07D-4F71-9DA7-8F4127A9E8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07D-4F71-9DA7-8F4127A9E8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07D-4F71-9DA7-8F4127A9E8E7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Hp(10))'!$DH$25:$DH$33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07D-4F71-9DA7-8F4127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B33-4B8F-80A9-C6B3E7A266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B33-4B8F-80A9-C6B3E7A266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B33-4B8F-80A9-C6B3E7A266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B33-4B8F-80A9-C6B3E7A2666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B33-4B8F-80A9-C6B3E7A2666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B33-4B8F-80A9-C6B3E7A2666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B33-4B8F-80A9-C6B3E7A2666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B33-4B8F-80A9-C6B3E7A2666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B33-4B8F-80A9-C6B3E7A26662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B33-4B8F-80A9-C6B3E7A2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Contribución incert. 1er punto de calibración (después</a:t>
            </a:r>
            <a:r>
              <a:rPr lang="en-US" baseline="0"/>
              <a:t> del ajuste)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1er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BAE-4304-87B9-F208ED68A2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BAE-4304-87B9-F208ED68A2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BAE-4304-87B9-F208ED68A2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BAE-4304-87B9-F208ED68A2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BAE-4304-87B9-F208ED68A2E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BAE-4304-87B9-F208ED68A2E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BAE-4304-87B9-F208ED68A2E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BAE-4304-87B9-F208ED68A2E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BAE-4304-87B9-F208ED68A2E1}"/>
              </c:ext>
            </c:extLst>
          </c:dPt>
          <c:dLbls>
            <c:dLbl>
              <c:idx val="0"/>
              <c:layout>
                <c:manualLayout>
                  <c:x val="6.7001675041876041E-2"/>
                  <c:y val="0.3504643293701867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AE-4304-87B9-F208ED68A2E1}"/>
                </c:ext>
              </c:extLst>
            </c:dLbl>
            <c:dLbl>
              <c:idx val="1"/>
              <c:layout>
                <c:manualLayout>
                  <c:x val="0.18983807928531546"/>
                  <c:y val="7.4979605855237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AE-4304-87B9-F208ED68A2E1}"/>
                </c:ext>
              </c:extLst>
            </c:dLbl>
            <c:dLbl>
              <c:idx val="2"/>
              <c:layout>
                <c:manualLayout>
                  <c:x val="6.9398787463124903E-2"/>
                  <c:y val="-0.169559152774091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AE-4304-87B9-F208ED68A2E1}"/>
                </c:ext>
              </c:extLst>
            </c:dLbl>
            <c:dLbl>
              <c:idx val="3"/>
              <c:layout>
                <c:manualLayout>
                  <c:x val="-0.20770519262981574"/>
                  <c:y val="6.19396744021525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AE-4304-87B9-F208ED68A2E1}"/>
                </c:ext>
              </c:extLst>
            </c:dLbl>
            <c:dLbl>
              <c:idx val="4"/>
              <c:layout>
                <c:manualLayout>
                  <c:x val="-0.20993858179787828"/>
                  <c:y val="0.2966584405576777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AE-4304-87B9-F208ED68A2E1}"/>
                </c:ext>
              </c:extLst>
            </c:dLbl>
            <c:dLbl>
              <c:idx val="5"/>
              <c:layout>
                <c:manualLayout>
                  <c:x val="0.57202099737532797"/>
                  <c:y val="0.2245967760566323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529625379742103"/>
                      <c:h val="0.125178208118332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4BAE-4304-87B9-F208ED68A2E1}"/>
                </c:ext>
              </c:extLst>
            </c:dLbl>
            <c:dLbl>
              <c:idx val="6"/>
              <c:layout>
                <c:manualLayout>
                  <c:x val="-0.22333891680625348"/>
                  <c:y val="0.1695191088901015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BAE-4304-87B9-F208ED68A2E1}"/>
                </c:ext>
              </c:extLst>
            </c:dLbl>
            <c:dLbl>
              <c:idx val="7"/>
              <c:layout>
                <c:manualLayout>
                  <c:x val="2.2333891680625349E-3"/>
                  <c:y val="0.316218337737304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5517526389603"/>
                      <c:h val="0.1183573998787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4BAE-4304-87B9-F208ED68A2E1}"/>
                </c:ext>
              </c:extLst>
            </c:dLbl>
            <c:dLbl>
              <c:idx val="8"/>
              <c:layout>
                <c:manualLayout>
                  <c:x val="0.52607147724624881"/>
                  <c:y val="3.34140542738375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648931446383274"/>
                      <c:h val="9.87975026991117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4BAE-4304-87B9-F208ED68A2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Hp(10))'!$N$25:$N$33</c:f>
              <c:numCache>
                <c:formatCode>0.00%</c:formatCode>
                <c:ptCount val="9"/>
                <c:pt idx="0">
                  <c:v>1.2728832554551505E-5</c:v>
                </c:pt>
                <c:pt idx="1">
                  <c:v>2.4976070454436776E-6</c:v>
                </c:pt>
                <c:pt idx="2">
                  <c:v>0</c:v>
                </c:pt>
                <c:pt idx="3">
                  <c:v>0.88040202827390712</c:v>
                </c:pt>
                <c:pt idx="4">
                  <c:v>2.0926540664205097E-5</c:v>
                </c:pt>
                <c:pt idx="5">
                  <c:v>8.8772024824621446E-2</c:v>
                </c:pt>
                <c:pt idx="6">
                  <c:v>2.4455089545935286E-2</c:v>
                </c:pt>
                <c:pt idx="7">
                  <c:v>3.6637966311579324E-6</c:v>
                </c:pt>
                <c:pt idx="8">
                  <c:v>6.3310405786409056E-3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BAE-4304-87B9-F208ED68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6525233340807"/>
          <c:y val="0.49021671441985398"/>
          <c:w val="0.72173694368605934"/>
          <c:h val="0.490223388400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2do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1C5-46C4-A666-475130E743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1C5-46C4-A666-475130E743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1C5-46C4-A666-475130E743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1C5-46C4-A666-475130E7435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1C5-46C4-A666-475130E7435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1C5-46C4-A666-475130E7435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1C5-46C4-A666-475130E7435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1C5-46C4-A666-475130E7435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1C5-46C4-A666-475130E74353}"/>
              </c:ext>
            </c:extLst>
          </c:dPt>
          <c:dLbls>
            <c:dLbl>
              <c:idx val="0"/>
              <c:layout>
                <c:manualLayout>
                  <c:x val="0.11467116357504233"/>
                  <c:y val="-5.51500405515004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C5-46C4-A666-475130E74353}"/>
                </c:ext>
              </c:extLst>
            </c:dLbl>
            <c:dLbl>
              <c:idx val="1"/>
              <c:layout>
                <c:manualLayout>
                  <c:x val="0.10342889263631254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C5-46C4-A666-475130E74353}"/>
                </c:ext>
              </c:extLst>
            </c:dLbl>
            <c:dLbl>
              <c:idx val="2"/>
              <c:layout>
                <c:manualLayout>
                  <c:x val="0.40022484541877468"/>
                  <c:y val="-3.8929440389294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1C5-46C4-A666-475130E74353}"/>
                </c:ext>
              </c:extLst>
            </c:dLbl>
            <c:dLbl>
              <c:idx val="3"/>
              <c:layout>
                <c:manualLayout>
                  <c:x val="-0.12816188870151771"/>
                  <c:y val="0.330900243309002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C5-46C4-A666-475130E74353}"/>
                </c:ext>
              </c:extLst>
            </c:dLbl>
            <c:dLbl>
              <c:idx val="4"/>
              <c:layout>
                <c:manualLayout>
                  <c:x val="-0.13715570545250141"/>
                  <c:y val="0.1849148418491484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1C5-46C4-A666-475130E74353}"/>
                </c:ext>
              </c:extLst>
            </c:dLbl>
            <c:dLbl>
              <c:idx val="5"/>
              <c:layout>
                <c:manualLayout>
                  <c:x val="-0.12816188870151771"/>
                  <c:y val="5.190592051905914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1C5-46C4-A666-475130E74353}"/>
                </c:ext>
              </c:extLst>
            </c:dLbl>
            <c:dLbl>
              <c:idx val="6"/>
              <c:layout>
                <c:manualLayout>
                  <c:x val="-0.12366498032602585"/>
                  <c:y val="-5.190592051905923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1C5-46C4-A666-475130E74353}"/>
                </c:ext>
              </c:extLst>
            </c:dLbl>
            <c:dLbl>
              <c:idx val="7"/>
              <c:layout>
                <c:manualLayout>
                  <c:x val="-0.12141652613827993"/>
                  <c:y val="-0.165450121654501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1C5-46C4-A666-475130E74353}"/>
                </c:ext>
              </c:extLst>
            </c:dLbl>
            <c:dLbl>
              <c:idx val="8"/>
              <c:layout>
                <c:manualLayout>
                  <c:x val="-0.18437324339516584"/>
                  <c:y val="-0.107055961070559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1C5-46C4-A666-475130E7435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Hp(10))'!$AB$25:$AB$33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1C5-46C4-A666-475130E74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3er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10B-4F4C-AD26-E61FC4EEB9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10B-4F4C-AD26-E61FC4EEB9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10B-4F4C-AD26-E61FC4EEB9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10B-4F4C-AD26-E61FC4EEB9C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10B-4F4C-AD26-E61FC4EEB9C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10B-4F4C-AD26-E61FC4EEB9C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10B-4F4C-AD26-E61FC4EEB9C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10B-4F4C-AD26-E61FC4EEB9C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10B-4F4C-AD26-E61FC4EEB9CF}"/>
              </c:ext>
            </c:extLst>
          </c:dPt>
          <c:dLbls>
            <c:dLbl>
              <c:idx val="0"/>
              <c:layout>
                <c:manualLayout>
                  <c:x val="5.7657657657657568E-2"/>
                  <c:y val="-4.54176804541768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0B-4F4C-AD26-E61FC4EEB9CF}"/>
                </c:ext>
              </c:extLst>
            </c:dLbl>
            <c:dLbl>
              <c:idx val="1"/>
              <c:layout>
                <c:manualLayout>
                  <c:x val="0.4756756756756757"/>
                  <c:y val="-9.73236009732360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0B-4F4C-AD26-E61FC4EEB9CF}"/>
                </c:ext>
              </c:extLst>
            </c:dLbl>
            <c:dLbl>
              <c:idx val="2"/>
              <c:layout>
                <c:manualLayout>
                  <c:x val="0.34834834834834832"/>
                  <c:y val="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0B-4F4C-AD26-E61FC4EEB9CF}"/>
                </c:ext>
              </c:extLst>
            </c:dLbl>
            <c:dLbl>
              <c:idx val="3"/>
              <c:layout>
                <c:manualLayout>
                  <c:x val="-0.19219219219219219"/>
                  <c:y val="0.266017842660178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0B-4F4C-AD26-E61FC4EEB9CF}"/>
                </c:ext>
              </c:extLst>
            </c:dLbl>
            <c:dLbl>
              <c:idx val="4"/>
              <c:layout>
                <c:manualLayout>
                  <c:x val="-0.17297297297297298"/>
                  <c:y val="0.139497161394971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10B-4F4C-AD26-E61FC4EEB9CF}"/>
                </c:ext>
              </c:extLst>
            </c:dLbl>
            <c:dLbl>
              <c:idx val="5"/>
              <c:layout>
                <c:manualLayout>
                  <c:x val="-0.12252252252252252"/>
                  <c:y val="9.732360097323542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10B-4F4C-AD26-E61FC4EEB9CF}"/>
                </c:ext>
              </c:extLst>
            </c:dLbl>
            <c:dLbl>
              <c:idx val="6"/>
              <c:layout>
                <c:manualLayout>
                  <c:x val="-0.14414414414414414"/>
                  <c:y val="-8.75912408759124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10B-4F4C-AD26-E61FC4EEB9CF}"/>
                </c:ext>
              </c:extLst>
            </c:dLbl>
            <c:dLbl>
              <c:idx val="7"/>
              <c:layout>
                <c:manualLayout>
                  <c:x val="-0.18498498498498497"/>
                  <c:y val="-0.2076236820762368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10B-4F4C-AD26-E61FC4EEB9CF}"/>
                </c:ext>
              </c:extLst>
            </c:dLbl>
            <c:dLbl>
              <c:idx val="8"/>
              <c:layout>
                <c:manualLayout>
                  <c:x val="-0.11531531531531532"/>
                  <c:y val="-8.75912408759124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10B-4F4C-AD26-E61FC4EEB9C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Hp(10))'!$AP$25:$AP$33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10B-4F4C-AD26-E61FC4EEB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4to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2B6-4752-8E0C-FA6C2ADB34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2B6-4752-8E0C-FA6C2ADB34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2B6-4752-8E0C-FA6C2ADB348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2B6-4752-8E0C-FA6C2ADB348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2B6-4752-8E0C-FA6C2ADB348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2B6-4752-8E0C-FA6C2ADB348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2B6-4752-8E0C-FA6C2ADB348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2B6-4752-8E0C-FA6C2ADB348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2B6-4752-8E0C-FA6C2ADB3484}"/>
              </c:ext>
            </c:extLst>
          </c:dPt>
          <c:dLbls>
            <c:dLbl>
              <c:idx val="0"/>
              <c:layout>
                <c:manualLayout>
                  <c:x val="0.10386473429951681"/>
                  <c:y val="-0.1297648012976480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B6-4752-8E0C-FA6C2ADB3484}"/>
                </c:ext>
              </c:extLst>
            </c:dLbl>
            <c:dLbl>
              <c:idx val="1"/>
              <c:layout>
                <c:manualLayout>
                  <c:x val="0.29951690821256038"/>
                  <c:y val="-1.94647201946472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B6-4752-8E0C-FA6C2ADB3484}"/>
                </c:ext>
              </c:extLst>
            </c:dLbl>
            <c:dLbl>
              <c:idx val="2"/>
              <c:layout>
                <c:manualLayout>
                  <c:x val="-0.21256038647342995"/>
                  <c:y val="0.460665044606650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B6-4752-8E0C-FA6C2ADB3484}"/>
                </c:ext>
              </c:extLst>
            </c:dLbl>
            <c:dLbl>
              <c:idx val="3"/>
              <c:layout>
                <c:manualLayout>
                  <c:x val="-0.18115942028985507"/>
                  <c:y val="0.3341443633414436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B6-4752-8E0C-FA6C2ADB3484}"/>
                </c:ext>
              </c:extLst>
            </c:dLbl>
            <c:dLbl>
              <c:idx val="4"/>
              <c:layout>
                <c:manualLayout>
                  <c:x val="-0.15458937198067632"/>
                  <c:y val="0.188158961881589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2B6-4752-8E0C-FA6C2ADB3484}"/>
                </c:ext>
              </c:extLst>
            </c:dLbl>
            <c:dLbl>
              <c:idx val="5"/>
              <c:layout>
                <c:manualLayout>
                  <c:x val="-0.14975845410628019"/>
                  <c:y val="3.244120032441194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B6-4752-8E0C-FA6C2ADB3484}"/>
                </c:ext>
              </c:extLst>
            </c:dLbl>
            <c:dLbl>
              <c:idx val="6"/>
              <c:layout>
                <c:manualLayout>
                  <c:x val="-0.14251207729468598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2B6-4752-8E0C-FA6C2ADB3484}"/>
                </c:ext>
              </c:extLst>
            </c:dLbl>
            <c:dLbl>
              <c:idx val="7"/>
              <c:layout>
                <c:manualLayout>
                  <c:x val="-0.15217391304347827"/>
                  <c:y val="-0.191403081914030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2B6-4752-8E0C-FA6C2ADB3484}"/>
                </c:ext>
              </c:extLst>
            </c:dLbl>
            <c:dLbl>
              <c:idx val="8"/>
              <c:layout>
                <c:manualLayout>
                  <c:x val="-0.106280193236715"/>
                  <c:y val="-6.812652068126520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2B6-4752-8E0C-FA6C2ADB34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Hp(10))'!$BD$25:$BD$33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2B6-4752-8E0C-FA6C2ADB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5to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0D1-4769-95C3-B3C1EEE7F8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0D1-4769-95C3-B3C1EEE7F8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0D1-4769-95C3-B3C1EEE7F8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0D1-4769-95C3-B3C1EEE7F8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0D1-4769-95C3-B3C1EEE7F8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0D1-4769-95C3-B3C1EEE7F8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0D1-4769-95C3-B3C1EEE7F8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0D1-4769-95C3-B3C1EEE7F8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0D1-4769-95C3-B3C1EEE7F8B6}"/>
              </c:ext>
            </c:extLst>
          </c:dPt>
          <c:dLbls>
            <c:dLbl>
              <c:idx val="0"/>
              <c:layout>
                <c:manualLayout>
                  <c:x val="0.12318840579710146"/>
                  <c:y val="-0.142741281427412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D1-4769-95C3-B3C1EEE7F8B6}"/>
                </c:ext>
              </c:extLst>
            </c:dLbl>
            <c:dLbl>
              <c:idx val="1"/>
              <c:layout>
                <c:manualLayout>
                  <c:x val="0.51207729468599039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D1-4769-95C3-B3C1EEE7F8B6}"/>
                </c:ext>
              </c:extLst>
            </c:dLbl>
            <c:dLbl>
              <c:idx val="2"/>
              <c:layout>
                <c:manualLayout>
                  <c:x val="0.40821256038647336"/>
                  <c:y val="-6.4882400648824008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D1-4769-95C3-B3C1EEE7F8B6}"/>
                </c:ext>
              </c:extLst>
            </c:dLbl>
            <c:dLbl>
              <c:idx val="3"/>
              <c:layout>
                <c:manualLayout>
                  <c:x val="-0.20289855072463769"/>
                  <c:y val="0.2335766423357664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D1-4769-95C3-B3C1EEE7F8B6}"/>
                </c:ext>
              </c:extLst>
            </c:dLbl>
            <c:dLbl>
              <c:idx val="4"/>
              <c:layout>
                <c:manualLayout>
                  <c:x val="-0.1811594202898551"/>
                  <c:y val="0.110300081103000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D1-4769-95C3-B3C1EEE7F8B6}"/>
                </c:ext>
              </c:extLst>
            </c:dLbl>
            <c:dLbl>
              <c:idx val="5"/>
              <c:layout>
                <c:manualLayout>
                  <c:x val="-0.16666666666666666"/>
                  <c:y val="-1.94647201946472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0D1-4769-95C3-B3C1EEE7F8B6}"/>
                </c:ext>
              </c:extLst>
            </c:dLbl>
            <c:dLbl>
              <c:idx val="6"/>
              <c:layout>
                <c:manualLayout>
                  <c:x val="-0.18840579710144928"/>
                  <c:y val="-0.1135442011354420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0D1-4769-95C3-B3C1EEE7F8B6}"/>
                </c:ext>
              </c:extLst>
            </c:dLbl>
            <c:dLbl>
              <c:idx val="7"/>
              <c:layout>
                <c:manualLayout>
                  <c:x val="-0.21014492753623187"/>
                  <c:y val="-0.2465531224655312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0D1-4769-95C3-B3C1EEE7F8B6}"/>
                </c:ext>
              </c:extLst>
            </c:dLbl>
            <c:dLbl>
              <c:idx val="8"/>
              <c:layout>
                <c:manualLayout>
                  <c:x val="-0.13768115942028988"/>
                  <c:y val="-0.133008921330089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0D1-4769-95C3-B3C1EEE7F8B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Hp(10))'!$BR$25:$BR$33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0D1-4769-95C3-B3C1EEE7F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6to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E12-4198-BE89-CAEB5B4B9C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E12-4198-BE89-CAEB5B4B9C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E12-4198-BE89-CAEB5B4B9C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E12-4198-BE89-CAEB5B4B9CE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E12-4198-BE89-CAEB5B4B9CE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E12-4198-BE89-CAEB5B4B9CE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E12-4198-BE89-CAEB5B4B9CE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E12-4198-BE89-CAEB5B4B9CE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E12-4198-BE89-CAEB5B4B9CE3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Hp(10))'!$CF$25:$CF$33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12-4198-BE89-CAEB5B4B9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7mo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F24-4549-8886-4BA175CD73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F24-4549-8886-4BA175CD73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F24-4549-8886-4BA175CD73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F24-4549-8886-4BA175CD73A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F24-4549-8886-4BA175CD73A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F24-4549-8886-4BA175CD73A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F24-4549-8886-4BA175CD73A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F24-4549-8886-4BA175CD73A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F24-4549-8886-4BA175CD73A9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Hp(10))'!$CT$25:$CT$33</c:f>
              <c:numCache>
                <c:formatCode>0.0000%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F24-4549-8886-4BA175CD7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8vo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349-415E-86DD-4A3F7928A7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349-415E-86DD-4A3F7928A7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349-415E-86DD-4A3F7928A7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349-415E-86DD-4A3F7928A7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349-415E-86DD-4A3F7928A7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349-415E-86DD-4A3F7928A75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349-415E-86DD-4A3F7928A75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349-415E-86DD-4A3F7928A75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349-415E-86DD-4A3F7928A75F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Hp(10))'!$DH$25:$DH$33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349-415E-86DD-4A3F7928A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D19-4550-B23D-FAE43C6A8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D19-4550-B23D-FAE43C6A8D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D19-4550-B23D-FAE43C6A8D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D19-4550-B23D-FAE43C6A8D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D19-4550-B23D-FAE43C6A8DE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D19-4550-B23D-FAE43C6A8DE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D19-4550-B23D-FAE43C6A8DE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D19-4550-B23D-FAE43C6A8DE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D19-4550-B23D-FAE43C6A8DE1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D19-4550-B23D-FAE43C6A8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694-4C39-8456-02C4098E29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694-4C39-8456-02C4098E29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694-4C39-8456-02C4098E29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694-4C39-8456-02C4098E29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694-4C39-8456-02C4098E29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694-4C39-8456-02C4098E29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694-4C39-8456-02C4098E29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694-4C39-8456-02C4098E29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694-4C39-8456-02C4098E294E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694-4C39-8456-02C4098E2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CF9-4296-89EB-1D153C1BCB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CF9-4296-89EB-1D153C1BCB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CF9-4296-89EB-1D153C1BCB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CF9-4296-89EB-1D153C1BCB9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CF9-4296-89EB-1D153C1BCB9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CF9-4296-89EB-1D153C1BCB9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CF9-4296-89EB-1D153C1BCB9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CF9-4296-89EB-1D153C1BCB9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CF9-4296-89EB-1D153C1BCB9C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CF9-4296-89EB-1D153C1BC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C81-465E-8EFB-B5511BB6D1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C81-465E-8EFB-B5511BB6D1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C81-465E-8EFB-B5511BB6D1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C81-465E-8EFB-B5511BB6D18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C81-465E-8EFB-B5511BB6D18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C81-465E-8EFB-B5511BB6D18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C81-465E-8EFB-B5511BB6D18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C81-465E-8EFB-B5511BB6D18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C81-465E-8EFB-B5511BB6D18C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C81-465E-8EFB-B5511BB6D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5AF-4679-9D45-ADA83B1DFB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5AF-4679-9D45-ADA83B1DFB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5AF-4679-9D45-ADA83B1DFB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5AF-4679-9D45-ADA83B1DFB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5AF-4679-9D45-ADA83B1DFB9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5AF-4679-9D45-ADA83B1DFB9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5AF-4679-9D45-ADA83B1DFB9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5AF-4679-9D45-ADA83B1DFB9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5AF-4679-9D45-ADA83B1DFB95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5AF-4679-9D45-ADA83B1DF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(antes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60-411B-90DE-F2C2F20FFB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60-411B-90DE-F2C2F20FFB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60-411B-90DE-F2C2F20FFB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60-411B-90DE-F2C2F20FFB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60-411B-90DE-F2C2F20FFB8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60-411B-90DE-F2C2F20FFB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60-411B-90DE-F2C2F20FFB8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60-411B-90DE-F2C2F20FFB8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60-411B-90DE-F2C2F20FFB85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60-411B-90DE-F2C2F20FF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Contribución incert. 9no punto de calibración (después del ajuste)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3E8-4259-8F8F-6351C9F98F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3E8-4259-8F8F-6351C9F98F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3E8-4259-8F8F-6351C9F98F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3E8-4259-8F8F-6351C9F98F6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3E8-4259-8F8F-6351C9F98F6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3E8-4259-8F8F-6351C9F98F6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3E8-4259-8F8F-6351C9F98F6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3E8-4259-8F8F-6351C9F98F6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3E8-4259-8F8F-6351C9F98F6A}"/>
              </c:ext>
            </c:extLst>
          </c:dPt>
          <c:cat>
            <c:strRef>
              <c:f>'Incert. Cal. Mon. (Pers Hp(10))'!$B$25:$F$33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Repetibilidad de las mediciones</c:v>
                </c:pt>
                <c:pt idx="3">
                  <c:v>Posicionamiento longitudinal de la distancia fuente - C.I.</c:v>
                </c:pt>
                <c:pt idx="4">
                  <c:v>Posición de la fuente en el irradiador</c:v>
                </c:pt>
                <c:pt idx="5">
                  <c:v>Incertidumbre de calibración de la cinta métrica</c:v>
                </c:pt>
                <c:pt idx="6">
                  <c:v>Resolución de la cinta métrica</c:v>
                </c:pt>
                <c:pt idx="7">
                  <c:v>Resolución del monitor de radiación</c:v>
                </c:pt>
                <c:pt idx="8">
                  <c:v>Coeficiente de conversión</c:v>
                </c:pt>
              </c:strCache>
            </c:strRef>
          </c:cat>
          <c:val>
            <c:numRef>
              <c:f>'Incert. Cal. Mon. (Pers Hp(10))'!$DV$25:$DV$33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E8-4259-8F8F-6351C9F98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D11-4C1F-B8CB-F1F27064FB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D11-4C1F-B8CB-F1F27064FB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D11-4C1F-B8CB-F1F27064FB4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D11-4C1F-B8CB-F1F27064FB4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D11-4C1F-B8CB-F1F27064FB4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D11-4C1F-B8CB-F1F27064FB4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8A1-4A1E-9DE5-ADC6F03DCD5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8A1-4A1E-9DE5-ADC6F03DCD5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8A1-4A1E-9DE5-ADC6F03DCD5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8A1-4A1E-9DE5-ADC6F03DCD5D}"/>
              </c:ext>
            </c:extLst>
          </c:dPt>
          <c:dLbls>
            <c:dLbl>
              <c:idx val="0"/>
              <c:layout>
                <c:manualLayout>
                  <c:x val="-0.11354417213143235"/>
                  <c:y val="-0.154738815297698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11-4C1F-B8CB-F1F27064FB4F}"/>
                </c:ext>
              </c:extLst>
            </c:dLbl>
            <c:dLbl>
              <c:idx val="1"/>
              <c:layout>
                <c:manualLayout>
                  <c:x val="-6.1638264871349081E-2"/>
                  <c:y val="-0.3017406898305122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11-4C1F-B8CB-F1F27064FB4F}"/>
                </c:ext>
              </c:extLst>
            </c:dLbl>
            <c:dLbl>
              <c:idx val="2"/>
              <c:layout>
                <c:manualLayout>
                  <c:x val="-0.20924568864221102"/>
                  <c:y val="0.2682139465160109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11-4C1F-B8CB-F1F27064FB4F}"/>
                </c:ext>
              </c:extLst>
            </c:dLbl>
            <c:dLbl>
              <c:idx val="7"/>
              <c:layout>
                <c:manualLayout>
                  <c:x val="1.4598536416898438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8A1-4A1E-9DE5-ADC6F03DCD5D}"/>
                </c:ext>
              </c:extLst>
            </c:dLbl>
            <c:dLbl>
              <c:idx val="8"/>
              <c:layout>
                <c:manualLayout>
                  <c:x val="-0.20762362904033341"/>
                  <c:y val="-3.094776305953974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8A1-4A1E-9DE5-ADC6F03DCD5D}"/>
                </c:ext>
              </c:extLst>
            </c:dLbl>
            <c:dLbl>
              <c:idx val="9"/>
              <c:layout>
                <c:manualLayout>
                  <c:x val="-2.1086774824408884E-2"/>
                  <c:y val="-0.118633091728235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8A1-4A1E-9DE5-ADC6F03DCD5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Irrad. Dosímetros pers'!$B$19:$F$28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</c:strCache>
            </c:strRef>
          </c:cat>
          <c:val>
            <c:numRef>
              <c:f>'Incert. Irrad. Dosímetros pers'!$S$19:$S$28</c:f>
              <c:numCache>
                <c:formatCode>0.00</c:formatCode>
                <c:ptCount val="10"/>
                <c:pt idx="0">
                  <c:v>15.29453541910922</c:v>
                </c:pt>
                <c:pt idx="1">
                  <c:v>4.8230136833165442</c:v>
                </c:pt>
                <c:pt idx="2">
                  <c:v>4.6813973097770923E-3</c:v>
                </c:pt>
                <c:pt idx="3">
                  <c:v>0.57054247963833404</c:v>
                </c:pt>
                <c:pt idx="4">
                  <c:v>0.25144624694875761</c:v>
                </c:pt>
                <c:pt idx="5">
                  <c:v>5.7529251875014696E-2</c:v>
                </c:pt>
                <c:pt idx="6">
                  <c:v>6.3393101701209778E-2</c:v>
                </c:pt>
                <c:pt idx="7">
                  <c:v>76.071645969776725</c:v>
                </c:pt>
                <c:pt idx="8">
                  <c:v>2.8191630280117419</c:v>
                </c:pt>
                <c:pt idx="9">
                  <c:v>4.4049422312683467E-2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D11-4C1F-B8CB-F1F27064FB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918-4967-8F1A-A559BB5038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918-4967-8F1A-A559BB5038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918-4967-8F1A-A559BB5038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918-4967-8F1A-A559BB5038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918-4967-8F1A-A559BB5038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918-4967-8F1A-A559BB50385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918-4967-8F1A-A559BB50385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918-4967-8F1A-A559BB50385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918-4967-8F1A-A559BB503859}"/>
              </c:ext>
            </c:extLst>
          </c:dPt>
          <c:dLbls>
            <c:dLbl>
              <c:idx val="0"/>
              <c:layout>
                <c:manualLayout>
                  <c:x val="-0.11354417213143235"/>
                  <c:y val="-0.154738815297698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918-4967-8F1A-A559BB503859}"/>
                </c:ext>
              </c:extLst>
            </c:dLbl>
            <c:dLbl>
              <c:idx val="1"/>
              <c:layout>
                <c:manualLayout>
                  <c:x val="-6.1638264871349081E-2"/>
                  <c:y val="-0.3017406898305122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18-4967-8F1A-A559BB503859}"/>
                </c:ext>
              </c:extLst>
            </c:dLbl>
            <c:dLbl>
              <c:idx val="2"/>
              <c:layout>
                <c:manualLayout>
                  <c:x val="-0.20924568864221102"/>
                  <c:y val="0.2682139465160109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18-4967-8F1A-A559BB503859}"/>
                </c:ext>
              </c:extLst>
            </c:dLbl>
            <c:dLbl>
              <c:idx val="7"/>
              <c:layout>
                <c:manualLayout>
                  <c:x val="-0.20762362904033341"/>
                  <c:y val="-3.094776305953974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918-4967-8F1A-A559BB503859}"/>
                </c:ext>
              </c:extLst>
            </c:dLbl>
            <c:dLbl>
              <c:idx val="8"/>
              <c:layout>
                <c:manualLayout>
                  <c:x val="-2.1086774824408884E-2"/>
                  <c:y val="-0.118633091728235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918-4967-8F1A-A559BB50385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Irrad. Dosímetros D(10)'!$B$19:$F$27</c:f>
              <c:strCache>
                <c:ptCount val="9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Calibración del cronómetro</c:v>
                </c:pt>
                <c:pt idx="8">
                  <c:v>Resolución del cronómetro</c:v>
                </c:pt>
              </c:strCache>
            </c:strRef>
          </c:cat>
          <c:val>
            <c:numRef>
              <c:f>'Incert. Irrad. Dosímetros D(10)'!$S$19:$S$27</c:f>
              <c:numCache>
                <c:formatCode>0.00</c:formatCode>
                <c:ptCount val="9"/>
                <c:pt idx="0">
                  <c:v>71.516060079231764</c:v>
                </c:pt>
                <c:pt idx="1">
                  <c:v>22.552037501451071</c:v>
                </c:pt>
                <c:pt idx="2">
                  <c:v>3.0138468892579508E-2</c:v>
                </c:pt>
                <c:pt idx="3">
                  <c:v>2.6678123351552832</c:v>
                </c:pt>
                <c:pt idx="4">
                  <c:v>1.1757431272490408</c:v>
                </c:pt>
                <c:pt idx="5">
                  <c:v>6.7139661059362074E-2</c:v>
                </c:pt>
                <c:pt idx="6">
                  <c:v>7.3994189088649964E-2</c:v>
                </c:pt>
                <c:pt idx="7">
                  <c:v>1.9170462791994942</c:v>
                </c:pt>
                <c:pt idx="8">
                  <c:v>2.8358672769223291E-5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918-4967-8F1A-A559BB50385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D77-40A3-AD2F-40005C5AB7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D77-40A3-AD2F-40005C5AB7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D77-40A3-AD2F-40005C5AB72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D77-40A3-AD2F-40005C5AB72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D77-40A3-AD2F-40005C5AB72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D77-40A3-AD2F-40005C5AB72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D77-40A3-AD2F-40005C5AB72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D77-40A3-AD2F-40005C5AB72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D77-40A3-AD2F-40005C5AB72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D77-40A3-AD2F-40005C5AB729}"/>
              </c:ext>
            </c:extLst>
          </c:dPt>
          <c:dLbls>
            <c:dLbl>
              <c:idx val="0"/>
              <c:layout>
                <c:manualLayout>
                  <c:x val="-0.11354417213143235"/>
                  <c:y val="-0.154738815297698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77-40A3-AD2F-40005C5AB729}"/>
                </c:ext>
              </c:extLst>
            </c:dLbl>
            <c:dLbl>
              <c:idx val="1"/>
              <c:layout>
                <c:manualLayout>
                  <c:x val="-6.1638264871349081E-2"/>
                  <c:y val="-0.3017406898305122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77-40A3-AD2F-40005C5AB729}"/>
                </c:ext>
              </c:extLst>
            </c:dLbl>
            <c:dLbl>
              <c:idx val="2"/>
              <c:layout>
                <c:manualLayout>
                  <c:x val="-0.20924568864221102"/>
                  <c:y val="0.2682139465160109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77-40A3-AD2F-40005C5AB729}"/>
                </c:ext>
              </c:extLst>
            </c:dLbl>
            <c:dLbl>
              <c:idx val="7"/>
              <c:layout>
                <c:manualLayout>
                  <c:x val="-0.20762362904033341"/>
                  <c:y val="-3.094776305953974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D77-40A3-AD2F-40005C5AB729}"/>
                </c:ext>
              </c:extLst>
            </c:dLbl>
            <c:dLbl>
              <c:idx val="9"/>
              <c:layout>
                <c:manualLayout>
                  <c:x val="-2.1086774824408884E-2"/>
                  <c:y val="-0.118633091728235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D77-40A3-AD2F-40005C5AB7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D(10)'!$B$19:$F$28</c:f>
              <c:strCache>
                <c:ptCount val="10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Calibración del cronómetro</c:v>
                </c:pt>
                <c:pt idx="8">
                  <c:v>Resolución del cronómetro</c:v>
                </c:pt>
                <c:pt idx="9">
                  <c:v>Resolución del dosímetro</c:v>
                </c:pt>
              </c:strCache>
            </c:strRef>
          </c:cat>
          <c:val>
            <c:numRef>
              <c:f>'Incert. Cal. Dosímetros D(10)'!$S$19:$S$28</c:f>
              <c:numCache>
                <c:formatCode>0.00</c:formatCode>
                <c:ptCount val="10"/>
                <c:pt idx="0">
                  <c:v>71.516057245076396</c:v>
                </c:pt>
                <c:pt idx="1">
                  <c:v>22.552036607722055</c:v>
                </c:pt>
                <c:pt idx="2">
                  <c:v>3.013846769820298E-2</c:v>
                </c:pt>
                <c:pt idx="3">
                  <c:v>2.6678122294308539</c:v>
                </c:pt>
                <c:pt idx="4">
                  <c:v>1.1757430806547697</c:v>
                </c:pt>
                <c:pt idx="5">
                  <c:v>6.7139658398641805E-2</c:v>
                </c:pt>
                <c:pt idx="6">
                  <c:v>7.3994186156287264E-2</c:v>
                </c:pt>
                <c:pt idx="7">
                  <c:v>1.9170462032276496</c:v>
                </c:pt>
                <c:pt idx="8">
                  <c:v>2.8358671645379438E-5</c:v>
                </c:pt>
                <c:pt idx="9">
                  <c:v>3.962963508305514E-6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D77-40A3-AD2F-40005C5AB72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97D-4F74-AD21-20883EFA7C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97D-4F74-AD21-20883EFA7C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97D-4F74-AD21-20883EFA7C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97D-4F74-AD21-20883EFA7C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97D-4F74-AD21-20883EFA7CB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97D-4F74-AD21-20883EFA7CB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97D-4F74-AD21-20883EFA7CB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97D-4F74-AD21-20883EFA7CB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97D-4F74-AD21-20883EFA7CB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97D-4F74-AD21-20883EFA7CB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997D-4F74-AD21-20883EFA7CBA}"/>
              </c:ext>
            </c:extLst>
          </c:dPt>
          <c:dLbls>
            <c:dLbl>
              <c:idx val="0"/>
              <c:layout>
                <c:manualLayout>
                  <c:x val="-0.11354417213143235"/>
                  <c:y val="-0.154738815297698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7D-4F74-AD21-20883EFA7CBA}"/>
                </c:ext>
              </c:extLst>
            </c:dLbl>
            <c:dLbl>
              <c:idx val="1"/>
              <c:layout>
                <c:manualLayout>
                  <c:x val="-6.1638264871349081E-2"/>
                  <c:y val="-0.3017406898305122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7D-4F74-AD21-20883EFA7CBA}"/>
                </c:ext>
              </c:extLst>
            </c:dLbl>
            <c:dLbl>
              <c:idx val="2"/>
              <c:layout>
                <c:manualLayout>
                  <c:x val="-0.20924568864221102"/>
                  <c:y val="0.2682139465160109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7D-4F74-AD21-20883EFA7CBA}"/>
                </c:ext>
              </c:extLst>
            </c:dLbl>
            <c:dLbl>
              <c:idx val="7"/>
              <c:layout>
                <c:manualLayout>
                  <c:x val="1.4598536416898438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97D-4F74-AD21-20883EFA7CBA}"/>
                </c:ext>
              </c:extLst>
            </c:dLbl>
            <c:dLbl>
              <c:idx val="8"/>
              <c:layout>
                <c:manualLayout>
                  <c:x val="-0.20762362904033341"/>
                  <c:y val="-3.094776305953974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7D-4F74-AD21-20883EFA7CBA}"/>
                </c:ext>
              </c:extLst>
            </c:dLbl>
            <c:dLbl>
              <c:idx val="10"/>
              <c:layout>
                <c:manualLayout>
                  <c:x val="-2.1086774824408884E-2"/>
                  <c:y val="-0.1186330917282355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97D-4F74-AD21-20883EFA7CB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pers'!$S$19:$S$29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5.7883784707396368E-3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97D-4F74-AD21-20883EFA7CB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0E1-439C-B10E-C862D80D8F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0E1-439C-B10E-C862D80D8F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0E1-439C-B10E-C862D80D8F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0E1-439C-B10E-C862D80D8F2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0E1-439C-B10E-C862D80D8F2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0E1-439C-B10E-C862D80D8F2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0E1-439C-B10E-C862D80D8F2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0E1-439C-B10E-C862D80D8F2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0E1-439C-B10E-C862D80D8F2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F0E1-439C-B10E-C862D80D8F2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F0E1-439C-B10E-C862D80D8F2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pers'!$AD$19:$AD$29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0E1-439C-B10E-C862D80D8F2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96-459D-BE20-E455320853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96-459D-BE20-E455320853E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496-459D-BE20-E455320853E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496-459D-BE20-E455320853E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496-459D-BE20-E455320853E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496-459D-BE20-E455320853E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496-459D-BE20-E455320853E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496-459D-BE20-E455320853E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496-459D-BE20-E455320853E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5496-459D-BE20-E455320853E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5496-459D-BE20-E455320853E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pers'!$AO$19:$AO$29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496-459D-BE20-E455320853E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D5C-4387-9252-0D0E12F691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D5C-4387-9252-0D0E12F691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D5C-4387-9252-0D0E12F691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D5C-4387-9252-0D0E12F6912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D5C-4387-9252-0D0E12F6912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D5C-4387-9252-0D0E12F6912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D5C-4387-9252-0D0E12F6912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D5C-4387-9252-0D0E12F6912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D5C-4387-9252-0D0E12F6912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0D5C-4387-9252-0D0E12F6912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0D5C-4387-9252-0D0E12F6912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pers'!$AZ$19:$AZ$29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D5C-4387-9252-0D0E12F691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286-4CC9-B8D3-709F32A758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286-4CC9-B8D3-709F32A758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286-4CC9-B8D3-709F32A758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286-4CC9-B8D3-709F32A758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286-4CC9-B8D3-709F32A758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286-4CC9-B8D3-709F32A758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286-4CC9-B8D3-709F32A758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286-4CC9-B8D3-709F32A758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286-4CC9-B8D3-709F32A7582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286-4CC9-B8D3-709F32A7582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286-4CC9-B8D3-709F32A75827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pers'!$BK$19:$BK$29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286-4CC9-B8D3-709F32A7582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E63-44F0-840C-EC07593623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E63-44F0-840C-EC07593623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E63-44F0-840C-EC07593623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E63-44F0-840C-EC07593623C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E63-44F0-840C-EC07593623C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E63-44F0-840C-EC07593623C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E63-44F0-840C-EC07593623C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E63-44F0-840C-EC07593623C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E63-44F0-840C-EC07593623C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E63-44F0-840C-EC07593623C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E63-44F0-840C-EC07593623C1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pers'!$BV$19:$BV$29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E63-44F0-840C-EC07593623C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D83-4404-955F-52C5F2B4A6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D83-4404-955F-52C5F2B4A6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D83-4404-955F-52C5F2B4A6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D83-4404-955F-52C5F2B4A6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D83-4404-955F-52C5F2B4A6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D83-4404-955F-52C5F2B4A6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D83-4404-955F-52C5F2B4A6D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D83-4404-955F-52C5F2B4A6D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D83-4404-955F-52C5F2B4A6D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D83-4404-955F-52C5F2B4A6D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6D83-4404-955F-52C5F2B4A6D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pers'!$CG$19:$CG$29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D83-4404-955F-52C5F2B4A6D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31C-4678-8AF4-34DD6A803E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31C-4678-8AF4-34DD6A803E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31C-4678-8AF4-34DD6A803E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31C-4678-8AF4-34DD6A803E8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31C-4678-8AF4-34DD6A803E8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31C-4678-8AF4-34DD6A803E8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31C-4678-8AF4-34DD6A803E8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31C-4678-8AF4-34DD6A803E8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31C-4678-8AF4-34DD6A803E8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731C-4678-8AF4-34DD6A803E8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731C-4678-8AF4-34DD6A803E8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pers'!$CR$19:$CR$29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31C-4678-8AF4-34DD6A803E8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F6D-4379-856A-E94795E7E0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F6D-4379-856A-E94795E7E0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F6D-4379-856A-E94795E7E0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F6D-4379-856A-E94795E7E0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F6D-4379-856A-E94795E7E0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F6D-4379-856A-E94795E7E01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F6D-4379-856A-E94795E7E01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F6D-4379-856A-E94795E7E01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F6D-4379-856A-E94795E7E01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AF6D-4379-856A-E94795E7E01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AF6D-4379-856A-E94795E7E01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pers'!$DC$19:$DC$29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6D-4379-856A-E94795E7E01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9BF-4557-8492-6E7073F9F6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9BF-4557-8492-6E7073F9F6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9BF-4557-8492-6E7073F9F6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9BF-4557-8492-6E7073F9F68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9BF-4557-8492-6E7073F9F68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9BF-4557-8492-6E7073F9F68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9BF-4557-8492-6E7073F9F68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9BF-4557-8492-6E7073F9F68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9BF-4557-8492-6E7073F9F68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9BF-4557-8492-6E7073F9F68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9BF-4557-8492-6E7073F9F68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pers'!$DN$19:$DN$29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9BF-4557-8492-6E7073F9F68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A48-446E-BF1A-0880E5A299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A48-446E-BF1A-0880E5A299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A48-446E-BF1A-0880E5A299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A48-446E-BF1A-0880E5A299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A48-446E-BF1A-0880E5A299D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A48-446E-BF1A-0880E5A299D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A48-446E-BF1A-0880E5A299D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A48-446E-BF1A-0880E5A299D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A48-446E-BF1A-0880E5A299D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A48-446E-BF1A-0880E5A299D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6A48-446E-BF1A-0880E5A299D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pers'!$DY$19:$DY$29</c:f>
              <c:numCache>
                <c:formatCode>0.00</c:formatCode>
                <c:ptCount val="11"/>
                <c:pt idx="0">
                  <c:v>15.293650113513818</c:v>
                </c:pt>
                <c:pt idx="1">
                  <c:v>4.8227345090308571</c:v>
                </c:pt>
                <c:pt idx="2">
                  <c:v>4.6811263327830822E-3</c:v>
                </c:pt>
                <c:pt idx="3">
                  <c:v>0.57050945448027612</c:v>
                </c:pt>
                <c:pt idx="4">
                  <c:v>0.25143169228833367</c:v>
                </c:pt>
                <c:pt idx="5">
                  <c:v>5.7525921864184773E-2</c:v>
                </c:pt>
                <c:pt idx="6">
                  <c:v>6.3389432268558962E-2</c:v>
                </c:pt>
                <c:pt idx="7">
                  <c:v>76.067242654999063</c:v>
                </c:pt>
                <c:pt idx="8">
                  <c:v>2.8189998441859729</c:v>
                </c:pt>
                <c:pt idx="9">
                  <c:v>4.4046872565405827E-2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48-446E-BF1A-0880E5A299D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Porcentaje de contribución en la</a:t>
            </a:r>
            <a:r>
              <a:rPr lang="es-PE" baseline="0"/>
              <a:t> incertidumbre de la irradiación de dosímetros </a:t>
            </a:r>
          </a:p>
          <a:p>
            <a:pPr>
              <a:defRPr/>
            </a:pPr>
            <a:r>
              <a:rPr lang="es-PE" i="1" baseline="0"/>
              <a:t>U</a:t>
            </a:r>
            <a:r>
              <a:rPr lang="es-PE" i="1" baseline="-25000"/>
              <a:t>ir-Dos-Hp</a:t>
            </a:r>
            <a:r>
              <a:rPr lang="es-PE" baseline="0"/>
              <a:t>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433144578387118E-2"/>
          <c:y val="0.15394887567629695"/>
          <c:w val="0.59567022480979759"/>
          <c:h val="0.7903356065588951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03F-433B-9D98-4818C10C90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03F-433B-9D98-4818C10C90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03F-433B-9D98-4818C10C90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03F-433B-9D98-4818C10C90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03F-433B-9D98-4818C10C90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03F-433B-9D98-4818C10C90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03F-433B-9D98-4818C10C90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03F-433B-9D98-4818C10C90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03F-433B-9D98-4818C10C90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03F-433B-9D98-4818C10C90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03F-433B-9D98-4818C10C90B7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Dosímetros pers'!$B$19:$F$29</c:f>
              <c:strCache>
                <c:ptCount val="11"/>
                <c:pt idx="0">
                  <c:v>Dosimetría C.I. patrón de Aleph SAC</c:v>
                </c:pt>
                <c:pt idx="1">
                  <c:v>Homogeneidad del campo</c:v>
                </c:pt>
                <c:pt idx="2">
                  <c:v>Tiempo de tránsito del obturador</c:v>
                </c:pt>
                <c:pt idx="3">
                  <c:v>Posicionamiento longitudinal de la distancia fuente - dosímetro</c:v>
                </c:pt>
                <c:pt idx="4">
                  <c:v>Posición de la fuente en el irradiador</c:v>
                </c:pt>
                <c:pt idx="5">
                  <c:v>Calibración de la cinta métrica</c:v>
                </c:pt>
                <c:pt idx="6">
                  <c:v>Resolución de la cinta métrica</c:v>
                </c:pt>
                <c:pt idx="7">
                  <c:v>Coeficiente de conversión</c:v>
                </c:pt>
                <c:pt idx="8">
                  <c:v>Calibración del cronómetro</c:v>
                </c:pt>
                <c:pt idx="9">
                  <c:v>Resolución del cronómetro</c:v>
                </c:pt>
                <c:pt idx="10">
                  <c:v>Resolución del dosímetro</c:v>
                </c:pt>
              </c:strCache>
            </c:strRef>
          </c:cat>
          <c:val>
            <c:numRef>
              <c:f>'Incert. Cal. Dosímetros pers'!$EI$19:$EI$29</c:f>
              <c:numCache>
                <c:formatCode>0.00E+00</c:formatCode>
                <c:ptCount val="11"/>
                <c:pt idx="0">
                  <c:v>0.89678169276660391</c:v>
                </c:pt>
                <c:pt idx="1">
                  <c:v>0.50359085636392198</c:v>
                </c:pt>
                <c:pt idx="2">
                  <c:v>1.5689400152177176E-2</c:v>
                </c:pt>
                <c:pt idx="3">
                  <c:v>0.17320586018238504</c:v>
                </c:pt>
                <c:pt idx="4">
                  <c:v>0.11498499427851434</c:v>
                </c:pt>
                <c:pt idx="5">
                  <c:v>5.5000033275018852E-2</c:v>
                </c:pt>
                <c:pt idx="6">
                  <c:v>5.773505578647984E-2</c:v>
                </c:pt>
                <c:pt idx="7">
                  <c:v>2</c:v>
                </c:pt>
                <c:pt idx="8">
                  <c:v>0.38501591747739322</c:v>
                </c:pt>
                <c:pt idx="9">
                  <c:v>4.8126989684674153E-2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3F-433B-9D98-4818C10C90B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4530619376434"/>
          <c:y val="0.11590993226216977"/>
          <c:w val="0.35891562888993844"/>
          <c:h val="0.83007786959663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Fuente plana 1: 241Am; Marca: Eckert &amp; Ziegler; Modelo: AMR07032; Serie: AJ-4188.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'Incert. Cal. Cont. Sup'!$I$8:$P$8</c:f>
              <c:strCache>
                <c:ptCount val="1"/>
                <c:pt idx="0">
                  <c:v>Fuente plana 1: 241Am; Marca: Eckert &amp; Ziegler; Modelo: AMR07032; Serie: AJ-4188.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DBF-4589-ADF3-1E646C276F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DBF-4589-ADF3-1E646C276F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DBF-4589-ADF3-1E646C276FD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DBF-4589-ADF3-1E646C276FD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DBF-4589-ADF3-1E646C276FD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DBF-4589-ADF3-1E646C276FD9}"/>
              </c:ext>
            </c:extLst>
          </c:dPt>
          <c:dLbls>
            <c:dLbl>
              <c:idx val="0"/>
              <c:layout>
                <c:manualLayout>
                  <c:x val="0.21083063596642243"/>
                  <c:y val="0.3048245692843901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BF-4589-ADF3-1E646C276FD9}"/>
                </c:ext>
              </c:extLst>
            </c:dLbl>
            <c:dLbl>
              <c:idx val="1"/>
              <c:layout>
                <c:manualLayout>
                  <c:x val="0.10043081349525187"/>
                  <c:y val="7.497960585523724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DBF-4589-ADF3-1E646C276FD9}"/>
                </c:ext>
              </c:extLst>
            </c:dLbl>
            <c:dLbl>
              <c:idx val="2"/>
              <c:layout>
                <c:manualLayout>
                  <c:x val="-0.26630395690334624"/>
                  <c:y val="-0.1010594687614067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DBF-4589-ADF3-1E646C276FD9}"/>
                </c:ext>
              </c:extLst>
            </c:dLbl>
            <c:dLbl>
              <c:idx val="3"/>
              <c:layout>
                <c:manualLayout>
                  <c:x val="-0.11991291904838426"/>
                  <c:y val="0.21807681033008999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529625379742103"/>
                      <c:h val="0.125178208118332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DBF-4589-ADF3-1E646C276FD9}"/>
                </c:ext>
              </c:extLst>
            </c:dLbl>
            <c:dLbl>
              <c:idx val="4"/>
              <c:layout>
                <c:manualLayout>
                  <c:x val="-0.33218245678473862"/>
                  <c:y val="6.193967440215249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DBF-4589-ADF3-1E646C276FD9}"/>
                </c:ext>
              </c:extLst>
            </c:dLbl>
            <c:dLbl>
              <c:idx val="5"/>
              <c:layout>
                <c:manualLayout>
                  <c:x val="0.3462566668962298"/>
                  <c:y val="1.303993145308473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5517526389603"/>
                      <c:h val="0.1183573998787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7DBF-4589-ADF3-1E646C276FD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Cont. Sup'!$B$15:$F$20</c:f>
              <c:strCache>
                <c:ptCount val="6"/>
                <c:pt idx="0">
                  <c:v>Tasa de emisión de superficie de la fuente patrón</c:v>
                </c:pt>
                <c:pt idx="1">
                  <c:v>Homogeneidad de la fuente patrón</c:v>
                </c:pt>
                <c:pt idx="2">
                  <c:v>Distancia fuente patrón - detector del monitor</c:v>
                </c:pt>
                <c:pt idx="3">
                  <c:v>Posición horizontal del detector del monitor sobre la fuente patrón</c:v>
                </c:pt>
                <c:pt idx="4">
                  <c:v>Repetibilidad en la lectura del monitor de contaminación superficial</c:v>
                </c:pt>
                <c:pt idx="5">
                  <c:v>Resolución de la escala del monitor de contaminación superficial</c:v>
                </c:pt>
              </c:strCache>
            </c:strRef>
          </c:cat>
          <c:val>
            <c:numRef>
              <c:f>'Incert. Cal. Cont. Sup'!$O$15:$O$20</c:f>
              <c:numCache>
                <c:formatCode>0.00%</c:formatCode>
                <c:ptCount val="6"/>
                <c:pt idx="0">
                  <c:v>6.55092362901145E-2</c:v>
                </c:pt>
                <c:pt idx="1">
                  <c:v>0.12680004282006696</c:v>
                </c:pt>
                <c:pt idx="2">
                  <c:v>0.64805076270756834</c:v>
                </c:pt>
                <c:pt idx="3">
                  <c:v>0.12840059913996993</c:v>
                </c:pt>
                <c:pt idx="4">
                  <c:v>2.9459338584030874E-2</c:v>
                </c:pt>
                <c:pt idx="5">
                  <c:v>1.7800204582495991E-3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DBF-4589-ADF3-1E646C276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6525233340807"/>
          <c:y val="0.49021671441985398"/>
          <c:w val="0.72173694368605934"/>
          <c:h val="0.490223388400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8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'Incert. Cal. Cont. Sup'!$Q$8:$X$8</c:f>
              <c:strCache>
                <c:ptCount val="1"/>
                <c:pt idx="0">
                  <c:v>Fuentre plana 2: 36Cl (β); Marca: Eckert &amp; Ziegler; Modelo: CIR07032; Serie: AJ-4189.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887-4615-A8F6-9B6AB5F01E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887-4615-A8F6-9B6AB5F01E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887-4615-A8F6-9B6AB5F01E8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887-4615-A8F6-9B6AB5F01E8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887-4615-A8F6-9B6AB5F01E8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887-4615-A8F6-9B6AB5F01E84}"/>
              </c:ext>
            </c:extLst>
          </c:dPt>
          <c:dLbls>
            <c:dLbl>
              <c:idx val="0"/>
              <c:layout>
                <c:manualLayout>
                  <c:x val="-0.39754774055002656"/>
                  <c:y val="1.62206001622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87-4615-A8F6-9B6AB5F01E84}"/>
                </c:ext>
              </c:extLst>
            </c:dLbl>
            <c:dLbl>
              <c:idx val="1"/>
              <c:layout>
                <c:manualLayout>
                  <c:x val="0.11906912662310173"/>
                  <c:y val="-8.75912408759124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87-4615-A8F6-9B6AB5F01E84}"/>
                </c:ext>
              </c:extLst>
            </c:dLbl>
            <c:dLbl>
              <c:idx val="2"/>
              <c:layout>
                <c:manualLayout>
                  <c:x val="0.12481892842573564"/>
                  <c:y val="-0.155717761557177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87-4615-A8F6-9B6AB5F01E84}"/>
                </c:ext>
              </c:extLst>
            </c:dLbl>
            <c:dLbl>
              <c:idx val="3"/>
              <c:layout>
                <c:manualLayout>
                  <c:x val="7.7116709384933924E-2"/>
                  <c:y val="2.59529602595296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887-4615-A8F6-9B6AB5F01E84}"/>
                </c:ext>
              </c:extLst>
            </c:dLbl>
            <c:dLbl>
              <c:idx val="4"/>
              <c:layout>
                <c:manualLayout>
                  <c:x val="5.4243116971082285E-2"/>
                  <c:y val="0.1686942416869424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887-4615-A8F6-9B6AB5F01E84}"/>
                </c:ext>
              </c:extLst>
            </c:dLbl>
            <c:dLbl>
              <c:idx val="5"/>
              <c:layout>
                <c:manualLayout>
                  <c:x val="-9.7956142578951827E-2"/>
                  <c:y val="-8.11030008110300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887-4615-A8F6-9B6AB5F01E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Cont. Sup'!$B$15:$F$20</c:f>
              <c:strCache>
                <c:ptCount val="6"/>
                <c:pt idx="0">
                  <c:v>Tasa de emisión de superficie de la fuente patrón</c:v>
                </c:pt>
                <c:pt idx="1">
                  <c:v>Homogeneidad de la fuente patrón</c:v>
                </c:pt>
                <c:pt idx="2">
                  <c:v>Distancia fuente patrón - detector del monitor</c:v>
                </c:pt>
                <c:pt idx="3">
                  <c:v>Posición horizontal del detector del monitor sobre la fuente patrón</c:v>
                </c:pt>
                <c:pt idx="4">
                  <c:v>Repetibilidad en la lectura del monitor de contaminación superficial</c:v>
                </c:pt>
                <c:pt idx="5">
                  <c:v>Resolución de la escala del monitor de contaminación superficial</c:v>
                </c:pt>
              </c:strCache>
            </c:strRef>
          </c:cat>
          <c:val>
            <c:numRef>
              <c:f>'Incert. Cal. Cont. Sup'!$W$15:$W$20</c:f>
              <c:numCache>
                <c:formatCode>0.00%</c:formatCode>
                <c:ptCount val="6"/>
                <c:pt idx="0">
                  <c:v>0.15534182090978035</c:v>
                </c:pt>
                <c:pt idx="1">
                  <c:v>0.26488622046956256</c:v>
                </c:pt>
                <c:pt idx="2">
                  <c:v>7.5856047610563082E-2</c:v>
                </c:pt>
                <c:pt idx="3">
                  <c:v>3.4571874050857265E-2</c:v>
                </c:pt>
                <c:pt idx="4">
                  <c:v>4.3562719545220563E-2</c:v>
                </c:pt>
                <c:pt idx="5">
                  <c:v>0.42578131741401631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87-4615-A8F6-9B6AB5F01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'Incert. Cal. Cont. Sup'!$Y$8:$AF$8</c:f>
              <c:strCache>
                <c:ptCount val="1"/>
                <c:pt idx="0">
                  <c:v>Fuente plana 3: 90Sr (β); Marca: Eckert &amp; Ziegler; Modelo: SIR07032; Serie: AJ-4190.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2F6-4B4A-8AD0-E7D2CEF139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2F6-4B4A-8AD0-E7D2CEF139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2F6-4B4A-8AD0-E7D2CEF139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2F6-4B4A-8AD0-E7D2CEF1391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2F6-4B4A-8AD0-E7D2CEF1391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2F6-4B4A-8AD0-E7D2CEF1391D}"/>
              </c:ext>
            </c:extLst>
          </c:dPt>
          <c:dLbls>
            <c:dLbl>
              <c:idx val="0"/>
              <c:layout>
                <c:manualLayout>
                  <c:x val="0.21513795027590041"/>
                  <c:y val="6.48824006488240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F6-4B4A-8AD0-E7D2CEF1391D}"/>
                </c:ext>
              </c:extLst>
            </c:dLbl>
            <c:dLbl>
              <c:idx val="1"/>
              <c:layout>
                <c:manualLayout>
                  <c:x val="0.16918709570752474"/>
                  <c:y val="0.14598540145985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F6-4B4A-8AD0-E7D2CEF1391D}"/>
                </c:ext>
              </c:extLst>
            </c:dLbl>
            <c:dLbl>
              <c:idx val="2"/>
              <c:layout>
                <c:manualLayout>
                  <c:x val="6.8496910327153993E-2"/>
                  <c:y val="5.839416058394154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F6-4B4A-8AD0-E7D2CEF1391D}"/>
                </c:ext>
              </c:extLst>
            </c:dLbl>
            <c:dLbl>
              <c:idx val="3"/>
              <c:layout>
                <c:manualLayout>
                  <c:x val="-0.20231252195837726"/>
                  <c:y val="-8.75912408759124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F6-4B4A-8AD0-E7D2CEF1391D}"/>
                </c:ext>
              </c:extLst>
            </c:dLbl>
            <c:dLbl>
              <c:idx val="4"/>
              <c:layout>
                <c:manualLayout>
                  <c:x val="-0.15674259615185898"/>
                  <c:y val="-0.2303325223033252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F6-4B4A-8AD0-E7D2CEF1391D}"/>
                </c:ext>
              </c:extLst>
            </c:dLbl>
            <c:dLbl>
              <c:idx val="5"/>
              <c:layout>
                <c:manualLayout>
                  <c:x val="-9.7862649058631457E-2"/>
                  <c:y val="-7.70529596209233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F6-4B4A-8AD0-E7D2CEF1391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'Incert. Cal. Cont. Sup'!$B$15:$F$20</c:f>
              <c:strCache>
                <c:ptCount val="6"/>
                <c:pt idx="0">
                  <c:v>Tasa de emisión de superficie de la fuente patrón</c:v>
                </c:pt>
                <c:pt idx="1">
                  <c:v>Homogeneidad de la fuente patrón</c:v>
                </c:pt>
                <c:pt idx="2">
                  <c:v>Distancia fuente patrón - detector del monitor</c:v>
                </c:pt>
                <c:pt idx="3">
                  <c:v>Posición horizontal del detector del monitor sobre la fuente patrón</c:v>
                </c:pt>
                <c:pt idx="4">
                  <c:v>Repetibilidad en la lectura del monitor de contaminación superficial</c:v>
                </c:pt>
                <c:pt idx="5">
                  <c:v>Resolución de la escala del monitor de contaminación superficial</c:v>
                </c:pt>
              </c:strCache>
            </c:strRef>
          </c:cat>
          <c:val>
            <c:numRef>
              <c:f>'Incert. Cal. Cont. Sup'!$AE$15:$AE$20</c:f>
              <c:numCache>
                <c:formatCode>0.00%</c:formatCode>
                <c:ptCount val="6"/>
                <c:pt idx="0">
                  <c:v>0.29310949054037727</c:v>
                </c:pt>
                <c:pt idx="1">
                  <c:v>0.17057635680024616</c:v>
                </c:pt>
                <c:pt idx="2">
                  <c:v>0.19277444656755638</c:v>
                </c:pt>
                <c:pt idx="3">
                  <c:v>5.7354380796958863E-2</c:v>
                </c:pt>
                <c:pt idx="4">
                  <c:v>2.6962681765718314E-2</c:v>
                </c:pt>
                <c:pt idx="5">
                  <c:v>0.25922264352914276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2F6-4B4A-8AD0-E7D2CEF13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DESEMPEÑO DEL SISTEMA DE DOSIMETRÍA DEL PARTICIPANTE EVALUADO EN LA</a:t>
            </a:r>
            <a:r>
              <a:rPr lang="es-PE" baseline="0"/>
              <a:t> CURVA DE TROMPETA 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22275667424417137"/>
          <c:y val="0.16410857025088255"/>
          <c:w val="0.55286964129483818"/>
          <c:h val="0.464475430154564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'Informe Intercomparación-D(10)'!$H$121:$J$121</c:f>
              <c:strCache>
                <c:ptCount val="1"/>
                <c:pt idx="0">
                  <c:v>Límite inferior 
(mSv)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'Informe Intercomparación-D(10)'!$G$122:$G$128</c:f>
              <c:numCache>
                <c:formatCode>General</c:formatCode>
                <c:ptCount val="7"/>
                <c:pt idx="0">
                  <c:v>0.1</c:v>
                </c:pt>
                <c:pt idx="1">
                  <c:v>1</c:v>
                </c:pt>
                <c:pt idx="2">
                  <c:v>1.8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</c:numCache>
            </c:numRef>
          </c:xVal>
          <c:yVal>
            <c:numRef>
              <c:f>'Informe Intercomparación-D(10)'!$H$122:$H$128</c:f>
              <c:numCache>
                <c:formatCode>0.00</c:formatCode>
                <c:ptCount val="7"/>
                <c:pt idx="0">
                  <c:v>0</c:v>
                </c:pt>
                <c:pt idx="1">
                  <c:v>0.54545454545454541</c:v>
                </c:pt>
                <c:pt idx="2">
                  <c:v>0.59649122807017541</c:v>
                </c:pt>
                <c:pt idx="3">
                  <c:v>0.65346534653465338</c:v>
                </c:pt>
                <c:pt idx="4">
                  <c:v>0.66533466533466523</c:v>
                </c:pt>
                <c:pt idx="5">
                  <c:v>0.66653334666533337</c:v>
                </c:pt>
                <c:pt idx="6">
                  <c:v>0.66665333346666533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4-4BED-A86E-D2D2CE247B45}"/>
            </c:ext>
          </c:extLst>
        </c:ser>
        <c:ser>
          <c:idx val="1"/>
          <c:order val="1"/>
          <c:tx>
            <c:strRef>
              <c:f>'Informe Intercomparación-D(10)'!$K$121:$M$121</c:f>
              <c:strCache>
                <c:ptCount val="1"/>
                <c:pt idx="0">
                  <c:v>Límite superior 
(mSv)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'Informe Intercomparación-D(10)'!$G$122:$G$128</c:f>
              <c:numCache>
                <c:formatCode>General</c:formatCode>
                <c:ptCount val="7"/>
                <c:pt idx="0">
                  <c:v>0.1</c:v>
                </c:pt>
                <c:pt idx="1">
                  <c:v>1</c:v>
                </c:pt>
                <c:pt idx="2">
                  <c:v>1.8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</c:numCache>
            </c:numRef>
          </c:xVal>
          <c:yVal>
            <c:numRef>
              <c:f>'Informe Intercomparación-D(10)'!$K$122:$K$128</c:f>
              <c:numCache>
                <c:formatCode>0.00</c:formatCode>
                <c:ptCount val="7"/>
                <c:pt idx="0">
                  <c:v>2</c:v>
                </c:pt>
                <c:pt idx="1">
                  <c:v>1.625</c:v>
                </c:pt>
                <c:pt idx="2">
                  <c:v>1.5750000000000002</c:v>
                </c:pt>
                <c:pt idx="3">
                  <c:v>1.5147058823529411</c:v>
                </c:pt>
                <c:pt idx="4">
                  <c:v>1.5014970059880239</c:v>
                </c:pt>
                <c:pt idx="5">
                  <c:v>1.5001499700059986</c:v>
                </c:pt>
                <c:pt idx="6">
                  <c:v>1.5000149997000061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4-4BED-A86E-D2D2CE247B45}"/>
            </c:ext>
          </c:extLst>
        </c:ser>
        <c:ser>
          <c:idx val="2"/>
          <c:order val="2"/>
          <c:tx>
            <c:strRef>
              <c:f>'Informe Intercomparación-D(10)'!$C$41</c:f>
              <c:strCache>
                <c:ptCount val="1"/>
                <c:pt idx="0">
                  <c:v>905395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'Informe Intercomparación-D(10)'!$M$41:$N$41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Intercomparación-D(10)'!$S$41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54-4BED-A86E-D2D2CE247B45}"/>
            </c:ext>
          </c:extLst>
        </c:ser>
        <c:ser>
          <c:idx val="3"/>
          <c:order val="3"/>
          <c:tx>
            <c:strRef>
              <c:f>'Informe Intercomparación-D(10)'!$C$42</c:f>
              <c:strCache>
                <c:ptCount val="1"/>
                <c:pt idx="0">
                  <c:v>905309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'Informe Intercomparación-D(10)'!$M$42:$N$42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Intercomparación-D(10)'!$S$42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54-4BED-A86E-D2D2CE247B45}"/>
            </c:ext>
          </c:extLst>
        </c:ser>
        <c:ser>
          <c:idx val="4"/>
          <c:order val="4"/>
          <c:tx>
            <c:strRef>
              <c:f>'Informe Intercomparación-D(10)'!$C$43</c:f>
              <c:strCache>
                <c:ptCount val="1"/>
                <c:pt idx="0">
                  <c:v>905161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'Informe Intercomparación-D(10)'!$M$43:$N$43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54-4BED-A86E-D2D2CE247B45}"/>
            </c:ext>
          </c:extLst>
        </c:ser>
        <c:ser>
          <c:idx val="5"/>
          <c:order val="5"/>
          <c:tx>
            <c:strRef>
              <c:f>'Informe Intercomparación-D(10)'!$C$44</c:f>
              <c:strCache>
                <c:ptCount val="1"/>
                <c:pt idx="0">
                  <c:v>905327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'Informe Intercomparación-D(10)'!$M$44:$N$44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Intercomparación-D(10)'!$S$44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5-7754-4BED-A86E-D2D2CE247B45}"/>
            </c:ext>
          </c:extLst>
        </c:ser>
        <c:ser>
          <c:idx val="6"/>
          <c:order val="6"/>
          <c:tx>
            <c:strRef>
              <c:f>'Informe Intercomparación-D(10)'!$C$45</c:f>
              <c:strCache>
                <c:ptCount val="1"/>
                <c:pt idx="0">
                  <c:v>905125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'Informe Intercomparación-D(10)'!$M$45:$N$45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Intercomparación-D(10)'!$S$45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6-7754-4BED-A86E-D2D2CE247B45}"/>
            </c:ext>
          </c:extLst>
        </c:ser>
        <c:ser>
          <c:idx val="7"/>
          <c:order val="7"/>
          <c:tx>
            <c:strRef>
              <c:f>'Informe Intercomparación-D(10)'!$C$46</c:f>
              <c:strCache>
                <c:ptCount val="1"/>
                <c:pt idx="0">
                  <c:v>905066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'Informe Intercomparación-D(10)'!$M$46:$N$46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Intercomparación-D(10)'!$S$46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7-7754-4BED-A86E-D2D2CE247B45}"/>
            </c:ext>
          </c:extLst>
        </c:ser>
        <c:ser>
          <c:idx val="8"/>
          <c:order val="8"/>
          <c:tx>
            <c:strRef>
              <c:f>'Informe Intercomparación-D(10)'!$C$47</c:f>
              <c:strCache>
                <c:ptCount val="1"/>
                <c:pt idx="0">
                  <c:v>905339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'Informe Intercomparación-D(10)'!$M$47:$N$47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Intercomparación-D(10)'!$S$47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8-7754-4BED-A86E-D2D2CE247B45}"/>
            </c:ext>
          </c:extLst>
        </c:ser>
        <c:ser>
          <c:idx val="9"/>
          <c:order val="9"/>
          <c:tx>
            <c:strRef>
              <c:f>'Informe Intercomparación-D(10)'!$C$48</c:f>
              <c:strCache>
                <c:ptCount val="1"/>
                <c:pt idx="0">
                  <c:v>905189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'Informe Intercomparación-D(10)'!$M$48:$N$48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Intercomparación-D(10)'!$S$48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9-7754-4BED-A86E-D2D2CE247B45}"/>
            </c:ext>
          </c:extLst>
        </c:ser>
        <c:ser>
          <c:idx val="10"/>
          <c:order val="10"/>
          <c:tx>
            <c:strRef>
              <c:f>'Informe Intercomparación-D(10)'!$C$49</c:f>
              <c:strCache>
                <c:ptCount val="1"/>
                <c:pt idx="0">
                  <c:v>905334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'Informe Intercomparación-D(10)'!$M$49:$N$49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Intercomparación-D(10)'!$S$49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A-7754-4BED-A86E-D2D2CE247B45}"/>
            </c:ext>
          </c:extLst>
        </c:ser>
        <c:ser>
          <c:idx val="11"/>
          <c:order val="11"/>
          <c:tx>
            <c:strRef>
              <c:f>'Informe Intercomparación-D(10)'!$C$50</c:f>
              <c:strCache>
                <c:ptCount val="1"/>
                <c:pt idx="0">
                  <c:v>905153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'Informe Intercomparación-D(10)'!$M$50:$N$50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Intercomparación-D(10)'!$S$50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B-7754-4BED-A86E-D2D2CE247B45}"/>
            </c:ext>
          </c:extLst>
        </c:ser>
        <c:ser>
          <c:idx val="12"/>
          <c:order val="12"/>
          <c:tx>
            <c:strRef>
              <c:f>'Informe Intercomparación-D(10)'!$C$51</c:f>
              <c:strCache>
                <c:ptCount val="1"/>
                <c:pt idx="0">
                  <c:v>3848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'Informe Intercomparación-D(10)'!$M$51:$N$51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Intercomparación-D(10)'!$S$51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C-7754-4BED-A86E-D2D2CE247B45}"/>
            </c:ext>
          </c:extLst>
        </c:ser>
        <c:ser>
          <c:idx val="13"/>
          <c:order val="13"/>
          <c:tx>
            <c:strRef>
              <c:f>'Informe Intercomparación-D(10)'!$C$52</c:f>
              <c:strCache>
                <c:ptCount val="1"/>
                <c:pt idx="0">
                  <c:v>3884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'Informe Intercomparación-D(10)'!$M$52:$N$52</c:f>
              <c:strCache>
                <c:ptCount val="1"/>
                <c:pt idx="0">
                  <c:v>-</c:v>
                </c:pt>
              </c:strCache>
            </c:strRef>
          </c:xVal>
          <c:yVal>
            <c:numRef>
              <c:f>'Informe Intercomparación-D(10)'!$S$52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D-7754-4BED-A86E-D2D2CE247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576384"/>
        <c:axId val="582576712"/>
        <c:extLst/>
      </c:scatterChart>
      <c:valAx>
        <c:axId val="58257638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D(10)</a:t>
                </a:r>
                <a:r>
                  <a:rPr lang="es-PE" baseline="0"/>
                  <a:t> (mGy)</a:t>
                </a:r>
                <a:endParaRPr lang="es-PE"/>
              </a:p>
            </c:rich>
          </c:tx>
          <c:layout>
            <c:manualLayout>
              <c:xMode val="edge"/>
              <c:yMode val="edge"/>
              <c:x val="0.44759214721590762"/>
              <c:y val="0.6785338739094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82576712"/>
        <c:crosses val="autoZero"/>
        <c:crossBetween val="midCat"/>
      </c:valAx>
      <c:valAx>
        <c:axId val="582576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82576384"/>
        <c:crossesAt val="0.1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Tasa de Dosis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6706292943614357E-2"/>
          <c:y val="8.2397230648534631E-2"/>
          <c:w val="0.87343969949298317"/>
          <c:h val="0.81394228815939018"/>
        </c:manualLayout>
      </c:layout>
      <c:scatterChart>
        <c:scatterStyle val="lineMarker"/>
        <c:varyColors val="0"/>
        <c:ser>
          <c:idx val="0"/>
          <c:order val="0"/>
          <c:tx>
            <c:v>Fondo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('F-LSCD-002 (Dosimetría)(Blanco)'!$A$108,'F-LSCD-002 (Dosimetría)(Blanco)'!$A$117,'F-LSCD-002 (Dosimetría)(Blanco)'!$A$126,'F-LSCD-002 (Dosimetría)(Blanco)'!$A$140,'F-LSCD-002 (Dosimetría)(Blanco)'!$A$149,'F-LSCD-002 (Dosimetría)(Blanco)'!$A$158)</c:f>
              <c:numCache>
                <c:formatCode>0.0</c:formatCode>
                <c:ptCount val="6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</c:numCache>
            </c:numRef>
          </c:xVal>
          <c:yVal>
            <c:numRef>
              <c:f>('F-LSCD-002 (Dosimetría)'!#¡REF!;'F-LSCD-002 (Dosimetría)'!#¡REF!;'F-LSCD-002 (Dosimetría)'!#¡REF!;'F-LSCD-002 (Dosimetría)'!#¡REF!;'F-LSCD-002 (Dosimetría)'!#¡REF!;'F-LSCD-002 (Dosimetría)'!#¡REF!)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F27-4CD2-9639-AE67F2CDB609}"/>
            </c:ext>
          </c:extLst>
        </c:ser>
        <c:ser>
          <c:idx val="1"/>
          <c:order val="1"/>
          <c:tx>
            <c:v>SA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(Dosimetría)(Blanco)'!$M$122,'F-LSCD-002 (Dosimetría)(Blanco)'!$M$136,'F-LSCD-002 (Dosimetría)(Blanco)'!$M$145)</c:f>
              <c:numCache>
                <c:formatCode>0.00E+00</c:formatCode>
                <c:ptCount val="3"/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F27-4CD2-9639-AE67F2CDB609}"/>
            </c:ext>
          </c:extLst>
        </c:ser>
        <c:ser>
          <c:idx val="4"/>
          <c:order val="4"/>
          <c:tx>
            <c:v>III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(Dosimetría)(Blanco)'!$BL$122,'F-LSCD-002 (Dosimetría)(Blanco)'!$BL$136,'F-LSCD-002 (Dosimetría)(Blanco)'!$BL$145)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F27-4CD2-9639-AE67F2CDB609}"/>
            </c:ext>
          </c:extLst>
        </c:ser>
        <c:ser>
          <c:idx val="5"/>
          <c:order val="5"/>
          <c:tx>
            <c:v>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(Dosimetría)(Blanco)'!$CT$122,'F-LSCD-002 (Dosimetría)(Blanco)'!$CT$136,'F-LSCD-002 (Dosimetría)(Blanco)'!$CT$145)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6F27-4CD2-9639-AE67F2CDB609}"/>
            </c:ext>
          </c:extLst>
        </c:ser>
        <c:ser>
          <c:idx val="6"/>
          <c:order val="6"/>
          <c:tx>
            <c:v>I+IV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(Dosimetría)(Blanco)'!$ES$122,'F-LSCD-002 (Dosimetría)(Blanco)'!$ES$136,'F-LSCD-002 (Dosimetría)(Blanco)'!$ES$145)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6F27-4CD2-9639-AE67F2CDB609}"/>
            </c:ext>
          </c:extLst>
        </c:ser>
        <c:ser>
          <c:idx val="9"/>
          <c:order val="9"/>
          <c:tx>
            <c:v>II+V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(Dosimetría)(Blanco)'!$ON$122,'F-LSCD-002 (Dosimetría)(Blanco)'!$ON$136,'F-LSCD-002 (Dosimetría)(Blanco)'!$ON$145)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6F27-4CD2-9639-AE67F2CDB609}"/>
            </c:ext>
          </c:extLst>
        </c:ser>
        <c:ser>
          <c:idx val="10"/>
          <c:order val="10"/>
          <c:tx>
            <c:v>III+V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(Dosimetría)(Blanco)'!$SL$122,'F-LSCD-002 (Dosimetría)(Blanco)'!$SL$136,'F-LSCD-002 (Dosimetría)(Blanco)'!$SL$145)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6F27-4CD2-9639-AE67F2CDB609}"/>
            </c:ext>
          </c:extLst>
        </c:ser>
        <c:ser>
          <c:idx val="11"/>
          <c:order val="11"/>
          <c:tx>
            <c:v>IV+V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(Dosimetría)(Blanco)'!$TT$122,'F-LSCD-002 (Dosimetría)(Blanco)'!$TT$136,'F-LSCD-002 (Dosimetría)(Blanco)'!$TT$145)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6F27-4CD2-9639-AE67F2CDB609}"/>
            </c:ext>
          </c:extLst>
        </c:ser>
        <c:ser>
          <c:idx val="12"/>
          <c:order val="12"/>
          <c:tx>
            <c:v>IV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(Dosimetría)(Blanco)'!$CC$122,'F-LSCD-002 (Dosimetría)(Blanco)'!$CC$136,'F-LSCD-002 (Dosimetría)(Blanco)'!$CC$145)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782-4804-A525-876F10F8EBD6}"/>
            </c:ext>
          </c:extLst>
        </c:ser>
        <c:ser>
          <c:idx val="29"/>
          <c:order val="29"/>
          <c:tx>
            <c:v>II+III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(Dosimetría)(Blanco)'!$NF$122,'F-LSCD-002 (Dosimetría)(Blanco)'!$NF$136,'F-LSCD-002 (Dosimetría)(Blanco)'!$NF$145)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665F-4041-88AF-CC61669FE119}"/>
            </c:ext>
          </c:extLst>
        </c:ser>
        <c:ser>
          <c:idx val="32"/>
          <c:order val="32"/>
          <c:tx>
            <c:v>III+IV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('F-LSCD-002 (Dosimetría)(Blanco)'!$A$117,'F-LSCD-002 (Dosimetría)(Blanco)'!$A$126,'F-LSCD-002 (Dosimetría)(Blanco)'!$A$140)</c:f>
              <c:numCache>
                <c:formatCode>0.0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('F-LSCD-002 (Dosimetría)(Blanco)'!$RU$122,'F-LSCD-002 (Dosimetría)(Blanco)'!$RU$136,'F-LSCD-002 (Dosimetría)(Blanco)'!$RU$145)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665F-4041-88AF-CC61669FE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31968"/>
        <c:axId val="12054681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('F-LSCD-002 (Dosimetría)'!$AF$130,'F-LSCD-002 (Dosimetría)'!$AF$144,'F-LSCD-002 (Dosimetría)'!$AF$153)</c15:sqref>
                        </c15:formulaRef>
                      </c:ext>
                    </c:extLst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F27-4CD2-9639-AE67F2CDB60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(Dosimetría)'!$AX$130,'F-LSCD-002 (Dosimetría)'!$AX$144,'F-LSCD-002 (Dosimetría)'!$AX$153)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F27-4CD2-9639-AE67F2CDB60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(Dosimetría)'!$FT$130,'F-LSCD-002 (Dosimetría)'!$FT$144,'F-LSCD-002 (Dosimetría)'!$FT$153)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F27-4CD2-9639-AE67F2CDB60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I+II+III+IV+V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(Dosimetría)'!$NJ$130,'F-LSCD-002 (Dosimetría)'!$NJ$144,'F-LSCD-002 (Dosimetría)'!$NJ$153)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F27-4CD2-9639-AE67F2CDB60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I+II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(Dosimetría)'!$DR$121,'F-LSCD-002 (Dosimetría)'!$DR$144,'F-LSCD-002 (Dosimetría)'!$DR$162)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82-4804-A525-876F10F8EBD6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I+III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(Dosimetría)'!$EJ$121,'F-LSCD-002 (Dosimetría)'!$EJ$144,'F-LSCD-002 (Dosimetría)'!$EJ$162)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82-4804-A525-876F10F8EBD6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I+II+III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(Dosimetría)'!$GL$121,'F-LSCD-002 (Dosimetría)'!$GL$144,'F-LSCD-002 (Dosimetría)'!$GL$162)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82-4804-A525-876F10F8EBD6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I+II+IV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(Dosimetría)'!$HD$121,'F-LSCD-002 (Dosimetría)'!$HD$144,'F-LSCD-002 (Dosimetría)'!$HD$162)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82-4804-A525-876F10F8EBD6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I+II+V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(Dosimetría)'!$HV$121,'F-LSCD-002 (Dosimetría)'!$HV$144,'F-LSCD-002 (Dosimetría)'!$HV$162)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82-4804-A525-876F10F8EBD6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I+III+IV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(Dosimetría)'!$IN$121,'F-LSCD-002 (Dosimetría)'!$IN$144,'F-LSCD-002 (Dosimetría)'!$IN$162)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82-4804-A525-876F10F8EBD6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I+III+V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(Dosimetría)'!$JF$121,'F-LSCD-002 (Dosimetría)'!$JF$144,'F-LSCD-002 (Dosimetría)'!$JF$162)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782-4804-A525-876F10F8EBD6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v>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(Dosimetría)'!$JX$121,'F-LSCD-002 (Dosimetría)'!$JX$144,'F-LSCD-002 (Dosimetría)'!$JX$162)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782-4804-A525-876F10F8EBD6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v>I+II+III+IV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(Dosimetría)'!$KP$121,'F-LSCD-002 (Dosimetría)'!$KP$144,'F-LSCD-002 (Dosimetría)'!$KP$162)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782-4804-A525-876F10F8EBD6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v>I+II+III+V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(Dosimetría)'!$LH$121,'F-LSCD-002 (Dosimetría)'!$LH$144,'F-LSCD-002 (Dosimetría)'!$LH$162)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65F-4041-88AF-CC61669FE119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v>I+II+IV+V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(Dosimetría)'!$LZ$121,'F-LSCD-002 (Dosimetría)'!$LZ$144,'F-LSCD-002 (Dosimetría)'!$LZ$162)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65F-4041-88AF-CC61669FE119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v>I+III+IV+V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(Dosimetría)'!$MR$121,'F-LSCD-002 (Dosimetría)'!$MR$144,'F-LSCD-002 (Dosimetría)'!$MR$162)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5F-4041-88AF-CC61669FE119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v>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(Dosimetría)'!$OT$121,'F-LSCD-002 (Dosimetría)'!$OT$144,'F-LSCD-002 (Dosimetría)'!$OT$162)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5F-4041-88AF-CC61669FE119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v>II+III+IV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(Dosimetría)'!$QD$121,'F-LSCD-002 (Dosimetría)'!$QD$144,'F-LSCD-002 (Dosimetría)'!$QD$162)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5F-4041-88AF-CC61669FE119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v>II+III+V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(Dosimetría)'!$QV$121,'F-LSCD-002 (Dosimetría)'!$QV$144,'F-LSCD-002 (Dosimetría)'!$QV$162)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65F-4041-88AF-CC61669FE119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v>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(Dosimetría)'!$A$116,'F-LSCD-002 (Dosimetría)'!$A$134,'F-LSCD-002 (Dosimetría)'!$A$157)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(Dosimetría)'!$UH$121,'F-LSCD-002 (Dosimetría)'!$UH$144,'F-LSCD-002 (Dosimetría)'!$UH$162)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65F-4041-88AF-CC61669FE119}"/>
                  </c:ext>
                </c:extLst>
              </c15:ser>
            </c15:filteredScatterSeries>
            <c15:filteredScatterSeries>
              <c15:ser>
                <c:idx val="30"/>
                <c:order val="30"/>
                <c:tx>
                  <c:v>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(Dosimetría)'!$RN$130,'F-LSCD-002 (Dosimetría)'!$RN$144,'F-LSCD-002 (Dosimetría)'!$RN$153)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65F-4041-88AF-CC61669FE119}"/>
                  </c:ext>
                </c:extLst>
              </c15:ser>
            </c15:filteredScatterSeries>
            <c15:filteredScatterSeries>
              <c15:ser>
                <c:idx val="31"/>
                <c:order val="31"/>
                <c:tx>
                  <c:v>II+III+IV+V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(Dosimetría)'!$A$125,'F-LSCD-002 (Dosimetría)'!$A$134,'F-LSCD-002 (Dosimetría)'!$A$148)</c15:sqref>
                        </c15:formulaRef>
                      </c:ext>
                    </c:extLst>
                    <c:numCache>
                      <c:formatCode>0.0</c:formatCode>
                      <c:ptCount val="3"/>
                      <c:pt idx="0">
                        <c:v>150</c:v>
                      </c:pt>
                      <c:pt idx="1">
                        <c:v>200</c:v>
                      </c:pt>
                      <c:pt idx="2">
                        <c:v>250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('F-LSCD-002 (Dosimetría)'!$SF$130,'F-LSCD-002 (Dosimetría)'!$SF$144,'F-LSCD-002 (Dosimetría)'!$SF$153)</c15:sqref>
                        </c15:formulaRef>
                      </c:ext>
                    </c:extLst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65F-4041-88AF-CC61669FE119}"/>
                  </c:ext>
                </c:extLst>
              </c15:ser>
            </c15:filteredScatterSeries>
          </c:ext>
        </c:extLst>
      </c:scatterChart>
      <c:valAx>
        <c:axId val="12053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0546816"/>
        <c:crosses val="autoZero"/>
        <c:crossBetween val="midCat"/>
      </c:valAx>
      <c:valAx>
        <c:axId val="1205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053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'F-LSCD-002 (Dosimetría)(Blanco)'!$J$222:$J$236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2-4CEB-AA9D-D8B73471D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28288"/>
        <c:axId val="130030208"/>
      </c:scatterChart>
      <c:valAx>
        <c:axId val="13002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030208"/>
        <c:crosses val="autoZero"/>
        <c:crossBetween val="midCat"/>
      </c:valAx>
      <c:valAx>
        <c:axId val="1300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02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2.728018372703412E-2"/>
                  <c:y val="-0.198070501603966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0,0378x</a:t>
                    </a:r>
                    <a:r>
                      <a:rPr lang="en-US" sz="2000" baseline="30000"/>
                      <a:t>-1,989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1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5"/>
              <c:pt idx="0">
                <c:v>1</c:v>
              </c:pt>
              <c:pt idx="1">
                <c:v>1.5</c:v>
              </c:pt>
              <c:pt idx="2">
                <c:v>2</c:v>
              </c:pt>
              <c:pt idx="3">
                <c:v>2.5</c:v>
              </c:pt>
              <c:pt idx="4">
                <c:v>3</c:v>
              </c:pt>
            </c:numLit>
          </c:xVal>
          <c:yVal>
            <c:numRef>
              <c:f>('F-LSCD-002 (Dosimetría)(Blanco)'!$O$113,'F-LSCD-002 (Dosimetría)(Blanco)'!$O$122,'F-LSCD-002 (Dosimetría)(Blanco)'!$O$136,'F-LSCD-002 (Dosimetría)(Blanco)'!$O$145,'F-LSCD-002 (Dosimetría)(Blanco)'!$O$154)</c:f>
              <c:numCache>
                <c:formatCode>0.00E+00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D7-4DA7-8D79-E145BBA3E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61440"/>
        <c:axId val="130062976"/>
      </c:scatterChart>
      <c:valAx>
        <c:axId val="13006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062976"/>
        <c:crosses val="autoZero"/>
        <c:crossBetween val="midCat"/>
      </c:valAx>
      <c:valAx>
        <c:axId val="1300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06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2324059492563431"/>
                  <c:y val="-0.1485316418780985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0,006x</a:t>
                    </a:r>
                    <a:r>
                      <a:rPr lang="en-US" sz="2000" baseline="30000"/>
                      <a:t>-2,002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0,9999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(Dosimetría)(Blanco)'!$BN$122,'F-LSCD-002 (Dosimetría)(Blanco)'!$BN$136,'F-LSCD-002 (Dosimetría)(Blanco)'!$BN$145)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F4-48FC-B84F-832A08883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9664"/>
        <c:axId val="130291200"/>
      </c:scatterChart>
      <c:valAx>
        <c:axId val="13028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291200"/>
        <c:crosses val="autoZero"/>
        <c:crossBetween val="midCat"/>
      </c:valAx>
      <c:valAx>
        <c:axId val="1302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28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2842104111986003"/>
                  <c:y val="-0.132306794983960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0,0003x</a:t>
                    </a:r>
                    <a:r>
                      <a:rPr lang="en-US" sz="2000" baseline="30000"/>
                      <a:t>-2,061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0,9997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(Dosimetría)(Blanco)'!$CE$122,'F-LSCD-002 (Dosimetría)(Blanco)'!$CE$136,'F-LSCD-002 (Dosimetría)(Blanco)'!$CE$145)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AA-47F9-B9F7-043C4C9E2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1648"/>
        <c:axId val="130101632"/>
      </c:scatterChart>
      <c:valAx>
        <c:axId val="13009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101632"/>
        <c:crosses val="autoZero"/>
        <c:crossBetween val="midCat"/>
      </c:valAx>
      <c:valAx>
        <c:axId val="1301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091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3953215223097113"/>
                  <c:y val="-0.1301556576261300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0,0141x</a:t>
                    </a:r>
                    <a:r>
                      <a:rPr lang="en-US" sz="2000" baseline="30000"/>
                      <a:t>-2,009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1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(Dosimetría)(Blanco)'!$CV$122,'F-LSCD-002 (Dosimetría)(Blanco)'!$CV$136,'F-LSCD-002 (Dosimetría)(Blanco)'!$CV$143:$CV$145)</c:f>
              <c:numCache>
                <c:formatCode>0.00E+00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36-4E4B-83EA-F3B3097C0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35552"/>
        <c:axId val="130137088"/>
      </c:scatterChart>
      <c:valAx>
        <c:axId val="13013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137088"/>
        <c:crosses val="autoZero"/>
        <c:crossBetween val="midCat"/>
      </c:valAx>
      <c:valAx>
        <c:axId val="1301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13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(Dosimetría)(Blanco)'!$EU$122,'F-LSCD-002 (Dosimetría)(Blanco)'!$EU$136,'F-LSCD-002 (Dosimetría)(Blanco)'!$EU$145)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70-42AC-8246-1F4CD0B4D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73952"/>
        <c:axId val="129775488"/>
      </c:scatterChart>
      <c:valAx>
        <c:axId val="12977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775488"/>
        <c:crosses val="autoZero"/>
        <c:crossBetween val="midCat"/>
      </c:valAx>
      <c:valAx>
        <c:axId val="1297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77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(Dosimetría)(Blanco)'!$NH$122,'F-LSCD-002 (Dosimetría)(Blanco)'!$NH$136,'F-LSCD-002 (Dosimetría)(Blanco)'!$NH$145)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36-4B9D-87AF-E2B66170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09408"/>
        <c:axId val="129823488"/>
      </c:scatterChart>
      <c:valAx>
        <c:axId val="12980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823488"/>
        <c:crosses val="autoZero"/>
        <c:crossBetween val="midCat"/>
      </c:valAx>
      <c:valAx>
        <c:axId val="1298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80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(Dosimetría)(Blanco)'!$OP$122,'F-LSCD-002 (Dosimetría)(Blanco)'!$OP$136,'F-LSCD-002 (Dosimetría)(Blanco)'!$OP$145)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D-4A63-ACCC-307FFE21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46816"/>
        <c:axId val="129748352"/>
      </c:scatterChart>
      <c:valAx>
        <c:axId val="12974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748352"/>
        <c:crosses val="autoZero"/>
        <c:crossBetween val="midCat"/>
      </c:valAx>
      <c:valAx>
        <c:axId val="12974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74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(Dosimetría)(Blanco)'!$RW$122,'F-LSCD-002 (Dosimetría)(Blanco)'!$RW$136,'F-LSCD-002 (Dosimetría)(Blanco)'!$RW$145)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D9-4DEE-A550-780C11B75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2208"/>
        <c:axId val="130623744"/>
      </c:scatterChart>
      <c:valAx>
        <c:axId val="13062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623744"/>
        <c:crosses val="autoZero"/>
        <c:crossBetween val="midCat"/>
      </c:valAx>
      <c:valAx>
        <c:axId val="1306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062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(Dosimetría)(Blanco)'!$SN$122,'F-LSCD-002 (Dosimetría)(Blanco)'!$SN$136,'F-LSCD-002 (Dosimetría)(Blanco)'!$SN$145)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E-4409-97C3-FE2278FA6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96448"/>
        <c:axId val="129897600"/>
      </c:scatterChart>
      <c:valAx>
        <c:axId val="12989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897600"/>
        <c:crosses val="autoZero"/>
        <c:crossBetween val="midCat"/>
      </c:valAx>
      <c:valAx>
        <c:axId val="1298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89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7944881889763779"/>
                  <c:y val="-0.136872265966754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2E-05x</a:t>
                    </a:r>
                    <a:r>
                      <a:rPr lang="en-US" sz="2000" baseline="30000"/>
                      <a:t>-1,921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0,9964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Lit>
              <c:formatCode>General</c:formatCode>
              <c:ptCount val="3"/>
              <c:pt idx="0">
                <c:v>1.5</c:v>
              </c:pt>
              <c:pt idx="1">
                <c:v>2</c:v>
              </c:pt>
              <c:pt idx="2">
                <c:v>2.5</c:v>
              </c:pt>
            </c:numLit>
          </c:xVal>
          <c:yVal>
            <c:numRef>
              <c:f>('F-LSCD-002 (Dosimetría)(Blanco)'!$TV$122,'F-LSCD-002 (Dosimetría)(Blanco)'!$TV$136,'F-LSCD-002 (Dosimetría)(Blanco)'!$TV$145)</c:f>
              <c:numCache>
                <c:formatCode>0.00E+00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63-4EFE-8564-AE85677FF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27040"/>
        <c:axId val="129928576"/>
      </c:scatterChart>
      <c:valAx>
        <c:axId val="12992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928576"/>
        <c:crosses val="autoZero"/>
        <c:crossBetween val="midCat"/>
      </c:valAx>
      <c:valAx>
        <c:axId val="1299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92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image" Target="../media/image1.jpg"/><Relationship Id="rId18" Type="http://schemas.openxmlformats.org/officeDocument/2006/relationships/image" Target="../media/image6.jpg"/><Relationship Id="rId3" Type="http://schemas.openxmlformats.org/officeDocument/2006/relationships/chart" Target="../charts/chart4.xml"/><Relationship Id="rId21" Type="http://schemas.openxmlformats.org/officeDocument/2006/relationships/image" Target="../media/image9.jpg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image" Target="../media/image5.jpg"/><Relationship Id="rId2" Type="http://schemas.openxmlformats.org/officeDocument/2006/relationships/chart" Target="../charts/chart3.xml"/><Relationship Id="rId16" Type="http://schemas.openxmlformats.org/officeDocument/2006/relationships/image" Target="../media/image4.jpg"/><Relationship Id="rId20" Type="http://schemas.openxmlformats.org/officeDocument/2006/relationships/image" Target="../media/image8.jpg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14.xml"/><Relationship Id="rId5" Type="http://schemas.openxmlformats.org/officeDocument/2006/relationships/chart" Target="../charts/chart6.xml"/><Relationship Id="rId15" Type="http://schemas.openxmlformats.org/officeDocument/2006/relationships/image" Target="../media/image3.jpg"/><Relationship Id="rId23" Type="http://schemas.openxmlformats.org/officeDocument/2006/relationships/image" Target="../media/image11.png"/><Relationship Id="rId10" Type="http://schemas.openxmlformats.org/officeDocument/2006/relationships/chart" Target="../charts/chart11.xml"/><Relationship Id="rId19" Type="http://schemas.openxmlformats.org/officeDocument/2006/relationships/image" Target="../media/image7.jpg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image" Target="../media/image2.jpg"/><Relationship Id="rId22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chart" Target="../charts/chart15.xml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16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chart" Target="../charts/chart16.xml"/><Relationship Id="rId6" Type="http://schemas.openxmlformats.org/officeDocument/2006/relationships/image" Target="../media/image19.png"/><Relationship Id="rId11" Type="http://schemas.openxmlformats.org/officeDocument/2006/relationships/image" Target="../media/image36.png"/><Relationship Id="rId5" Type="http://schemas.openxmlformats.org/officeDocument/2006/relationships/image" Target="../media/image18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18" Type="http://schemas.openxmlformats.org/officeDocument/2006/relationships/chart" Target="../charts/chart30.xml"/><Relationship Id="rId26" Type="http://schemas.openxmlformats.org/officeDocument/2006/relationships/chart" Target="../charts/chart38.xml"/><Relationship Id="rId3" Type="http://schemas.openxmlformats.org/officeDocument/2006/relationships/image" Target="../media/image46.png"/><Relationship Id="rId21" Type="http://schemas.openxmlformats.org/officeDocument/2006/relationships/chart" Target="../charts/chart33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17" Type="http://schemas.openxmlformats.org/officeDocument/2006/relationships/chart" Target="../charts/chart29.xml"/><Relationship Id="rId25" Type="http://schemas.openxmlformats.org/officeDocument/2006/relationships/chart" Target="../charts/chart37.xml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20" Type="http://schemas.openxmlformats.org/officeDocument/2006/relationships/chart" Target="../charts/chart32.xml"/><Relationship Id="rId29" Type="http://schemas.openxmlformats.org/officeDocument/2006/relationships/chart" Target="../charts/chart41.xml"/><Relationship Id="rId1" Type="http://schemas.openxmlformats.org/officeDocument/2006/relationships/image" Target="../media/image22.png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24" Type="http://schemas.openxmlformats.org/officeDocument/2006/relationships/chart" Target="../charts/chart36.xml"/><Relationship Id="rId5" Type="http://schemas.openxmlformats.org/officeDocument/2006/relationships/image" Target="../media/image48.png"/><Relationship Id="rId15" Type="http://schemas.openxmlformats.org/officeDocument/2006/relationships/chart" Target="../charts/chart27.xml"/><Relationship Id="rId23" Type="http://schemas.openxmlformats.org/officeDocument/2006/relationships/chart" Target="../charts/chart35.xml"/><Relationship Id="rId28" Type="http://schemas.openxmlformats.org/officeDocument/2006/relationships/chart" Target="../charts/chart40.xml"/><Relationship Id="rId10" Type="http://schemas.openxmlformats.org/officeDocument/2006/relationships/chart" Target="../charts/chart22.xml"/><Relationship Id="rId19" Type="http://schemas.openxmlformats.org/officeDocument/2006/relationships/chart" Target="../charts/chart31.xml"/><Relationship Id="rId4" Type="http://schemas.openxmlformats.org/officeDocument/2006/relationships/image" Target="../media/image47.png"/><Relationship Id="rId9" Type="http://schemas.openxmlformats.org/officeDocument/2006/relationships/chart" Target="../charts/chart21.xml"/><Relationship Id="rId14" Type="http://schemas.openxmlformats.org/officeDocument/2006/relationships/chart" Target="../charts/chart26.xml"/><Relationship Id="rId22" Type="http://schemas.openxmlformats.org/officeDocument/2006/relationships/chart" Target="../charts/chart34.xml"/><Relationship Id="rId27" Type="http://schemas.openxmlformats.org/officeDocument/2006/relationships/chart" Target="../charts/chart39.xml"/><Relationship Id="rId30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image" Target="../media/image50.png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2" Type="http://schemas.openxmlformats.org/officeDocument/2006/relationships/chart" Target="../charts/chart42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29" Type="http://schemas.openxmlformats.org/officeDocument/2006/relationships/chart" Target="../charts/chart65.xml"/><Relationship Id="rId1" Type="http://schemas.openxmlformats.org/officeDocument/2006/relationships/image" Target="../media/image22.png"/><Relationship Id="rId6" Type="http://schemas.openxmlformats.org/officeDocument/2006/relationships/image" Target="../media/image48.png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image" Target="../media/image47.png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28" Type="http://schemas.openxmlformats.org/officeDocument/2006/relationships/chart" Target="../charts/chart64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image" Target="../media/image46.png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Relationship Id="rId27" Type="http://schemas.openxmlformats.org/officeDocument/2006/relationships/chart" Target="../charts/chart63.xml"/><Relationship Id="rId30" Type="http://schemas.openxmlformats.org/officeDocument/2006/relationships/chart" Target="../charts/chart6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26" Type="http://schemas.openxmlformats.org/officeDocument/2006/relationships/chart" Target="../charts/chart87.xml"/><Relationship Id="rId3" Type="http://schemas.openxmlformats.org/officeDocument/2006/relationships/image" Target="../media/image50.png"/><Relationship Id="rId21" Type="http://schemas.openxmlformats.org/officeDocument/2006/relationships/chart" Target="../charts/chart82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5" Type="http://schemas.openxmlformats.org/officeDocument/2006/relationships/chart" Target="../charts/chart86.xml"/><Relationship Id="rId2" Type="http://schemas.openxmlformats.org/officeDocument/2006/relationships/chart" Target="../charts/chart67.xml"/><Relationship Id="rId16" Type="http://schemas.openxmlformats.org/officeDocument/2006/relationships/chart" Target="../charts/chart77.xml"/><Relationship Id="rId20" Type="http://schemas.openxmlformats.org/officeDocument/2006/relationships/chart" Target="../charts/chart81.xml"/><Relationship Id="rId29" Type="http://schemas.openxmlformats.org/officeDocument/2006/relationships/chart" Target="../charts/chart90.xml"/><Relationship Id="rId1" Type="http://schemas.openxmlformats.org/officeDocument/2006/relationships/image" Target="../media/image22.png"/><Relationship Id="rId6" Type="http://schemas.openxmlformats.org/officeDocument/2006/relationships/image" Target="../media/image48.png"/><Relationship Id="rId11" Type="http://schemas.openxmlformats.org/officeDocument/2006/relationships/chart" Target="../charts/chart72.xml"/><Relationship Id="rId24" Type="http://schemas.openxmlformats.org/officeDocument/2006/relationships/chart" Target="../charts/chart85.xml"/><Relationship Id="rId5" Type="http://schemas.openxmlformats.org/officeDocument/2006/relationships/image" Target="../media/image47.png"/><Relationship Id="rId15" Type="http://schemas.openxmlformats.org/officeDocument/2006/relationships/chart" Target="../charts/chart76.xml"/><Relationship Id="rId23" Type="http://schemas.openxmlformats.org/officeDocument/2006/relationships/chart" Target="../charts/chart84.xml"/><Relationship Id="rId28" Type="http://schemas.openxmlformats.org/officeDocument/2006/relationships/chart" Target="../charts/chart89.xml"/><Relationship Id="rId10" Type="http://schemas.openxmlformats.org/officeDocument/2006/relationships/chart" Target="../charts/chart71.xml"/><Relationship Id="rId19" Type="http://schemas.openxmlformats.org/officeDocument/2006/relationships/chart" Target="../charts/chart80.xml"/><Relationship Id="rId4" Type="http://schemas.openxmlformats.org/officeDocument/2006/relationships/image" Target="../media/image46.png"/><Relationship Id="rId9" Type="http://schemas.openxmlformats.org/officeDocument/2006/relationships/chart" Target="../charts/chart70.xml"/><Relationship Id="rId14" Type="http://schemas.openxmlformats.org/officeDocument/2006/relationships/chart" Target="../charts/chart75.xml"/><Relationship Id="rId22" Type="http://schemas.openxmlformats.org/officeDocument/2006/relationships/chart" Target="../charts/chart83.xml"/><Relationship Id="rId27" Type="http://schemas.openxmlformats.org/officeDocument/2006/relationships/chart" Target="../charts/chart88.xml"/><Relationship Id="rId30" Type="http://schemas.openxmlformats.org/officeDocument/2006/relationships/chart" Target="../charts/chart91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34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16.png"/><Relationship Id="rId16" Type="http://schemas.openxmlformats.org/officeDocument/2006/relationships/image" Target="../media/image61.png"/><Relationship Id="rId1" Type="http://schemas.openxmlformats.org/officeDocument/2006/relationships/chart" Target="../charts/chart92.xml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35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22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34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16.png"/><Relationship Id="rId1" Type="http://schemas.openxmlformats.org/officeDocument/2006/relationships/chart" Target="../charts/chart93.xml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35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22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34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16.png"/><Relationship Id="rId16" Type="http://schemas.openxmlformats.org/officeDocument/2006/relationships/image" Target="../media/image62.png"/><Relationship Id="rId1" Type="http://schemas.openxmlformats.org/officeDocument/2006/relationships/chart" Target="../charts/chart94.xml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35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22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chart" Target="../charts/chart96.xml"/><Relationship Id="rId26" Type="http://schemas.openxmlformats.org/officeDocument/2006/relationships/chart" Target="../charts/chart104.xml"/><Relationship Id="rId3" Type="http://schemas.openxmlformats.org/officeDocument/2006/relationships/image" Target="../media/image34.png"/><Relationship Id="rId21" Type="http://schemas.openxmlformats.org/officeDocument/2006/relationships/chart" Target="../charts/chart99.xml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chart" Target="../charts/chart103.xml"/><Relationship Id="rId2" Type="http://schemas.openxmlformats.org/officeDocument/2006/relationships/image" Target="../media/image16.png"/><Relationship Id="rId16" Type="http://schemas.openxmlformats.org/officeDocument/2006/relationships/image" Target="../media/image61.png"/><Relationship Id="rId20" Type="http://schemas.openxmlformats.org/officeDocument/2006/relationships/chart" Target="../charts/chart98.xml"/><Relationship Id="rId1" Type="http://schemas.openxmlformats.org/officeDocument/2006/relationships/chart" Target="../charts/chart95.xml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chart" Target="../charts/chart102.xml"/><Relationship Id="rId5" Type="http://schemas.openxmlformats.org/officeDocument/2006/relationships/image" Target="../media/image35.png"/><Relationship Id="rId15" Type="http://schemas.openxmlformats.org/officeDocument/2006/relationships/image" Target="../media/image60.png"/><Relationship Id="rId23" Type="http://schemas.openxmlformats.org/officeDocument/2006/relationships/chart" Target="../charts/chart101.xml"/><Relationship Id="rId28" Type="http://schemas.openxmlformats.org/officeDocument/2006/relationships/chart" Target="../charts/chart106.xml"/><Relationship Id="rId10" Type="http://schemas.openxmlformats.org/officeDocument/2006/relationships/image" Target="../media/image55.png"/><Relationship Id="rId19" Type="http://schemas.openxmlformats.org/officeDocument/2006/relationships/chart" Target="../charts/chart97.xml"/><Relationship Id="rId4" Type="http://schemas.openxmlformats.org/officeDocument/2006/relationships/image" Target="../media/image22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chart" Target="../charts/chart100.xml"/><Relationship Id="rId27" Type="http://schemas.openxmlformats.org/officeDocument/2006/relationships/chart" Target="../charts/chart105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22.png"/><Relationship Id="rId3" Type="http://schemas.openxmlformats.org/officeDocument/2006/relationships/image" Target="../media/image48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46.png"/><Relationship Id="rId1" Type="http://schemas.openxmlformats.org/officeDocument/2006/relationships/image" Target="../media/image50.png"/><Relationship Id="rId6" Type="http://schemas.openxmlformats.org/officeDocument/2006/relationships/chart" Target="../charts/chart109.xml"/><Relationship Id="rId11" Type="http://schemas.openxmlformats.org/officeDocument/2006/relationships/image" Target="../media/image67.png"/><Relationship Id="rId5" Type="http://schemas.openxmlformats.org/officeDocument/2006/relationships/chart" Target="../charts/chart108.xml"/><Relationship Id="rId10" Type="http://schemas.openxmlformats.org/officeDocument/2006/relationships/image" Target="../media/image66.png"/><Relationship Id="rId4" Type="http://schemas.openxmlformats.org/officeDocument/2006/relationships/chart" Target="../charts/chart107.xml"/><Relationship Id="rId9" Type="http://schemas.openxmlformats.org/officeDocument/2006/relationships/image" Target="../media/image6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2.png"/><Relationship Id="rId1" Type="http://schemas.openxmlformats.org/officeDocument/2006/relationships/image" Target="../media/image7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0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0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9.png"/><Relationship Id="rId1" Type="http://schemas.openxmlformats.org/officeDocument/2006/relationships/image" Target="../media/image7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14.png"/><Relationship Id="rId4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7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7.xml"/><Relationship Id="rId13" Type="http://schemas.openxmlformats.org/officeDocument/2006/relationships/chart" Target="../charts/chart122.xml"/><Relationship Id="rId18" Type="http://schemas.openxmlformats.org/officeDocument/2006/relationships/image" Target="../media/image5.jpg"/><Relationship Id="rId3" Type="http://schemas.openxmlformats.org/officeDocument/2006/relationships/chart" Target="../charts/chart112.xml"/><Relationship Id="rId21" Type="http://schemas.openxmlformats.org/officeDocument/2006/relationships/image" Target="../media/image8.jpg"/><Relationship Id="rId7" Type="http://schemas.openxmlformats.org/officeDocument/2006/relationships/chart" Target="../charts/chart116.xml"/><Relationship Id="rId12" Type="http://schemas.openxmlformats.org/officeDocument/2006/relationships/chart" Target="../charts/chart121.xml"/><Relationship Id="rId17" Type="http://schemas.openxmlformats.org/officeDocument/2006/relationships/image" Target="../media/image4.jpg"/><Relationship Id="rId2" Type="http://schemas.openxmlformats.org/officeDocument/2006/relationships/image" Target="../media/image11.png"/><Relationship Id="rId16" Type="http://schemas.openxmlformats.org/officeDocument/2006/relationships/image" Target="../media/image3.jpg"/><Relationship Id="rId20" Type="http://schemas.openxmlformats.org/officeDocument/2006/relationships/image" Target="../media/image7.jpg"/><Relationship Id="rId1" Type="http://schemas.openxmlformats.org/officeDocument/2006/relationships/chart" Target="../charts/chart111.xml"/><Relationship Id="rId6" Type="http://schemas.openxmlformats.org/officeDocument/2006/relationships/chart" Target="../charts/chart115.xml"/><Relationship Id="rId11" Type="http://schemas.openxmlformats.org/officeDocument/2006/relationships/chart" Target="../charts/chart120.xml"/><Relationship Id="rId5" Type="http://schemas.openxmlformats.org/officeDocument/2006/relationships/chart" Target="../charts/chart114.xml"/><Relationship Id="rId15" Type="http://schemas.openxmlformats.org/officeDocument/2006/relationships/image" Target="../media/image2.jpg"/><Relationship Id="rId23" Type="http://schemas.openxmlformats.org/officeDocument/2006/relationships/image" Target="../media/image10.jpg"/><Relationship Id="rId10" Type="http://schemas.openxmlformats.org/officeDocument/2006/relationships/chart" Target="../charts/chart119.xml"/><Relationship Id="rId19" Type="http://schemas.openxmlformats.org/officeDocument/2006/relationships/image" Target="../media/image6.jpg"/><Relationship Id="rId4" Type="http://schemas.openxmlformats.org/officeDocument/2006/relationships/chart" Target="../charts/chart113.xml"/><Relationship Id="rId9" Type="http://schemas.openxmlformats.org/officeDocument/2006/relationships/chart" Target="../charts/chart118.xml"/><Relationship Id="rId14" Type="http://schemas.openxmlformats.org/officeDocument/2006/relationships/image" Target="../media/image1.jpg"/><Relationship Id="rId22" Type="http://schemas.openxmlformats.org/officeDocument/2006/relationships/image" Target="../media/image9.jpg"/></Relationships>
</file>

<file path=xl/drawings/_rels/drawing57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4</xdr:row>
      <xdr:rowOff>7620</xdr:rowOff>
    </xdr:from>
    <xdr:to>
      <xdr:col>10</xdr:col>
      <xdr:colOff>617220</xdr:colOff>
      <xdr:row>19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6CB581-DC57-4D31-95D2-95D629902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12248</xdr:colOff>
      <xdr:row>296</xdr:row>
      <xdr:rowOff>601</xdr:rowOff>
    </xdr:from>
    <xdr:to>
      <xdr:col>18</xdr:col>
      <xdr:colOff>711200</xdr:colOff>
      <xdr:row>332</xdr:row>
      <xdr:rowOff>38703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365124</xdr:colOff>
      <xdr:row>246</xdr:row>
      <xdr:rowOff>79375</xdr:rowOff>
    </xdr:from>
    <xdr:to>
      <xdr:col>11</xdr:col>
      <xdr:colOff>888999</xdr:colOff>
      <xdr:row>260</xdr:row>
      <xdr:rowOff>696912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349250</xdr:colOff>
      <xdr:row>201</xdr:row>
      <xdr:rowOff>112712</xdr:rowOff>
    </xdr:from>
    <xdr:to>
      <xdr:col>17</xdr:col>
      <xdr:colOff>31750</xdr:colOff>
      <xdr:row>212</xdr:row>
      <xdr:rowOff>188912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452437</xdr:colOff>
      <xdr:row>210</xdr:row>
      <xdr:rowOff>303212</xdr:rowOff>
    </xdr:from>
    <xdr:to>
      <xdr:col>70</xdr:col>
      <xdr:colOff>198437</xdr:colOff>
      <xdr:row>222</xdr:row>
      <xdr:rowOff>188912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82</xdr:col>
      <xdr:colOff>341312</xdr:colOff>
      <xdr:row>210</xdr:row>
      <xdr:rowOff>223837</xdr:rowOff>
    </xdr:from>
    <xdr:to>
      <xdr:col>88</xdr:col>
      <xdr:colOff>325437</xdr:colOff>
      <xdr:row>222</xdr:row>
      <xdr:rowOff>109537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100</xdr:col>
      <xdr:colOff>674687</xdr:colOff>
      <xdr:row>210</xdr:row>
      <xdr:rowOff>334962</xdr:rowOff>
    </xdr:from>
    <xdr:to>
      <xdr:col>106</xdr:col>
      <xdr:colOff>325437</xdr:colOff>
      <xdr:row>223</xdr:row>
      <xdr:rowOff>30162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154</xdr:col>
      <xdr:colOff>198437</xdr:colOff>
      <xdr:row>210</xdr:row>
      <xdr:rowOff>49212</xdr:rowOff>
    </xdr:from>
    <xdr:to>
      <xdr:col>159</xdr:col>
      <xdr:colOff>404812</xdr:colOff>
      <xdr:row>221</xdr:row>
      <xdr:rowOff>125412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388</xdr:col>
      <xdr:colOff>412750</xdr:colOff>
      <xdr:row>209</xdr:row>
      <xdr:rowOff>158750</xdr:rowOff>
    </xdr:from>
    <xdr:to>
      <xdr:col>394</xdr:col>
      <xdr:colOff>412750</xdr:colOff>
      <xdr:row>221</xdr:row>
      <xdr:rowOff>44450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425</xdr:col>
      <xdr:colOff>0</xdr:colOff>
      <xdr:row>212</xdr:row>
      <xdr:rowOff>0</xdr:rowOff>
    </xdr:from>
    <xdr:to>
      <xdr:col>430</xdr:col>
      <xdr:colOff>555625</xdr:colOff>
      <xdr:row>223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515</xdr:col>
      <xdr:colOff>0</xdr:colOff>
      <xdr:row>211</xdr:row>
      <xdr:rowOff>0</xdr:rowOff>
    </xdr:from>
    <xdr:to>
      <xdr:col>521</xdr:col>
      <xdr:colOff>142875</xdr:colOff>
      <xdr:row>222</xdr:row>
      <xdr:rowOff>76200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532</xdr:col>
      <xdr:colOff>873125</xdr:colOff>
      <xdr:row>210</xdr:row>
      <xdr:rowOff>63500</xdr:rowOff>
    </xdr:from>
    <xdr:to>
      <xdr:col>538</xdr:col>
      <xdr:colOff>539750</xdr:colOff>
      <xdr:row>221</xdr:row>
      <xdr:rowOff>139700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569</xdr:col>
      <xdr:colOff>0</xdr:colOff>
      <xdr:row>212</xdr:row>
      <xdr:rowOff>0</xdr:rowOff>
    </xdr:from>
    <xdr:to>
      <xdr:col>574</xdr:col>
      <xdr:colOff>603250</xdr:colOff>
      <xdr:row>223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</xdr:col>
      <xdr:colOff>987136</xdr:colOff>
      <xdr:row>177</xdr:row>
      <xdr:rowOff>155864</xdr:rowOff>
    </xdr:from>
    <xdr:to>
      <xdr:col>11</xdr:col>
      <xdr:colOff>830925</xdr:colOff>
      <xdr:row>200</xdr:row>
      <xdr:rowOff>94362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568" y="36333546"/>
          <a:ext cx="10318172" cy="4138157"/>
        </a:xfrm>
        <a:prstGeom prst="rect">
          <a:avLst/>
        </a:prstGeom>
        <a:ln w="25400">
          <a:noFill/>
        </a:ln>
      </xdr:spPr>
    </xdr:pic>
    <xdr:clientData/>
  </xdr:twoCellAnchor>
  <xdr:twoCellAnchor editAs="oneCell">
    <xdr:from>
      <xdr:col>56</xdr:col>
      <xdr:colOff>0</xdr:colOff>
      <xdr:row>177</xdr:row>
      <xdr:rowOff>0</xdr:rowOff>
    </xdr:from>
    <xdr:to>
      <xdr:col>67</xdr:col>
      <xdr:colOff>454026</xdr:colOff>
      <xdr:row>200</xdr:row>
      <xdr:rowOff>4695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05125" y="36226750"/>
          <a:ext cx="10058400" cy="4389370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177</xdr:row>
      <xdr:rowOff>0</xdr:rowOff>
    </xdr:from>
    <xdr:to>
      <xdr:col>86</xdr:col>
      <xdr:colOff>168275</xdr:colOff>
      <xdr:row>199</xdr:row>
      <xdr:rowOff>143620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0" y="36226750"/>
          <a:ext cx="10058400" cy="4350495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177</xdr:row>
      <xdr:rowOff>0</xdr:rowOff>
    </xdr:from>
    <xdr:to>
      <xdr:col>103</xdr:col>
      <xdr:colOff>200025</xdr:colOff>
      <xdr:row>199</xdr:row>
      <xdr:rowOff>149499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27500" y="36226750"/>
          <a:ext cx="10058400" cy="4356374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177</xdr:row>
      <xdr:rowOff>0</xdr:rowOff>
    </xdr:from>
    <xdr:to>
      <xdr:col>157</xdr:col>
      <xdr:colOff>342901</xdr:colOff>
      <xdr:row>199</xdr:row>
      <xdr:rowOff>120339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46750" y="36226750"/>
          <a:ext cx="10058400" cy="4327214"/>
        </a:xfrm>
        <a:prstGeom prst="rect">
          <a:avLst/>
        </a:prstGeom>
      </xdr:spPr>
    </xdr:pic>
    <xdr:clientData/>
  </xdr:twoCellAnchor>
  <xdr:twoCellAnchor editAs="oneCell">
    <xdr:from>
      <xdr:col>380</xdr:col>
      <xdr:colOff>0</xdr:colOff>
      <xdr:row>177</xdr:row>
      <xdr:rowOff>0</xdr:rowOff>
    </xdr:from>
    <xdr:to>
      <xdr:col>392</xdr:col>
      <xdr:colOff>342899</xdr:colOff>
      <xdr:row>199</xdr:row>
      <xdr:rowOff>132974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655250" y="36226750"/>
          <a:ext cx="10058400" cy="4339849"/>
        </a:xfrm>
        <a:prstGeom prst="rect">
          <a:avLst/>
        </a:prstGeom>
      </xdr:spPr>
    </xdr:pic>
    <xdr:clientData/>
  </xdr:twoCellAnchor>
  <xdr:twoCellAnchor editAs="oneCell">
    <xdr:from>
      <xdr:col>416</xdr:col>
      <xdr:colOff>0</xdr:colOff>
      <xdr:row>177</xdr:row>
      <xdr:rowOff>0</xdr:rowOff>
    </xdr:from>
    <xdr:to>
      <xdr:col>427</xdr:col>
      <xdr:colOff>295276</xdr:colOff>
      <xdr:row>199</xdr:row>
      <xdr:rowOff>123259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833125" y="36226750"/>
          <a:ext cx="10058400" cy="4330134"/>
        </a:xfrm>
        <a:prstGeom prst="rect">
          <a:avLst/>
        </a:prstGeom>
      </xdr:spPr>
    </xdr:pic>
    <xdr:clientData/>
  </xdr:twoCellAnchor>
  <xdr:twoCellAnchor editAs="oneCell">
    <xdr:from>
      <xdr:col>506</xdr:col>
      <xdr:colOff>0</xdr:colOff>
      <xdr:row>177</xdr:row>
      <xdr:rowOff>0</xdr:rowOff>
    </xdr:from>
    <xdr:to>
      <xdr:col>518</xdr:col>
      <xdr:colOff>263525</xdr:colOff>
      <xdr:row>199</xdr:row>
      <xdr:rowOff>120339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746000" y="36226750"/>
          <a:ext cx="10058400" cy="4327214"/>
        </a:xfrm>
        <a:prstGeom prst="rect">
          <a:avLst/>
        </a:prstGeom>
      </xdr:spPr>
    </xdr:pic>
    <xdr:clientData/>
  </xdr:twoCellAnchor>
  <xdr:twoCellAnchor editAs="oneCell">
    <xdr:from>
      <xdr:col>524</xdr:col>
      <xdr:colOff>0</xdr:colOff>
      <xdr:row>177</xdr:row>
      <xdr:rowOff>0</xdr:rowOff>
    </xdr:from>
    <xdr:to>
      <xdr:col>535</xdr:col>
      <xdr:colOff>454025</xdr:colOff>
      <xdr:row>199</xdr:row>
      <xdr:rowOff>113557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74625" y="36226750"/>
          <a:ext cx="10058400" cy="4320432"/>
        </a:xfrm>
        <a:prstGeom prst="rect">
          <a:avLst/>
        </a:prstGeom>
      </xdr:spPr>
    </xdr:pic>
    <xdr:clientData/>
  </xdr:twoCellAnchor>
  <xdr:twoCellAnchor editAs="oneCell">
    <xdr:from>
      <xdr:col>560</xdr:col>
      <xdr:colOff>0</xdr:colOff>
      <xdr:row>177</xdr:row>
      <xdr:rowOff>0</xdr:rowOff>
    </xdr:from>
    <xdr:to>
      <xdr:col>571</xdr:col>
      <xdr:colOff>723901</xdr:colOff>
      <xdr:row>199</xdr:row>
      <xdr:rowOff>143620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751000" y="36226750"/>
          <a:ext cx="10058400" cy="4350495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0</xdr:row>
      <xdr:rowOff>29481</xdr:rowOff>
    </xdr:from>
    <xdr:to>
      <xdr:col>3</xdr:col>
      <xdr:colOff>267100</xdr:colOff>
      <xdr:row>3</xdr:row>
      <xdr:rowOff>142874</xdr:rowOff>
    </xdr:to>
    <xdr:pic>
      <xdr:nvPicPr>
        <xdr:cNvPr id="25" name="Imagen 16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29481"/>
          <a:ext cx="1956200" cy="684893"/>
        </a:xfrm>
        <a:prstGeom prst="rect">
          <a:avLst/>
        </a:prstGeom>
      </xdr:spPr>
    </xdr:pic>
    <xdr:clientData/>
  </xdr:twoCellAnchor>
  <xdr:twoCellAnchor>
    <xdr:from>
      <xdr:col>568</xdr:col>
      <xdr:colOff>50426</xdr:colOff>
      <xdr:row>249</xdr:row>
      <xdr:rowOff>62753</xdr:rowOff>
    </xdr:from>
    <xdr:to>
      <xdr:col>573</xdr:col>
      <xdr:colOff>498661</xdr:colOff>
      <xdr:row>263</xdr:row>
      <xdr:rowOff>138953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02A4BE-4922-4D2A-83D8-F4297A297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104775</xdr:rowOff>
    </xdr:from>
    <xdr:to>
      <xdr:col>6</xdr:col>
      <xdr:colOff>215900</xdr:colOff>
      <xdr:row>3</xdr:row>
      <xdr:rowOff>104775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04775"/>
          <a:ext cx="1635125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35</xdr:row>
      <xdr:rowOff>57150</xdr:rowOff>
    </xdr:from>
    <xdr:to>
      <xdr:col>18</xdr:col>
      <xdr:colOff>266700</xdr:colOff>
      <xdr:row>37</xdr:row>
      <xdr:rowOff>110363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466B5B-4F4F-4FBC-88EE-C29DB2051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7134225"/>
          <a:ext cx="1333500" cy="434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216102</xdr:colOff>
      <xdr:row>3</xdr:row>
      <xdr:rowOff>161925</xdr:rowOff>
    </xdr:to>
    <xdr:pic>
      <xdr:nvPicPr>
        <xdr:cNvPr id="3" name="Imagen 2" descr="https://attachment.outlook.office.net/owa/schumaghers@live.com/service.svc/s/GetFileAttachment?id=AQMkADAwATM0MDAAMS05MjIAMy01YjU5LTAwAi0wMAoARgAAA6F1Z6q8tW5HtbFvKm2RApIHAM8SgJNscOpHgJ8K3Gfrd2MAAAIBCQAAAM8SgJNscOpHgJ8K3Gfrd2MAAUXXtiMAAAABEgAQAKh3oVIdPWhAjLrN9UoSClY%3D&amp;X-OWA-CANARY=RmIXzalTM0W41VWPY3Z9yTBX7KK2c9QY9jXPiU14RKEfgYTcMWgvqhZtV1Uv2MPGHTI6aZHHqj0.&amp;token=bd8baeb5-4b9d-4f7c-bdb9-76d5ae5111a7&amp;owa=outlook.live.com&amp;isc=1&amp;isImagePreview=Tru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2073477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394607</xdr:colOff>
      <xdr:row>66</xdr:row>
      <xdr:rowOff>81642</xdr:rowOff>
    </xdr:from>
    <xdr:to>
      <xdr:col>19</xdr:col>
      <xdr:colOff>96890</xdr:colOff>
      <xdr:row>68</xdr:row>
      <xdr:rowOff>139592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027418D-42F6-4C76-B557-133E4889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72607" y="13334999"/>
          <a:ext cx="1335140" cy="438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285748</xdr:colOff>
      <xdr:row>40</xdr:row>
      <xdr:rowOff>9523</xdr:rowOff>
    </xdr:from>
    <xdr:to>
      <xdr:col>10</xdr:col>
      <xdr:colOff>838200</xdr:colOff>
      <xdr:row>65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5</xdr:col>
      <xdr:colOff>295275</xdr:colOff>
      <xdr:row>97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840575"/>
          <a:ext cx="36004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2</xdr:col>
      <xdr:colOff>219075</xdr:colOff>
      <xdr:row>172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0528875"/>
          <a:ext cx="9810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2</xdr:col>
      <xdr:colOff>285750</xdr:colOff>
      <xdr:row>213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8434625"/>
          <a:ext cx="104775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2</xdr:col>
      <xdr:colOff>152400</xdr:colOff>
      <xdr:row>250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5578375"/>
          <a:ext cx="9144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266</xdr:row>
      <xdr:rowOff>0</xdr:rowOff>
    </xdr:from>
    <xdr:to>
      <xdr:col>2</xdr:col>
      <xdr:colOff>381000</xdr:colOff>
      <xdr:row>268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9055000"/>
          <a:ext cx="1143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2</xdr:col>
      <xdr:colOff>219075</xdr:colOff>
      <xdr:row>232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2101750"/>
          <a:ext cx="9810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600075</xdr:colOff>
      <xdr:row>76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11450"/>
          <a:ext cx="14478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5</xdr:col>
      <xdr:colOff>200025</xdr:colOff>
      <xdr:row>115</xdr:row>
      <xdr:rowOff>0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926675"/>
          <a:ext cx="35052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5</xdr:col>
      <xdr:colOff>552450</xdr:colOff>
      <xdr:row>152</xdr:row>
      <xdr:rowOff>0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212800"/>
          <a:ext cx="38576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5</xdr:col>
      <xdr:colOff>142875</xdr:colOff>
      <xdr:row>135</xdr:row>
      <xdr:rowOff>0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784300"/>
          <a:ext cx="34480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5</xdr:col>
      <xdr:colOff>428625</xdr:colOff>
      <xdr:row>193</xdr:row>
      <xdr:rowOff>0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976175"/>
          <a:ext cx="3733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5</xdr:col>
      <xdr:colOff>619125</xdr:colOff>
      <xdr:row>284</xdr:row>
      <xdr:rowOff>0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5549800"/>
          <a:ext cx="39243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298</xdr:row>
      <xdr:rowOff>0</xdr:rowOff>
    </xdr:from>
    <xdr:to>
      <xdr:col>5</xdr:col>
      <xdr:colOff>628650</xdr:colOff>
      <xdr:row>300</xdr:row>
      <xdr:rowOff>0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8645425"/>
          <a:ext cx="39338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5</xdr:col>
      <xdr:colOff>819150</xdr:colOff>
      <xdr:row>319</xdr:row>
      <xdr:rowOff>0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2312550"/>
          <a:ext cx="41243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336</xdr:row>
      <xdr:rowOff>0</xdr:rowOff>
    </xdr:from>
    <xdr:to>
      <xdr:col>5</xdr:col>
      <xdr:colOff>819150</xdr:colOff>
      <xdr:row>338</xdr:row>
      <xdr:rowOff>0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979675"/>
          <a:ext cx="41243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352</xdr:row>
      <xdr:rowOff>0</xdr:rowOff>
    </xdr:from>
    <xdr:to>
      <xdr:col>5</xdr:col>
      <xdr:colOff>800100</xdr:colOff>
      <xdr:row>354</xdr:row>
      <xdr:rowOff>0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9075300"/>
          <a:ext cx="410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4</xdr:col>
      <xdr:colOff>809625</xdr:colOff>
      <xdr:row>71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458950"/>
          <a:ext cx="32670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285748</xdr:colOff>
      <xdr:row>42</xdr:row>
      <xdr:rowOff>9523</xdr:rowOff>
    </xdr:from>
    <xdr:to>
      <xdr:col>10</xdr:col>
      <xdr:colOff>838200</xdr:colOff>
      <xdr:row>67</xdr:row>
      <xdr:rowOff>171450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5</xdr:col>
      <xdr:colOff>295275</xdr:colOff>
      <xdr:row>99</xdr:row>
      <xdr:rowOff>133350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77000"/>
          <a:ext cx="34671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77</xdr:row>
      <xdr:rowOff>0</xdr:rowOff>
    </xdr:from>
    <xdr:to>
      <xdr:col>3</xdr:col>
      <xdr:colOff>571500</xdr:colOff>
      <xdr:row>78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429500"/>
          <a:ext cx="13716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2</xdr:col>
      <xdr:colOff>219075</xdr:colOff>
      <xdr:row>206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2499300"/>
          <a:ext cx="9810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2</xdr:col>
      <xdr:colOff>285750</xdr:colOff>
      <xdr:row>247</xdr:row>
      <xdr:rowOff>9525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0195500"/>
          <a:ext cx="104775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2</xdr:col>
      <xdr:colOff>152400</xdr:colOff>
      <xdr:row>284</xdr:row>
      <xdr:rowOff>9525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7129700"/>
          <a:ext cx="9144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300</xdr:row>
      <xdr:rowOff>0</xdr:rowOff>
    </xdr:from>
    <xdr:to>
      <xdr:col>2</xdr:col>
      <xdr:colOff>381000</xdr:colOff>
      <xdr:row>302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0596800"/>
          <a:ext cx="1143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264</xdr:row>
      <xdr:rowOff>0</xdr:rowOff>
    </xdr:from>
    <xdr:to>
      <xdr:col>2</xdr:col>
      <xdr:colOff>219075</xdr:colOff>
      <xdr:row>266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091100"/>
          <a:ext cx="9810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3</xdr:col>
      <xdr:colOff>819150</xdr:colOff>
      <xdr:row>73</xdr:row>
      <xdr:rowOff>133350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687550"/>
          <a:ext cx="24288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5</xdr:col>
      <xdr:colOff>66675</xdr:colOff>
      <xdr:row>120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498175"/>
          <a:ext cx="33718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5</xdr:col>
      <xdr:colOff>257175</xdr:colOff>
      <xdr:row>150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489400"/>
          <a:ext cx="35623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5</xdr:col>
      <xdr:colOff>66675</xdr:colOff>
      <xdr:row>169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156525"/>
          <a:ext cx="33718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5</xdr:col>
      <xdr:colOff>476250</xdr:colOff>
      <xdr:row>186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6442650"/>
          <a:ext cx="37814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316</xdr:row>
      <xdr:rowOff>0</xdr:rowOff>
    </xdr:from>
    <xdr:to>
      <xdr:col>5</xdr:col>
      <xdr:colOff>542925</xdr:colOff>
      <xdr:row>318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1922025"/>
          <a:ext cx="38481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5</xdr:col>
      <xdr:colOff>552450</xdr:colOff>
      <xdr:row>334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017650"/>
          <a:ext cx="38576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351</xdr:row>
      <xdr:rowOff>0</xdr:rowOff>
    </xdr:from>
    <xdr:to>
      <xdr:col>5</xdr:col>
      <xdr:colOff>742950</xdr:colOff>
      <xdr:row>353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8684775"/>
          <a:ext cx="40481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370</xdr:row>
      <xdr:rowOff>0</xdr:rowOff>
    </xdr:from>
    <xdr:to>
      <xdr:col>5</xdr:col>
      <xdr:colOff>742950</xdr:colOff>
      <xdr:row>372</xdr:row>
      <xdr:rowOff>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2351900"/>
          <a:ext cx="40481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386</xdr:row>
      <xdr:rowOff>0</xdr:rowOff>
    </xdr:from>
    <xdr:to>
      <xdr:col>5</xdr:col>
      <xdr:colOff>714375</xdr:colOff>
      <xdr:row>388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5676125"/>
          <a:ext cx="40195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5</xdr:col>
      <xdr:colOff>352425</xdr:colOff>
      <xdr:row>227</xdr:row>
      <xdr:rowOff>0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4577000"/>
          <a:ext cx="36576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214312</xdr:colOff>
      <xdr:row>153</xdr:row>
      <xdr:rowOff>0</xdr:rowOff>
    </xdr:from>
    <xdr:to>
      <xdr:col>9</xdr:col>
      <xdr:colOff>728662</xdr:colOff>
      <xdr:row>167</xdr:row>
      <xdr:rowOff>76200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237</xdr:row>
      <xdr:rowOff>0</xdr:rowOff>
    </xdr:from>
    <xdr:to>
      <xdr:col>4</xdr:col>
      <xdr:colOff>590550</xdr:colOff>
      <xdr:row>238</xdr:row>
      <xdr:rowOff>161925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929925"/>
          <a:ext cx="22860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4</xdr:col>
      <xdr:colOff>314325</xdr:colOff>
      <xdr:row>77</xdr:row>
      <xdr:rowOff>133350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14450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4</xdr:col>
      <xdr:colOff>314325</xdr:colOff>
      <xdr:row>94</xdr:row>
      <xdr:rowOff>133350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14450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3</xdr:col>
      <xdr:colOff>28575</xdr:colOff>
      <xdr:row>109</xdr:row>
      <xdr:rowOff>133350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02155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3</xdr:col>
      <xdr:colOff>28575</xdr:colOff>
      <xdr:row>127</xdr:row>
      <xdr:rowOff>133350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02155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4</xdr:col>
      <xdr:colOff>314325</xdr:colOff>
      <xdr:row>144</xdr:row>
      <xdr:rowOff>133350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392525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3</xdr:col>
      <xdr:colOff>28575</xdr:colOff>
      <xdr:row>175</xdr:row>
      <xdr:rowOff>133350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02155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3</xdr:col>
      <xdr:colOff>28575</xdr:colOff>
      <xdr:row>191</xdr:row>
      <xdr:rowOff>133350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262312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3</xdr:col>
      <xdr:colOff>28575</xdr:colOff>
      <xdr:row>203</xdr:row>
      <xdr:rowOff>133350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568065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4</xdr:col>
      <xdr:colOff>314325</xdr:colOff>
      <xdr:row>218</xdr:row>
      <xdr:rowOff>133350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70810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57149</xdr:colOff>
      <xdr:row>40</xdr:row>
      <xdr:rowOff>47624</xdr:rowOff>
    </xdr:from>
    <xdr:to>
      <xdr:col>14</xdr:col>
      <xdr:colOff>790574</xdr:colOff>
      <xdr:row>60</xdr:row>
      <xdr:rowOff>133350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47625</xdr:colOff>
      <xdr:row>40</xdr:row>
      <xdr:rowOff>47625</xdr:rowOff>
    </xdr:from>
    <xdr:to>
      <xdr:col>28</xdr:col>
      <xdr:colOff>781050</xdr:colOff>
      <xdr:row>60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38100</xdr:colOff>
      <xdr:row>40</xdr:row>
      <xdr:rowOff>47625</xdr:rowOff>
    </xdr:from>
    <xdr:to>
      <xdr:col>42</xdr:col>
      <xdr:colOff>723900</xdr:colOff>
      <xdr:row>60</xdr:row>
      <xdr:rowOff>152400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38100</xdr:colOff>
      <xdr:row>40</xdr:row>
      <xdr:rowOff>47625</xdr:rowOff>
    </xdr:from>
    <xdr:to>
      <xdr:col>56</xdr:col>
      <xdr:colOff>723900</xdr:colOff>
      <xdr:row>60</xdr:row>
      <xdr:rowOff>152400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64</xdr:col>
      <xdr:colOff>38100</xdr:colOff>
      <xdr:row>40</xdr:row>
      <xdr:rowOff>47625</xdr:rowOff>
    </xdr:from>
    <xdr:to>
      <xdr:col>70</xdr:col>
      <xdr:colOff>723900</xdr:colOff>
      <xdr:row>60</xdr:row>
      <xdr:rowOff>152400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78</xdr:col>
      <xdr:colOff>38100</xdr:colOff>
      <xdr:row>40</xdr:row>
      <xdr:rowOff>47625</xdr:rowOff>
    </xdr:from>
    <xdr:to>
      <xdr:col>84</xdr:col>
      <xdr:colOff>723900</xdr:colOff>
      <xdr:row>60</xdr:row>
      <xdr:rowOff>152400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38100</xdr:colOff>
      <xdr:row>40</xdr:row>
      <xdr:rowOff>47625</xdr:rowOff>
    </xdr:from>
    <xdr:to>
      <xdr:col>98</xdr:col>
      <xdr:colOff>723900</xdr:colOff>
      <xdr:row>60</xdr:row>
      <xdr:rowOff>152400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106</xdr:col>
      <xdr:colOff>38100</xdr:colOff>
      <xdr:row>40</xdr:row>
      <xdr:rowOff>47625</xdr:rowOff>
    </xdr:from>
    <xdr:to>
      <xdr:col>112</xdr:col>
      <xdr:colOff>723900</xdr:colOff>
      <xdr:row>60</xdr:row>
      <xdr:rowOff>152400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120</xdr:col>
      <xdr:colOff>38100</xdr:colOff>
      <xdr:row>40</xdr:row>
      <xdr:rowOff>47625</xdr:rowOff>
    </xdr:from>
    <xdr:to>
      <xdr:col>126</xdr:col>
      <xdr:colOff>723900</xdr:colOff>
      <xdr:row>60</xdr:row>
      <xdr:rowOff>152400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57149</xdr:colOff>
      <xdr:row>40</xdr:row>
      <xdr:rowOff>47624</xdr:rowOff>
    </xdr:from>
    <xdr:to>
      <xdr:col>21</xdr:col>
      <xdr:colOff>790574</xdr:colOff>
      <xdr:row>60</xdr:row>
      <xdr:rowOff>133350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47625</xdr:colOff>
      <xdr:row>40</xdr:row>
      <xdr:rowOff>47625</xdr:rowOff>
    </xdr:from>
    <xdr:to>
      <xdr:col>35</xdr:col>
      <xdr:colOff>781050</xdr:colOff>
      <xdr:row>60</xdr:row>
      <xdr:rowOff>152400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38100</xdr:colOff>
      <xdr:row>40</xdr:row>
      <xdr:rowOff>47625</xdr:rowOff>
    </xdr:from>
    <xdr:to>
      <xdr:col>49</xdr:col>
      <xdr:colOff>723900</xdr:colOff>
      <xdr:row>60</xdr:row>
      <xdr:rowOff>152400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57</xdr:col>
      <xdr:colOff>38100</xdr:colOff>
      <xdr:row>40</xdr:row>
      <xdr:rowOff>47625</xdr:rowOff>
    </xdr:from>
    <xdr:to>
      <xdr:col>63</xdr:col>
      <xdr:colOff>723900</xdr:colOff>
      <xdr:row>60</xdr:row>
      <xdr:rowOff>152400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71</xdr:col>
      <xdr:colOff>38100</xdr:colOff>
      <xdr:row>40</xdr:row>
      <xdr:rowOff>47625</xdr:rowOff>
    </xdr:from>
    <xdr:to>
      <xdr:col>77</xdr:col>
      <xdr:colOff>723900</xdr:colOff>
      <xdr:row>60</xdr:row>
      <xdr:rowOff>152400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85</xdr:col>
      <xdr:colOff>38100</xdr:colOff>
      <xdr:row>40</xdr:row>
      <xdr:rowOff>47625</xdr:rowOff>
    </xdr:from>
    <xdr:to>
      <xdr:col>91</xdr:col>
      <xdr:colOff>723900</xdr:colOff>
      <xdr:row>60</xdr:row>
      <xdr:rowOff>152400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99</xdr:col>
      <xdr:colOff>38100</xdr:colOff>
      <xdr:row>40</xdr:row>
      <xdr:rowOff>47625</xdr:rowOff>
    </xdr:from>
    <xdr:to>
      <xdr:col>105</xdr:col>
      <xdr:colOff>723900</xdr:colOff>
      <xdr:row>60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113</xdr:col>
      <xdr:colOff>38100</xdr:colOff>
      <xdr:row>40</xdr:row>
      <xdr:rowOff>47625</xdr:rowOff>
    </xdr:from>
    <xdr:to>
      <xdr:col>119</xdr:col>
      <xdr:colOff>723900</xdr:colOff>
      <xdr:row>60</xdr:row>
      <xdr:rowOff>152400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127</xdr:col>
      <xdr:colOff>38100</xdr:colOff>
      <xdr:row>40</xdr:row>
      <xdr:rowOff>47625</xdr:rowOff>
    </xdr:from>
    <xdr:to>
      <xdr:col>133</xdr:col>
      <xdr:colOff>723900</xdr:colOff>
      <xdr:row>60</xdr:row>
      <xdr:rowOff>152400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134</xdr:col>
      <xdr:colOff>38100</xdr:colOff>
      <xdr:row>40</xdr:row>
      <xdr:rowOff>47625</xdr:rowOff>
    </xdr:from>
    <xdr:to>
      <xdr:col>140</xdr:col>
      <xdr:colOff>723900</xdr:colOff>
      <xdr:row>60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141</xdr:col>
      <xdr:colOff>38100</xdr:colOff>
      <xdr:row>40</xdr:row>
      <xdr:rowOff>47625</xdr:rowOff>
    </xdr:from>
    <xdr:to>
      <xdr:col>147</xdr:col>
      <xdr:colOff>723900</xdr:colOff>
      <xdr:row>60</xdr:row>
      <xdr:rowOff>152400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148</xdr:col>
      <xdr:colOff>38100</xdr:colOff>
      <xdr:row>40</xdr:row>
      <xdr:rowOff>47625</xdr:rowOff>
    </xdr:from>
    <xdr:to>
      <xdr:col>154</xdr:col>
      <xdr:colOff>723900</xdr:colOff>
      <xdr:row>60</xdr:row>
      <xdr:rowOff>152400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38100</xdr:colOff>
      <xdr:row>40</xdr:row>
      <xdr:rowOff>47625</xdr:rowOff>
    </xdr:from>
    <xdr:to>
      <xdr:col>161</xdr:col>
      <xdr:colOff>723900</xdr:colOff>
      <xdr:row>60</xdr:row>
      <xdr:rowOff>152400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162</xdr:col>
      <xdr:colOff>38100</xdr:colOff>
      <xdr:row>40</xdr:row>
      <xdr:rowOff>47625</xdr:rowOff>
    </xdr:from>
    <xdr:to>
      <xdr:col>168</xdr:col>
      <xdr:colOff>723900</xdr:colOff>
      <xdr:row>60</xdr:row>
      <xdr:rowOff>152400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169</xdr:col>
      <xdr:colOff>38100</xdr:colOff>
      <xdr:row>40</xdr:row>
      <xdr:rowOff>47625</xdr:rowOff>
    </xdr:from>
    <xdr:to>
      <xdr:col>175</xdr:col>
      <xdr:colOff>723900</xdr:colOff>
      <xdr:row>60</xdr:row>
      <xdr:rowOff>152400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0</xdr:colOff>
      <xdr:row>227</xdr:row>
      <xdr:rowOff>0</xdr:rowOff>
    </xdr:from>
    <xdr:to>
      <xdr:col>2</xdr:col>
      <xdr:colOff>428625</xdr:colOff>
      <xdr:row>228</xdr:row>
      <xdr:rowOff>133350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6274CEDC-F8A8-4D9C-A1F9-9FE55F832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300775"/>
          <a:ext cx="4286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</xdr:row>
      <xdr:rowOff>0</xdr:rowOff>
    </xdr:from>
    <xdr:to>
      <xdr:col>3</xdr:col>
      <xdr:colOff>28575</xdr:colOff>
      <xdr:row>248</xdr:row>
      <xdr:rowOff>133350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791B3875-6600-4270-98B0-71A043C38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813935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214312</xdr:colOff>
      <xdr:row>152</xdr:row>
      <xdr:rowOff>0</xdr:rowOff>
    </xdr:from>
    <xdr:to>
      <xdr:col>9</xdr:col>
      <xdr:colOff>728662</xdr:colOff>
      <xdr:row>166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226</xdr:row>
      <xdr:rowOff>0</xdr:rowOff>
    </xdr:from>
    <xdr:to>
      <xdr:col>2</xdr:col>
      <xdr:colOff>371475</xdr:colOff>
      <xdr:row>227</xdr:row>
      <xdr:rowOff>133350</xdr:rowOff>
    </xdr:to>
    <xdr:pic>
      <xdr:nvPicPr>
        <xdr:cNvPr id="4" name="12 Imagen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776775"/>
          <a:ext cx="3714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236</xdr:row>
      <xdr:rowOff>0</xdr:rowOff>
    </xdr:from>
    <xdr:to>
      <xdr:col>4</xdr:col>
      <xdr:colOff>590550</xdr:colOff>
      <xdr:row>237</xdr:row>
      <xdr:rowOff>161925</xdr:rowOff>
    </xdr:to>
    <xdr:pic>
      <xdr:nvPicPr>
        <xdr:cNvPr id="5" name="1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776775"/>
          <a:ext cx="2286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4</xdr:col>
      <xdr:colOff>314325</xdr:colOff>
      <xdr:row>76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5905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4</xdr:col>
      <xdr:colOff>314325</xdr:colOff>
      <xdr:row>93</xdr:row>
      <xdr:rowOff>133350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507075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3</xdr:col>
      <xdr:colOff>28575</xdr:colOff>
      <xdr:row>108</xdr:row>
      <xdr:rowOff>133350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37410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3</xdr:col>
      <xdr:colOff>28575</xdr:colOff>
      <xdr:row>126</xdr:row>
      <xdr:rowOff>133350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81262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4</xdr:col>
      <xdr:colOff>314325</xdr:colOff>
      <xdr:row>143</xdr:row>
      <xdr:rowOff>133350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806065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3</xdr:col>
      <xdr:colOff>28575</xdr:colOff>
      <xdr:row>174</xdr:row>
      <xdr:rowOff>133350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97567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3</xdr:col>
      <xdr:colOff>28575</xdr:colOff>
      <xdr:row>190</xdr:row>
      <xdr:rowOff>133350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03320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3</xdr:col>
      <xdr:colOff>28575</xdr:colOff>
      <xdr:row>202</xdr:row>
      <xdr:rowOff>133350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932872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4</xdr:col>
      <xdr:colOff>314325</xdr:colOff>
      <xdr:row>217</xdr:row>
      <xdr:rowOff>133350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19575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57149</xdr:colOff>
      <xdr:row>39</xdr:row>
      <xdr:rowOff>47624</xdr:rowOff>
    </xdr:from>
    <xdr:to>
      <xdr:col>14</xdr:col>
      <xdr:colOff>790574</xdr:colOff>
      <xdr:row>59</xdr:row>
      <xdr:rowOff>133350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47625</xdr:colOff>
      <xdr:row>39</xdr:row>
      <xdr:rowOff>47625</xdr:rowOff>
    </xdr:from>
    <xdr:to>
      <xdr:col>28</xdr:col>
      <xdr:colOff>781050</xdr:colOff>
      <xdr:row>59</xdr:row>
      <xdr:rowOff>152400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38100</xdr:colOff>
      <xdr:row>39</xdr:row>
      <xdr:rowOff>47625</xdr:rowOff>
    </xdr:from>
    <xdr:to>
      <xdr:col>42</xdr:col>
      <xdr:colOff>723900</xdr:colOff>
      <xdr:row>59</xdr:row>
      <xdr:rowOff>152400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38100</xdr:colOff>
      <xdr:row>39</xdr:row>
      <xdr:rowOff>47625</xdr:rowOff>
    </xdr:from>
    <xdr:to>
      <xdr:col>56</xdr:col>
      <xdr:colOff>723900</xdr:colOff>
      <xdr:row>59</xdr:row>
      <xdr:rowOff>152400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38100</xdr:colOff>
      <xdr:row>39</xdr:row>
      <xdr:rowOff>47625</xdr:rowOff>
    </xdr:from>
    <xdr:to>
      <xdr:col>70</xdr:col>
      <xdr:colOff>723900</xdr:colOff>
      <xdr:row>59</xdr:row>
      <xdr:rowOff>152400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38100</xdr:colOff>
      <xdr:row>39</xdr:row>
      <xdr:rowOff>47625</xdr:rowOff>
    </xdr:from>
    <xdr:to>
      <xdr:col>84</xdr:col>
      <xdr:colOff>723900</xdr:colOff>
      <xdr:row>59</xdr:row>
      <xdr:rowOff>152400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92</xdr:col>
      <xdr:colOff>38100</xdr:colOff>
      <xdr:row>39</xdr:row>
      <xdr:rowOff>47625</xdr:rowOff>
    </xdr:from>
    <xdr:to>
      <xdr:col>98</xdr:col>
      <xdr:colOff>723900</xdr:colOff>
      <xdr:row>59</xdr:row>
      <xdr:rowOff>152400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38100</xdr:colOff>
      <xdr:row>39</xdr:row>
      <xdr:rowOff>47625</xdr:rowOff>
    </xdr:from>
    <xdr:to>
      <xdr:col>112</xdr:col>
      <xdr:colOff>723900</xdr:colOff>
      <xdr:row>59</xdr:row>
      <xdr:rowOff>152400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120</xdr:col>
      <xdr:colOff>38100</xdr:colOff>
      <xdr:row>39</xdr:row>
      <xdr:rowOff>47625</xdr:rowOff>
    </xdr:from>
    <xdr:to>
      <xdr:col>126</xdr:col>
      <xdr:colOff>723900</xdr:colOff>
      <xdr:row>59</xdr:row>
      <xdr:rowOff>152400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57149</xdr:colOff>
      <xdr:row>39</xdr:row>
      <xdr:rowOff>47624</xdr:rowOff>
    </xdr:from>
    <xdr:to>
      <xdr:col>21</xdr:col>
      <xdr:colOff>790574</xdr:colOff>
      <xdr:row>59</xdr:row>
      <xdr:rowOff>133350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47625</xdr:colOff>
      <xdr:row>39</xdr:row>
      <xdr:rowOff>47625</xdr:rowOff>
    </xdr:from>
    <xdr:to>
      <xdr:col>35</xdr:col>
      <xdr:colOff>781050</xdr:colOff>
      <xdr:row>59</xdr:row>
      <xdr:rowOff>152400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43</xdr:col>
      <xdr:colOff>38100</xdr:colOff>
      <xdr:row>39</xdr:row>
      <xdr:rowOff>47625</xdr:rowOff>
    </xdr:from>
    <xdr:to>
      <xdr:col>49</xdr:col>
      <xdr:colOff>723900</xdr:colOff>
      <xdr:row>59</xdr:row>
      <xdr:rowOff>152400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38100</xdr:colOff>
      <xdr:row>39</xdr:row>
      <xdr:rowOff>47625</xdr:rowOff>
    </xdr:from>
    <xdr:to>
      <xdr:col>63</xdr:col>
      <xdr:colOff>723900</xdr:colOff>
      <xdr:row>59</xdr:row>
      <xdr:rowOff>152400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71</xdr:col>
      <xdr:colOff>38100</xdr:colOff>
      <xdr:row>39</xdr:row>
      <xdr:rowOff>47625</xdr:rowOff>
    </xdr:from>
    <xdr:to>
      <xdr:col>77</xdr:col>
      <xdr:colOff>723900</xdr:colOff>
      <xdr:row>59</xdr:row>
      <xdr:rowOff>152400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85</xdr:col>
      <xdr:colOff>38100</xdr:colOff>
      <xdr:row>39</xdr:row>
      <xdr:rowOff>47625</xdr:rowOff>
    </xdr:from>
    <xdr:to>
      <xdr:col>91</xdr:col>
      <xdr:colOff>723900</xdr:colOff>
      <xdr:row>59</xdr:row>
      <xdr:rowOff>152400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99</xdr:col>
      <xdr:colOff>38100</xdr:colOff>
      <xdr:row>39</xdr:row>
      <xdr:rowOff>47625</xdr:rowOff>
    </xdr:from>
    <xdr:to>
      <xdr:col>105</xdr:col>
      <xdr:colOff>723900</xdr:colOff>
      <xdr:row>59</xdr:row>
      <xdr:rowOff>152400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113</xdr:col>
      <xdr:colOff>38100</xdr:colOff>
      <xdr:row>39</xdr:row>
      <xdr:rowOff>47625</xdr:rowOff>
    </xdr:from>
    <xdr:to>
      <xdr:col>119</xdr:col>
      <xdr:colOff>723900</xdr:colOff>
      <xdr:row>59</xdr:row>
      <xdr:rowOff>152400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127</xdr:col>
      <xdr:colOff>38100</xdr:colOff>
      <xdr:row>39</xdr:row>
      <xdr:rowOff>47625</xdr:rowOff>
    </xdr:from>
    <xdr:to>
      <xdr:col>133</xdr:col>
      <xdr:colOff>723900</xdr:colOff>
      <xdr:row>59</xdr:row>
      <xdr:rowOff>152400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134</xdr:col>
      <xdr:colOff>38100</xdr:colOff>
      <xdr:row>39</xdr:row>
      <xdr:rowOff>47625</xdr:rowOff>
    </xdr:from>
    <xdr:to>
      <xdr:col>140</xdr:col>
      <xdr:colOff>723900</xdr:colOff>
      <xdr:row>59</xdr:row>
      <xdr:rowOff>152400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141</xdr:col>
      <xdr:colOff>38100</xdr:colOff>
      <xdr:row>39</xdr:row>
      <xdr:rowOff>47625</xdr:rowOff>
    </xdr:from>
    <xdr:to>
      <xdr:col>147</xdr:col>
      <xdr:colOff>723900</xdr:colOff>
      <xdr:row>59</xdr:row>
      <xdr:rowOff>152400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148</xdr:col>
      <xdr:colOff>38100</xdr:colOff>
      <xdr:row>39</xdr:row>
      <xdr:rowOff>47625</xdr:rowOff>
    </xdr:from>
    <xdr:to>
      <xdr:col>154</xdr:col>
      <xdr:colOff>723900</xdr:colOff>
      <xdr:row>59</xdr:row>
      <xdr:rowOff>152400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155</xdr:col>
      <xdr:colOff>38100</xdr:colOff>
      <xdr:row>39</xdr:row>
      <xdr:rowOff>47625</xdr:rowOff>
    </xdr:from>
    <xdr:to>
      <xdr:col>161</xdr:col>
      <xdr:colOff>723900</xdr:colOff>
      <xdr:row>59</xdr:row>
      <xdr:rowOff>152400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162</xdr:col>
      <xdr:colOff>38100</xdr:colOff>
      <xdr:row>39</xdr:row>
      <xdr:rowOff>47625</xdr:rowOff>
    </xdr:from>
    <xdr:to>
      <xdr:col>168</xdr:col>
      <xdr:colOff>723900</xdr:colOff>
      <xdr:row>59</xdr:row>
      <xdr:rowOff>152400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169</xdr:col>
      <xdr:colOff>38100</xdr:colOff>
      <xdr:row>39</xdr:row>
      <xdr:rowOff>47625</xdr:rowOff>
    </xdr:from>
    <xdr:to>
      <xdr:col>175</xdr:col>
      <xdr:colOff>723900</xdr:colOff>
      <xdr:row>59</xdr:row>
      <xdr:rowOff>152400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214312</xdr:colOff>
      <xdr:row>152</xdr:row>
      <xdr:rowOff>0</xdr:rowOff>
    </xdr:from>
    <xdr:to>
      <xdr:col>9</xdr:col>
      <xdr:colOff>728662</xdr:colOff>
      <xdr:row>166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226</xdr:row>
      <xdr:rowOff>0</xdr:rowOff>
    </xdr:from>
    <xdr:to>
      <xdr:col>2</xdr:col>
      <xdr:colOff>371475</xdr:colOff>
      <xdr:row>227</xdr:row>
      <xdr:rowOff>133350</xdr:rowOff>
    </xdr:to>
    <xdr:pic>
      <xdr:nvPicPr>
        <xdr:cNvPr id="4" name="12 Imagen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776775"/>
          <a:ext cx="3714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236</xdr:row>
      <xdr:rowOff>0</xdr:rowOff>
    </xdr:from>
    <xdr:to>
      <xdr:col>4</xdr:col>
      <xdr:colOff>590550</xdr:colOff>
      <xdr:row>237</xdr:row>
      <xdr:rowOff>161925</xdr:rowOff>
    </xdr:to>
    <xdr:pic>
      <xdr:nvPicPr>
        <xdr:cNvPr id="5" name="14 Imagen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776775"/>
          <a:ext cx="2286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4</xdr:col>
      <xdr:colOff>314325</xdr:colOff>
      <xdr:row>76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5905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4</xdr:col>
      <xdr:colOff>314325</xdr:colOff>
      <xdr:row>93</xdr:row>
      <xdr:rowOff>133350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507075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3</xdr:col>
      <xdr:colOff>28575</xdr:colOff>
      <xdr:row>108</xdr:row>
      <xdr:rowOff>133350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37410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3</xdr:col>
      <xdr:colOff>28575</xdr:colOff>
      <xdr:row>126</xdr:row>
      <xdr:rowOff>133350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81262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4</xdr:col>
      <xdr:colOff>314325</xdr:colOff>
      <xdr:row>143</xdr:row>
      <xdr:rowOff>133350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806065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3</xdr:col>
      <xdr:colOff>28575</xdr:colOff>
      <xdr:row>174</xdr:row>
      <xdr:rowOff>133350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97567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3</xdr:col>
      <xdr:colOff>28575</xdr:colOff>
      <xdr:row>190</xdr:row>
      <xdr:rowOff>133350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03320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3</xdr:col>
      <xdr:colOff>28575</xdr:colOff>
      <xdr:row>202</xdr:row>
      <xdr:rowOff>133350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932872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4</xdr:col>
      <xdr:colOff>314325</xdr:colOff>
      <xdr:row>217</xdr:row>
      <xdr:rowOff>133350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195750"/>
          <a:ext cx="2771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57149</xdr:colOff>
      <xdr:row>39</xdr:row>
      <xdr:rowOff>47624</xdr:rowOff>
    </xdr:from>
    <xdr:to>
      <xdr:col>14</xdr:col>
      <xdr:colOff>790574</xdr:colOff>
      <xdr:row>59</xdr:row>
      <xdr:rowOff>133350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47625</xdr:colOff>
      <xdr:row>39</xdr:row>
      <xdr:rowOff>47625</xdr:rowOff>
    </xdr:from>
    <xdr:to>
      <xdr:col>28</xdr:col>
      <xdr:colOff>781050</xdr:colOff>
      <xdr:row>59</xdr:row>
      <xdr:rowOff>152400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38100</xdr:colOff>
      <xdr:row>39</xdr:row>
      <xdr:rowOff>47625</xdr:rowOff>
    </xdr:from>
    <xdr:to>
      <xdr:col>42</xdr:col>
      <xdr:colOff>723900</xdr:colOff>
      <xdr:row>59</xdr:row>
      <xdr:rowOff>152400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38100</xdr:colOff>
      <xdr:row>39</xdr:row>
      <xdr:rowOff>47625</xdr:rowOff>
    </xdr:from>
    <xdr:to>
      <xdr:col>56</xdr:col>
      <xdr:colOff>723900</xdr:colOff>
      <xdr:row>59</xdr:row>
      <xdr:rowOff>152400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38100</xdr:colOff>
      <xdr:row>39</xdr:row>
      <xdr:rowOff>47625</xdr:rowOff>
    </xdr:from>
    <xdr:to>
      <xdr:col>70</xdr:col>
      <xdr:colOff>723900</xdr:colOff>
      <xdr:row>59</xdr:row>
      <xdr:rowOff>152400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2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38100</xdr:colOff>
      <xdr:row>39</xdr:row>
      <xdr:rowOff>47625</xdr:rowOff>
    </xdr:from>
    <xdr:to>
      <xdr:col>84</xdr:col>
      <xdr:colOff>723900</xdr:colOff>
      <xdr:row>59</xdr:row>
      <xdr:rowOff>152400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2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92</xdr:col>
      <xdr:colOff>38100</xdr:colOff>
      <xdr:row>39</xdr:row>
      <xdr:rowOff>47625</xdr:rowOff>
    </xdr:from>
    <xdr:to>
      <xdr:col>98</xdr:col>
      <xdr:colOff>723900</xdr:colOff>
      <xdr:row>59</xdr:row>
      <xdr:rowOff>152400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38100</xdr:colOff>
      <xdr:row>39</xdr:row>
      <xdr:rowOff>47625</xdr:rowOff>
    </xdr:from>
    <xdr:to>
      <xdr:col>112</xdr:col>
      <xdr:colOff>723900</xdr:colOff>
      <xdr:row>59</xdr:row>
      <xdr:rowOff>152400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2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120</xdr:col>
      <xdr:colOff>38100</xdr:colOff>
      <xdr:row>39</xdr:row>
      <xdr:rowOff>47625</xdr:rowOff>
    </xdr:from>
    <xdr:to>
      <xdr:col>126</xdr:col>
      <xdr:colOff>723900</xdr:colOff>
      <xdr:row>59</xdr:row>
      <xdr:rowOff>152400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2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57149</xdr:colOff>
      <xdr:row>39</xdr:row>
      <xdr:rowOff>47624</xdr:rowOff>
    </xdr:from>
    <xdr:to>
      <xdr:col>21</xdr:col>
      <xdr:colOff>790574</xdr:colOff>
      <xdr:row>59</xdr:row>
      <xdr:rowOff>133350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2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47625</xdr:colOff>
      <xdr:row>39</xdr:row>
      <xdr:rowOff>47625</xdr:rowOff>
    </xdr:from>
    <xdr:to>
      <xdr:col>35</xdr:col>
      <xdr:colOff>781050</xdr:colOff>
      <xdr:row>59</xdr:row>
      <xdr:rowOff>152400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2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43</xdr:col>
      <xdr:colOff>38100</xdr:colOff>
      <xdr:row>39</xdr:row>
      <xdr:rowOff>47625</xdr:rowOff>
    </xdr:from>
    <xdr:to>
      <xdr:col>49</xdr:col>
      <xdr:colOff>723900</xdr:colOff>
      <xdr:row>59</xdr:row>
      <xdr:rowOff>152400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2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38100</xdr:colOff>
      <xdr:row>39</xdr:row>
      <xdr:rowOff>47625</xdr:rowOff>
    </xdr:from>
    <xdr:to>
      <xdr:col>63</xdr:col>
      <xdr:colOff>723900</xdr:colOff>
      <xdr:row>59</xdr:row>
      <xdr:rowOff>152400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2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71</xdr:col>
      <xdr:colOff>38100</xdr:colOff>
      <xdr:row>39</xdr:row>
      <xdr:rowOff>47625</xdr:rowOff>
    </xdr:from>
    <xdr:to>
      <xdr:col>77</xdr:col>
      <xdr:colOff>723900</xdr:colOff>
      <xdr:row>59</xdr:row>
      <xdr:rowOff>152400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2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85</xdr:col>
      <xdr:colOff>38100</xdr:colOff>
      <xdr:row>39</xdr:row>
      <xdr:rowOff>47625</xdr:rowOff>
    </xdr:from>
    <xdr:to>
      <xdr:col>91</xdr:col>
      <xdr:colOff>723900</xdr:colOff>
      <xdr:row>59</xdr:row>
      <xdr:rowOff>152400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2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99</xdr:col>
      <xdr:colOff>38100</xdr:colOff>
      <xdr:row>39</xdr:row>
      <xdr:rowOff>47625</xdr:rowOff>
    </xdr:from>
    <xdr:to>
      <xdr:col>105</xdr:col>
      <xdr:colOff>723900</xdr:colOff>
      <xdr:row>59</xdr:row>
      <xdr:rowOff>152400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2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113</xdr:col>
      <xdr:colOff>38100</xdr:colOff>
      <xdr:row>39</xdr:row>
      <xdr:rowOff>47625</xdr:rowOff>
    </xdr:from>
    <xdr:to>
      <xdr:col>119</xdr:col>
      <xdr:colOff>723900</xdr:colOff>
      <xdr:row>59</xdr:row>
      <xdr:rowOff>152400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2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127</xdr:col>
      <xdr:colOff>38100</xdr:colOff>
      <xdr:row>39</xdr:row>
      <xdr:rowOff>47625</xdr:rowOff>
    </xdr:from>
    <xdr:to>
      <xdr:col>133</xdr:col>
      <xdr:colOff>723900</xdr:colOff>
      <xdr:row>59</xdr:row>
      <xdr:rowOff>152400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2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134</xdr:col>
      <xdr:colOff>38100</xdr:colOff>
      <xdr:row>39</xdr:row>
      <xdr:rowOff>47625</xdr:rowOff>
    </xdr:from>
    <xdr:to>
      <xdr:col>140</xdr:col>
      <xdr:colOff>723900</xdr:colOff>
      <xdr:row>59</xdr:row>
      <xdr:rowOff>152400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21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141</xdr:col>
      <xdr:colOff>38100</xdr:colOff>
      <xdr:row>39</xdr:row>
      <xdr:rowOff>47625</xdr:rowOff>
    </xdr:from>
    <xdr:to>
      <xdr:col>147</xdr:col>
      <xdr:colOff>723900</xdr:colOff>
      <xdr:row>59</xdr:row>
      <xdr:rowOff>152400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2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148</xdr:col>
      <xdr:colOff>38100</xdr:colOff>
      <xdr:row>39</xdr:row>
      <xdr:rowOff>47625</xdr:rowOff>
    </xdr:from>
    <xdr:to>
      <xdr:col>154</xdr:col>
      <xdr:colOff>723900</xdr:colOff>
      <xdr:row>59</xdr:row>
      <xdr:rowOff>152400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2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155</xdr:col>
      <xdr:colOff>38100</xdr:colOff>
      <xdr:row>39</xdr:row>
      <xdr:rowOff>47625</xdr:rowOff>
    </xdr:from>
    <xdr:to>
      <xdr:col>161</xdr:col>
      <xdr:colOff>723900</xdr:colOff>
      <xdr:row>59</xdr:row>
      <xdr:rowOff>152400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2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162</xdr:col>
      <xdr:colOff>38100</xdr:colOff>
      <xdr:row>39</xdr:row>
      <xdr:rowOff>47625</xdr:rowOff>
    </xdr:from>
    <xdr:to>
      <xdr:col>168</xdr:col>
      <xdr:colOff>723900</xdr:colOff>
      <xdr:row>59</xdr:row>
      <xdr:rowOff>152400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2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169</xdr:col>
      <xdr:colOff>38100</xdr:colOff>
      <xdr:row>39</xdr:row>
      <xdr:rowOff>47625</xdr:rowOff>
    </xdr:from>
    <xdr:to>
      <xdr:col>175</xdr:col>
      <xdr:colOff>723900</xdr:colOff>
      <xdr:row>59</xdr:row>
      <xdr:rowOff>152400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2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34</xdr:row>
      <xdr:rowOff>180976</xdr:rowOff>
    </xdr:from>
    <xdr:to>
      <xdr:col>10</xdr:col>
      <xdr:colOff>838200</xdr:colOff>
      <xdr:row>62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5</xdr:col>
      <xdr:colOff>295275</xdr:colOff>
      <xdr:row>97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840575"/>
          <a:ext cx="36004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571500</xdr:colOff>
      <xdr:row>74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640050"/>
          <a:ext cx="141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3</xdr:col>
      <xdr:colOff>819150</xdr:colOff>
      <xdr:row>67</xdr:row>
      <xdr:rowOff>133350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687550"/>
          <a:ext cx="24288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3</xdr:col>
      <xdr:colOff>609600</xdr:colOff>
      <xdr:row>70</xdr:row>
      <xdr:rowOff>133350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954000"/>
          <a:ext cx="22193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7</xdr:col>
      <xdr:colOff>276225</xdr:colOff>
      <xdr:row>152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175075"/>
          <a:ext cx="51911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261</xdr:row>
      <xdr:rowOff>0</xdr:rowOff>
    </xdr:from>
    <xdr:to>
      <xdr:col>7</xdr:col>
      <xdr:colOff>85725</xdr:colOff>
      <xdr:row>262</xdr:row>
      <xdr:rowOff>180975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2289750"/>
          <a:ext cx="50006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</xdr:row>
      <xdr:rowOff>0</xdr:rowOff>
    </xdr:from>
    <xdr:to>
      <xdr:col>7</xdr:col>
      <xdr:colOff>314325</xdr:colOff>
      <xdr:row>280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5766375"/>
          <a:ext cx="522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2</xdr:col>
      <xdr:colOff>285750</xdr:colOff>
      <xdr:row>172</xdr:row>
      <xdr:rowOff>171450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175700"/>
          <a:ext cx="10477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219075</xdr:colOff>
      <xdr:row>133</xdr:row>
      <xdr:rowOff>171450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612850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2</xdr:col>
      <xdr:colOff>219075</xdr:colOff>
      <xdr:row>191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842825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2</xdr:col>
      <xdr:colOff>152400</xdr:colOff>
      <xdr:row>209</xdr:row>
      <xdr:rowOff>171450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1319450"/>
          <a:ext cx="9144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2</xdr:col>
      <xdr:colOff>381000</xdr:colOff>
      <xdr:row>227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4796075"/>
          <a:ext cx="1143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742950</xdr:colOff>
      <xdr:row>114</xdr:row>
      <xdr:rowOff>152400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755225"/>
          <a:ext cx="7429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2</xdr:col>
      <xdr:colOff>228600</xdr:colOff>
      <xdr:row>246</xdr:row>
      <xdr:rowOff>161925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8272700"/>
          <a:ext cx="990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108857</xdr:rowOff>
    </xdr:from>
    <xdr:to>
      <xdr:col>1</xdr:col>
      <xdr:colOff>678467</xdr:colOff>
      <xdr:row>3</xdr:row>
      <xdr:rowOff>40821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8857"/>
          <a:ext cx="1440466" cy="5034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108857</xdr:rowOff>
    </xdr:from>
    <xdr:to>
      <xdr:col>1</xdr:col>
      <xdr:colOff>678467</xdr:colOff>
      <xdr:row>3</xdr:row>
      <xdr:rowOff>40821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8857"/>
          <a:ext cx="1440466" cy="5034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108857</xdr:rowOff>
    </xdr:from>
    <xdr:to>
      <xdr:col>1</xdr:col>
      <xdr:colOff>678467</xdr:colOff>
      <xdr:row>3</xdr:row>
      <xdr:rowOff>40821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8857"/>
          <a:ext cx="1440466" cy="5034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108857</xdr:rowOff>
    </xdr:from>
    <xdr:to>
      <xdr:col>1</xdr:col>
      <xdr:colOff>678467</xdr:colOff>
      <xdr:row>3</xdr:row>
      <xdr:rowOff>40821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8857"/>
          <a:ext cx="1440466" cy="5034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285748</xdr:colOff>
      <xdr:row>32</xdr:row>
      <xdr:rowOff>123826</xdr:rowOff>
    </xdr:from>
    <xdr:to>
      <xdr:col>10</xdr:col>
      <xdr:colOff>838200</xdr:colOff>
      <xdr:row>60</xdr:row>
      <xdr:rowOff>171451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5</xdr:col>
      <xdr:colOff>295275</xdr:colOff>
      <xdr:row>96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478625"/>
          <a:ext cx="36004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571500</xdr:colOff>
      <xdr:row>73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59000"/>
          <a:ext cx="141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3</xdr:col>
      <xdr:colOff>819150</xdr:colOff>
      <xdr:row>66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525500"/>
          <a:ext cx="24288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3</xdr:col>
      <xdr:colOff>609600</xdr:colOff>
      <xdr:row>69</xdr:row>
      <xdr:rowOff>133350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097000"/>
          <a:ext cx="22193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7</xdr:col>
      <xdr:colOff>276225</xdr:colOff>
      <xdr:row>151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127575"/>
          <a:ext cx="51911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</xdr:row>
      <xdr:rowOff>0</xdr:rowOff>
    </xdr:from>
    <xdr:to>
      <xdr:col>7</xdr:col>
      <xdr:colOff>85725</xdr:colOff>
      <xdr:row>242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1387375"/>
          <a:ext cx="50006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259</xdr:row>
      <xdr:rowOff>0</xdr:rowOff>
    </xdr:from>
    <xdr:to>
      <xdr:col>7</xdr:col>
      <xdr:colOff>314325</xdr:colOff>
      <xdr:row>260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4864000"/>
          <a:ext cx="522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2</xdr:col>
      <xdr:colOff>285750</xdr:colOff>
      <xdr:row>171</xdr:row>
      <xdr:rowOff>171450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985200"/>
          <a:ext cx="10477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2</xdr:col>
      <xdr:colOff>219075</xdr:colOff>
      <xdr:row>132</xdr:row>
      <xdr:rowOff>171450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422350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2</xdr:col>
      <xdr:colOff>219075</xdr:colOff>
      <xdr:row>190</xdr:row>
      <xdr:rowOff>171450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652325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2</xdr:col>
      <xdr:colOff>152400</xdr:colOff>
      <xdr:row>208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1128950"/>
          <a:ext cx="9144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2</xdr:col>
      <xdr:colOff>381000</xdr:colOff>
      <xdr:row>226</xdr:row>
      <xdr:rowOff>171450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4605575"/>
          <a:ext cx="1143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742950</xdr:colOff>
      <xdr:row>113</xdr:row>
      <xdr:rowOff>152400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755225"/>
          <a:ext cx="7429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285748</xdr:colOff>
      <xdr:row>33</xdr:row>
      <xdr:rowOff>123826</xdr:rowOff>
    </xdr:from>
    <xdr:to>
      <xdr:col>10</xdr:col>
      <xdr:colOff>838200</xdr:colOff>
      <xdr:row>61</xdr:row>
      <xdr:rowOff>171451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5</xdr:col>
      <xdr:colOff>295275</xdr:colOff>
      <xdr:row>97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707225"/>
          <a:ext cx="36004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571500</xdr:colOff>
      <xdr:row>74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087600"/>
          <a:ext cx="141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3</xdr:col>
      <xdr:colOff>819150</xdr:colOff>
      <xdr:row>67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754100"/>
          <a:ext cx="24288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3</xdr:col>
      <xdr:colOff>609600</xdr:colOff>
      <xdr:row>70</xdr:row>
      <xdr:rowOff>133350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325600"/>
          <a:ext cx="22193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7</xdr:col>
      <xdr:colOff>276225</xdr:colOff>
      <xdr:row>152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356175"/>
          <a:ext cx="51911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242</xdr:row>
      <xdr:rowOff>0</xdr:rowOff>
    </xdr:from>
    <xdr:to>
      <xdr:col>7</xdr:col>
      <xdr:colOff>85725</xdr:colOff>
      <xdr:row>243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1615975"/>
          <a:ext cx="50006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</xdr:row>
      <xdr:rowOff>0</xdr:rowOff>
    </xdr:from>
    <xdr:to>
      <xdr:col>7</xdr:col>
      <xdr:colOff>314325</xdr:colOff>
      <xdr:row>261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5092600"/>
          <a:ext cx="522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2</xdr:col>
      <xdr:colOff>285750</xdr:colOff>
      <xdr:row>172</xdr:row>
      <xdr:rowOff>171450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213800"/>
          <a:ext cx="10477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219075</xdr:colOff>
      <xdr:row>133</xdr:row>
      <xdr:rowOff>171450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650950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2</xdr:col>
      <xdr:colOff>219075</xdr:colOff>
      <xdr:row>191</xdr:row>
      <xdr:rowOff>171450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880925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2</xdr:col>
      <xdr:colOff>152400</xdr:colOff>
      <xdr:row>209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1357550"/>
          <a:ext cx="9144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2</xdr:col>
      <xdr:colOff>381000</xdr:colOff>
      <xdr:row>227</xdr:row>
      <xdr:rowOff>171450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4834175"/>
          <a:ext cx="1143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742950</xdr:colOff>
      <xdr:row>114</xdr:row>
      <xdr:rowOff>152400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983825"/>
          <a:ext cx="7429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278</xdr:row>
      <xdr:rowOff>0</xdr:rowOff>
    </xdr:from>
    <xdr:to>
      <xdr:col>2</xdr:col>
      <xdr:colOff>209550</xdr:colOff>
      <xdr:row>279</xdr:row>
      <xdr:rowOff>171450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8569225"/>
          <a:ext cx="9715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34</xdr:row>
      <xdr:rowOff>123827</xdr:rowOff>
    </xdr:from>
    <xdr:to>
      <xdr:col>17</xdr:col>
      <xdr:colOff>552450</xdr:colOff>
      <xdr:row>56</xdr:row>
      <xdr:rowOff>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34933C-8782-4D46-8078-6E138E936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5</xdr:col>
      <xdr:colOff>295275</xdr:colOff>
      <xdr:row>97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D30958-1238-4185-8897-E4D664EFA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707225"/>
          <a:ext cx="36004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571500</xdr:colOff>
      <xdr:row>74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1629B6-B409-4B1C-84E3-24C3693D1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087600"/>
          <a:ext cx="141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A859990-A7A7-4F59-BFE9-F3067A7B33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3</xdr:col>
      <xdr:colOff>819150</xdr:colOff>
      <xdr:row>67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C304288-0F88-42EA-800C-25EDEEC4F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754100"/>
          <a:ext cx="24288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3</xdr:col>
      <xdr:colOff>609600</xdr:colOff>
      <xdr:row>70</xdr:row>
      <xdr:rowOff>133350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289367-A5F9-4A31-8163-351F63762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325600"/>
          <a:ext cx="22193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7</xdr:col>
      <xdr:colOff>276225</xdr:colOff>
      <xdr:row>152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20DCC6C-B212-40D0-95A8-62B2C3AB3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356175"/>
          <a:ext cx="51911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261</xdr:row>
      <xdr:rowOff>0</xdr:rowOff>
    </xdr:from>
    <xdr:to>
      <xdr:col>7</xdr:col>
      <xdr:colOff>85725</xdr:colOff>
      <xdr:row>262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10C85DA-9ED9-479C-84B6-5605651A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1615975"/>
          <a:ext cx="50006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279</xdr:row>
      <xdr:rowOff>0</xdr:rowOff>
    </xdr:from>
    <xdr:to>
      <xdr:col>7</xdr:col>
      <xdr:colOff>314325</xdr:colOff>
      <xdr:row>280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9B61C50-F3D8-4DB5-8723-152E040AD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5092600"/>
          <a:ext cx="5229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2</xdr:col>
      <xdr:colOff>285750</xdr:colOff>
      <xdr:row>172</xdr:row>
      <xdr:rowOff>171450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1C5A14D-870A-4E79-AD4D-691267C3B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213800"/>
          <a:ext cx="10477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219075</xdr:colOff>
      <xdr:row>133</xdr:row>
      <xdr:rowOff>171450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2D64DEC-ACF2-465C-AF9A-B2A572419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650950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2</xdr:col>
      <xdr:colOff>219075</xdr:colOff>
      <xdr:row>191</xdr:row>
      <xdr:rowOff>171450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BA3E5AC-6D05-48FA-9638-B26CE8A93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880925"/>
          <a:ext cx="9810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2</xdr:col>
      <xdr:colOff>152400</xdr:colOff>
      <xdr:row>209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A547E8B-4A95-440C-9DBC-255DCFAD8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1357550"/>
          <a:ext cx="9144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2</xdr:col>
      <xdr:colOff>381000</xdr:colOff>
      <xdr:row>227</xdr:row>
      <xdr:rowOff>171450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CFF24FA-A01C-4A59-8070-A1BF054B0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4834175"/>
          <a:ext cx="1143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742950</xdr:colOff>
      <xdr:row>114</xdr:row>
      <xdr:rowOff>152400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939DD82-0290-41FE-A5ED-D0E3539FC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983825"/>
          <a:ext cx="7429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2</xdr:col>
      <xdr:colOff>228600</xdr:colOff>
      <xdr:row>246</xdr:row>
      <xdr:rowOff>161925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ACA824C-CA77-4F09-8059-6B69C7F07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8501300"/>
          <a:ext cx="990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296</xdr:row>
      <xdr:rowOff>0</xdr:rowOff>
    </xdr:from>
    <xdr:to>
      <xdr:col>2</xdr:col>
      <xdr:colOff>209550</xdr:colOff>
      <xdr:row>297</xdr:row>
      <xdr:rowOff>171450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07B5035-6841-4331-B184-E0B30F883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8569225"/>
          <a:ext cx="9715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704850</xdr:colOff>
      <xdr:row>34</xdr:row>
      <xdr:rowOff>123827</xdr:rowOff>
    </xdr:from>
    <xdr:to>
      <xdr:col>28</xdr:col>
      <xdr:colOff>552450</xdr:colOff>
      <xdr:row>56</xdr:row>
      <xdr:rowOff>1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9E4B104-2AF1-4DA6-9A87-BF15D16F3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704850</xdr:colOff>
      <xdr:row>34</xdr:row>
      <xdr:rowOff>123827</xdr:rowOff>
    </xdr:from>
    <xdr:to>
      <xdr:col>39</xdr:col>
      <xdr:colOff>552450</xdr:colOff>
      <xdr:row>56</xdr:row>
      <xdr:rowOff>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D2F01FA-5E97-43AF-B9B7-0A2DF8A0A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704850</xdr:colOff>
      <xdr:row>34</xdr:row>
      <xdr:rowOff>123827</xdr:rowOff>
    </xdr:from>
    <xdr:to>
      <xdr:col>50</xdr:col>
      <xdr:colOff>552450</xdr:colOff>
      <xdr:row>56</xdr:row>
      <xdr:rowOff>1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5041249A-9570-405D-BF4E-473DC2E14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704850</xdr:colOff>
      <xdr:row>34</xdr:row>
      <xdr:rowOff>123827</xdr:rowOff>
    </xdr:from>
    <xdr:to>
      <xdr:col>61</xdr:col>
      <xdr:colOff>552450</xdr:colOff>
      <xdr:row>56</xdr:row>
      <xdr:rowOff>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843B110-E5FA-4C81-AC6E-7ADF09064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704850</xdr:colOff>
      <xdr:row>34</xdr:row>
      <xdr:rowOff>123827</xdr:rowOff>
    </xdr:from>
    <xdr:to>
      <xdr:col>72</xdr:col>
      <xdr:colOff>552450</xdr:colOff>
      <xdr:row>56</xdr:row>
      <xdr:rowOff>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B4FD3FF-EDE4-4641-AD48-DC4345D15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75</xdr:col>
      <xdr:colOff>704850</xdr:colOff>
      <xdr:row>34</xdr:row>
      <xdr:rowOff>123827</xdr:rowOff>
    </xdr:from>
    <xdr:to>
      <xdr:col>83</xdr:col>
      <xdr:colOff>552450</xdr:colOff>
      <xdr:row>56</xdr:row>
      <xdr:rowOff>1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F0B1CCD3-C033-4902-BEAB-6A81ADFE4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86</xdr:col>
      <xdr:colOff>704850</xdr:colOff>
      <xdr:row>34</xdr:row>
      <xdr:rowOff>123827</xdr:rowOff>
    </xdr:from>
    <xdr:to>
      <xdr:col>94</xdr:col>
      <xdr:colOff>552450</xdr:colOff>
      <xdr:row>56</xdr:row>
      <xdr:rowOff>1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1FC4F20C-9005-4DD6-A273-BA14A530E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97</xdr:col>
      <xdr:colOff>704850</xdr:colOff>
      <xdr:row>34</xdr:row>
      <xdr:rowOff>123827</xdr:rowOff>
    </xdr:from>
    <xdr:to>
      <xdr:col>105</xdr:col>
      <xdr:colOff>552450</xdr:colOff>
      <xdr:row>56</xdr:row>
      <xdr:rowOff>1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CCBA7F-D664-414D-A4DC-D46172EA8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108</xdr:col>
      <xdr:colOff>704850</xdr:colOff>
      <xdr:row>34</xdr:row>
      <xdr:rowOff>123827</xdr:rowOff>
    </xdr:from>
    <xdr:to>
      <xdr:col>116</xdr:col>
      <xdr:colOff>552450</xdr:colOff>
      <xdr:row>56</xdr:row>
      <xdr:rowOff>1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4ADC85BA-454C-4834-8F6C-55FBD05AA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119</xdr:col>
      <xdr:colOff>704850</xdr:colOff>
      <xdr:row>34</xdr:row>
      <xdr:rowOff>123827</xdr:rowOff>
    </xdr:from>
    <xdr:to>
      <xdr:col>127</xdr:col>
      <xdr:colOff>552450</xdr:colOff>
      <xdr:row>56</xdr:row>
      <xdr:rowOff>1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DD263F57-E03C-4D8A-85A9-B8D763679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130</xdr:col>
      <xdr:colOff>704850</xdr:colOff>
      <xdr:row>34</xdr:row>
      <xdr:rowOff>123827</xdr:rowOff>
    </xdr:from>
    <xdr:to>
      <xdr:col>138</xdr:col>
      <xdr:colOff>552450</xdr:colOff>
      <xdr:row>56</xdr:row>
      <xdr:rowOff>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CC8B8FAB-9DEB-4322-BB43-39B3D13E2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221</xdr:row>
      <xdr:rowOff>0</xdr:rowOff>
    </xdr:from>
    <xdr:to>
      <xdr:col>2</xdr:col>
      <xdr:colOff>371475</xdr:colOff>
      <xdr:row>222</xdr:row>
      <xdr:rowOff>133350</xdr:rowOff>
    </xdr:to>
    <xdr:pic>
      <xdr:nvPicPr>
        <xdr:cNvPr id="4" name="12 Imagen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910250"/>
          <a:ext cx="3714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231</xdr:row>
      <xdr:rowOff>0</xdr:rowOff>
    </xdr:from>
    <xdr:to>
      <xdr:col>4</xdr:col>
      <xdr:colOff>590550</xdr:colOff>
      <xdr:row>232</xdr:row>
      <xdr:rowOff>161925</xdr:rowOff>
    </xdr:to>
    <xdr:pic>
      <xdr:nvPicPr>
        <xdr:cNvPr id="5" name="14 Imagen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910250"/>
          <a:ext cx="2286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3</xdr:col>
      <xdr:colOff>28575</xdr:colOff>
      <xdr:row>206</xdr:row>
      <xdr:rowOff>133350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0462200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57149</xdr:colOff>
      <xdr:row>25</xdr:row>
      <xdr:rowOff>47624</xdr:rowOff>
    </xdr:from>
    <xdr:to>
      <xdr:col>15</xdr:col>
      <xdr:colOff>790574</xdr:colOff>
      <xdr:row>46</xdr:row>
      <xdr:rowOff>95250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47625</xdr:colOff>
      <xdr:row>25</xdr:row>
      <xdr:rowOff>47625</xdr:rowOff>
    </xdr:from>
    <xdr:to>
      <xdr:col>23</xdr:col>
      <xdr:colOff>781050</xdr:colOff>
      <xdr:row>45</xdr:row>
      <xdr:rowOff>152400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38100</xdr:colOff>
      <xdr:row>25</xdr:row>
      <xdr:rowOff>47625</xdr:rowOff>
    </xdr:from>
    <xdr:to>
      <xdr:col>31</xdr:col>
      <xdr:colOff>723900</xdr:colOff>
      <xdr:row>45</xdr:row>
      <xdr:rowOff>152400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7</xdr:col>
      <xdr:colOff>447675</xdr:colOff>
      <xdr:row>66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887450"/>
          <a:ext cx="53625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3</xdr:col>
      <xdr:colOff>0</xdr:colOff>
      <xdr:row>84</xdr:row>
      <xdr:rowOff>133350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973925"/>
          <a:ext cx="16097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3</xdr:col>
      <xdr:colOff>0</xdr:colOff>
      <xdr:row>133</xdr:row>
      <xdr:rowOff>133350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584650"/>
          <a:ext cx="16097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3</xdr:col>
      <xdr:colOff>0</xdr:colOff>
      <xdr:row>163</xdr:row>
      <xdr:rowOff>133350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584650"/>
          <a:ext cx="16097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3</xdr:col>
      <xdr:colOff>28575</xdr:colOff>
      <xdr:row>189</xdr:row>
      <xdr:rowOff>133350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126575"/>
          <a:ext cx="16383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3</xdr:col>
      <xdr:colOff>323850</xdr:colOff>
      <xdr:row>211</xdr:row>
      <xdr:rowOff>133350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6928425"/>
          <a:ext cx="19335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4</xdr:col>
      <xdr:colOff>485775</xdr:colOff>
      <xdr:row>89</xdr:row>
      <xdr:rowOff>142875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164175"/>
          <a:ext cx="294322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5</xdr:col>
      <xdr:colOff>161925</xdr:colOff>
      <xdr:row>138</xdr:row>
      <xdr:rowOff>142875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869650"/>
          <a:ext cx="34671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5</xdr:col>
      <xdr:colOff>161925</xdr:colOff>
      <xdr:row>168</xdr:row>
      <xdr:rowOff>142875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765625"/>
          <a:ext cx="34671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2</xdr:col>
      <xdr:colOff>409575</xdr:colOff>
      <xdr:row>194</xdr:row>
      <xdr:rowOff>133350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13875"/>
          <a:ext cx="11715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38100</xdr:rowOff>
    </xdr:from>
    <xdr:to>
      <xdr:col>2</xdr:col>
      <xdr:colOff>220304</xdr:colOff>
      <xdr:row>3</xdr:row>
      <xdr:rowOff>161925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28439EB-5629-4858-AF26-2C643D6C06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104775</xdr:rowOff>
    </xdr:from>
    <xdr:to>
      <xdr:col>6</xdr:col>
      <xdr:colOff>101600</xdr:colOff>
      <xdr:row>3</xdr:row>
      <xdr:rowOff>104775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04775"/>
          <a:ext cx="1635125" cy="57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60</xdr:row>
      <xdr:rowOff>123825</xdr:rowOff>
    </xdr:from>
    <xdr:to>
      <xdr:col>20</xdr:col>
      <xdr:colOff>77840</xdr:colOff>
      <xdr:row>62</xdr:row>
      <xdr:rowOff>181775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D1AB7D-77C9-4095-AE67-5AA08DD9F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0425" y="9239250"/>
          <a:ext cx="1335140" cy="4389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38100</xdr:rowOff>
    </xdr:from>
    <xdr:to>
      <xdr:col>2</xdr:col>
      <xdr:colOff>553679</xdr:colOff>
      <xdr:row>3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19075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38100</xdr:rowOff>
    </xdr:from>
    <xdr:to>
      <xdr:col>2</xdr:col>
      <xdr:colOff>515579</xdr:colOff>
      <xdr:row>3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47650" y="38100"/>
          <a:ext cx="152522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247650</xdr:colOff>
      <xdr:row>36</xdr:row>
      <xdr:rowOff>38100</xdr:rowOff>
    </xdr:from>
    <xdr:ext cx="1534754" cy="695325"/>
    <xdr:pic>
      <xdr:nvPicPr>
        <xdr:cNvPr id="3" name="Imagen 2">
          <a:extLst>
            <a:ext uri="{FF2B5EF4-FFF2-40B4-BE49-F238E27FC236}">
              <a16:creationId xmlns:a16="http://schemas.microsoft.com/office/drawing/2014/main" id="{4F09C8DD-461D-4D09-95F2-2FFD8676AD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47650" y="38100"/>
          <a:ext cx="153475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216102</xdr:colOff>
      <xdr:row>3</xdr:row>
      <xdr:rowOff>161925</xdr:rowOff>
    </xdr:to>
    <xdr:pic>
      <xdr:nvPicPr>
        <xdr:cNvPr id="2" name="Imagen 1" descr="https://attachment.outlook.office.net/owa/schumaghers@live.com/service.svc/s/GetFileAttachment?id=AQMkADAwATM0MDAAMS05MjIAMy01YjU5LTAwAi0wMAoARgAAA6F1Z6q8tW5HtbFvKm2RApIHAM8SgJNscOpHgJ8K3Gfrd2MAAAIBCQAAAM8SgJNscOpHgJ8K3Gfrd2MAAUXXtiMAAAABEgAQAKh3oVIdPWhAjLrN9UoSClY%3D&amp;X-OWA-CANARY=RmIXzalTM0W41VWPY3Z9yTBX7KK2c9QY9jXPiU14RKEfgYTcMWgvqhZtV1Uv2MPGHTI6aZHHqj0.&amp;token=bd8baeb5-4b9d-4f7c-bdb9-76d5ae5111a7&amp;owa=outlook.live.com&amp;isc=1&amp;isImagePreview=Tru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2073477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114300</xdr:colOff>
      <xdr:row>2</xdr:row>
      <xdr:rowOff>295275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238125</xdr:colOff>
      <xdr:row>1</xdr:row>
      <xdr:rowOff>38100</xdr:rowOff>
    </xdr:from>
    <xdr:to>
      <xdr:col>19</xdr:col>
      <xdr:colOff>21336</xdr:colOff>
      <xdr:row>2</xdr:row>
      <xdr:rowOff>304800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6CD3674-9437-480F-8D9E-E1490CAE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38100"/>
          <a:ext cx="1839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66675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66675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38099</xdr:colOff>
      <xdr:row>58</xdr:row>
      <xdr:rowOff>57150</xdr:rowOff>
    </xdr:from>
    <xdr:ext cx="1943101" cy="885825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43940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2D011CD4-F5EC-4FBA-A0A1-EC3480148F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53</xdr:row>
      <xdr:rowOff>57150</xdr:rowOff>
    </xdr:from>
    <xdr:ext cx="1943101" cy="885825"/>
    <xdr:pic>
      <xdr:nvPicPr>
        <xdr:cNvPr id="3" name="Imagen 2">
          <a:extLst>
            <a:ext uri="{FF2B5EF4-FFF2-40B4-BE49-F238E27FC236}">
              <a16:creationId xmlns:a16="http://schemas.microsoft.com/office/drawing/2014/main" id="{6A04F239-8D1A-4A0E-82F4-4E60234CA1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5727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114300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EAE393-4262-4027-B5C7-3DFFD1333A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114300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D5B61C6-FEAD-499E-91B9-A0C6469C14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247650</xdr:colOff>
      <xdr:row>1</xdr:row>
      <xdr:rowOff>38100</xdr:rowOff>
    </xdr:from>
    <xdr:to>
      <xdr:col>18</xdr:col>
      <xdr:colOff>357759</xdr:colOff>
      <xdr:row>2</xdr:row>
      <xdr:rowOff>304800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7A2518-5943-453E-A8D6-A7A4B5239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38100"/>
          <a:ext cx="1839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114300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60006C8-3E8A-444E-9AD3-FF8F868351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9525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A2624B-167E-4858-9FA8-691B305F8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38099</xdr:colOff>
      <xdr:row>62</xdr:row>
      <xdr:rowOff>57150</xdr:rowOff>
    </xdr:from>
    <xdr:ext cx="1943101" cy="885825"/>
    <xdr:pic>
      <xdr:nvPicPr>
        <xdr:cNvPr id="3" name="Imagen 2">
          <a:extLst>
            <a:ext uri="{FF2B5EF4-FFF2-40B4-BE49-F238E27FC236}">
              <a16:creationId xmlns:a16="http://schemas.microsoft.com/office/drawing/2014/main" id="{7ECE0710-D924-47F0-8A9B-3C6C56D58F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43940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12</xdr:col>
      <xdr:colOff>352425</xdr:colOff>
      <xdr:row>1</xdr:row>
      <xdr:rowOff>38100</xdr:rowOff>
    </xdr:from>
    <xdr:to>
      <xdr:col>21</xdr:col>
      <xdr:colOff>11049</xdr:colOff>
      <xdr:row>2</xdr:row>
      <xdr:rowOff>304800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4DB1A41-FE07-4AC7-8E6A-A711A85F8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38100"/>
          <a:ext cx="1839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52388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E710E3-D824-4162-B4B6-8A1FBC4EC1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266700</xdr:colOff>
      <xdr:row>1</xdr:row>
      <xdr:rowOff>38100</xdr:rowOff>
    </xdr:from>
    <xdr:to>
      <xdr:col>18</xdr:col>
      <xdr:colOff>22737</xdr:colOff>
      <xdr:row>2</xdr:row>
      <xdr:rowOff>304800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4783904-97EC-48A9-BE6E-D395F1880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38100"/>
          <a:ext cx="1839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19050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D9C9B3-BA09-4A43-9245-81A4E74373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52626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38099</xdr:colOff>
      <xdr:row>62</xdr:row>
      <xdr:rowOff>57150</xdr:rowOff>
    </xdr:from>
    <xdr:ext cx="1943101" cy="885825"/>
    <xdr:pic>
      <xdr:nvPicPr>
        <xdr:cNvPr id="3" name="Imagen 2">
          <a:extLst>
            <a:ext uri="{FF2B5EF4-FFF2-40B4-BE49-F238E27FC236}">
              <a16:creationId xmlns:a16="http://schemas.microsoft.com/office/drawing/2014/main" id="{B8B0217A-FCC2-4C84-96CC-CF07A9301C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79182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66675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400050</xdr:colOff>
      <xdr:row>1</xdr:row>
      <xdr:rowOff>38100</xdr:rowOff>
    </xdr:from>
    <xdr:to>
      <xdr:col>17</xdr:col>
      <xdr:colOff>30099</xdr:colOff>
      <xdr:row>2</xdr:row>
      <xdr:rowOff>304800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80781D-37AB-40EB-9C4A-86A49E588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8100"/>
          <a:ext cx="1839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66675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BF0671-1A92-49B7-9A0B-6C72A7F8F0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400050</xdr:colOff>
      <xdr:row>1</xdr:row>
      <xdr:rowOff>38100</xdr:rowOff>
    </xdr:from>
    <xdr:to>
      <xdr:col>17</xdr:col>
      <xdr:colOff>30099</xdr:colOff>
      <xdr:row>2</xdr:row>
      <xdr:rowOff>304800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AF7A121-A12B-4C8D-AC02-CEDC6CCAA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8100"/>
          <a:ext cx="1839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3</xdr:col>
      <xdr:colOff>3175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7B0041-B90B-4ACE-80C8-989D540088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38099</xdr:colOff>
      <xdr:row>57</xdr:row>
      <xdr:rowOff>57150</xdr:rowOff>
    </xdr:from>
    <xdr:ext cx="1949451" cy="883708"/>
    <xdr:pic>
      <xdr:nvPicPr>
        <xdr:cNvPr id="3" name="Imagen 2">
          <a:extLst>
            <a:ext uri="{FF2B5EF4-FFF2-40B4-BE49-F238E27FC236}">
              <a16:creationId xmlns:a16="http://schemas.microsoft.com/office/drawing/2014/main" id="{9CB39437-0D7C-44C8-9588-8F00E61EFC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9451" cy="883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47625</xdr:colOff>
      <xdr:row>77</xdr:row>
      <xdr:rowOff>152400</xdr:rowOff>
    </xdr:from>
    <xdr:to>
      <xdr:col>18</xdr:col>
      <xdr:colOff>371475</xdr:colOff>
      <xdr:row>96</xdr:row>
      <xdr:rowOff>142876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D4522A9-8373-470A-8EEA-4E44898D5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57150</xdr:colOff>
      <xdr:row>1</xdr:row>
      <xdr:rowOff>47625</xdr:rowOff>
    </xdr:from>
    <xdr:to>
      <xdr:col>21</xdr:col>
      <xdr:colOff>49318</xdr:colOff>
      <xdr:row>2</xdr:row>
      <xdr:rowOff>314404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7625"/>
          <a:ext cx="1944793" cy="914479"/>
        </a:xfrm>
        <a:prstGeom prst="rect">
          <a:avLst/>
        </a:prstGeom>
      </xdr:spPr>
    </xdr:pic>
    <xdr:clientData/>
  </xdr:twoCellAnchor>
  <xdr:oneCellAnchor>
    <xdr:from>
      <xdr:col>0</xdr:col>
      <xdr:colOff>38099</xdr:colOff>
      <xdr:row>53</xdr:row>
      <xdr:rowOff>57150</xdr:rowOff>
    </xdr:from>
    <xdr:ext cx="1943101" cy="885825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57150</xdr:colOff>
      <xdr:row>53</xdr:row>
      <xdr:rowOff>47625</xdr:rowOff>
    </xdr:from>
    <xdr:ext cx="1944793" cy="914479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7625"/>
          <a:ext cx="1944793" cy="914479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1C339932-8425-4DC4-932F-B32F3A2029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13</xdr:col>
      <xdr:colOff>9525</xdr:colOff>
      <xdr:row>1</xdr:row>
      <xdr:rowOff>47625</xdr:rowOff>
    </xdr:from>
    <xdr:to>
      <xdr:col>21</xdr:col>
      <xdr:colOff>39793</xdr:colOff>
      <xdr:row>2</xdr:row>
      <xdr:rowOff>314404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989EA9-DA93-47B4-AE2B-9C150F12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625"/>
          <a:ext cx="1944793" cy="914479"/>
        </a:xfrm>
        <a:prstGeom prst="rect">
          <a:avLst/>
        </a:prstGeom>
      </xdr:spPr>
    </xdr:pic>
    <xdr:clientData/>
  </xdr:twoCellAnchor>
  <xdr:oneCellAnchor>
    <xdr:from>
      <xdr:col>0</xdr:col>
      <xdr:colOff>38099</xdr:colOff>
      <xdr:row>60</xdr:row>
      <xdr:rowOff>57150</xdr:rowOff>
    </xdr:from>
    <xdr:ext cx="1943101" cy="885825"/>
    <xdr:pic>
      <xdr:nvPicPr>
        <xdr:cNvPr id="4" name="Imagen 3">
          <a:extLst>
            <a:ext uri="{FF2B5EF4-FFF2-40B4-BE49-F238E27FC236}">
              <a16:creationId xmlns:a16="http://schemas.microsoft.com/office/drawing/2014/main" id="{321CE6D5-4707-48E4-A35D-67C2257D73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5727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9525</xdr:colOff>
      <xdr:row>60</xdr:row>
      <xdr:rowOff>47625</xdr:rowOff>
    </xdr:from>
    <xdr:ext cx="1944793" cy="914479"/>
    <xdr:pic>
      <xdr:nvPicPr>
        <xdr:cNvPr id="5" name="Imagen 4">
          <a:extLst>
            <a:ext uri="{FF2B5EF4-FFF2-40B4-BE49-F238E27FC236}">
              <a16:creationId xmlns:a16="http://schemas.microsoft.com/office/drawing/2014/main" id="{C29B9C43-102F-4A93-97FF-C511EFCB2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10753725"/>
          <a:ext cx="1944793" cy="914479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DB92DE72-4354-4170-929A-64F1E67D31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57150</xdr:colOff>
      <xdr:row>1</xdr:row>
      <xdr:rowOff>47625</xdr:rowOff>
    </xdr:from>
    <xdr:to>
      <xdr:col>21</xdr:col>
      <xdr:colOff>49318</xdr:colOff>
      <xdr:row>2</xdr:row>
      <xdr:rowOff>314404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28468F5-3B9A-419B-8B1A-C55A82EF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625"/>
          <a:ext cx="1944793" cy="914479"/>
        </a:xfrm>
        <a:prstGeom prst="rect">
          <a:avLst/>
        </a:prstGeom>
      </xdr:spPr>
    </xdr:pic>
    <xdr:clientData/>
  </xdr:twoCellAnchor>
  <xdr:oneCellAnchor>
    <xdr:from>
      <xdr:col>0</xdr:col>
      <xdr:colOff>38099</xdr:colOff>
      <xdr:row>57</xdr:row>
      <xdr:rowOff>57150</xdr:rowOff>
    </xdr:from>
    <xdr:ext cx="1943101" cy="885825"/>
    <xdr:pic>
      <xdr:nvPicPr>
        <xdr:cNvPr id="4" name="Imagen 3">
          <a:extLst>
            <a:ext uri="{FF2B5EF4-FFF2-40B4-BE49-F238E27FC236}">
              <a16:creationId xmlns:a16="http://schemas.microsoft.com/office/drawing/2014/main" id="{A925EFC5-C41D-4EFC-8140-E6E61B9F2E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12507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57150</xdr:colOff>
      <xdr:row>57</xdr:row>
      <xdr:rowOff>47625</xdr:rowOff>
    </xdr:from>
    <xdr:ext cx="1944793" cy="914479"/>
    <xdr:pic>
      <xdr:nvPicPr>
        <xdr:cNvPr id="5" name="Imagen 4">
          <a:extLst>
            <a:ext uri="{FF2B5EF4-FFF2-40B4-BE49-F238E27FC236}">
              <a16:creationId xmlns:a16="http://schemas.microsoft.com/office/drawing/2014/main" id="{748870EB-F7AC-41F6-BC1B-7ED7A2780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10115550"/>
          <a:ext cx="1944793" cy="914479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7" name="Imagen 6">
          <a:extLst>
            <a:ext uri="{FF2B5EF4-FFF2-40B4-BE49-F238E27FC236}">
              <a16:creationId xmlns:a16="http://schemas.microsoft.com/office/drawing/2014/main" id="{5E770584-FFC7-4E56-8A94-1167B0B379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53</xdr:row>
      <xdr:rowOff>57150</xdr:rowOff>
    </xdr:from>
    <xdr:ext cx="1943101" cy="885825"/>
    <xdr:pic>
      <xdr:nvPicPr>
        <xdr:cNvPr id="8" name="Imagen 7">
          <a:extLst>
            <a:ext uri="{FF2B5EF4-FFF2-40B4-BE49-F238E27FC236}">
              <a16:creationId xmlns:a16="http://schemas.microsoft.com/office/drawing/2014/main" id="{954472FA-19A1-4CC2-9B4C-74219C3EE2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28575</xdr:rowOff>
    </xdr:from>
    <xdr:ext cx="2073477" cy="666750"/>
    <xdr:pic>
      <xdr:nvPicPr>
        <xdr:cNvPr id="3" name="Imagen 2" descr="https://attachment.outlook.office.net/owa/schumaghers@live.com/service.svc/s/GetFileAttachment?id=AQMkADAwATM0MDAAMS05MjIAMy01YjU5LTAwAi0wMAoARgAAA6F1Z6q8tW5HtbFvKm2RApIHAM8SgJNscOpHgJ8K3Gfrd2MAAAIBCQAAAM8SgJNscOpHgJ8K3Gfrd2MAAUXXtiMAAAABEgAQAKh3oVIdPWhAjLrN9UoSClY%3D&amp;X-OWA-CANARY=RmIXzalTM0W41VWPY3Z9yTBX7KK2c9QY9jXPiU14RKEfgYTcMWgvqhZtV1Uv2MPGHTI6aZHHqj0.&amp;token=bd8baeb5-4b9d-4f7c-bdb9-76d5ae5111a7&amp;owa=outlook.live.com&amp;isc=1&amp;isImagePreview=Tru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8575"/>
          <a:ext cx="2073477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28575</xdr:rowOff>
    </xdr:from>
    <xdr:ext cx="2073477" cy="666750"/>
    <xdr:pic>
      <xdr:nvPicPr>
        <xdr:cNvPr id="2" name="Imagen 1" descr="https://attachment.outlook.office.net/owa/schumaghers@live.com/service.svc/s/GetFileAttachment?id=AQMkADAwATM0MDAAMS05MjIAMy01YjU5LTAwAi0wMAoARgAAA6F1Z6q8tW5HtbFvKm2RApIHAM8SgJNscOpHgJ8K3Gfrd2MAAAIBCQAAAM8SgJNscOpHgJ8K3Gfrd2MAAUXXtiMAAAABEgAQAKh3oVIdPWhAjLrN9UoSClY%3D&amp;X-OWA-CANARY=RmIXzalTM0W41VWPY3Z9yTBX7KK2c9QY9jXPiU14RKEfgYTcMWgvqhZtV1Uv2MPGHTI6aZHHqj0.&amp;token=bd8baeb5-4b9d-4f7c-bdb9-76d5ae5111a7&amp;owa=outlook.live.com&amp;isc=1&amp;isImagePreview=Tru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8575"/>
          <a:ext cx="2073477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142875</xdr:colOff>
      <xdr:row>38</xdr:row>
      <xdr:rowOff>38100</xdr:rowOff>
    </xdr:from>
    <xdr:to>
      <xdr:col>11</xdr:col>
      <xdr:colOff>581025</xdr:colOff>
      <xdr:row>47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8277225"/>
          <a:ext cx="6534150" cy="1819275"/>
        </a:xfrm>
        <a:prstGeom prst="rect">
          <a:avLst/>
        </a:prstGeom>
        <a:noFill/>
        <a:ln w="1270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66</xdr:row>
      <xdr:rowOff>85725</xdr:rowOff>
    </xdr:from>
    <xdr:to>
      <xdr:col>11</xdr:col>
      <xdr:colOff>9525</xdr:colOff>
      <xdr:row>73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402050"/>
          <a:ext cx="5991225" cy="1276350"/>
        </a:xfrm>
        <a:prstGeom prst="rect">
          <a:avLst/>
        </a:prstGeom>
        <a:noFill/>
        <a:ln w="1270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571500</xdr:colOff>
      <xdr:row>93</xdr:row>
      <xdr:rowOff>28575</xdr:rowOff>
    </xdr:from>
    <xdr:to>
      <xdr:col>11</xdr:col>
      <xdr:colOff>257175</xdr:colOff>
      <xdr:row>100</xdr:row>
      <xdr:rowOff>123825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1225" y="24422100"/>
          <a:ext cx="6553200" cy="1428750"/>
        </a:xfrm>
        <a:prstGeom prst="rect">
          <a:avLst/>
        </a:prstGeom>
        <a:noFill/>
        <a:ln w="1270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1</xdr:row>
      <xdr:rowOff>57150</xdr:rowOff>
    </xdr:from>
    <xdr:to>
      <xdr:col>4</xdr:col>
      <xdr:colOff>66675</xdr:colOff>
      <xdr:row>2</xdr:row>
      <xdr:rowOff>295275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FE4271B8-82AF-4353-A6C7-B941372542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55</xdr:row>
      <xdr:rowOff>57150</xdr:rowOff>
    </xdr:from>
    <xdr:ext cx="1943101" cy="885825"/>
    <xdr:pic>
      <xdr:nvPicPr>
        <xdr:cNvPr id="4" name="Imagen 3">
          <a:extLst>
            <a:ext uri="{FF2B5EF4-FFF2-40B4-BE49-F238E27FC236}">
              <a16:creationId xmlns:a16="http://schemas.microsoft.com/office/drawing/2014/main" id="{5FCD14C2-3080-414A-AC1B-B17DECCFF0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29652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F0A40E95-CE33-4697-965B-3A7434166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55</xdr:row>
      <xdr:rowOff>57150</xdr:rowOff>
    </xdr:from>
    <xdr:ext cx="1943101" cy="885825"/>
    <xdr:pic>
      <xdr:nvPicPr>
        <xdr:cNvPr id="3" name="Imagen 2">
          <a:extLst>
            <a:ext uri="{FF2B5EF4-FFF2-40B4-BE49-F238E27FC236}">
              <a16:creationId xmlns:a16="http://schemas.microsoft.com/office/drawing/2014/main" id="{225AFBCF-7413-46D9-99EA-0EA418C52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81087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33C66CBB-9EBF-42BA-B01B-1D55A299D4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55</xdr:row>
      <xdr:rowOff>57150</xdr:rowOff>
    </xdr:from>
    <xdr:ext cx="1943101" cy="885825"/>
    <xdr:pic>
      <xdr:nvPicPr>
        <xdr:cNvPr id="3" name="Imagen 2">
          <a:extLst>
            <a:ext uri="{FF2B5EF4-FFF2-40B4-BE49-F238E27FC236}">
              <a16:creationId xmlns:a16="http://schemas.microsoft.com/office/drawing/2014/main" id="{837E934E-A62B-494B-A142-1420B9682E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1081087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57150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4B7270BE-7D75-4223-B2A1-161E9DD746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57150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0</xdr:row>
      <xdr:rowOff>60325</xdr:rowOff>
    </xdr:from>
    <xdr:ext cx="2073477" cy="666750"/>
    <xdr:pic>
      <xdr:nvPicPr>
        <xdr:cNvPr id="3" name="Imagen 2" descr="https://attachment.outlook.office.net/owa/schumaghers@live.com/service.svc/s/GetFileAttachment?id=AQMkADAwATM0MDAAMS05MjIAMy01YjU5LTAwAi0wMAoARgAAA6F1Z6q8tW5HtbFvKm2RApIHAM8SgJNscOpHgJ8K3Gfrd2MAAAIBCQAAAM8SgJNscOpHgJ8K3Gfrd2MAAUXXtiMAAAABEgAQAKh3oVIdPWhAjLrN9UoSClY%3D&amp;X-OWA-CANARY=RmIXzalTM0W41VWPY3Z9yTBX7KK2c9QY9jXPiU14RKEfgYTcMWgvqhZtV1Uv2MPGHTI6aZHHqj0.&amp;token=bd8baeb5-4b9d-4f7c-bdb9-76d5ae5111a7&amp;owa=outlook.live.com&amp;isc=1&amp;isImagePreview=Tru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60325"/>
          <a:ext cx="2073477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28575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2857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27</xdr:col>
      <xdr:colOff>0</xdr:colOff>
      <xdr:row>1</xdr:row>
      <xdr:rowOff>28575</xdr:rowOff>
    </xdr:from>
    <xdr:to>
      <xdr:col>37</xdr:col>
      <xdr:colOff>70104</xdr:colOff>
      <xdr:row>2</xdr:row>
      <xdr:rowOff>295275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E1DCA6-2CA0-4356-895D-96194429E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28575"/>
          <a:ext cx="1839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20573</xdr:colOff>
      <xdr:row>3</xdr:row>
      <xdr:rowOff>6262</xdr:rowOff>
    </xdr:from>
    <xdr:ext cx="399946" cy="128000"/>
    <xdr:pic>
      <xdr:nvPicPr>
        <xdr:cNvPr id="2" name="Imagen 1">
          <a:extLst>
            <a:ext uri="{FF2B5EF4-FFF2-40B4-BE49-F238E27FC236}">
              <a16:creationId xmlns:a16="http://schemas.microsoft.com/office/drawing/2014/main" id="{4C22DDC6-9549-4029-B448-28A883CFD9A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1" t="10405" r="101" b="12100"/>
        <a:stretch/>
      </xdr:blipFill>
      <xdr:spPr bwMode="auto">
        <a:xfrm>
          <a:off x="134873" y="130087"/>
          <a:ext cx="399946" cy="1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20573</xdr:colOff>
      <xdr:row>3</xdr:row>
      <xdr:rowOff>6262</xdr:rowOff>
    </xdr:from>
    <xdr:ext cx="399946" cy="1280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1" t="10405" r="101" b="12100"/>
        <a:stretch/>
      </xdr:blipFill>
      <xdr:spPr bwMode="auto">
        <a:xfrm>
          <a:off x="134873" y="130087"/>
          <a:ext cx="399946" cy="1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4357</xdr:colOff>
      <xdr:row>3</xdr:row>
      <xdr:rowOff>6262</xdr:rowOff>
    </xdr:from>
    <xdr:ext cx="390829" cy="128000"/>
    <xdr:pic>
      <xdr:nvPicPr>
        <xdr:cNvPr id="2" name="Imagen 1">
          <a:extLst>
            <a:ext uri="{FF2B5EF4-FFF2-40B4-BE49-F238E27FC236}">
              <a16:creationId xmlns:a16="http://schemas.microsoft.com/office/drawing/2014/main" id="{5C2F8D7F-54A6-42FA-B6AE-1C291446659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1" t="10405" r="101" b="12100"/>
        <a:stretch/>
      </xdr:blipFill>
      <xdr:spPr bwMode="auto">
        <a:xfrm>
          <a:off x="119873" y="135964"/>
          <a:ext cx="390829" cy="1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15363</xdr:colOff>
      <xdr:row>4</xdr:row>
      <xdr:rowOff>15021</xdr:rowOff>
    </xdr:from>
    <xdr:ext cx="359494" cy="130069"/>
    <xdr:pic>
      <xdr:nvPicPr>
        <xdr:cNvPr id="2" name="Imagen 1">
          <a:extLst>
            <a:ext uri="{FF2B5EF4-FFF2-40B4-BE49-F238E27FC236}">
              <a16:creationId xmlns:a16="http://schemas.microsoft.com/office/drawing/2014/main" id="{32FE808E-51D2-434F-9BAD-275CAD350F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129663" y="148371"/>
          <a:ext cx="359494" cy="130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76201</xdr:rowOff>
    </xdr:from>
    <xdr:to>
      <xdr:col>2</xdr:col>
      <xdr:colOff>1228725</xdr:colOff>
      <xdr:row>4</xdr:row>
      <xdr:rowOff>99593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285750" y="76201"/>
          <a:ext cx="1304925" cy="594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28575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2857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38099</xdr:colOff>
      <xdr:row>1</xdr:row>
      <xdr:rowOff>28575</xdr:rowOff>
    </xdr:from>
    <xdr:ext cx="1943101" cy="885825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3" t="1563" r="98" b="1563"/>
        <a:stretch/>
      </xdr:blipFill>
      <xdr:spPr bwMode="auto">
        <a:xfrm>
          <a:off x="38099" y="28575"/>
          <a:ext cx="19431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88448</xdr:colOff>
      <xdr:row>288</xdr:row>
      <xdr:rowOff>34468</xdr:rowOff>
    </xdr:from>
    <xdr:to>
      <xdr:col>24</xdr:col>
      <xdr:colOff>15876</xdr:colOff>
      <xdr:row>324</xdr:row>
      <xdr:rowOff>72570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349250</xdr:colOff>
      <xdr:row>0</xdr:row>
      <xdr:rowOff>29481</xdr:rowOff>
    </xdr:from>
    <xdr:to>
      <xdr:col>3</xdr:col>
      <xdr:colOff>600475</xdr:colOff>
      <xdr:row>3</xdr:row>
      <xdr:rowOff>142874</xdr:rowOff>
    </xdr:to>
    <xdr:pic>
      <xdr:nvPicPr>
        <xdr:cNvPr id="3" name="Imagen 1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29481"/>
          <a:ext cx="1965725" cy="684893"/>
        </a:xfrm>
        <a:prstGeom prst="rect">
          <a:avLst/>
        </a:prstGeom>
      </xdr:spPr>
    </xdr:pic>
    <xdr:clientData/>
  </xdr:twoCellAnchor>
  <xdr:twoCellAnchor>
    <xdr:from>
      <xdr:col>1</xdr:col>
      <xdr:colOff>365124</xdr:colOff>
      <xdr:row>238</xdr:row>
      <xdr:rowOff>79375</xdr:rowOff>
    </xdr:from>
    <xdr:to>
      <xdr:col>10</xdr:col>
      <xdr:colOff>888999</xdr:colOff>
      <xdr:row>252</xdr:row>
      <xdr:rowOff>696912</xdr:rowOff>
    </xdr:to>
    <xdr:graphicFrame macro="">
      <xdr:nvGraphicFramePr>
        <xdr:cNvPr id="4" name="Gráfico 19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158750</xdr:colOff>
      <xdr:row>202</xdr:row>
      <xdr:rowOff>65087</xdr:rowOff>
    </xdr:from>
    <xdr:to>
      <xdr:col>15</xdr:col>
      <xdr:colOff>603250</xdr:colOff>
      <xdr:row>213</xdr:row>
      <xdr:rowOff>141287</xdr:rowOff>
    </xdr:to>
    <xdr:graphicFrame macro="">
      <xdr:nvGraphicFramePr>
        <xdr:cNvPr id="5" name="Gráfico 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452437</xdr:colOff>
      <xdr:row>202</xdr:row>
      <xdr:rowOff>303212</xdr:rowOff>
    </xdr:from>
    <xdr:to>
      <xdr:col>66</xdr:col>
      <xdr:colOff>198437</xdr:colOff>
      <xdr:row>214</xdr:row>
      <xdr:rowOff>188912</xdr:rowOff>
    </xdr:to>
    <xdr:graphicFrame macro="">
      <xdr:nvGraphicFramePr>
        <xdr:cNvPr id="6" name="Gráfico 1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341312</xdr:colOff>
      <xdr:row>202</xdr:row>
      <xdr:rowOff>223837</xdr:rowOff>
    </xdr:from>
    <xdr:to>
      <xdr:col>83</xdr:col>
      <xdr:colOff>325437</xdr:colOff>
      <xdr:row>214</xdr:row>
      <xdr:rowOff>109537</xdr:rowOff>
    </xdr:to>
    <xdr:graphicFrame macro="">
      <xdr:nvGraphicFramePr>
        <xdr:cNvPr id="7" name="Gráfico 13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94</xdr:col>
      <xdr:colOff>674687</xdr:colOff>
      <xdr:row>202</xdr:row>
      <xdr:rowOff>334962</xdr:rowOff>
    </xdr:from>
    <xdr:to>
      <xdr:col>100</xdr:col>
      <xdr:colOff>325437</xdr:colOff>
      <xdr:row>215</xdr:row>
      <xdr:rowOff>30162</xdr:rowOff>
    </xdr:to>
    <xdr:graphicFrame macro="">
      <xdr:nvGraphicFramePr>
        <xdr:cNvPr id="8" name="Gráfico 1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145</xdr:col>
      <xdr:colOff>198437</xdr:colOff>
      <xdr:row>202</xdr:row>
      <xdr:rowOff>49212</xdr:rowOff>
    </xdr:from>
    <xdr:to>
      <xdr:col>150</xdr:col>
      <xdr:colOff>404812</xdr:colOff>
      <xdr:row>213</xdr:row>
      <xdr:rowOff>125412</xdr:rowOff>
    </xdr:to>
    <xdr:graphicFrame macro="">
      <xdr:nvGraphicFramePr>
        <xdr:cNvPr id="9" name="Gráfico 1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366</xdr:col>
      <xdr:colOff>412750</xdr:colOff>
      <xdr:row>201</xdr:row>
      <xdr:rowOff>158750</xdr:rowOff>
    </xdr:from>
    <xdr:to>
      <xdr:col>372</xdr:col>
      <xdr:colOff>412750</xdr:colOff>
      <xdr:row>213</xdr:row>
      <xdr:rowOff>44450</xdr:rowOff>
    </xdr:to>
    <xdr:graphicFrame macro="">
      <xdr:nvGraphicFramePr>
        <xdr:cNvPr id="10" name="Gráfico 2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401</xdr:col>
      <xdr:colOff>0</xdr:colOff>
      <xdr:row>204</xdr:row>
      <xdr:rowOff>0</xdr:rowOff>
    </xdr:from>
    <xdr:to>
      <xdr:col>406</xdr:col>
      <xdr:colOff>555625</xdr:colOff>
      <xdr:row>215</xdr:row>
      <xdr:rowOff>76200</xdr:rowOff>
    </xdr:to>
    <xdr:graphicFrame macro="">
      <xdr:nvGraphicFramePr>
        <xdr:cNvPr id="11" name="Gráfico 2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486</xdr:col>
      <xdr:colOff>0</xdr:colOff>
      <xdr:row>203</xdr:row>
      <xdr:rowOff>0</xdr:rowOff>
    </xdr:from>
    <xdr:to>
      <xdr:col>492</xdr:col>
      <xdr:colOff>142875</xdr:colOff>
      <xdr:row>214</xdr:row>
      <xdr:rowOff>76200</xdr:rowOff>
    </xdr:to>
    <xdr:graphicFrame macro="">
      <xdr:nvGraphicFramePr>
        <xdr:cNvPr id="12" name="Gráfico 2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502</xdr:col>
      <xdr:colOff>873125</xdr:colOff>
      <xdr:row>202</xdr:row>
      <xdr:rowOff>63500</xdr:rowOff>
    </xdr:from>
    <xdr:to>
      <xdr:col>508</xdr:col>
      <xdr:colOff>539750</xdr:colOff>
      <xdr:row>213</xdr:row>
      <xdr:rowOff>139700</xdr:rowOff>
    </xdr:to>
    <xdr:graphicFrame macro="">
      <xdr:nvGraphicFramePr>
        <xdr:cNvPr id="13" name="Gráfico 2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537</xdr:col>
      <xdr:colOff>0</xdr:colOff>
      <xdr:row>204</xdr:row>
      <xdr:rowOff>0</xdr:rowOff>
    </xdr:from>
    <xdr:to>
      <xdr:col>542</xdr:col>
      <xdr:colOff>603250</xdr:colOff>
      <xdr:row>215</xdr:row>
      <xdr:rowOff>76200</xdr:rowOff>
    </xdr:to>
    <xdr:graphicFrame macro="">
      <xdr:nvGraphicFramePr>
        <xdr:cNvPr id="14" name="Gráfico 25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0</xdr:colOff>
      <xdr:row>170</xdr:row>
      <xdr:rowOff>0</xdr:rowOff>
    </xdr:from>
    <xdr:to>
      <xdr:col>13</xdr:col>
      <xdr:colOff>533400</xdr:colOff>
      <xdr:row>192</xdr:row>
      <xdr:rowOff>120339</xdr:rowOff>
    </xdr:to>
    <xdr:pic>
      <xdr:nvPicPr>
        <xdr:cNvPr id="15" name="Imagen 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36137850"/>
          <a:ext cx="10058400" cy="4320864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169</xdr:row>
      <xdr:rowOff>0</xdr:rowOff>
    </xdr:from>
    <xdr:to>
      <xdr:col>65</xdr:col>
      <xdr:colOff>41275</xdr:colOff>
      <xdr:row>191</xdr:row>
      <xdr:rowOff>182495</xdr:rowOff>
    </xdr:to>
    <xdr:pic>
      <xdr:nvPicPr>
        <xdr:cNvPr id="16" name="Imagen 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0" y="35947350"/>
          <a:ext cx="10061575" cy="4383020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169</xdr:row>
      <xdr:rowOff>0</xdr:rowOff>
    </xdr:from>
    <xdr:to>
      <xdr:col>82</xdr:col>
      <xdr:colOff>422275</xdr:colOff>
      <xdr:row>191</xdr:row>
      <xdr:rowOff>143620</xdr:rowOff>
    </xdr:to>
    <xdr:pic>
      <xdr:nvPicPr>
        <xdr:cNvPr id="17" name="Imagen 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1925" y="35947350"/>
          <a:ext cx="10071100" cy="4344145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169</xdr:row>
      <xdr:rowOff>0</xdr:rowOff>
    </xdr:from>
    <xdr:to>
      <xdr:col>98</xdr:col>
      <xdr:colOff>517525</xdr:colOff>
      <xdr:row>191</xdr:row>
      <xdr:rowOff>149499</xdr:rowOff>
    </xdr:to>
    <xdr:pic>
      <xdr:nvPicPr>
        <xdr:cNvPr id="18" name="Imagen 11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42150" y="35947350"/>
          <a:ext cx="10052050" cy="4350024"/>
        </a:xfrm>
        <a:prstGeom prst="rect">
          <a:avLst/>
        </a:prstGeom>
      </xdr:spPr>
    </xdr:pic>
    <xdr:clientData/>
  </xdr:twoCellAnchor>
  <xdr:twoCellAnchor editAs="oneCell">
    <xdr:from>
      <xdr:col>138</xdr:col>
      <xdr:colOff>0</xdr:colOff>
      <xdr:row>169</xdr:row>
      <xdr:rowOff>0</xdr:rowOff>
    </xdr:from>
    <xdr:to>
      <xdr:col>149</xdr:col>
      <xdr:colOff>517525</xdr:colOff>
      <xdr:row>191</xdr:row>
      <xdr:rowOff>120339</xdr:rowOff>
    </xdr:to>
    <xdr:pic>
      <xdr:nvPicPr>
        <xdr:cNvPr id="19" name="Imagen 15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32825" y="35947350"/>
          <a:ext cx="10071100" cy="4320864"/>
        </a:xfrm>
        <a:prstGeom prst="rect">
          <a:avLst/>
        </a:prstGeom>
      </xdr:spPr>
    </xdr:pic>
    <xdr:clientData/>
  </xdr:twoCellAnchor>
  <xdr:twoCellAnchor editAs="oneCell">
    <xdr:from>
      <xdr:col>359</xdr:col>
      <xdr:colOff>0</xdr:colOff>
      <xdr:row>169</xdr:row>
      <xdr:rowOff>0</xdr:rowOff>
    </xdr:from>
    <xdr:to>
      <xdr:col>371</xdr:col>
      <xdr:colOff>596900</xdr:colOff>
      <xdr:row>191</xdr:row>
      <xdr:rowOff>132974</xdr:rowOff>
    </xdr:to>
    <xdr:pic>
      <xdr:nvPicPr>
        <xdr:cNvPr id="20" name="Imagen 2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844500" y="35947350"/>
          <a:ext cx="10083800" cy="4333499"/>
        </a:xfrm>
        <a:prstGeom prst="rect">
          <a:avLst/>
        </a:prstGeom>
      </xdr:spPr>
    </xdr:pic>
    <xdr:clientData/>
  </xdr:twoCellAnchor>
  <xdr:twoCellAnchor editAs="oneCell">
    <xdr:from>
      <xdr:col>393</xdr:col>
      <xdr:colOff>0</xdr:colOff>
      <xdr:row>169</xdr:row>
      <xdr:rowOff>0</xdr:rowOff>
    </xdr:from>
    <xdr:to>
      <xdr:col>404</xdr:col>
      <xdr:colOff>549275</xdr:colOff>
      <xdr:row>191</xdr:row>
      <xdr:rowOff>123259</xdr:rowOff>
    </xdr:to>
    <xdr:pic>
      <xdr:nvPicPr>
        <xdr:cNvPr id="21" name="Imagen 2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95400" y="35947350"/>
          <a:ext cx="10074275" cy="4323784"/>
        </a:xfrm>
        <a:prstGeom prst="rect">
          <a:avLst/>
        </a:prstGeom>
      </xdr:spPr>
    </xdr:pic>
    <xdr:clientData/>
  </xdr:twoCellAnchor>
  <xdr:twoCellAnchor editAs="oneCell">
    <xdr:from>
      <xdr:col>478</xdr:col>
      <xdr:colOff>0</xdr:colOff>
      <xdr:row>169</xdr:row>
      <xdr:rowOff>0</xdr:rowOff>
    </xdr:from>
    <xdr:to>
      <xdr:col>490</xdr:col>
      <xdr:colOff>501650</xdr:colOff>
      <xdr:row>191</xdr:row>
      <xdr:rowOff>120339</xdr:rowOff>
    </xdr:to>
    <xdr:pic>
      <xdr:nvPicPr>
        <xdr:cNvPr id="22" name="Imagen 3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084475" y="35947350"/>
          <a:ext cx="10055225" cy="4320864"/>
        </a:xfrm>
        <a:prstGeom prst="rect">
          <a:avLst/>
        </a:prstGeom>
      </xdr:spPr>
    </xdr:pic>
    <xdr:clientData/>
  </xdr:twoCellAnchor>
  <xdr:twoCellAnchor editAs="oneCell">
    <xdr:from>
      <xdr:col>495</xdr:col>
      <xdr:colOff>0</xdr:colOff>
      <xdr:row>169</xdr:row>
      <xdr:rowOff>0</xdr:rowOff>
    </xdr:from>
    <xdr:to>
      <xdr:col>507</xdr:col>
      <xdr:colOff>9525</xdr:colOff>
      <xdr:row>191</xdr:row>
      <xdr:rowOff>113557</xdr:rowOff>
    </xdr:to>
    <xdr:pic>
      <xdr:nvPicPr>
        <xdr:cNvPr id="23" name="Imagen 34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219450" y="35947350"/>
          <a:ext cx="10067925" cy="4314082"/>
        </a:xfrm>
        <a:prstGeom prst="rect">
          <a:avLst/>
        </a:prstGeom>
      </xdr:spPr>
    </xdr:pic>
    <xdr:clientData/>
  </xdr:twoCellAnchor>
  <xdr:twoCellAnchor editAs="oneCell">
    <xdr:from>
      <xdr:col>529</xdr:col>
      <xdr:colOff>0</xdr:colOff>
      <xdr:row>169</xdr:row>
      <xdr:rowOff>0</xdr:rowOff>
    </xdr:from>
    <xdr:to>
      <xdr:col>541</xdr:col>
      <xdr:colOff>120650</xdr:colOff>
      <xdr:row>191</xdr:row>
      <xdr:rowOff>143620</xdr:rowOff>
    </xdr:to>
    <xdr:pic>
      <xdr:nvPicPr>
        <xdr:cNvPr id="24" name="Imagen 38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137100" y="35947350"/>
          <a:ext cx="10064750" cy="4344145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171450</xdr:rowOff>
    </xdr:from>
    <xdr:to>
      <xdr:col>1</xdr:col>
      <xdr:colOff>720725</xdr:colOff>
      <xdr:row>4</xdr:row>
      <xdr:rowOff>45085</xdr:rowOff>
    </xdr:to>
    <xdr:pic>
      <xdr:nvPicPr>
        <xdr:cNvPr id="2" name="Firma">
          <a:extLst>
            <a:ext uri="{FF2B5EF4-FFF2-40B4-BE49-F238E27FC236}">
              <a16:creationId xmlns:a16="http://schemas.microsoft.com/office/drawing/2014/main" id="{E3201DE2-8DCC-4D20-BBB1-6DFDD6F66789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9422" l="1214" r="99515">
                      <a14:foregroundMark x1="12136" y1="24277" x2="12136" y2="24277"/>
                      <a14:foregroundMark x1="12864" y1="23699" x2="12864" y2="23699"/>
                      <a14:foregroundMark x1="13350" y1="23121" x2="13350" y2="23121"/>
                      <a14:foregroundMark x1="14078" y1="21965" x2="14078" y2="21965"/>
                      <a14:foregroundMark x1="14806" y1="21965" x2="14806" y2="21965"/>
                      <a14:foregroundMark x1="15291" y1="21387" x2="15291" y2="21387"/>
                      <a14:foregroundMark x1="16019" y1="20809" x2="16019" y2="20809"/>
                      <a14:foregroundMark x1="16748" y1="20231" x2="16748" y2="20231"/>
                      <a14:foregroundMark x1="17476" y1="19075" x2="17476" y2="19075"/>
                      <a14:foregroundMark x1="17961" y1="18497" x2="17961" y2="18497"/>
                      <a14:foregroundMark x1="18689" y1="18497" x2="18689" y2="18497"/>
                      <a14:foregroundMark x1="19417" y1="18497" x2="19417" y2="18497"/>
                      <a14:foregroundMark x1="19903" y1="17919" x2="19903" y2="17919"/>
                      <a14:foregroundMark x1="20388" y1="17341" x2="20388" y2="17341"/>
                      <a14:foregroundMark x1="21117" y1="16763" x2="21117" y2="16763"/>
                      <a14:foregroundMark x1="21845" y1="15607" x2="21845" y2="15607"/>
                      <a14:foregroundMark x1="22573" y1="15607" x2="22573" y2="15607"/>
                      <a14:foregroundMark x1="23058" y1="15029" x2="23058" y2="15029"/>
                      <a14:foregroundMark x1="23544" y1="15029" x2="23544" y2="15029"/>
                      <a14:foregroundMark x1="24029" y1="15029" x2="24029" y2="15029"/>
                      <a14:foregroundMark x1="24272" y1="14451" x2="24272" y2="14451"/>
                      <a14:foregroundMark x1="25000" y1="13873" x2="25000" y2="13873"/>
                      <a14:foregroundMark x1="25485" y1="13295" x2="25485" y2="13295"/>
                      <a14:foregroundMark x1="25971" y1="13295" x2="25971" y2="13295"/>
                      <a14:foregroundMark x1="26942" y1="12717" x2="26942" y2="12717"/>
                      <a14:foregroundMark x1="27913" y1="12139" x2="27913" y2="12139"/>
                      <a14:foregroundMark x1="28883" y1="12139" x2="28883" y2="12139"/>
                      <a14:foregroundMark x1="29612" y1="11561" x2="29612" y2="11561"/>
                      <a14:foregroundMark x1="30340" y1="10983" x2="30340" y2="10983"/>
                      <a14:foregroundMark x1="11408" y1="24855" x2="11408" y2="24855"/>
                      <a14:foregroundMark x1="10922" y1="26012" x2="10922" y2="26012"/>
                      <a14:foregroundMark x1="10194" y1="26590" x2="10194" y2="26590"/>
                      <a14:foregroundMark x1="9223" y1="27168" x2="9223" y2="27168"/>
                      <a14:foregroundMark x1="8495" y1="29480" x2="8495" y2="29480"/>
                      <a14:foregroundMark x1="7282" y1="31214" x2="7282" y2="31214"/>
                      <a14:foregroundMark x1="7524" y1="30636" x2="7524" y2="30636"/>
                      <a14:foregroundMark x1="8495" y1="28902" x2="8495" y2="28902"/>
                      <a14:foregroundMark x1="6311" y1="32370" x2="6311" y2="32370"/>
                      <a14:foregroundMark x1="5825" y1="32948" x2="5825" y2="32948"/>
                      <a14:foregroundMark x1="4854" y1="35260" x2="4854" y2="35260"/>
                      <a14:foregroundMark x1="3883" y1="37572" x2="3883" y2="37572"/>
                      <a14:foregroundMark x1="3155" y1="39306" x2="3155" y2="39306"/>
                      <a14:foregroundMark x1="3641" y1="39306" x2="3641" y2="39306"/>
                      <a14:foregroundMark x1="3883" y1="38150" x2="3883" y2="38150"/>
                      <a14:foregroundMark x1="4612" y1="36994" x2="4612" y2="36994"/>
                      <a14:foregroundMark x1="5340" y1="34682" x2="5340" y2="34682"/>
                      <a14:foregroundMark x1="6068" y1="34104" x2="6068" y2="34104"/>
                      <a14:foregroundMark x1="6796" y1="32370" x2="6796" y2="32370"/>
                      <a14:foregroundMark x1="3155" y1="39884" x2="3155" y2="39884"/>
                      <a14:foregroundMark x1="2427" y1="43353" x2="2427" y2="43353"/>
                      <a14:foregroundMark x1="2670" y1="42197" x2="2670" y2="42197"/>
                      <a14:foregroundMark x1="2913" y1="41040" x2="2913" y2="41040"/>
                      <a14:foregroundMark x1="1699" y1="50289" x2="1699" y2="50289"/>
                      <a14:foregroundMark x1="1942" y1="47399" x2="1942" y2="47399"/>
                      <a14:foregroundMark x1="1456" y1="48555" x2="1456" y2="48555"/>
                      <a14:foregroundMark x1="1942" y1="46821" x2="1942" y2="46821"/>
                      <a14:foregroundMark x1="1942" y1="45665" x2="1942" y2="45665"/>
                      <a14:foregroundMark x1="1942" y1="44509" x2="1942" y2="44509"/>
                      <a14:foregroundMark x1="1699" y1="50867" x2="1699" y2="50867"/>
                      <a14:foregroundMark x1="2184" y1="52601" x2="2184" y2="52601"/>
                      <a14:foregroundMark x1="2670" y1="53757" x2="2670" y2="53757"/>
                      <a14:foregroundMark x1="3398" y1="55491" x2="3398" y2="55491"/>
                      <a14:foregroundMark x1="3641" y1="56647" x2="3641" y2="56647"/>
                      <a14:foregroundMark x1="4369" y1="56647" x2="4369" y2="56647"/>
                      <a14:foregroundMark x1="4854" y1="57803" x2="4854" y2="57803"/>
                      <a14:foregroundMark x1="4854" y1="58382" x2="4854" y2="58382"/>
                      <a14:foregroundMark x1="5825" y1="58960" x2="5825" y2="58960"/>
                      <a14:foregroundMark x1="6068" y1="58960" x2="6068" y2="58960"/>
                      <a14:foregroundMark x1="6796" y1="59538" x2="6796" y2="59538"/>
                      <a14:foregroundMark x1="7282" y1="60116" x2="7282" y2="60116"/>
                      <a14:foregroundMark x1="7767" y1="60694" x2="7767" y2="60694"/>
                      <a14:foregroundMark x1="8495" y1="61272" x2="8495" y2="61272"/>
                      <a14:foregroundMark x1="9223" y1="61850" x2="9223" y2="61850"/>
                      <a14:foregroundMark x1="9709" y1="61850" x2="9709" y2="61850"/>
                      <a14:foregroundMark x1="10194" y1="62428" x2="10194" y2="62428"/>
                      <a14:foregroundMark x1="10922" y1="62428" x2="10922" y2="62428"/>
                      <a14:foregroundMark x1="11408" y1="63006" x2="11408" y2="63006"/>
                      <a14:foregroundMark x1="12379" y1="63006" x2="12379" y2="63006"/>
                      <a14:foregroundMark x1="13350" y1="63584" x2="13350" y2="63584"/>
                      <a14:foregroundMark x1="14078" y1="64162" x2="14078" y2="64162"/>
                      <a14:foregroundMark x1="55583" y1="3468" x2="55583" y2="3468"/>
                      <a14:foregroundMark x1="54126" y1="4046" x2="54126" y2="4046"/>
                      <a14:foregroundMark x1="54612" y1="3468" x2="54612" y2="3468"/>
                      <a14:foregroundMark x1="52913" y1="4624" x2="52913" y2="4624"/>
                      <a14:foregroundMark x1="51456" y1="4046" x2="51456" y2="4046"/>
                      <a14:foregroundMark x1="50728" y1="4046" x2="50728" y2="4046"/>
                      <a14:foregroundMark x1="49515" y1="4624" x2="49515" y2="4624"/>
                      <a14:foregroundMark x1="47573" y1="5780" x2="47573" y2="5780"/>
                      <a14:foregroundMark x1="46845" y1="5780" x2="46845" y2="5780"/>
                      <a14:foregroundMark x1="46117" y1="5780" x2="46117" y2="5780"/>
                      <a14:foregroundMark x1="45146" y1="5780" x2="45146" y2="5780"/>
                      <a14:foregroundMark x1="44660" y1="5780" x2="44660" y2="5780"/>
                      <a14:foregroundMark x1="43447" y1="6936" x2="43447" y2="6936"/>
                      <a14:foregroundMark x1="42718" y1="6358" x2="42718" y2="6358"/>
                      <a14:foregroundMark x1="41505" y1="6358" x2="41505" y2="6358"/>
                      <a14:foregroundMark x1="40777" y1="6358" x2="40777" y2="6358"/>
                      <a14:foregroundMark x1="39078" y1="7514" x2="39078" y2="7514"/>
                      <a14:foregroundMark x1="39806" y1="7514" x2="39806" y2="7514"/>
                      <a14:foregroundMark x1="37864" y1="8092" x2="37864" y2="8092"/>
                      <a14:foregroundMark x1="37136" y1="8671" x2="37136" y2="8671"/>
                      <a14:foregroundMark x1="38107" y1="7514" x2="38107" y2="7514"/>
                      <a14:foregroundMark x1="36408" y1="8671" x2="36408" y2="8671"/>
                      <a14:foregroundMark x1="35437" y1="8671" x2="35437" y2="8671"/>
                      <a14:foregroundMark x1="34223" y1="9249" x2="34223" y2="9249"/>
                      <a14:foregroundMark x1="33495" y1="9827" x2="33495" y2="9827"/>
                      <a14:foregroundMark x1="34466" y1="9249" x2="34466" y2="9249"/>
                      <a14:foregroundMark x1="32282" y1="10405" x2="32282" y2="10405"/>
                      <a14:foregroundMark x1="32767" y1="10983" x2="32767" y2="10983"/>
                      <a14:foregroundMark x1="31311" y1="10983" x2="31311" y2="10983"/>
                      <a14:foregroundMark x1="31796" y1="9827" x2="31796" y2="9827"/>
                      <a14:foregroundMark x1="48544" y1="4624" x2="48544" y2="4624"/>
                      <a14:foregroundMark x1="51942" y1="4624" x2="51942" y2="4624"/>
                      <a14:foregroundMark x1="55825" y1="4624" x2="55825" y2="4624"/>
                      <a14:foregroundMark x1="56068" y1="3468" x2="56068" y2="3468"/>
                      <a14:foregroundMark x1="57282" y1="4046" x2="57282" y2="4046"/>
                      <a14:foregroundMark x1="56553" y1="4046" x2="56553" y2="4046"/>
                      <a14:foregroundMark x1="58252" y1="4046" x2="58252" y2="4046"/>
                      <a14:foregroundMark x1="58981" y1="3468" x2="58981" y2="3468"/>
                      <a14:foregroundMark x1="60194" y1="4046" x2="60194" y2="4046"/>
                      <a14:foregroundMark x1="58981" y1="4624" x2="58981" y2="4624"/>
                      <a14:foregroundMark x1="60680" y1="4046" x2="60680" y2="4046"/>
                      <a14:foregroundMark x1="61650" y1="4046" x2="61650" y2="4046"/>
                      <a14:foregroundMark x1="62379" y1="4624" x2="62379" y2="4624"/>
                      <a14:foregroundMark x1="62864" y1="4046" x2="62864" y2="4046"/>
                      <a14:foregroundMark x1="63835" y1="4046" x2="63835" y2="4046"/>
                      <a14:foregroundMark x1="63350" y1="4046" x2="63350" y2="4046"/>
                      <a14:foregroundMark x1="64563" y1="4046" x2="64563" y2="4046"/>
                      <a14:foregroundMark x1="65777" y1="4624" x2="65777" y2="4624"/>
                      <a14:foregroundMark x1="65049" y1="3468" x2="65049" y2="3468"/>
                      <a14:foregroundMark x1="66748" y1="4046" x2="66748" y2="4046"/>
                      <a14:foregroundMark x1="67961" y1="4624" x2="67961" y2="4624"/>
                      <a14:foregroundMark x1="68204" y1="4624" x2="68204" y2="4624"/>
                      <a14:foregroundMark x1="69417" y1="4624" x2="69417" y2="4624"/>
                      <a14:foregroundMark x1="69660" y1="4624" x2="69660" y2="4624"/>
                      <a14:foregroundMark x1="70631" y1="4624" x2="70631" y2="4624"/>
                      <a14:foregroundMark x1="70874" y1="5202" x2="70874" y2="5202"/>
                      <a14:foregroundMark x1="71845" y1="5780" x2="71845" y2="5780"/>
                      <a14:foregroundMark x1="72573" y1="5780" x2="72573" y2="5780"/>
                      <a14:foregroundMark x1="73786" y1="5780" x2="73786" y2="5780"/>
                      <a14:foregroundMark x1="74515" y1="5780" x2="74515" y2="5780"/>
                      <a14:foregroundMark x1="75485" y1="6936" x2="75485" y2="6936"/>
                      <a14:foregroundMark x1="76214" y1="6936" x2="76214" y2="6936"/>
                      <a14:foregroundMark x1="77184" y1="6936" x2="77184" y2="6936"/>
                      <a14:foregroundMark x1="77913" y1="7514" x2="77913" y2="7514"/>
                      <a14:foregroundMark x1="78883" y1="8092" x2="78883" y2="8092"/>
                      <a14:foregroundMark x1="79854" y1="8671" x2="79854" y2="8671"/>
                      <a14:foregroundMark x1="80583" y1="8671" x2="80583" y2="8671"/>
                      <a14:foregroundMark x1="81553" y1="9249" x2="81553" y2="9249"/>
                      <a14:foregroundMark x1="82524" y1="9827" x2="82524" y2="9827"/>
                      <a14:foregroundMark x1="83738" y1="10983" x2="83738" y2="10983"/>
                      <a14:foregroundMark x1="83010" y1="10983" x2="83010" y2="10983"/>
                      <a14:foregroundMark x1="84466" y1="11561" x2="84466" y2="11561"/>
                      <a14:foregroundMark x1="84951" y1="12717" x2="84951" y2="12717"/>
                      <a14:foregroundMark x1="85680" y1="12717" x2="85680" y2="12717"/>
                      <a14:foregroundMark x1="85194" y1="12139" x2="85194" y2="12139"/>
                      <a14:foregroundMark x1="86650" y1="13295" x2="86650" y2="13295"/>
                      <a14:foregroundMark x1="87379" y1="13873" x2="87379" y2="13873"/>
                      <a14:foregroundMark x1="88107" y1="14451" x2="88107" y2="14451"/>
                      <a14:foregroundMark x1="88592" y1="15029" x2="88592" y2="15029"/>
                      <a14:foregroundMark x1="89320" y1="15607" x2="89320" y2="15607"/>
                      <a14:foregroundMark x1="89320" y1="15607" x2="89320" y2="15607"/>
                      <a14:foregroundMark x1="99029" y1="46243" x2="99029" y2="46243"/>
                      <a14:foregroundMark x1="99272" y1="44509" x2="99272" y2="44509"/>
                      <a14:foregroundMark x1="98786" y1="41040" x2="98786" y2="41040"/>
                      <a14:foregroundMark x1="98786" y1="42775" x2="98786" y2="42775"/>
                      <a14:foregroundMark x1="98544" y1="38728" x2="98544" y2="38728"/>
                      <a14:foregroundMark x1="98058" y1="36994" x2="98058" y2="36994"/>
                      <a14:foregroundMark x1="97816" y1="35838" x2="97816" y2="35838"/>
                      <a14:foregroundMark x1="97573" y1="34104" x2="97573" y2="34104"/>
                      <a14:foregroundMark x1="97573" y1="32948" x2="97573" y2="32948"/>
                      <a14:foregroundMark x1="96845" y1="31792" x2="96845" y2="31792"/>
                      <a14:foregroundMark x1="96359" y1="30058" x2="96359" y2="30058"/>
                      <a14:foregroundMark x1="95631" y1="28324" x2="95631" y2="28324"/>
                      <a14:foregroundMark x1="95146" y1="26590" x2="95146" y2="26590"/>
                      <a14:foregroundMark x1="94660" y1="24277" x2="94660" y2="24277"/>
                      <a14:foregroundMark x1="94660" y1="24855" x2="94660" y2="24855"/>
                      <a14:foregroundMark x1="94903" y1="25434" x2="94903" y2="25434"/>
                      <a14:foregroundMark x1="93689" y1="23121" x2="93689" y2="23121"/>
                      <a14:foregroundMark x1="92718" y1="21387" x2="92718" y2="21387"/>
                      <a14:foregroundMark x1="92233" y1="20231" x2="92233" y2="20231"/>
                      <a14:foregroundMark x1="92961" y1="21387" x2="92961" y2="21387"/>
                      <a14:foregroundMark x1="91505" y1="18497" x2="91505" y2="18497"/>
                      <a14:foregroundMark x1="91019" y1="17919" x2="91019" y2="17919"/>
                      <a14:foregroundMark x1="90049" y1="17341" x2="90049" y2="17341"/>
                      <a14:foregroundMark x1="89563" y1="16763" x2="89563" y2="16763"/>
                      <a14:foregroundMark x1="97573" y1="60116" x2="97573" y2="60116"/>
                      <a14:foregroundMark x1="98058" y1="58382" x2="98058" y2="58382"/>
                      <a14:foregroundMark x1="98544" y1="57803" x2="98544" y2="57803"/>
                      <a14:foregroundMark x1="98786" y1="55491" x2="98786" y2="55491"/>
                      <a14:foregroundMark x1="98786" y1="53179" x2="98786" y2="53179"/>
                      <a14:foregroundMark x1="99029" y1="52601" x2="99029" y2="52601"/>
                      <a14:foregroundMark x1="99272" y1="52023" x2="99272" y2="52023"/>
                      <a14:foregroundMark x1="99272" y1="50289" x2="99272" y2="50289"/>
                      <a14:foregroundMark x1="99272" y1="47977" x2="99272" y2="47977"/>
                      <a14:foregroundMark x1="99515" y1="47399" x2="99515" y2="47399"/>
                      <a14:foregroundMark x1="97087" y1="61850" x2="97087" y2="61850"/>
                      <a14:foregroundMark x1="96602" y1="63006" x2="96602" y2="63006"/>
                      <a14:foregroundMark x1="96117" y1="65318" x2="96117" y2="65318"/>
                      <a14:foregroundMark x1="95631" y1="65896" x2="95631" y2="65896"/>
                      <a14:foregroundMark x1="94903" y1="67630" x2="94903" y2="67630"/>
                      <a14:foregroundMark x1="94175" y1="68786" x2="94175" y2="68786"/>
                      <a14:foregroundMark x1="93447" y1="69942" x2="93447" y2="69942"/>
                      <a14:foregroundMark x1="92476" y1="71676" x2="92476" y2="71676"/>
                      <a14:foregroundMark x1="91990" y1="72254" x2="91990" y2="72254"/>
                      <a14:foregroundMark x1="93204" y1="71098" x2="93204" y2="71098"/>
                      <a14:foregroundMark x1="90777" y1="74566" x2="90777" y2="74566"/>
                      <a14:foregroundMark x1="91505" y1="73988" x2="91505" y2="73988"/>
                      <a14:foregroundMark x1="90049" y1="75145" x2="90049" y2="75145"/>
                      <a14:foregroundMark x1="89078" y1="76879" x2="89078" y2="76879"/>
                      <a14:foregroundMark x1="87864" y1="78035" x2="87864" y2="78035"/>
                      <a14:foregroundMark x1="88350" y1="78035" x2="88350" y2="78035"/>
                      <a14:foregroundMark x1="86408" y1="80347" x2="86408" y2="80347"/>
                      <a14:foregroundMark x1="85922" y1="80347" x2="85922" y2="80347"/>
                      <a14:foregroundMark x1="87136" y1="78613" x2="87136" y2="78613"/>
                      <a14:foregroundMark x1="86408" y1="78613" x2="86408" y2="78613"/>
                      <a14:foregroundMark x1="84951" y1="80347" x2="84951" y2="80347"/>
                      <a14:foregroundMark x1="83981" y1="82081" x2="83981" y2="82081"/>
                      <a14:foregroundMark x1="83010" y1="82081" x2="83010" y2="82081"/>
                      <a14:foregroundMark x1="68447" y1="92486" x2="68447" y2="92486"/>
                      <a14:foregroundMark x1="70388" y1="90751" x2="70388" y2="90751"/>
                      <a14:foregroundMark x1="31796" y1="52601" x2="31796" y2="52601"/>
                      <a14:foregroundMark x1="29369" y1="50289" x2="29369" y2="50289"/>
                      <a14:foregroundMark x1="26214" y1="49711" x2="26214" y2="49711"/>
                      <a14:foregroundMark x1="26456" y1="45665" x2="26456" y2="45665"/>
                      <a14:foregroundMark x1="30825" y1="42197" x2="30825" y2="42197"/>
                      <a14:foregroundMark x1="31796" y1="42197" x2="31796" y2="42197"/>
                      <a14:foregroundMark x1="29612" y1="42775" x2="29612" y2="42775"/>
                      <a14:foregroundMark x1="28883" y1="43931" x2="28883" y2="43931"/>
                      <a14:foregroundMark x1="27913" y1="44509" x2="27913" y2="44509"/>
                      <a14:foregroundMark x1="26942" y1="45665" x2="26942" y2="45665"/>
                      <a14:foregroundMark x1="42233" y1="43353" x2="42233" y2="43353"/>
                      <a14:foregroundMark x1="41262" y1="39884" x2="41262" y2="39884"/>
                      <a14:foregroundMark x1="41019" y1="36994" x2="41019" y2="36994"/>
                      <a14:foregroundMark x1="40534" y1="34682" x2="40534" y2="34682"/>
                      <a14:foregroundMark x1="41262" y1="33526" x2="41262" y2="33526"/>
                      <a14:foregroundMark x1="41748" y1="32948" x2="41748" y2="32948"/>
                      <a14:foregroundMark x1="42718" y1="31792" x2="42718" y2="31792"/>
                      <a14:foregroundMark x1="43689" y1="31792" x2="43689" y2="31792"/>
                      <a14:foregroundMark x1="44417" y1="31214" x2="44417" y2="31214"/>
                      <a14:foregroundMark x1="44903" y1="31214" x2="44903" y2="31214"/>
                      <a14:foregroundMark x1="45874" y1="32370" x2="45874" y2="32370"/>
                      <a14:foregroundMark x1="45874" y1="33526" x2="45874" y2="33526"/>
                      <a14:foregroundMark x1="45388" y1="32370" x2="45388" y2="32370"/>
                      <a14:foregroundMark x1="41505" y1="40462" x2="41505" y2="40462"/>
                      <a14:foregroundMark x1="41748" y1="41618" x2="41748" y2="41618"/>
                      <a14:foregroundMark x1="67718" y1="22543" x2="67718" y2="22543"/>
                      <a14:foregroundMark x1="72573" y1="23121" x2="72573" y2="23121"/>
                      <a14:foregroundMark x1="73786" y1="24277" x2="73786" y2="24277"/>
                      <a14:foregroundMark x1="74272" y1="25434" x2="74272" y2="25434"/>
                      <a14:foregroundMark x1="79369" y1="36994" x2="79369" y2="36994"/>
                      <a14:foregroundMark x1="81311" y1="36994" x2="81311" y2="36994"/>
                      <a14:foregroundMark x1="83252" y1="35838" x2="83252" y2="35838"/>
                      <a14:foregroundMark x1="28155" y1="69942" x2="28155" y2="69942"/>
                      <a14:foregroundMark x1="27184" y1="69942" x2="27184" y2="69942"/>
                      <a14:foregroundMark x1="22330" y1="70520" x2="22330" y2="70520"/>
                      <a14:foregroundMark x1="20631" y1="71098" x2="20631" y2="71098"/>
                      <a14:foregroundMark x1="21117" y1="71676" x2="21117" y2="71676"/>
                      <a14:foregroundMark x1="31311" y1="70520" x2="31311" y2="70520"/>
                      <a14:foregroundMark x1="30340" y1="70520" x2="30340" y2="70520"/>
                      <a14:foregroundMark x1="29369" y1="70520" x2="29369" y2="70520"/>
                      <a14:foregroundMark x1="28641" y1="71098" x2="28641" y2="71098"/>
                      <a14:foregroundMark x1="35680" y1="67630" x2="35680" y2="67630"/>
                      <a14:foregroundMark x1="36650" y1="67630" x2="36650" y2="67630"/>
                      <a14:foregroundMark x1="37864" y1="67630" x2="37864" y2="67630"/>
                      <a14:foregroundMark x1="38835" y1="68208" x2="38835" y2="68208"/>
                      <a14:foregroundMark x1="39563" y1="68208" x2="39563" y2="68208"/>
                      <a14:foregroundMark x1="40534" y1="67630" x2="40534" y2="67630"/>
                      <a14:foregroundMark x1="41262" y1="67630" x2="41262" y2="67630"/>
                      <a14:foregroundMark x1="42233" y1="67630" x2="42233" y2="67630"/>
                      <a14:foregroundMark x1="42961" y1="67630" x2="42961" y2="67630"/>
                      <a14:foregroundMark x1="47573" y1="67630" x2="47573" y2="67630"/>
                      <a14:foregroundMark x1="50000" y1="67052" x2="50000" y2="67052"/>
                      <a14:foregroundMark x1="50243" y1="71098" x2="50243" y2="71098"/>
                      <a14:foregroundMark x1="52184" y1="71098" x2="52184" y2="71098"/>
                      <a14:foregroundMark x1="53641" y1="72254" x2="53641" y2="72254"/>
                      <a14:foregroundMark x1="52670" y1="71098" x2="52670" y2="71098"/>
                      <a14:foregroundMark x1="58738" y1="76301" x2="58738" y2="76301"/>
                      <a14:foregroundMark x1="58010" y1="76301" x2="58010" y2="76301"/>
                      <a14:foregroundMark x1="54369" y1="72832" x2="54369" y2="72832"/>
                      <a14:foregroundMark x1="58495" y1="57803" x2="58495" y2="57803"/>
                      <a14:foregroundMark x1="60922" y1="59538" x2="60922" y2="59538"/>
                      <a14:foregroundMark x1="61893" y1="58960" x2="61893" y2="58960"/>
                      <a14:foregroundMark x1="63107" y1="58960" x2="63107" y2="58960"/>
                      <a14:foregroundMark x1="64320" y1="59538" x2="64320" y2="59538"/>
                      <a14:foregroundMark x1="65291" y1="60694" x2="65291" y2="60694"/>
                      <a14:foregroundMark x1="65534" y1="62428" x2="65534" y2="62428"/>
                      <a14:foregroundMark x1="64806" y1="64162" x2="64806" y2="64162"/>
                      <a14:foregroundMark x1="64078" y1="65318" x2="64078" y2="65318"/>
                      <a14:foregroundMark x1="63350" y1="65318" x2="63350" y2="65318"/>
                      <a14:foregroundMark x1="63350" y1="65318" x2="63350" y2="65318"/>
                      <a14:foregroundMark x1="62379" y1="66474" x2="62379" y2="66474"/>
                      <a14:foregroundMark x1="61408" y1="65896" x2="61408" y2="65896"/>
                      <a14:foregroundMark x1="60680" y1="67052" x2="60680" y2="67052"/>
                      <a14:foregroundMark x1="59951" y1="66474" x2="59951" y2="66474"/>
                      <a14:foregroundMark x1="58738" y1="67052" x2="58738" y2="67052"/>
                      <a14:foregroundMark x1="65777" y1="37572" x2="65777" y2="37572"/>
                      <a14:foregroundMark x1="65777" y1="30636" x2="65777" y2="30636"/>
                      <a14:foregroundMark x1="66262" y1="27168" x2="66262" y2="27168"/>
                      <a14:foregroundMark x1="67476" y1="24855" x2="67476" y2="24855"/>
                      <a14:foregroundMark x1="68932" y1="35838" x2="68932" y2="35838"/>
                      <a14:foregroundMark x1="74515" y1="38728" x2="74515" y2="38728"/>
                      <a14:foregroundMark x1="75971" y1="38150" x2="75971" y2="38150"/>
                      <a14:foregroundMark x1="77427" y1="38150" x2="77427" y2="38150"/>
                      <a14:foregroundMark x1="78641" y1="37572" x2="78641" y2="37572"/>
                      <a14:foregroundMark x1="78883" y1="39306" x2="78883" y2="39306"/>
                      <a14:foregroundMark x1="78883" y1="42775" x2="78883" y2="42775"/>
                      <a14:foregroundMark x1="78883" y1="41618" x2="78883" y2="41618"/>
                      <a14:foregroundMark x1="78155" y1="45087" x2="78155" y2="45087"/>
                      <a14:foregroundMark x1="77427" y1="47399" x2="77427" y2="47399"/>
                      <a14:foregroundMark x1="76214" y1="48555" x2="76214" y2="48555"/>
                      <a14:foregroundMark x1="75243" y1="48555" x2="75243" y2="48555"/>
                      <a14:foregroundMark x1="74272" y1="47977" x2="74272" y2="47977"/>
                      <a14:foregroundMark x1="73786" y1="47399" x2="73786" y2="47399"/>
                      <a14:foregroundMark x1="73301" y1="45087" x2="73301" y2="45087"/>
                      <a14:foregroundMark x1="73058" y1="43931" x2="73058" y2="43931"/>
                      <a14:foregroundMark x1="73301" y1="41618" x2="73301" y2="41618"/>
                      <a14:foregroundMark x1="73786" y1="39884" x2="73786" y2="39884"/>
                      <a14:foregroundMark x1="28883" y1="75145" x2="28883" y2="75145"/>
                      <a14:foregroundMark x1="28641" y1="77457" x2="28641" y2="77457"/>
                      <a14:foregroundMark x1="28155" y1="80347" x2="28155" y2="80347"/>
                      <a14:foregroundMark x1="28398" y1="82081" x2="28398" y2="82081"/>
                      <a14:foregroundMark x1="28641" y1="84393" x2="28641" y2="84393"/>
                      <a14:foregroundMark x1="28883" y1="86705" x2="28883" y2="86705"/>
                      <a14:foregroundMark x1="29369" y1="87861" x2="29369" y2="87861"/>
                      <a14:foregroundMark x1="29369" y1="89595" x2="29369" y2="89595"/>
                      <a14:foregroundMark x1="30097" y1="91329" x2="30097" y2="91329"/>
                      <a14:foregroundMark x1="30583" y1="90173" x2="30583" y2="90173"/>
                      <a14:foregroundMark x1="32039" y1="94220" x2="32039" y2="94220"/>
                      <a14:foregroundMark x1="31311" y1="94220" x2="31311" y2="94220"/>
                      <a14:foregroundMark x1="31311" y1="93064" x2="31311" y2="93064"/>
                      <a14:foregroundMark x1="30583" y1="92486" x2="30583" y2="92486"/>
                      <a14:foregroundMark x1="30583" y1="91908" x2="30583" y2="91908"/>
                      <a14:foregroundMark x1="36408" y1="97688" x2="36408" y2="97688"/>
                      <a14:foregroundMark x1="35680" y1="97110" x2="35680" y2="97110"/>
                      <a14:foregroundMark x1="35194" y1="95954" x2="35194" y2="95954"/>
                      <a14:foregroundMark x1="34223" y1="95376" x2="34223" y2="95376"/>
                      <a14:foregroundMark x1="33495" y1="95954" x2="33495" y2="95954"/>
                      <a14:foregroundMark x1="33010" y1="94798" x2="33010" y2="94798"/>
                      <a14:foregroundMark x1="37864" y1="96532" x2="37864" y2="96532"/>
                      <a14:foregroundMark x1="81311" y1="83815" x2="81311" y2="83815"/>
                      <a14:foregroundMark x1="82039" y1="82659" x2="82039" y2="82659"/>
                      <a14:foregroundMark x1="80583" y1="84393" x2="80583" y2="84393"/>
                      <a14:foregroundMark x1="79612" y1="85549" x2="79612" y2="85549"/>
                      <a14:foregroundMark x1="78883" y1="84971" x2="78883" y2="84971"/>
                      <a14:foregroundMark x1="78398" y1="86127" x2="78398" y2="86127"/>
                      <a14:foregroundMark x1="77670" y1="86127" x2="77670" y2="86127"/>
                      <a14:foregroundMark x1="76942" y1="86705" x2="76942" y2="86705"/>
                      <a14:foregroundMark x1="76214" y1="87283" x2="76214" y2="87283"/>
                      <a14:foregroundMark x1="75485" y1="87861" x2="75485" y2="87861"/>
                      <a14:foregroundMark x1="74757" y1="88439" x2="74757" y2="88439"/>
                      <a14:foregroundMark x1="73786" y1="89017" x2="73786" y2="89017"/>
                      <a14:foregroundMark x1="72330" y1="90173" x2="72330" y2="90173"/>
                      <a14:foregroundMark x1="71359" y1="90173" x2="71359" y2="90173"/>
                      <a14:foregroundMark x1="67233" y1="92486" x2="67233" y2="92486"/>
                      <a14:foregroundMark x1="67718" y1="92486" x2="67718" y2="92486"/>
                      <a14:foregroundMark x1="38835" y1="97688" x2="38835" y2="97688"/>
                      <a14:foregroundMark x1="40049" y1="98266" x2="40049" y2="98266"/>
                      <a14:foregroundMark x1="41262" y1="98266" x2="41262" y2="98266"/>
                      <a14:foregroundMark x1="42233" y1="98266" x2="42233" y2="98266"/>
                      <a14:foregroundMark x1="43204" y1="98266" x2="43204" y2="98266"/>
                      <a14:foregroundMark x1="44417" y1="98266" x2="44417" y2="98266"/>
                      <a14:foregroundMark x1="45388" y1="98266" x2="45388" y2="98266"/>
                      <a14:foregroundMark x1="46359" y1="98266" x2="46359" y2="98266"/>
                      <a14:foregroundMark x1="47330" y1="98266" x2="47330" y2="98266"/>
                      <a14:foregroundMark x1="48301" y1="98266" x2="48301" y2="98266"/>
                      <a14:foregroundMark x1="49272" y1="98266" x2="49272" y2="98266"/>
                      <a14:foregroundMark x1="50243" y1="98266" x2="50243" y2="98266"/>
                      <a14:foregroundMark x1="51456" y1="98266" x2="51456" y2="98266"/>
                      <a14:foregroundMark x1="51942" y1="98266" x2="51942" y2="98266"/>
                      <a14:foregroundMark x1="53155" y1="98266" x2="53155" y2="98266"/>
                      <a14:foregroundMark x1="54369" y1="97110" x2="54369" y2="97110"/>
                      <a14:foregroundMark x1="78155" y1="34682" x2="78155" y2="34682"/>
                      <a14:foregroundMark x1="78155" y1="35260" x2="78155" y2="35260"/>
                      <a14:foregroundMark x1="77427" y1="32948" x2="77427" y2="32948"/>
                      <a14:foregroundMark x1="65534" y1="23699" x2="65534" y2="23699"/>
                      <a14:foregroundMark x1="64320" y1="25434" x2="64320" y2="25434"/>
                      <a14:foregroundMark x1="58495" y1="27746" x2="58495" y2="27746"/>
                      <a14:foregroundMark x1="54369" y1="31792" x2="54369" y2="31792"/>
                      <a14:foregroundMark x1="53398" y1="32370" x2="53398" y2="32370"/>
                      <a14:foregroundMark x1="49757" y1="35838" x2="49757" y2="35838"/>
                      <a14:foregroundMark x1="48301" y1="37572" x2="48301" y2="37572"/>
                      <a14:foregroundMark x1="10922" y1="71676" x2="10922" y2="71676"/>
                      <a14:foregroundMark x1="11408" y1="71676" x2="11408" y2="71676"/>
                      <a14:foregroundMark x1="14806" y1="65896" x2="14806" y2="65896"/>
                      <a14:foregroundMark x1="16262" y1="61272" x2="16262" y2="61272"/>
                      <a14:foregroundMark x1="16019" y1="58960" x2="16019" y2="58960"/>
                      <a14:foregroundMark x1="15777" y1="56647" x2="15777" y2="56647"/>
                      <a14:foregroundMark x1="15777" y1="57803" x2="15777" y2="57803"/>
                      <a14:foregroundMark x1="16262" y1="62428" x2="16262" y2="62428"/>
                      <a14:foregroundMark x1="45146" y1="55491" x2="45146" y2="55491"/>
                      <a14:foregroundMark x1="70631" y1="47977" x2="70631" y2="47977"/>
                      <a14:foregroundMark x1="71845" y1="45087" x2="71845" y2="45087"/>
                      <a14:foregroundMark x1="48786" y1="67052" x2="48786" y2="67052"/>
                      <a14:foregroundMark x1="50728" y1="67630" x2="50728" y2="67630"/>
                      <a14:foregroundMark x1="51699" y1="67052" x2="51699" y2="67052"/>
                      <a14:foregroundMark x1="52427" y1="67052" x2="52427" y2="67052"/>
                      <a14:foregroundMark x1="53398" y1="67052" x2="53398" y2="67052"/>
                      <a14:foregroundMark x1="54126" y1="67052" x2="54126" y2="67052"/>
                      <a14:foregroundMark x1="55097" y1="66474" x2="55097" y2="66474"/>
                      <a14:foregroundMark x1="55825" y1="66474" x2="55825" y2="66474"/>
                      <a14:foregroundMark x1="56311" y1="66474" x2="56311" y2="66474"/>
                      <a14:foregroundMark x1="57039" y1="66474" x2="57039" y2="66474"/>
                      <a14:foregroundMark x1="58010" y1="66474" x2="58010" y2="66474"/>
                      <a14:foregroundMark x1="57524" y1="58382" x2="57524" y2="58382"/>
                      <a14:foregroundMark x1="56553" y1="57803" x2="56553" y2="57803"/>
                      <a14:foregroundMark x1="55825" y1="58382" x2="55825" y2="58382"/>
                      <a14:foregroundMark x1="54612" y1="58382" x2="54612" y2="58382"/>
                      <a14:foregroundMark x1="14563" y1="71676" x2="14563" y2="71676"/>
                      <a14:foregroundMark x1="14563" y1="69364" x2="14563" y2="69364"/>
                      <a14:foregroundMark x1="14563" y1="67052" x2="14563" y2="67052"/>
                      <a14:foregroundMark x1="15291" y1="72254" x2="15291" y2="72254"/>
                      <a14:foregroundMark x1="16019" y1="73410" x2="16019" y2="73410"/>
                      <a14:foregroundMark x1="9223" y1="71098" x2="9223" y2="71098"/>
                      <a14:foregroundMark x1="9466" y1="68208" x2="9466" y2="68208"/>
                      <a14:foregroundMark x1="9951" y1="68208" x2="9951" y2="68208"/>
                      <a14:foregroundMark x1="11165" y1="66474" x2="11165" y2="66474"/>
                      <a14:foregroundMark x1="48301" y1="54913" x2="48301" y2="54913"/>
                      <a14:foregroundMark x1="48786" y1="57225" x2="48786" y2="57225"/>
                      <a14:foregroundMark x1="49029" y1="58960" x2="49029" y2="58960"/>
                      <a14:foregroundMark x1="49757" y1="59538" x2="49757" y2="59538"/>
                      <a14:foregroundMark x1="50243" y1="57225" x2="50243" y2="57225"/>
                      <a14:foregroundMark x1="50000" y1="58382" x2="50000" y2="58382"/>
                      <a14:foregroundMark x1="50485" y1="55491" x2="50485" y2="55491"/>
                      <a14:foregroundMark x1="50485" y1="53179" x2="50485" y2="53179"/>
                      <a14:foregroundMark x1="46359" y1="54335" x2="46359" y2="54335"/>
                      <a14:foregroundMark x1="46602" y1="56647" x2="46602" y2="56647"/>
                      <a14:foregroundMark x1="46845" y1="58382" x2="46845" y2="58382"/>
                      <a14:foregroundMark x1="46359" y1="39884" x2="46359" y2="39884"/>
                      <a14:foregroundMark x1="45146" y1="40462" x2="45146" y2="40462"/>
                      <a14:foregroundMark x1="44417" y1="42197" x2="44417" y2="42197"/>
                      <a14:foregroundMark x1="41990" y1="49133" x2="41990" y2="49133"/>
                      <a14:foregroundMark x1="40777" y1="50289" x2="40777" y2="50289"/>
                      <a14:foregroundMark x1="44660" y1="48555" x2="44660" y2="48555"/>
                      <a14:foregroundMark x1="46117" y1="47399" x2="46117" y2="47399"/>
                      <a14:foregroundMark x1="47330" y1="46821" x2="47330" y2="46821"/>
                      <a14:foregroundMark x1="50000" y1="46243" x2="50000" y2="46243"/>
                      <a14:foregroundMark x1="51214" y1="46243" x2="51214" y2="46243"/>
                      <a14:foregroundMark x1="65291" y1="94220" x2="65291" y2="94220"/>
                      <a14:foregroundMark x1="63592" y1="94798" x2="63592" y2="94798"/>
                      <a14:foregroundMark x1="62379" y1="94798" x2="62379" y2="94798"/>
                      <a14:foregroundMark x1="66019" y1="93642" x2="66019" y2="93642"/>
                      <a14:backgroundMark x1="32282" y1="20231" x2="32282" y2="20231"/>
                      <a14:backgroundMark x1="48058" y1="16185" x2="48058" y2="16185"/>
                      <a14:backgroundMark x1="44417" y1="19075" x2="44417" y2="19075"/>
                      <a14:backgroundMark x1="39078" y1="32948" x2="39078" y2="32948"/>
                      <a14:backgroundMark x1="60680" y1="23121" x2="60680" y2="23121"/>
                      <a14:backgroundMark x1="54126" y1="23121" x2="54126" y2="23121"/>
                      <a14:backgroundMark x1="70874" y1="28902" x2="70874" y2="28902"/>
                      <a14:backgroundMark x1="76456" y1="41618" x2="76456" y2="41618"/>
                      <a14:backgroundMark x1="82282" y1="21965" x2="82282" y2="21965"/>
                      <a14:backgroundMark x1="54854" y1="39884" x2="54854" y2="39884"/>
                      <a14:backgroundMark x1="43204" y1="38150" x2="43204" y2="38150"/>
                      <a14:backgroundMark x1="44417" y1="38150" x2="44417" y2="38150"/>
                      <a14:backgroundMark x1="42718" y1="35838" x2="42718" y2="35838"/>
                      <a14:backgroundMark x1="64320" y1="36994" x2="64320" y2="36994"/>
                      <a14:backgroundMark x1="66990" y1="36416" x2="66990" y2="36416"/>
                      <a14:backgroundMark x1="41505" y1="47977" x2="41505" y2="47977"/>
                      <a14:backgroundMark x1="9709" y1="65318" x2="9709" y2="65318"/>
                      <a14:backgroundMark x1="10922" y1="64740" x2="10922" y2="64740"/>
                      <a14:backgroundMark x1="74272" y1="30636" x2="74272" y2="30636"/>
                      <a14:backgroundMark x1="64078" y1="34104" x2="64078" y2="34104"/>
                      <a14:backgroundMark x1="85437" y1="93642" x2="85437" y2="93642"/>
                      <a14:backgroundMark x1="31068" y1="46821" x2="31068" y2="46821"/>
                      <a14:backgroundMark x1="29854" y1="45665" x2="29854" y2="45665"/>
                      <a14:backgroundMark x1="28641" y1="47399" x2="28641" y2="47399"/>
                      <a14:backgroundMark x1="27670" y1="47399" x2="27670" y2="47399"/>
                      <a14:backgroundMark x1="13107" y1="69364" x2="13107" y2="69364"/>
                      <a14:backgroundMark x1="16262" y1="68786" x2="16262" y2="68786"/>
                      <a14:backgroundMark x1="53641" y1="62428" x2="53641" y2="62428"/>
                      <a14:backgroundMark x1="62864" y1="62428" x2="62864" y2="62428"/>
                      <a14:backgroundMark x1="61650" y1="63006" x2="61650" y2="63006"/>
                      <a14:backgroundMark x1="63592" y1="62428" x2="63592" y2="62428"/>
                      <a14:backgroundMark x1="50485" y1="63006" x2="50485" y2="63006"/>
                      <a14:backgroundMark x1="46117" y1="64162" x2="46117" y2="64162"/>
                      <a14:backgroundMark x1="58495" y1="61850" x2="58495" y2="61850"/>
                      <a14:backgroundMark x1="62864" y1="54913" x2="62864" y2="54913"/>
                      <a14:backgroundMark x1="49272" y1="50867" x2="49272" y2="50867"/>
                      <a14:backgroundMark x1="42961" y1="54335" x2="42961" y2="54335"/>
                      <a14:backgroundMark x1="53641" y1="48555" x2="53641" y2="48555"/>
                      <a14:backgroundMark x1="38592" y1="63584" x2="38592" y2="63584"/>
                      <a14:backgroundMark x1="73058" y1="65318" x2="73058" y2="65318"/>
                      <a14:backgroundMark x1="75728" y1="44509" x2="75728" y2="44509"/>
                      <a14:backgroundMark x1="65049" y1="43931" x2="65049" y2="43931"/>
                      <a14:backgroundMark x1="67961" y1="43931" x2="67961" y2="43931"/>
                      <a14:backgroundMark x1="57524" y1="50289" x2="57524" y2="50289"/>
                      <a14:backgroundMark x1="55097" y1="54913" x2="55097" y2="54913"/>
                      <a14:backgroundMark x1="67718" y1="97688" x2="67718" y2="97688"/>
                      <a14:backgroundMark x1="64078" y1="97110" x2="64078" y2="97110"/>
                      <a14:backgroundMark x1="31068" y1="97688" x2="31068" y2="97688"/>
                      <a14:backgroundMark x1="33010" y1="98266" x2="33010" y2="98266"/>
                      <a14:backgroundMark x1="34466" y1="98266" x2="34466" y2="9826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61950"/>
          <a:ext cx="1063625" cy="4451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PH/Documents/Lab.%20Calibraci&#243;n/170313D%20(N&#176;%20025-2017%20---%20057-2017)%20(F-LR-018%20logo%20Inacal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PH/Documents/Acreditaci&#243;n/Registros%20archivos%20enlazados/34-%20Control%20de%20Calidad%20Hermeticidad%20(Nov-Intra)/161116D/161116D001%20(N&#176;%20237%20---2016)%20(F-LR-018%20logo%20Inacal)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PH/Desktop/Las%20Bambas%20Feb%20-%20Mar%202017/5%20Las%20Bambas/161010B033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nera%20CERRO%20VERDE%202016\informe%20135-2016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PH/Documents/Lab.%20Calibraci&#243;n/LSCD/Formatos/Llenos/Incertidumbre/Incertidumbres%20LSCD%20(18-01-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ar"/>
      <sheetName val="Base de datos clientes"/>
      <sheetName val="F-SG-004 (Cotización)"/>
      <sheetName val="F-LM-001 (OTM)"/>
      <sheetName val="F-LM-002 (CCM)"/>
      <sheetName val="F-LM-003 (RDCM)"/>
      <sheetName val="F-LM-004 (MPH)"/>
      <sheetName val="Inventario muestras"/>
      <sheetName val="Inventario fuentes"/>
      <sheetName val="F-LR-015 (ORM)"/>
      <sheetName val="F-LR-016 (OP) "/>
      <sheetName val="F-LR-008 (Seguimiento)"/>
      <sheetName val="F-LR-018 (Informe Herm)"/>
      <sheetName val="F-LR-018 (Informe Herm)(Sn log)"/>
      <sheetName val="F-LR-018 (Informe Agua)"/>
      <sheetName val="Inf. Tasa de dosis (densímetro)"/>
      <sheetName val="Inf. Tasa de dosis (Analizador)"/>
      <sheetName val="Inf. Mantenimiento"/>
      <sheetName val="Fuente de respuestas"/>
      <sheetName val="Buscador"/>
    </sheetNames>
    <sheetDataSet>
      <sheetData sheetId="0"/>
      <sheetData sheetId="1">
        <row r="7">
          <cell r="A7">
            <v>0</v>
          </cell>
          <cell r="B7" t="str">
            <v>Ant</v>
          </cell>
          <cell r="C7" t="str">
            <v>d</v>
          </cell>
          <cell r="D7" t="str">
            <v>Lima</v>
          </cell>
          <cell r="E7" t="str">
            <v>Lima</v>
          </cell>
          <cell r="F7" t="str">
            <v>Los Olivos</v>
          </cell>
          <cell r="G7">
            <v>9999999999</v>
          </cell>
          <cell r="H7" t="str">
            <v>Luchito</v>
          </cell>
          <cell r="I7" t="str">
            <v>contacto@aleph.com.pe</v>
          </cell>
          <cell r="J7" t="str">
            <v>999 888 777</v>
          </cell>
          <cell r="K7" t="str">
            <v>20151110-001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</row>
        <row r="8">
          <cell r="A8">
            <v>1</v>
          </cell>
          <cell r="B8" t="str">
            <v>ALEPH SAC</v>
          </cell>
          <cell r="C8" t="str">
            <v xml:space="preserve">Av. Rafael Escardo 154 </v>
          </cell>
          <cell r="D8" t="str">
            <v>Lima</v>
          </cell>
          <cell r="E8" t="str">
            <v>Lima</v>
          </cell>
          <cell r="F8" t="str">
            <v>San Miguel</v>
          </cell>
          <cell r="G8">
            <v>20507237984</v>
          </cell>
          <cell r="H8" t="str">
            <v>Eda Paucar</v>
          </cell>
          <cell r="I8" t="str">
            <v>eda_isabel@aleph.com.pe</v>
          </cell>
          <cell r="J8" t="str">
            <v>01-5787202</v>
          </cell>
          <cell r="K8" t="str">
            <v>---</v>
          </cell>
          <cell r="L8" t="str">
            <v>---</v>
          </cell>
          <cell r="M8" t="str">
            <v>---</v>
          </cell>
          <cell r="N8" t="str">
            <v>---</v>
          </cell>
          <cell r="O8" t="str">
            <v>---</v>
          </cell>
          <cell r="P8" t="str">
            <v>Calibracion Interna del sistema de Espectrometría Gamma Rad</v>
          </cell>
          <cell r="Q8" t="str">
            <v>---</v>
          </cell>
          <cell r="R8" t="str">
            <v>---</v>
          </cell>
          <cell r="S8" t="str">
            <v>---</v>
          </cell>
          <cell r="T8" t="str">
            <v>Espectrum Techniques, L.L.C.</v>
          </cell>
          <cell r="U8" t="str">
            <v>Bolsa plástica hermética</v>
          </cell>
          <cell r="V8">
            <v>2</v>
          </cell>
          <cell r="W8">
            <v>42137</v>
          </cell>
          <cell r="X8">
            <v>0.3576388888888889</v>
          </cell>
          <cell r="Y8" t="str">
            <v>Prueba de Hermeticidad</v>
          </cell>
          <cell r="Z8" t="str">
            <v>150513A</v>
          </cell>
          <cell r="AA8" t="str">
            <v>RPJ</v>
          </cell>
          <cell r="AB8">
            <v>42138</v>
          </cell>
          <cell r="AC8">
            <v>42137</v>
          </cell>
          <cell r="AD8">
            <v>42137</v>
          </cell>
          <cell r="AE8">
            <v>42137</v>
          </cell>
          <cell r="AF8">
            <v>42138</v>
          </cell>
          <cell r="AG8">
            <v>42137</v>
          </cell>
          <cell r="AH8" t="str">
            <v>s/n</v>
          </cell>
        </row>
        <row r="9">
          <cell r="A9">
            <v>2</v>
          </cell>
          <cell r="B9" t="str">
            <v>INSTITUTO PERUANO DE ENERGIA NUCLEAR- IPEN (Centro nuclear RACSO)</v>
          </cell>
          <cell r="C9" t="str">
            <v xml:space="preserve">Av. Jose Sacco s/n </v>
          </cell>
          <cell r="D9" t="str">
            <v>Lima</v>
          </cell>
          <cell r="E9" t="str">
            <v>Lima</v>
          </cell>
          <cell r="F9" t="str">
            <v>San Pedro de Carabayllo</v>
          </cell>
          <cell r="G9">
            <v>0</v>
          </cell>
          <cell r="H9" t="str">
            <v>Andres Coragua M., Luis Defilippi</v>
          </cell>
          <cell r="I9" t="str">
            <v>acorahua@ipen.gob.pe,    ldefilippi@ipen.gob.pe</v>
          </cell>
          <cell r="J9" t="str">
            <v>4885050 anexo 294</v>
          </cell>
          <cell r="K9" t="str">
            <v>---</v>
          </cell>
          <cell r="L9" t="str">
            <v>---</v>
          </cell>
          <cell r="M9" t="str">
            <v>---</v>
          </cell>
          <cell r="N9" t="str">
            <v>---</v>
          </cell>
          <cell r="O9" t="str">
            <v>---</v>
          </cell>
          <cell r="P9" t="str">
            <v>Ensayo de Aptitud</v>
          </cell>
          <cell r="Q9" t="str">
            <v>---</v>
          </cell>
          <cell r="R9" t="str">
            <v>---</v>
          </cell>
          <cell r="S9" t="str">
            <v>---</v>
          </cell>
          <cell r="T9" t="str">
            <v>IPEN</v>
          </cell>
          <cell r="U9" t="str">
            <v>Bidón plástico</v>
          </cell>
          <cell r="V9">
            <v>4</v>
          </cell>
          <cell r="W9">
            <v>42156</v>
          </cell>
          <cell r="X9">
            <v>0.6875</v>
          </cell>
          <cell r="Y9" t="str">
            <v>Alfa y/o Beta Total</v>
          </cell>
          <cell r="Z9" t="str">
            <v>150601A</v>
          </cell>
          <cell r="AA9" t="str">
            <v>RPJ</v>
          </cell>
          <cell r="AB9">
            <v>42173</v>
          </cell>
          <cell r="AC9">
            <v>42190</v>
          </cell>
          <cell r="AD9">
            <v>42190</v>
          </cell>
          <cell r="AE9">
            <v>42193</v>
          </cell>
          <cell r="AF9">
            <v>42200</v>
          </cell>
          <cell r="AG9">
            <v>42200</v>
          </cell>
          <cell r="AH9" t="str">
            <v>s/n</v>
          </cell>
        </row>
        <row r="10">
          <cell r="A10">
            <v>3</v>
          </cell>
          <cell r="B10" t="str">
            <v>INSTITUTO PERUANO DE ENERGIA NUCLEAR- IPEN (Centro nuclear RACSO)</v>
          </cell>
          <cell r="C10" t="str">
            <v xml:space="preserve">Av. Jose Sacco s/n </v>
          </cell>
          <cell r="D10" t="str">
            <v>Lima</v>
          </cell>
          <cell r="E10" t="str">
            <v>Lima</v>
          </cell>
          <cell r="F10" t="str">
            <v>San Pedro de Carabayllo</v>
          </cell>
          <cell r="G10">
            <v>0</v>
          </cell>
          <cell r="H10" t="str">
            <v>Andres Coragua M, Luis Defilippi</v>
          </cell>
          <cell r="I10" t="str">
            <v>acorahua@ipen.gob.pe,    ldefilippi@ipen.gob.pe</v>
          </cell>
          <cell r="J10" t="str">
            <v>4885050 anexo 294</v>
          </cell>
          <cell r="K10" t="str">
            <v>b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Ensayo de Aptitud</v>
          </cell>
          <cell r="Q10">
            <v>0</v>
          </cell>
          <cell r="R10">
            <v>0</v>
          </cell>
          <cell r="S10">
            <v>0</v>
          </cell>
          <cell r="T10" t="str">
            <v>IPEN</v>
          </cell>
          <cell r="U10" t="str">
            <v>Bolsa plástica hermética</v>
          </cell>
          <cell r="V10">
            <v>4</v>
          </cell>
          <cell r="W10">
            <v>42156</v>
          </cell>
          <cell r="X10" t="str">
            <v>4.30 pm</v>
          </cell>
          <cell r="Y10" t="str">
            <v>Prueba de Hermeticidad</v>
          </cell>
          <cell r="Z10" t="str">
            <v>150601B</v>
          </cell>
          <cell r="AA10" t="str">
            <v>OVV</v>
          </cell>
          <cell r="AB10" t="str">
            <v>02/06/2015 al 30/06/2015</v>
          </cell>
          <cell r="AC10">
            <v>42190</v>
          </cell>
          <cell r="AD10">
            <v>42190</v>
          </cell>
          <cell r="AE10">
            <v>42193</v>
          </cell>
          <cell r="AF10">
            <v>42200</v>
          </cell>
          <cell r="AG10">
            <v>42198</v>
          </cell>
          <cell r="AH10" t="str">
            <v>s/n</v>
          </cell>
        </row>
        <row r="11">
          <cell r="A11">
            <v>4</v>
          </cell>
          <cell r="B11" t="str">
            <v>INTERNATIONAL ATOMIC REFERENCE MATERIAL AGENCY - IARMA</v>
          </cell>
          <cell r="C11" t="str">
            <v>Naver House, Naver Road</v>
          </cell>
          <cell r="D11" t="str">
            <v>Highland</v>
          </cell>
          <cell r="E11">
            <v>0</v>
          </cell>
          <cell r="F11" t="str">
            <v>Thourse</v>
          </cell>
          <cell r="G11">
            <v>0</v>
          </cell>
          <cell r="H11" t="str">
            <v>Paul Doherty</v>
          </cell>
          <cell r="I11" t="str">
            <v>office@iarma.com.uk</v>
          </cell>
          <cell r="J11" t="str">
            <v>43(0)12605723</v>
          </cell>
          <cell r="K11" t="str">
            <v>c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Ensayo Interlaboratorio</v>
          </cell>
          <cell r="Q11">
            <v>0</v>
          </cell>
          <cell r="R11">
            <v>0</v>
          </cell>
          <cell r="S11">
            <v>0</v>
          </cell>
          <cell r="T11" t="str">
            <v>IARMA</v>
          </cell>
          <cell r="U11" t="str">
            <v>Bidón plástico</v>
          </cell>
          <cell r="V11">
            <v>6</v>
          </cell>
          <cell r="W11">
            <v>42157</v>
          </cell>
          <cell r="X11" t="str">
            <v>14.45 pm</v>
          </cell>
          <cell r="Y11" t="str">
            <v>Alfa y/o Beta Total</v>
          </cell>
          <cell r="Z11" t="str">
            <v>150601C</v>
          </cell>
          <cell r="AA11" t="str">
            <v>PZB</v>
          </cell>
          <cell r="AB11" t="str">
            <v>01/06 al 10/09/2015</v>
          </cell>
          <cell r="AC11">
            <v>42258</v>
          </cell>
          <cell r="AD11">
            <v>42258</v>
          </cell>
          <cell r="AE11">
            <v>42259</v>
          </cell>
          <cell r="AF11">
            <v>42262</v>
          </cell>
          <cell r="AG11">
            <v>42262</v>
          </cell>
          <cell r="AH11" t="str">
            <v>s/n</v>
          </cell>
        </row>
        <row r="12">
          <cell r="A12">
            <v>5</v>
          </cell>
          <cell r="B12" t="str">
            <v>ALEPH SAC</v>
          </cell>
          <cell r="C12" t="str">
            <v xml:space="preserve">Av. Rafael Escardo 154 </v>
          </cell>
          <cell r="D12" t="str">
            <v>Lima</v>
          </cell>
          <cell r="E12" t="str">
            <v>Lima</v>
          </cell>
          <cell r="F12" t="str">
            <v>San Miguel</v>
          </cell>
          <cell r="G12">
            <v>20507237984</v>
          </cell>
          <cell r="H12" t="str">
            <v>Eda Paucar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Ensayo PreValidación (Para Intralaboratorio)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 t="str">
            <v>Bolsa plástica hermética</v>
          </cell>
          <cell r="V12">
            <v>2</v>
          </cell>
          <cell r="W12">
            <v>42221</v>
          </cell>
          <cell r="X12" t="str">
            <v>8.05 am</v>
          </cell>
          <cell r="Y12" t="str">
            <v>Prueba de Hermeticidad</v>
          </cell>
          <cell r="Z12" t="str">
            <v>150805A</v>
          </cell>
          <cell r="AA12" t="str">
            <v>OVV</v>
          </cell>
          <cell r="AB12">
            <v>42221</v>
          </cell>
          <cell r="AC12">
            <v>42231</v>
          </cell>
          <cell r="AD12">
            <v>42231</v>
          </cell>
          <cell r="AE12">
            <v>42231</v>
          </cell>
          <cell r="AF12">
            <v>42231</v>
          </cell>
          <cell r="AG12">
            <v>42231</v>
          </cell>
          <cell r="AH12" t="str">
            <v>s/n</v>
          </cell>
        </row>
        <row r="13">
          <cell r="A13">
            <v>6</v>
          </cell>
          <cell r="B13" t="str">
            <v>ALEPH SAC</v>
          </cell>
          <cell r="C13" t="str">
            <v xml:space="preserve">Av. Rafael Escardo 154 </v>
          </cell>
          <cell r="D13" t="str">
            <v>Lima</v>
          </cell>
          <cell r="E13" t="str">
            <v>Lima</v>
          </cell>
          <cell r="F13" t="str">
            <v>San Miguel</v>
          </cell>
          <cell r="G13">
            <v>20507237984</v>
          </cell>
          <cell r="H13" t="str">
            <v>Eda Paucar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Ensayo intralaboratorio (Validación)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 t="str">
            <v>Bolsa plástica hermética</v>
          </cell>
          <cell r="V13">
            <v>10</v>
          </cell>
          <cell r="W13">
            <v>42238</v>
          </cell>
          <cell r="X13" t="str">
            <v>9.30 am</v>
          </cell>
          <cell r="Y13" t="str">
            <v>Prueba de Hermeticidad</v>
          </cell>
          <cell r="Z13" t="str">
            <v>150822B</v>
          </cell>
          <cell r="AA13" t="str">
            <v>OVV</v>
          </cell>
          <cell r="AB13">
            <v>42238</v>
          </cell>
          <cell r="AC13">
            <v>42242</v>
          </cell>
          <cell r="AD13">
            <v>42242</v>
          </cell>
          <cell r="AE13">
            <v>42242</v>
          </cell>
          <cell r="AF13">
            <v>42242</v>
          </cell>
          <cell r="AG13">
            <v>0</v>
          </cell>
          <cell r="AH13" t="str">
            <v>S/N</v>
          </cell>
        </row>
        <row r="14">
          <cell r="A14">
            <v>7</v>
          </cell>
          <cell r="B14" t="str">
            <v>ALEPH SAC</v>
          </cell>
          <cell r="C14" t="str">
            <v xml:space="preserve">Av. Rafael Escardo 154 </v>
          </cell>
          <cell r="D14" t="str">
            <v>Lima</v>
          </cell>
          <cell r="E14" t="str">
            <v>Lima</v>
          </cell>
          <cell r="F14" t="str">
            <v>San Miguel</v>
          </cell>
          <cell r="G14">
            <v>20507237984</v>
          </cell>
          <cell r="H14" t="str">
            <v>Eda Paucar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Ensayo intralaboratorio (Validación)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 t="str">
            <v>Bolsa plástica hermética</v>
          </cell>
          <cell r="V14">
            <v>10</v>
          </cell>
          <cell r="W14">
            <v>42238</v>
          </cell>
          <cell r="X14" t="str">
            <v>9.30 am</v>
          </cell>
          <cell r="Y14" t="str">
            <v>Prueba de Hermeticidad</v>
          </cell>
          <cell r="Z14" t="str">
            <v>150822C</v>
          </cell>
          <cell r="AA14" t="str">
            <v>RPJ</v>
          </cell>
          <cell r="AB14">
            <v>42238</v>
          </cell>
          <cell r="AC14">
            <v>42242</v>
          </cell>
          <cell r="AD14">
            <v>42242</v>
          </cell>
          <cell r="AE14">
            <v>42242</v>
          </cell>
          <cell r="AF14">
            <v>42242</v>
          </cell>
          <cell r="AG14">
            <v>0</v>
          </cell>
          <cell r="AH14" t="str">
            <v>S/N</v>
          </cell>
        </row>
        <row r="15">
          <cell r="A15">
            <v>8</v>
          </cell>
          <cell r="B15" t="str">
            <v>Compañía Minera Antapaccay S.A.</v>
          </cell>
          <cell r="C15" t="str">
            <v>Pasaje Los Delfines Nº 159-Urb. Las Gardenias</v>
          </cell>
          <cell r="D15" t="str">
            <v>Lima</v>
          </cell>
          <cell r="E15" t="str">
            <v>Lima</v>
          </cell>
          <cell r="F15" t="str">
            <v>Santiago de Surco</v>
          </cell>
          <cell r="G15">
            <v>20114915026</v>
          </cell>
          <cell r="H15" t="str">
            <v>ROLANDO SAMUEL</v>
          </cell>
          <cell r="I15" t="str">
            <v>rolando.samuel@glencore.com.pe</v>
          </cell>
          <cell r="J15" t="str">
            <v>084-301150</v>
          </cell>
          <cell r="K15" t="str">
            <v>243/2015-SERV</v>
          </cell>
          <cell r="L15">
            <v>42212</v>
          </cell>
          <cell r="M15" t="str">
            <v>EPJ</v>
          </cell>
          <cell r="N15" t="str">
            <v>eda_isabel@hotmail.com</v>
          </cell>
          <cell r="O15">
            <v>984123229</v>
          </cell>
          <cell r="P15" t="str">
            <v>Prueba de Fuga e internamiento de fuentes radiactivas</v>
          </cell>
          <cell r="Q15" t="str">
            <v>a 30 dias</v>
          </cell>
          <cell r="R15" t="str">
            <v xml:space="preserve">3 meses </v>
          </cell>
          <cell r="S15" t="str">
            <v>20 dias</v>
          </cell>
          <cell r="T15" t="str">
            <v>ALEPH SAC</v>
          </cell>
          <cell r="U15" t="str">
            <v>Bolsa plástica hermética</v>
          </cell>
          <cell r="V15">
            <v>55</v>
          </cell>
          <cell r="W15">
            <v>42255</v>
          </cell>
          <cell r="X15" t="str">
            <v>6.30 PM</v>
          </cell>
          <cell r="Y15" t="str">
            <v>Prueba de Hermeticidad</v>
          </cell>
          <cell r="Z15" t="str">
            <v>150908A</v>
          </cell>
          <cell r="AA15" t="str">
            <v>OVV</v>
          </cell>
          <cell r="AB15" t="str">
            <v>12/09/2015 al 17/09/2015</v>
          </cell>
          <cell r="AC15">
            <v>42272</v>
          </cell>
          <cell r="AD15">
            <v>42272</v>
          </cell>
          <cell r="AE15">
            <v>42276</v>
          </cell>
          <cell r="AF15">
            <v>42294</v>
          </cell>
          <cell r="AG15">
            <v>42292</v>
          </cell>
          <cell r="AH15">
            <v>0</v>
          </cell>
        </row>
        <row r="16">
          <cell r="A16">
            <v>9</v>
          </cell>
          <cell r="B16" t="str">
            <v>HOSPITAL NACIONAL EDGARDO REBAGLIATI MARTINS</v>
          </cell>
          <cell r="C16" t="str">
            <v>Domingo Cueto 120 Lima 11</v>
          </cell>
          <cell r="D16" t="str">
            <v>Lima</v>
          </cell>
          <cell r="E16" t="str">
            <v>Lima</v>
          </cell>
          <cell r="F16" t="str">
            <v>Lince</v>
          </cell>
          <cell r="G16">
            <v>20131257750</v>
          </cell>
          <cell r="H16" t="str">
            <v>Roberto Cabrera</v>
          </cell>
          <cell r="I16" t="str">
            <v>externo.rcabrera@essalud.gob.pe</v>
          </cell>
          <cell r="J16">
            <v>0</v>
          </cell>
          <cell r="K16" t="str">
            <v>244/2015-SERV</v>
          </cell>
          <cell r="L16">
            <v>42241</v>
          </cell>
          <cell r="M16" t="str">
            <v>EPJ</v>
          </cell>
          <cell r="N16" t="str">
            <v>eda_isabel@hotmail.com</v>
          </cell>
          <cell r="O16">
            <v>984123230</v>
          </cell>
          <cell r="P16" t="str">
            <v>Prueba de Fuga e internamiento de fuentes radiactivas</v>
          </cell>
          <cell r="Q16" t="str">
            <v>a 30 dias</v>
          </cell>
          <cell r="R16" t="str">
            <v>28 dias</v>
          </cell>
          <cell r="S16" t="str">
            <v>20 dias</v>
          </cell>
          <cell r="T16" t="str">
            <v>ALEPH SAC</v>
          </cell>
          <cell r="U16" t="str">
            <v>Bolsa plástica hermética</v>
          </cell>
          <cell r="V16">
            <v>35</v>
          </cell>
          <cell r="W16">
            <v>42267</v>
          </cell>
          <cell r="X16" t="str">
            <v>2.30 PM</v>
          </cell>
          <cell r="Y16" t="str">
            <v>Prueba de Hermeticidad</v>
          </cell>
          <cell r="Z16" t="str">
            <v>150903B</v>
          </cell>
          <cell r="AA16" t="str">
            <v>OVV</v>
          </cell>
          <cell r="AB16">
            <v>42269</v>
          </cell>
          <cell r="AC16">
            <v>42273</v>
          </cell>
          <cell r="AD16">
            <v>42269</v>
          </cell>
          <cell r="AE16">
            <v>42269</v>
          </cell>
          <cell r="AF16">
            <v>42275</v>
          </cell>
          <cell r="AG16">
            <v>42270</v>
          </cell>
          <cell r="AH16" t="str">
            <v>256-15-GG/ALEPH</v>
          </cell>
        </row>
        <row r="17">
          <cell r="A17">
            <v>10</v>
          </cell>
          <cell r="B17" t="str">
            <v>ALEPH SAC</v>
          </cell>
          <cell r="C17" t="str">
            <v xml:space="preserve">Av. Rafael Escardo 154 </v>
          </cell>
          <cell r="D17" t="str">
            <v>Lima</v>
          </cell>
          <cell r="E17" t="str">
            <v>Lima</v>
          </cell>
          <cell r="F17" t="str">
            <v>San Miguel</v>
          </cell>
          <cell r="G17">
            <v>20507237984</v>
          </cell>
          <cell r="H17" t="str">
            <v>Eda Paucar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Ensayo PreValidación (Para Intralaboratorio)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 t="str">
            <v>Bidón plástico</v>
          </cell>
          <cell r="V17">
            <v>2</v>
          </cell>
          <cell r="W17">
            <v>42273</v>
          </cell>
          <cell r="X17" t="str">
            <v>8.26 am</v>
          </cell>
          <cell r="Y17" t="str">
            <v>Alfa y/o Beta Total</v>
          </cell>
          <cell r="Z17" t="str">
            <v>150926C</v>
          </cell>
          <cell r="AA17" t="str">
            <v>PZB</v>
          </cell>
          <cell r="AB17">
            <v>42275</v>
          </cell>
          <cell r="AC17">
            <v>42280</v>
          </cell>
          <cell r="AD17">
            <v>42280</v>
          </cell>
          <cell r="AE17">
            <v>42280</v>
          </cell>
          <cell r="AF17">
            <v>42280</v>
          </cell>
          <cell r="AG17">
            <v>42280</v>
          </cell>
          <cell r="AH17">
            <v>0</v>
          </cell>
        </row>
        <row r="18">
          <cell r="A18">
            <v>11</v>
          </cell>
          <cell r="B18" t="str">
            <v>ALEPH SAC</v>
          </cell>
          <cell r="C18" t="str">
            <v xml:space="preserve">Av. Rafael Escardo 154 </v>
          </cell>
          <cell r="D18" t="str">
            <v>Lima</v>
          </cell>
          <cell r="E18" t="str">
            <v>Lima</v>
          </cell>
          <cell r="F18" t="str">
            <v>San Miguel</v>
          </cell>
          <cell r="G18">
            <v>20507237984</v>
          </cell>
          <cell r="H18" t="str">
            <v>Eda Paucar</v>
          </cell>
          <cell r="I18" t="str">
            <v>eda_isabel@aleph.com.pe</v>
          </cell>
          <cell r="J18" t="str">
            <v>01-5787202</v>
          </cell>
          <cell r="K18" t="str">
            <v>---</v>
          </cell>
          <cell r="L18" t="str">
            <v>---</v>
          </cell>
          <cell r="M18" t="str">
            <v>---</v>
          </cell>
          <cell r="N18" t="str">
            <v>---</v>
          </cell>
          <cell r="O18" t="str">
            <v>---</v>
          </cell>
          <cell r="P18" t="str">
            <v>Ensayo intralaboratorio</v>
          </cell>
          <cell r="Q18" t="str">
            <v>---</v>
          </cell>
          <cell r="R18" t="str">
            <v>---</v>
          </cell>
          <cell r="S18" t="str">
            <v>---</v>
          </cell>
          <cell r="T18" t="str">
            <v>ALEPH SAC</v>
          </cell>
          <cell r="U18" t="str">
            <v>Bidón plástico</v>
          </cell>
          <cell r="V18">
            <v>10</v>
          </cell>
          <cell r="W18">
            <v>42282</v>
          </cell>
          <cell r="X18">
            <v>0.47916666666666669</v>
          </cell>
          <cell r="Y18" t="str">
            <v>Alfa y/o Beta Total</v>
          </cell>
          <cell r="Z18" t="str">
            <v>151005A</v>
          </cell>
          <cell r="AA18" t="str">
            <v>RPJ</v>
          </cell>
          <cell r="AB18">
            <v>42283</v>
          </cell>
          <cell r="AC18">
            <v>42299</v>
          </cell>
          <cell r="AD18">
            <v>42299</v>
          </cell>
          <cell r="AE18">
            <v>42300</v>
          </cell>
          <cell r="AF18">
            <v>42282</v>
          </cell>
          <cell r="AG18">
            <v>0</v>
          </cell>
          <cell r="AH18" t="str">
            <v>S/N</v>
          </cell>
        </row>
        <row r="19">
          <cell r="A19">
            <v>12</v>
          </cell>
          <cell r="B19" t="str">
            <v>ALEPH SAC</v>
          </cell>
          <cell r="C19" t="str">
            <v xml:space="preserve">Av. Rafael Escardo 154 </v>
          </cell>
          <cell r="D19" t="str">
            <v>Lima</v>
          </cell>
          <cell r="E19" t="str">
            <v>Lima</v>
          </cell>
          <cell r="F19" t="str">
            <v>San Miguel</v>
          </cell>
          <cell r="G19">
            <v>20507237984</v>
          </cell>
          <cell r="H19" t="str">
            <v>Eda Paucar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Ensayo intralaboratorio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10</v>
          </cell>
          <cell r="W19">
            <v>42282</v>
          </cell>
          <cell r="X19" t="str">
            <v>11.30 am</v>
          </cell>
          <cell r="Y19" t="str">
            <v>Alfa y/o Beta Total</v>
          </cell>
          <cell r="Z19" t="str">
            <v>150512B</v>
          </cell>
          <cell r="AA19" t="str">
            <v>RPJ</v>
          </cell>
          <cell r="AB19">
            <v>42283</v>
          </cell>
          <cell r="AC19">
            <v>42299</v>
          </cell>
          <cell r="AD19">
            <v>42299</v>
          </cell>
          <cell r="AE19">
            <v>42300</v>
          </cell>
          <cell r="AF19">
            <v>42300</v>
          </cell>
          <cell r="AG19">
            <v>0</v>
          </cell>
          <cell r="AH19" t="str">
            <v>S/N</v>
          </cell>
        </row>
        <row r="20">
          <cell r="A20">
            <v>13</v>
          </cell>
          <cell r="B20" t="str">
            <v>SOCIEDAD MINERA CERRO VERDE S.A.A.</v>
          </cell>
          <cell r="C20" t="str">
            <v xml:space="preserve">Carretera Variante Tinajones </v>
          </cell>
          <cell r="D20" t="str">
            <v>Arequipa</v>
          </cell>
          <cell r="E20" t="str">
            <v>Arequipa</v>
          </cell>
          <cell r="F20" t="str">
            <v>---</v>
          </cell>
          <cell r="G20">
            <v>20170072465</v>
          </cell>
          <cell r="H20" t="str">
            <v>Christopher Paul Barrios</v>
          </cell>
          <cell r="I20" t="str">
            <v>christopher_barrios@fmi.com</v>
          </cell>
          <cell r="J20" t="str">
            <v>+51-54-381515-2302</v>
          </cell>
          <cell r="K20" t="str">
            <v>245/2015-SERV</v>
          </cell>
          <cell r="L20">
            <v>42245</v>
          </cell>
          <cell r="M20" t="str">
            <v>EPJ</v>
          </cell>
          <cell r="N20" t="str">
            <v>eda_isabel@hotmail.com</v>
          </cell>
          <cell r="O20">
            <v>984123230</v>
          </cell>
          <cell r="P20" t="str">
            <v>Prueba de Fuga e internamiento de fuentes radiactivas</v>
          </cell>
          <cell r="Q20" t="str">
            <v>a 30 dias</v>
          </cell>
          <cell r="R20" t="str">
            <v>5 meses</v>
          </cell>
          <cell r="S20" t="str">
            <v>20 dias</v>
          </cell>
          <cell r="T20" t="str">
            <v>ALEPH SAC</v>
          </cell>
          <cell r="U20" t="str">
            <v>Bolsa plástica hermética</v>
          </cell>
          <cell r="V20">
            <v>35</v>
          </cell>
          <cell r="W20">
            <v>42299</v>
          </cell>
          <cell r="X20" t="str">
            <v>5.30 pm</v>
          </cell>
          <cell r="Y20" t="str">
            <v>Prueba de Hermeticidad</v>
          </cell>
          <cell r="Z20" t="str">
            <v>151015A</v>
          </cell>
          <cell r="AA20" t="str">
            <v>OVV</v>
          </cell>
          <cell r="AB20">
            <v>42299</v>
          </cell>
          <cell r="AC20">
            <v>42306</v>
          </cell>
          <cell r="AD20">
            <v>42304</v>
          </cell>
          <cell r="AE20">
            <v>42306</v>
          </cell>
          <cell r="AF20">
            <v>42311</v>
          </cell>
          <cell r="AG20">
            <v>42313</v>
          </cell>
          <cell r="AH20" t="str">
            <v>308-2015-ALEPH</v>
          </cell>
        </row>
        <row r="21">
          <cell r="A21">
            <v>14</v>
          </cell>
          <cell r="B21" t="str">
            <v>Compañía de Minas Buenaventura S.A.A.</v>
          </cell>
          <cell r="C21" t="str">
            <v>Calle Las Begonias Nro. 415, Int. P-19 (Recepción Piso 19)</v>
          </cell>
          <cell r="D21" t="str">
            <v>Lima</v>
          </cell>
          <cell r="E21" t="str">
            <v>Lima</v>
          </cell>
          <cell r="F21" t="str">
            <v>San Isidro</v>
          </cell>
          <cell r="G21">
            <v>20100079501</v>
          </cell>
          <cell r="H21" t="str">
            <v>Ana Carrasco</v>
          </cell>
          <cell r="I21" t="str">
            <v>ana.carrasco@buenaventura.pe</v>
          </cell>
          <cell r="J21" t="str">
            <v>419 2500 ANEXO 2463</v>
          </cell>
          <cell r="K21" t="str">
            <v>111-2016030064</v>
          </cell>
          <cell r="L21">
            <v>42447</v>
          </cell>
          <cell r="M21" t="str">
            <v>EPJ</v>
          </cell>
          <cell r="N21" t="str">
            <v>eda_isabel@hotmail.com</v>
          </cell>
          <cell r="O21">
            <v>984123229</v>
          </cell>
          <cell r="P21" t="str">
            <v>Prueba de hermeticidad y control operacional</v>
          </cell>
          <cell r="Q21" t="str">
            <v>Factura a 30 días</v>
          </cell>
          <cell r="R21">
            <v>0</v>
          </cell>
          <cell r="S21" t="str">
            <v>20 días</v>
          </cell>
          <cell r="T21" t="str">
            <v>Departamento de mantenimiento, ALEPH SAC</v>
          </cell>
          <cell r="U21" t="str">
            <v>Bolsa plástica hermética</v>
          </cell>
          <cell r="V21">
            <v>2</v>
          </cell>
          <cell r="W21">
            <v>42459</v>
          </cell>
          <cell r="X21">
            <v>0.39583333333333331</v>
          </cell>
          <cell r="Y21" t="str">
            <v>Prueba de Hermeticidad</v>
          </cell>
          <cell r="Z21" t="str">
            <v>160330A</v>
          </cell>
          <cell r="AA21" t="str">
            <v>OVV</v>
          </cell>
          <cell r="AB21">
            <v>42459</v>
          </cell>
          <cell r="AC21">
            <v>42464</v>
          </cell>
          <cell r="AD21">
            <v>42460</v>
          </cell>
          <cell r="AE21">
            <v>42461</v>
          </cell>
          <cell r="AF21">
            <v>42468</v>
          </cell>
          <cell r="AG21">
            <v>0</v>
          </cell>
          <cell r="AH21" t="str">
            <v>019-020/2016</v>
          </cell>
        </row>
        <row r="22">
          <cell r="A22">
            <v>15</v>
          </cell>
          <cell r="B22" t="str">
            <v>Compañía de Minas Buenaventura S.A.A.</v>
          </cell>
          <cell r="C22" t="str">
            <v>Calle Las Begonias Nro. 415, Int. P-19 (Recepción Piso 19)</v>
          </cell>
          <cell r="D22" t="str">
            <v>Lima</v>
          </cell>
          <cell r="E22" t="str">
            <v>Lima</v>
          </cell>
          <cell r="F22" t="str">
            <v>San Isidro</v>
          </cell>
          <cell r="G22">
            <v>20100079501</v>
          </cell>
          <cell r="H22" t="str">
            <v>Ana Carrasco</v>
          </cell>
          <cell r="I22" t="str">
            <v>ana.carrasco@buenaventura.pe</v>
          </cell>
          <cell r="J22" t="str">
            <v>419 2500 ANEXO 2463</v>
          </cell>
          <cell r="K22" t="str">
            <v>111-2016030063</v>
          </cell>
          <cell r="L22">
            <v>42447</v>
          </cell>
          <cell r="M22" t="str">
            <v>EPJ</v>
          </cell>
          <cell r="N22" t="str">
            <v>eda_isabel@hotmail.com</v>
          </cell>
          <cell r="O22">
            <v>984123229</v>
          </cell>
          <cell r="P22" t="str">
            <v>Prueba de hermeticidad</v>
          </cell>
          <cell r="Q22" t="str">
            <v>Factura a 30 días</v>
          </cell>
          <cell r="R22">
            <v>0</v>
          </cell>
          <cell r="S22" t="str">
            <v>20 días</v>
          </cell>
          <cell r="T22" t="str">
            <v>Departamento de mantenimiento, ALEPH SAC</v>
          </cell>
          <cell r="U22" t="str">
            <v>Bolsa plástica hermética</v>
          </cell>
          <cell r="V22">
            <v>4</v>
          </cell>
          <cell r="W22">
            <v>42467</v>
          </cell>
          <cell r="X22">
            <v>0.62361111111111112</v>
          </cell>
          <cell r="Y22" t="str">
            <v>Prueba de Hermeticidad</v>
          </cell>
          <cell r="Z22" t="str">
            <v>160407A</v>
          </cell>
          <cell r="AA22" t="str">
            <v>OVV</v>
          </cell>
          <cell r="AB22">
            <v>0</v>
          </cell>
          <cell r="AC22">
            <v>42469</v>
          </cell>
          <cell r="AD22">
            <v>0</v>
          </cell>
          <cell r="AE22">
            <v>0</v>
          </cell>
          <cell r="AF22">
            <v>42471</v>
          </cell>
          <cell r="AG22">
            <v>0</v>
          </cell>
          <cell r="AH22">
            <v>0</v>
          </cell>
        </row>
        <row r="23">
          <cell r="A23">
            <v>16</v>
          </cell>
          <cell r="B23" t="str">
            <v>INSTITUTO DE INVESTIGACIÓN PARA LA ENERGÍA Y EL DESARROLLO - IEDES</v>
          </cell>
          <cell r="C23" t="str">
            <v>Calle Moquegua Nro. 157 Dpto 316 (P3 altura de la cuadra 1 Jr. De la Unión)</v>
          </cell>
          <cell r="D23" t="str">
            <v>Lima</v>
          </cell>
          <cell r="E23" t="str">
            <v>Lima</v>
          </cell>
          <cell r="F23" t="str">
            <v>Lima</v>
          </cell>
          <cell r="G23">
            <v>20515111159</v>
          </cell>
          <cell r="H23">
            <v>0</v>
          </cell>
          <cell r="I23">
            <v>0</v>
          </cell>
          <cell r="J23">
            <v>0</v>
          </cell>
          <cell r="K23" t="str">
            <v>---</v>
          </cell>
          <cell r="L23" t="str">
            <v>---</v>
          </cell>
          <cell r="M23" t="str">
            <v>---</v>
          </cell>
          <cell r="N23" t="str">
            <v>---</v>
          </cell>
          <cell r="O23" t="str">
            <v>---</v>
          </cell>
          <cell r="P23" t="str">
            <v>Análisis de alfa / beta total en agua potable</v>
          </cell>
          <cell r="Q23">
            <v>0</v>
          </cell>
          <cell r="R23">
            <v>0</v>
          </cell>
          <cell r="S23">
            <v>0</v>
          </cell>
          <cell r="T23" t="str">
            <v>Departamento de mantenimiento, ALEPH SAC</v>
          </cell>
          <cell r="U23" t="str">
            <v>Bidón plástico</v>
          </cell>
          <cell r="V23">
            <v>1</v>
          </cell>
          <cell r="W23">
            <v>42478</v>
          </cell>
          <cell r="X23">
            <v>0.64930555555555558</v>
          </cell>
          <cell r="Y23" t="str">
            <v>Alfa y/o Beta Total</v>
          </cell>
          <cell r="Z23" t="str">
            <v>160418B</v>
          </cell>
          <cell r="AA23" t="str">
            <v>PZB</v>
          </cell>
          <cell r="AB23">
            <v>0</v>
          </cell>
          <cell r="AC23">
            <v>42497</v>
          </cell>
          <cell r="AD23">
            <v>0</v>
          </cell>
          <cell r="AE23">
            <v>0</v>
          </cell>
          <cell r="AF23">
            <v>42499</v>
          </cell>
          <cell r="AG23">
            <v>0</v>
          </cell>
          <cell r="AH23">
            <v>0</v>
          </cell>
        </row>
        <row r="24">
          <cell r="A24">
            <v>17</v>
          </cell>
          <cell r="B24" t="str">
            <v>INSTITUTO DE INVESTIGACIÓN PARA LA ENERGÍA Y EL DESARROLLO - IEDES</v>
          </cell>
          <cell r="C24" t="str">
            <v>Calle Moquegua Nro. 157 Dpto 316 (P3 altura de la cuadra 1 Jr. De la Unión)</v>
          </cell>
          <cell r="D24" t="str">
            <v>Lima</v>
          </cell>
          <cell r="E24" t="str">
            <v>Lima</v>
          </cell>
          <cell r="F24" t="str">
            <v>Lima</v>
          </cell>
          <cell r="G24">
            <v>20515111159</v>
          </cell>
          <cell r="H24" t="str">
            <v>Eda Paucar</v>
          </cell>
          <cell r="I24" t="str">
            <v>eda_isabel@aleph.com.pe</v>
          </cell>
          <cell r="J24" t="str">
            <v>01-5787202</v>
          </cell>
          <cell r="K24" t="str">
            <v>---</v>
          </cell>
          <cell r="L24" t="str">
            <v>---</v>
          </cell>
          <cell r="M24" t="str">
            <v>EPJ</v>
          </cell>
          <cell r="N24" t="str">
            <v>eda_isabel@hotmail.com</v>
          </cell>
          <cell r="O24">
            <v>984123229</v>
          </cell>
          <cell r="P24" t="str">
            <v>Análisis de alfa / beta total en agua potable</v>
          </cell>
          <cell r="Q24">
            <v>0</v>
          </cell>
          <cell r="R24">
            <v>0</v>
          </cell>
          <cell r="S24">
            <v>0</v>
          </cell>
          <cell r="T24" t="str">
            <v>Departamento de mantenimiento, ALEPH SAC</v>
          </cell>
          <cell r="U24" t="str">
            <v>Bidón plástico</v>
          </cell>
          <cell r="V24">
            <v>1</v>
          </cell>
          <cell r="W24">
            <v>42482</v>
          </cell>
          <cell r="X24">
            <v>0.49305555555555558</v>
          </cell>
          <cell r="Y24" t="str">
            <v>Alfa y/o Beta Total</v>
          </cell>
          <cell r="Z24" t="str">
            <v>160422C</v>
          </cell>
          <cell r="AA24" t="str">
            <v>PZB</v>
          </cell>
          <cell r="AB24">
            <v>0</v>
          </cell>
          <cell r="AC24">
            <v>42500</v>
          </cell>
          <cell r="AD24">
            <v>0</v>
          </cell>
          <cell r="AE24">
            <v>0</v>
          </cell>
          <cell r="AF24">
            <v>42502</v>
          </cell>
          <cell r="AG24">
            <v>0</v>
          </cell>
          <cell r="AH24">
            <v>0</v>
          </cell>
        </row>
        <row r="25">
          <cell r="A25">
            <v>18</v>
          </cell>
          <cell r="B25" t="str">
            <v>SOCIEDAD MINERA CERRO VERDE S.A.A.</v>
          </cell>
          <cell r="C25" t="str">
            <v xml:space="preserve">Carretera Variante Tinajones </v>
          </cell>
          <cell r="D25" t="str">
            <v>Arequipa</v>
          </cell>
          <cell r="E25" t="str">
            <v>Arequipa</v>
          </cell>
          <cell r="F25" t="str">
            <v>---</v>
          </cell>
          <cell r="G25">
            <v>20170072465</v>
          </cell>
          <cell r="H25" t="str">
            <v>George Mijael Andrade Marroquin</v>
          </cell>
          <cell r="I25" t="str">
            <v>mijael_andrade@fmi.com</v>
          </cell>
          <cell r="J25" t="str">
            <v>+51-5-283-2309</v>
          </cell>
          <cell r="K25" t="str">
            <v>003/2016-SERV</v>
          </cell>
          <cell r="L25">
            <v>42440</v>
          </cell>
          <cell r="M25" t="str">
            <v>EPJ</v>
          </cell>
          <cell r="N25" t="str">
            <v>eda_isabel@hotmail.com</v>
          </cell>
          <cell r="O25">
            <v>984123229</v>
          </cell>
          <cell r="P25" t="str">
            <v>Prueba de Fuga de fuentes radiactivas</v>
          </cell>
          <cell r="Q25">
            <v>0</v>
          </cell>
          <cell r="R25">
            <v>0</v>
          </cell>
          <cell r="S25" t="str">
            <v>20 días</v>
          </cell>
          <cell r="T25" t="str">
            <v>Departamento de mantenimiento, ALEPH SAC</v>
          </cell>
          <cell r="U25" t="str">
            <v>Bolsa plástica hermética</v>
          </cell>
          <cell r="V25">
            <v>70</v>
          </cell>
          <cell r="W25">
            <v>42493</v>
          </cell>
          <cell r="X25">
            <v>0.72222222222222221</v>
          </cell>
          <cell r="Y25" t="str">
            <v>Prueba de Hermeticidad</v>
          </cell>
          <cell r="Z25" t="str">
            <v>160503A</v>
          </cell>
          <cell r="AA25" t="str">
            <v>OVV</v>
          </cell>
          <cell r="AB25" t="str">
            <v>04/05/16 al 07/05/16</v>
          </cell>
          <cell r="AC25">
            <v>42499</v>
          </cell>
          <cell r="AD25">
            <v>42499</v>
          </cell>
          <cell r="AE25">
            <v>42499</v>
          </cell>
          <cell r="AF25">
            <v>42500</v>
          </cell>
          <cell r="AG25">
            <v>0</v>
          </cell>
          <cell r="AH25" t="str">
            <v>N° 028-2016 / 097-2016</v>
          </cell>
        </row>
        <row r="26">
          <cell r="A26">
            <v>19</v>
          </cell>
          <cell r="B26" t="str">
            <v>ALEPH SAC</v>
          </cell>
          <cell r="C26" t="str">
            <v xml:space="preserve">Av. Rafael Escardo 154 </v>
          </cell>
          <cell r="D26" t="str">
            <v>Lima</v>
          </cell>
          <cell r="E26" t="str">
            <v>Lima</v>
          </cell>
          <cell r="F26" t="str">
            <v>Lima</v>
          </cell>
          <cell r="G26">
            <v>20507237984</v>
          </cell>
          <cell r="H26" t="str">
            <v>Eda Paucar</v>
          </cell>
          <cell r="I26" t="str">
            <v>eda_isabel@aleph.com.pe</v>
          </cell>
          <cell r="J26">
            <v>984123229</v>
          </cell>
          <cell r="K26" t="str">
            <v>---</v>
          </cell>
          <cell r="L26" t="str">
            <v>---</v>
          </cell>
          <cell r="M26" t="str">
            <v>---</v>
          </cell>
          <cell r="N26" t="str">
            <v>---</v>
          </cell>
          <cell r="O26">
            <v>0</v>
          </cell>
          <cell r="P26" t="str">
            <v>Análisis de alfa / beta total en agua potable</v>
          </cell>
          <cell r="Q26">
            <v>0</v>
          </cell>
          <cell r="R26">
            <v>0</v>
          </cell>
          <cell r="S26">
            <v>0</v>
          </cell>
          <cell r="T26" t="str">
            <v>ALEPH SAC</v>
          </cell>
          <cell r="U26" t="str">
            <v>Bidón plástico</v>
          </cell>
          <cell r="V26">
            <v>1</v>
          </cell>
          <cell r="W26">
            <v>42600</v>
          </cell>
          <cell r="X26" t="str">
            <v>04.:15:00 p.m.</v>
          </cell>
          <cell r="Y26" t="str">
            <v>Alfa y/o Beta Total</v>
          </cell>
          <cell r="Z26" t="str">
            <v>160818A</v>
          </cell>
          <cell r="AA26" t="str">
            <v>PZB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A27">
            <v>21</v>
          </cell>
          <cell r="B27" t="str">
            <v>ALEPH SAC</v>
          </cell>
          <cell r="C27" t="str">
            <v xml:space="preserve">Av. Rafael Escardo 154 </v>
          </cell>
          <cell r="D27" t="str">
            <v>Lima</v>
          </cell>
          <cell r="E27" t="str">
            <v>Lima</v>
          </cell>
          <cell r="F27" t="str">
            <v>Lima</v>
          </cell>
          <cell r="G27">
            <v>20507237984</v>
          </cell>
          <cell r="H27" t="str">
            <v>Eda Paucar</v>
          </cell>
          <cell r="I27" t="str">
            <v>eda_isabel@aleph.com.pe</v>
          </cell>
          <cell r="J27">
            <v>984123229</v>
          </cell>
          <cell r="K27" t="str">
            <v>---</v>
          </cell>
          <cell r="L27" t="str">
            <v>---</v>
          </cell>
          <cell r="M27" t="str">
            <v>---</v>
          </cell>
          <cell r="N27" t="str">
            <v>---</v>
          </cell>
          <cell r="O27">
            <v>0</v>
          </cell>
          <cell r="P27" t="str">
            <v>Prueba de Fuga de fuentes radiactivas</v>
          </cell>
          <cell r="Q27">
            <v>0</v>
          </cell>
          <cell r="R27">
            <v>0</v>
          </cell>
          <cell r="S27">
            <v>0</v>
          </cell>
          <cell r="T27" t="str">
            <v>ALEPH SAC</v>
          </cell>
          <cell r="U27" t="str">
            <v>Bolsa plástica hermética</v>
          </cell>
          <cell r="V27">
            <v>1</v>
          </cell>
          <cell r="W27">
            <v>42600</v>
          </cell>
          <cell r="X27" t="str">
            <v>03:40pm</v>
          </cell>
          <cell r="Y27" t="str">
            <v>Prueba de Hermeticidad</v>
          </cell>
          <cell r="Z27" t="str">
            <v>160818B</v>
          </cell>
          <cell r="AA27" t="str">
            <v>OVV</v>
          </cell>
          <cell r="AB27">
            <v>42600</v>
          </cell>
          <cell r="AC27">
            <v>42602</v>
          </cell>
          <cell r="AD27">
            <v>0</v>
          </cell>
          <cell r="AE27">
            <v>0</v>
          </cell>
          <cell r="AF27">
            <v>0</v>
          </cell>
          <cell r="AG27" t="str">
            <v>---</v>
          </cell>
          <cell r="AH27">
            <v>0</v>
          </cell>
        </row>
        <row r="28">
          <cell r="A28">
            <v>20</v>
          </cell>
          <cell r="B28" t="str">
            <v>ALEPH SAC</v>
          </cell>
          <cell r="C28" t="str">
            <v xml:space="preserve">Av. Rafael Escardo 154 </v>
          </cell>
          <cell r="D28" t="str">
            <v>Lima</v>
          </cell>
          <cell r="E28" t="str">
            <v>Lima</v>
          </cell>
          <cell r="F28" t="str">
            <v>Lima</v>
          </cell>
          <cell r="G28">
            <v>20507237984</v>
          </cell>
          <cell r="H28" t="str">
            <v>Eda Paucar</v>
          </cell>
          <cell r="I28" t="str">
            <v>eda_isabel@aleph.com.pe</v>
          </cell>
          <cell r="J28">
            <v>984123229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>
            <v>0</v>
          </cell>
          <cell r="P28" t="str">
            <v>Prueba de Fuga de fuentes radiactivas</v>
          </cell>
          <cell r="Q28">
            <v>0</v>
          </cell>
          <cell r="R28">
            <v>0</v>
          </cell>
          <cell r="S28">
            <v>0</v>
          </cell>
          <cell r="T28" t="str">
            <v>ALEPH SAC</v>
          </cell>
          <cell r="U28" t="str">
            <v>Bolsa plástica hermética</v>
          </cell>
          <cell r="V28">
            <v>1</v>
          </cell>
          <cell r="W28">
            <v>42577</v>
          </cell>
          <cell r="X28" t="str">
            <v>09:40am</v>
          </cell>
          <cell r="Y28" t="str">
            <v>Prueba de Hermeticidad</v>
          </cell>
          <cell r="Z28" t="str">
            <v>160726A</v>
          </cell>
          <cell r="AA28" t="str">
            <v>OVV</v>
          </cell>
          <cell r="AB28">
            <v>42577</v>
          </cell>
          <cell r="AC28">
            <v>42577</v>
          </cell>
          <cell r="AD28">
            <v>42577</v>
          </cell>
          <cell r="AE28">
            <v>0</v>
          </cell>
          <cell r="AF28">
            <v>0</v>
          </cell>
          <cell r="AG28" t="str">
            <v>---</v>
          </cell>
          <cell r="AH28">
            <v>0</v>
          </cell>
        </row>
        <row r="29">
          <cell r="A29">
            <v>18</v>
          </cell>
          <cell r="B29" t="str">
            <v>SOCIEDAD MINERA CERRO VERDE S.A.A.</v>
          </cell>
          <cell r="C29" t="str">
            <v xml:space="preserve">Carretera Variante Tinajones </v>
          </cell>
          <cell r="D29" t="str">
            <v>Arequipa</v>
          </cell>
          <cell r="E29" t="str">
            <v>Arequipa</v>
          </cell>
          <cell r="F29" t="str">
            <v>---</v>
          </cell>
          <cell r="G29">
            <v>20170072465</v>
          </cell>
          <cell r="H29" t="str">
            <v>George Mijael Andrade Marroquin</v>
          </cell>
          <cell r="I29" t="str">
            <v>mijael_andrade@fmi.com</v>
          </cell>
          <cell r="J29" t="str">
            <v>+51-5-283-2309</v>
          </cell>
          <cell r="K29" t="str">
            <v>089/2016-SERV</v>
          </cell>
          <cell r="L29">
            <v>42576</v>
          </cell>
          <cell r="M29" t="str">
            <v>EPJ</v>
          </cell>
          <cell r="N29" t="str">
            <v>eda_isabel@hotmail.com</v>
          </cell>
          <cell r="O29">
            <v>984123229</v>
          </cell>
          <cell r="P29" t="str">
            <v>Prueba de Fuga de fuentes radiactivas</v>
          </cell>
          <cell r="Q29" t="str">
            <v>efectivo</v>
          </cell>
          <cell r="R29">
            <v>42704</v>
          </cell>
          <cell r="S29" t="str">
            <v>20 días</v>
          </cell>
          <cell r="T29" t="str">
            <v>ALEPH SAC</v>
          </cell>
          <cell r="U29" t="str">
            <v>Bolsa plástica hermética</v>
          </cell>
          <cell r="V29">
            <v>61</v>
          </cell>
          <cell r="W29">
            <v>42643</v>
          </cell>
          <cell r="X29" t="str">
            <v>11.31 am</v>
          </cell>
          <cell r="Y29" t="str">
            <v>Prueba de Hermeticidad</v>
          </cell>
          <cell r="Z29" t="str">
            <v>160930A</v>
          </cell>
          <cell r="AA29" t="str">
            <v>OVV</v>
          </cell>
          <cell r="AB29" t="str">
            <v>30/09/16 al 07/10/16</v>
          </cell>
          <cell r="AC29">
            <v>42653</v>
          </cell>
          <cell r="AD29">
            <v>42653</v>
          </cell>
          <cell r="AE29">
            <v>42650</v>
          </cell>
          <cell r="AF29">
            <v>42653</v>
          </cell>
          <cell r="AG29">
            <v>0</v>
          </cell>
          <cell r="AH29" t="str">
            <v>N° 028-2016 / 097-2016</v>
          </cell>
        </row>
        <row r="30">
          <cell r="A30">
            <v>19</v>
          </cell>
          <cell r="B30" t="str">
            <v>CIA. DE MINAS BUENAVENTURA S.A.A.</v>
          </cell>
          <cell r="C30" t="str">
            <v>Calle Las Begonias Nro. 415, Int. P-19 (Recepción Piso 19)</v>
          </cell>
          <cell r="D30" t="str">
            <v>Lima</v>
          </cell>
          <cell r="E30" t="str">
            <v>Lima</v>
          </cell>
          <cell r="F30">
            <v>0</v>
          </cell>
          <cell r="G30">
            <v>20100079501</v>
          </cell>
          <cell r="H30" t="str">
            <v>Robinson Alexander</v>
          </cell>
          <cell r="I30">
            <v>0</v>
          </cell>
          <cell r="J30">
            <v>4192400</v>
          </cell>
          <cell r="K30" t="str">
            <v>111-2016090040</v>
          </cell>
          <cell r="L30">
            <v>42632</v>
          </cell>
          <cell r="M30" t="str">
            <v>Amelia Durand</v>
          </cell>
          <cell r="N30" t="str">
            <v>informes@aleph.com.pe</v>
          </cell>
          <cell r="O30">
            <v>984123229</v>
          </cell>
          <cell r="P30" t="str">
            <v>Prueba de Fuga de fuentes radiactivas</v>
          </cell>
          <cell r="Q30" t="str">
            <v>efectivo</v>
          </cell>
          <cell r="R30">
            <v>42653</v>
          </cell>
          <cell r="S30" t="str">
            <v>20 dias</v>
          </cell>
          <cell r="T30" t="str">
            <v>ALEPH SAC</v>
          </cell>
          <cell r="U30" t="str">
            <v>Bolsa plástica hermética</v>
          </cell>
          <cell r="V30">
            <v>3</v>
          </cell>
          <cell r="W30">
            <v>42644</v>
          </cell>
          <cell r="X30" t="str">
            <v>03.25 PM</v>
          </cell>
          <cell r="Y30" t="str">
            <v>Prueba de Hermeticidad</v>
          </cell>
          <cell r="Z30" t="str">
            <v>161006A</v>
          </cell>
          <cell r="AA30" t="str">
            <v>OVV</v>
          </cell>
          <cell r="AB30" t="str">
            <v>05/10/2016 al 10/10/2016</v>
          </cell>
          <cell r="AC30">
            <v>42653</v>
          </cell>
          <cell r="AD30">
            <v>42653</v>
          </cell>
          <cell r="AE30">
            <v>42653</v>
          </cell>
          <cell r="AF30">
            <v>42654</v>
          </cell>
          <cell r="AG30">
            <v>0</v>
          </cell>
          <cell r="AH30">
            <v>0</v>
          </cell>
        </row>
        <row r="31">
          <cell r="A31">
            <v>20</v>
          </cell>
          <cell r="B31" t="str">
            <v>Minera Las Bambas S.A.</v>
          </cell>
          <cell r="C31" t="str">
            <v>Av. El Derby 055, Torre 3 piso 9, Santiago de Surco</v>
          </cell>
          <cell r="D31" t="str">
            <v>Lima</v>
          </cell>
          <cell r="E31" t="str">
            <v>Lima</v>
          </cell>
          <cell r="F31" t="str">
            <v>Santiago de Surco</v>
          </cell>
          <cell r="G31">
            <v>20538428524</v>
          </cell>
          <cell r="H31" t="str">
            <v>Marco Perez</v>
          </cell>
          <cell r="I31" t="str">
            <v>marco.perez@mmg.com</v>
          </cell>
          <cell r="J31" t="str">
            <v>963749201</v>
          </cell>
          <cell r="K31" t="str">
            <v>s/n</v>
          </cell>
          <cell r="L31">
            <v>0</v>
          </cell>
          <cell r="M31" t="str">
            <v>epj</v>
          </cell>
          <cell r="N31" t="str">
            <v>eda_isabel@hotmail.com</v>
          </cell>
          <cell r="O31">
            <v>984123229</v>
          </cell>
          <cell r="P31" t="str">
            <v>Prueba de Fuga de fuentes radiactivas</v>
          </cell>
          <cell r="Q31" t="str">
            <v>efectivo</v>
          </cell>
          <cell r="R31">
            <v>42663</v>
          </cell>
          <cell r="S31" t="str">
            <v>20 dias</v>
          </cell>
          <cell r="T31" t="str">
            <v>ALEPH SAC</v>
          </cell>
          <cell r="U31" t="str">
            <v>Bolsa plástica hermética</v>
          </cell>
          <cell r="V31">
            <v>33</v>
          </cell>
          <cell r="W31">
            <v>42653</v>
          </cell>
          <cell r="X31">
            <v>0.40972222222222227</v>
          </cell>
          <cell r="Y31" t="str">
            <v>Prueba de Hermeticidad</v>
          </cell>
          <cell r="Z31" t="str">
            <v>161010B</v>
          </cell>
          <cell r="AA31" t="str">
            <v>OVV</v>
          </cell>
          <cell r="AB31" t="str">
            <v>11/10/2016 al 13/oct/2016</v>
          </cell>
          <cell r="AC31">
            <v>42663</v>
          </cell>
          <cell r="AD31">
            <v>42661</v>
          </cell>
          <cell r="AE31">
            <v>0</v>
          </cell>
          <cell r="AF31">
            <v>42664</v>
          </cell>
          <cell r="AG31">
            <v>0</v>
          </cell>
          <cell r="AH31">
            <v>0</v>
          </cell>
        </row>
        <row r="32">
          <cell r="A32">
            <v>21</v>
          </cell>
          <cell r="B32" t="str">
            <v>CORPORACIÓN LINDLEY S.A.</v>
          </cell>
          <cell r="C32" t="str">
            <v>Jr. Cajamarca Nro. 371</v>
          </cell>
          <cell r="D32" t="str">
            <v>Lima</v>
          </cell>
          <cell r="E32" t="str">
            <v>Lima</v>
          </cell>
          <cell r="F32" t="str">
            <v>Rimac</v>
          </cell>
          <cell r="G32">
            <v>20101024645</v>
          </cell>
          <cell r="H32" t="str">
            <v>Sr. Arturo del Valle</v>
          </cell>
          <cell r="I32" t="str">
            <v>adelvalle@lindley.pe</v>
          </cell>
          <cell r="J32" t="str">
            <v>3194000 / 3194000</v>
          </cell>
          <cell r="K32" t="str">
            <v>111-2016090004</v>
          </cell>
          <cell r="L32">
            <v>42615</v>
          </cell>
          <cell r="M32" t="str">
            <v>Amelia Durand</v>
          </cell>
          <cell r="N32" t="str">
            <v>informes@aleph.com.pe</v>
          </cell>
          <cell r="O32" t="str">
            <v>984123230 / 628 7782</v>
          </cell>
          <cell r="P32" t="str">
            <v>Prueba de hermeticidad de fuentes radiactivas</v>
          </cell>
          <cell r="Q32" t="str">
            <v>Factura a 30 días</v>
          </cell>
          <cell r="R32" t="str">
            <v>---</v>
          </cell>
          <cell r="S32" t="str">
            <v>20 días</v>
          </cell>
          <cell r="T32" t="str">
            <v>ALEPH SAC</v>
          </cell>
          <cell r="U32" t="str">
            <v>Bolsa plástica hermética</v>
          </cell>
          <cell r="V32">
            <v>2</v>
          </cell>
          <cell r="W32">
            <v>42653</v>
          </cell>
          <cell r="X32">
            <v>0.51041666666666663</v>
          </cell>
          <cell r="Y32" t="str">
            <v>Prueba de Hermeticidad</v>
          </cell>
          <cell r="Z32" t="str">
            <v>161010C</v>
          </cell>
          <cell r="AA32" t="str">
            <v>OVV</v>
          </cell>
          <cell r="AB32">
            <v>42654</v>
          </cell>
          <cell r="AC32">
            <v>42657</v>
          </cell>
          <cell r="AD32">
            <v>42657</v>
          </cell>
          <cell r="AE32">
            <v>42657</v>
          </cell>
          <cell r="AF32">
            <v>42657</v>
          </cell>
          <cell r="AG32">
            <v>42657</v>
          </cell>
          <cell r="AH32" t="str">
            <v>221-2016 / 222-2016</v>
          </cell>
        </row>
        <row r="33">
          <cell r="A33">
            <v>22</v>
          </cell>
          <cell r="B33" t="str">
            <v>CORPORACIÓN LINDLEY S.A.</v>
          </cell>
          <cell r="C33" t="str">
            <v>Jr. Cajamarca Nro. 371</v>
          </cell>
          <cell r="D33" t="str">
            <v>Lima</v>
          </cell>
          <cell r="E33" t="str">
            <v>Lima</v>
          </cell>
          <cell r="F33" t="str">
            <v>Rimac</v>
          </cell>
          <cell r="G33">
            <v>20101024645</v>
          </cell>
          <cell r="H33" t="str">
            <v>Sr. Arturo del Valle</v>
          </cell>
          <cell r="I33" t="str">
            <v>adelvalle@lindley.pe</v>
          </cell>
          <cell r="J33" t="str">
            <v>3194000 / 3194000</v>
          </cell>
          <cell r="K33" t="str">
            <v>111-2016090004</v>
          </cell>
          <cell r="L33">
            <v>42674</v>
          </cell>
          <cell r="M33" t="str">
            <v>YAICEL MARTÍNEZ</v>
          </cell>
          <cell r="N33" t="str">
            <v>informes@aleph.com.pe</v>
          </cell>
          <cell r="O33" t="str">
            <v>984123230 / 628 7782</v>
          </cell>
          <cell r="P33" t="str">
            <v>Prueba de hermeticidad de fuentes radiactivas</v>
          </cell>
          <cell r="Q33" t="str">
            <v>Factura a 30 días</v>
          </cell>
          <cell r="R33" t="str">
            <v>---</v>
          </cell>
          <cell r="S33" t="str">
            <v>20 días</v>
          </cell>
          <cell r="T33" t="str">
            <v>ALEPH SAC</v>
          </cell>
          <cell r="U33" t="str">
            <v>Bolsa plástica hermética</v>
          </cell>
          <cell r="V33">
            <v>1</v>
          </cell>
          <cell r="W33">
            <v>42677</v>
          </cell>
          <cell r="X33">
            <v>0.64583333333333337</v>
          </cell>
          <cell r="Y33" t="str">
            <v>Prueba de Hermeticidad</v>
          </cell>
          <cell r="Z33" t="str">
            <v>161103A</v>
          </cell>
          <cell r="AA33" t="str">
            <v>OVV</v>
          </cell>
          <cell r="AB33">
            <v>42678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 t="str">
            <v>223-2016</v>
          </cell>
        </row>
        <row r="34">
          <cell r="A34">
            <v>23</v>
          </cell>
          <cell r="B34" t="str">
            <v>HOSPITAL NACIONAL EDGARDO REBAGLIATI MARTINS</v>
          </cell>
          <cell r="C34" t="str">
            <v>Domingo Cueto 120 Lima 11</v>
          </cell>
          <cell r="D34" t="str">
            <v>Lima</v>
          </cell>
          <cell r="E34" t="str">
            <v>Lima</v>
          </cell>
          <cell r="F34" t="str">
            <v>Lince</v>
          </cell>
          <cell r="G34">
            <v>20131257750</v>
          </cell>
          <cell r="H34" t="str">
            <v>Roberto Cabrera</v>
          </cell>
          <cell r="I34" t="str">
            <v>externo.rcabrera@essalud.gob.pe</v>
          </cell>
          <cell r="J34">
            <v>0</v>
          </cell>
          <cell r="K34" t="str">
            <v>111-2016090059</v>
          </cell>
          <cell r="L34">
            <v>42241</v>
          </cell>
          <cell r="M34" t="str">
            <v>EPJ</v>
          </cell>
          <cell r="N34" t="str">
            <v>eda_isabel@hotmail.com</v>
          </cell>
          <cell r="O34">
            <v>984123230</v>
          </cell>
          <cell r="P34" t="str">
            <v>Prueba de Fuga e internamiento de fuentes radiactivas</v>
          </cell>
          <cell r="Q34" t="str">
            <v>a 30 dias</v>
          </cell>
          <cell r="R34" t="str">
            <v>28 dias</v>
          </cell>
          <cell r="S34" t="str">
            <v>20 dias</v>
          </cell>
          <cell r="T34" t="str">
            <v>ALEPH SAC</v>
          </cell>
          <cell r="U34" t="str">
            <v>Bolsa plástica hermética</v>
          </cell>
          <cell r="V34">
            <v>34</v>
          </cell>
          <cell r="W34">
            <v>42716</v>
          </cell>
          <cell r="X34">
            <v>0.37847222222222227</v>
          </cell>
          <cell r="Y34" t="str">
            <v>Prueba de Hermeticidad</v>
          </cell>
          <cell r="Z34" t="str">
            <v>161212A</v>
          </cell>
          <cell r="AA34" t="str">
            <v>OVV</v>
          </cell>
          <cell r="AB34">
            <v>42716</v>
          </cell>
          <cell r="AC34">
            <v>42721</v>
          </cell>
          <cell r="AD34">
            <v>42269</v>
          </cell>
          <cell r="AE34">
            <v>42269</v>
          </cell>
          <cell r="AF34">
            <v>42275</v>
          </cell>
          <cell r="AG34">
            <v>42270</v>
          </cell>
          <cell r="AH34" t="str">
            <v>256-15-GG/ALEPH</v>
          </cell>
        </row>
        <row r="35">
          <cell r="A35">
            <v>24</v>
          </cell>
          <cell r="B35" t="str">
            <v>COMPAÑÍA DE MINAS BUENAVENTURA S.A.A.</v>
          </cell>
          <cell r="C35" t="str">
            <v>Calle Las Begonias Nro. 415, Int. P-19 (Recepción Piso 19)</v>
          </cell>
          <cell r="D35" t="str">
            <v>Lima</v>
          </cell>
          <cell r="E35" t="str">
            <v>Lima</v>
          </cell>
          <cell r="F35" t="str">
            <v>San Isidro</v>
          </cell>
          <cell r="G35">
            <v>20100079501</v>
          </cell>
          <cell r="H35" t="str">
            <v>Ana Carrasco</v>
          </cell>
          <cell r="I35" t="str">
            <v>ana.carrasco@buenaventura.pe</v>
          </cell>
          <cell r="J35" t="str">
            <v>4192400 (Anexo 2463)</v>
          </cell>
          <cell r="K35" t="str">
            <v>111-2016110069</v>
          </cell>
          <cell r="L35">
            <v>42702</v>
          </cell>
          <cell r="M35" t="str">
            <v>Yaicel Martínez</v>
          </cell>
          <cell r="N35" t="str">
            <v>informes@aleph.com.pe</v>
          </cell>
          <cell r="O35">
            <v>984123230</v>
          </cell>
          <cell r="P35" t="str">
            <v>Prueba de Fuga de fuentes radiactivas</v>
          </cell>
          <cell r="Q35" t="str">
            <v>efectivo</v>
          </cell>
          <cell r="R35" t="str">
            <v>---</v>
          </cell>
          <cell r="S35" t="str">
            <v>20 dias</v>
          </cell>
          <cell r="T35" t="str">
            <v>ALEPH SAC</v>
          </cell>
          <cell r="U35" t="str">
            <v>Bolsa plástica hermética</v>
          </cell>
          <cell r="V35">
            <v>5</v>
          </cell>
          <cell r="W35">
            <v>42717</v>
          </cell>
          <cell r="X35">
            <v>0.43055555555555558</v>
          </cell>
          <cell r="Y35" t="str">
            <v>Prueba de Hermeticidad</v>
          </cell>
          <cell r="Z35" t="str">
            <v>161213B</v>
          </cell>
          <cell r="AA35" t="str">
            <v>OVV</v>
          </cell>
          <cell r="AB35">
            <v>42717</v>
          </cell>
          <cell r="AC35">
            <v>42721</v>
          </cell>
          <cell r="AD35">
            <v>42719</v>
          </cell>
          <cell r="AE35">
            <v>42719</v>
          </cell>
          <cell r="AF35">
            <v>42723</v>
          </cell>
          <cell r="AG35">
            <v>0</v>
          </cell>
          <cell r="AH35" t="str">
            <v>276 - 280</v>
          </cell>
        </row>
        <row r="36">
          <cell r="A36">
            <v>24</v>
          </cell>
          <cell r="B36" t="str">
            <v>COMPAÑÍA DE MINAS BUENAVENTURA S.A.A.</v>
          </cell>
          <cell r="C36" t="str">
            <v>Calle Las Begonias Nro. 415, Int. P-19 (Recepción Piso 19)</v>
          </cell>
          <cell r="D36" t="str">
            <v>Lima</v>
          </cell>
          <cell r="E36" t="str">
            <v>Lima</v>
          </cell>
          <cell r="F36" t="str">
            <v>San Isidro</v>
          </cell>
          <cell r="G36">
            <v>20100079501</v>
          </cell>
          <cell r="H36" t="str">
            <v>Ana Carrasco</v>
          </cell>
          <cell r="I36" t="str">
            <v>ana.carrasco@buenaventura.pe</v>
          </cell>
          <cell r="J36" t="str">
            <v>4192400 (Anexo 2463)</v>
          </cell>
          <cell r="K36" t="str">
            <v>111-2016120029</v>
          </cell>
          <cell r="L36">
            <v>42716</v>
          </cell>
          <cell r="M36" t="str">
            <v>Yaicel Martínez</v>
          </cell>
          <cell r="N36" t="str">
            <v>informes@aleph.com.pe</v>
          </cell>
          <cell r="O36">
            <v>984123230</v>
          </cell>
          <cell r="P36" t="str">
            <v>Prueba de Fuga de fuentes radiactivas</v>
          </cell>
          <cell r="Q36" t="str">
            <v>efectivo</v>
          </cell>
          <cell r="R36" t="str">
            <v>---</v>
          </cell>
          <cell r="S36" t="str">
            <v>20 dias</v>
          </cell>
          <cell r="T36" t="str">
            <v>ALEPH SAC</v>
          </cell>
          <cell r="U36" t="str">
            <v>Bolsa plástica hermética</v>
          </cell>
          <cell r="V36">
            <v>10</v>
          </cell>
          <cell r="W36">
            <v>42717</v>
          </cell>
          <cell r="X36">
            <v>0.4375</v>
          </cell>
          <cell r="Y36" t="str">
            <v>Prueba de Hermeticidad</v>
          </cell>
          <cell r="Z36" t="str">
            <v>161213C</v>
          </cell>
          <cell r="AA36" t="str">
            <v>OVV</v>
          </cell>
          <cell r="AB36">
            <v>42718</v>
          </cell>
          <cell r="AC36">
            <v>42721</v>
          </cell>
          <cell r="AD36">
            <v>42719</v>
          </cell>
          <cell r="AE36">
            <v>42719</v>
          </cell>
          <cell r="AF36">
            <v>42723</v>
          </cell>
          <cell r="AG36">
            <v>0</v>
          </cell>
          <cell r="AH36" t="str">
            <v>281 - 290</v>
          </cell>
        </row>
        <row r="37">
          <cell r="A37">
            <v>25</v>
          </cell>
          <cell r="B37" t="str">
            <v>ALEPH SAC</v>
          </cell>
          <cell r="C37" t="str">
            <v xml:space="preserve">Av. Rafael Escardo 154 </v>
          </cell>
          <cell r="D37" t="str">
            <v>Lima</v>
          </cell>
          <cell r="E37" t="str">
            <v>Lima</v>
          </cell>
          <cell r="F37" t="str">
            <v>San Miguel</v>
          </cell>
          <cell r="G37">
            <v>20507237984</v>
          </cell>
          <cell r="H37" t="str">
            <v>Eda Paucar</v>
          </cell>
          <cell r="I37" t="str">
            <v>eda_isabel@aleph.com.pe</v>
          </cell>
          <cell r="J37" t="str">
            <v>01-5787202</v>
          </cell>
          <cell r="K37" t="str">
            <v>---</v>
          </cell>
          <cell r="L37" t="str">
            <v>---</v>
          </cell>
          <cell r="M37" t="str">
            <v>---</v>
          </cell>
          <cell r="N37" t="str">
            <v>---</v>
          </cell>
          <cell r="O37" t="str">
            <v>---</v>
          </cell>
          <cell r="P37" t="str">
            <v>Análisis de alfa / beta total en agua potable</v>
          </cell>
          <cell r="Q37" t="str">
            <v>---</v>
          </cell>
          <cell r="R37" t="str">
            <v>---</v>
          </cell>
          <cell r="S37" t="str">
            <v>---</v>
          </cell>
          <cell r="T37" t="str">
            <v>ALEPH SAC</v>
          </cell>
          <cell r="U37" t="str">
            <v>Bidón plástico</v>
          </cell>
          <cell r="V37">
            <v>1</v>
          </cell>
          <cell r="W37">
            <v>42724</v>
          </cell>
          <cell r="X37">
            <v>0.3888888888888889</v>
          </cell>
          <cell r="Y37" t="str">
            <v>Alfa y/o Beta Total</v>
          </cell>
          <cell r="Z37" t="str">
            <v>161220D</v>
          </cell>
          <cell r="AA37" t="str">
            <v>NRV</v>
          </cell>
          <cell r="AB37">
            <v>0</v>
          </cell>
          <cell r="AC37">
            <v>42733</v>
          </cell>
          <cell r="AD37">
            <v>0</v>
          </cell>
          <cell r="AE37">
            <v>0</v>
          </cell>
          <cell r="AF37">
            <v>42734</v>
          </cell>
          <cell r="AG37">
            <v>0</v>
          </cell>
          <cell r="AH37">
            <v>0</v>
          </cell>
        </row>
        <row r="38">
          <cell r="A38">
            <v>26</v>
          </cell>
          <cell r="B38" t="str">
            <v>ALEPH SAC</v>
          </cell>
          <cell r="C38" t="str">
            <v xml:space="preserve">Av. Rafael Escardo 154 </v>
          </cell>
          <cell r="D38" t="str">
            <v>Lima</v>
          </cell>
          <cell r="E38" t="str">
            <v>Lima</v>
          </cell>
          <cell r="F38" t="str">
            <v>San Miguel</v>
          </cell>
          <cell r="G38">
            <v>20507237984</v>
          </cell>
          <cell r="H38" t="str">
            <v>Eda Paucar</v>
          </cell>
          <cell r="I38" t="str">
            <v>eda_isabel@aleph.com.pe</v>
          </cell>
          <cell r="J38" t="str">
            <v>01-5787202</v>
          </cell>
          <cell r="K38" t="str">
            <v>---</v>
          </cell>
          <cell r="L38" t="str">
            <v>---</v>
          </cell>
          <cell r="M38" t="str">
            <v>---</v>
          </cell>
          <cell r="N38" t="str">
            <v>---</v>
          </cell>
          <cell r="O38" t="str">
            <v>---</v>
          </cell>
          <cell r="P38" t="str">
            <v>Análisis de alfa / beta total en agua potable</v>
          </cell>
          <cell r="Q38" t="str">
            <v>---</v>
          </cell>
          <cell r="R38" t="str">
            <v>---</v>
          </cell>
          <cell r="S38" t="str">
            <v>---</v>
          </cell>
          <cell r="T38" t="str">
            <v>ALEPH SAC</v>
          </cell>
          <cell r="U38" t="str">
            <v>Bidón plástico</v>
          </cell>
          <cell r="V38">
            <v>1</v>
          </cell>
          <cell r="W38">
            <v>42759</v>
          </cell>
          <cell r="X38">
            <v>0.40277777777777773</v>
          </cell>
          <cell r="Y38" t="str">
            <v>Alfa y/o Beta Total</v>
          </cell>
          <cell r="Z38" t="str">
            <v>170124A</v>
          </cell>
          <cell r="AA38" t="str">
            <v>NRV</v>
          </cell>
          <cell r="AB38">
            <v>0</v>
          </cell>
          <cell r="AC38">
            <v>42763</v>
          </cell>
          <cell r="AD38">
            <v>0</v>
          </cell>
          <cell r="AE38">
            <v>0</v>
          </cell>
          <cell r="AF38">
            <v>42765</v>
          </cell>
          <cell r="AG38">
            <v>0</v>
          </cell>
          <cell r="AH38" t="str">
            <v>001 / 002</v>
          </cell>
        </row>
        <row r="39">
          <cell r="A39">
            <v>27</v>
          </cell>
          <cell r="B39" t="str">
            <v>COMPAÑÍA DE MINAS BUENAVENTURA S.A.A.</v>
          </cell>
          <cell r="C39" t="str">
            <v>Calle Las Begonias Nro. 415, Int. P-19 (Recepción Piso 19)</v>
          </cell>
          <cell r="D39" t="str">
            <v>Lima</v>
          </cell>
          <cell r="E39" t="str">
            <v>Lima</v>
          </cell>
          <cell r="F39" t="str">
            <v>San Isidro</v>
          </cell>
          <cell r="G39">
            <v>20100079501</v>
          </cell>
          <cell r="H39" t="str">
            <v>Ana Carrasco</v>
          </cell>
          <cell r="I39" t="str">
            <v>ana.carrasco@buenaventura.pe</v>
          </cell>
          <cell r="J39" t="str">
            <v>4192400 (Anexo 2463)</v>
          </cell>
          <cell r="K39" t="str">
            <v>111-2017010059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Prueba de Fuga de fuentes radiactivas</v>
          </cell>
          <cell r="Q39">
            <v>0</v>
          </cell>
          <cell r="R39">
            <v>0</v>
          </cell>
          <cell r="S39">
            <v>0</v>
          </cell>
          <cell r="T39" t="str">
            <v>ALEPH SAC</v>
          </cell>
          <cell r="U39" t="str">
            <v>Bolsa plástica hermética</v>
          </cell>
          <cell r="V39">
            <v>1</v>
          </cell>
          <cell r="W39">
            <v>42760</v>
          </cell>
          <cell r="X39">
            <v>0.64583333333333337</v>
          </cell>
          <cell r="Y39" t="str">
            <v>Prueba de Hermeticidad</v>
          </cell>
          <cell r="Z39" t="str">
            <v>170125B</v>
          </cell>
          <cell r="AA39" t="str">
            <v>OVV</v>
          </cell>
          <cell r="AB39">
            <v>42760</v>
          </cell>
          <cell r="AC39">
            <v>42761</v>
          </cell>
          <cell r="AD39">
            <v>0</v>
          </cell>
          <cell r="AE39">
            <v>0</v>
          </cell>
          <cell r="AF39">
            <v>42761</v>
          </cell>
          <cell r="AG39">
            <v>0</v>
          </cell>
          <cell r="AH39" t="str">
            <v>003</v>
          </cell>
        </row>
        <row r="40">
          <cell r="A40">
            <v>28</v>
          </cell>
          <cell r="B40" t="str">
            <v>ALEPH SAC</v>
          </cell>
          <cell r="C40" t="str">
            <v xml:space="preserve">Av. Rafael Escardo 154 </v>
          </cell>
          <cell r="D40" t="str">
            <v>Lima</v>
          </cell>
          <cell r="E40" t="str">
            <v>Lima</v>
          </cell>
          <cell r="F40" t="str">
            <v>San Miguel</v>
          </cell>
          <cell r="G40">
            <v>20507237984</v>
          </cell>
          <cell r="H40" t="str">
            <v>Eda Paucar</v>
          </cell>
          <cell r="I40" t="str">
            <v>eda_isabel@aleph.com.pe</v>
          </cell>
          <cell r="J40" t="str">
            <v>01-5787202</v>
          </cell>
          <cell r="K40" t="str">
            <v>---</v>
          </cell>
          <cell r="L40" t="str">
            <v>---</v>
          </cell>
          <cell r="M40" t="str">
            <v>---</v>
          </cell>
          <cell r="N40" t="str">
            <v>---</v>
          </cell>
          <cell r="O40" t="str">
            <v>---</v>
          </cell>
          <cell r="P40" t="str">
            <v>Análisis de alfa / beta total en agua potable</v>
          </cell>
          <cell r="Q40" t="str">
            <v>---</v>
          </cell>
          <cell r="R40" t="str">
            <v>---</v>
          </cell>
          <cell r="S40" t="str">
            <v>---</v>
          </cell>
          <cell r="T40" t="str">
            <v>ALEPH SAC</v>
          </cell>
          <cell r="U40" t="str">
            <v>Bidón plástico</v>
          </cell>
          <cell r="V40">
            <v>1</v>
          </cell>
          <cell r="W40">
            <v>42769</v>
          </cell>
          <cell r="X40">
            <v>0.42708333333333331</v>
          </cell>
          <cell r="Y40" t="str">
            <v>Alfa y/o Beta Total</v>
          </cell>
          <cell r="Z40" t="str">
            <v>170203A</v>
          </cell>
          <cell r="AA40" t="str">
            <v>NRV</v>
          </cell>
          <cell r="AB40">
            <v>0</v>
          </cell>
          <cell r="AC40">
            <v>42776</v>
          </cell>
          <cell r="AD40">
            <v>42776</v>
          </cell>
          <cell r="AE40">
            <v>0</v>
          </cell>
          <cell r="AF40">
            <v>42777</v>
          </cell>
          <cell r="AG40">
            <v>0</v>
          </cell>
          <cell r="AH40" t="str">
            <v>004 / 005</v>
          </cell>
        </row>
        <row r="41">
          <cell r="A41">
            <v>29</v>
          </cell>
          <cell r="B41" t="str">
            <v>COMPAÑÍA DE MINAS BUENAVENTURA S.A.A.</v>
          </cell>
          <cell r="C41" t="str">
            <v>Calle Las Begonias Nro. 415, Int. P-19 (Recepción Piso 19)</v>
          </cell>
          <cell r="D41" t="str">
            <v>Lima</v>
          </cell>
          <cell r="E41" t="str">
            <v>Lima</v>
          </cell>
          <cell r="F41" t="str">
            <v>San Isidro</v>
          </cell>
          <cell r="G41">
            <v>20100079501</v>
          </cell>
          <cell r="H41" t="str">
            <v>Ana Carrasco</v>
          </cell>
          <cell r="I41" t="str">
            <v>ana.carrasco@buenaventura.pe</v>
          </cell>
          <cell r="J41" t="str">
            <v>4192400 (Anexo 2463)</v>
          </cell>
          <cell r="K41" t="str">
            <v>111-201702007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Prueba de Fuga de fuentes radiactivas</v>
          </cell>
          <cell r="Q41">
            <v>0</v>
          </cell>
          <cell r="R41">
            <v>0</v>
          </cell>
          <cell r="S41">
            <v>0</v>
          </cell>
          <cell r="T41" t="str">
            <v>ALEPH SAC</v>
          </cell>
          <cell r="U41" t="str">
            <v>Bolsa plástica hermética</v>
          </cell>
          <cell r="V41">
            <v>10</v>
          </cell>
          <cell r="W41">
            <v>42777</v>
          </cell>
          <cell r="X41">
            <v>0.3611111111111111</v>
          </cell>
          <cell r="Y41" t="str">
            <v>Prueba de Hermeticidad</v>
          </cell>
          <cell r="Z41" t="str">
            <v>170211B</v>
          </cell>
          <cell r="AA41" t="str">
            <v>OVV</v>
          </cell>
          <cell r="AB41">
            <v>42777</v>
          </cell>
          <cell r="AC41">
            <v>42779</v>
          </cell>
          <cell r="AD41">
            <v>42779</v>
          </cell>
          <cell r="AE41">
            <v>42779</v>
          </cell>
          <cell r="AF41">
            <v>0</v>
          </cell>
          <cell r="AG41">
            <v>0</v>
          </cell>
          <cell r="AH41" t="str">
            <v>006</v>
          </cell>
        </row>
        <row r="42">
          <cell r="A42">
            <v>30</v>
          </cell>
          <cell r="B42" t="str">
            <v>Minera Las Bambas S.A.</v>
          </cell>
          <cell r="C42" t="str">
            <v>Av. El Derby 055, Torre 3 piso 9</v>
          </cell>
          <cell r="D42" t="str">
            <v>Lima</v>
          </cell>
          <cell r="E42" t="str">
            <v>Lima</v>
          </cell>
          <cell r="F42" t="str">
            <v>Santiago de Surco</v>
          </cell>
          <cell r="G42">
            <v>20538428524</v>
          </cell>
          <cell r="H42" t="str">
            <v>Marco Perez</v>
          </cell>
          <cell r="I42" t="str">
            <v>marco.perez@mmg.com</v>
          </cell>
          <cell r="J42" t="str">
            <v>963749201</v>
          </cell>
          <cell r="K42" t="str">
            <v>CB-190-15</v>
          </cell>
          <cell r="L42">
            <v>0</v>
          </cell>
          <cell r="M42" t="str">
            <v>EPJ</v>
          </cell>
          <cell r="N42" t="str">
            <v>eda_isabel@hotmail.com</v>
          </cell>
          <cell r="O42">
            <v>984123229</v>
          </cell>
          <cell r="P42" t="str">
            <v>Prueba de Fuga de fuentes radiactivas</v>
          </cell>
          <cell r="Q42" t="str">
            <v>efectivo</v>
          </cell>
          <cell r="R42" t="str">
            <v>---</v>
          </cell>
          <cell r="S42" t="str">
            <v>20 dias</v>
          </cell>
          <cell r="T42" t="str">
            <v>ALEPH SAC</v>
          </cell>
          <cell r="U42" t="str">
            <v>Bolsa plástica hermética</v>
          </cell>
          <cell r="V42">
            <v>33</v>
          </cell>
          <cell r="W42">
            <v>42807</v>
          </cell>
          <cell r="X42">
            <v>0.59375</v>
          </cell>
          <cell r="Y42" t="str">
            <v>Prueba de Hermeticidad</v>
          </cell>
          <cell r="Z42" t="str">
            <v>170313D</v>
          </cell>
          <cell r="AA42" t="str">
            <v>OVV</v>
          </cell>
          <cell r="AB42">
            <v>42808</v>
          </cell>
          <cell r="AC42">
            <v>42810</v>
          </cell>
          <cell r="AD42">
            <v>42809</v>
          </cell>
          <cell r="AE42">
            <v>42810</v>
          </cell>
          <cell r="AF42">
            <v>42818</v>
          </cell>
          <cell r="AG42">
            <v>0</v>
          </cell>
          <cell r="AH42" t="str">
            <v>025-057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B2" t="str">
            <v>0370-DX-06266</v>
          </cell>
          <cell r="C2" t="str">
            <v>MINERA LAS BAMBAS S.A.</v>
          </cell>
          <cell r="D2" t="str">
            <v>DESCARGAS UNDERFLOW ESPESADOR PPD-0230 SUCCIÓN</v>
          </cell>
          <cell r="E2" t="str">
            <v>Endress + Hauser</v>
          </cell>
          <cell r="F2" t="str">
            <v>FSG60-AFA1</v>
          </cell>
          <cell r="G2" t="str">
            <v>AD-6315 / K6000A01141</v>
          </cell>
          <cell r="H2" t="str">
            <v>Cs-137</v>
          </cell>
          <cell r="I2" t="str">
            <v>110 MBq</v>
          </cell>
          <cell r="J2" t="str">
            <v>06/15</v>
          </cell>
          <cell r="K2">
            <v>42796</v>
          </cell>
          <cell r="L2">
            <v>0.45694444444444443</v>
          </cell>
          <cell r="M2" t="str">
            <v>170313D001</v>
          </cell>
          <cell r="N2">
            <v>42808</v>
          </cell>
          <cell r="O2">
            <v>2.1</v>
          </cell>
          <cell r="P2" t="str">
            <v>025</v>
          </cell>
          <cell r="Q2" t="str">
            <v>&lt; LD</v>
          </cell>
          <cell r="R2">
            <v>214</v>
          </cell>
          <cell r="S2" t="str">
            <v>001</v>
          </cell>
          <cell r="T2" t="str">
            <v>Challhuahuacho - Cotabambas - Apurímac</v>
          </cell>
          <cell r="U2" t="str">
            <v>0370</v>
          </cell>
          <cell r="V2" t="str">
            <v>PLANTA MOLIBDENO</v>
          </cell>
          <cell r="W2" t="str">
            <v>Endress + Hausser</v>
          </cell>
          <cell r="X2" t="str">
            <v>FQG61-4NH6/0</v>
          </cell>
          <cell r="Y2" t="str">
            <v>J300070113F</v>
          </cell>
          <cell r="Z2" t="str">
            <v>THERMO SCIENTIFIC</v>
          </cell>
          <cell r="AA2" t="str">
            <v>RADEYE SPRD</v>
          </cell>
          <cell r="AB2">
            <v>10356</v>
          </cell>
          <cell r="AC2">
            <v>0.95</v>
          </cell>
          <cell r="AD2">
            <v>42710</v>
          </cell>
          <cell r="AE2">
            <v>0.98</v>
          </cell>
          <cell r="AF2">
            <v>0.15</v>
          </cell>
          <cell r="AG2">
            <v>0.09</v>
          </cell>
          <cell r="AH2">
            <v>9.0999999999999998E-2</v>
          </cell>
          <cell r="AI2">
            <v>0.16</v>
          </cell>
          <cell r="AJ2">
            <v>0.09</v>
          </cell>
          <cell r="AK2">
            <v>0.36</v>
          </cell>
          <cell r="AL2">
            <v>0.15</v>
          </cell>
          <cell r="AM2">
            <v>0.09</v>
          </cell>
          <cell r="AN2">
            <v>0.32</v>
          </cell>
          <cell r="AO2">
            <v>0.12</v>
          </cell>
          <cell r="AP2">
            <v>0.09</v>
          </cell>
          <cell r="BI2">
            <v>42796</v>
          </cell>
          <cell r="BJ2">
            <v>0.45069444444444445</v>
          </cell>
          <cell r="BK2">
            <v>0.47083333333333338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</row>
        <row r="3">
          <cell r="B3" t="str">
            <v>0370-DX-06269</v>
          </cell>
          <cell r="C3" t="str">
            <v>MINERA LAS BAMBAS S.A.</v>
          </cell>
          <cell r="D3" t="str">
            <v>DESCARGAS UNDERFLOW ESPESADOR PPD-0229 SUCCIÓN</v>
          </cell>
          <cell r="E3" t="str">
            <v>Endress + Hauser</v>
          </cell>
          <cell r="F3" t="str">
            <v>FSG60-AFA1</v>
          </cell>
          <cell r="G3" t="str">
            <v>AD-6316 / K6000B01141</v>
          </cell>
          <cell r="H3" t="str">
            <v>Cs-137</v>
          </cell>
          <cell r="I3" t="str">
            <v>110 MBq</v>
          </cell>
          <cell r="J3" t="str">
            <v>06/15</v>
          </cell>
          <cell r="K3">
            <v>42796</v>
          </cell>
          <cell r="L3">
            <v>0.4770833333333333</v>
          </cell>
          <cell r="M3" t="str">
            <v>170313D002</v>
          </cell>
          <cell r="N3">
            <v>42808</v>
          </cell>
          <cell r="O3">
            <v>2.1</v>
          </cell>
          <cell r="P3" t="str">
            <v>026</v>
          </cell>
          <cell r="Q3" t="str">
            <v>&lt; LD</v>
          </cell>
          <cell r="R3">
            <v>215</v>
          </cell>
          <cell r="S3" t="str">
            <v>002</v>
          </cell>
          <cell r="T3" t="str">
            <v>Challhuahuacho - Cotabambas - Apurímac</v>
          </cell>
          <cell r="U3" t="str">
            <v>0370</v>
          </cell>
          <cell r="V3" t="str">
            <v>PLANTA MOLIBDENO</v>
          </cell>
          <cell r="W3" t="str">
            <v>Endress + Hausser</v>
          </cell>
          <cell r="X3" t="str">
            <v>FQG61-4NH6/0</v>
          </cell>
          <cell r="Y3" t="str">
            <v>J300080113F</v>
          </cell>
          <cell r="Z3" t="str">
            <v>THERMO SCIENTIFIC</v>
          </cell>
          <cell r="AA3" t="str">
            <v>RADEYE SPRD</v>
          </cell>
          <cell r="AB3">
            <v>10356</v>
          </cell>
          <cell r="AC3">
            <v>0.95</v>
          </cell>
          <cell r="AD3">
            <v>42710</v>
          </cell>
          <cell r="AE3">
            <v>0.99</v>
          </cell>
          <cell r="AF3">
            <v>0.15</v>
          </cell>
          <cell r="AG3">
            <v>0.09</v>
          </cell>
          <cell r="AH3">
            <v>0.97</v>
          </cell>
          <cell r="AI3">
            <v>0.12</v>
          </cell>
          <cell r="AJ3">
            <v>0.09</v>
          </cell>
          <cell r="AK3">
            <v>0.44</v>
          </cell>
          <cell r="AL3">
            <v>0.16</v>
          </cell>
          <cell r="AM3">
            <v>0.1</v>
          </cell>
          <cell r="AN3">
            <v>0.3</v>
          </cell>
          <cell r="AO3">
            <v>0.11</v>
          </cell>
          <cell r="AP3">
            <v>0.09</v>
          </cell>
          <cell r="BI3">
            <v>42796</v>
          </cell>
          <cell r="BJ3">
            <v>0.47152777777777777</v>
          </cell>
          <cell r="BK3">
            <v>0.48749999999999999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</row>
        <row r="4">
          <cell r="B4" t="str">
            <v>0510-DX-09352</v>
          </cell>
          <cell r="C4" t="str">
            <v>MINERA LAS BAMBAS S.A.</v>
          </cell>
          <cell r="D4" t="str">
            <v>UNDERFLOW ESPESADOR 1 DE RELAVES</v>
          </cell>
          <cell r="E4" t="str">
            <v>Endress + Hauser</v>
          </cell>
          <cell r="F4" t="str">
            <v>FSG60-ARA1</v>
          </cell>
          <cell r="G4" t="str">
            <v>AD-6320 / K6001001141</v>
          </cell>
          <cell r="H4" t="str">
            <v>Cs-137</v>
          </cell>
          <cell r="I4" t="str">
            <v>11 GBq</v>
          </cell>
          <cell r="J4" t="str">
            <v>06/15</v>
          </cell>
          <cell r="K4">
            <v>42794</v>
          </cell>
          <cell r="L4">
            <v>0.52777777777777779</v>
          </cell>
          <cell r="M4" t="str">
            <v>170313D003</v>
          </cell>
          <cell r="N4">
            <v>42808</v>
          </cell>
          <cell r="O4">
            <v>2.1</v>
          </cell>
          <cell r="P4" t="str">
            <v>027</v>
          </cell>
          <cell r="Q4" t="str">
            <v>&lt; LD</v>
          </cell>
          <cell r="R4">
            <v>216</v>
          </cell>
          <cell r="S4" t="str">
            <v>003</v>
          </cell>
          <cell r="T4" t="str">
            <v>Challhuahuacho - Cotabambas - Apurímac</v>
          </cell>
          <cell r="U4" t="str">
            <v>0510</v>
          </cell>
          <cell r="V4" t="str">
            <v>ESPESADOR DE RELAVES</v>
          </cell>
          <cell r="W4" t="str">
            <v>Endress + Hausser</v>
          </cell>
          <cell r="X4" t="str">
            <v>FQG62-2WD0/0</v>
          </cell>
          <cell r="Y4" t="str">
            <v>J3000801140</v>
          </cell>
          <cell r="Z4" t="str">
            <v>THERMO SCIENTIFIC</v>
          </cell>
          <cell r="AA4" t="str">
            <v>RADEYE SPRD</v>
          </cell>
          <cell r="AB4">
            <v>10356</v>
          </cell>
          <cell r="AC4">
            <v>0.95</v>
          </cell>
          <cell r="AD4">
            <v>42710</v>
          </cell>
          <cell r="AE4">
            <v>7.86</v>
          </cell>
          <cell r="AF4">
            <v>0.66</v>
          </cell>
          <cell r="AG4">
            <v>0.18</v>
          </cell>
          <cell r="AH4">
            <v>6.89</v>
          </cell>
          <cell r="AI4">
            <v>0.68</v>
          </cell>
          <cell r="AJ4">
            <v>0.1</v>
          </cell>
          <cell r="AK4">
            <v>2.4300000000000002</v>
          </cell>
          <cell r="AL4">
            <v>1.1599999999999999</v>
          </cell>
          <cell r="AM4">
            <v>0.17</v>
          </cell>
          <cell r="AN4">
            <v>0.85</v>
          </cell>
          <cell r="AO4">
            <v>0.15</v>
          </cell>
          <cell r="AP4">
            <v>0.09</v>
          </cell>
          <cell r="BI4">
            <v>42794</v>
          </cell>
          <cell r="BJ4">
            <v>0.52361111111111114</v>
          </cell>
          <cell r="BK4">
            <v>0.53819444444444442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</row>
        <row r="5">
          <cell r="B5" t="str">
            <v>0510-DX-09342</v>
          </cell>
          <cell r="C5" t="str">
            <v>MINERA LAS BAMBAS S.A.</v>
          </cell>
          <cell r="D5" t="str">
            <v>UNDERFLOW ESPESADOR 1 DE RELAVES</v>
          </cell>
          <cell r="E5" t="str">
            <v>Endress + Hauser</v>
          </cell>
          <cell r="F5" t="str">
            <v>FSG60-ARA1</v>
          </cell>
          <cell r="G5" t="str">
            <v>AD-6319 / K6000F01141</v>
          </cell>
          <cell r="H5" t="str">
            <v>Cs-137</v>
          </cell>
          <cell r="I5" t="str">
            <v>11 GBq</v>
          </cell>
          <cell r="J5" t="str">
            <v>06/15</v>
          </cell>
          <cell r="K5">
            <v>42794</v>
          </cell>
          <cell r="L5">
            <v>0.51527777777777783</v>
          </cell>
          <cell r="M5" t="str">
            <v>170313D004</v>
          </cell>
          <cell r="N5">
            <v>42808</v>
          </cell>
          <cell r="O5">
            <v>2.1</v>
          </cell>
          <cell r="P5" t="str">
            <v>028</v>
          </cell>
          <cell r="Q5" t="str">
            <v>&lt; LD</v>
          </cell>
          <cell r="R5">
            <v>217</v>
          </cell>
          <cell r="S5" t="str">
            <v>004</v>
          </cell>
          <cell r="T5" t="str">
            <v>Challhuahuacho - Cotabambas - Apurímac</v>
          </cell>
          <cell r="U5" t="str">
            <v>0510</v>
          </cell>
          <cell r="V5" t="str">
            <v>ESPESADOR DE RELAVES</v>
          </cell>
          <cell r="W5" t="str">
            <v>Endress + Hausser</v>
          </cell>
          <cell r="X5" t="str">
            <v>FQG62-2WD0/0</v>
          </cell>
          <cell r="Y5" t="str">
            <v>J3000701140</v>
          </cell>
          <cell r="Z5" t="str">
            <v>THERMO SCIENTIFIC</v>
          </cell>
          <cell r="AA5" t="str">
            <v>RADEYE SPRD</v>
          </cell>
          <cell r="AB5">
            <v>10356</v>
          </cell>
          <cell r="AC5">
            <v>0.95</v>
          </cell>
          <cell r="AD5">
            <v>42710</v>
          </cell>
          <cell r="AE5">
            <v>6.93</v>
          </cell>
          <cell r="AF5">
            <v>0.67</v>
          </cell>
          <cell r="AG5">
            <v>0.16</v>
          </cell>
          <cell r="AH5">
            <v>6.06</v>
          </cell>
          <cell r="AI5">
            <v>0.62</v>
          </cell>
          <cell r="AJ5">
            <v>0.11</v>
          </cell>
          <cell r="AK5">
            <v>3.27</v>
          </cell>
          <cell r="AL5">
            <v>1.84</v>
          </cell>
          <cell r="AM5">
            <v>0.24</v>
          </cell>
          <cell r="AN5">
            <v>0.81</v>
          </cell>
          <cell r="AO5">
            <v>0.11</v>
          </cell>
          <cell r="AP5">
            <v>0.09</v>
          </cell>
          <cell r="BI5">
            <v>42794</v>
          </cell>
          <cell r="BJ5">
            <v>0.50902777777777775</v>
          </cell>
          <cell r="BK5">
            <v>0.52222222222222225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</row>
        <row r="6">
          <cell r="B6" t="str">
            <v>0510-DX-09452</v>
          </cell>
          <cell r="C6" t="str">
            <v>MINERA LAS BAMBAS S.A.</v>
          </cell>
          <cell r="D6" t="str">
            <v>UNDERFLOW ESPESADOR 2 DE RELAVES</v>
          </cell>
          <cell r="E6" t="str">
            <v>Endress + Hauser</v>
          </cell>
          <cell r="F6" t="str">
            <v>FSG60-ARA1</v>
          </cell>
          <cell r="G6" t="str">
            <v>AD-6322 / K6001201141</v>
          </cell>
          <cell r="H6" t="str">
            <v>Cs-137</v>
          </cell>
          <cell r="I6" t="str">
            <v>11 GBq</v>
          </cell>
          <cell r="J6" t="str">
            <v>06/15</v>
          </cell>
          <cell r="K6">
            <v>42794</v>
          </cell>
          <cell r="L6">
            <v>0.49722222222222223</v>
          </cell>
          <cell r="M6" t="str">
            <v>170313D005</v>
          </cell>
          <cell r="N6">
            <v>42808</v>
          </cell>
          <cell r="O6">
            <v>2.1</v>
          </cell>
          <cell r="P6" t="str">
            <v>029</v>
          </cell>
          <cell r="Q6" t="str">
            <v>&lt; LD</v>
          </cell>
          <cell r="R6">
            <v>218</v>
          </cell>
          <cell r="S6" t="str">
            <v>005</v>
          </cell>
          <cell r="T6" t="str">
            <v>Challhuahuacho - Cotabambas - Apurímac</v>
          </cell>
          <cell r="U6" t="str">
            <v>0510</v>
          </cell>
          <cell r="V6" t="str">
            <v>ESPESADOR DE RELAVES</v>
          </cell>
          <cell r="W6" t="str">
            <v>Endress + Hausser</v>
          </cell>
          <cell r="X6" t="str">
            <v>FQG62-2WD0/0</v>
          </cell>
          <cell r="Y6" t="str">
            <v>J3000A01140</v>
          </cell>
          <cell r="Z6" t="str">
            <v>THERMO SCIENTIFIC</v>
          </cell>
          <cell r="AA6" t="str">
            <v>RADEYE SPRD</v>
          </cell>
          <cell r="AB6">
            <v>10356</v>
          </cell>
          <cell r="AC6">
            <v>0.95</v>
          </cell>
          <cell r="AD6">
            <v>42710</v>
          </cell>
          <cell r="AE6">
            <v>7.6</v>
          </cell>
          <cell r="AF6">
            <v>0.67</v>
          </cell>
          <cell r="AG6">
            <v>0.17</v>
          </cell>
          <cell r="AH6">
            <v>1.43</v>
          </cell>
          <cell r="AI6">
            <v>0.23</v>
          </cell>
          <cell r="AJ6">
            <v>0.1</v>
          </cell>
          <cell r="AK6">
            <v>6.12</v>
          </cell>
          <cell r="AL6">
            <v>0.94</v>
          </cell>
          <cell r="AM6">
            <v>0.21</v>
          </cell>
          <cell r="AN6">
            <v>5.98</v>
          </cell>
          <cell r="AO6">
            <v>0.76</v>
          </cell>
          <cell r="AP6">
            <v>0.1</v>
          </cell>
          <cell r="BI6">
            <v>42794</v>
          </cell>
          <cell r="BJ6">
            <v>0.49236111111111108</v>
          </cell>
          <cell r="BK6">
            <v>0.50694444444444442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</row>
        <row r="7">
          <cell r="B7" t="str">
            <v>0510-DX-09442</v>
          </cell>
          <cell r="C7" t="str">
            <v>MINERA LAS BAMBAS S.A.</v>
          </cell>
          <cell r="D7" t="str">
            <v>UNDERFLOW ESPESADOR 2 DE RELAVES</v>
          </cell>
          <cell r="E7" t="str">
            <v>Endress + Hauser</v>
          </cell>
          <cell r="F7" t="str">
            <v>FSG60-ARA1</v>
          </cell>
          <cell r="G7" t="str">
            <v>AD-6321 / K6001101141</v>
          </cell>
          <cell r="H7" t="str">
            <v>Cs-137</v>
          </cell>
          <cell r="I7" t="str">
            <v>11 GBq</v>
          </cell>
          <cell r="J7" t="str">
            <v>06/15</v>
          </cell>
          <cell r="K7">
            <v>42794</v>
          </cell>
          <cell r="L7">
            <v>0.48194444444444445</v>
          </cell>
          <cell r="M7" t="str">
            <v>170313D006</v>
          </cell>
          <cell r="N7">
            <v>42808</v>
          </cell>
          <cell r="O7">
            <v>2.1</v>
          </cell>
          <cell r="P7" t="str">
            <v>030</v>
          </cell>
          <cell r="Q7" t="str">
            <v>&lt; LD</v>
          </cell>
          <cell r="R7">
            <v>219</v>
          </cell>
          <cell r="S7" t="str">
            <v>006</v>
          </cell>
          <cell r="T7" t="str">
            <v>Challhuahuacho - Cotabambas - Apurímac</v>
          </cell>
          <cell r="U7" t="str">
            <v>0510</v>
          </cell>
          <cell r="V7" t="str">
            <v>ESPESADOR DE RELAVES</v>
          </cell>
          <cell r="W7" t="str">
            <v>Endress + Hausser</v>
          </cell>
          <cell r="X7" t="str">
            <v>FQG62-2WD0/0</v>
          </cell>
          <cell r="Y7" t="str">
            <v>J3000901140</v>
          </cell>
          <cell r="Z7" t="str">
            <v>THERMO SCIENTIFIC</v>
          </cell>
          <cell r="AA7" t="str">
            <v>RADEYE SPRD</v>
          </cell>
          <cell r="AB7">
            <v>10356</v>
          </cell>
          <cell r="AC7">
            <v>0.95</v>
          </cell>
          <cell r="AD7">
            <v>42710</v>
          </cell>
          <cell r="AE7">
            <v>6.5</v>
          </cell>
          <cell r="AF7">
            <v>0.32</v>
          </cell>
          <cell r="AG7">
            <v>0.23</v>
          </cell>
          <cell r="AH7">
            <v>5.45</v>
          </cell>
          <cell r="AI7">
            <v>1.26</v>
          </cell>
          <cell r="AJ7">
            <v>0.25</v>
          </cell>
          <cell r="AK7">
            <v>2.2599999999999998</v>
          </cell>
          <cell r="AL7">
            <v>1.1399999999999999</v>
          </cell>
          <cell r="AM7">
            <v>0.17</v>
          </cell>
          <cell r="AN7">
            <v>0.6</v>
          </cell>
          <cell r="AO7">
            <v>0.19</v>
          </cell>
          <cell r="AP7">
            <v>0.11</v>
          </cell>
          <cell r="BI7">
            <v>42794</v>
          </cell>
          <cell r="BJ7">
            <v>0.47569444444444442</v>
          </cell>
          <cell r="BK7">
            <v>0.4916666666666667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</row>
        <row r="8">
          <cell r="B8" t="str">
            <v>0330-SAL-0027</v>
          </cell>
          <cell r="C8" t="str">
            <v>MINERA LAS BAMBAS S.A.</v>
          </cell>
          <cell r="D8" t="str">
            <v>ANALIZADOR Y ESTACIÓN DE MUESTREO AnStat-220 (OVERFLOW BATERÍA CICLONES 1 Y 2 - MOLINO Nº 1)</v>
          </cell>
          <cell r="E8" t="str">
            <v>Thermo Fisher Scientific</v>
          </cell>
          <cell r="F8" t="str">
            <v>XPU8.07</v>
          </cell>
          <cell r="G8" t="str">
            <v>Pu238.5.13</v>
          </cell>
          <cell r="H8" t="str">
            <v>Pu-238</v>
          </cell>
          <cell r="I8" t="str">
            <v>3.52 GBq (95 mCi)</v>
          </cell>
          <cell r="J8" t="str">
            <v>09/04/13</v>
          </cell>
          <cell r="K8">
            <v>42795</v>
          </cell>
          <cell r="L8">
            <v>0.69444444444444453</v>
          </cell>
          <cell r="M8" t="str">
            <v>170313D007</v>
          </cell>
          <cell r="N8">
            <v>42808</v>
          </cell>
          <cell r="O8">
            <v>3</v>
          </cell>
          <cell r="P8" t="str">
            <v>031</v>
          </cell>
          <cell r="Q8" t="str">
            <v>&lt; LD</v>
          </cell>
          <cell r="R8">
            <v>220</v>
          </cell>
          <cell r="S8" t="str">
            <v>-</v>
          </cell>
          <cell r="T8" t="str">
            <v>Challhuahuacho - Cotabambas - Apurímac</v>
          </cell>
          <cell r="U8" t="str">
            <v>0330</v>
          </cell>
          <cell r="V8" t="str">
            <v>FLOTACIÓN</v>
          </cell>
          <cell r="W8" t="str">
            <v>Thermo Fisher Scientific</v>
          </cell>
          <cell r="X8" t="str">
            <v>AM282</v>
          </cell>
          <cell r="Y8">
            <v>2519</v>
          </cell>
          <cell r="Z8" t="str">
            <v>THERMO SCIENTIFIC</v>
          </cell>
          <cell r="AA8" t="str">
            <v>RADEYE SPRD</v>
          </cell>
          <cell r="AB8">
            <v>10356</v>
          </cell>
          <cell r="AC8">
            <v>0.95</v>
          </cell>
          <cell r="AD8">
            <v>42710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BI8">
            <v>42795</v>
          </cell>
          <cell r="BJ8">
            <v>0.69166666666666676</v>
          </cell>
          <cell r="BK8">
            <v>0.6972222222222223</v>
          </cell>
          <cell r="BL8">
            <v>9.18</v>
          </cell>
          <cell r="BM8">
            <v>0.4</v>
          </cell>
          <cell r="BN8">
            <v>0.03</v>
          </cell>
          <cell r="BO8">
            <v>0.03</v>
          </cell>
          <cell r="BP8">
            <v>0.03</v>
          </cell>
          <cell r="BQ8">
            <v>0.03</v>
          </cell>
          <cell r="BR8">
            <v>0.03</v>
          </cell>
          <cell r="BS8">
            <v>0.03</v>
          </cell>
          <cell r="BT8">
            <v>0.03</v>
          </cell>
        </row>
        <row r="9">
          <cell r="B9" t="str">
            <v>0330-SAL-0028</v>
          </cell>
          <cell r="C9" t="str">
            <v>MINERA LAS BAMBAS S.A.</v>
          </cell>
          <cell r="D9" t="str">
            <v>ANALIZADOR Y ESTACIÓN DE MUESTREO AnStat-220 (OVERFLOW BATERÍA CICLONES 3 Y 4 - MOLINOS Nº 2)</v>
          </cell>
          <cell r="E9" t="str">
            <v>Thermo Fisher Scientific</v>
          </cell>
          <cell r="F9" t="str">
            <v>XPU8.07</v>
          </cell>
          <cell r="G9" t="str">
            <v>Pu238.6.13</v>
          </cell>
          <cell r="H9" t="str">
            <v>Pu-238</v>
          </cell>
          <cell r="I9" t="str">
            <v>3.52 GBq (95 mCi)</v>
          </cell>
          <cell r="J9" t="str">
            <v>09/04/13</v>
          </cell>
          <cell r="K9">
            <v>42795</v>
          </cell>
          <cell r="L9">
            <v>0.68819444444444444</v>
          </cell>
          <cell r="M9" t="str">
            <v>170313D008</v>
          </cell>
          <cell r="N9">
            <v>42808</v>
          </cell>
          <cell r="O9">
            <v>3</v>
          </cell>
          <cell r="P9" t="str">
            <v>032</v>
          </cell>
          <cell r="Q9" t="str">
            <v>&lt; LD</v>
          </cell>
          <cell r="R9">
            <v>221</v>
          </cell>
          <cell r="S9" t="str">
            <v>-</v>
          </cell>
          <cell r="T9" t="str">
            <v>Challhuahuacho - Cotabambas - Apurímac</v>
          </cell>
          <cell r="U9" t="str">
            <v>0330</v>
          </cell>
          <cell r="V9" t="str">
            <v>FLOTACIÓN</v>
          </cell>
          <cell r="W9" t="str">
            <v>Thermo Fisher Scientific</v>
          </cell>
          <cell r="X9" t="str">
            <v>AM282</v>
          </cell>
          <cell r="Y9">
            <v>2520</v>
          </cell>
          <cell r="Z9" t="str">
            <v>THERMO SCIENTIFIC</v>
          </cell>
          <cell r="AA9" t="str">
            <v>RADEYE SPRD</v>
          </cell>
          <cell r="AB9">
            <v>10356</v>
          </cell>
          <cell r="AC9">
            <v>0.95</v>
          </cell>
          <cell r="AD9">
            <v>42710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BI9">
            <v>42795</v>
          </cell>
          <cell r="BJ9">
            <v>0.68402777777777779</v>
          </cell>
          <cell r="BK9">
            <v>0.69027777777777777</v>
          </cell>
          <cell r="BL9">
            <v>12.3</v>
          </cell>
          <cell r="BM9">
            <v>0.3</v>
          </cell>
          <cell r="BN9">
            <v>0.05</v>
          </cell>
          <cell r="BO9">
            <v>0.05</v>
          </cell>
          <cell r="BP9">
            <v>0.05</v>
          </cell>
          <cell r="BQ9">
            <v>0.05</v>
          </cell>
          <cell r="BR9">
            <v>0.05</v>
          </cell>
          <cell r="BS9">
            <v>0.05</v>
          </cell>
          <cell r="BT9">
            <v>0.05</v>
          </cell>
        </row>
        <row r="10">
          <cell r="B10" t="str">
            <v>0330-SAL-0020</v>
          </cell>
          <cell r="C10" t="str">
            <v>MINERA LAS BAMBAS S.A.</v>
          </cell>
          <cell r="D10" t="str">
            <v>ANALIZADOR DE CONCENTRADO TERCERA LIMPIEZA AnStat-220F (Concentrado Bulk)</v>
          </cell>
          <cell r="E10" t="str">
            <v>Thermo Fisher Scientific</v>
          </cell>
          <cell r="F10" t="str">
            <v>XCD9.06</v>
          </cell>
          <cell r="G10" t="str">
            <v>Cd109.9.13</v>
          </cell>
          <cell r="H10" t="str">
            <v>Cd-109</v>
          </cell>
          <cell r="I10" t="str">
            <v>0.74 GBq (20 mCi)</v>
          </cell>
          <cell r="J10" t="str">
            <v>01/03/13</v>
          </cell>
          <cell r="K10">
            <v>42795</v>
          </cell>
          <cell r="L10">
            <v>0.67638888888888893</v>
          </cell>
          <cell r="M10" t="str">
            <v>170313D009</v>
          </cell>
          <cell r="N10">
            <v>42808</v>
          </cell>
          <cell r="O10">
            <v>5</v>
          </cell>
          <cell r="P10" t="str">
            <v>033</v>
          </cell>
          <cell r="Q10" t="str">
            <v>&lt; LD</v>
          </cell>
          <cell r="R10">
            <v>222</v>
          </cell>
          <cell r="S10" t="str">
            <v>-</v>
          </cell>
          <cell r="T10" t="str">
            <v>Challhuahuacho - Cotabambas - Apurímac</v>
          </cell>
          <cell r="U10" t="str">
            <v>0330</v>
          </cell>
          <cell r="V10" t="str">
            <v>FLOTACIÓN</v>
          </cell>
          <cell r="W10" t="str">
            <v>Thermo Fisher Scientific</v>
          </cell>
          <cell r="X10" t="str">
            <v>AM282</v>
          </cell>
          <cell r="Y10">
            <v>2517</v>
          </cell>
          <cell r="Z10" t="str">
            <v>THERMO SCIENTIFIC</v>
          </cell>
          <cell r="AA10" t="str">
            <v>RADEYE SPRD</v>
          </cell>
          <cell r="AB10">
            <v>10356</v>
          </cell>
          <cell r="AC10">
            <v>0.95</v>
          </cell>
          <cell r="AD10">
            <v>42710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BI10">
            <v>42795</v>
          </cell>
          <cell r="BJ10">
            <v>0.67222222222222217</v>
          </cell>
          <cell r="BK10">
            <v>0.68125000000000002</v>
          </cell>
          <cell r="BL10">
            <v>16.8</v>
          </cell>
          <cell r="BM10">
            <v>0.36</v>
          </cell>
          <cell r="BN10">
            <v>0.06</v>
          </cell>
          <cell r="BO10">
            <v>0.06</v>
          </cell>
          <cell r="BP10">
            <v>0.06</v>
          </cell>
          <cell r="BQ10">
            <v>0.06</v>
          </cell>
          <cell r="BR10">
            <v>0.06</v>
          </cell>
          <cell r="BS10">
            <v>0.06</v>
          </cell>
          <cell r="BT10">
            <v>0.06</v>
          </cell>
        </row>
        <row r="11">
          <cell r="B11" t="str">
            <v>0330-MSA-0001</v>
          </cell>
          <cell r="C11" t="str">
            <v>MINERA LAS BAMBAS S.A.</v>
          </cell>
          <cell r="D11" t="str">
            <v>MULTIANALIZADOR EN LÍNEA MSA Mk. 5.0 (ANALIZADOR DE COLAS DE RELAVES FILA 1, 2, 3, 4 Y 5)</v>
          </cell>
          <cell r="E11" t="str">
            <v>Thermo Fisher Scientific</v>
          </cell>
          <cell r="F11" t="str">
            <v>XPU8.07</v>
          </cell>
          <cell r="G11" t="str">
            <v>Pu238.4.13</v>
          </cell>
          <cell r="H11" t="str">
            <v>Pu-238</v>
          </cell>
          <cell r="I11" t="str">
            <v>3.52 GBq (95 mCi)</v>
          </cell>
          <cell r="J11" t="str">
            <v>09/04/13</v>
          </cell>
          <cell r="K11">
            <v>42795</v>
          </cell>
          <cell r="L11">
            <v>0.65486111111111112</v>
          </cell>
          <cell r="M11" t="str">
            <v>170313D010</v>
          </cell>
          <cell r="N11">
            <v>42808</v>
          </cell>
          <cell r="O11">
            <v>3</v>
          </cell>
          <cell r="P11" t="str">
            <v>034</v>
          </cell>
          <cell r="Q11" t="str">
            <v>&lt; LD</v>
          </cell>
          <cell r="R11">
            <v>223</v>
          </cell>
          <cell r="S11" t="str">
            <v>-</v>
          </cell>
          <cell r="T11" t="str">
            <v>Challhuahuacho - Cotabambas - Apurímac</v>
          </cell>
          <cell r="U11" t="str">
            <v>0330</v>
          </cell>
          <cell r="V11" t="str">
            <v>FLOTACIÓN</v>
          </cell>
          <cell r="W11" t="str">
            <v>Thermo Fisher Scientific</v>
          </cell>
          <cell r="X11" t="str">
            <v>AM282</v>
          </cell>
          <cell r="Y11">
            <v>2518</v>
          </cell>
          <cell r="Z11" t="str">
            <v>THERMO SCIENTIFIC</v>
          </cell>
          <cell r="AA11" t="str">
            <v>RADEYE SPRD</v>
          </cell>
          <cell r="AB11">
            <v>10356</v>
          </cell>
          <cell r="AC11">
            <v>0.95</v>
          </cell>
          <cell r="AD11">
            <v>42710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BI11">
            <v>42795</v>
          </cell>
          <cell r="BJ11">
            <v>0.64930555555555558</v>
          </cell>
          <cell r="BK11">
            <v>0.66597222222222219</v>
          </cell>
          <cell r="BL11">
            <v>7.52</v>
          </cell>
          <cell r="BM11">
            <v>0.3</v>
          </cell>
          <cell r="BN11">
            <v>0.06</v>
          </cell>
          <cell r="BO11">
            <v>0.06</v>
          </cell>
          <cell r="BP11">
            <v>0.06</v>
          </cell>
          <cell r="BQ11">
            <v>0.06</v>
          </cell>
          <cell r="BR11">
            <v>0.06</v>
          </cell>
          <cell r="BS11">
            <v>0.06</v>
          </cell>
          <cell r="BT11">
            <v>0.05</v>
          </cell>
        </row>
        <row r="12">
          <cell r="B12" t="str">
            <v>0370-MSA-0006</v>
          </cell>
          <cell r="C12" t="str">
            <v>MINERA LAS BAMBAS S.A.</v>
          </cell>
          <cell r="D12" t="str">
            <v>MULTIANALIZADOR DE CONCENTRADO 1RA, 2DA FILA RO-SCA MSA Mk 5,2</v>
          </cell>
          <cell r="E12" t="str">
            <v>Thermo Fisher Scientific</v>
          </cell>
          <cell r="F12" t="str">
            <v>XCD9.06</v>
          </cell>
          <cell r="G12" t="str">
            <v>Cd109.12.13</v>
          </cell>
          <cell r="H12" t="str">
            <v>Cd-109</v>
          </cell>
          <cell r="I12" t="str">
            <v>0.74 GBq (20 mCi)</v>
          </cell>
          <cell r="J12" t="str">
            <v>05/12/13</v>
          </cell>
          <cell r="K12">
            <v>42796</v>
          </cell>
          <cell r="L12">
            <v>0.42152777777777778</v>
          </cell>
          <cell r="M12" t="str">
            <v>170313D011</v>
          </cell>
          <cell r="N12">
            <v>42808</v>
          </cell>
          <cell r="O12">
            <v>5</v>
          </cell>
          <cell r="P12" t="str">
            <v>035</v>
          </cell>
          <cell r="Q12" t="str">
            <v>&lt; LD</v>
          </cell>
          <cell r="R12">
            <v>224</v>
          </cell>
          <cell r="S12" t="str">
            <v>-</v>
          </cell>
          <cell r="T12" t="str">
            <v>Challhuahuacho - Cotabambas - Apurímac</v>
          </cell>
          <cell r="U12" t="str">
            <v>0370</v>
          </cell>
          <cell r="V12" t="str">
            <v>PLANTA MOLIBDENO</v>
          </cell>
          <cell r="W12" t="str">
            <v>Thermo Fisher Scientific</v>
          </cell>
          <cell r="X12" t="str">
            <v>AM282</v>
          </cell>
          <cell r="Y12">
            <v>2557</v>
          </cell>
          <cell r="Z12" t="str">
            <v>THERMO SCIENTIFIC</v>
          </cell>
          <cell r="AA12" t="str">
            <v>RADEYE SPRD</v>
          </cell>
          <cell r="AB12">
            <v>10356</v>
          </cell>
          <cell r="AC12">
            <v>0.95</v>
          </cell>
          <cell r="AD12">
            <v>42710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BI12">
            <v>42796</v>
          </cell>
          <cell r="BJ12">
            <v>0.41736111111111113</v>
          </cell>
          <cell r="BK12">
            <v>0.42638888888888887</v>
          </cell>
          <cell r="BL12">
            <v>36.1</v>
          </cell>
          <cell r="BM12">
            <v>0.98</v>
          </cell>
          <cell r="BN12">
            <v>0.06</v>
          </cell>
          <cell r="BO12">
            <v>0.06</v>
          </cell>
          <cell r="BP12">
            <v>0.06</v>
          </cell>
          <cell r="BQ12">
            <v>0.06</v>
          </cell>
          <cell r="BR12">
            <v>0.06</v>
          </cell>
          <cell r="BS12">
            <v>0.06</v>
          </cell>
          <cell r="BT12">
            <v>0.04</v>
          </cell>
        </row>
        <row r="13">
          <cell r="B13" t="str">
            <v>0370-MSA-0007</v>
          </cell>
          <cell r="C13" t="str">
            <v>MINERA LAS BAMBAS S.A.</v>
          </cell>
          <cell r="D13" t="str">
            <v>MULTIANALIZADOR DE CONCENTRADO 1RA, 2DA Y 3ERA LIMPIEZA MSA Mk 5,2</v>
          </cell>
          <cell r="E13" t="str">
            <v>Thermo Fisher Scientific</v>
          </cell>
          <cell r="F13" t="str">
            <v>XCD9.06</v>
          </cell>
          <cell r="G13" t="str">
            <v>Cd109.13.13</v>
          </cell>
          <cell r="H13" t="str">
            <v>Cd-109</v>
          </cell>
          <cell r="I13" t="str">
            <v>0.74 GBq (20 mCi)</v>
          </cell>
          <cell r="J13" t="str">
            <v>05/12/13</v>
          </cell>
          <cell r="K13">
            <v>42796</v>
          </cell>
          <cell r="L13">
            <v>0.41041666666666665</v>
          </cell>
          <cell r="M13" t="str">
            <v>170313D012</v>
          </cell>
          <cell r="N13">
            <v>42808</v>
          </cell>
          <cell r="O13">
            <v>5</v>
          </cell>
          <cell r="P13" t="str">
            <v>036</v>
          </cell>
          <cell r="Q13" t="str">
            <v>&lt; LD</v>
          </cell>
          <cell r="R13">
            <v>225</v>
          </cell>
          <cell r="S13" t="str">
            <v>-</v>
          </cell>
          <cell r="T13" t="str">
            <v>Challhuahuacho - Cotabambas - Apurímac</v>
          </cell>
          <cell r="U13" t="str">
            <v>0370</v>
          </cell>
          <cell r="V13" t="str">
            <v>PLANTA MOLIBDENO</v>
          </cell>
          <cell r="W13" t="str">
            <v>Thermo Fisher Scientific</v>
          </cell>
          <cell r="X13" t="str">
            <v>AM282</v>
          </cell>
          <cell r="Y13">
            <v>2558</v>
          </cell>
          <cell r="Z13" t="str">
            <v>THERMO SCIENTIFIC</v>
          </cell>
          <cell r="AA13" t="str">
            <v>RADEYE SPRD</v>
          </cell>
          <cell r="AB13">
            <v>10356</v>
          </cell>
          <cell r="AC13">
            <v>0.95</v>
          </cell>
          <cell r="AD13">
            <v>42710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BI13">
            <v>42796</v>
          </cell>
          <cell r="BJ13">
            <v>0.40625</v>
          </cell>
          <cell r="BK13">
            <v>0.4145833333333333</v>
          </cell>
          <cell r="BL13">
            <v>16.100000000000001</v>
          </cell>
          <cell r="BM13">
            <v>0.15</v>
          </cell>
          <cell r="BN13">
            <v>0.04</v>
          </cell>
          <cell r="BO13">
            <v>0.04</v>
          </cell>
          <cell r="BP13">
            <v>0.04</v>
          </cell>
          <cell r="BQ13">
            <v>0.04</v>
          </cell>
          <cell r="BR13">
            <v>0.04</v>
          </cell>
          <cell r="BS13">
            <v>0.04</v>
          </cell>
          <cell r="BT13">
            <v>0.04</v>
          </cell>
        </row>
        <row r="14">
          <cell r="B14" t="str">
            <v>0370-SAL-0038</v>
          </cell>
          <cell r="C14" t="str">
            <v>MINERA LAS BAMBAS S.A.</v>
          </cell>
          <cell r="D14" t="str">
            <v>ANALIZADOR DESCARGA DE ESPESADOR CU-MO AnStat 230</v>
          </cell>
          <cell r="E14" t="str">
            <v>Thermo Fisher Scientific</v>
          </cell>
          <cell r="F14" t="str">
            <v>XCD9.06</v>
          </cell>
          <cell r="G14" t="str">
            <v>CD109.11.13</v>
          </cell>
          <cell r="H14" t="str">
            <v>Cd-109</v>
          </cell>
          <cell r="I14" t="str">
            <v>0.74 GBq (20 mCi)</v>
          </cell>
          <cell r="J14" t="str">
            <v>05/12/13</v>
          </cell>
          <cell r="K14">
            <v>42796</v>
          </cell>
          <cell r="L14">
            <v>0.39999999999999997</v>
          </cell>
          <cell r="M14" t="str">
            <v>170313D013</v>
          </cell>
          <cell r="N14">
            <v>42808</v>
          </cell>
          <cell r="O14">
            <v>5</v>
          </cell>
          <cell r="P14" t="str">
            <v>037</v>
          </cell>
          <cell r="Q14" t="str">
            <v>&lt; LD</v>
          </cell>
          <cell r="R14">
            <v>226</v>
          </cell>
          <cell r="S14" t="str">
            <v>-</v>
          </cell>
          <cell r="T14" t="str">
            <v>Challhuahuacho - Cotabambas - Apurímac</v>
          </cell>
          <cell r="U14" t="str">
            <v>0370</v>
          </cell>
          <cell r="V14" t="str">
            <v>PLANTA MOLIBDENO</v>
          </cell>
          <cell r="W14" t="str">
            <v>Thermo Fisher Scientific</v>
          </cell>
          <cell r="X14" t="str">
            <v>AM282</v>
          </cell>
          <cell r="Y14">
            <v>2556</v>
          </cell>
          <cell r="Z14" t="str">
            <v>THERMO SCIENTIFIC</v>
          </cell>
          <cell r="AA14" t="str">
            <v>RADEYE SPRD</v>
          </cell>
          <cell r="AB14">
            <v>10356</v>
          </cell>
          <cell r="AC14">
            <v>0.95</v>
          </cell>
          <cell r="AD14">
            <v>42710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BI14">
            <v>42796</v>
          </cell>
          <cell r="BJ14">
            <v>0.3972222222222222</v>
          </cell>
          <cell r="BK14">
            <v>0.40347222222222223</v>
          </cell>
          <cell r="BL14">
            <v>36.200000000000003</v>
          </cell>
          <cell r="BM14">
            <v>1.02</v>
          </cell>
          <cell r="BN14">
            <v>0.04</v>
          </cell>
          <cell r="BO14">
            <v>0.04</v>
          </cell>
          <cell r="BP14">
            <v>0.04</v>
          </cell>
          <cell r="BQ14">
            <v>0.04</v>
          </cell>
          <cell r="BR14">
            <v>0.04</v>
          </cell>
          <cell r="BS14">
            <v>0.04</v>
          </cell>
          <cell r="BT14">
            <v>0.04</v>
          </cell>
        </row>
        <row r="15">
          <cell r="B15" t="str">
            <v>0330-DX-22333</v>
          </cell>
          <cell r="C15" t="str">
            <v>MINERA LAS BAMBAS S.A.</v>
          </cell>
          <cell r="D15" t="str">
            <v>ALIMENT ROUGHER ISAMILL #3</v>
          </cell>
          <cell r="E15" t="str">
            <v>Endress + Hauser</v>
          </cell>
          <cell r="F15" t="str">
            <v>FSG60-AFA1+Z1</v>
          </cell>
          <cell r="G15" t="str">
            <v>AF-1805 / K7003201141</v>
          </cell>
          <cell r="H15" t="str">
            <v>Cs-137</v>
          </cell>
          <cell r="I15" t="str">
            <v>111 MBq</v>
          </cell>
          <cell r="J15" t="str">
            <v>07/15</v>
          </cell>
          <cell r="K15">
            <v>42798</v>
          </cell>
          <cell r="L15">
            <v>0.49791666666666662</v>
          </cell>
          <cell r="M15" t="str">
            <v>170313D014</v>
          </cell>
          <cell r="N15">
            <v>42808</v>
          </cell>
          <cell r="O15">
            <v>2.1</v>
          </cell>
          <cell r="P15" t="str">
            <v>038</v>
          </cell>
          <cell r="Q15" t="str">
            <v>&lt; LD</v>
          </cell>
          <cell r="R15">
            <v>227</v>
          </cell>
          <cell r="S15" t="str">
            <v>007</v>
          </cell>
          <cell r="T15" t="str">
            <v>Challhuahuacho - Cotabambas - Apurímac</v>
          </cell>
          <cell r="U15" t="str">
            <v>0330</v>
          </cell>
          <cell r="V15" t="str">
            <v>REMOLIENDA</v>
          </cell>
          <cell r="W15" t="str">
            <v>Endress + Hausser</v>
          </cell>
          <cell r="X15" t="str">
            <v>FQG61-2LA7/0</v>
          </cell>
          <cell r="Y15" t="str">
            <v>JC00230113F</v>
          </cell>
          <cell r="Z15" t="str">
            <v>THERMO SCIENTIFIC</v>
          </cell>
          <cell r="AA15" t="str">
            <v>RADEYE SPRD</v>
          </cell>
          <cell r="AB15">
            <v>10356</v>
          </cell>
          <cell r="AC15">
            <v>0.95</v>
          </cell>
          <cell r="AD15">
            <v>42710</v>
          </cell>
          <cell r="AE15">
            <v>0.7</v>
          </cell>
          <cell r="AF15">
            <v>0.21</v>
          </cell>
          <cell r="AG15">
            <v>0.08</v>
          </cell>
          <cell r="AH15">
            <v>0.65</v>
          </cell>
          <cell r="AI15">
            <v>0.19</v>
          </cell>
          <cell r="AJ15">
            <v>0.11</v>
          </cell>
          <cell r="AK15">
            <v>0.25</v>
          </cell>
          <cell r="AL15">
            <v>0.14000000000000001</v>
          </cell>
          <cell r="AM15">
            <v>7.0000000000000007E-2</v>
          </cell>
          <cell r="AN15">
            <v>0.24</v>
          </cell>
          <cell r="AO15">
            <v>0.16</v>
          </cell>
          <cell r="AP15">
            <v>0.09</v>
          </cell>
          <cell r="BI15">
            <v>42798</v>
          </cell>
          <cell r="BJ15">
            <v>0.49236111111111108</v>
          </cell>
          <cell r="BK15">
            <v>0.50416666666666665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</row>
        <row r="16">
          <cell r="B16" t="str">
            <v>0330-DX-21333</v>
          </cell>
          <cell r="C16" t="str">
            <v>MINERA LAS BAMBAS S.A.</v>
          </cell>
          <cell r="D16" t="str">
            <v>ALIMENT ROUGHER ISAMILL #2</v>
          </cell>
          <cell r="E16" t="str">
            <v>Endress + Hauser</v>
          </cell>
          <cell r="F16" t="str">
            <v>FSG60-AFA1+Z1</v>
          </cell>
          <cell r="G16" t="str">
            <v>AF-1804 / K7003101141</v>
          </cell>
          <cell r="H16" t="str">
            <v>Cs-137</v>
          </cell>
          <cell r="I16" t="str">
            <v>111 MBq</v>
          </cell>
          <cell r="J16" t="str">
            <v>07/15</v>
          </cell>
          <cell r="K16">
            <v>42795</v>
          </cell>
          <cell r="L16">
            <v>0.44305555555555554</v>
          </cell>
          <cell r="M16" t="str">
            <v>170313D015</v>
          </cell>
          <cell r="N16">
            <v>42808</v>
          </cell>
          <cell r="O16">
            <v>2.1</v>
          </cell>
          <cell r="P16" t="str">
            <v>039</v>
          </cell>
          <cell r="Q16" t="str">
            <v>&lt; LD</v>
          </cell>
          <cell r="R16">
            <v>228</v>
          </cell>
          <cell r="S16" t="str">
            <v>008</v>
          </cell>
          <cell r="T16" t="str">
            <v>Challhuahuacho - Cotabambas - Apurímac</v>
          </cell>
          <cell r="U16" t="str">
            <v>0330</v>
          </cell>
          <cell r="V16" t="str">
            <v>REMOLIENDA</v>
          </cell>
          <cell r="W16" t="str">
            <v>Endress + Hausser</v>
          </cell>
          <cell r="X16" t="str">
            <v>FQG61-2LA7/0</v>
          </cell>
          <cell r="Y16" t="str">
            <v>JC00220113F</v>
          </cell>
          <cell r="Z16" t="str">
            <v>THERMO SCIENTIFIC</v>
          </cell>
          <cell r="AA16" t="str">
            <v>RADEYE SPRD</v>
          </cell>
          <cell r="AB16">
            <v>10356</v>
          </cell>
          <cell r="AC16">
            <v>0.95</v>
          </cell>
          <cell r="AD16">
            <v>42710</v>
          </cell>
          <cell r="AE16">
            <v>0.6</v>
          </cell>
          <cell r="AF16">
            <v>0.28000000000000003</v>
          </cell>
          <cell r="AG16">
            <v>7.0000000000000007E-2</v>
          </cell>
          <cell r="AH16">
            <v>0.48</v>
          </cell>
          <cell r="AI16">
            <v>0.24</v>
          </cell>
          <cell r="AJ16">
            <v>0.06</v>
          </cell>
          <cell r="AK16">
            <v>0.13</v>
          </cell>
          <cell r="AL16">
            <v>0.11</v>
          </cell>
          <cell r="AM16">
            <v>0.8</v>
          </cell>
          <cell r="AN16">
            <v>0.38</v>
          </cell>
          <cell r="AO16">
            <v>0.22</v>
          </cell>
          <cell r="AP16">
            <v>7.0000000000000007E-2</v>
          </cell>
          <cell r="BI16">
            <v>42795</v>
          </cell>
          <cell r="BJ16">
            <v>0.43402777777777773</v>
          </cell>
          <cell r="BK16">
            <v>0.45624999999999999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</row>
        <row r="17">
          <cell r="B17" t="str">
            <v>0330-DX-20333</v>
          </cell>
          <cell r="C17" t="str">
            <v>MINERA LAS BAMBAS S.A.</v>
          </cell>
          <cell r="D17" t="str">
            <v>ALIMENT ROUGHER ISAMILL #1</v>
          </cell>
          <cell r="E17" t="str">
            <v>Endress + Hauser</v>
          </cell>
          <cell r="F17" t="str">
            <v>FSG60-AFA1+Z1</v>
          </cell>
          <cell r="G17" t="str">
            <v>AF-1803 / K7003001141</v>
          </cell>
          <cell r="H17" t="str">
            <v>Cs-137</v>
          </cell>
          <cell r="I17" t="str">
            <v>111 MBq</v>
          </cell>
          <cell r="J17" t="str">
            <v>07/15</v>
          </cell>
          <cell r="K17">
            <v>42798</v>
          </cell>
          <cell r="L17">
            <v>0.47986111111111113</v>
          </cell>
          <cell r="M17" t="str">
            <v>170313D016</v>
          </cell>
          <cell r="N17">
            <v>42808</v>
          </cell>
          <cell r="O17">
            <v>2.1</v>
          </cell>
          <cell r="P17" t="str">
            <v>040</v>
          </cell>
          <cell r="Q17" t="str">
            <v>&lt; LD</v>
          </cell>
          <cell r="R17">
            <v>229</v>
          </cell>
          <cell r="S17" t="str">
            <v>009</v>
          </cell>
          <cell r="T17" t="str">
            <v>Challhuahuacho - Cotabambas - Apurímac</v>
          </cell>
          <cell r="U17" t="str">
            <v>0330</v>
          </cell>
          <cell r="V17" t="str">
            <v>REMOLIENDA</v>
          </cell>
          <cell r="W17" t="str">
            <v>Endress + Hausser</v>
          </cell>
          <cell r="X17" t="str">
            <v>FQG61-2LA7/0</v>
          </cell>
          <cell r="Y17" t="str">
            <v>JC00210113F</v>
          </cell>
          <cell r="Z17" t="str">
            <v>THERMO SCIENTIFIC</v>
          </cell>
          <cell r="AA17" t="str">
            <v>RADEYE SPRD</v>
          </cell>
          <cell r="AB17">
            <v>10356</v>
          </cell>
          <cell r="AC17">
            <v>0.95</v>
          </cell>
          <cell r="AD17">
            <v>42710</v>
          </cell>
          <cell r="AE17">
            <v>0.84</v>
          </cell>
          <cell r="AF17">
            <v>0.21</v>
          </cell>
          <cell r="AG17">
            <v>0.1</v>
          </cell>
          <cell r="AH17">
            <v>0.48</v>
          </cell>
          <cell r="AI17">
            <v>0.09</v>
          </cell>
          <cell r="AJ17">
            <v>0.05</v>
          </cell>
          <cell r="AK17">
            <v>0.16</v>
          </cell>
          <cell r="AL17">
            <v>0.13</v>
          </cell>
          <cell r="AM17">
            <v>0.09</v>
          </cell>
          <cell r="AN17">
            <v>0.46</v>
          </cell>
          <cell r="AO17">
            <v>0.15</v>
          </cell>
          <cell r="AP17">
            <v>0.08</v>
          </cell>
          <cell r="BI17">
            <v>42798</v>
          </cell>
          <cell r="BJ17">
            <v>0.47361111111111115</v>
          </cell>
          <cell r="BK17">
            <v>0.48888888888888887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</row>
        <row r="18">
          <cell r="B18" t="str">
            <v>0310-DX-01490</v>
          </cell>
          <cell r="C18" t="str">
            <v>MINERA LAS BAMBAS S.A.</v>
          </cell>
          <cell r="D18" t="str">
            <v>ALIMENT. BATER.CICLONES #4 MOLINO DE BOLA #2</v>
          </cell>
          <cell r="E18" t="str">
            <v>Endress + Hauser</v>
          </cell>
          <cell r="F18" t="str">
            <v>FSG60-BDC1</v>
          </cell>
          <cell r="G18" t="str">
            <v>AD-6249 / K5003A01141</v>
          </cell>
          <cell r="H18" t="str">
            <v>Cs-137</v>
          </cell>
          <cell r="I18" t="str">
            <v>74 GBq</v>
          </cell>
          <cell r="J18" t="str">
            <v>05/15</v>
          </cell>
          <cell r="K18">
            <v>42797</v>
          </cell>
          <cell r="L18">
            <v>0.66249999999999998</v>
          </cell>
          <cell r="M18" t="str">
            <v>170313D017</v>
          </cell>
          <cell r="N18">
            <v>42808</v>
          </cell>
          <cell r="O18">
            <v>2.1</v>
          </cell>
          <cell r="P18" t="str">
            <v>041</v>
          </cell>
          <cell r="Q18" t="str">
            <v>&lt; LD</v>
          </cell>
          <cell r="R18">
            <v>230</v>
          </cell>
          <cell r="S18" t="str">
            <v>010</v>
          </cell>
          <cell r="T18" t="str">
            <v>Challhuahuacho - Cotabambas - Apurímac</v>
          </cell>
          <cell r="U18" t="str">
            <v>0310</v>
          </cell>
          <cell r="V18" t="str">
            <v>MOLIENDA (MOLINOS BOLAS)</v>
          </cell>
          <cell r="W18" t="str">
            <v>Endress + Hausser</v>
          </cell>
          <cell r="X18" t="str">
            <v>FQG62-2WE5/0</v>
          </cell>
          <cell r="Y18" t="str">
            <v>J3000401140</v>
          </cell>
          <cell r="Z18" t="str">
            <v>THERMO SCIENTIFIC</v>
          </cell>
          <cell r="AA18" t="str">
            <v>RADEYE SPRD</v>
          </cell>
          <cell r="AB18">
            <v>10356</v>
          </cell>
          <cell r="AC18">
            <v>0.95</v>
          </cell>
          <cell r="AD18">
            <v>42710</v>
          </cell>
          <cell r="AE18">
            <v>46.5</v>
          </cell>
          <cell r="AF18">
            <v>5.58</v>
          </cell>
          <cell r="AG18">
            <v>1.21</v>
          </cell>
          <cell r="AH18">
            <v>44.9</v>
          </cell>
          <cell r="AI18">
            <v>3.4</v>
          </cell>
          <cell r="AJ18">
            <v>1.1599999999999999</v>
          </cell>
          <cell r="AK18">
            <v>11.2</v>
          </cell>
          <cell r="AL18">
            <v>6.38</v>
          </cell>
          <cell r="AM18">
            <v>1.55</v>
          </cell>
          <cell r="AN18">
            <v>2.9</v>
          </cell>
          <cell r="AO18">
            <v>0.92</v>
          </cell>
          <cell r="AP18">
            <v>0.33</v>
          </cell>
          <cell r="BI18">
            <v>42797</v>
          </cell>
          <cell r="BJ18">
            <v>0.65625</v>
          </cell>
          <cell r="BK18">
            <v>0.6875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</row>
        <row r="19">
          <cell r="B19" t="str">
            <v>0310-DX-01480</v>
          </cell>
          <cell r="C19" t="str">
            <v>MINERA LAS BAMBAS S.A.</v>
          </cell>
          <cell r="D19" t="str">
            <v>ALIMENT. BATER.CICLONES #3 MOLINO DE BOLA #2</v>
          </cell>
          <cell r="E19" t="str">
            <v>Endress + Hauser</v>
          </cell>
          <cell r="F19" t="str">
            <v>FSG60-BDC1</v>
          </cell>
          <cell r="G19" t="str">
            <v>AD-6247 / K5003801141</v>
          </cell>
          <cell r="H19" t="str">
            <v>Cs-137</v>
          </cell>
          <cell r="I19" t="str">
            <v>74 GBq</v>
          </cell>
          <cell r="J19" t="str">
            <v>05/15</v>
          </cell>
          <cell r="K19">
            <v>42796</v>
          </cell>
          <cell r="L19">
            <v>0.75624999999999998</v>
          </cell>
          <cell r="M19" t="str">
            <v>170313D018</v>
          </cell>
          <cell r="N19">
            <v>42808</v>
          </cell>
          <cell r="O19">
            <v>2.1</v>
          </cell>
          <cell r="P19" t="str">
            <v>042</v>
          </cell>
          <cell r="Q19" t="str">
            <v>&lt; LD</v>
          </cell>
          <cell r="R19">
            <v>231</v>
          </cell>
          <cell r="S19" t="str">
            <v>011</v>
          </cell>
          <cell r="T19" t="str">
            <v>Challhuahuacho - Cotabambas - Apurímac</v>
          </cell>
          <cell r="U19" t="str">
            <v>0310</v>
          </cell>
          <cell r="V19" t="str">
            <v>MOLIENDA (MOLINOS BOLAS)</v>
          </cell>
          <cell r="W19" t="str">
            <v>Endress + Hausser</v>
          </cell>
          <cell r="X19" t="str">
            <v>FQG62-2WE5/0</v>
          </cell>
          <cell r="Y19" t="str">
            <v>J3000201140</v>
          </cell>
          <cell r="Z19" t="str">
            <v>THERMO SCIENTIFIC</v>
          </cell>
          <cell r="AA19" t="str">
            <v>RADEYE SPRD</v>
          </cell>
          <cell r="AB19">
            <v>10356</v>
          </cell>
          <cell r="AC19">
            <v>0.95</v>
          </cell>
          <cell r="AD19">
            <v>42710</v>
          </cell>
          <cell r="AE19">
            <v>45.4</v>
          </cell>
          <cell r="AF19">
            <v>5.2</v>
          </cell>
          <cell r="AG19">
            <v>1.21</v>
          </cell>
          <cell r="AH19">
            <v>46.7</v>
          </cell>
          <cell r="AI19">
            <v>3.48</v>
          </cell>
          <cell r="AJ19">
            <v>1.02</v>
          </cell>
          <cell r="AK19">
            <v>18.32</v>
          </cell>
          <cell r="AL19">
            <v>4.8899999999999997</v>
          </cell>
          <cell r="AM19">
            <v>1.65</v>
          </cell>
          <cell r="AN19">
            <v>3.4</v>
          </cell>
          <cell r="AO19">
            <v>1.25</v>
          </cell>
          <cell r="AP19">
            <v>0.28999999999999998</v>
          </cell>
          <cell r="BI19">
            <v>42796</v>
          </cell>
          <cell r="BJ19">
            <v>0.75</v>
          </cell>
          <cell r="BK19">
            <v>0.76597222222222217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</row>
        <row r="20">
          <cell r="B20" t="str">
            <v>0310-DX-01390</v>
          </cell>
          <cell r="C20" t="str">
            <v>MINERA LAS BAMBAS S.A.</v>
          </cell>
          <cell r="D20" t="str">
            <v>ALIMENT. BATER. CICLONES #2 MOLINO DE BOLA #1</v>
          </cell>
          <cell r="E20" t="str">
            <v>Endress + Hauser</v>
          </cell>
          <cell r="F20" t="str">
            <v>FSG60-BDC1</v>
          </cell>
          <cell r="G20" t="str">
            <v>AD-6248 / K5003901141</v>
          </cell>
          <cell r="H20" t="str">
            <v>Cs-137</v>
          </cell>
          <cell r="I20" t="str">
            <v>74 GBq</v>
          </cell>
          <cell r="J20" t="str">
            <v>05/15</v>
          </cell>
          <cell r="K20">
            <v>42797</v>
          </cell>
          <cell r="L20">
            <v>0.72499999999999998</v>
          </cell>
          <cell r="M20" t="str">
            <v>170313D019</v>
          </cell>
          <cell r="N20">
            <v>42808</v>
          </cell>
          <cell r="O20">
            <v>2.1</v>
          </cell>
          <cell r="P20" t="str">
            <v>043</v>
          </cell>
          <cell r="Q20" t="str">
            <v>&lt; LD</v>
          </cell>
          <cell r="R20">
            <v>232</v>
          </cell>
          <cell r="S20" t="str">
            <v>012</v>
          </cell>
          <cell r="T20" t="str">
            <v>Challhuahuacho - Cotabambas - Apurímac</v>
          </cell>
          <cell r="U20" t="str">
            <v>0310</v>
          </cell>
          <cell r="V20" t="str">
            <v>MOLIENDA (MOLINOS BOLAS)</v>
          </cell>
          <cell r="W20" t="str">
            <v>Endress + Hausser</v>
          </cell>
          <cell r="X20" t="str">
            <v>FQG62-2WE5/0</v>
          </cell>
          <cell r="Y20" t="str">
            <v>J3000301140</v>
          </cell>
          <cell r="Z20" t="str">
            <v>THERMO SCIENTIFIC</v>
          </cell>
          <cell r="AA20" t="str">
            <v>RADEYE SPRD</v>
          </cell>
          <cell r="AB20">
            <v>10356</v>
          </cell>
          <cell r="AC20">
            <v>0.95</v>
          </cell>
          <cell r="AD20">
            <v>42710</v>
          </cell>
          <cell r="AE20">
            <v>47.9</v>
          </cell>
          <cell r="AF20">
            <v>8.56</v>
          </cell>
          <cell r="AG20">
            <v>1.95</v>
          </cell>
          <cell r="AH20">
            <v>45.9</v>
          </cell>
          <cell r="AI20">
            <v>4.82</v>
          </cell>
          <cell r="AJ20">
            <v>1.0900000000000001</v>
          </cell>
          <cell r="AK20">
            <v>13.2</v>
          </cell>
          <cell r="AL20">
            <v>5.18</v>
          </cell>
          <cell r="AM20">
            <v>1.02</v>
          </cell>
          <cell r="AN20">
            <v>3.51</v>
          </cell>
          <cell r="AO20">
            <v>0.72</v>
          </cell>
          <cell r="AP20">
            <v>0.24</v>
          </cell>
          <cell r="BI20">
            <v>42797</v>
          </cell>
          <cell r="BJ20">
            <v>0.72499999999999998</v>
          </cell>
          <cell r="BK20">
            <v>0.75486111111111109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</row>
        <row r="21">
          <cell r="B21" t="str">
            <v>0310-DX-01380</v>
          </cell>
          <cell r="C21" t="str">
            <v>MINERA LAS BAMBAS S.A.</v>
          </cell>
          <cell r="D21" t="str">
            <v>ALIMENT. BATER. CICLONES #1 MOLINO DE BOLA #1</v>
          </cell>
          <cell r="E21" t="str">
            <v>Endress + Hauser</v>
          </cell>
          <cell r="F21" t="str">
            <v>FSG60-BDC1</v>
          </cell>
          <cell r="G21" t="str">
            <v>AD-6246 / K5003701141</v>
          </cell>
          <cell r="H21" t="str">
            <v>Cs-137</v>
          </cell>
          <cell r="I21" t="str">
            <v>74 GBq</v>
          </cell>
          <cell r="J21" t="str">
            <v>05/15</v>
          </cell>
          <cell r="K21">
            <v>42797</v>
          </cell>
          <cell r="L21">
            <v>0.70347222222222217</v>
          </cell>
          <cell r="M21" t="str">
            <v>170313D020</v>
          </cell>
          <cell r="N21">
            <v>42808</v>
          </cell>
          <cell r="O21">
            <v>2.1</v>
          </cell>
          <cell r="P21" t="str">
            <v>044</v>
          </cell>
          <cell r="Q21" t="str">
            <v>&lt; LD</v>
          </cell>
          <cell r="R21">
            <v>233</v>
          </cell>
          <cell r="S21" t="str">
            <v>013</v>
          </cell>
          <cell r="T21" t="str">
            <v>Challhuahuacho - Cotabambas - Apurímac</v>
          </cell>
          <cell r="U21" t="str">
            <v>0310</v>
          </cell>
          <cell r="V21" t="str">
            <v>MOLIENDA (MOLINOS BOLAS)</v>
          </cell>
          <cell r="W21" t="str">
            <v>Endress + Hausser</v>
          </cell>
          <cell r="X21" t="str">
            <v>FQG62-2WE5/0</v>
          </cell>
          <cell r="Y21" t="str">
            <v>J3000101140</v>
          </cell>
          <cell r="Z21" t="str">
            <v>THERMO SCIENTIFIC</v>
          </cell>
          <cell r="AA21" t="str">
            <v>RADEYE SPRD</v>
          </cell>
          <cell r="AB21">
            <v>10356</v>
          </cell>
          <cell r="AC21">
            <v>0.95</v>
          </cell>
          <cell r="AD21">
            <v>42710</v>
          </cell>
          <cell r="AE21">
            <v>48.2</v>
          </cell>
          <cell r="AF21">
            <v>7.41</v>
          </cell>
          <cell r="AG21">
            <v>1.84</v>
          </cell>
          <cell r="AH21">
            <v>47.8</v>
          </cell>
          <cell r="AI21">
            <v>6.8</v>
          </cell>
          <cell r="AJ21">
            <v>1.23</v>
          </cell>
          <cell r="AK21">
            <v>13.1</v>
          </cell>
          <cell r="AL21">
            <v>8.6999999999999993</v>
          </cell>
          <cell r="AM21">
            <v>1.22</v>
          </cell>
          <cell r="AN21">
            <v>4.25</v>
          </cell>
          <cell r="AO21">
            <v>1.92</v>
          </cell>
          <cell r="AP21">
            <v>0.28000000000000003</v>
          </cell>
          <cell r="BI21">
            <v>42797</v>
          </cell>
          <cell r="BJ21">
            <v>0.69791666666666663</v>
          </cell>
          <cell r="BK21">
            <v>0.72361111111111109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</row>
        <row r="22">
          <cell r="B22" t="str">
            <v>0410-DX-08353</v>
          </cell>
          <cell r="C22" t="str">
            <v>MINERA LAS BAMBAS S.A.</v>
          </cell>
          <cell r="D22" t="str">
            <v>CONC THICKENER U/F PMP PPS-0124 DIS</v>
          </cell>
          <cell r="E22" t="str">
            <v>Endress + Hauser</v>
          </cell>
          <cell r="F22" t="str">
            <v>FSG60-AFA1</v>
          </cell>
          <cell r="G22" t="str">
            <v>AD-6318 / K6000D01141</v>
          </cell>
          <cell r="H22" t="str">
            <v>Cs-137</v>
          </cell>
          <cell r="I22" t="str">
            <v>110 MBq</v>
          </cell>
          <cell r="J22" t="str">
            <v>06/15</v>
          </cell>
          <cell r="K22">
            <v>42801</v>
          </cell>
          <cell r="L22">
            <v>0.65972222222222221</v>
          </cell>
          <cell r="M22" t="str">
            <v>170313D021</v>
          </cell>
          <cell r="N22">
            <v>42808</v>
          </cell>
          <cell r="O22">
            <v>2.1</v>
          </cell>
          <cell r="P22" t="str">
            <v>045</v>
          </cell>
          <cell r="Q22" t="str">
            <v>&lt; LD</v>
          </cell>
          <cell r="R22">
            <v>234</v>
          </cell>
          <cell r="S22" t="str">
            <v>014</v>
          </cell>
          <cell r="T22" t="str">
            <v>Challhuahuacho - Cotabambas - Apurímac</v>
          </cell>
          <cell r="U22" t="str">
            <v>0410</v>
          </cell>
          <cell r="V22" t="str">
            <v>TÚNEL DE ESPESADOR</v>
          </cell>
          <cell r="W22" t="str">
            <v>Endress + Hausser</v>
          </cell>
          <cell r="X22" t="str">
            <v>FQG61-4NH6/0</v>
          </cell>
          <cell r="Y22" t="str">
            <v>J3000A0113F</v>
          </cell>
          <cell r="Z22" t="str">
            <v>THERMO SCIENTIFIC</v>
          </cell>
          <cell r="AA22" t="str">
            <v>RADEYE SPRD</v>
          </cell>
          <cell r="AB22">
            <v>10356</v>
          </cell>
          <cell r="AC22">
            <v>0.95</v>
          </cell>
          <cell r="AD22">
            <v>42710</v>
          </cell>
          <cell r="AE22">
            <v>1.1399999999999999</v>
          </cell>
          <cell r="AF22">
            <v>0.22</v>
          </cell>
          <cell r="AG22">
            <v>0.13</v>
          </cell>
          <cell r="AH22">
            <v>1.0900000000000001</v>
          </cell>
          <cell r="AI22">
            <v>0.24</v>
          </cell>
          <cell r="AJ22">
            <v>0.11</v>
          </cell>
          <cell r="AK22">
            <v>0.35</v>
          </cell>
          <cell r="AL22">
            <v>0.11</v>
          </cell>
          <cell r="AM22">
            <v>0.08</v>
          </cell>
          <cell r="AN22">
            <v>0.23</v>
          </cell>
          <cell r="AO22">
            <v>0.17</v>
          </cell>
          <cell r="AP22">
            <v>0.08</v>
          </cell>
          <cell r="BI22">
            <v>42801</v>
          </cell>
          <cell r="BJ22">
            <v>0.65555555555555556</v>
          </cell>
          <cell r="BK22">
            <v>0.6645833333333333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</row>
        <row r="23">
          <cell r="B23" t="str">
            <v>0410-DX-08350</v>
          </cell>
          <cell r="C23" t="str">
            <v>MINERA LAS BAMBAS S.A.</v>
          </cell>
          <cell r="D23" t="str">
            <v>CONC.THICKENER U/F PMP PPS-0123 DIS</v>
          </cell>
          <cell r="E23" t="str">
            <v>Endress + Hauser</v>
          </cell>
          <cell r="F23" t="str">
            <v>FSG60-AFA1</v>
          </cell>
          <cell r="G23" t="str">
            <v>AD-6317 / K6000C01141</v>
          </cell>
          <cell r="H23" t="str">
            <v>Cs-137</v>
          </cell>
          <cell r="I23" t="str">
            <v>110 MBq</v>
          </cell>
          <cell r="J23" t="str">
            <v>06/15</v>
          </cell>
          <cell r="K23">
            <v>42801</v>
          </cell>
          <cell r="L23">
            <v>0.65069444444444446</v>
          </cell>
          <cell r="M23" t="str">
            <v>170313D022</v>
          </cell>
          <cell r="N23">
            <v>42808</v>
          </cell>
          <cell r="O23">
            <v>2.1</v>
          </cell>
          <cell r="P23" t="str">
            <v>046</v>
          </cell>
          <cell r="Q23" t="str">
            <v>&lt; LD</v>
          </cell>
          <cell r="R23">
            <v>235</v>
          </cell>
          <cell r="S23" t="str">
            <v>015</v>
          </cell>
          <cell r="T23" t="str">
            <v>Challhuahuacho - Cotabambas - Apurímac</v>
          </cell>
          <cell r="U23" t="str">
            <v>0410</v>
          </cell>
          <cell r="V23" t="str">
            <v>TÚNEL DE ESPESADOR</v>
          </cell>
          <cell r="W23" t="str">
            <v>Endress + Hausser</v>
          </cell>
          <cell r="X23" t="str">
            <v>FQG61-4NH6/0</v>
          </cell>
          <cell r="Y23" t="str">
            <v>J300090113F</v>
          </cell>
          <cell r="Z23" t="str">
            <v>THERMO SCIENTIFIC</v>
          </cell>
          <cell r="AA23" t="str">
            <v>RADEYE SPRD</v>
          </cell>
          <cell r="AB23">
            <v>10356</v>
          </cell>
          <cell r="AC23">
            <v>0.95</v>
          </cell>
          <cell r="AD23">
            <v>42710</v>
          </cell>
          <cell r="AE23">
            <v>1.05</v>
          </cell>
          <cell r="AF23">
            <v>0.28000000000000003</v>
          </cell>
          <cell r="AG23">
            <v>0.13</v>
          </cell>
          <cell r="AH23">
            <v>0.92</v>
          </cell>
          <cell r="AI23">
            <v>0.17</v>
          </cell>
          <cell r="AJ23">
            <v>0.09</v>
          </cell>
          <cell r="AK23">
            <v>0.75</v>
          </cell>
          <cell r="AL23">
            <v>0.18</v>
          </cell>
          <cell r="AM23">
            <v>0.11</v>
          </cell>
          <cell r="AN23">
            <v>0.42</v>
          </cell>
          <cell r="AO23">
            <v>0.19</v>
          </cell>
          <cell r="AP23">
            <v>0.08</v>
          </cell>
          <cell r="BI23">
            <v>42801</v>
          </cell>
          <cell r="BJ23">
            <v>0.64722222222222225</v>
          </cell>
          <cell r="BK23">
            <v>0.65416666666666667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</row>
        <row r="24">
          <cell r="B24" t="str">
            <v>0340-DX-05220</v>
          </cell>
          <cell r="C24" t="str">
            <v>MINERA LAS BAMBAS S.A.</v>
          </cell>
          <cell r="D24" t="str">
            <v>DESCARGA BBA UNDERFLOW ESPESADOR CONCENTRADO</v>
          </cell>
          <cell r="E24" t="str">
            <v>Endress + Hauser</v>
          </cell>
          <cell r="F24" t="str">
            <v>FSG60-AFA1</v>
          </cell>
          <cell r="G24" t="str">
            <v>AD-6313 / K6000801141</v>
          </cell>
          <cell r="H24" t="str">
            <v>Cs-137</v>
          </cell>
          <cell r="I24" t="str">
            <v>110 MBq</v>
          </cell>
          <cell r="J24" t="str">
            <v>06/15</v>
          </cell>
          <cell r="K24">
            <v>42070</v>
          </cell>
          <cell r="L24">
            <v>0.72916666666666663</v>
          </cell>
          <cell r="M24" t="str">
            <v>170313D023</v>
          </cell>
          <cell r="N24">
            <v>42808</v>
          </cell>
          <cell r="O24">
            <v>2.1</v>
          </cell>
          <cell r="P24" t="str">
            <v>047</v>
          </cell>
          <cell r="Q24" t="str">
            <v>&lt; LD</v>
          </cell>
          <cell r="R24">
            <v>236</v>
          </cell>
          <cell r="S24" t="str">
            <v>016</v>
          </cell>
          <cell r="T24" t="str">
            <v>Challhuahuacho - Cotabambas - Apurímac</v>
          </cell>
          <cell r="U24" t="str">
            <v>0340</v>
          </cell>
          <cell r="V24" t="str">
            <v>TÚNEL DE ESPESADOR</v>
          </cell>
          <cell r="W24" t="str">
            <v>Endress + Hausser</v>
          </cell>
          <cell r="X24" t="str">
            <v>FQG61-4NH6/0</v>
          </cell>
          <cell r="Y24" t="str">
            <v>J300050113F</v>
          </cell>
          <cell r="Z24" t="str">
            <v>THERMO SCIENTIFIC</v>
          </cell>
          <cell r="AA24" t="str">
            <v>RADEYE SPRD</v>
          </cell>
          <cell r="AB24">
            <v>10356</v>
          </cell>
          <cell r="AC24">
            <v>0.95</v>
          </cell>
          <cell r="AD24">
            <v>42710</v>
          </cell>
          <cell r="AE24">
            <v>0.96</v>
          </cell>
          <cell r="AF24">
            <v>0.17</v>
          </cell>
          <cell r="AG24">
            <v>0.12</v>
          </cell>
          <cell r="AH24">
            <v>0.82</v>
          </cell>
          <cell r="AI24">
            <v>0.15</v>
          </cell>
          <cell r="AJ24">
            <v>0.11</v>
          </cell>
          <cell r="AK24">
            <v>0.25</v>
          </cell>
          <cell r="AL24">
            <v>0.15</v>
          </cell>
          <cell r="AM24">
            <v>0.1</v>
          </cell>
          <cell r="AN24">
            <v>0.72</v>
          </cell>
          <cell r="AO24">
            <v>0.16</v>
          </cell>
          <cell r="AP24">
            <v>7.0000000000000007E-2</v>
          </cell>
          <cell r="BI24">
            <v>42070</v>
          </cell>
          <cell r="BJ24">
            <v>0.72569444444444453</v>
          </cell>
          <cell r="BK24">
            <v>0.73472222222222217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</row>
        <row r="25">
          <cell r="B25" t="str">
            <v>0340-DX-05230</v>
          </cell>
          <cell r="C25" t="str">
            <v>MINERA LAS BAMBAS S.A.</v>
          </cell>
          <cell r="D25" t="str">
            <v>DESCARGA BBA UNDERFLOW ESPESADOR CONCENTRADO</v>
          </cell>
          <cell r="E25" t="str">
            <v>Endress + Hauser</v>
          </cell>
          <cell r="F25" t="str">
            <v>FSG60-AFA1</v>
          </cell>
          <cell r="G25" t="str">
            <v>AD-6314 / K6000901141</v>
          </cell>
          <cell r="H25" t="str">
            <v>Cs-137</v>
          </cell>
          <cell r="I25" t="str">
            <v>110 MBq</v>
          </cell>
          <cell r="J25" t="str">
            <v>06/15</v>
          </cell>
          <cell r="K25">
            <v>42801</v>
          </cell>
          <cell r="L25">
            <v>0.72222222222222221</v>
          </cell>
          <cell r="M25" t="str">
            <v>170313D024</v>
          </cell>
          <cell r="N25">
            <v>42808</v>
          </cell>
          <cell r="O25">
            <v>2.1</v>
          </cell>
          <cell r="P25" t="str">
            <v>048</v>
          </cell>
          <cell r="Q25" t="str">
            <v>&lt; LD</v>
          </cell>
          <cell r="R25">
            <v>237</v>
          </cell>
          <cell r="S25" t="str">
            <v>017</v>
          </cell>
          <cell r="T25" t="str">
            <v>Challhuahuacho - Cotabambas - Apurímac</v>
          </cell>
          <cell r="U25" t="str">
            <v>0340</v>
          </cell>
          <cell r="V25" t="str">
            <v>TÚNEL DE ESPESADOR</v>
          </cell>
          <cell r="W25" t="str">
            <v>Endress + Hausser</v>
          </cell>
          <cell r="X25" t="str">
            <v>FQG61-4NH6/0</v>
          </cell>
          <cell r="Y25" t="str">
            <v>J300060113F</v>
          </cell>
          <cell r="Z25" t="str">
            <v>THERMO SCIENTIFIC</v>
          </cell>
          <cell r="AA25" t="str">
            <v>RADEYE SPRD</v>
          </cell>
          <cell r="AB25">
            <v>10356</v>
          </cell>
          <cell r="AC25">
            <v>0.95</v>
          </cell>
          <cell r="AD25">
            <v>42710</v>
          </cell>
          <cell r="AE25">
            <v>0.99</v>
          </cell>
          <cell r="AF25">
            <v>0.21</v>
          </cell>
          <cell r="AG25">
            <v>0.13</v>
          </cell>
          <cell r="AH25">
            <v>0.89</v>
          </cell>
          <cell r="AI25">
            <v>0.15</v>
          </cell>
          <cell r="AJ25">
            <v>0.1</v>
          </cell>
          <cell r="AK25">
            <v>0.25</v>
          </cell>
          <cell r="AL25">
            <v>0.15</v>
          </cell>
          <cell r="AM25">
            <v>0.08</v>
          </cell>
          <cell r="AN25">
            <v>0.77</v>
          </cell>
          <cell r="AO25">
            <v>0.11</v>
          </cell>
          <cell r="AP25">
            <v>0.1</v>
          </cell>
          <cell r="BI25">
            <v>42801</v>
          </cell>
          <cell r="BJ25">
            <v>0.71875</v>
          </cell>
          <cell r="BK25">
            <v>0.72499999999999998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</row>
        <row r="26">
          <cell r="B26" t="str">
            <v>0510-DX-09362</v>
          </cell>
          <cell r="C26" t="str">
            <v>MINERA LAS BAMBAS S.A.</v>
          </cell>
          <cell r="D26" t="str">
            <v>RECIRCULACIÓN ESPESADOR 1 DE RELAVES</v>
          </cell>
          <cell r="E26" t="str">
            <v>Endress + Hauser</v>
          </cell>
          <cell r="F26" t="str">
            <v>FSG60-ALA1</v>
          </cell>
          <cell r="G26" t="str">
            <v>AD-6311 / K6001301141</v>
          </cell>
          <cell r="H26" t="str">
            <v>Cs-137</v>
          </cell>
          <cell r="I26" t="str">
            <v>1,1 GBq</v>
          </cell>
          <cell r="J26" t="str">
            <v>06/15</v>
          </cell>
          <cell r="K26">
            <v>42801</v>
          </cell>
          <cell r="L26">
            <v>0.38194444444444442</v>
          </cell>
          <cell r="M26" t="str">
            <v>170313D025</v>
          </cell>
          <cell r="N26">
            <v>42808</v>
          </cell>
          <cell r="O26">
            <v>2.1</v>
          </cell>
          <cell r="P26" t="str">
            <v>049</v>
          </cell>
          <cell r="Q26" t="str">
            <v>&lt; LD</v>
          </cell>
          <cell r="R26">
            <v>238</v>
          </cell>
          <cell r="S26" t="str">
            <v>018</v>
          </cell>
          <cell r="T26" t="str">
            <v>Challhuahuacho - Cotabambas - Apurímac</v>
          </cell>
          <cell r="U26" t="str">
            <v>0510</v>
          </cell>
          <cell r="V26" t="str">
            <v>ESPESADOR DE RELAVES</v>
          </cell>
          <cell r="W26" t="str">
            <v>Endress + Hausser</v>
          </cell>
          <cell r="X26" t="str">
            <v>FQG61-4NF5/0</v>
          </cell>
          <cell r="Y26" t="str">
            <v>J3000B0113F</v>
          </cell>
          <cell r="Z26" t="str">
            <v>THERMO SCIENTIFIC</v>
          </cell>
          <cell r="AA26" t="str">
            <v>RADEYE SPRD</v>
          </cell>
          <cell r="AB26">
            <v>10356</v>
          </cell>
          <cell r="AC26">
            <v>0.95</v>
          </cell>
          <cell r="AD26">
            <v>42710</v>
          </cell>
          <cell r="AE26">
            <v>8.41</v>
          </cell>
          <cell r="AF26">
            <v>1.1000000000000001</v>
          </cell>
          <cell r="AG26">
            <v>0.45</v>
          </cell>
          <cell r="AH26">
            <v>6.22</v>
          </cell>
          <cell r="AI26">
            <v>0.65</v>
          </cell>
          <cell r="AJ26">
            <v>0.34</v>
          </cell>
          <cell r="AK26">
            <v>6.67</v>
          </cell>
          <cell r="AL26">
            <v>0.9</v>
          </cell>
          <cell r="AM26">
            <v>0.3</v>
          </cell>
          <cell r="AN26">
            <v>1.86</v>
          </cell>
          <cell r="AO26">
            <v>0.38</v>
          </cell>
          <cell r="AP26">
            <v>0.15</v>
          </cell>
          <cell r="BI26">
            <v>42801</v>
          </cell>
          <cell r="BJ26">
            <v>0.37638888888888888</v>
          </cell>
          <cell r="BK26">
            <v>0.3972222222222222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</row>
        <row r="27">
          <cell r="B27" t="str">
            <v>0510-DX-09462</v>
          </cell>
          <cell r="C27" t="str">
            <v>MINERA LAS BAMBAS S.A.</v>
          </cell>
          <cell r="D27" t="str">
            <v>RECIRCULACIÓN ESPESADOR 1 DE RELAVES</v>
          </cell>
          <cell r="E27" t="str">
            <v>Endress + Hauser</v>
          </cell>
          <cell r="F27" t="str">
            <v>FSG60-ALA1</v>
          </cell>
          <cell r="G27" t="str">
            <v>AD-6312 / K6001401141</v>
          </cell>
          <cell r="H27" t="str">
            <v>Cs-137</v>
          </cell>
          <cell r="I27" t="str">
            <v>1,1 GBq</v>
          </cell>
          <cell r="J27" t="str">
            <v>06/15</v>
          </cell>
          <cell r="K27">
            <v>42801</v>
          </cell>
          <cell r="L27">
            <v>0.3659722222222222</v>
          </cell>
          <cell r="M27" t="str">
            <v>170313D026</v>
          </cell>
          <cell r="N27">
            <v>42808</v>
          </cell>
          <cell r="O27">
            <v>2.1</v>
          </cell>
          <cell r="P27" t="str">
            <v>050</v>
          </cell>
          <cell r="Q27" t="str">
            <v>&lt; LD</v>
          </cell>
          <cell r="R27">
            <v>239</v>
          </cell>
          <cell r="S27" t="str">
            <v>019</v>
          </cell>
          <cell r="T27" t="str">
            <v>Challhuahuacho - Cotabambas - Apurímac</v>
          </cell>
          <cell r="U27" t="str">
            <v>0510</v>
          </cell>
          <cell r="V27" t="str">
            <v>ESPESADOR DE RELAVES</v>
          </cell>
          <cell r="W27" t="str">
            <v>Endress + Hausser</v>
          </cell>
          <cell r="X27" t="str">
            <v>FQG61-4NF5/0</v>
          </cell>
          <cell r="Y27" t="str">
            <v>J3000C0113F</v>
          </cell>
          <cell r="Z27" t="str">
            <v>THERMO SCIENTIFIC</v>
          </cell>
          <cell r="AA27" t="str">
            <v>RADEYE SPRD</v>
          </cell>
          <cell r="AB27">
            <v>10356</v>
          </cell>
          <cell r="AC27">
            <v>0.95</v>
          </cell>
          <cell r="AD27">
            <v>42710</v>
          </cell>
          <cell r="AE27">
            <v>6.82</v>
          </cell>
          <cell r="AF27">
            <v>0.92</v>
          </cell>
          <cell r="AG27">
            <v>0.32</v>
          </cell>
          <cell r="AH27">
            <v>6.44</v>
          </cell>
          <cell r="AI27">
            <v>0.71</v>
          </cell>
          <cell r="AJ27">
            <v>0.24</v>
          </cell>
          <cell r="AK27">
            <v>3.1</v>
          </cell>
          <cell r="AL27" t="str">
            <v>0..68</v>
          </cell>
          <cell r="AM27">
            <v>0.45</v>
          </cell>
          <cell r="AN27">
            <v>1.66</v>
          </cell>
          <cell r="AO27">
            <v>0.82</v>
          </cell>
          <cell r="AP27">
            <v>0.44</v>
          </cell>
          <cell r="BI27">
            <v>42801</v>
          </cell>
          <cell r="BJ27">
            <v>0.36180555555555555</v>
          </cell>
          <cell r="BK27">
            <v>0.375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</row>
        <row r="28">
          <cell r="B28" t="str">
            <v>0370-DX-06876</v>
          </cell>
          <cell r="C28" t="str">
            <v>MINERA LAS BAMBAS S.A.</v>
          </cell>
          <cell r="D28" t="str">
            <v>PLANTA MOLIBDENO</v>
          </cell>
          <cell r="E28" t="str">
            <v>Endress + Hauser</v>
          </cell>
          <cell r="F28" t="str">
            <v>FSG60-AKA1+Z1</v>
          </cell>
          <cell r="G28" t="str">
            <v>AF-4798 / K7002F01141</v>
          </cell>
          <cell r="H28" t="str">
            <v>Cs-137</v>
          </cell>
          <cell r="I28" t="str">
            <v>740 MBq</v>
          </cell>
          <cell r="J28" t="str">
            <v>07/15</v>
          </cell>
          <cell r="K28">
            <v>42798</v>
          </cell>
          <cell r="L28" t="str">
            <v>16:59 P.M.</v>
          </cell>
          <cell r="M28" t="str">
            <v>170313D027</v>
          </cell>
          <cell r="N28">
            <v>42808</v>
          </cell>
          <cell r="O28">
            <v>2.1</v>
          </cell>
          <cell r="P28" t="str">
            <v>051</v>
          </cell>
          <cell r="Q28" t="str">
            <v>&lt; LD</v>
          </cell>
          <cell r="R28">
            <v>240</v>
          </cell>
          <cell r="S28" t="str">
            <v>020</v>
          </cell>
          <cell r="T28" t="str">
            <v>Challhuahuacho - Cotabambas - Apurímac</v>
          </cell>
          <cell r="U28" t="str">
            <v>0370</v>
          </cell>
          <cell r="V28" t="str">
            <v>PLANTA MOLIBDENO</v>
          </cell>
          <cell r="W28" t="str">
            <v>Endress + Hausser</v>
          </cell>
          <cell r="X28" t="str">
            <v>FQG61-3LT2/0</v>
          </cell>
          <cell r="Y28" t="str">
            <v>K300190113F</v>
          </cell>
          <cell r="Z28" t="str">
            <v>THERMO SCIENTIFIC</v>
          </cell>
          <cell r="AA28" t="str">
            <v>RADEYE SPRD</v>
          </cell>
          <cell r="AB28">
            <v>10356</v>
          </cell>
          <cell r="AC28">
            <v>0.95</v>
          </cell>
          <cell r="AD28">
            <v>42710</v>
          </cell>
          <cell r="AE28">
            <v>0.84</v>
          </cell>
          <cell r="AF28">
            <v>0.21</v>
          </cell>
          <cell r="AG28">
            <v>7.0000000000000007E-2</v>
          </cell>
          <cell r="AH28" t="str">
            <v>---</v>
          </cell>
          <cell r="AI28" t="str">
            <v>---</v>
          </cell>
          <cell r="AJ28" t="str">
            <v>---</v>
          </cell>
          <cell r="AK28">
            <v>1.38</v>
          </cell>
          <cell r="AL28">
            <v>0.66</v>
          </cell>
          <cell r="AM28">
            <v>0.14000000000000001</v>
          </cell>
          <cell r="AN28" t="str">
            <v>---</v>
          </cell>
          <cell r="AO28" t="str">
            <v>---</v>
          </cell>
          <cell r="AP28" t="str">
            <v>---</v>
          </cell>
          <cell r="BI28">
            <v>42798</v>
          </cell>
          <cell r="BJ28">
            <v>0.73263888888888884</v>
          </cell>
          <cell r="BK28">
            <v>0.74861111111111101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</row>
        <row r="29">
          <cell r="B29" t="str">
            <v>0330-DX-04130</v>
          </cell>
          <cell r="C29" t="str">
            <v>MINERA LAS BAMBAS S.A.</v>
          </cell>
          <cell r="D29" t="str">
            <v>ALIMENT. BATER. CICLONES REMOLIENDA ROUGHER</v>
          </cell>
          <cell r="E29" t="str">
            <v>Endress + Hauser</v>
          </cell>
          <cell r="F29" t="str">
            <v>FSG60-ALA1</v>
          </cell>
          <cell r="G29" t="str">
            <v>AD-6243 / K5003D01141</v>
          </cell>
          <cell r="H29" t="str">
            <v>Cs-137</v>
          </cell>
          <cell r="I29" t="str">
            <v>1,1 GBq</v>
          </cell>
          <cell r="J29" t="str">
            <v>05/15</v>
          </cell>
          <cell r="K29">
            <v>42799</v>
          </cell>
          <cell r="L29">
            <v>0.68541666666666667</v>
          </cell>
          <cell r="M29" t="str">
            <v>170313D028</v>
          </cell>
          <cell r="N29">
            <v>42808</v>
          </cell>
          <cell r="O29">
            <v>2.1</v>
          </cell>
          <cell r="P29" t="str">
            <v>052</v>
          </cell>
          <cell r="Q29" t="str">
            <v>&lt; LD</v>
          </cell>
          <cell r="R29">
            <v>241</v>
          </cell>
          <cell r="S29" t="str">
            <v>021</v>
          </cell>
          <cell r="T29" t="str">
            <v>Challhuahuacho - Cotabambas - Apurímac</v>
          </cell>
          <cell r="U29" t="str">
            <v>0330</v>
          </cell>
          <cell r="V29" t="str">
            <v>REMOLIENDA</v>
          </cell>
          <cell r="W29" t="str">
            <v>Endress + Hausser</v>
          </cell>
          <cell r="X29" t="str">
            <v>FQG61-4NF5/0</v>
          </cell>
          <cell r="Y29" t="str">
            <v>J300010113F</v>
          </cell>
          <cell r="Z29" t="str">
            <v>THERMO SCIENTIFIC</v>
          </cell>
          <cell r="AA29" t="str">
            <v>RADEYE SPRD</v>
          </cell>
          <cell r="AB29">
            <v>10356</v>
          </cell>
          <cell r="AC29">
            <v>0.95</v>
          </cell>
          <cell r="AD29">
            <v>42710</v>
          </cell>
          <cell r="AE29">
            <v>6.42</v>
          </cell>
          <cell r="AF29">
            <v>0.96</v>
          </cell>
          <cell r="AG29">
            <v>0.28999999999999998</v>
          </cell>
          <cell r="AH29">
            <v>6.22</v>
          </cell>
          <cell r="AI29">
            <v>0.42</v>
          </cell>
          <cell r="AJ29">
            <v>0.22</v>
          </cell>
          <cell r="AK29">
            <v>4.59</v>
          </cell>
          <cell r="AL29">
            <v>0.42</v>
          </cell>
          <cell r="AM29">
            <v>0.28000000000000003</v>
          </cell>
          <cell r="AN29">
            <v>1.54</v>
          </cell>
          <cell r="AO29">
            <v>0.4</v>
          </cell>
          <cell r="AP29">
            <v>0.31</v>
          </cell>
          <cell r="BI29">
            <v>42799</v>
          </cell>
          <cell r="BJ29">
            <v>0.68194444444444446</v>
          </cell>
          <cell r="BK29">
            <v>0.71666666666666667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</row>
        <row r="30">
          <cell r="B30" t="str">
            <v>0330-DX-04330</v>
          </cell>
          <cell r="C30" t="str">
            <v>MINERA LAS BAMBAS S.A.</v>
          </cell>
          <cell r="D30" t="str">
            <v>ALIMENT. BATER. CICLONES REMOLIENDA ROUG-SCAV</v>
          </cell>
          <cell r="E30" t="str">
            <v>Endress + Hauser</v>
          </cell>
          <cell r="F30" t="str">
            <v>FSG60-AMA1</v>
          </cell>
          <cell r="G30" t="str">
            <v>AD-6244 / K5003B01141</v>
          </cell>
          <cell r="H30" t="str">
            <v>Cs-137</v>
          </cell>
          <cell r="I30" t="str">
            <v>1,85 GBq</v>
          </cell>
          <cell r="J30" t="str">
            <v>05/15</v>
          </cell>
          <cell r="K30">
            <v>42798</v>
          </cell>
          <cell r="L30">
            <v>0.41875000000000001</v>
          </cell>
          <cell r="M30" t="str">
            <v>170313D029</v>
          </cell>
          <cell r="N30">
            <v>42808</v>
          </cell>
          <cell r="O30">
            <v>2.1</v>
          </cell>
          <cell r="P30" t="str">
            <v>053</v>
          </cell>
          <cell r="Q30" t="str">
            <v>&lt; LD</v>
          </cell>
          <cell r="R30">
            <v>242</v>
          </cell>
          <cell r="S30" t="str">
            <v>022</v>
          </cell>
          <cell r="T30" t="str">
            <v>Challhuahuacho - Cotabambas - Apurímac</v>
          </cell>
          <cell r="U30" t="str">
            <v>0330</v>
          </cell>
          <cell r="V30" t="str">
            <v>REMOLIENDA</v>
          </cell>
          <cell r="W30" t="str">
            <v>Endress + Hausser</v>
          </cell>
          <cell r="X30" t="str">
            <v>FQG61-4NE0/0</v>
          </cell>
          <cell r="Y30" t="str">
            <v>J300020113F</v>
          </cell>
          <cell r="Z30" t="str">
            <v>THERMO SCIENTIFIC</v>
          </cell>
          <cell r="AA30" t="str">
            <v>RADEYE SPRD</v>
          </cell>
          <cell r="AB30">
            <v>10356</v>
          </cell>
          <cell r="AC30">
            <v>0.95</v>
          </cell>
          <cell r="AD30">
            <v>42710</v>
          </cell>
          <cell r="AE30">
            <v>11.2</v>
          </cell>
          <cell r="AF30">
            <v>2.66</v>
          </cell>
          <cell r="AG30">
            <v>0.82</v>
          </cell>
          <cell r="AH30">
            <v>10.7</v>
          </cell>
          <cell r="AI30">
            <v>1.42</v>
          </cell>
          <cell r="AJ30">
            <v>0.94</v>
          </cell>
          <cell r="AK30">
            <v>7.84</v>
          </cell>
          <cell r="AL30">
            <v>0.23</v>
          </cell>
          <cell r="AM30">
            <v>0.11</v>
          </cell>
          <cell r="AN30">
            <v>7.84</v>
          </cell>
          <cell r="AO30">
            <v>3.32</v>
          </cell>
          <cell r="AP30">
            <v>0.94</v>
          </cell>
          <cell r="BI30">
            <v>42798</v>
          </cell>
          <cell r="BJ30">
            <v>0.41319444444444442</v>
          </cell>
          <cell r="BK30">
            <v>0.46736111111111112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</row>
        <row r="31">
          <cell r="B31" t="str">
            <v>0330-DX-04230</v>
          </cell>
          <cell r="C31" t="str">
            <v>MINERA LAS BAMBAS S.A.</v>
          </cell>
          <cell r="D31" t="str">
            <v>ALIMENT. BATER. CICLONES REMOLIENDA ROUG-SCAV</v>
          </cell>
          <cell r="E31" t="str">
            <v>Endress + Hauser</v>
          </cell>
          <cell r="F31" t="str">
            <v>FSG60-AMA1</v>
          </cell>
          <cell r="G31" t="str">
            <v>AD-6245 / K5003C01141</v>
          </cell>
          <cell r="H31" t="str">
            <v>Cs-137</v>
          </cell>
          <cell r="I31" t="str">
            <v>1,85 GBq</v>
          </cell>
          <cell r="J31" t="str">
            <v>05/15</v>
          </cell>
          <cell r="K31">
            <v>42799</v>
          </cell>
          <cell r="L31">
            <v>0.39305555555555555</v>
          </cell>
          <cell r="M31" t="str">
            <v>170313D030</v>
          </cell>
          <cell r="N31">
            <v>42808</v>
          </cell>
          <cell r="O31">
            <v>2.1</v>
          </cell>
          <cell r="P31" t="str">
            <v>054</v>
          </cell>
          <cell r="Q31" t="str">
            <v>&lt; LD</v>
          </cell>
          <cell r="R31">
            <v>243</v>
          </cell>
          <cell r="S31" t="str">
            <v>023</v>
          </cell>
          <cell r="T31" t="str">
            <v>Challhuahuacho - Cotabambas - Apurímac</v>
          </cell>
          <cell r="U31" t="str">
            <v>0330</v>
          </cell>
          <cell r="V31" t="str">
            <v>REMOLIENDA</v>
          </cell>
          <cell r="W31" t="str">
            <v>Endress + Hausser</v>
          </cell>
          <cell r="X31" t="str">
            <v>FQG61-4NE0/0</v>
          </cell>
          <cell r="Y31" t="str">
            <v>J300030113F</v>
          </cell>
          <cell r="Z31" t="str">
            <v>THERMO SCIENTIFIC</v>
          </cell>
          <cell r="AA31" t="str">
            <v>RADEYE SPRD</v>
          </cell>
          <cell r="AB31">
            <v>10356</v>
          </cell>
          <cell r="AC31">
            <v>0.95</v>
          </cell>
          <cell r="AD31">
            <v>42710</v>
          </cell>
          <cell r="AE31">
            <v>11.4</v>
          </cell>
          <cell r="AF31">
            <v>2.16</v>
          </cell>
          <cell r="AG31">
            <v>0.41</v>
          </cell>
          <cell r="AH31">
            <v>10.8</v>
          </cell>
          <cell r="AI31">
            <v>1.32</v>
          </cell>
          <cell r="AJ31">
            <v>0.16</v>
          </cell>
          <cell r="AK31">
            <v>6.6</v>
          </cell>
          <cell r="AL31">
            <v>1.1200000000000001</v>
          </cell>
          <cell r="AM31">
            <v>0.28999999999999998</v>
          </cell>
          <cell r="AN31">
            <v>2.04</v>
          </cell>
          <cell r="AO31">
            <v>0.41</v>
          </cell>
          <cell r="AP31">
            <v>0.21</v>
          </cell>
          <cell r="BI31">
            <v>42799</v>
          </cell>
          <cell r="BJ31">
            <v>0.38541666666666669</v>
          </cell>
          <cell r="BK31">
            <v>0.42708333333333331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</row>
        <row r="32">
          <cell r="B32" t="str">
            <v>0370-DX-06714</v>
          </cell>
          <cell r="C32" t="str">
            <v>MINERA LAS BAMBAS S.A.</v>
          </cell>
          <cell r="D32" t="str">
            <v>DESCARGA BOMBAS PPS-0036/PPS-0037 HACIA CICLON CSC-0008</v>
          </cell>
          <cell r="E32" t="str">
            <v>Endress + Hauser</v>
          </cell>
          <cell r="F32" t="str">
            <v>FSG60-AEA1</v>
          </cell>
          <cell r="G32" t="str">
            <v>AD-6323 / K6000E01141</v>
          </cell>
          <cell r="H32" t="str">
            <v>Cs-137</v>
          </cell>
          <cell r="I32" t="str">
            <v>74 MBq</v>
          </cell>
          <cell r="J32" t="str">
            <v>06/15</v>
          </cell>
          <cell r="K32">
            <v>42802</v>
          </cell>
          <cell r="L32">
            <v>0.73611111111111116</v>
          </cell>
          <cell r="M32" t="str">
            <v>170313D031</v>
          </cell>
          <cell r="N32">
            <v>42808</v>
          </cell>
          <cell r="O32">
            <v>2.1</v>
          </cell>
          <cell r="P32" t="str">
            <v>055</v>
          </cell>
          <cell r="Q32" t="str">
            <v>&lt; LD</v>
          </cell>
          <cell r="R32">
            <v>244</v>
          </cell>
          <cell r="S32" t="str">
            <v>024</v>
          </cell>
          <cell r="T32" t="str">
            <v>Challhuahuacho - Cotabambas - Apurímac</v>
          </cell>
          <cell r="U32" t="str">
            <v>0370</v>
          </cell>
          <cell r="V32" t="str">
            <v>PLANTA MOLIBDENO</v>
          </cell>
          <cell r="W32" t="str">
            <v>Endress + Hausser</v>
          </cell>
          <cell r="X32" t="str">
            <v>FQG61-4NA8/0</v>
          </cell>
          <cell r="Y32" t="str">
            <v>J300040113F</v>
          </cell>
          <cell r="Z32" t="str">
            <v>THERMO SCIENTIFIC</v>
          </cell>
          <cell r="AA32" t="str">
            <v>RADEYE SPRD</v>
          </cell>
          <cell r="AB32">
            <v>10356</v>
          </cell>
          <cell r="AC32">
            <v>0.95</v>
          </cell>
          <cell r="AD32">
            <v>42710</v>
          </cell>
          <cell r="AE32">
            <v>0.63</v>
          </cell>
          <cell r="AF32">
            <v>0.12</v>
          </cell>
          <cell r="AG32">
            <v>0.08</v>
          </cell>
          <cell r="AH32" t="str">
            <v>---</v>
          </cell>
          <cell r="AI32" t="str">
            <v>---</v>
          </cell>
          <cell r="AJ32" t="str">
            <v>---</v>
          </cell>
          <cell r="AK32">
            <v>0.2</v>
          </cell>
          <cell r="AL32">
            <v>0.1</v>
          </cell>
          <cell r="AM32">
            <v>0.08</v>
          </cell>
          <cell r="AN32" t="str">
            <v>---</v>
          </cell>
          <cell r="AO32" t="str">
            <v>---</v>
          </cell>
          <cell r="AP32" t="str">
            <v>---</v>
          </cell>
          <cell r="BI32">
            <v>42802</v>
          </cell>
          <cell r="BJ32">
            <v>0.72916666666666663</v>
          </cell>
          <cell r="BK32">
            <v>0.74652777777777779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</row>
        <row r="33">
          <cell r="B33" t="str">
            <v>0210-LX-00129</v>
          </cell>
          <cell r="C33" t="str">
            <v>MINERA LAS BAMBAS S.A.</v>
          </cell>
          <cell r="D33" t="str">
            <v>CHUTE DESCARGA 0210-CRG-0001</v>
          </cell>
          <cell r="E33" t="str">
            <v>Endress + Hauser</v>
          </cell>
          <cell r="F33" t="str">
            <v>FSG60-ATA1</v>
          </cell>
          <cell r="G33" t="str">
            <v>AD-6241 / K5003E01141</v>
          </cell>
          <cell r="H33" t="str">
            <v>Cs-137</v>
          </cell>
          <cell r="I33" t="str">
            <v>18,5 GBq</v>
          </cell>
          <cell r="J33" t="str">
            <v>05/15</v>
          </cell>
          <cell r="K33">
            <v>42802</v>
          </cell>
          <cell r="L33">
            <v>0.4861111111111111</v>
          </cell>
          <cell r="M33" t="str">
            <v>170313D032</v>
          </cell>
          <cell r="N33">
            <v>42808</v>
          </cell>
          <cell r="O33">
            <v>2.1</v>
          </cell>
          <cell r="P33" t="str">
            <v>056</v>
          </cell>
          <cell r="Q33" t="str">
            <v>&lt; LD</v>
          </cell>
          <cell r="R33">
            <v>245</v>
          </cell>
          <cell r="S33" t="str">
            <v>025</v>
          </cell>
          <cell r="T33" t="str">
            <v>Challhuahuacho - Cotabambas - Apurímac</v>
          </cell>
          <cell r="U33" t="str">
            <v>0210</v>
          </cell>
          <cell r="V33" t="str">
            <v>CHANCADO PRIMARIO</v>
          </cell>
          <cell r="W33" t="str">
            <v>Endress + Hausser</v>
          </cell>
          <cell r="X33" t="str">
            <v>FQG62-2WF0/0</v>
          </cell>
          <cell r="Y33" t="str">
            <v>J3000501140</v>
          </cell>
          <cell r="Z33" t="str">
            <v>THERMO SCIENTIFIC</v>
          </cell>
          <cell r="AA33" t="str">
            <v>RADEYE SPRD</v>
          </cell>
          <cell r="AB33">
            <v>10356</v>
          </cell>
          <cell r="AC33">
            <v>0.95</v>
          </cell>
          <cell r="AD33">
            <v>42710</v>
          </cell>
          <cell r="AE33">
            <v>12.5</v>
          </cell>
          <cell r="AF33">
            <v>2.73</v>
          </cell>
          <cell r="AG33">
            <v>0.41</v>
          </cell>
          <cell r="AH33">
            <v>12.1</v>
          </cell>
          <cell r="AI33">
            <v>1.26</v>
          </cell>
          <cell r="AJ33">
            <v>0.4</v>
          </cell>
          <cell r="AK33">
            <v>2.29</v>
          </cell>
          <cell r="AL33">
            <v>0.56000000000000005</v>
          </cell>
          <cell r="AM33">
            <v>0.34</v>
          </cell>
          <cell r="AN33">
            <v>0.65</v>
          </cell>
          <cell r="AO33">
            <v>0.45</v>
          </cell>
          <cell r="AP33">
            <v>0.13</v>
          </cell>
          <cell r="BI33">
            <v>42802</v>
          </cell>
          <cell r="BJ33">
            <v>0.48055555555555557</v>
          </cell>
          <cell r="BK33">
            <v>0.50138888888888888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</row>
        <row r="34">
          <cell r="B34" t="str">
            <v>0210-LX-00329</v>
          </cell>
          <cell r="C34" t="str">
            <v>MINERA LAS BAMBAS S.A.</v>
          </cell>
          <cell r="D34" t="str">
            <v>CHUTE DESCARGA 0210-CRG-0002</v>
          </cell>
          <cell r="E34" t="str">
            <v>Endress + Hauser</v>
          </cell>
          <cell r="F34" t="str">
            <v>FSG60-ATA1</v>
          </cell>
          <cell r="G34" t="str">
            <v>AD-6242 / K5003F01141</v>
          </cell>
          <cell r="H34" t="str">
            <v>Cs-137</v>
          </cell>
          <cell r="I34" t="str">
            <v>18,5 GBq</v>
          </cell>
          <cell r="J34" t="str">
            <v>05/15</v>
          </cell>
          <cell r="K34">
            <v>42802</v>
          </cell>
          <cell r="L34">
            <v>0.4458333333333333</v>
          </cell>
          <cell r="M34" t="str">
            <v>170313D033</v>
          </cell>
          <cell r="N34">
            <v>42808</v>
          </cell>
          <cell r="O34">
            <v>2.1</v>
          </cell>
          <cell r="P34" t="str">
            <v>057</v>
          </cell>
          <cell r="Q34" t="str">
            <v>&lt; LD</v>
          </cell>
          <cell r="R34">
            <v>246</v>
          </cell>
          <cell r="S34" t="str">
            <v>026</v>
          </cell>
          <cell r="T34" t="str">
            <v>Challhuahuacho - Cotabambas - Apurímac</v>
          </cell>
          <cell r="U34" t="str">
            <v>0210</v>
          </cell>
          <cell r="V34" t="str">
            <v>CHANCADO PRIMARIO</v>
          </cell>
          <cell r="W34" t="str">
            <v>Endress + Hausser</v>
          </cell>
          <cell r="X34" t="str">
            <v>FQG62-2WF0/0</v>
          </cell>
          <cell r="Y34" t="str">
            <v>J3000601140</v>
          </cell>
          <cell r="Z34" t="str">
            <v>THERMO SCIENTIFIC</v>
          </cell>
          <cell r="AA34" t="str">
            <v>RADEYE SPRD</v>
          </cell>
          <cell r="AB34">
            <v>10356</v>
          </cell>
          <cell r="AC34">
            <v>0.95</v>
          </cell>
          <cell r="AD34">
            <v>42710</v>
          </cell>
          <cell r="AE34">
            <v>13.6</v>
          </cell>
          <cell r="AF34">
            <v>2.11</v>
          </cell>
          <cell r="AG34">
            <v>0.56999999999999995</v>
          </cell>
          <cell r="AH34">
            <v>12.8</v>
          </cell>
          <cell r="AI34">
            <v>1.18</v>
          </cell>
          <cell r="AJ34">
            <v>0.55000000000000004</v>
          </cell>
          <cell r="AK34">
            <v>2.2999999999999998</v>
          </cell>
          <cell r="AL34">
            <v>0.41</v>
          </cell>
          <cell r="AM34">
            <v>0.3</v>
          </cell>
          <cell r="AN34">
            <v>1.65</v>
          </cell>
          <cell r="AO34">
            <v>0.71</v>
          </cell>
          <cell r="AP34">
            <v>0.19</v>
          </cell>
          <cell r="BI34">
            <v>42802</v>
          </cell>
          <cell r="BJ34">
            <v>0.43888888888888888</v>
          </cell>
          <cell r="BK34">
            <v>0.45833333333333331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No definido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No definido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</row>
        <row r="72">
          <cell r="P72">
            <v>0</v>
          </cell>
        </row>
        <row r="73">
          <cell r="P73">
            <v>0</v>
          </cell>
        </row>
        <row r="74">
          <cell r="P74">
            <v>0</v>
          </cell>
        </row>
        <row r="75">
          <cell r="P75">
            <v>0</v>
          </cell>
        </row>
        <row r="76">
          <cell r="P76">
            <v>0</v>
          </cell>
        </row>
        <row r="77">
          <cell r="P77">
            <v>0</v>
          </cell>
        </row>
        <row r="78">
          <cell r="P78">
            <v>0</v>
          </cell>
        </row>
        <row r="79">
          <cell r="P79">
            <v>0</v>
          </cell>
        </row>
        <row r="80">
          <cell r="P80">
            <v>0</v>
          </cell>
        </row>
        <row r="81">
          <cell r="P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ar"/>
      <sheetName val="Base de datos clientes"/>
      <sheetName val="F-SG-004 (Cotización) "/>
      <sheetName val="F-LM-001 (OTM)"/>
      <sheetName val="F-LM-002 (CCM)"/>
      <sheetName val="F-LM-003 (RDCM)"/>
      <sheetName val="F-LM-004 (MPH)"/>
      <sheetName val="Inventario muestras"/>
      <sheetName val="F-LR-015 (ORM)"/>
      <sheetName val="F-LR-016 (OP) "/>
      <sheetName val="F-LR-008 (Seguimiento)"/>
      <sheetName val="F-LR-018 (Informe Herm)"/>
      <sheetName val="F-LR-018 (Informe Agua)"/>
      <sheetName val="Inf. Tasa de dosis (densímetro)"/>
      <sheetName val="Fuente de respuestas"/>
      <sheetName val="Inf. Tasa de dosis (Analizador)"/>
      <sheetName val="Buscad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O2" t="str">
            <v>NRV</v>
          </cell>
        </row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ar"/>
      <sheetName val="Base de datos clientes"/>
      <sheetName val="F-SG-004 (Cotización)"/>
      <sheetName val="F-LR-040 (OTM)"/>
      <sheetName val="F-LR-041 (CCM)"/>
      <sheetName val="F-LR-042 (RDCM)"/>
      <sheetName val="F-LR-043 (MPH)"/>
      <sheetName val="F-LR-015 (ORM)"/>
      <sheetName val="F-LR-016 (OP)"/>
      <sheetName val="F-LR-008 (Seguimiento)"/>
      <sheetName val="F-LR-018 (Informe)"/>
      <sheetName val="Fuente de respuestas"/>
      <sheetName val="Inf. Tasa de dosis (densímetro)"/>
      <sheetName val="Inf. Tasa de dosis (Analizador)"/>
      <sheetName val="Inf. Mantenimiento"/>
      <sheetName val="Inventario muestras"/>
      <sheetName val="Buscad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G2" t="str">
            <v>AD-6315 / K6000A01141</v>
          </cell>
        </row>
        <row r="3">
          <cell r="G3" t="str">
            <v>AD-6316 / K6000B01141</v>
          </cell>
        </row>
        <row r="4">
          <cell r="G4" t="str">
            <v>AD-6320 / K6001001141</v>
          </cell>
        </row>
        <row r="5">
          <cell r="G5" t="str">
            <v>AD-6319 / K600F01141</v>
          </cell>
        </row>
        <row r="6">
          <cell r="G6" t="str">
            <v>AD-6322 / K6001201141</v>
          </cell>
        </row>
        <row r="7">
          <cell r="G7" t="str">
            <v>AD-6321 / K6001101141</v>
          </cell>
        </row>
        <row r="8">
          <cell r="G8" t="str">
            <v>Pu238.5.13</v>
          </cell>
        </row>
        <row r="9">
          <cell r="G9" t="str">
            <v>Pu238.6.13</v>
          </cell>
        </row>
        <row r="10">
          <cell r="G10" t="str">
            <v>Cd109.9.13</v>
          </cell>
        </row>
        <row r="11">
          <cell r="G11" t="str">
            <v>Pu238.4.13</v>
          </cell>
        </row>
        <row r="12">
          <cell r="G12" t="str">
            <v>Cd109.12.13</v>
          </cell>
        </row>
        <row r="13">
          <cell r="G13" t="str">
            <v>Cd109.13.13</v>
          </cell>
        </row>
        <row r="14">
          <cell r="G14" t="str">
            <v>CD109.11.13</v>
          </cell>
        </row>
        <row r="15">
          <cell r="G15" t="str">
            <v>AF-1805 / K700320141</v>
          </cell>
        </row>
        <row r="16">
          <cell r="G16" t="str">
            <v>AF-1804 / K7003101141</v>
          </cell>
        </row>
        <row r="17">
          <cell r="G17" t="str">
            <v>AF-1803 / K7003001141</v>
          </cell>
        </row>
        <row r="18">
          <cell r="G18" t="str">
            <v>AD-6249 / K5003A01141</v>
          </cell>
        </row>
        <row r="19">
          <cell r="G19" t="str">
            <v>AD-6247 / K5003801141</v>
          </cell>
        </row>
        <row r="20">
          <cell r="G20" t="str">
            <v>AD-6248 / K5003901141</v>
          </cell>
        </row>
        <row r="21">
          <cell r="G21" t="str">
            <v>AD-6246 / K5003701141</v>
          </cell>
        </row>
        <row r="22">
          <cell r="G22" t="str">
            <v>AD-6318 / K6000D01141</v>
          </cell>
        </row>
        <row r="23">
          <cell r="G23" t="str">
            <v>AD-6317 / K6000C01141</v>
          </cell>
        </row>
        <row r="24">
          <cell r="G24" t="str">
            <v>AD-6313 / K6000801141</v>
          </cell>
        </row>
        <row r="25">
          <cell r="G25" t="str">
            <v>AD-6314 / K6000901141</v>
          </cell>
        </row>
        <row r="26">
          <cell r="G26" t="str">
            <v>AD-6311 / K60001301141</v>
          </cell>
        </row>
        <row r="27">
          <cell r="G27" t="str">
            <v>AD-6312 / K60001401141</v>
          </cell>
        </row>
        <row r="28">
          <cell r="G28" t="str">
            <v>AF-4798 / K7002F01141</v>
          </cell>
        </row>
        <row r="29">
          <cell r="G29" t="str">
            <v>AD-6243 / K5006001141</v>
          </cell>
        </row>
        <row r="30">
          <cell r="G30" t="str">
            <v>AD-6244 / K5003B01141</v>
          </cell>
        </row>
        <row r="31">
          <cell r="G31" t="str">
            <v>AD-6245 / K5003CO1141</v>
          </cell>
        </row>
        <row r="32">
          <cell r="G32" t="str">
            <v>AD-6323 / K6000801141</v>
          </cell>
        </row>
        <row r="33">
          <cell r="G33" t="str">
            <v>AD-6241</v>
          </cell>
        </row>
        <row r="34">
          <cell r="G34" t="str">
            <v>AD-6242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  <row r="54">
          <cell r="G54">
            <v>0</v>
          </cell>
        </row>
        <row r="55">
          <cell r="G55">
            <v>0</v>
          </cell>
        </row>
        <row r="56">
          <cell r="G56">
            <v>0</v>
          </cell>
        </row>
        <row r="57">
          <cell r="G57">
            <v>0</v>
          </cell>
        </row>
        <row r="58">
          <cell r="G58">
            <v>0</v>
          </cell>
        </row>
        <row r="59">
          <cell r="G59">
            <v>0</v>
          </cell>
        </row>
        <row r="60">
          <cell r="G60">
            <v>0</v>
          </cell>
        </row>
        <row r="61">
          <cell r="G61">
            <v>0</v>
          </cell>
        </row>
        <row r="62">
          <cell r="G62">
            <v>0</v>
          </cell>
        </row>
        <row r="63">
          <cell r="G63">
            <v>0</v>
          </cell>
        </row>
        <row r="64">
          <cell r="G64">
            <v>0</v>
          </cell>
        </row>
        <row r="65">
          <cell r="G65">
            <v>0</v>
          </cell>
        </row>
        <row r="66">
          <cell r="G66">
            <v>0</v>
          </cell>
        </row>
        <row r="67">
          <cell r="G67">
            <v>0</v>
          </cell>
        </row>
        <row r="68">
          <cell r="G68">
            <v>0</v>
          </cell>
        </row>
        <row r="69">
          <cell r="G69">
            <v>0</v>
          </cell>
        </row>
        <row r="70">
          <cell r="G70">
            <v>0</v>
          </cell>
        </row>
        <row r="71">
          <cell r="G71">
            <v>0</v>
          </cell>
        </row>
      </sheetData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datos clientes"/>
      <sheetName val="Inventario muestras"/>
      <sheetName val="F-LR-015 (ORM)"/>
      <sheetName val="F-LR-018 (Informe)"/>
      <sheetName val="Fuente de respuestas"/>
      <sheetName val="Hoja1"/>
    </sheetNames>
    <sheetDataSet>
      <sheetData sheetId="0" refreshError="1">
        <row r="7">
          <cell r="D7" t="str">
            <v>Lima</v>
          </cell>
        </row>
        <row r="8">
          <cell r="D8" t="str">
            <v>Lima</v>
          </cell>
        </row>
        <row r="9">
          <cell r="D9" t="str">
            <v>Lima</v>
          </cell>
        </row>
        <row r="10">
          <cell r="D10" t="str">
            <v>Lima</v>
          </cell>
        </row>
        <row r="11">
          <cell r="D11" t="str">
            <v>Highland</v>
          </cell>
        </row>
        <row r="12">
          <cell r="D12" t="str">
            <v>Lima</v>
          </cell>
        </row>
        <row r="13">
          <cell r="D13" t="str">
            <v>Lima</v>
          </cell>
        </row>
        <row r="14">
          <cell r="D14" t="str">
            <v>Lima</v>
          </cell>
        </row>
        <row r="15">
          <cell r="D15" t="str">
            <v>Lima</v>
          </cell>
        </row>
        <row r="16">
          <cell r="D16" t="str">
            <v>Lima</v>
          </cell>
        </row>
        <row r="17">
          <cell r="D17" t="str">
            <v>Lima</v>
          </cell>
        </row>
        <row r="18">
          <cell r="D18" t="str">
            <v>Lima</v>
          </cell>
        </row>
        <row r="19">
          <cell r="D19" t="str">
            <v>Lima</v>
          </cell>
        </row>
        <row r="20">
          <cell r="D20" t="str">
            <v>Arequipa</v>
          </cell>
        </row>
        <row r="21">
          <cell r="D21" t="str">
            <v>Lima</v>
          </cell>
        </row>
        <row r="22">
          <cell r="D22" t="str">
            <v>Lima</v>
          </cell>
        </row>
        <row r="23">
          <cell r="D23" t="str">
            <v>Lima</v>
          </cell>
        </row>
        <row r="24">
          <cell r="D24" t="str">
            <v>Lima</v>
          </cell>
        </row>
        <row r="25">
          <cell r="D25" t="str">
            <v>Arequipa</v>
          </cell>
        </row>
        <row r="26">
          <cell r="D26" t="str">
            <v>Lima</v>
          </cell>
        </row>
        <row r="27">
          <cell r="D27" t="str">
            <v>Lima</v>
          </cell>
        </row>
        <row r="28">
          <cell r="D28" t="str">
            <v>Lima</v>
          </cell>
        </row>
        <row r="29">
          <cell r="D29" t="str">
            <v>Arequipa</v>
          </cell>
        </row>
      </sheetData>
      <sheetData sheetId="1" refreshError="1">
        <row r="2">
          <cell r="G2" t="str">
            <v>Cs-137</v>
          </cell>
        </row>
        <row r="3">
          <cell r="G3" t="str">
            <v>Cs-137</v>
          </cell>
        </row>
        <row r="4">
          <cell r="G4" t="str">
            <v>Cs-137</v>
          </cell>
        </row>
        <row r="5">
          <cell r="G5" t="str">
            <v>Cs-137</v>
          </cell>
        </row>
        <row r="6">
          <cell r="G6" t="str">
            <v>Cs- 137</v>
          </cell>
        </row>
        <row r="7">
          <cell r="G7" t="str">
            <v>Cs- 137</v>
          </cell>
        </row>
        <row r="8">
          <cell r="G8" t="str">
            <v>Cs- 137</v>
          </cell>
        </row>
        <row r="9">
          <cell r="G9" t="str">
            <v>Cs- 137</v>
          </cell>
        </row>
        <row r="10">
          <cell r="G10" t="str">
            <v>Cs- 137</v>
          </cell>
        </row>
        <row r="11">
          <cell r="G11" t="str">
            <v>Cs- 137</v>
          </cell>
        </row>
        <row r="12">
          <cell r="G12" t="str">
            <v>Cs- 137</v>
          </cell>
        </row>
        <row r="13">
          <cell r="G13" t="str">
            <v>Cs- 137</v>
          </cell>
        </row>
        <row r="14">
          <cell r="G14" t="str">
            <v>Cs- 137</v>
          </cell>
        </row>
        <row r="15">
          <cell r="G15" t="str">
            <v>Cs- 137</v>
          </cell>
        </row>
        <row r="16">
          <cell r="G16" t="str">
            <v>Cs- 137</v>
          </cell>
        </row>
        <row r="17">
          <cell r="G17" t="str">
            <v>Cs- 137</v>
          </cell>
        </row>
        <row r="18">
          <cell r="G18" t="str">
            <v>Cs-137</v>
          </cell>
        </row>
        <row r="19">
          <cell r="G19" t="str">
            <v>Cs-137</v>
          </cell>
        </row>
        <row r="20">
          <cell r="G20" t="str">
            <v>Cs-137</v>
          </cell>
        </row>
        <row r="21">
          <cell r="G21" t="str">
            <v>Cs-137</v>
          </cell>
        </row>
        <row r="22">
          <cell r="G22" t="str">
            <v>Cs-137</v>
          </cell>
        </row>
        <row r="23">
          <cell r="G23" t="str">
            <v>Cs-137</v>
          </cell>
        </row>
        <row r="24">
          <cell r="G24" t="str">
            <v>Cs-137</v>
          </cell>
        </row>
        <row r="25">
          <cell r="G25" t="str">
            <v>Cs-137</v>
          </cell>
        </row>
        <row r="26">
          <cell r="G26" t="str">
            <v>Cs-137</v>
          </cell>
        </row>
        <row r="27">
          <cell r="G27" t="str">
            <v>Cs-137</v>
          </cell>
        </row>
        <row r="28">
          <cell r="G28" t="str">
            <v>Cs-137</v>
          </cell>
        </row>
        <row r="29">
          <cell r="G29" t="str">
            <v>Cs-137</v>
          </cell>
        </row>
        <row r="30">
          <cell r="G30" t="str">
            <v>Cs-137</v>
          </cell>
        </row>
        <row r="31">
          <cell r="G31" t="str">
            <v>Cs-137</v>
          </cell>
        </row>
        <row r="32">
          <cell r="G32" t="str">
            <v>Cs-137</v>
          </cell>
        </row>
        <row r="33">
          <cell r="G33" t="str">
            <v>Cs-137</v>
          </cell>
        </row>
        <row r="34">
          <cell r="G34" t="str">
            <v>Cs-137</v>
          </cell>
        </row>
        <row r="35">
          <cell r="G35" t="str">
            <v>Cs-137</v>
          </cell>
        </row>
        <row r="36">
          <cell r="G36" t="str">
            <v>Cs-137</v>
          </cell>
        </row>
        <row r="37">
          <cell r="G37" t="str">
            <v>Cs-137</v>
          </cell>
        </row>
        <row r="38">
          <cell r="G38" t="str">
            <v>Cs-137</v>
          </cell>
        </row>
        <row r="39">
          <cell r="G39" t="str">
            <v>Cs-137</v>
          </cell>
        </row>
        <row r="40">
          <cell r="G40" t="str">
            <v>Cs-137</v>
          </cell>
        </row>
        <row r="41">
          <cell r="G41" t="str">
            <v>Cs-137</v>
          </cell>
        </row>
        <row r="42">
          <cell r="G42" t="str">
            <v>Cs-137</v>
          </cell>
        </row>
        <row r="43">
          <cell r="G43" t="str">
            <v>Cs-137</v>
          </cell>
        </row>
        <row r="44">
          <cell r="G44" t="str">
            <v>Cs-137</v>
          </cell>
        </row>
        <row r="45">
          <cell r="G45" t="str">
            <v>Cs-137</v>
          </cell>
        </row>
        <row r="46">
          <cell r="G46" t="str">
            <v>Cd-109</v>
          </cell>
        </row>
        <row r="47">
          <cell r="G47" t="str">
            <v>Cd-109</v>
          </cell>
        </row>
        <row r="48">
          <cell r="G48" t="str">
            <v>Cd-109</v>
          </cell>
        </row>
        <row r="49">
          <cell r="G49" t="str">
            <v>Cd-109</v>
          </cell>
        </row>
        <row r="50">
          <cell r="G50" t="str">
            <v>Cd-109</v>
          </cell>
        </row>
        <row r="51">
          <cell r="G51" t="str">
            <v>Cd-109</v>
          </cell>
        </row>
        <row r="52">
          <cell r="G52" t="str">
            <v>Cd-109</v>
          </cell>
        </row>
        <row r="53">
          <cell r="G53" t="str">
            <v>Cd-109</v>
          </cell>
        </row>
        <row r="54">
          <cell r="G54" t="str">
            <v>Cd-109</v>
          </cell>
        </row>
        <row r="55">
          <cell r="G55" t="str">
            <v>Cd-109</v>
          </cell>
        </row>
        <row r="56">
          <cell r="G56" t="str">
            <v>Cd-109</v>
          </cell>
        </row>
        <row r="57">
          <cell r="G57" t="str">
            <v>Cd-109</v>
          </cell>
        </row>
        <row r="58">
          <cell r="G58" t="str">
            <v>Pu-238</v>
          </cell>
        </row>
        <row r="59">
          <cell r="G59" t="str">
            <v>Cd-109</v>
          </cell>
        </row>
        <row r="60">
          <cell r="G60" t="str">
            <v>Cd-109</v>
          </cell>
        </row>
        <row r="61">
          <cell r="G61" t="str">
            <v>Cd-109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ert. Nk"/>
      <sheetName val="Dosimetría"/>
      <sheetName val="Incert. Dos."/>
      <sheetName val="Incert. Cal. Mon."/>
      <sheetName val="Incert. Irrad. Dosímetros"/>
      <sheetName val="F-LSCD-002 (Tasa Kar-Aleph)"/>
      <sheetName val="F-LSCD-002 (Nk-IRD)"/>
      <sheetName val="F-LSCD-002 (homogeneidad C.I.)"/>
      <sheetName val="F-LSCD-002 (homog irrad dosím)"/>
      <sheetName val="F-LSCD-002 (Pos. fuente)"/>
      <sheetName val="F-LSCD-002 (Tiempo tránsito ob)"/>
      <sheetName val="F-LSCD-003"/>
      <sheetName val="F-LSCD-004"/>
      <sheetName val="F-LSCD-005"/>
      <sheetName val="F-LSCD-007"/>
      <sheetName val="F-LSCD-008"/>
      <sheetName val="Informe de ensayo Hp(10)"/>
      <sheetName val="Incert. Cal. Cont. Sup"/>
      <sheetName val="F-LSCD-012"/>
      <sheetName val="C.C. Monit. Radiación"/>
      <sheetName val="Hoja1"/>
      <sheetName val="C.C. Monit Rad (Digital)"/>
      <sheetName val="C.C. Monit Rad (Analógico)"/>
      <sheetName val="F-LSCD-013 (Homog Fuen Planas)"/>
      <sheetName val="F-LSCD-013 (dist Fuen Planas)"/>
      <sheetName val="F-LSCD-013"/>
      <sheetName val="C.C. Cont. Superf."/>
      <sheetName val="C.C. Cont. Superf. (2)"/>
      <sheetName val="Etiqueta Mon. Rad"/>
      <sheetName val="Etiqueta Mon. Rad (2)"/>
      <sheetName val="Etiqueta Mon. Rad (3)"/>
      <sheetName val="Etiqueta Mon. Rad (4)"/>
      <sheetName val="Etiqueta Cont. Superf."/>
      <sheetName val="Etiqueta Cont. Superf. (2)"/>
      <sheetName val="Etiqueta Cont. Superf. (3)"/>
      <sheetName val="Informe Técnico de Recepción"/>
      <sheetName val="Incertidumbres LSCD (18-01-09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5">
          <cell r="C25" t="str">
            <v>003-2018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1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2.bin"/><Relationship Id="rId4" Type="http://schemas.openxmlformats.org/officeDocument/2006/relationships/comments" Target="../comments1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E9D7B-5972-4DF0-A732-AC9EDD473077}">
  <dimension ref="A1:E11"/>
  <sheetViews>
    <sheetView workbookViewId="0"/>
  </sheetViews>
  <sheetFormatPr baseColWidth="10" defaultRowHeight="15" x14ac:dyDescent="0.25"/>
  <cols>
    <col min="2" max="2" width="6.42578125" customWidth="1"/>
    <col min="3" max="3" width="14.5703125" bestFit="1" customWidth="1"/>
    <col min="4" max="4" width="16.7109375" bestFit="1" customWidth="1"/>
    <col min="5" max="5" width="32.85546875" bestFit="1" customWidth="1"/>
  </cols>
  <sheetData>
    <row r="1" spans="1:5" x14ac:dyDescent="0.25">
      <c r="A1" s="1863"/>
    </row>
    <row r="5" spans="1:5" x14ac:dyDescent="0.25">
      <c r="A5" s="1863" t="s">
        <v>1331</v>
      </c>
      <c r="B5">
        <v>1</v>
      </c>
      <c r="C5" s="2130"/>
      <c r="D5" s="2127">
        <v>5.2443539373770512E-2</v>
      </c>
      <c r="E5" s="2133" t="s">
        <v>1338</v>
      </c>
    </row>
    <row r="6" spans="1:5" x14ac:dyDescent="0.25">
      <c r="A6" s="112" t="s">
        <v>1328</v>
      </c>
      <c r="B6">
        <v>2</v>
      </c>
      <c r="C6" s="2131">
        <v>3.4600138044505527E-2</v>
      </c>
      <c r="D6" s="2129" t="s">
        <v>1334</v>
      </c>
      <c r="E6" s="2128" t="s">
        <v>1337</v>
      </c>
    </row>
    <row r="7" spans="1:5" x14ac:dyDescent="0.25">
      <c r="A7" s="112" t="s">
        <v>1327</v>
      </c>
      <c r="B7">
        <v>3</v>
      </c>
      <c r="C7" s="2131">
        <v>1.5782849852069836E-2</v>
      </c>
      <c r="D7" s="2129" t="s">
        <v>1334</v>
      </c>
      <c r="E7" s="2128" t="s">
        <v>1335</v>
      </c>
    </row>
    <row r="8" spans="1:5" x14ac:dyDescent="0.25">
      <c r="A8" s="2127" t="s">
        <v>1326</v>
      </c>
      <c r="B8">
        <v>4</v>
      </c>
      <c r="C8" s="2132">
        <v>8.7049140507223198E-3</v>
      </c>
      <c r="D8" s="113" t="s">
        <v>1333</v>
      </c>
      <c r="E8" s="113" t="s">
        <v>1336</v>
      </c>
    </row>
    <row r="9" spans="1:5" x14ac:dyDescent="0.25">
      <c r="A9" s="112" t="s">
        <v>1329</v>
      </c>
      <c r="B9">
        <v>5</v>
      </c>
      <c r="C9" s="2131">
        <v>5.6741408226129893E-3</v>
      </c>
      <c r="D9" s="2129" t="s">
        <v>1334</v>
      </c>
      <c r="E9" s="2128" t="s">
        <v>1335</v>
      </c>
    </row>
    <row r="10" spans="1:5" x14ac:dyDescent="0.25">
      <c r="A10" s="112" t="s">
        <v>1330</v>
      </c>
      <c r="B10">
        <v>6</v>
      </c>
      <c r="C10" s="2131">
        <v>3.9519379825549992E-3</v>
      </c>
      <c r="D10" s="2129" t="s">
        <v>1334</v>
      </c>
      <c r="E10" s="2128" t="s">
        <v>1337</v>
      </c>
    </row>
    <row r="11" spans="1:5" x14ac:dyDescent="0.25">
      <c r="A11" t="s">
        <v>1332</v>
      </c>
      <c r="B11">
        <v>7</v>
      </c>
      <c r="C11" s="2130"/>
      <c r="D11" s="2127">
        <v>3.1775120567824043E-3</v>
      </c>
      <c r="E11" s="2133" t="s">
        <v>1338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VE295"/>
  <sheetViews>
    <sheetView tabSelected="1" topLeftCell="TN181" zoomScale="85" zoomScaleNormal="85" workbookViewId="0">
      <selection activeCell="TQ203" sqref="TQ203"/>
    </sheetView>
  </sheetViews>
  <sheetFormatPr baseColWidth="10" defaultColWidth="11.42578125" defaultRowHeight="15" x14ac:dyDescent="0.25"/>
  <cols>
    <col min="1" max="1" width="15" style="560" customWidth="1"/>
    <col min="2" max="2" width="16.5703125" style="560" customWidth="1"/>
    <col min="3" max="3" width="14" style="560" customWidth="1"/>
    <col min="4" max="4" width="13.7109375" style="560" customWidth="1"/>
    <col min="5" max="5" width="14.28515625" style="560" customWidth="1"/>
    <col min="6" max="6" width="14.5703125" style="560" bestFit="1" customWidth="1"/>
    <col min="7" max="7" width="15" style="560" bestFit="1" customWidth="1"/>
    <col min="8" max="8" width="15.7109375" style="560" customWidth="1"/>
    <col min="9" max="9" width="15.42578125" style="560" customWidth="1"/>
    <col min="10" max="10" width="13.28515625" style="560" customWidth="1"/>
    <col min="11" max="11" width="20" style="560" bestFit="1" customWidth="1"/>
    <col min="12" max="13" width="13.85546875" style="560" customWidth="1"/>
    <col min="14" max="14" width="20" style="560" bestFit="1" customWidth="1"/>
    <col min="15" max="15" width="13.5703125" style="560" bestFit="1" customWidth="1"/>
    <col min="16" max="16" width="21.7109375" style="560" bestFit="1" customWidth="1"/>
    <col min="17" max="17" width="11.42578125" style="560"/>
    <col min="18" max="18" width="21.42578125" style="560" bestFit="1" customWidth="1"/>
    <col min="19" max="19" width="12.28515625" style="560" bestFit="1" customWidth="1"/>
    <col min="20" max="22" width="0" style="560" hidden="1" customWidth="1"/>
    <col min="23" max="23" width="14.28515625" style="560" hidden="1" customWidth="1"/>
    <col min="24" max="24" width="9" style="560" hidden="1" customWidth="1"/>
    <col min="25" max="27" width="14.28515625" style="560" hidden="1" customWidth="1"/>
    <col min="28" max="28" width="0" style="560" hidden="1" customWidth="1"/>
    <col min="29" max="29" width="14.28515625" style="560" hidden="1" customWidth="1"/>
    <col min="30" max="30" width="14.5703125" style="560" hidden="1" customWidth="1"/>
    <col min="31" max="31" width="14.28515625" style="560" hidden="1" customWidth="1"/>
    <col min="32" max="40" width="0" style="560" hidden="1" customWidth="1"/>
    <col min="41" max="41" width="15.140625" style="560" hidden="1" customWidth="1"/>
    <col min="42" max="42" width="10.7109375" style="560" hidden="1" customWidth="1"/>
    <col min="43" max="45" width="15.140625" style="560" hidden="1" customWidth="1"/>
    <col min="46" max="46" width="0" style="560" hidden="1" customWidth="1"/>
    <col min="47" max="47" width="14.140625" style="560" hidden="1" customWidth="1"/>
    <col min="48" max="48" width="14.28515625" style="560" hidden="1" customWidth="1"/>
    <col min="49" max="49" width="14" style="560" hidden="1" customWidth="1"/>
    <col min="50" max="55" width="0" style="560" hidden="1" customWidth="1"/>
    <col min="56" max="58" width="11.42578125" style="560"/>
    <col min="59" max="59" width="14.28515625" style="560" customWidth="1"/>
    <col min="60" max="60" width="10.85546875" style="560" customWidth="1"/>
    <col min="61" max="63" width="14.28515625" style="560" customWidth="1"/>
    <col min="64" max="64" width="11.42578125" style="560"/>
    <col min="65" max="65" width="14.28515625" style="560" customWidth="1"/>
    <col min="66" max="66" width="13.85546875" style="560" customWidth="1"/>
    <col min="67" max="67" width="13.5703125" style="560" customWidth="1"/>
    <col min="68" max="70" width="10.28515625" style="560" customWidth="1"/>
    <col min="71" max="71" width="11.42578125" style="560"/>
    <col min="72" max="73" width="10.28515625" style="560" customWidth="1"/>
    <col min="74" max="75" width="8.7109375" style="560" bestFit="1" customWidth="1"/>
    <col min="76" max="76" width="13" style="560" customWidth="1"/>
    <col min="77" max="77" width="14.5703125" style="560" customWidth="1"/>
    <col min="78" max="78" width="10.28515625" style="560" customWidth="1"/>
    <col min="79" max="80" width="14.140625" style="560" customWidth="1"/>
    <col min="81" max="81" width="14.7109375" style="560" customWidth="1"/>
    <col min="82" max="82" width="10.42578125" style="560" customWidth="1"/>
    <col min="83" max="83" width="14.140625" style="560" customWidth="1"/>
    <col min="84" max="84" width="13.85546875" style="560" customWidth="1"/>
    <col min="85" max="85" width="10.28515625" style="560" bestFit="1" customWidth="1"/>
    <col min="86" max="88" width="10.28515625" style="560" customWidth="1"/>
    <col min="89" max="89" width="11.42578125" style="560"/>
    <col min="90" max="91" width="10.28515625" style="560" customWidth="1"/>
    <col min="92" max="94" width="11.42578125" style="560"/>
    <col min="95" max="95" width="15" style="560" customWidth="1"/>
    <col min="96" max="96" width="10.42578125" style="560" customWidth="1"/>
    <col min="97" max="99" width="15" style="560" customWidth="1"/>
    <col min="100" max="100" width="11.42578125" style="560"/>
    <col min="101" max="101" width="14.42578125" style="560" customWidth="1"/>
    <col min="102" max="103" width="14.28515625" style="560" customWidth="1"/>
    <col min="104" max="106" width="10.28515625" style="560" customWidth="1"/>
    <col min="107" max="107" width="11.42578125" style="560"/>
    <col min="108" max="109" width="10.28515625" style="560" customWidth="1"/>
    <col min="110" max="111" width="8.7109375" style="560" hidden="1" customWidth="1"/>
    <col min="112" max="112" width="11.5703125" style="560" hidden="1" customWidth="1"/>
    <col min="113" max="113" width="14.28515625" style="560" hidden="1" customWidth="1"/>
    <col min="114" max="114" width="10.140625" style="560" hidden="1" customWidth="1"/>
    <col min="115" max="116" width="13.85546875" style="560" hidden="1" customWidth="1"/>
    <col min="117" max="117" width="14.42578125" style="560" hidden="1" customWidth="1"/>
    <col min="118" max="118" width="8.7109375" style="560" hidden="1" customWidth="1"/>
    <col min="119" max="119" width="13.85546875" style="560" hidden="1" customWidth="1"/>
    <col min="120" max="120" width="16.140625" style="560" hidden="1" customWidth="1"/>
    <col min="121" max="124" width="10.28515625" style="560" hidden="1" customWidth="1"/>
    <col min="125" max="125" width="0" style="560" hidden="1" customWidth="1"/>
    <col min="126" max="127" width="10.28515625" style="560" hidden="1" customWidth="1"/>
    <col min="128" max="129" width="8.7109375" style="560" hidden="1" customWidth="1"/>
    <col min="130" max="130" width="13" style="560" hidden="1" customWidth="1"/>
    <col min="131" max="131" width="14.42578125" style="560" hidden="1" customWidth="1"/>
    <col min="132" max="132" width="9.140625" style="560" hidden="1" customWidth="1"/>
    <col min="133" max="135" width="14.42578125" style="560" hidden="1" customWidth="1"/>
    <col min="136" max="136" width="8.7109375" style="560" hidden="1" customWidth="1"/>
    <col min="137" max="137" width="14.42578125" style="560" hidden="1" customWidth="1"/>
    <col min="138" max="138" width="15.5703125" style="560" hidden="1" customWidth="1"/>
    <col min="139" max="142" width="10.28515625" style="560" hidden="1" customWidth="1"/>
    <col min="143" max="143" width="0" style="560" hidden="1" customWidth="1"/>
    <col min="144" max="145" width="10.28515625" style="560" hidden="1" customWidth="1"/>
    <col min="146" max="148" width="11.42578125" style="560"/>
    <col min="149" max="149" width="16.140625" style="560" customWidth="1"/>
    <col min="150" max="150" width="9.85546875" style="560" customWidth="1"/>
    <col min="151" max="152" width="14.140625" style="560" customWidth="1"/>
    <col min="153" max="153" width="14.85546875" style="560" customWidth="1"/>
    <col min="154" max="154" width="11.42578125" style="560"/>
    <col min="155" max="155" width="14.28515625" style="560" customWidth="1"/>
    <col min="156" max="156" width="14.5703125" style="560" customWidth="1"/>
    <col min="157" max="157" width="13.7109375" style="560" customWidth="1"/>
    <col min="158" max="163" width="11.42578125" style="560"/>
    <col min="164" max="166" width="0" style="560" hidden="1" customWidth="1"/>
    <col min="167" max="167" width="14.28515625" style="560" hidden="1" customWidth="1"/>
    <col min="168" max="168" width="9.85546875" style="560" hidden="1" customWidth="1"/>
    <col min="169" max="171" width="14.28515625" style="560" hidden="1" customWidth="1"/>
    <col min="172" max="172" width="0" style="560" hidden="1" customWidth="1"/>
    <col min="173" max="173" width="14.28515625" style="560" hidden="1" customWidth="1"/>
    <col min="174" max="174" width="14.7109375" style="560" hidden="1" customWidth="1"/>
    <col min="175" max="175" width="13" style="560" hidden="1" customWidth="1"/>
    <col min="176" max="178" width="10.28515625" style="560" hidden="1" customWidth="1"/>
    <col min="179" max="179" width="0" style="560" hidden="1" customWidth="1"/>
    <col min="180" max="181" width="10.28515625" style="560" hidden="1" customWidth="1"/>
    <col min="182" max="183" width="8.7109375" style="560" hidden="1" customWidth="1"/>
    <col min="184" max="184" width="11.5703125" style="560" hidden="1" customWidth="1"/>
    <col min="185" max="185" width="14.85546875" style="560" hidden="1" customWidth="1"/>
    <col min="186" max="186" width="9.5703125" style="560" hidden="1" customWidth="1"/>
    <col min="187" max="188" width="14.140625" style="560" hidden="1" customWidth="1"/>
    <col min="189" max="189" width="16.140625" style="560" hidden="1" customWidth="1"/>
    <col min="190" max="190" width="8.7109375" style="560" hidden="1" customWidth="1"/>
    <col min="191" max="191" width="14.140625" style="560" hidden="1" customWidth="1"/>
    <col min="192" max="192" width="15.85546875" style="560" hidden="1" customWidth="1"/>
    <col min="193" max="196" width="10.28515625" style="560" hidden="1" customWidth="1"/>
    <col min="197" max="197" width="0" style="560" hidden="1" customWidth="1"/>
    <col min="198" max="199" width="10.28515625" style="560" hidden="1" customWidth="1"/>
    <col min="200" max="201" width="8.7109375" style="560" hidden="1" customWidth="1"/>
    <col min="202" max="202" width="12.28515625" style="560" hidden="1" customWidth="1"/>
    <col min="203" max="203" width="14.7109375" style="560" hidden="1" customWidth="1"/>
    <col min="204" max="204" width="9.85546875" style="560" hidden="1" customWidth="1"/>
    <col min="205" max="206" width="14.140625" style="560" hidden="1" customWidth="1"/>
    <col min="207" max="207" width="15.140625" style="560" hidden="1" customWidth="1"/>
    <col min="208" max="208" width="8.7109375" style="560" hidden="1" customWidth="1"/>
    <col min="209" max="209" width="14.140625" style="560" hidden="1" customWidth="1"/>
    <col min="210" max="210" width="13.28515625" style="560" hidden="1" customWidth="1"/>
    <col min="211" max="214" width="10.28515625" style="560" hidden="1" customWidth="1"/>
    <col min="215" max="215" width="0" style="560" hidden="1" customWidth="1"/>
    <col min="216" max="217" width="10.28515625" style="560" hidden="1" customWidth="1"/>
    <col min="218" max="219" width="8.7109375" style="560" hidden="1" customWidth="1"/>
    <col min="220" max="220" width="12.5703125" style="560" hidden="1" customWidth="1"/>
    <col min="221" max="221" width="14.42578125" style="560" hidden="1" customWidth="1"/>
    <col min="222" max="222" width="10.28515625" style="560" hidden="1" customWidth="1"/>
    <col min="223" max="225" width="14.42578125" style="560" hidden="1" customWidth="1"/>
    <col min="226" max="226" width="8.7109375" style="560" hidden="1" customWidth="1"/>
    <col min="227" max="228" width="14.42578125" style="560" hidden="1" customWidth="1"/>
    <col min="229" max="232" width="10.28515625" style="560" hidden="1" customWidth="1"/>
    <col min="233" max="233" width="0" style="560" hidden="1" customWidth="1"/>
    <col min="234" max="235" width="10.28515625" style="560" hidden="1" customWidth="1"/>
    <col min="236" max="237" width="8.7109375" style="560" hidden="1" customWidth="1"/>
    <col min="238" max="238" width="12" style="560" hidden="1" customWidth="1"/>
    <col min="239" max="239" width="14.28515625" style="560" hidden="1" customWidth="1"/>
    <col min="240" max="240" width="10.42578125" style="560" hidden="1" customWidth="1"/>
    <col min="241" max="242" width="13.85546875" style="560" hidden="1" customWidth="1"/>
    <col min="243" max="243" width="15.140625" style="560" hidden="1" customWidth="1"/>
    <col min="244" max="244" width="8.7109375" style="560" hidden="1" customWidth="1"/>
    <col min="245" max="245" width="13.85546875" style="560" hidden="1" customWidth="1"/>
    <col min="246" max="246" width="14.5703125" style="560" hidden="1" customWidth="1"/>
    <col min="247" max="250" width="10.28515625" style="560" hidden="1" customWidth="1"/>
    <col min="251" max="251" width="0" style="560" hidden="1" customWidth="1"/>
    <col min="252" max="253" width="10.28515625" style="560" hidden="1" customWidth="1"/>
    <col min="254" max="255" width="8.7109375" style="560" hidden="1" customWidth="1"/>
    <col min="256" max="256" width="9.7109375" style="560" hidden="1" customWidth="1"/>
    <col min="257" max="257" width="15.85546875" style="560" hidden="1" customWidth="1"/>
    <col min="258" max="258" width="9.7109375" style="560" hidden="1" customWidth="1"/>
    <col min="259" max="260" width="14" style="560" hidden="1" customWidth="1"/>
    <col min="261" max="261" width="14.85546875" style="560" hidden="1" customWidth="1"/>
    <col min="262" max="262" width="8.7109375" style="560" hidden="1" customWidth="1"/>
    <col min="263" max="264" width="14" style="560" hidden="1" customWidth="1"/>
    <col min="265" max="268" width="10.28515625" style="560" hidden="1" customWidth="1"/>
    <col min="269" max="269" width="0" style="560" hidden="1" customWidth="1"/>
    <col min="270" max="271" width="10.28515625" style="560" hidden="1" customWidth="1"/>
    <col min="272" max="273" width="8.7109375" style="560" hidden="1" customWidth="1"/>
    <col min="274" max="274" width="11.5703125" style="560" hidden="1" customWidth="1"/>
    <col min="275" max="275" width="14.85546875" style="560" hidden="1" customWidth="1"/>
    <col min="276" max="276" width="9.42578125" style="560" hidden="1" customWidth="1"/>
    <col min="277" max="278" width="14" style="560" hidden="1" customWidth="1"/>
    <col min="279" max="279" width="14.85546875" style="560" hidden="1" customWidth="1"/>
    <col min="280" max="280" width="8.7109375" style="560" hidden="1" customWidth="1"/>
    <col min="281" max="281" width="14" style="560" hidden="1" customWidth="1"/>
    <col min="282" max="282" width="14.28515625" style="560" hidden="1" customWidth="1"/>
    <col min="283" max="286" width="10.28515625" style="560" hidden="1" customWidth="1"/>
    <col min="287" max="287" width="0" style="560" hidden="1" customWidth="1"/>
    <col min="288" max="289" width="10.28515625" style="560" hidden="1" customWidth="1"/>
    <col min="290" max="291" width="8.7109375" style="560" hidden="1" customWidth="1"/>
    <col min="292" max="292" width="12.42578125" style="560" hidden="1" customWidth="1"/>
    <col min="293" max="293" width="14.7109375" style="560" hidden="1" customWidth="1"/>
    <col min="294" max="294" width="10" style="560" hidden="1" customWidth="1"/>
    <col min="295" max="297" width="14.7109375" style="560" hidden="1" customWidth="1"/>
    <col min="298" max="298" width="8.7109375" style="560" hidden="1" customWidth="1"/>
    <col min="299" max="299" width="14.28515625" style="560" hidden="1" customWidth="1"/>
    <col min="300" max="300" width="13.7109375" style="560" hidden="1" customWidth="1"/>
    <col min="301" max="304" width="10.28515625" style="560" hidden="1" customWidth="1"/>
    <col min="305" max="305" width="0" style="560" hidden="1" customWidth="1"/>
    <col min="306" max="307" width="10.28515625" style="560" hidden="1" customWidth="1"/>
    <col min="308" max="309" width="8.7109375" style="560" hidden="1" customWidth="1"/>
    <col min="310" max="310" width="10.5703125" style="560" hidden="1" customWidth="1"/>
    <col min="311" max="311" width="14.42578125" style="560" hidden="1" customWidth="1"/>
    <col min="312" max="312" width="10.28515625" style="560" hidden="1" customWidth="1"/>
    <col min="313" max="314" width="14.140625" style="560" hidden="1" customWidth="1"/>
    <col min="315" max="315" width="15.140625" style="560" hidden="1" customWidth="1"/>
    <col min="316" max="316" width="8.7109375" style="560" hidden="1" customWidth="1"/>
    <col min="317" max="317" width="14.140625" style="560" hidden="1" customWidth="1"/>
    <col min="318" max="318" width="13.28515625" style="560" hidden="1" customWidth="1"/>
    <col min="319" max="322" width="10.28515625" style="560" hidden="1" customWidth="1"/>
    <col min="323" max="323" width="0" style="560" hidden="1" customWidth="1"/>
    <col min="324" max="325" width="10.28515625" style="560" hidden="1" customWidth="1"/>
    <col min="326" max="327" width="8.7109375" style="560" hidden="1" customWidth="1"/>
    <col min="328" max="328" width="10.42578125" style="560" hidden="1" customWidth="1"/>
    <col min="329" max="329" width="14.5703125" style="560" hidden="1" customWidth="1"/>
    <col min="330" max="330" width="9.42578125" style="560" hidden="1" customWidth="1"/>
    <col min="331" max="333" width="14.5703125" style="560" hidden="1" customWidth="1"/>
    <col min="334" max="334" width="8.7109375" style="560" hidden="1" customWidth="1"/>
    <col min="335" max="335" width="14.5703125" style="560" hidden="1" customWidth="1"/>
    <col min="336" max="336" width="13.7109375" style="560" hidden="1" customWidth="1"/>
    <col min="337" max="340" width="10.28515625" style="560" hidden="1" customWidth="1"/>
    <col min="341" max="341" width="0" style="560" hidden="1" customWidth="1"/>
    <col min="342" max="343" width="10.28515625" style="560" hidden="1" customWidth="1"/>
    <col min="344" max="345" width="8.7109375" style="560" hidden="1" customWidth="1"/>
    <col min="346" max="346" width="9.5703125" style="560" hidden="1" customWidth="1"/>
    <col min="347" max="347" width="14.85546875" style="560" hidden="1" customWidth="1"/>
    <col min="348" max="348" width="10" style="560" hidden="1" customWidth="1"/>
    <col min="349" max="350" width="14.140625" style="560" hidden="1" customWidth="1"/>
    <col min="351" max="351" width="15.28515625" style="560" hidden="1" customWidth="1"/>
    <col min="352" max="352" width="8.7109375" style="560" hidden="1" customWidth="1"/>
    <col min="353" max="353" width="14.140625" style="560" hidden="1" customWidth="1"/>
    <col min="354" max="354" width="14.42578125" style="560" hidden="1" customWidth="1"/>
    <col min="355" max="358" width="10.28515625" style="560" hidden="1" customWidth="1"/>
    <col min="359" max="359" width="0" style="560" hidden="1" customWidth="1"/>
    <col min="360" max="361" width="10.28515625" style="560" hidden="1" customWidth="1"/>
    <col min="362" max="364" width="0" style="560" hidden="1" customWidth="1"/>
    <col min="365" max="365" width="14.28515625" style="560" hidden="1" customWidth="1"/>
    <col min="366" max="366" width="8.85546875" style="560" hidden="1" customWidth="1"/>
    <col min="367" max="369" width="14.28515625" style="560" hidden="1" customWidth="1"/>
    <col min="370" max="370" width="0" style="560" hidden="1" customWidth="1"/>
    <col min="371" max="371" width="14.28515625" style="560" hidden="1" customWidth="1"/>
    <col min="372" max="372" width="15.140625" style="560" hidden="1" customWidth="1"/>
    <col min="373" max="373" width="13.85546875" style="560" hidden="1" customWidth="1"/>
    <col min="374" max="376" width="10.28515625" style="560" hidden="1" customWidth="1"/>
    <col min="377" max="377" width="0" style="560" hidden="1" customWidth="1"/>
    <col min="378" max="379" width="10.28515625" style="560" hidden="1" customWidth="1"/>
    <col min="380" max="381" width="8.7109375" style="560" bestFit="1" customWidth="1"/>
    <col min="382" max="382" width="10.28515625" style="560" customWidth="1"/>
    <col min="383" max="383" width="15.5703125" style="560" customWidth="1"/>
    <col min="384" max="384" width="9.85546875" style="560" customWidth="1"/>
    <col min="385" max="386" width="14.140625" style="560" customWidth="1"/>
    <col min="387" max="387" width="15" style="560" customWidth="1"/>
    <col min="388" max="388" width="10.140625" style="560" customWidth="1"/>
    <col min="389" max="389" width="14.140625" style="560" customWidth="1"/>
    <col min="390" max="390" width="13.5703125" style="560" customWidth="1"/>
    <col min="391" max="392" width="10.28515625" style="560" bestFit="1" customWidth="1"/>
    <col min="393" max="394" width="10.28515625" style="560" customWidth="1"/>
    <col min="395" max="395" width="11.42578125" style="560"/>
    <col min="396" max="397" width="10.28515625" style="560" customWidth="1"/>
    <col min="398" max="399" width="8.7109375" style="560" hidden="1" customWidth="1"/>
    <col min="400" max="400" width="9.85546875" style="560" hidden="1" customWidth="1"/>
    <col min="401" max="405" width="14.5703125" style="560" hidden="1" customWidth="1"/>
    <col min="406" max="406" width="8.7109375" style="560" hidden="1" customWidth="1"/>
    <col min="407" max="407" width="14.5703125" style="560" hidden="1" customWidth="1"/>
    <col min="408" max="408" width="14" style="560" hidden="1" customWidth="1"/>
    <col min="409" max="412" width="10.5703125" style="560" hidden="1" customWidth="1"/>
    <col min="413" max="413" width="0" style="560" hidden="1" customWidth="1"/>
    <col min="414" max="415" width="10.5703125" style="560" hidden="1" customWidth="1"/>
    <col min="416" max="418" width="11.42578125" style="560"/>
    <col min="419" max="419" width="15.42578125" style="560" customWidth="1"/>
    <col min="420" max="420" width="10.28515625" style="560" customWidth="1"/>
    <col min="421" max="422" width="14.140625" style="560" customWidth="1"/>
    <col min="423" max="423" width="14.7109375" style="560" customWidth="1"/>
    <col min="424" max="424" width="11.42578125" style="560"/>
    <col min="425" max="425" width="14.140625" style="560" customWidth="1"/>
    <col min="426" max="426" width="14.7109375" style="560" customWidth="1"/>
    <col min="427" max="427" width="14.85546875" style="560" customWidth="1"/>
    <col min="428" max="430" width="10.28515625" style="560" customWidth="1"/>
    <col min="431" max="431" width="11.42578125" style="560"/>
    <col min="432" max="433" width="10.28515625" style="560" customWidth="1"/>
    <col min="434" max="435" width="8.7109375" style="560" hidden="1" customWidth="1"/>
    <col min="436" max="436" width="14" style="560" hidden="1" customWidth="1"/>
    <col min="437" max="437" width="14.5703125" style="560" hidden="1" customWidth="1"/>
    <col min="438" max="438" width="9.85546875" style="560" hidden="1" customWidth="1"/>
    <col min="439" max="441" width="14.5703125" style="560" hidden="1" customWidth="1"/>
    <col min="442" max="442" width="8.7109375" style="560" hidden="1" customWidth="1"/>
    <col min="443" max="443" width="14.5703125" style="560" hidden="1" customWidth="1"/>
    <col min="444" max="444" width="14.28515625" style="560" hidden="1" customWidth="1"/>
    <col min="445" max="448" width="10.28515625" style="560" hidden="1" customWidth="1"/>
    <col min="449" max="449" width="0" style="560" hidden="1" customWidth="1"/>
    <col min="450" max="451" width="10.28515625" style="560" hidden="1" customWidth="1"/>
    <col min="452" max="453" width="8.7109375" style="560" hidden="1" customWidth="1"/>
    <col min="454" max="454" width="9.42578125" style="560" hidden="1" customWidth="1"/>
    <col min="455" max="455" width="14.28515625" style="560" hidden="1" customWidth="1"/>
    <col min="456" max="456" width="8.7109375" style="560" hidden="1" customWidth="1"/>
    <col min="457" max="459" width="14.28515625" style="560" hidden="1" customWidth="1"/>
    <col min="460" max="460" width="8.7109375" style="560" hidden="1" customWidth="1"/>
    <col min="461" max="461" width="14.28515625" style="560" hidden="1" customWidth="1"/>
    <col min="462" max="462" width="14.85546875" style="560" hidden="1" customWidth="1"/>
    <col min="463" max="466" width="10.5703125" style="560" hidden="1" customWidth="1"/>
    <col min="467" max="467" width="0" style="560" hidden="1" customWidth="1"/>
    <col min="468" max="469" width="10.5703125" style="560" hidden="1" customWidth="1"/>
    <col min="470" max="471" width="8.7109375" style="560" hidden="1" customWidth="1"/>
    <col min="472" max="472" width="10.7109375" style="560" hidden="1" customWidth="1"/>
    <col min="473" max="473" width="14.7109375" style="560" hidden="1" customWidth="1"/>
    <col min="474" max="474" width="10.28515625" style="560" hidden="1" customWidth="1"/>
    <col min="475" max="476" width="14.140625" style="560" hidden="1" customWidth="1"/>
    <col min="477" max="477" width="15.5703125" style="560" hidden="1" customWidth="1"/>
    <col min="478" max="478" width="8.7109375" style="560" hidden="1" customWidth="1"/>
    <col min="479" max="479" width="14.140625" style="560" hidden="1" customWidth="1"/>
    <col min="480" max="480" width="13.28515625" style="560" hidden="1" customWidth="1"/>
    <col min="481" max="484" width="10.28515625" style="560" hidden="1" customWidth="1"/>
    <col min="485" max="485" width="0" style="560" hidden="1" customWidth="1"/>
    <col min="486" max="487" width="10.28515625" style="560" hidden="1" customWidth="1"/>
    <col min="488" max="489" width="8.7109375" style="560" hidden="1" customWidth="1"/>
    <col min="490" max="490" width="10.28515625" style="560" hidden="1" customWidth="1"/>
    <col min="491" max="491" width="14.28515625" style="560" hidden="1" customWidth="1"/>
    <col min="492" max="492" width="10" style="560" hidden="1" customWidth="1"/>
    <col min="493" max="495" width="14.28515625" style="560" hidden="1" customWidth="1"/>
    <col min="496" max="496" width="8.7109375" style="560" hidden="1" customWidth="1"/>
    <col min="497" max="497" width="14.28515625" style="560" hidden="1" customWidth="1"/>
    <col min="498" max="498" width="14.85546875" style="560" hidden="1" customWidth="1"/>
    <col min="499" max="502" width="10.28515625" style="560" hidden="1" customWidth="1"/>
    <col min="503" max="503" width="0" style="560" hidden="1" customWidth="1"/>
    <col min="504" max="505" width="10.28515625" style="560" hidden="1" customWidth="1"/>
    <col min="506" max="507" width="8.7109375" style="560" bestFit="1" customWidth="1"/>
    <col min="508" max="508" width="11.7109375" style="560" customWidth="1"/>
    <col min="509" max="509" width="14.42578125" style="560" customWidth="1"/>
    <col min="510" max="510" width="10" style="560" customWidth="1"/>
    <col min="511" max="512" width="13.85546875" style="560" customWidth="1"/>
    <col min="513" max="513" width="14.7109375" style="560" customWidth="1"/>
    <col min="514" max="514" width="11.140625" style="560" customWidth="1"/>
    <col min="515" max="515" width="13.85546875" style="560" customWidth="1"/>
    <col min="516" max="516" width="14" style="560" customWidth="1"/>
    <col min="517" max="518" width="10.28515625" style="560" bestFit="1" customWidth="1"/>
    <col min="519" max="520" width="10.28515625" style="560" customWidth="1"/>
    <col min="521" max="521" width="11.42578125" style="560"/>
    <col min="522" max="522" width="10.28515625" style="560" customWidth="1"/>
    <col min="523" max="523" width="12.42578125" style="560" customWidth="1"/>
    <col min="524" max="526" width="11.42578125" style="560"/>
    <col min="527" max="527" width="14.42578125" style="560" customWidth="1"/>
    <col min="528" max="528" width="10" style="560" customWidth="1"/>
    <col min="529" max="530" width="13.85546875" style="560" customWidth="1"/>
    <col min="531" max="531" width="14.85546875" style="560" customWidth="1"/>
    <col min="532" max="532" width="11.42578125" style="560"/>
    <col min="533" max="533" width="13.85546875" style="560" customWidth="1"/>
    <col min="534" max="534" width="14.28515625" style="560" customWidth="1"/>
    <col min="535" max="535" width="14.7109375" style="560" customWidth="1"/>
    <col min="536" max="538" width="10.28515625" style="560" customWidth="1"/>
    <col min="539" max="539" width="11.42578125" style="560"/>
    <col min="540" max="541" width="10.28515625" style="560" customWidth="1"/>
    <col min="542" max="543" width="8.7109375" style="560" hidden="1" customWidth="1"/>
    <col min="544" max="544" width="14" style="560" hidden="1" customWidth="1"/>
    <col min="545" max="545" width="14.85546875" style="560" hidden="1" customWidth="1"/>
    <col min="546" max="546" width="10.140625" style="560" hidden="1" customWidth="1"/>
    <col min="547" max="549" width="14.85546875" style="560" hidden="1" customWidth="1"/>
    <col min="550" max="550" width="8.7109375" style="560" hidden="1" customWidth="1"/>
    <col min="551" max="551" width="14.28515625" style="560" hidden="1" customWidth="1"/>
    <col min="552" max="552" width="15.140625" style="560" hidden="1" customWidth="1"/>
    <col min="553" max="556" width="10.5703125" style="560" hidden="1" customWidth="1"/>
    <col min="557" max="557" width="0" style="560" hidden="1" customWidth="1"/>
    <col min="558" max="559" width="10.5703125" style="560" hidden="1" customWidth="1"/>
    <col min="560" max="562" width="11.42578125" style="560"/>
    <col min="563" max="563" width="14.7109375" style="560" customWidth="1"/>
    <col min="564" max="564" width="9.85546875" style="560" customWidth="1"/>
    <col min="565" max="566" width="13.85546875" style="560" customWidth="1"/>
    <col min="567" max="567" width="14.42578125" style="560" customWidth="1"/>
    <col min="568" max="568" width="11.42578125" style="560"/>
    <col min="569" max="570" width="13.85546875" style="560" customWidth="1"/>
    <col min="571" max="16384" width="11.42578125" style="560"/>
  </cols>
  <sheetData>
    <row r="1" spans="2:19" ht="15" customHeight="1" x14ac:dyDescent="0.25">
      <c r="B1" s="2247"/>
      <c r="C1" s="2248"/>
      <c r="D1" s="1567"/>
      <c r="E1" s="2253" t="s">
        <v>1241</v>
      </c>
      <c r="F1" s="2254"/>
      <c r="G1" s="2254"/>
      <c r="H1" s="2254"/>
      <c r="I1" s="2254"/>
      <c r="J1" s="2254"/>
      <c r="K1" s="2254"/>
      <c r="L1" s="2254"/>
      <c r="M1" s="2254"/>
      <c r="N1" s="2254"/>
      <c r="O1" s="2254"/>
      <c r="P1" s="2255"/>
      <c r="Q1" s="559" t="s">
        <v>68</v>
      </c>
      <c r="R1" s="1570" t="s">
        <v>240</v>
      </c>
      <c r="S1" s="1567"/>
    </row>
    <row r="2" spans="2:19" ht="15" customHeight="1" x14ac:dyDescent="0.25">
      <c r="B2" s="2249"/>
      <c r="C2" s="2250"/>
      <c r="D2" s="1572"/>
      <c r="E2" s="2256"/>
      <c r="F2" s="2257"/>
      <c r="G2" s="2257"/>
      <c r="H2" s="2257"/>
      <c r="I2" s="2257"/>
      <c r="J2" s="2257"/>
      <c r="K2" s="2257"/>
      <c r="L2" s="2257"/>
      <c r="M2" s="2257"/>
      <c r="N2" s="2257"/>
      <c r="O2" s="2257"/>
      <c r="P2" s="2258"/>
      <c r="Q2" s="561" t="s">
        <v>69</v>
      </c>
      <c r="R2" t="s">
        <v>1216</v>
      </c>
      <c r="S2" s="1568"/>
    </row>
    <row r="3" spans="2:19" ht="15" customHeight="1" x14ac:dyDescent="0.25">
      <c r="B3" s="2249"/>
      <c r="C3" s="2250"/>
      <c r="D3" s="1572"/>
      <c r="E3" s="2256"/>
      <c r="F3" s="2257"/>
      <c r="G3" s="2257"/>
      <c r="H3" s="2257"/>
      <c r="I3" s="2257"/>
      <c r="J3" s="2257"/>
      <c r="K3" s="2257"/>
      <c r="L3" s="2257"/>
      <c r="M3" s="2257"/>
      <c r="N3" s="2257"/>
      <c r="O3" s="2257"/>
      <c r="P3" s="2258"/>
      <c r="Q3" s="561" t="s">
        <v>70</v>
      </c>
      <c r="R3" t="s">
        <v>858</v>
      </c>
      <c r="S3" s="1568"/>
    </row>
    <row r="4" spans="2:19" ht="15" customHeight="1" x14ac:dyDescent="0.25">
      <c r="B4" s="2251"/>
      <c r="C4" s="2252"/>
      <c r="D4" s="1573"/>
      <c r="E4" s="2259"/>
      <c r="F4" s="2260"/>
      <c r="G4" s="2260"/>
      <c r="H4" s="2260"/>
      <c r="I4" s="2260"/>
      <c r="J4" s="2260"/>
      <c r="K4" s="2260"/>
      <c r="L4" s="2260"/>
      <c r="M4" s="2260"/>
      <c r="N4" s="2260"/>
      <c r="O4" s="2260"/>
      <c r="P4" s="2261"/>
      <c r="Q4" s="562" t="s">
        <v>71</v>
      </c>
      <c r="R4" s="1571" t="s">
        <v>73</v>
      </c>
      <c r="S4" s="1569"/>
    </row>
    <row r="6" spans="2:19" ht="15.75" thickBot="1" x14ac:dyDescent="0.3"/>
    <row r="7" spans="2:19" ht="15" customHeight="1" x14ac:dyDescent="0.25">
      <c r="B7" s="2273" t="s">
        <v>595</v>
      </c>
      <c r="C7" s="2274"/>
      <c r="D7" s="2274"/>
      <c r="E7" s="2274"/>
      <c r="F7" s="2274"/>
      <c r="G7" s="2275"/>
      <c r="L7" s="563"/>
    </row>
    <row r="8" spans="2:19" ht="15.75" customHeight="1" thickBot="1" x14ac:dyDescent="0.3">
      <c r="B8" s="2276"/>
      <c r="C8" s="2277"/>
      <c r="D8" s="2277"/>
      <c r="E8" s="2277"/>
      <c r="F8" s="2277"/>
      <c r="G8" s="2278"/>
      <c r="L8" s="563"/>
    </row>
    <row r="9" spans="2:19" ht="15.75" customHeight="1" thickBot="1" x14ac:dyDescent="0.3">
      <c r="B9" s="563"/>
      <c r="C9" s="563"/>
      <c r="D9" s="563"/>
      <c r="E9" s="563"/>
      <c r="F9" s="563"/>
      <c r="G9" s="563"/>
      <c r="L9" s="563"/>
    </row>
    <row r="10" spans="2:19" ht="15.75" thickBot="1" x14ac:dyDescent="0.3">
      <c r="B10" s="2279" t="s">
        <v>0</v>
      </c>
      <c r="C10" s="2280"/>
      <c r="D10" s="2280"/>
      <c r="E10" s="2281"/>
    </row>
    <row r="11" spans="2:19" x14ac:dyDescent="0.25">
      <c r="B11" s="564" t="s">
        <v>2</v>
      </c>
      <c r="C11" s="565" t="s">
        <v>3</v>
      </c>
      <c r="D11" s="566" t="s">
        <v>4</v>
      </c>
      <c r="E11" s="565" t="s">
        <v>5</v>
      </c>
    </row>
    <row r="12" spans="2:19" ht="15.75" thickBot="1" x14ac:dyDescent="0.3">
      <c r="B12" s="567" t="s">
        <v>9</v>
      </c>
      <c r="C12" s="568">
        <v>42576</v>
      </c>
      <c r="D12" s="569">
        <v>573.5</v>
      </c>
      <c r="E12" s="570">
        <f>573500000000/37000000000</f>
        <v>15.5</v>
      </c>
    </row>
    <row r="13" spans="2:19" ht="15.75" thickBot="1" x14ac:dyDescent="0.3"/>
    <row r="14" spans="2:19" ht="15" customHeight="1" x14ac:dyDescent="0.25">
      <c r="B14" s="2282" t="s">
        <v>1</v>
      </c>
      <c r="C14" s="2283"/>
    </row>
    <row r="15" spans="2:19" ht="15.75" thickBot="1" x14ac:dyDescent="0.3">
      <c r="B15" s="2284"/>
      <c r="C15" s="2285"/>
    </row>
    <row r="16" spans="2:19" x14ac:dyDescent="0.25">
      <c r="B16" s="2" t="s">
        <v>956</v>
      </c>
      <c r="C16" s="571">
        <v>5</v>
      </c>
    </row>
    <row r="17" spans="2:7" x14ac:dyDescent="0.25">
      <c r="B17" s="572" t="s">
        <v>14</v>
      </c>
      <c r="C17" s="573">
        <v>22</v>
      </c>
    </row>
    <row r="18" spans="2:7" x14ac:dyDescent="0.25">
      <c r="B18" s="572" t="s">
        <v>17</v>
      </c>
      <c r="C18" s="573">
        <v>14</v>
      </c>
    </row>
    <row r="19" spans="2:7" x14ac:dyDescent="0.25">
      <c r="B19" s="574" t="s">
        <v>18</v>
      </c>
      <c r="C19" s="575">
        <v>42</v>
      </c>
    </row>
    <row r="20" spans="2:7" ht="15.75" thickBot="1" x14ac:dyDescent="0.3">
      <c r="B20" s="576" t="s">
        <v>19</v>
      </c>
      <c r="C20" s="577">
        <v>7</v>
      </c>
    </row>
    <row r="22" spans="2:7" ht="15.75" thickBot="1" x14ac:dyDescent="0.3"/>
    <row r="23" spans="2:7" ht="15.75" thickBot="1" x14ac:dyDescent="0.3">
      <c r="B23" s="2294" t="s">
        <v>1227</v>
      </c>
      <c r="C23" s="2280"/>
      <c r="D23" s="2280"/>
      <c r="E23" s="2281"/>
    </row>
    <row r="24" spans="2:7" x14ac:dyDescent="0.25">
      <c r="B24" s="2295" t="s">
        <v>1307</v>
      </c>
      <c r="C24" s="2296"/>
      <c r="D24" s="2296"/>
      <c r="E24" s="2297"/>
    </row>
    <row r="25" spans="2:7" x14ac:dyDescent="0.25">
      <c r="B25" s="2298"/>
      <c r="C25" s="2299"/>
      <c r="D25" s="2299"/>
      <c r="E25" s="2300"/>
    </row>
    <row r="26" spans="2:7" x14ac:dyDescent="0.25">
      <c r="B26" s="2298"/>
      <c r="C26" s="2299"/>
      <c r="D26" s="2299"/>
      <c r="E26" s="2300"/>
    </row>
    <row r="27" spans="2:7" ht="15.75" thickBot="1" x14ac:dyDescent="0.3">
      <c r="B27" s="2301"/>
      <c r="C27" s="2302"/>
      <c r="D27" s="2302"/>
      <c r="E27" s="2303"/>
    </row>
    <row r="28" spans="2:7" ht="15.75" thickBot="1" x14ac:dyDescent="0.3"/>
    <row r="29" spans="2:7" ht="15" customHeight="1" x14ac:dyDescent="0.25">
      <c r="B29" s="2239" t="s">
        <v>386</v>
      </c>
      <c r="C29" s="2240"/>
      <c r="D29" s="2241"/>
      <c r="F29" s="2304" t="s">
        <v>385</v>
      </c>
      <c r="G29" s="2305"/>
    </row>
    <row r="30" spans="2:7" s="1816" customFormat="1" ht="15" customHeight="1" thickBot="1" x14ac:dyDescent="0.3">
      <c r="B30" s="2242"/>
      <c r="C30" s="2243"/>
      <c r="D30" s="2244"/>
      <c r="F30" s="2306"/>
      <c r="G30" s="2307"/>
    </row>
    <row r="31" spans="2:7" ht="15.75" thickBot="1" x14ac:dyDescent="0.3">
      <c r="B31" s="1861" t="s">
        <v>1217</v>
      </c>
      <c r="C31" s="2310" t="s">
        <v>1306</v>
      </c>
      <c r="D31" s="2311"/>
      <c r="F31" s="2308"/>
      <c r="G31" s="2309"/>
    </row>
    <row r="32" spans="2:7" ht="15.75" thickBot="1" x14ac:dyDescent="0.3">
      <c r="B32" s="1862" t="s">
        <v>349</v>
      </c>
      <c r="C32" s="2245">
        <v>44287</v>
      </c>
      <c r="D32" s="2246"/>
      <c r="F32" s="2029">
        <v>22</v>
      </c>
      <c r="G32" s="1844" t="s">
        <v>12</v>
      </c>
    </row>
    <row r="33" spans="2:12" ht="15.75" thickBot="1" x14ac:dyDescent="0.3">
      <c r="B33" s="581" t="s">
        <v>118</v>
      </c>
      <c r="C33" s="1648" t="s">
        <v>104</v>
      </c>
      <c r="D33" s="583" t="s">
        <v>435</v>
      </c>
      <c r="F33" s="2030">
        <v>1013.25</v>
      </c>
      <c r="G33" s="584" t="s">
        <v>16</v>
      </c>
    </row>
    <row r="34" spans="2:12" ht="15.75" thickBot="1" x14ac:dyDescent="0.3">
      <c r="B34" s="2026">
        <v>25200</v>
      </c>
      <c r="C34" s="2027" t="s">
        <v>15</v>
      </c>
      <c r="D34" s="2028">
        <v>8.0000000000000002E-3</v>
      </c>
    </row>
    <row r="36" spans="2:12" ht="15.75" thickBot="1" x14ac:dyDescent="0.3"/>
    <row r="37" spans="2:12" ht="15" customHeight="1" thickBot="1" x14ac:dyDescent="0.3">
      <c r="B37" s="2239" t="s">
        <v>1218</v>
      </c>
      <c r="C37" s="2240"/>
      <c r="D37" s="2240"/>
      <c r="E37" s="2240"/>
      <c r="F37" s="2240"/>
      <c r="G37" s="2240"/>
      <c r="H37" s="2240"/>
      <c r="I37" s="2241"/>
      <c r="J37" s="1845"/>
    </row>
    <row r="38" spans="2:12" s="1816" customFormat="1" ht="15" customHeight="1" x14ac:dyDescent="0.25">
      <c r="B38" s="2264" t="s">
        <v>1248</v>
      </c>
      <c r="C38" s="2265"/>
      <c r="D38" s="2265"/>
      <c r="E38" s="2265"/>
      <c r="F38" s="2265"/>
      <c r="G38" s="2265"/>
      <c r="H38" s="2265"/>
      <c r="I38" s="2266"/>
      <c r="J38" s="1845"/>
    </row>
    <row r="39" spans="2:12" ht="15.75" thickBot="1" x14ac:dyDescent="0.3">
      <c r="B39" s="2230"/>
      <c r="C39" s="2231"/>
      <c r="D39" s="2231"/>
      <c r="E39" s="2231"/>
      <c r="F39" s="2231"/>
      <c r="G39" s="2231"/>
      <c r="H39" s="2231"/>
      <c r="I39" s="2232"/>
      <c r="J39" s="1845"/>
    </row>
    <row r="40" spans="2:12" ht="42.75" customHeight="1" x14ac:dyDescent="0.25">
      <c r="B40" s="2288" t="s">
        <v>265</v>
      </c>
      <c r="C40" s="2290" t="s">
        <v>6</v>
      </c>
      <c r="D40" s="2292" t="s">
        <v>1043</v>
      </c>
      <c r="E40" s="2290" t="s">
        <v>310</v>
      </c>
      <c r="F40" s="2286" t="s">
        <v>271</v>
      </c>
      <c r="G40" s="2287"/>
      <c r="H40" s="2262" t="s">
        <v>1219</v>
      </c>
      <c r="I40" s="2263"/>
      <c r="L40" s="642"/>
    </row>
    <row r="41" spans="2:12" ht="45.75" thickBot="1" x14ac:dyDescent="0.3">
      <c r="B41" s="2289"/>
      <c r="C41" s="2291"/>
      <c r="D41" s="2293"/>
      <c r="E41" s="2291"/>
      <c r="F41" s="596" t="s">
        <v>272</v>
      </c>
      <c r="G41" s="1815" t="s">
        <v>273</v>
      </c>
      <c r="H41" s="1846" t="s">
        <v>567</v>
      </c>
      <c r="I41" s="1847" t="s">
        <v>568</v>
      </c>
    </row>
    <row r="42" spans="2:12" ht="15" customHeight="1" x14ac:dyDescent="0.25">
      <c r="B42" s="611" t="s">
        <v>267</v>
      </c>
      <c r="C42" s="703" t="s">
        <v>268</v>
      </c>
      <c r="D42" s="1647">
        <v>1.0029999999999999</v>
      </c>
      <c r="E42" s="1848">
        <v>4.7000000000000002E-3</v>
      </c>
      <c r="F42" s="2141">
        <v>3.0399999999999998E-10</v>
      </c>
      <c r="G42" s="2142">
        <v>8.0564000000000002E-10</v>
      </c>
      <c r="H42" s="2267">
        <v>9.9999999999999998E-13</v>
      </c>
      <c r="I42" s="2270">
        <v>0.5</v>
      </c>
    </row>
    <row r="43" spans="2:12" ht="15" customHeight="1" x14ac:dyDescent="0.25">
      <c r="B43" s="1528" t="s">
        <v>267</v>
      </c>
      <c r="C43" s="1529" t="s">
        <v>1042</v>
      </c>
      <c r="D43" s="2032">
        <v>1.0009999999999999</v>
      </c>
      <c r="E43" s="2033">
        <v>2.8E-3</v>
      </c>
      <c r="F43" s="2143">
        <v>9.8750000000000007E-9</v>
      </c>
      <c r="G43" s="2144">
        <v>9.8849000000000001E-8</v>
      </c>
      <c r="H43" s="2268"/>
      <c r="I43" s="2271"/>
      <c r="K43" s="560">
        <v>1.0029999999999999</v>
      </c>
    </row>
    <row r="44" spans="2:12" ht="15.75" thickBot="1" x14ac:dyDescent="0.3">
      <c r="B44" s="603" t="s">
        <v>267</v>
      </c>
      <c r="C44" s="604" t="s">
        <v>269</v>
      </c>
      <c r="D44" s="1645">
        <v>1.0009999999999999</v>
      </c>
      <c r="E44" s="1646">
        <v>2.8E-3</v>
      </c>
      <c r="F44" s="2145">
        <v>1.0125E-7</v>
      </c>
      <c r="G44" s="2146">
        <v>7.0966999999999997E-7</v>
      </c>
      <c r="H44" s="2269"/>
      <c r="I44" s="2272"/>
    </row>
    <row r="46" spans="2:12" ht="15.75" thickBot="1" x14ac:dyDescent="0.3"/>
    <row r="47" spans="2:12" ht="15" customHeight="1" x14ac:dyDescent="0.25">
      <c r="B47" s="2233" t="s">
        <v>1220</v>
      </c>
      <c r="C47" s="2234"/>
      <c r="D47" s="2234"/>
      <c r="E47" s="2234"/>
      <c r="F47" s="2234"/>
      <c r="G47" s="2235"/>
    </row>
    <row r="48" spans="2:12" s="1816" customFormat="1" ht="15" customHeight="1" x14ac:dyDescent="0.25">
      <c r="B48" s="2227" t="s">
        <v>1308</v>
      </c>
      <c r="C48" s="2228"/>
      <c r="D48" s="2228"/>
      <c r="E48" s="2228"/>
      <c r="F48" s="2228"/>
      <c r="G48" s="2229"/>
    </row>
    <row r="49" spans="2:7" ht="15.75" thickBot="1" x14ac:dyDescent="0.3">
      <c r="B49" s="2230"/>
      <c r="C49" s="2231"/>
      <c r="D49" s="2231"/>
      <c r="E49" s="2231"/>
      <c r="F49" s="2231"/>
      <c r="G49" s="2232"/>
    </row>
    <row r="50" spans="2:7" ht="30.75" thickBot="1" x14ac:dyDescent="0.3">
      <c r="B50" s="1817" t="s">
        <v>138</v>
      </c>
      <c r="C50" s="1818" t="s">
        <v>437</v>
      </c>
      <c r="D50" s="1818" t="s">
        <v>117</v>
      </c>
      <c r="E50" s="1818" t="s">
        <v>434</v>
      </c>
      <c r="F50" s="1818" t="s">
        <v>435</v>
      </c>
      <c r="G50" s="1819" t="s">
        <v>436</v>
      </c>
    </row>
    <row r="51" spans="2:7" x14ac:dyDescent="0.25">
      <c r="B51" s="611" t="s">
        <v>431</v>
      </c>
      <c r="C51" s="612" t="s">
        <v>438</v>
      </c>
      <c r="D51" s="612" t="s">
        <v>12</v>
      </c>
      <c r="E51" s="2034">
        <v>0.1</v>
      </c>
      <c r="F51" s="2034">
        <v>0.4</v>
      </c>
      <c r="G51" s="580" t="s">
        <v>12</v>
      </c>
    </row>
    <row r="52" spans="2:7" x14ac:dyDescent="0.25">
      <c r="B52" s="613" t="s">
        <v>431</v>
      </c>
      <c r="C52" s="614" t="s">
        <v>439</v>
      </c>
      <c r="D52" s="614" t="s">
        <v>12</v>
      </c>
      <c r="E52" s="2035">
        <v>0.1</v>
      </c>
      <c r="F52" s="2038">
        <v>7.2999999999999995E-2</v>
      </c>
      <c r="G52" s="615" t="s">
        <v>12</v>
      </c>
    </row>
    <row r="53" spans="2:7" ht="15.75" thickBot="1" x14ac:dyDescent="0.3">
      <c r="B53" s="603" t="s">
        <v>433</v>
      </c>
      <c r="C53" s="605" t="s">
        <v>93</v>
      </c>
      <c r="D53" s="605" t="s">
        <v>432</v>
      </c>
      <c r="E53" s="2036">
        <v>1</v>
      </c>
      <c r="F53" s="2037">
        <v>3.2</v>
      </c>
      <c r="G53" s="584" t="s">
        <v>432</v>
      </c>
    </row>
    <row r="55" spans="2:7" ht="15.75" thickBot="1" x14ac:dyDescent="0.3"/>
    <row r="56" spans="2:7" ht="15" customHeight="1" x14ac:dyDescent="0.25">
      <c r="B56" s="2233" t="s">
        <v>1221</v>
      </c>
      <c r="C56" s="2234"/>
      <c r="D56" s="2234"/>
      <c r="E56" s="2234"/>
      <c r="F56" s="2234"/>
      <c r="G56" s="2235"/>
    </row>
    <row r="57" spans="2:7" ht="34.5" customHeight="1" thickBot="1" x14ac:dyDescent="0.3">
      <c r="B57" s="2236" t="s">
        <v>1309</v>
      </c>
      <c r="C57" s="2237"/>
      <c r="D57" s="2237"/>
      <c r="E57" s="2237"/>
      <c r="F57" s="2237"/>
      <c r="G57" s="2238"/>
    </row>
    <row r="58" spans="2:7" ht="30.75" thickBot="1" x14ac:dyDescent="0.3">
      <c r="B58" s="1817" t="s">
        <v>138</v>
      </c>
      <c r="C58" s="1818" t="s">
        <v>437</v>
      </c>
      <c r="D58" s="1818" t="s">
        <v>117</v>
      </c>
      <c r="E58" s="1818" t="s">
        <v>434</v>
      </c>
      <c r="F58" s="1818" t="s">
        <v>435</v>
      </c>
      <c r="G58" s="1819" t="s">
        <v>436</v>
      </c>
    </row>
    <row r="59" spans="2:7" ht="15.75" thickBot="1" x14ac:dyDescent="0.3">
      <c r="B59" s="608" t="s">
        <v>444</v>
      </c>
      <c r="C59" s="1894" t="s">
        <v>1249</v>
      </c>
      <c r="D59" s="281" t="s">
        <v>16</v>
      </c>
      <c r="E59" s="2039">
        <v>0.1</v>
      </c>
      <c r="F59" s="2039">
        <v>0.3</v>
      </c>
      <c r="G59" s="282" t="s">
        <v>16</v>
      </c>
    </row>
    <row r="61" spans="2:7" ht="15.75" thickBot="1" x14ac:dyDescent="0.3"/>
    <row r="62" spans="2:7" ht="15" customHeight="1" x14ac:dyDescent="0.25">
      <c r="B62" s="2233" t="s">
        <v>1223</v>
      </c>
      <c r="C62" s="2234"/>
      <c r="D62" s="2234"/>
      <c r="E62" s="2234"/>
      <c r="F62" s="2235"/>
      <c r="G62" s="616"/>
    </row>
    <row r="63" spans="2:7" s="1816" customFormat="1" ht="15" customHeight="1" x14ac:dyDescent="0.25">
      <c r="B63" s="2227" t="s">
        <v>1224</v>
      </c>
      <c r="C63" s="2228"/>
      <c r="D63" s="2228"/>
      <c r="E63" s="2228"/>
      <c r="F63" s="2229"/>
      <c r="G63" s="616"/>
    </row>
    <row r="64" spans="2:7" ht="15.75" thickBot="1" x14ac:dyDescent="0.3">
      <c r="B64" s="2230"/>
      <c r="C64" s="2231"/>
      <c r="D64" s="2231"/>
      <c r="E64" s="2231"/>
      <c r="F64" s="2232"/>
      <c r="G64" s="616"/>
    </row>
    <row r="65" spans="2:16" ht="30.75" thickBot="1" x14ac:dyDescent="0.3">
      <c r="B65" s="1817" t="s">
        <v>138</v>
      </c>
      <c r="C65" s="1818" t="s">
        <v>117</v>
      </c>
      <c r="D65" s="1818" t="s">
        <v>434</v>
      </c>
      <c r="E65" s="1818" t="s">
        <v>435</v>
      </c>
      <c r="F65" s="1819" t="s">
        <v>436</v>
      </c>
    </row>
    <row r="66" spans="2:16" ht="15.75" thickBot="1" x14ac:dyDescent="0.3">
      <c r="B66" s="608" t="s">
        <v>448</v>
      </c>
      <c r="C66" s="609" t="s">
        <v>449</v>
      </c>
      <c r="D66" s="2031">
        <v>1</v>
      </c>
      <c r="E66" s="2031">
        <v>1.1000000000000001</v>
      </c>
      <c r="F66" s="610" t="s">
        <v>449</v>
      </c>
      <c r="H66" s="2104" t="s">
        <v>1325</v>
      </c>
    </row>
    <row r="68" spans="2:16" ht="15.75" thickBot="1" x14ac:dyDescent="0.3"/>
    <row r="69" spans="2:16" ht="15" customHeight="1" x14ac:dyDescent="0.25">
      <c r="B69" s="2233" t="s">
        <v>1222</v>
      </c>
      <c r="C69" s="2234"/>
      <c r="D69" s="2234"/>
      <c r="E69" s="2234"/>
      <c r="F69" s="2235"/>
      <c r="G69" s="616"/>
    </row>
    <row r="70" spans="2:16" s="1816" customFormat="1" ht="15" customHeight="1" x14ac:dyDescent="0.25">
      <c r="B70" s="2227" t="s">
        <v>1244</v>
      </c>
      <c r="C70" s="2228"/>
      <c r="D70" s="2228"/>
      <c r="E70" s="2228"/>
      <c r="F70" s="2229"/>
      <c r="G70" s="616"/>
    </row>
    <row r="71" spans="2:16" ht="15.75" thickBot="1" x14ac:dyDescent="0.3">
      <c r="B71" s="2230"/>
      <c r="C71" s="2231"/>
      <c r="D71" s="2231"/>
      <c r="E71" s="2231"/>
      <c r="F71" s="2232"/>
      <c r="G71" s="616"/>
    </row>
    <row r="72" spans="2:16" ht="30.75" thickBot="1" x14ac:dyDescent="0.3">
      <c r="B72" s="1817" t="s">
        <v>138</v>
      </c>
      <c r="C72" s="1818" t="s">
        <v>117</v>
      </c>
      <c r="D72" s="1818" t="s">
        <v>434</v>
      </c>
      <c r="E72" s="1818" t="s">
        <v>435</v>
      </c>
      <c r="F72" s="1819" t="s">
        <v>436</v>
      </c>
    </row>
    <row r="73" spans="2:16" ht="15.75" thickBot="1" x14ac:dyDescent="0.3">
      <c r="B73" s="285" t="s">
        <v>1093</v>
      </c>
      <c r="C73" s="281" t="s">
        <v>369</v>
      </c>
      <c r="D73" s="2031">
        <v>0.1</v>
      </c>
      <c r="E73" s="2031">
        <v>0.4</v>
      </c>
      <c r="F73" s="282" t="s">
        <v>369</v>
      </c>
      <c r="H73" s="2104" t="s">
        <v>1325</v>
      </c>
    </row>
    <row r="74" spans="2:16" ht="15.75" thickBot="1" x14ac:dyDescent="0.3"/>
    <row r="75" spans="2:16" ht="30.75" thickTop="1" x14ac:dyDescent="0.25">
      <c r="B75" s="2326" t="s">
        <v>110</v>
      </c>
      <c r="C75" s="2327"/>
      <c r="D75" s="2327"/>
      <c r="E75" s="2327"/>
      <c r="F75" s="2328"/>
      <c r="M75" s="2174" t="s">
        <v>1343</v>
      </c>
      <c r="N75" s="2185">
        <f>LN(2)</f>
        <v>0.69314718055994529</v>
      </c>
      <c r="O75" s="2174" t="s">
        <v>1345</v>
      </c>
      <c r="P75" s="2177">
        <f>E107*$D$43</f>
        <v>-2.9229199999999997E-8</v>
      </c>
    </row>
    <row r="76" spans="2:16" ht="30.75" thickBot="1" x14ac:dyDescent="0.3">
      <c r="B76" s="2318" t="s">
        <v>102</v>
      </c>
      <c r="C76" s="2319"/>
      <c r="D76" s="1820" t="s">
        <v>103</v>
      </c>
      <c r="E76" s="1820" t="s">
        <v>104</v>
      </c>
      <c r="F76" s="1849" t="s">
        <v>105</v>
      </c>
      <c r="M76" s="2176" t="s">
        <v>1344</v>
      </c>
      <c r="N76" s="2186">
        <v>0.69314718055994995</v>
      </c>
      <c r="O76" s="2173" t="s">
        <v>1346</v>
      </c>
      <c r="P76" s="2178">
        <v>-2.9229200000000001E-8</v>
      </c>
    </row>
    <row r="77" spans="2:16" ht="19.5" thickTop="1" thickBot="1" x14ac:dyDescent="0.3">
      <c r="B77" s="2324" t="s">
        <v>98</v>
      </c>
      <c r="C77" s="2325"/>
      <c r="D77" s="614" t="s">
        <v>143</v>
      </c>
      <c r="E77" s="614" t="s">
        <v>108</v>
      </c>
      <c r="F77" s="1850" t="s">
        <v>109</v>
      </c>
    </row>
    <row r="78" spans="2:16" ht="30.75" thickTop="1" x14ac:dyDescent="0.25">
      <c r="B78" s="2324"/>
      <c r="C78" s="2325"/>
      <c r="D78" s="614" t="s">
        <v>106</v>
      </c>
      <c r="E78" s="614" t="s">
        <v>108</v>
      </c>
      <c r="F78" s="1851">
        <v>1.2</v>
      </c>
      <c r="M78" s="2174" t="s">
        <v>1349</v>
      </c>
      <c r="N78" s="2179">
        <f>(I107/F107)*J107*(EXP((-LN(2)/10990)*($F$96-G107)))</f>
        <v>-4.8134334234268293E-10</v>
      </c>
      <c r="O78" s="2172" t="s">
        <v>1347</v>
      </c>
      <c r="P78" s="2182">
        <f>((273.2+B107)*$F$33/((273.2+$F$32)*D107))</f>
        <v>0.99778032681316897</v>
      </c>
    </row>
    <row r="79" spans="2:16" ht="24" customHeight="1" thickBot="1" x14ac:dyDescent="0.3">
      <c r="B79" s="2322" t="s">
        <v>101</v>
      </c>
      <c r="C79" s="2323"/>
      <c r="D79" s="620" t="s">
        <v>144</v>
      </c>
      <c r="E79" s="614" t="s">
        <v>108</v>
      </c>
      <c r="F79" s="615">
        <v>1.25</v>
      </c>
      <c r="M79" s="2173" t="s">
        <v>1350</v>
      </c>
      <c r="N79" s="2180">
        <v>-4.8134334234268003E-10</v>
      </c>
      <c r="O79" s="2176" t="s">
        <v>1348</v>
      </c>
      <c r="P79" s="2183">
        <v>0.99778032681316997</v>
      </c>
    </row>
    <row r="80" spans="2:16" ht="20.25" customHeight="1" thickTop="1" x14ac:dyDescent="0.25">
      <c r="B80" s="2322"/>
      <c r="C80" s="2323"/>
      <c r="D80" s="614" t="s">
        <v>107</v>
      </c>
      <c r="E80" s="614" t="s">
        <v>108</v>
      </c>
      <c r="F80" s="615">
        <v>1.21</v>
      </c>
      <c r="M80" s="2175" t="s">
        <v>1351</v>
      </c>
      <c r="N80" s="2181">
        <f>(EXP((-LN(2)/10990)*($F$96-G107)))</f>
        <v>0.99027166822886559</v>
      </c>
      <c r="O80" s="2174" t="s">
        <v>1355</v>
      </c>
      <c r="P80" s="2179">
        <f>N107*$C$87</f>
        <v>4.3665307795648252</v>
      </c>
    </row>
    <row r="81" spans="2:566" ht="30.75" thickBot="1" x14ac:dyDescent="0.3">
      <c r="B81" s="2318" t="s">
        <v>99</v>
      </c>
      <c r="C81" s="2319"/>
      <c r="D81" s="614" t="s">
        <v>144</v>
      </c>
      <c r="E81" s="614" t="s">
        <v>108</v>
      </c>
      <c r="F81" s="1850" t="s">
        <v>109</v>
      </c>
      <c r="H81" s="2114"/>
      <c r="M81" s="2173" t="s">
        <v>1352</v>
      </c>
      <c r="N81" s="2180">
        <v>0.99027166822887003</v>
      </c>
      <c r="O81" s="2187" t="s">
        <v>1356</v>
      </c>
      <c r="P81" s="2188">
        <v>4.3667468017328002</v>
      </c>
    </row>
    <row r="82" spans="2:566" ht="30.75" thickTop="1" x14ac:dyDescent="0.25">
      <c r="B82" s="2318" t="s">
        <v>100</v>
      </c>
      <c r="C82" s="2319"/>
      <c r="D82" s="614" t="s">
        <v>144</v>
      </c>
      <c r="E82" s="614" t="s">
        <v>108</v>
      </c>
      <c r="F82" s="1850" t="s">
        <v>109</v>
      </c>
      <c r="N82" s="2155"/>
      <c r="O82" s="2174" t="s">
        <v>1353</v>
      </c>
      <c r="P82" s="2184">
        <f>ABS($B$34*L107*3600)</f>
        <v>4.3665307795648249E-2</v>
      </c>
    </row>
    <row r="83" spans="2:566" ht="45.75" customHeight="1" thickBot="1" x14ac:dyDescent="0.3">
      <c r="B83" s="2320" t="s">
        <v>101</v>
      </c>
      <c r="C83" s="2321"/>
      <c r="D83" s="230" t="s">
        <v>1045</v>
      </c>
      <c r="E83" s="230" t="s">
        <v>93</v>
      </c>
      <c r="F83" s="1852">
        <v>1.21</v>
      </c>
      <c r="N83" s="2155"/>
      <c r="O83" s="2195" t="s">
        <v>1354</v>
      </c>
      <c r="P83" s="2196">
        <v>4.3667468017328001E-2</v>
      </c>
    </row>
    <row r="84" spans="2:566" ht="31.5" thickTop="1" thickBot="1" x14ac:dyDescent="0.3">
      <c r="N84" s="2155"/>
      <c r="O84" s="2189" t="s">
        <v>1357</v>
      </c>
      <c r="P84" s="2191">
        <f>N107*$F$78</f>
        <v>5.2398369354777895E-2</v>
      </c>
    </row>
    <row r="85" spans="2:566" ht="30.75" thickBot="1" x14ac:dyDescent="0.3">
      <c r="B85" s="2315" t="s">
        <v>122</v>
      </c>
      <c r="C85" s="2316"/>
      <c r="D85" s="2317"/>
      <c r="N85" s="2155"/>
      <c r="O85" s="2190" t="s">
        <v>1358</v>
      </c>
      <c r="P85" s="2192">
        <v>5.2400961620794002E-2</v>
      </c>
    </row>
    <row r="86" spans="2:566" ht="30.75" thickTop="1" x14ac:dyDescent="0.25">
      <c r="B86" s="1853" t="s">
        <v>120</v>
      </c>
      <c r="C86" s="622">
        <v>0.877</v>
      </c>
      <c r="D86" s="1854" t="s">
        <v>116</v>
      </c>
      <c r="N86" s="2155"/>
      <c r="O86" s="2189" t="s">
        <v>1359</v>
      </c>
      <c r="P86" s="2193">
        <f>N107*$F$83</f>
        <v>5.2835022432734378E-2</v>
      </c>
    </row>
    <row r="87" spans="2:566" ht="30.75" thickBot="1" x14ac:dyDescent="0.3">
      <c r="B87" s="1855" t="s">
        <v>121</v>
      </c>
      <c r="C87" s="1856">
        <v>100</v>
      </c>
      <c r="D87" s="1857" t="s">
        <v>116</v>
      </c>
      <c r="N87" s="2155"/>
      <c r="O87" s="2190" t="s">
        <v>1360</v>
      </c>
      <c r="P87" s="2194">
        <v>5.2837636300967002E-2</v>
      </c>
    </row>
    <row r="88" spans="2:566" ht="31.5" thickTop="1" thickBot="1" x14ac:dyDescent="0.3">
      <c r="O88" s="2189" t="s">
        <v>1361</v>
      </c>
      <c r="P88" s="2193">
        <f>N107*$F$79</f>
        <v>5.4581634744560313E-2</v>
      </c>
    </row>
    <row r="89" spans="2:566" ht="30.75" thickBot="1" x14ac:dyDescent="0.3">
      <c r="B89" s="625" t="s">
        <v>23</v>
      </c>
      <c r="C89" s="626"/>
      <c r="D89" s="626"/>
      <c r="E89" s="626"/>
      <c r="F89" s="627"/>
      <c r="G89" s="628">
        <v>1.5</v>
      </c>
      <c r="H89" s="2156"/>
      <c r="I89" s="2156"/>
      <c r="J89" s="2156"/>
      <c r="K89" s="2156"/>
      <c r="L89" s="2156"/>
      <c r="O89" s="2190" t="s">
        <v>1362</v>
      </c>
      <c r="P89" s="2194">
        <v>5.4584335021659998E-2</v>
      </c>
    </row>
    <row r="90" spans="2:566" ht="30.75" thickTop="1" x14ac:dyDescent="0.25">
      <c r="H90" s="2156"/>
      <c r="I90" s="2151"/>
      <c r="K90" s="726"/>
      <c r="N90" s="2155"/>
      <c r="O90" s="2189" t="s">
        <v>1363</v>
      </c>
      <c r="P90" s="2193">
        <f>N107*$F$80</f>
        <v>5.2835022432734378E-2</v>
      </c>
    </row>
    <row r="91" spans="2:566" ht="30.75" thickBot="1" x14ac:dyDescent="0.3">
      <c r="H91" s="2156"/>
      <c r="N91" s="2155"/>
      <c r="O91" s="2190" t="s">
        <v>1364</v>
      </c>
      <c r="P91" s="2194">
        <v>5.2837636300967002E-2</v>
      </c>
    </row>
    <row r="92" spans="2:566" ht="16.5" thickTop="1" thickBot="1" x14ac:dyDescent="0.3">
      <c r="C92" s="629" t="s">
        <v>20</v>
      </c>
      <c r="D92" s="630"/>
      <c r="E92" s="630"/>
      <c r="F92" s="631" t="s">
        <v>9</v>
      </c>
      <c r="H92" s="2156"/>
      <c r="I92" s="726"/>
      <c r="J92" s="2124" t="s">
        <v>1342</v>
      </c>
      <c r="K92" s="2147">
        <f t="shared" ref="K92:K95" si="0">($F$94-G107)</f>
        <v>-1757</v>
      </c>
    </row>
    <row r="93" spans="2:566" ht="16.5" thickTop="1" thickBot="1" x14ac:dyDescent="0.3">
      <c r="C93" s="632" t="s">
        <v>21</v>
      </c>
      <c r="D93" s="633"/>
      <c r="E93" s="633"/>
      <c r="F93" s="634">
        <v>15.5</v>
      </c>
      <c r="H93" s="2156"/>
      <c r="J93" s="560" t="s">
        <v>1342</v>
      </c>
      <c r="K93" s="2148">
        <f t="shared" si="0"/>
        <v>-1757</v>
      </c>
    </row>
    <row r="94" spans="2:566" ht="16.5" thickTop="1" thickBot="1" x14ac:dyDescent="0.3">
      <c r="C94" s="632" t="s">
        <v>76</v>
      </c>
      <c r="D94" s="633"/>
      <c r="E94" s="635"/>
      <c r="F94" s="636">
        <v>42576</v>
      </c>
      <c r="G94" s="2156"/>
      <c r="H94" s="2156"/>
      <c r="I94" s="2150"/>
      <c r="J94" s="560" t="s">
        <v>1342</v>
      </c>
      <c r="K94" s="2148">
        <f t="shared" si="0"/>
        <v>-1757</v>
      </c>
      <c r="CM94" s="56"/>
      <c r="CP94" s="56"/>
      <c r="CR94" s="56"/>
      <c r="CS94" s="56"/>
      <c r="CT94" s="56"/>
      <c r="UM94" s="56"/>
      <c r="UP94" s="56"/>
      <c r="UR94" s="56"/>
      <c r="US94" s="56"/>
    </row>
    <row r="95" spans="2:566" ht="16.5" thickTop="1" thickBot="1" x14ac:dyDescent="0.3">
      <c r="C95" s="632" t="s">
        <v>77</v>
      </c>
      <c r="D95" s="633"/>
      <c r="E95" s="637"/>
      <c r="F95" s="638">
        <v>44334</v>
      </c>
      <c r="H95" s="2156"/>
      <c r="J95" s="560" t="s">
        <v>1342</v>
      </c>
      <c r="K95" s="2148">
        <f t="shared" si="0"/>
        <v>-1757</v>
      </c>
      <c r="BD95" s="56"/>
      <c r="BG95" s="56"/>
      <c r="BI95" s="56"/>
      <c r="BJ95" s="56"/>
      <c r="BK95" s="56"/>
      <c r="BV95" s="56"/>
      <c r="BY95" s="56"/>
      <c r="CA95" s="56"/>
      <c r="CB95" s="56"/>
      <c r="CC95" s="56"/>
      <c r="CG95" s="56"/>
      <c r="CI95" s="56"/>
      <c r="CJ95" s="56"/>
      <c r="CK95" s="56"/>
      <c r="CL95" s="56"/>
      <c r="CN95" s="721"/>
      <c r="CO95" s="1546"/>
      <c r="CP95" s="1546"/>
      <c r="CQ95" s="719"/>
      <c r="CR95" s="1558"/>
      <c r="CS95" s="719"/>
      <c r="CT95" s="719"/>
      <c r="CU95" s="719"/>
      <c r="CV95" s="696"/>
      <c r="OZ95" s="56"/>
      <c r="PC95" s="56"/>
      <c r="PE95" s="56"/>
      <c r="PF95" s="56"/>
      <c r="SL95" s="56"/>
      <c r="SO95" s="56"/>
      <c r="SQ95" s="56"/>
      <c r="SR95" s="56"/>
      <c r="TD95" s="56"/>
      <c r="TG95" s="56"/>
      <c r="TI95" s="56"/>
      <c r="TJ95" s="56"/>
      <c r="UN95" s="721"/>
      <c r="UO95" s="1546"/>
      <c r="UP95" s="1546"/>
      <c r="UQ95" s="719"/>
      <c r="UR95" s="1558"/>
      <c r="US95" s="719"/>
      <c r="UT95" s="719"/>
    </row>
    <row r="96" spans="2:566" ht="16.5" thickTop="1" thickBot="1" x14ac:dyDescent="0.3">
      <c r="C96" s="2159" t="s">
        <v>75</v>
      </c>
      <c r="D96" s="633"/>
      <c r="E96" s="637"/>
      <c r="F96" s="638">
        <v>44488</v>
      </c>
      <c r="H96" s="2156"/>
      <c r="I96" s="726"/>
      <c r="J96" s="560" t="s">
        <v>1342</v>
      </c>
      <c r="K96" s="2149">
        <f>($F$94-G111)</f>
        <v>-1757</v>
      </c>
      <c r="BB96" s="721"/>
      <c r="BC96" s="1546"/>
      <c r="BD96" s="1546"/>
      <c r="BE96" s="719"/>
      <c r="BF96" s="1558"/>
      <c r="BG96" s="719"/>
      <c r="BH96" s="719"/>
      <c r="BI96" s="719"/>
      <c r="BT96" s="721"/>
      <c r="BU96" s="1546"/>
      <c r="BV96" s="1546"/>
      <c r="BW96" s="719"/>
      <c r="BX96" s="1558"/>
      <c r="BY96" s="719"/>
      <c r="BZ96" s="719"/>
      <c r="CA96" s="719"/>
      <c r="CB96" s="696"/>
      <c r="CC96" s="642"/>
      <c r="CD96" s="642"/>
      <c r="CE96" s="719"/>
      <c r="CF96" s="1546"/>
      <c r="CG96" s="719"/>
      <c r="CH96" s="642"/>
      <c r="CI96" s="642"/>
      <c r="CJ96" s="642"/>
      <c r="CK96" s="642"/>
      <c r="CL96" s="721"/>
      <c r="CM96" s="1546"/>
      <c r="CN96" s="1546"/>
      <c r="CO96" s="719"/>
      <c r="CP96" s="1558"/>
      <c r="CQ96" s="719"/>
      <c r="CR96" s="719"/>
      <c r="CS96" s="719"/>
      <c r="CT96" s="696"/>
      <c r="EN96" s="56"/>
      <c r="EQ96" s="56"/>
      <c r="ES96" s="56"/>
      <c r="ET96" s="56"/>
      <c r="NN96" s="56"/>
      <c r="NQ96" s="56"/>
      <c r="NS96" s="56"/>
      <c r="NT96" s="56"/>
      <c r="OX96" s="721"/>
      <c r="OY96" s="1546"/>
      <c r="OZ96" s="1546"/>
      <c r="PA96" s="719"/>
      <c r="PB96" s="1558"/>
      <c r="PC96" s="719"/>
      <c r="PD96" s="719"/>
      <c r="SJ96" s="721"/>
      <c r="SK96" s="1546"/>
      <c r="SL96" s="1546"/>
      <c r="SM96" s="719"/>
      <c r="SN96" s="1558"/>
      <c r="SO96" s="719"/>
      <c r="SP96" s="719"/>
      <c r="TB96" s="721"/>
      <c r="TC96" s="1546"/>
      <c r="TD96" s="1546"/>
      <c r="TE96" s="719"/>
      <c r="TF96" s="1558"/>
      <c r="TG96" s="719"/>
      <c r="TH96" s="719"/>
      <c r="UL96" s="721"/>
      <c r="UM96" s="1546"/>
      <c r="UN96" s="1546"/>
      <c r="UO96" s="719"/>
      <c r="UP96" s="1558"/>
      <c r="UQ96" s="719"/>
      <c r="UR96" s="719"/>
    </row>
    <row r="97" spans="1:577" ht="15.75" thickTop="1" x14ac:dyDescent="0.25">
      <c r="C97" s="632" t="s">
        <v>22</v>
      </c>
      <c r="D97" s="633"/>
      <c r="E97" s="633"/>
      <c r="F97" s="634">
        <f>EXP((-LN(2)*(F96-F94))/10990)</f>
        <v>0.88639623454367944</v>
      </c>
      <c r="H97" s="2157"/>
      <c r="BD97" s="721"/>
      <c r="BE97" s="1546"/>
      <c r="BF97" s="1546"/>
      <c r="BG97" s="719"/>
      <c r="BH97" s="1558"/>
      <c r="BI97" s="719"/>
      <c r="BJ97" s="719"/>
      <c r="BK97" s="719"/>
      <c r="BV97" s="721"/>
      <c r="BW97" s="1546"/>
      <c r="BX97" s="1546"/>
      <c r="BY97" s="719"/>
      <c r="BZ97" s="1558"/>
      <c r="CA97" s="719"/>
      <c r="CB97" s="719"/>
      <c r="CC97" s="719"/>
      <c r="CD97" s="696"/>
      <c r="CE97" s="642"/>
      <c r="CF97" s="642"/>
      <c r="CG97" s="719"/>
      <c r="CH97" s="1546"/>
      <c r="CI97" s="719"/>
      <c r="CJ97" s="642"/>
      <c r="CK97" s="642"/>
      <c r="CL97" s="642"/>
      <c r="CM97" s="642"/>
      <c r="EP97" s="721"/>
      <c r="EQ97" s="1546"/>
      <c r="ER97" s="1546"/>
      <c r="ES97" s="719"/>
      <c r="ET97" s="1558"/>
      <c r="EU97" s="719"/>
      <c r="EV97" s="719"/>
      <c r="NP97" s="721"/>
      <c r="NQ97" s="1546"/>
      <c r="NR97" s="1546"/>
      <c r="NS97" s="719"/>
      <c r="NT97" s="1558"/>
      <c r="NU97" s="719"/>
      <c r="NV97" s="719"/>
      <c r="OZ97" s="721"/>
      <c r="PA97" s="1546"/>
      <c r="PB97" s="1546"/>
      <c r="PC97" s="719"/>
      <c r="PD97" s="1558"/>
      <c r="PE97" s="719"/>
      <c r="PF97" s="719"/>
      <c r="SL97" s="721"/>
      <c r="SM97" s="1546"/>
      <c r="SN97" s="1546"/>
      <c r="SO97" s="719"/>
      <c r="SP97" s="1558"/>
      <c r="SQ97" s="719"/>
      <c r="SR97" s="719"/>
      <c r="TD97" s="721"/>
      <c r="TE97" s="1546"/>
      <c r="TF97" s="1546"/>
      <c r="TG97" s="719"/>
      <c r="TH97" s="1558"/>
      <c r="TI97" s="719"/>
      <c r="TJ97" s="719"/>
    </row>
    <row r="98" spans="1:577" ht="15.75" thickBot="1" x14ac:dyDescent="0.3">
      <c r="C98" s="639" t="s">
        <v>64</v>
      </c>
      <c r="D98" s="640"/>
      <c r="E98" s="640"/>
      <c r="F98" s="641">
        <f>F97*F93</f>
        <v>13.739141635427032</v>
      </c>
      <c r="H98" s="2158"/>
      <c r="I98" s="2151"/>
      <c r="J98" s="1557"/>
      <c r="K98" s="726"/>
      <c r="EP98" s="721"/>
      <c r="EQ98" s="1546"/>
      <c r="ER98" s="1546"/>
      <c r="ES98" s="719"/>
      <c r="ET98" s="1558"/>
      <c r="EU98" s="719"/>
      <c r="EV98" s="719"/>
      <c r="NP98" s="721"/>
      <c r="NQ98" s="1546"/>
      <c r="NR98" s="1546"/>
      <c r="NS98" s="719"/>
      <c r="NT98" s="1558"/>
      <c r="NU98" s="719"/>
      <c r="NV98" s="719"/>
    </row>
    <row r="99" spans="1:577" x14ac:dyDescent="0.25">
      <c r="A99" s="2114"/>
      <c r="H99" s="2169"/>
      <c r="I99" s="2156"/>
      <c r="J99" s="2156"/>
      <c r="K99" s="2156"/>
      <c r="L99" s="2156"/>
    </row>
    <row r="100" spans="1:577" ht="15.75" thickBot="1" x14ac:dyDescent="0.3"/>
    <row r="101" spans="1:577" ht="45.75" thickBot="1" x14ac:dyDescent="0.3">
      <c r="A101" s="2058" t="s">
        <v>1237</v>
      </c>
      <c r="B101" s="2043" t="s">
        <v>57</v>
      </c>
      <c r="C101" s="2044" t="s">
        <v>58</v>
      </c>
      <c r="D101" s="2044" t="s">
        <v>59</v>
      </c>
      <c r="E101" s="2045" t="s">
        <v>1060</v>
      </c>
      <c r="F101" s="2045" t="s">
        <v>1054</v>
      </c>
      <c r="G101" s="2044" t="s">
        <v>60</v>
      </c>
      <c r="H101" s="2046" t="s">
        <v>1086</v>
      </c>
      <c r="I101" s="2045" t="s">
        <v>1061</v>
      </c>
      <c r="J101" s="2108" t="s">
        <v>1073</v>
      </c>
      <c r="K101" s="2105" t="s">
        <v>57</v>
      </c>
      <c r="L101" s="2044" t="s">
        <v>58</v>
      </c>
      <c r="M101" s="2044" t="s">
        <v>59</v>
      </c>
      <c r="N101" s="2045" t="s">
        <v>1062</v>
      </c>
      <c r="O101" s="2046" t="s">
        <v>1055</v>
      </c>
      <c r="P101" s="2044" t="s">
        <v>60</v>
      </c>
      <c r="Q101" s="2045" t="s">
        <v>1063</v>
      </c>
      <c r="R101" s="2046" t="s">
        <v>300</v>
      </c>
      <c r="S101" s="2047" t="s">
        <v>1056</v>
      </c>
      <c r="T101" s="2040" t="s">
        <v>57</v>
      </c>
      <c r="U101" s="645" t="s">
        <v>58</v>
      </c>
      <c r="V101" s="645" t="s">
        <v>59</v>
      </c>
      <c r="W101" s="100" t="s">
        <v>1060</v>
      </c>
      <c r="X101" s="100" t="s">
        <v>1054</v>
      </c>
      <c r="Y101" s="645" t="s">
        <v>60</v>
      </c>
      <c r="Z101" s="99" t="s">
        <v>1086</v>
      </c>
      <c r="AA101" s="100" t="s">
        <v>1061</v>
      </c>
      <c r="AB101" s="100" t="s">
        <v>1073</v>
      </c>
      <c r="AC101" s="645" t="s">
        <v>57</v>
      </c>
      <c r="AD101" s="645" t="s">
        <v>58</v>
      </c>
      <c r="AE101" s="645" t="s">
        <v>59</v>
      </c>
      <c r="AF101" s="100" t="s">
        <v>1062</v>
      </c>
      <c r="AG101" s="99" t="s">
        <v>1055</v>
      </c>
      <c r="AH101" s="645" t="s">
        <v>60</v>
      </c>
      <c r="AI101" s="100" t="s">
        <v>1063</v>
      </c>
      <c r="AJ101" s="99" t="s">
        <v>300</v>
      </c>
      <c r="AK101" s="101" t="s">
        <v>1056</v>
      </c>
      <c r="AL101" s="98" t="s">
        <v>57</v>
      </c>
      <c r="AM101" s="645" t="s">
        <v>58</v>
      </c>
      <c r="AN101" s="645" t="s">
        <v>59</v>
      </c>
      <c r="AO101" s="100" t="s">
        <v>1060</v>
      </c>
      <c r="AP101" s="100" t="s">
        <v>1054</v>
      </c>
      <c r="AQ101" s="645" t="s">
        <v>60</v>
      </c>
      <c r="AR101" s="99" t="s">
        <v>1086</v>
      </c>
      <c r="AS101" s="100" t="s">
        <v>1061</v>
      </c>
      <c r="AT101" s="100" t="s">
        <v>1073</v>
      </c>
      <c r="AU101" s="645" t="s">
        <v>57</v>
      </c>
      <c r="AV101" s="645" t="s">
        <v>58</v>
      </c>
      <c r="AW101" s="645" t="s">
        <v>59</v>
      </c>
      <c r="AX101" s="100" t="s">
        <v>1062</v>
      </c>
      <c r="AY101" s="99" t="s">
        <v>1055</v>
      </c>
      <c r="AZ101" s="645" t="s">
        <v>60</v>
      </c>
      <c r="BA101" s="100" t="s">
        <v>1063</v>
      </c>
      <c r="BB101" s="99" t="s">
        <v>300</v>
      </c>
      <c r="BC101" s="100" t="s">
        <v>1056</v>
      </c>
      <c r="BD101" s="2043" t="s">
        <v>57</v>
      </c>
      <c r="BE101" s="2044" t="s">
        <v>58</v>
      </c>
      <c r="BF101" s="2044" t="s">
        <v>59</v>
      </c>
      <c r="BG101" s="2045" t="s">
        <v>1060</v>
      </c>
      <c r="BH101" s="2045" t="s">
        <v>1054</v>
      </c>
      <c r="BI101" s="2044" t="s">
        <v>60</v>
      </c>
      <c r="BJ101" s="2046" t="s">
        <v>1086</v>
      </c>
      <c r="BK101" s="2045" t="s">
        <v>1061</v>
      </c>
      <c r="BL101" s="2108" t="s">
        <v>1073</v>
      </c>
      <c r="BM101" s="2111" t="s">
        <v>57</v>
      </c>
      <c r="BN101" s="2044" t="s">
        <v>58</v>
      </c>
      <c r="BO101" s="2044" t="s">
        <v>59</v>
      </c>
      <c r="BP101" s="2045" t="s">
        <v>1062</v>
      </c>
      <c r="BQ101" s="2046" t="s">
        <v>1055</v>
      </c>
      <c r="BR101" s="2044" t="s">
        <v>60</v>
      </c>
      <c r="BS101" s="2045" t="s">
        <v>1063</v>
      </c>
      <c r="BT101" s="2046" t="s">
        <v>300</v>
      </c>
      <c r="BU101" s="2047" t="s">
        <v>1056</v>
      </c>
      <c r="BV101" s="2043" t="s">
        <v>57</v>
      </c>
      <c r="BW101" s="2044" t="s">
        <v>58</v>
      </c>
      <c r="BX101" s="2044" t="s">
        <v>59</v>
      </c>
      <c r="BY101" s="2045" t="s">
        <v>1060</v>
      </c>
      <c r="BZ101" s="2045" t="s">
        <v>1054</v>
      </c>
      <c r="CA101" s="2044" t="s">
        <v>60</v>
      </c>
      <c r="CB101" s="2046" t="s">
        <v>1086</v>
      </c>
      <c r="CC101" s="2045" t="s">
        <v>1061</v>
      </c>
      <c r="CD101" s="2108" t="s">
        <v>1073</v>
      </c>
      <c r="CE101" s="2111" t="s">
        <v>57</v>
      </c>
      <c r="CF101" s="2044" t="s">
        <v>58</v>
      </c>
      <c r="CG101" s="2044" t="s">
        <v>59</v>
      </c>
      <c r="CH101" s="2045" t="s">
        <v>1062</v>
      </c>
      <c r="CI101" s="2046" t="s">
        <v>1055</v>
      </c>
      <c r="CJ101" s="2044" t="s">
        <v>60</v>
      </c>
      <c r="CK101" s="2045" t="s">
        <v>1063</v>
      </c>
      <c r="CL101" s="2046" t="s">
        <v>300</v>
      </c>
      <c r="CM101" s="2047" t="s">
        <v>1056</v>
      </c>
      <c r="CN101" s="2043" t="s">
        <v>57</v>
      </c>
      <c r="CO101" s="2044" t="s">
        <v>58</v>
      </c>
      <c r="CP101" s="2044" t="s">
        <v>59</v>
      </c>
      <c r="CQ101" s="2045" t="s">
        <v>1060</v>
      </c>
      <c r="CR101" s="2045" t="s">
        <v>1054</v>
      </c>
      <c r="CS101" s="2044" t="s">
        <v>60</v>
      </c>
      <c r="CT101" s="2046" t="s">
        <v>1086</v>
      </c>
      <c r="CU101" s="2045" t="s">
        <v>1061</v>
      </c>
      <c r="CV101" s="2108" t="s">
        <v>1073</v>
      </c>
      <c r="CW101" s="2111" t="s">
        <v>57</v>
      </c>
      <c r="CX101" s="2044" t="s">
        <v>58</v>
      </c>
      <c r="CY101" s="2044" t="s">
        <v>59</v>
      </c>
      <c r="CZ101" s="2045" t="s">
        <v>1062</v>
      </c>
      <c r="DA101" s="2046" t="s">
        <v>1055</v>
      </c>
      <c r="DB101" s="2044" t="s">
        <v>60</v>
      </c>
      <c r="DC101" s="2045" t="s">
        <v>1063</v>
      </c>
      <c r="DD101" s="2046" t="s">
        <v>300</v>
      </c>
      <c r="DE101" s="2047" t="s">
        <v>1056</v>
      </c>
      <c r="DF101" s="2040" t="s">
        <v>57</v>
      </c>
      <c r="DG101" s="645" t="s">
        <v>58</v>
      </c>
      <c r="DH101" s="645" t="s">
        <v>59</v>
      </c>
      <c r="DI101" s="100" t="s">
        <v>1060</v>
      </c>
      <c r="DJ101" s="100" t="s">
        <v>1054</v>
      </c>
      <c r="DK101" s="645" t="s">
        <v>60</v>
      </c>
      <c r="DL101" s="99" t="s">
        <v>1086</v>
      </c>
      <c r="DM101" s="100" t="s">
        <v>1061</v>
      </c>
      <c r="DN101" s="100" t="s">
        <v>1073</v>
      </c>
      <c r="DO101" s="645" t="s">
        <v>57</v>
      </c>
      <c r="DP101" s="645" t="s">
        <v>58</v>
      </c>
      <c r="DQ101" s="645" t="s">
        <v>59</v>
      </c>
      <c r="DR101" s="100" t="s">
        <v>1062</v>
      </c>
      <c r="DS101" s="99" t="s">
        <v>1055</v>
      </c>
      <c r="DT101" s="645" t="s">
        <v>60</v>
      </c>
      <c r="DU101" s="100" t="s">
        <v>1063</v>
      </c>
      <c r="DV101" s="99" t="s">
        <v>300</v>
      </c>
      <c r="DW101" s="101" t="s">
        <v>1056</v>
      </c>
      <c r="DX101" s="98" t="s">
        <v>57</v>
      </c>
      <c r="DY101" s="645" t="s">
        <v>58</v>
      </c>
      <c r="DZ101" s="645" t="s">
        <v>59</v>
      </c>
      <c r="EA101" s="100" t="s">
        <v>1060</v>
      </c>
      <c r="EB101" s="100" t="s">
        <v>1054</v>
      </c>
      <c r="EC101" s="645" t="s">
        <v>60</v>
      </c>
      <c r="ED101" s="99" t="s">
        <v>1086</v>
      </c>
      <c r="EE101" s="100" t="s">
        <v>1061</v>
      </c>
      <c r="EF101" s="100" t="s">
        <v>1073</v>
      </c>
      <c r="EG101" s="645" t="s">
        <v>57</v>
      </c>
      <c r="EH101" s="645" t="s">
        <v>58</v>
      </c>
      <c r="EI101" s="645" t="s">
        <v>59</v>
      </c>
      <c r="EJ101" s="100" t="s">
        <v>1062</v>
      </c>
      <c r="EK101" s="99" t="s">
        <v>1055</v>
      </c>
      <c r="EL101" s="645" t="s">
        <v>60</v>
      </c>
      <c r="EM101" s="100" t="s">
        <v>1063</v>
      </c>
      <c r="EN101" s="99" t="s">
        <v>300</v>
      </c>
      <c r="EO101" s="100" t="s">
        <v>1056</v>
      </c>
      <c r="EP101" s="2043" t="s">
        <v>57</v>
      </c>
      <c r="EQ101" s="2044" t="s">
        <v>58</v>
      </c>
      <c r="ER101" s="2044" t="s">
        <v>59</v>
      </c>
      <c r="ES101" s="2045" t="s">
        <v>1060</v>
      </c>
      <c r="ET101" s="2045" t="s">
        <v>1054</v>
      </c>
      <c r="EU101" s="2044" t="s">
        <v>60</v>
      </c>
      <c r="EV101" s="2046" t="s">
        <v>1086</v>
      </c>
      <c r="EW101" s="2045" t="s">
        <v>1061</v>
      </c>
      <c r="EX101" s="2108" t="s">
        <v>1073</v>
      </c>
      <c r="EY101" s="2111" t="s">
        <v>57</v>
      </c>
      <c r="EZ101" s="2044" t="s">
        <v>58</v>
      </c>
      <c r="FA101" s="2044" t="s">
        <v>59</v>
      </c>
      <c r="FB101" s="2045" t="s">
        <v>1062</v>
      </c>
      <c r="FC101" s="2046" t="s">
        <v>1055</v>
      </c>
      <c r="FD101" s="2044" t="s">
        <v>60</v>
      </c>
      <c r="FE101" s="2045" t="s">
        <v>1063</v>
      </c>
      <c r="FF101" s="2046" t="s">
        <v>300</v>
      </c>
      <c r="FG101" s="2047" t="s">
        <v>1056</v>
      </c>
      <c r="FH101" s="2040" t="s">
        <v>57</v>
      </c>
      <c r="FI101" s="645" t="s">
        <v>58</v>
      </c>
      <c r="FJ101" s="645" t="s">
        <v>59</v>
      </c>
      <c r="FK101" s="100" t="s">
        <v>1060</v>
      </c>
      <c r="FL101" s="100" t="s">
        <v>1054</v>
      </c>
      <c r="FM101" s="645" t="s">
        <v>60</v>
      </c>
      <c r="FN101" s="99" t="s">
        <v>1086</v>
      </c>
      <c r="FO101" s="100" t="s">
        <v>1061</v>
      </c>
      <c r="FP101" s="100" t="s">
        <v>1073</v>
      </c>
      <c r="FQ101" s="645" t="s">
        <v>57</v>
      </c>
      <c r="FR101" s="645" t="s">
        <v>58</v>
      </c>
      <c r="FS101" s="645" t="s">
        <v>59</v>
      </c>
      <c r="FT101" s="100" t="s">
        <v>1062</v>
      </c>
      <c r="FU101" s="99" t="s">
        <v>1055</v>
      </c>
      <c r="FV101" s="645" t="s">
        <v>60</v>
      </c>
      <c r="FW101" s="100" t="s">
        <v>1063</v>
      </c>
      <c r="FX101" s="99" t="s">
        <v>300</v>
      </c>
      <c r="FY101" s="101" t="s">
        <v>1056</v>
      </c>
      <c r="FZ101" s="98" t="s">
        <v>57</v>
      </c>
      <c r="GA101" s="645" t="s">
        <v>58</v>
      </c>
      <c r="GB101" s="645" t="s">
        <v>59</v>
      </c>
      <c r="GC101" s="100" t="s">
        <v>1060</v>
      </c>
      <c r="GD101" s="100" t="s">
        <v>1054</v>
      </c>
      <c r="GE101" s="645" t="s">
        <v>60</v>
      </c>
      <c r="GF101" s="99" t="s">
        <v>1086</v>
      </c>
      <c r="GG101" s="100" t="s">
        <v>1061</v>
      </c>
      <c r="GH101" s="100" t="s">
        <v>1073</v>
      </c>
      <c r="GI101" s="645" t="s">
        <v>57</v>
      </c>
      <c r="GJ101" s="645" t="s">
        <v>58</v>
      </c>
      <c r="GK101" s="645" t="s">
        <v>59</v>
      </c>
      <c r="GL101" s="100" t="s">
        <v>1062</v>
      </c>
      <c r="GM101" s="99" t="s">
        <v>1055</v>
      </c>
      <c r="GN101" s="645" t="s">
        <v>60</v>
      </c>
      <c r="GO101" s="100" t="s">
        <v>1063</v>
      </c>
      <c r="GP101" s="99" t="s">
        <v>300</v>
      </c>
      <c r="GQ101" s="101" t="s">
        <v>1056</v>
      </c>
      <c r="GR101" s="98" t="s">
        <v>57</v>
      </c>
      <c r="GS101" s="645" t="s">
        <v>58</v>
      </c>
      <c r="GT101" s="645" t="s">
        <v>59</v>
      </c>
      <c r="GU101" s="100" t="s">
        <v>1060</v>
      </c>
      <c r="GV101" s="100" t="s">
        <v>1054</v>
      </c>
      <c r="GW101" s="645" t="s">
        <v>60</v>
      </c>
      <c r="GX101" s="99" t="s">
        <v>1086</v>
      </c>
      <c r="GY101" s="100" t="s">
        <v>1061</v>
      </c>
      <c r="GZ101" s="100" t="s">
        <v>1073</v>
      </c>
      <c r="HA101" s="645" t="s">
        <v>57</v>
      </c>
      <c r="HB101" s="645" t="s">
        <v>58</v>
      </c>
      <c r="HC101" s="645" t="s">
        <v>59</v>
      </c>
      <c r="HD101" s="100" t="s">
        <v>1062</v>
      </c>
      <c r="HE101" s="99" t="s">
        <v>1055</v>
      </c>
      <c r="HF101" s="645" t="s">
        <v>60</v>
      </c>
      <c r="HG101" s="100" t="s">
        <v>1063</v>
      </c>
      <c r="HH101" s="99" t="s">
        <v>300</v>
      </c>
      <c r="HI101" s="101" t="s">
        <v>1056</v>
      </c>
      <c r="HJ101" s="98" t="s">
        <v>57</v>
      </c>
      <c r="HK101" s="645" t="s">
        <v>58</v>
      </c>
      <c r="HL101" s="645" t="s">
        <v>59</v>
      </c>
      <c r="HM101" s="100" t="s">
        <v>1060</v>
      </c>
      <c r="HN101" s="100" t="s">
        <v>1054</v>
      </c>
      <c r="HO101" s="645" t="s">
        <v>60</v>
      </c>
      <c r="HP101" s="99" t="s">
        <v>1086</v>
      </c>
      <c r="HQ101" s="100" t="s">
        <v>1061</v>
      </c>
      <c r="HR101" s="100" t="s">
        <v>1073</v>
      </c>
      <c r="HS101" s="645" t="s">
        <v>57</v>
      </c>
      <c r="HT101" s="645" t="s">
        <v>58</v>
      </c>
      <c r="HU101" s="645" t="s">
        <v>59</v>
      </c>
      <c r="HV101" s="100" t="s">
        <v>1062</v>
      </c>
      <c r="HW101" s="99" t="s">
        <v>1055</v>
      </c>
      <c r="HX101" s="645" t="s">
        <v>60</v>
      </c>
      <c r="HY101" s="100" t="s">
        <v>1063</v>
      </c>
      <c r="HZ101" s="99" t="s">
        <v>300</v>
      </c>
      <c r="IA101" s="101" t="s">
        <v>1056</v>
      </c>
      <c r="IB101" s="98" t="s">
        <v>57</v>
      </c>
      <c r="IC101" s="645" t="s">
        <v>58</v>
      </c>
      <c r="ID101" s="645" t="s">
        <v>59</v>
      </c>
      <c r="IE101" s="100" t="s">
        <v>1060</v>
      </c>
      <c r="IF101" s="100" t="s">
        <v>1054</v>
      </c>
      <c r="IG101" s="645" t="s">
        <v>60</v>
      </c>
      <c r="IH101" s="99" t="s">
        <v>1086</v>
      </c>
      <c r="II101" s="100" t="s">
        <v>1061</v>
      </c>
      <c r="IJ101" s="100" t="s">
        <v>1073</v>
      </c>
      <c r="IK101" s="645" t="s">
        <v>57</v>
      </c>
      <c r="IL101" s="645" t="s">
        <v>58</v>
      </c>
      <c r="IM101" s="645" t="s">
        <v>59</v>
      </c>
      <c r="IN101" s="100" t="s">
        <v>1062</v>
      </c>
      <c r="IO101" s="99" t="s">
        <v>1055</v>
      </c>
      <c r="IP101" s="645" t="s">
        <v>60</v>
      </c>
      <c r="IQ101" s="100" t="s">
        <v>1063</v>
      </c>
      <c r="IR101" s="99" t="s">
        <v>300</v>
      </c>
      <c r="IS101" s="101" t="s">
        <v>1056</v>
      </c>
      <c r="IT101" s="98" t="s">
        <v>57</v>
      </c>
      <c r="IU101" s="645" t="s">
        <v>58</v>
      </c>
      <c r="IV101" s="645" t="s">
        <v>59</v>
      </c>
      <c r="IW101" s="100" t="s">
        <v>1060</v>
      </c>
      <c r="IX101" s="100" t="s">
        <v>1054</v>
      </c>
      <c r="IY101" s="645" t="s">
        <v>60</v>
      </c>
      <c r="IZ101" s="99" t="s">
        <v>1086</v>
      </c>
      <c r="JA101" s="100" t="s">
        <v>1061</v>
      </c>
      <c r="JB101" s="100" t="s">
        <v>1073</v>
      </c>
      <c r="JC101" s="645" t="s">
        <v>57</v>
      </c>
      <c r="JD101" s="645" t="s">
        <v>58</v>
      </c>
      <c r="JE101" s="645" t="s">
        <v>59</v>
      </c>
      <c r="JF101" s="100" t="s">
        <v>1062</v>
      </c>
      <c r="JG101" s="99" t="s">
        <v>1055</v>
      </c>
      <c r="JH101" s="645" t="s">
        <v>60</v>
      </c>
      <c r="JI101" s="100" t="s">
        <v>1063</v>
      </c>
      <c r="JJ101" s="99" t="s">
        <v>300</v>
      </c>
      <c r="JK101" s="101" t="s">
        <v>1056</v>
      </c>
      <c r="JL101" s="98" t="s">
        <v>57</v>
      </c>
      <c r="JM101" s="645" t="s">
        <v>58</v>
      </c>
      <c r="JN101" s="645" t="s">
        <v>59</v>
      </c>
      <c r="JO101" s="100" t="s">
        <v>1060</v>
      </c>
      <c r="JP101" s="100" t="s">
        <v>1054</v>
      </c>
      <c r="JQ101" s="645" t="s">
        <v>60</v>
      </c>
      <c r="JR101" s="99" t="s">
        <v>1086</v>
      </c>
      <c r="JS101" s="100" t="s">
        <v>1061</v>
      </c>
      <c r="JT101" s="100" t="s">
        <v>1073</v>
      </c>
      <c r="JU101" s="645" t="s">
        <v>57</v>
      </c>
      <c r="JV101" s="645" t="s">
        <v>58</v>
      </c>
      <c r="JW101" s="645" t="s">
        <v>59</v>
      </c>
      <c r="JX101" s="100" t="s">
        <v>1062</v>
      </c>
      <c r="JY101" s="99" t="s">
        <v>1055</v>
      </c>
      <c r="JZ101" s="645" t="s">
        <v>60</v>
      </c>
      <c r="KA101" s="100" t="s">
        <v>1063</v>
      </c>
      <c r="KB101" s="99" t="s">
        <v>300</v>
      </c>
      <c r="KC101" s="101" t="s">
        <v>1056</v>
      </c>
      <c r="KD101" s="98" t="s">
        <v>57</v>
      </c>
      <c r="KE101" s="645" t="s">
        <v>58</v>
      </c>
      <c r="KF101" s="645" t="s">
        <v>59</v>
      </c>
      <c r="KG101" s="100" t="s">
        <v>1060</v>
      </c>
      <c r="KH101" s="100" t="s">
        <v>1054</v>
      </c>
      <c r="KI101" s="645" t="s">
        <v>60</v>
      </c>
      <c r="KJ101" s="99" t="s">
        <v>1086</v>
      </c>
      <c r="KK101" s="100" t="s">
        <v>1061</v>
      </c>
      <c r="KL101" s="100" t="s">
        <v>1073</v>
      </c>
      <c r="KM101" s="645" t="s">
        <v>57</v>
      </c>
      <c r="KN101" s="645" t="s">
        <v>58</v>
      </c>
      <c r="KO101" s="645" t="s">
        <v>59</v>
      </c>
      <c r="KP101" s="100" t="s">
        <v>1062</v>
      </c>
      <c r="KQ101" s="99" t="s">
        <v>1055</v>
      </c>
      <c r="KR101" s="645" t="s">
        <v>60</v>
      </c>
      <c r="KS101" s="100" t="s">
        <v>1063</v>
      </c>
      <c r="KT101" s="99" t="s">
        <v>300</v>
      </c>
      <c r="KU101" s="101" t="s">
        <v>1056</v>
      </c>
      <c r="KV101" s="98" t="s">
        <v>57</v>
      </c>
      <c r="KW101" s="645" t="s">
        <v>58</v>
      </c>
      <c r="KX101" s="645" t="s">
        <v>59</v>
      </c>
      <c r="KY101" s="100" t="s">
        <v>1060</v>
      </c>
      <c r="KZ101" s="100" t="s">
        <v>1054</v>
      </c>
      <c r="LA101" s="645" t="s">
        <v>60</v>
      </c>
      <c r="LB101" s="99" t="s">
        <v>1086</v>
      </c>
      <c r="LC101" s="100" t="s">
        <v>1061</v>
      </c>
      <c r="LD101" s="100" t="s">
        <v>1073</v>
      </c>
      <c r="LE101" s="645" t="s">
        <v>57</v>
      </c>
      <c r="LF101" s="645" t="s">
        <v>58</v>
      </c>
      <c r="LG101" s="645" t="s">
        <v>59</v>
      </c>
      <c r="LH101" s="100" t="s">
        <v>1062</v>
      </c>
      <c r="LI101" s="99" t="s">
        <v>1055</v>
      </c>
      <c r="LJ101" s="645" t="s">
        <v>60</v>
      </c>
      <c r="LK101" s="100" t="s">
        <v>1063</v>
      </c>
      <c r="LL101" s="99" t="s">
        <v>300</v>
      </c>
      <c r="LM101" s="101" t="s">
        <v>1056</v>
      </c>
      <c r="LN101" s="98" t="s">
        <v>57</v>
      </c>
      <c r="LO101" s="645" t="s">
        <v>58</v>
      </c>
      <c r="LP101" s="645" t="s">
        <v>59</v>
      </c>
      <c r="LQ101" s="100" t="s">
        <v>1060</v>
      </c>
      <c r="LR101" s="100" t="s">
        <v>1054</v>
      </c>
      <c r="LS101" s="645" t="s">
        <v>60</v>
      </c>
      <c r="LT101" s="99" t="s">
        <v>1086</v>
      </c>
      <c r="LU101" s="100" t="s">
        <v>1061</v>
      </c>
      <c r="LV101" s="100" t="s">
        <v>1073</v>
      </c>
      <c r="LW101" s="645" t="s">
        <v>57</v>
      </c>
      <c r="LX101" s="645" t="s">
        <v>58</v>
      </c>
      <c r="LY101" s="645" t="s">
        <v>59</v>
      </c>
      <c r="LZ101" s="100" t="s">
        <v>1062</v>
      </c>
      <c r="MA101" s="99" t="s">
        <v>1055</v>
      </c>
      <c r="MB101" s="645" t="s">
        <v>60</v>
      </c>
      <c r="MC101" s="100" t="s">
        <v>1063</v>
      </c>
      <c r="MD101" s="99" t="s">
        <v>300</v>
      </c>
      <c r="ME101" s="101" t="s">
        <v>1056</v>
      </c>
      <c r="MF101" s="98" t="s">
        <v>57</v>
      </c>
      <c r="MG101" s="645" t="s">
        <v>58</v>
      </c>
      <c r="MH101" s="645" t="s">
        <v>59</v>
      </c>
      <c r="MI101" s="100" t="s">
        <v>1060</v>
      </c>
      <c r="MJ101" s="100" t="s">
        <v>1054</v>
      </c>
      <c r="MK101" s="645" t="s">
        <v>60</v>
      </c>
      <c r="ML101" s="99" t="s">
        <v>1086</v>
      </c>
      <c r="MM101" s="100" t="s">
        <v>1061</v>
      </c>
      <c r="MN101" s="100" t="s">
        <v>1073</v>
      </c>
      <c r="MO101" s="645" t="s">
        <v>57</v>
      </c>
      <c r="MP101" s="645" t="s">
        <v>58</v>
      </c>
      <c r="MQ101" s="645" t="s">
        <v>59</v>
      </c>
      <c r="MR101" s="100" t="s">
        <v>1062</v>
      </c>
      <c r="MS101" s="99" t="s">
        <v>1055</v>
      </c>
      <c r="MT101" s="645" t="s">
        <v>60</v>
      </c>
      <c r="MU101" s="100" t="s">
        <v>1063</v>
      </c>
      <c r="MV101" s="99" t="s">
        <v>300</v>
      </c>
      <c r="MW101" s="101" t="s">
        <v>1056</v>
      </c>
      <c r="MX101" s="98" t="s">
        <v>57</v>
      </c>
      <c r="MY101" s="645" t="s">
        <v>58</v>
      </c>
      <c r="MZ101" s="645" t="s">
        <v>59</v>
      </c>
      <c r="NA101" s="100" t="s">
        <v>1060</v>
      </c>
      <c r="NB101" s="100" t="s">
        <v>1054</v>
      </c>
      <c r="NC101" s="645" t="s">
        <v>60</v>
      </c>
      <c r="ND101" s="99" t="s">
        <v>1086</v>
      </c>
      <c r="NE101" s="100" t="s">
        <v>1061</v>
      </c>
      <c r="NF101" s="100" t="s">
        <v>1073</v>
      </c>
      <c r="NG101" s="645" t="s">
        <v>57</v>
      </c>
      <c r="NH101" s="645" t="s">
        <v>58</v>
      </c>
      <c r="NI101" s="645" t="s">
        <v>59</v>
      </c>
      <c r="NJ101" s="100" t="s">
        <v>1062</v>
      </c>
      <c r="NK101" s="99" t="s">
        <v>1055</v>
      </c>
      <c r="NL101" s="645" t="s">
        <v>60</v>
      </c>
      <c r="NM101" s="100" t="s">
        <v>1063</v>
      </c>
      <c r="NN101" s="99" t="s">
        <v>300</v>
      </c>
      <c r="NO101" s="100" t="s">
        <v>1056</v>
      </c>
      <c r="NP101" s="2043" t="s">
        <v>57</v>
      </c>
      <c r="NQ101" s="2044" t="s">
        <v>58</v>
      </c>
      <c r="NR101" s="2044" t="s">
        <v>59</v>
      </c>
      <c r="NS101" s="2045" t="s">
        <v>1060</v>
      </c>
      <c r="NT101" s="2045" t="s">
        <v>1054</v>
      </c>
      <c r="NU101" s="2044" t="s">
        <v>60</v>
      </c>
      <c r="NV101" s="2046" t="s">
        <v>1086</v>
      </c>
      <c r="NW101" s="2045" t="s">
        <v>1061</v>
      </c>
      <c r="NX101" s="2108" t="s">
        <v>1073</v>
      </c>
      <c r="NY101" s="2111" t="s">
        <v>57</v>
      </c>
      <c r="NZ101" s="2044" t="s">
        <v>58</v>
      </c>
      <c r="OA101" s="2044" t="s">
        <v>59</v>
      </c>
      <c r="OB101" s="2045" t="s">
        <v>1062</v>
      </c>
      <c r="OC101" s="2046" t="s">
        <v>1055</v>
      </c>
      <c r="OD101" s="2044" t="s">
        <v>60</v>
      </c>
      <c r="OE101" s="2045" t="s">
        <v>1063</v>
      </c>
      <c r="OF101" s="2046" t="s">
        <v>300</v>
      </c>
      <c r="OG101" s="2047" t="s">
        <v>1056</v>
      </c>
      <c r="OH101" s="2040" t="s">
        <v>57</v>
      </c>
      <c r="OI101" s="645" t="s">
        <v>58</v>
      </c>
      <c r="OJ101" s="645" t="s">
        <v>59</v>
      </c>
      <c r="OK101" s="100" t="s">
        <v>1060</v>
      </c>
      <c r="OL101" s="100" t="s">
        <v>1054</v>
      </c>
      <c r="OM101" s="645" t="s">
        <v>60</v>
      </c>
      <c r="ON101" s="99" t="s">
        <v>1086</v>
      </c>
      <c r="OO101" s="100" t="s">
        <v>1061</v>
      </c>
      <c r="OP101" s="100" t="s">
        <v>1073</v>
      </c>
      <c r="OQ101" s="645" t="s">
        <v>57</v>
      </c>
      <c r="OR101" s="645" t="s">
        <v>58</v>
      </c>
      <c r="OS101" s="645" t="s">
        <v>59</v>
      </c>
      <c r="OT101" s="100" t="s">
        <v>1062</v>
      </c>
      <c r="OU101" s="99" t="s">
        <v>1055</v>
      </c>
      <c r="OV101" s="645" t="s">
        <v>60</v>
      </c>
      <c r="OW101" s="100" t="s">
        <v>1063</v>
      </c>
      <c r="OX101" s="99" t="s">
        <v>300</v>
      </c>
      <c r="OY101" s="100" t="s">
        <v>1056</v>
      </c>
      <c r="OZ101" s="2043" t="s">
        <v>57</v>
      </c>
      <c r="PA101" s="2044" t="s">
        <v>58</v>
      </c>
      <c r="PB101" s="2044" t="s">
        <v>59</v>
      </c>
      <c r="PC101" s="2045" t="s">
        <v>1060</v>
      </c>
      <c r="PD101" s="2045" t="s">
        <v>1054</v>
      </c>
      <c r="PE101" s="2044" t="s">
        <v>60</v>
      </c>
      <c r="PF101" s="2046" t="s">
        <v>1086</v>
      </c>
      <c r="PG101" s="2045" t="s">
        <v>1061</v>
      </c>
      <c r="PH101" s="2108" t="s">
        <v>1073</v>
      </c>
      <c r="PI101" s="2111" t="s">
        <v>57</v>
      </c>
      <c r="PJ101" s="2044" t="s">
        <v>58</v>
      </c>
      <c r="PK101" s="2044" t="s">
        <v>59</v>
      </c>
      <c r="PL101" s="2045" t="s">
        <v>1062</v>
      </c>
      <c r="PM101" s="2046" t="s">
        <v>1055</v>
      </c>
      <c r="PN101" s="2044" t="s">
        <v>60</v>
      </c>
      <c r="PO101" s="2045" t="s">
        <v>1063</v>
      </c>
      <c r="PP101" s="2046" t="s">
        <v>300</v>
      </c>
      <c r="PQ101" s="2047" t="s">
        <v>1056</v>
      </c>
      <c r="PR101" s="2040" t="s">
        <v>57</v>
      </c>
      <c r="PS101" s="645" t="s">
        <v>58</v>
      </c>
      <c r="PT101" s="645" t="s">
        <v>59</v>
      </c>
      <c r="PU101" s="100" t="s">
        <v>1060</v>
      </c>
      <c r="PV101" s="100" t="s">
        <v>1054</v>
      </c>
      <c r="PW101" s="645" t="s">
        <v>60</v>
      </c>
      <c r="PX101" s="99" t="s">
        <v>1086</v>
      </c>
      <c r="PY101" s="100" t="s">
        <v>1061</v>
      </c>
      <c r="PZ101" s="100" t="s">
        <v>1073</v>
      </c>
      <c r="QA101" s="645" t="s">
        <v>57</v>
      </c>
      <c r="QB101" s="645" t="s">
        <v>58</v>
      </c>
      <c r="QC101" s="645" t="s">
        <v>59</v>
      </c>
      <c r="QD101" s="100" t="s">
        <v>1062</v>
      </c>
      <c r="QE101" s="99" t="s">
        <v>1055</v>
      </c>
      <c r="QF101" s="645" t="s">
        <v>60</v>
      </c>
      <c r="QG101" s="100" t="s">
        <v>1063</v>
      </c>
      <c r="QH101" s="99" t="s">
        <v>300</v>
      </c>
      <c r="QI101" s="101" t="s">
        <v>1056</v>
      </c>
      <c r="QJ101" s="98" t="s">
        <v>57</v>
      </c>
      <c r="QK101" s="645" t="s">
        <v>58</v>
      </c>
      <c r="QL101" s="645" t="s">
        <v>59</v>
      </c>
      <c r="QM101" s="100" t="s">
        <v>1060</v>
      </c>
      <c r="QN101" s="100" t="s">
        <v>1054</v>
      </c>
      <c r="QO101" s="645" t="s">
        <v>60</v>
      </c>
      <c r="QP101" s="99" t="s">
        <v>1086</v>
      </c>
      <c r="QQ101" s="100" t="s">
        <v>1061</v>
      </c>
      <c r="QR101" s="100" t="s">
        <v>1073</v>
      </c>
      <c r="QS101" s="645" t="s">
        <v>57</v>
      </c>
      <c r="QT101" s="645" t="s">
        <v>58</v>
      </c>
      <c r="QU101" s="645" t="s">
        <v>59</v>
      </c>
      <c r="QV101" s="100" t="s">
        <v>1062</v>
      </c>
      <c r="QW101" s="99" t="s">
        <v>1055</v>
      </c>
      <c r="QX101" s="645" t="s">
        <v>60</v>
      </c>
      <c r="QY101" s="100" t="s">
        <v>1063</v>
      </c>
      <c r="QZ101" s="99" t="s">
        <v>300</v>
      </c>
      <c r="RA101" s="101" t="s">
        <v>1056</v>
      </c>
      <c r="RB101" s="98" t="s">
        <v>57</v>
      </c>
      <c r="RC101" s="645" t="s">
        <v>58</v>
      </c>
      <c r="RD101" s="645" t="s">
        <v>59</v>
      </c>
      <c r="RE101" s="100" t="s">
        <v>1060</v>
      </c>
      <c r="RF101" s="100" t="s">
        <v>1054</v>
      </c>
      <c r="RG101" s="645" t="s">
        <v>60</v>
      </c>
      <c r="RH101" s="99" t="s">
        <v>1086</v>
      </c>
      <c r="RI101" s="100" t="s">
        <v>1061</v>
      </c>
      <c r="RJ101" s="100" t="s">
        <v>1073</v>
      </c>
      <c r="RK101" s="645" t="s">
        <v>57</v>
      </c>
      <c r="RL101" s="645" t="s">
        <v>58</v>
      </c>
      <c r="RM101" s="645" t="s">
        <v>59</v>
      </c>
      <c r="RN101" s="100" t="s">
        <v>1062</v>
      </c>
      <c r="RO101" s="99" t="s">
        <v>1055</v>
      </c>
      <c r="RP101" s="645" t="s">
        <v>60</v>
      </c>
      <c r="RQ101" s="100" t="s">
        <v>1063</v>
      </c>
      <c r="RR101" s="99" t="s">
        <v>300</v>
      </c>
      <c r="RS101" s="101" t="s">
        <v>1056</v>
      </c>
      <c r="RT101" s="98" t="s">
        <v>57</v>
      </c>
      <c r="RU101" s="645" t="s">
        <v>58</v>
      </c>
      <c r="RV101" s="645" t="s">
        <v>59</v>
      </c>
      <c r="RW101" s="100" t="s">
        <v>1060</v>
      </c>
      <c r="RX101" s="100" t="s">
        <v>1054</v>
      </c>
      <c r="RY101" s="645" t="s">
        <v>60</v>
      </c>
      <c r="RZ101" s="99" t="s">
        <v>1086</v>
      </c>
      <c r="SA101" s="100" t="s">
        <v>1061</v>
      </c>
      <c r="SB101" s="100" t="s">
        <v>1073</v>
      </c>
      <c r="SC101" s="645" t="s">
        <v>57</v>
      </c>
      <c r="SD101" s="645" t="s">
        <v>58</v>
      </c>
      <c r="SE101" s="645" t="s">
        <v>59</v>
      </c>
      <c r="SF101" s="100" t="s">
        <v>1062</v>
      </c>
      <c r="SG101" s="99" t="s">
        <v>1055</v>
      </c>
      <c r="SH101" s="645" t="s">
        <v>60</v>
      </c>
      <c r="SI101" s="100" t="s">
        <v>1063</v>
      </c>
      <c r="SJ101" s="99" t="s">
        <v>300</v>
      </c>
      <c r="SK101" s="100" t="s">
        <v>1056</v>
      </c>
      <c r="SL101" s="2043" t="s">
        <v>57</v>
      </c>
      <c r="SM101" s="2044" t="s">
        <v>58</v>
      </c>
      <c r="SN101" s="2044" t="s">
        <v>59</v>
      </c>
      <c r="SO101" s="2045" t="s">
        <v>1060</v>
      </c>
      <c r="SP101" s="2045" t="s">
        <v>1054</v>
      </c>
      <c r="SQ101" s="2044" t="s">
        <v>60</v>
      </c>
      <c r="SR101" s="2046" t="s">
        <v>1086</v>
      </c>
      <c r="SS101" s="2045" t="s">
        <v>1061</v>
      </c>
      <c r="ST101" s="2108" t="s">
        <v>1073</v>
      </c>
      <c r="SU101" s="2111" t="s">
        <v>57</v>
      </c>
      <c r="SV101" s="2044" t="s">
        <v>58</v>
      </c>
      <c r="SW101" s="2044" t="s">
        <v>59</v>
      </c>
      <c r="SX101" s="2045" t="s">
        <v>1062</v>
      </c>
      <c r="SY101" s="2046" t="s">
        <v>1055</v>
      </c>
      <c r="SZ101" s="2044" t="s">
        <v>60</v>
      </c>
      <c r="TA101" s="2045" t="s">
        <v>1063</v>
      </c>
      <c r="TB101" s="2046" t="s">
        <v>300</v>
      </c>
      <c r="TC101" s="2047" t="s">
        <v>1056</v>
      </c>
      <c r="TD101" s="2043" t="s">
        <v>57</v>
      </c>
      <c r="TE101" s="2044" t="s">
        <v>58</v>
      </c>
      <c r="TF101" s="2044" t="s">
        <v>59</v>
      </c>
      <c r="TG101" s="2045" t="s">
        <v>1060</v>
      </c>
      <c r="TH101" s="2045" t="s">
        <v>1054</v>
      </c>
      <c r="TI101" s="2044" t="s">
        <v>60</v>
      </c>
      <c r="TJ101" s="2046" t="s">
        <v>1086</v>
      </c>
      <c r="TK101" s="2045" t="s">
        <v>1061</v>
      </c>
      <c r="TL101" s="2108" t="s">
        <v>1073</v>
      </c>
      <c r="TM101" s="2111" t="s">
        <v>57</v>
      </c>
      <c r="TN101" s="2044" t="s">
        <v>58</v>
      </c>
      <c r="TO101" s="2044" t="s">
        <v>59</v>
      </c>
      <c r="TP101" s="2045" t="s">
        <v>1062</v>
      </c>
      <c r="TQ101" s="2046" t="s">
        <v>1055</v>
      </c>
      <c r="TR101" s="2044" t="s">
        <v>60</v>
      </c>
      <c r="TS101" s="2045" t="s">
        <v>1063</v>
      </c>
      <c r="TT101" s="2046" t="s">
        <v>300</v>
      </c>
      <c r="TU101" s="2047" t="s">
        <v>1056</v>
      </c>
      <c r="TV101" s="2040" t="s">
        <v>57</v>
      </c>
      <c r="TW101" s="645" t="s">
        <v>58</v>
      </c>
      <c r="TX101" s="645" t="s">
        <v>59</v>
      </c>
      <c r="TY101" s="100" t="s">
        <v>1060</v>
      </c>
      <c r="TZ101" s="100" t="s">
        <v>1054</v>
      </c>
      <c r="UA101" s="645" t="s">
        <v>60</v>
      </c>
      <c r="UB101" s="99" t="s">
        <v>1086</v>
      </c>
      <c r="UC101" s="100" t="s">
        <v>1061</v>
      </c>
      <c r="UD101" s="100" t="s">
        <v>1073</v>
      </c>
      <c r="UE101" s="645" t="s">
        <v>57</v>
      </c>
      <c r="UF101" s="645" t="s">
        <v>58</v>
      </c>
      <c r="UG101" s="645" t="s">
        <v>59</v>
      </c>
      <c r="UH101" s="100" t="s">
        <v>1062</v>
      </c>
      <c r="UI101" s="99" t="s">
        <v>1055</v>
      </c>
      <c r="UJ101" s="645" t="s">
        <v>60</v>
      </c>
      <c r="UK101" s="100" t="s">
        <v>1063</v>
      </c>
      <c r="UL101" s="99" t="s">
        <v>300</v>
      </c>
      <c r="UM101" s="100" t="s">
        <v>1056</v>
      </c>
      <c r="UN101" s="2043" t="s">
        <v>57</v>
      </c>
      <c r="UO101" s="2044" t="s">
        <v>58</v>
      </c>
      <c r="UP101" s="2044" t="s">
        <v>59</v>
      </c>
      <c r="UQ101" s="2045" t="s">
        <v>1060</v>
      </c>
      <c r="UR101" s="2045" t="s">
        <v>1054</v>
      </c>
      <c r="US101" s="2044" t="s">
        <v>60</v>
      </c>
      <c r="UT101" s="2046" t="s">
        <v>1086</v>
      </c>
      <c r="UU101" s="2045" t="s">
        <v>1061</v>
      </c>
      <c r="UV101" s="2108" t="s">
        <v>1073</v>
      </c>
      <c r="UW101" s="2111" t="s">
        <v>57</v>
      </c>
      <c r="UX101" s="2044" t="s">
        <v>58</v>
      </c>
      <c r="UY101" s="2044" t="s">
        <v>59</v>
      </c>
      <c r="UZ101" s="2045" t="s">
        <v>1062</v>
      </c>
      <c r="VA101" s="2046" t="s">
        <v>1055</v>
      </c>
      <c r="VB101" s="2044" t="s">
        <v>60</v>
      </c>
      <c r="VC101" s="2045" t="s">
        <v>1063</v>
      </c>
      <c r="VD101" s="2046" t="s">
        <v>300</v>
      </c>
      <c r="VE101" s="2047" t="s">
        <v>1056</v>
      </c>
    </row>
    <row r="102" spans="1:577" ht="30" x14ac:dyDescent="0.25">
      <c r="A102" s="2059" t="s">
        <v>1057</v>
      </c>
      <c r="B102" s="2048">
        <v>20.100000000000001</v>
      </c>
      <c r="C102" s="655">
        <v>59</v>
      </c>
      <c r="D102" s="655">
        <v>1010</v>
      </c>
      <c r="E102" s="649">
        <v>-5.5059999999999998E-9</v>
      </c>
      <c r="F102" s="655">
        <v>62</v>
      </c>
      <c r="G102" s="1548">
        <f>((273.2+B102)*$F$33/((273.2+$F$32)*D102))</f>
        <v>0.99676079650648008</v>
      </c>
      <c r="H102" s="656" t="s">
        <v>1042</v>
      </c>
      <c r="I102" s="649">
        <f>IF(H102="Low",E102*$D$42*G102,IF(H102="Med",E102*$D$43*G102,IF(H102="High",E102*$D$44*G102,"rango cal. out")))</f>
        <v>-5.4936531105102426E-9</v>
      </c>
      <c r="J102" s="2109">
        <f>I102/F102</f>
        <v>-8.8607308234036177E-11</v>
      </c>
      <c r="K102" s="2106">
        <v>20.100000000000001</v>
      </c>
      <c r="L102" s="1540">
        <v>59</v>
      </c>
      <c r="M102" s="703">
        <v>1010</v>
      </c>
      <c r="N102" s="649">
        <v>-5.5070000000000001E-9</v>
      </c>
      <c r="O102" s="703">
        <v>180</v>
      </c>
      <c r="P102" s="1548">
        <f>((273.2+K102)*$F$33/((273.2+$F$32)*M102))</f>
        <v>0.99676079650648008</v>
      </c>
      <c r="Q102" s="649">
        <f>IF(H102="Low",N102*$D$42*P102,IF(H102="Med",N102*$D$43*P102,IF(H102="High",N102*$D$44*P102,"rango cal. out")))</f>
        <v>-5.4946508680675462E-9</v>
      </c>
      <c r="R102" s="703">
        <f>O102-F102</f>
        <v>118</v>
      </c>
      <c r="S102" s="2049">
        <f>(Q102-I102)/R102</f>
        <v>-8.4555725195224203E-15</v>
      </c>
      <c r="T102" s="2041"/>
      <c r="U102" s="655"/>
      <c r="V102" s="655"/>
      <c r="W102" s="649"/>
      <c r="X102" s="655"/>
      <c r="Y102" s="1548" t="e">
        <f>((273.2+T102)*$F$33/((273.2+$F$32)*V102))</f>
        <v>#DIV/0!</v>
      </c>
      <c r="Z102" s="656"/>
      <c r="AA102" s="649" t="str">
        <f>IF(Z102="Low",W102*$D$42*Y102,IF(Z102="Med",W102*$D$43*Y102,IF(Z102="High",W102*$D$44*Y102,"rango cal. out")))</f>
        <v>rango cal. out</v>
      </c>
      <c r="AB102" s="704" t="e">
        <f>AA102/X102</f>
        <v>#VALUE!</v>
      </c>
      <c r="AC102" s="702"/>
      <c r="AD102" s="1540"/>
      <c r="AE102" s="703"/>
      <c r="AF102" s="649"/>
      <c r="AG102" s="703"/>
      <c r="AH102" s="1548" t="e">
        <f>((273.2+AC102)*$F$33/((273.2+$F$32)*AE102))</f>
        <v>#DIV/0!</v>
      </c>
      <c r="AI102" s="649" t="str">
        <f>IF(Z102="Low",AF102*$D$42*AH102,IF(Z102="Med",AF102*$D$43*AH102,IF(Z102="High",AF102*$D$44*AH102,"rango cal. out")))</f>
        <v>rango cal. out</v>
      </c>
      <c r="AJ102" s="703">
        <f>AG102-X102</f>
        <v>0</v>
      </c>
      <c r="AK102" s="705" t="e">
        <f t="shared" ref="AK102:AK103" si="1">(AI102-AA102)/AJ102</f>
        <v>#VALUE!</v>
      </c>
      <c r="AL102" s="654"/>
      <c r="AM102" s="655"/>
      <c r="AN102" s="655"/>
      <c r="AO102" s="649"/>
      <c r="AP102" s="655"/>
      <c r="AQ102" s="1548" t="e">
        <f>((273.2+AL102)*$F$33/((273.2+$F$32)*AN102))</f>
        <v>#DIV/0!</v>
      </c>
      <c r="AR102" s="656"/>
      <c r="AS102" s="649" t="str">
        <f>IF(AR102="Low",AO102*$D$42*AQ102,IF(AR102="Med",AO102*$D$43*AQ102,IF(AR102="High",AO102*$D$44*AQ102,"rango cal. out")))</f>
        <v>rango cal. out</v>
      </c>
      <c r="AT102" s="704" t="e">
        <f>AS102/AP102</f>
        <v>#VALUE!</v>
      </c>
      <c r="AU102" s="702"/>
      <c r="AV102" s="1540"/>
      <c r="AW102" s="703"/>
      <c r="AX102" s="649"/>
      <c r="AY102" s="703"/>
      <c r="AZ102" s="1548" t="e">
        <f>((273.2+AU102)*$F$33/((273.2+$F$32)*AW102))</f>
        <v>#DIV/0!</v>
      </c>
      <c r="BA102" s="649" t="str">
        <f>IF(AR102="Low",AX102*$D$42*AZ102,IF(AR102="Med",AX102*$D$43*AZ102,IF(AR102="High",AX102*$D$44*AZ102,"rango cal. out")))</f>
        <v>rango cal. out</v>
      </c>
      <c r="BB102" s="703">
        <f>AY102-AP102</f>
        <v>0</v>
      </c>
      <c r="BC102" s="704" t="e">
        <f t="shared" ref="BC102:BC103" si="2">(BA102-AS102)/BB102</f>
        <v>#VALUE!</v>
      </c>
      <c r="BD102" s="2048">
        <v>20.5</v>
      </c>
      <c r="BE102" s="655">
        <v>53</v>
      </c>
      <c r="BF102" s="655">
        <v>1009</v>
      </c>
      <c r="BG102" s="649">
        <v>-8.4839999999999999E-10</v>
      </c>
      <c r="BH102" s="655">
        <v>60</v>
      </c>
      <c r="BI102" s="1548">
        <f>((273.2+BD102)*$F$33/((273.2+$F$32)*BF102))</f>
        <v>0.9991093874640431</v>
      </c>
      <c r="BJ102" s="656" t="s">
        <v>268</v>
      </c>
      <c r="BK102" s="649">
        <f>IF(BJ102="Low",BG102*$D$42*BI102,IF(BJ102="Med",BG102*$D$43*BI102,IF(BJ102="High",BG102*$D$44*BI102,"rango cal. out")))</f>
        <v>-8.5018733753746747E-10</v>
      </c>
      <c r="BL102" s="2109">
        <f t="shared" ref="BL102:BL103" si="3">BK102/BH102</f>
        <v>-1.4169788958957791E-11</v>
      </c>
      <c r="BM102" s="2112">
        <v>20.3</v>
      </c>
      <c r="BN102" s="1540">
        <v>52</v>
      </c>
      <c r="BO102" s="703">
        <v>1009</v>
      </c>
      <c r="BP102" s="649">
        <v>-8.4880000000000001E-10</v>
      </c>
      <c r="BQ102" s="703">
        <v>180</v>
      </c>
      <c r="BR102" s="1548">
        <f>((273.2+BM102)*$F$33/((273.2+$F$32)*BO102))</f>
        <v>0.9984290269686642</v>
      </c>
      <c r="BS102" s="649">
        <f>IF(BJ102="Low",BP102*$D$42*BR102,IF(BJ102="Med",BP102*$D$43*BR102,IF(BJ102="High",BP102*$D$44*BR102,"rango cal. out")))</f>
        <v>-8.5000895776527517E-10</v>
      </c>
      <c r="BT102" s="703">
        <f t="shared" ref="BT102:BT103" si="4">BQ102-BH102</f>
        <v>120</v>
      </c>
      <c r="BU102" s="2049">
        <f t="shared" ref="BU102:BU103" si="5">(BS102-BK102)/BT102</f>
        <v>1.4864981016025198E-15</v>
      </c>
      <c r="BV102" s="2048">
        <v>20.5</v>
      </c>
      <c r="BW102" s="655">
        <v>52</v>
      </c>
      <c r="BX102" s="655">
        <v>1008</v>
      </c>
      <c r="BY102" s="649">
        <v>-3.3599999999999999E-11</v>
      </c>
      <c r="BZ102" s="655">
        <v>60</v>
      </c>
      <c r="CA102" s="1548">
        <f>((273.2+BV102)*$F$33/((273.2+$F$32)*BX102))</f>
        <v>1.0001005674119241</v>
      </c>
      <c r="CB102" s="656" t="s">
        <v>268</v>
      </c>
      <c r="CC102" s="649">
        <f>IF(CB102="Low",BY102*$D$42*CA102,IF(CB102="Med",BY102*$D$43*CA102,IF(CB102="High",BY102*$D$44*CA102,"rango cal. out")))</f>
        <v>-3.3704189202235765E-11</v>
      </c>
      <c r="CD102" s="2109">
        <f t="shared" ref="CD102:CD103" si="6">CC102/BZ102</f>
        <v>-5.6173648670392942E-13</v>
      </c>
      <c r="CE102" s="2112">
        <v>20.8</v>
      </c>
      <c r="CF102" s="1540">
        <v>51</v>
      </c>
      <c r="CG102" s="703">
        <v>1008</v>
      </c>
      <c r="CH102" s="649">
        <v>-3.3800000000000002E-11</v>
      </c>
      <c r="CI102" s="703">
        <v>180</v>
      </c>
      <c r="CJ102" s="1548">
        <f>((273.2+CE102)*$F$33/((273.2+$F$32)*CG102))</f>
        <v>1.001122120596206</v>
      </c>
      <c r="CK102" s="649">
        <f>IF(CB102="Low",CH102*$D$42*CJ102,IF(CB102="Med",CH102*$D$43*CJ102,IF(CB102="High",CH102*$D$44*CJ102,"rango cal. out")))</f>
        <v>-3.3939441459180219E-11</v>
      </c>
      <c r="CL102" s="703">
        <f t="shared" ref="CL102:CL103" si="7">CI102-BZ102</f>
        <v>120</v>
      </c>
      <c r="CM102" s="2049">
        <f t="shared" ref="CM102:CM103" si="8">(CK102-CC102)/CL102</f>
        <v>-1.9604354745371181E-15</v>
      </c>
      <c r="CN102" s="2048">
        <v>20.5</v>
      </c>
      <c r="CO102" s="655">
        <v>52</v>
      </c>
      <c r="CP102" s="655">
        <v>1007</v>
      </c>
      <c r="CQ102" s="649">
        <v>-2.005E-9</v>
      </c>
      <c r="CR102" s="655">
        <v>60</v>
      </c>
      <c r="CS102" s="1548">
        <f>((273.2+CN102)*$F$33/((273.2+$F$32)*CP102))</f>
        <v>1.001093715939642</v>
      </c>
      <c r="CT102" s="656" t="s">
        <v>268</v>
      </c>
      <c r="CU102" s="649">
        <f>IF(CT102="Low",CQ102*$D$42*CS102,IF(CT102="Med",CQ102*$D$43*CS102,IF(CT102="High",CQ102*$D$44*CS102,"rango cal. out")))</f>
        <v>-2.0132144791603588E-9</v>
      </c>
      <c r="CV102" s="2109">
        <f t="shared" ref="CV102:CV103" si="9">CU102/CR102</f>
        <v>-3.3553574652672643E-11</v>
      </c>
      <c r="CW102" s="2112">
        <v>20.7</v>
      </c>
      <c r="CX102" s="1540">
        <v>52</v>
      </c>
      <c r="CY102" s="703">
        <v>1007</v>
      </c>
      <c r="CZ102" s="649">
        <v>-2.0059999999999999E-9</v>
      </c>
      <c r="DA102" s="703">
        <v>180</v>
      </c>
      <c r="DB102" s="1548">
        <f>((273.2+CW102)*$F$33/((273.2+$F$32)*CY102))</f>
        <v>1.0017754276971766</v>
      </c>
      <c r="DC102" s="649">
        <f>IF(CT102="Low",CZ102*$D$42*DB102,IF(CT102="Med",CZ102*$D$43*DB102,IF(CT102="High",CZ102*$D$44*DB102,"rango cal. out")))</f>
        <v>-2.0155901924844174E-9</v>
      </c>
      <c r="DD102" s="703">
        <f t="shared" ref="DD102:DD103" si="10">DA102-CR102</f>
        <v>120</v>
      </c>
      <c r="DE102" s="2049">
        <f t="shared" ref="DE102:DE103" si="11">(DC102-CU102)/DD102</f>
        <v>-1.9797611033822092E-14</v>
      </c>
      <c r="DF102" s="2041"/>
      <c r="DG102" s="655"/>
      <c r="DH102" s="655"/>
      <c r="DI102" s="649"/>
      <c r="DJ102" s="655"/>
      <c r="DK102" s="1548" t="e">
        <f>((273.2+DF102)*$F$33/((273.2+$F$32)*DH102))</f>
        <v>#DIV/0!</v>
      </c>
      <c r="DL102" s="656"/>
      <c r="DM102" s="649" t="str">
        <f>IF(DL102="Low",DI102*$D$42*DK102,IF(DL102="Med",DI102*$D$43*DK102,IF(DL102="High",DI102*$D$44*DK102,"rango cal. out")))</f>
        <v>rango cal. out</v>
      </c>
      <c r="DN102" s="704" t="e">
        <f t="shared" ref="DN102:DN103" si="12">DM102/DJ102</f>
        <v>#VALUE!</v>
      </c>
      <c r="DO102" s="702"/>
      <c r="DP102" s="1540"/>
      <c r="DQ102" s="703"/>
      <c r="DR102" s="649"/>
      <c r="DS102" s="703"/>
      <c r="DT102" s="1548" t="e">
        <f>((273.2+DO102)*$F$33/((273.2+$F$32)*DQ102))</f>
        <v>#DIV/0!</v>
      </c>
      <c r="DU102" s="649" t="str">
        <f>IF(DL102="Low",DR102*$D$42*DT102,IF(DL102="Med",DR102*$D$43*DT102,IF(DL102="High",DR102*$D$44*DT102,"rango cal. out")))</f>
        <v>rango cal. out</v>
      </c>
      <c r="DV102" s="703">
        <f t="shared" ref="DV102:DV103" si="13">DS102-DJ102</f>
        <v>0</v>
      </c>
      <c r="DW102" s="705" t="e">
        <f t="shared" ref="DW102:DW103" si="14">(DU102-DM102)/DV102</f>
        <v>#VALUE!</v>
      </c>
      <c r="DX102" s="654"/>
      <c r="DY102" s="655"/>
      <c r="DZ102" s="655"/>
      <c r="EA102" s="649"/>
      <c r="EB102" s="655"/>
      <c r="EC102" s="1548" t="e">
        <f>((273.2+DX102)*$F$33/((273.2+$F$32)*DZ102))</f>
        <v>#DIV/0!</v>
      </c>
      <c r="ED102" s="656"/>
      <c r="EE102" s="649" t="str">
        <f>IF(ED102="Low",EA102*$D$42*EC102,IF(ED102="Med",EA102*$D$43*EC102,IF(ED102="High",EA102*$D$44*EC102,"rango cal. out")))</f>
        <v>rango cal. out</v>
      </c>
      <c r="EF102" s="704" t="e">
        <f t="shared" ref="EF102:EF103" si="15">EE102/EB102</f>
        <v>#VALUE!</v>
      </c>
      <c r="EG102" s="702"/>
      <c r="EH102" s="1540"/>
      <c r="EI102" s="703"/>
      <c r="EJ102" s="649"/>
      <c r="EK102" s="703"/>
      <c r="EL102" s="1548" t="e">
        <f>((273.2+EG102)*$F$33/((273.2+$F$32)*EI102))</f>
        <v>#DIV/0!</v>
      </c>
      <c r="EM102" s="649" t="str">
        <f>IF(ED102="Low",EJ102*$D$42*EL102,IF(ED102="Med",EJ102*$D$43*EL102,IF(ED102="High",EJ102*$D$44*EL102,"rango cal. out")))</f>
        <v>rango cal. out</v>
      </c>
      <c r="EN102" s="703">
        <f t="shared" ref="EN102:EN103" si="16">EK102-EB102</f>
        <v>0</v>
      </c>
      <c r="EO102" s="704" t="e">
        <f t="shared" ref="EO102:EO103" si="17">(EM102-EE102)/EN102</f>
        <v>#VALUE!</v>
      </c>
      <c r="EP102" s="2048">
        <v>20.399999999999999</v>
      </c>
      <c r="EQ102" s="655">
        <v>52</v>
      </c>
      <c r="ER102" s="655">
        <v>1007</v>
      </c>
      <c r="ES102" s="649">
        <v>-2.4200000000000002E-12</v>
      </c>
      <c r="ET102" s="655">
        <v>60</v>
      </c>
      <c r="EU102" s="1548">
        <f>((273.2+EP102)*$F$33/((273.2+$F$32)*ER102))</f>
        <v>1.0007528600608746</v>
      </c>
      <c r="EV102" s="656" t="s">
        <v>268</v>
      </c>
      <c r="EW102" s="649">
        <f>IF(EV102="Low",ES102*$D$42*EU102,IF(EV102="Med",ES102*$D$43*EU102,IF(EV102="High",ES102*$D$44*EU102,"rango cal. out")))</f>
        <v>-2.4290873871113582E-12</v>
      </c>
      <c r="EX102" s="2109">
        <f>EW102/ET102</f>
        <v>-4.0484789785189304E-14</v>
      </c>
      <c r="EY102" s="2112">
        <v>20.5</v>
      </c>
      <c r="EZ102" s="1540">
        <v>53</v>
      </c>
      <c r="FA102" s="703">
        <v>1007</v>
      </c>
      <c r="FB102" s="649">
        <v>-2.0600000000000001E-12</v>
      </c>
      <c r="FC102" s="703">
        <v>180</v>
      </c>
      <c r="FD102" s="1548">
        <f>((273.2+EY102)*$F$33/((273.2+$F$32)*FA102))</f>
        <v>1.001093715939642</v>
      </c>
      <c r="FE102" s="649">
        <f>IF(EV102="Low",FB102*$D$42*FD102,IF(EV102="Med",FB102*$D$43*FD102,IF(EV102="High",FB102*$D$44*FD102,"rango cal. out")))</f>
        <v>-2.0684398140001695E-12</v>
      </c>
      <c r="FF102" s="703">
        <f t="shared" ref="FF102:FF103" si="18">FC102-ET102</f>
        <v>120</v>
      </c>
      <c r="FG102" s="2049">
        <f t="shared" ref="FG102:FG103" si="19">(FE102-EW102)/FF102</f>
        <v>3.0053964425932392E-15</v>
      </c>
      <c r="FH102" s="2041"/>
      <c r="FI102" s="655"/>
      <c r="FJ102" s="655"/>
      <c r="FK102" s="649"/>
      <c r="FL102" s="655"/>
      <c r="FM102" s="1548" t="e">
        <f>((273.2+FH102)*$F$33/((273.2+$F$32)*FJ102))</f>
        <v>#DIV/0!</v>
      </c>
      <c r="FN102" s="656"/>
      <c r="FO102" s="649" t="str">
        <f>IF(FN102="Low",FK102*$D$42*FM102,IF(FN102="Med",FK102*$D$43*FM102,IF(FN102="High",FK102*$D$44*FM102,"rango cal. out")))</f>
        <v>rango cal. out</v>
      </c>
      <c r="FP102" s="704" t="e">
        <f t="shared" ref="FP102:FP103" si="20">FO102/FL102</f>
        <v>#VALUE!</v>
      </c>
      <c r="FQ102" s="702"/>
      <c r="FR102" s="1540"/>
      <c r="FS102" s="703"/>
      <c r="FT102" s="649"/>
      <c r="FU102" s="703"/>
      <c r="FV102" s="1548" t="e">
        <f>((273.2+FQ102)*$F$33/((273.2+$F$32)*FS102))</f>
        <v>#DIV/0!</v>
      </c>
      <c r="FW102" s="649" t="str">
        <f>IF(FN102="Low",FT102*$D$42*FV102,IF(FN102="Med",FT102*$D$43*FV102,IF(FN102="High",FT102*$D$44*FV102,"rango cal. out")))</f>
        <v>rango cal. out</v>
      </c>
      <c r="FX102" s="703">
        <f t="shared" ref="FX102:FX103" si="21">FU102-FL102</f>
        <v>0</v>
      </c>
      <c r="FY102" s="705" t="e">
        <f t="shared" ref="FY102:FY103" si="22">(FW102-FO102)/FX102</f>
        <v>#VALUE!</v>
      </c>
      <c r="FZ102" s="654"/>
      <c r="GA102" s="655"/>
      <c r="GB102" s="655"/>
      <c r="GC102" s="649"/>
      <c r="GD102" s="655"/>
      <c r="GE102" s="1548" t="e">
        <f>((273.2+FZ102)*$F$33/((273.2+$F$32)*GB102))</f>
        <v>#DIV/0!</v>
      </c>
      <c r="GF102" s="656"/>
      <c r="GG102" s="649" t="str">
        <f>IF(GF102="Low",GC102*$D$42*GE102,IF(GF102="Med",GC102*$D$43*GE102,IF(GF102="High",GC102*$D$44*GE102,"rango cal. out")))</f>
        <v>rango cal. out</v>
      </c>
      <c r="GH102" s="704" t="e">
        <f t="shared" ref="GH102:GH103" si="23">GG102/GD102</f>
        <v>#VALUE!</v>
      </c>
      <c r="GI102" s="702"/>
      <c r="GJ102" s="1540"/>
      <c r="GK102" s="703"/>
      <c r="GL102" s="649"/>
      <c r="GM102" s="703"/>
      <c r="GN102" s="1548" t="e">
        <f>((273.2+GI102)*$F$33/((273.2+$F$32)*GK102))</f>
        <v>#DIV/0!</v>
      </c>
      <c r="GO102" s="649" t="str">
        <f>IF(GF102="Low",GL102*$D$42*GN102,IF(GF102="Med",GL102*$D$43*GN102,IF(GF102="High",GL102*$D$44*GN102,"rango cal. out")))</f>
        <v>rango cal. out</v>
      </c>
      <c r="GP102" s="703">
        <f t="shared" ref="GP102:GP103" si="24">GM102-GD102</f>
        <v>0</v>
      </c>
      <c r="GQ102" s="705" t="e">
        <f t="shared" ref="GQ102:GQ103" si="25">(GO102-GG102)/GP102</f>
        <v>#VALUE!</v>
      </c>
      <c r="GR102" s="654"/>
      <c r="GS102" s="655"/>
      <c r="GT102" s="655"/>
      <c r="GU102" s="649"/>
      <c r="GV102" s="655"/>
      <c r="GW102" s="1548" t="e">
        <f>((273.2+GR102)*$F$33/((273.2+$F$32)*GT102))</f>
        <v>#DIV/0!</v>
      </c>
      <c r="GX102" s="656"/>
      <c r="GY102" s="649" t="str">
        <f>IF(GX102="Low",GU102*$D$42*GW102,IF(GX102="Med",GU102*$D$43*GW102,IF(GX102="High",GU102*$D$44*GW102,"rango cal. out")))</f>
        <v>rango cal. out</v>
      </c>
      <c r="GZ102" s="704" t="e">
        <f t="shared" ref="GZ102:GZ103" si="26">GY102/GV102</f>
        <v>#VALUE!</v>
      </c>
      <c r="HA102" s="702"/>
      <c r="HB102" s="1540"/>
      <c r="HC102" s="703"/>
      <c r="HD102" s="649"/>
      <c r="HE102" s="703"/>
      <c r="HF102" s="1548" t="e">
        <f>((273.2+HA102)*$F$33/((273.2+$F$32)*HC102))</f>
        <v>#DIV/0!</v>
      </c>
      <c r="HG102" s="649" t="str">
        <f>IF(GX102="Low",HD102*$D$42*HF102,IF(GX102="Med",HD102*$D$43*HF102,IF(GX102="High",HD102*$D$44*HF102,"rango cal. out")))</f>
        <v>rango cal. out</v>
      </c>
      <c r="HH102" s="703">
        <f t="shared" ref="HH102:HH103" si="27">HE102-GV102</f>
        <v>0</v>
      </c>
      <c r="HI102" s="705" t="e">
        <f t="shared" ref="HI102:HI103" si="28">(HG102-GY102)/HH102</f>
        <v>#VALUE!</v>
      </c>
      <c r="HJ102" s="654"/>
      <c r="HK102" s="655"/>
      <c r="HL102" s="655"/>
      <c r="HM102" s="649"/>
      <c r="HN102" s="655"/>
      <c r="HO102" s="1548" t="e">
        <f>((273.2+HJ102)*$F$33/((273.2+$F$32)*HL102))</f>
        <v>#DIV/0!</v>
      </c>
      <c r="HP102" s="656"/>
      <c r="HQ102" s="649" t="str">
        <f>IF(HP102="Low",HM102*$D$42*HO102,IF(HP102="Med",HM102*$D$43*HO102,IF(HP102="High",HM102*$D$44*HO102,"rango cal. out")))</f>
        <v>rango cal. out</v>
      </c>
      <c r="HR102" s="704" t="e">
        <f t="shared" ref="HR102:HR103" si="29">HQ102/HN102</f>
        <v>#VALUE!</v>
      </c>
      <c r="HS102" s="702"/>
      <c r="HT102" s="1540"/>
      <c r="HU102" s="703"/>
      <c r="HV102" s="649"/>
      <c r="HW102" s="703"/>
      <c r="HX102" s="1548" t="e">
        <f>((273.2+HS102)*$F$33/((273.2+$F$32)*HU102))</f>
        <v>#DIV/0!</v>
      </c>
      <c r="HY102" s="649" t="str">
        <f>IF(HP102="Low",HV102*$D$42*HX102,IF(HP102="Med",HV102*$D$43*HX102,IF(HP102="High",HV102*$D$44*HX102,"rango cal. out")))</f>
        <v>rango cal. out</v>
      </c>
      <c r="HZ102" s="703">
        <f t="shared" ref="HZ102:HZ103" si="30">HW102-HN102</f>
        <v>0</v>
      </c>
      <c r="IA102" s="705" t="e">
        <f t="shared" ref="IA102:IA103" si="31">(HY102-HQ102)/HZ102</f>
        <v>#VALUE!</v>
      </c>
      <c r="IB102" s="654"/>
      <c r="IC102" s="655"/>
      <c r="ID102" s="655"/>
      <c r="IE102" s="649"/>
      <c r="IF102" s="655"/>
      <c r="IG102" s="1548" t="e">
        <f>((273.2+IB102)*$F$33/((273.2+$F$32)*ID102))</f>
        <v>#DIV/0!</v>
      </c>
      <c r="IH102" s="656"/>
      <c r="II102" s="649" t="str">
        <f>IF(IH102="Low",IE102*$D$42*IG102,IF(IH102="Med",IE102*$D$43*IG102,IF(IH102="High",IE102*$D$44*IG102,"rango cal. out")))</f>
        <v>rango cal. out</v>
      </c>
      <c r="IJ102" s="704" t="e">
        <f t="shared" ref="IJ102:IJ103" si="32">II102/IF102</f>
        <v>#VALUE!</v>
      </c>
      <c r="IK102" s="702"/>
      <c r="IL102" s="1540"/>
      <c r="IM102" s="703"/>
      <c r="IN102" s="649"/>
      <c r="IO102" s="703"/>
      <c r="IP102" s="1548" t="e">
        <f>((273.2+IK102)*$F$33/((273.2+$F$32)*IM102))</f>
        <v>#DIV/0!</v>
      </c>
      <c r="IQ102" s="649" t="str">
        <f>IF(IH102="Low",IN102*$D$42*IP102,IF(IH102="Med",IN102*$D$43*IP102,IF(IH102="High",IN102*$D$44*IP102,"rango cal. out")))</f>
        <v>rango cal. out</v>
      </c>
      <c r="IR102" s="703">
        <f t="shared" ref="IR102:IR103" si="33">IO102-IF102</f>
        <v>0</v>
      </c>
      <c r="IS102" s="705" t="e">
        <f t="shared" ref="IS102:IS103" si="34">(IQ102-II102)/IR102</f>
        <v>#VALUE!</v>
      </c>
      <c r="IT102" s="654"/>
      <c r="IU102" s="655"/>
      <c r="IV102" s="655"/>
      <c r="IW102" s="649"/>
      <c r="IX102" s="655"/>
      <c r="IY102" s="1548" t="e">
        <f>((273.2+IT102)*$F$33/((273.2+$F$32)*IV102))</f>
        <v>#DIV/0!</v>
      </c>
      <c r="IZ102" s="656"/>
      <c r="JA102" s="649" t="str">
        <f>IF(IZ102="Low",IW102*$D$42*IY102,IF(IZ102="Med",IW102*$D$43*IY102,IF(IZ102="High",IW102*$D$44*IY102,"rango cal. out")))</f>
        <v>rango cal. out</v>
      </c>
      <c r="JB102" s="704" t="e">
        <f t="shared" ref="JB102:JB103" si="35">JA102/IX102</f>
        <v>#VALUE!</v>
      </c>
      <c r="JC102" s="702"/>
      <c r="JD102" s="1540"/>
      <c r="JE102" s="703"/>
      <c r="JF102" s="649"/>
      <c r="JG102" s="703"/>
      <c r="JH102" s="1548" t="e">
        <f>((273.2+JC102)*$F$33/((273.2+$F$32)*JE102))</f>
        <v>#DIV/0!</v>
      </c>
      <c r="JI102" s="649" t="str">
        <f>IF(IZ102="Low",JF102*$D$42*JH102,IF(IZ102="Med",JF102*$D$43*JH102,IF(IZ102="High",JF102*$D$44*JH102,"rango cal. out")))</f>
        <v>rango cal. out</v>
      </c>
      <c r="JJ102" s="703">
        <f t="shared" ref="JJ102:JJ103" si="36">JG102-IX102</f>
        <v>0</v>
      </c>
      <c r="JK102" s="705" t="e">
        <f t="shared" ref="JK102:JK103" si="37">(JI102-JA102)/JJ102</f>
        <v>#VALUE!</v>
      </c>
      <c r="JL102" s="654"/>
      <c r="JM102" s="655"/>
      <c r="JN102" s="655"/>
      <c r="JO102" s="649"/>
      <c r="JP102" s="655"/>
      <c r="JQ102" s="1548" t="e">
        <f>((273.2+JL102)*$F$33/((273.2+$F$32)*JN102))</f>
        <v>#DIV/0!</v>
      </c>
      <c r="JR102" s="656"/>
      <c r="JS102" s="649" t="str">
        <f>IF(JR102="Low",JO102*$D$42*JQ102,IF(JR102="Med",JO102*$D$43*JQ102,IF(JR102="High",JO102*$D$44*JQ102,"rango cal. out")))</f>
        <v>rango cal. out</v>
      </c>
      <c r="JT102" s="704" t="e">
        <f t="shared" ref="JT102:JT103" si="38">JS102/JP102</f>
        <v>#VALUE!</v>
      </c>
      <c r="JU102" s="702"/>
      <c r="JV102" s="1540"/>
      <c r="JW102" s="703"/>
      <c r="JX102" s="649"/>
      <c r="JY102" s="703"/>
      <c r="JZ102" s="1548" t="e">
        <f>((273.2+JU102)*$F$33/((273.2+$F$32)*JW102))</f>
        <v>#DIV/0!</v>
      </c>
      <c r="KA102" s="649" t="str">
        <f>IF(JR102="Low",JX102*$D$42*JZ102,IF(JR102="Med",JX102*$D$43*JZ102,IF(JR102="High",JX102*$D$44*JZ102,"rango cal. out")))</f>
        <v>rango cal. out</v>
      </c>
      <c r="KB102" s="703">
        <f t="shared" ref="KB102:KB103" si="39">JY102-JP102</f>
        <v>0</v>
      </c>
      <c r="KC102" s="705" t="e">
        <f t="shared" ref="KC102:KC103" si="40">(KA102-JS102)/KB102</f>
        <v>#VALUE!</v>
      </c>
      <c r="KD102" s="654"/>
      <c r="KE102" s="655"/>
      <c r="KF102" s="655"/>
      <c r="KG102" s="649"/>
      <c r="KH102" s="655"/>
      <c r="KI102" s="1548" t="e">
        <f>((273.2+KD102)*$F$33/((273.2+$F$32)*KF102))</f>
        <v>#DIV/0!</v>
      </c>
      <c r="KJ102" s="656"/>
      <c r="KK102" s="649" t="str">
        <f>IF(KJ102="Low",KG102*$D$42*KI102,IF(KJ102="Med",KG102*$D$43*KI102,IF(KJ102="High",KG102*$D$44*KI102,"rango cal. out")))</f>
        <v>rango cal. out</v>
      </c>
      <c r="KL102" s="704" t="e">
        <f t="shared" ref="KL102:KL103" si="41">KK102/KH102</f>
        <v>#VALUE!</v>
      </c>
      <c r="KM102" s="702"/>
      <c r="KN102" s="1540"/>
      <c r="KO102" s="703"/>
      <c r="KP102" s="649"/>
      <c r="KQ102" s="703"/>
      <c r="KR102" s="1548" t="e">
        <f>((273.2+KM102)*$F$33/((273.2+$F$32)*KO102))</f>
        <v>#DIV/0!</v>
      </c>
      <c r="KS102" s="649" t="str">
        <f>IF(KJ102="Low",KP102*$D$42*KR102,IF(KJ102="Med",KP102*$D$43*KR102,IF(KJ102="High",KP102*$D$44*KR102,"rango cal. out")))</f>
        <v>rango cal. out</v>
      </c>
      <c r="KT102" s="703">
        <f t="shared" ref="KT102:KT103" si="42">KQ102-KH102</f>
        <v>0</v>
      </c>
      <c r="KU102" s="705" t="e">
        <f t="shared" ref="KU102:KU103" si="43">(KS102-KK102)/KT102</f>
        <v>#VALUE!</v>
      </c>
      <c r="KV102" s="654"/>
      <c r="KW102" s="655"/>
      <c r="KX102" s="655"/>
      <c r="KY102" s="649"/>
      <c r="KZ102" s="655"/>
      <c r="LA102" s="1548" t="e">
        <f>((273.2+KV102)*$F$33/((273.2+$F$32)*KX102))</f>
        <v>#DIV/0!</v>
      </c>
      <c r="LB102" s="656"/>
      <c r="LC102" s="649" t="str">
        <f>IF(LB102="Low",KY102*$D$42*LA102,IF(LB102="Med",KY102*$D$43*LA102,IF(LB102="High",KY102*$D$44*LA102,"rango cal. out")))</f>
        <v>rango cal. out</v>
      </c>
      <c r="LD102" s="704" t="e">
        <f t="shared" ref="LD102:LD103" si="44">LC102/KZ102</f>
        <v>#VALUE!</v>
      </c>
      <c r="LE102" s="702"/>
      <c r="LF102" s="1540"/>
      <c r="LG102" s="703"/>
      <c r="LH102" s="649"/>
      <c r="LI102" s="703"/>
      <c r="LJ102" s="1548" t="e">
        <f>((273.2+LE102)*$F$33/((273.2+$F$32)*LG102))</f>
        <v>#DIV/0!</v>
      </c>
      <c r="LK102" s="649" t="str">
        <f>IF(LB102="Low",LH102*$D$42*LJ102,IF(LB102="Med",LH102*$D$43*LJ102,IF(LB102="High",LH102*$D$44*LJ102,"rango cal. out")))</f>
        <v>rango cal. out</v>
      </c>
      <c r="LL102" s="703">
        <f t="shared" ref="LL102:LL103" si="45">LI102-KZ102</f>
        <v>0</v>
      </c>
      <c r="LM102" s="705" t="e">
        <f t="shared" ref="LM102:LM103" si="46">(LK102-LC102)/LL102</f>
        <v>#VALUE!</v>
      </c>
      <c r="LN102" s="654"/>
      <c r="LO102" s="655"/>
      <c r="LP102" s="655"/>
      <c r="LQ102" s="649"/>
      <c r="LR102" s="655"/>
      <c r="LS102" s="1548" t="e">
        <f>((273.2+LN102)*$F$33/((273.2+$F$32)*LP102))</f>
        <v>#DIV/0!</v>
      </c>
      <c r="LT102" s="656"/>
      <c r="LU102" s="649" t="str">
        <f>IF(LT102="Low",LQ102*$D$42*LS102,IF(LT102="Med",LQ102*$D$43*LS102,IF(LT102="High",LQ102*$D$44*LS102,"rango cal. out")))</f>
        <v>rango cal. out</v>
      </c>
      <c r="LV102" s="704" t="e">
        <f t="shared" ref="LV102:LV103" si="47">LU102/LR102</f>
        <v>#VALUE!</v>
      </c>
      <c r="LW102" s="702"/>
      <c r="LX102" s="1540"/>
      <c r="LY102" s="703"/>
      <c r="LZ102" s="649"/>
      <c r="MA102" s="703"/>
      <c r="MB102" s="1548" t="e">
        <f>((273.2+LW102)*$F$33/((273.2+$F$32)*LY102))</f>
        <v>#DIV/0!</v>
      </c>
      <c r="MC102" s="649" t="str">
        <f>IF(LT102="Low",LZ102*$D$42*MB102,IF(LT102="Med",LZ102*$D$43*MB102,IF(LT102="High",LZ102*$D$44*MB102,"rango cal. out")))</f>
        <v>rango cal. out</v>
      </c>
      <c r="MD102" s="703">
        <f t="shared" ref="MD102:MD103" si="48">MA102-LR102</f>
        <v>0</v>
      </c>
      <c r="ME102" s="705" t="e">
        <f t="shared" ref="ME102:ME103" si="49">(MC102-LU102)/MD102</f>
        <v>#VALUE!</v>
      </c>
      <c r="MF102" s="654"/>
      <c r="MG102" s="655"/>
      <c r="MH102" s="655"/>
      <c r="MI102" s="649"/>
      <c r="MJ102" s="655"/>
      <c r="MK102" s="1548" t="e">
        <f>((273.2+MF102)*$F$33/((273.2+$F$32)*MH102))</f>
        <v>#DIV/0!</v>
      </c>
      <c r="ML102" s="656"/>
      <c r="MM102" s="649" t="str">
        <f>IF(ML102="Low",MI102*$D$42*MK102,IF(ML102="Med",MI102*$D$43*MK102,IF(ML102="High",MI102*$D$44*MK102,"rango cal. out")))</f>
        <v>rango cal. out</v>
      </c>
      <c r="MN102" s="704" t="e">
        <f t="shared" ref="MN102:MN103" si="50">MM102/MJ102</f>
        <v>#VALUE!</v>
      </c>
      <c r="MO102" s="702"/>
      <c r="MP102" s="1540"/>
      <c r="MQ102" s="703"/>
      <c r="MR102" s="649"/>
      <c r="MS102" s="703"/>
      <c r="MT102" s="1548" t="e">
        <f>((273.2+MO102)*$F$33/((273.2+$F$32)*MQ102))</f>
        <v>#DIV/0!</v>
      </c>
      <c r="MU102" s="649" t="str">
        <f>IF(ML102="Low",MR102*$D$42*MT102,IF(ML102="Med",MR102*$D$43*MT102,IF(ML102="High",MR102*$D$44*MT102,"rango cal. out")))</f>
        <v>rango cal. out</v>
      </c>
      <c r="MV102" s="703">
        <f t="shared" ref="MV102:MV103" si="51">MS102-MJ102</f>
        <v>0</v>
      </c>
      <c r="MW102" s="705" t="e">
        <f t="shared" ref="MW102:MW103" si="52">(MU102-MM102)/MV102</f>
        <v>#VALUE!</v>
      </c>
      <c r="MX102" s="654"/>
      <c r="MY102" s="655"/>
      <c r="MZ102" s="655"/>
      <c r="NA102" s="649"/>
      <c r="NB102" s="655"/>
      <c r="NC102" s="1548" t="e">
        <f>((273.2+MX102)*$F$33/((273.2+$F$32)*MZ102))</f>
        <v>#DIV/0!</v>
      </c>
      <c r="ND102" s="656"/>
      <c r="NE102" s="649" t="str">
        <f>IF(ND102="Low",NA102*$D$42*NC102,IF(ND102="Med",NA102*$D$43*NC102,IF(ND102="High",NA102*$D$44*NC102,"rango cal. out")))</f>
        <v>rango cal. out</v>
      </c>
      <c r="NF102" s="704" t="e">
        <f t="shared" ref="NF102:NF103" si="53">NE102/NB102</f>
        <v>#VALUE!</v>
      </c>
      <c r="NG102" s="702"/>
      <c r="NH102" s="1540"/>
      <c r="NI102" s="703"/>
      <c r="NJ102" s="649"/>
      <c r="NK102" s="703"/>
      <c r="NL102" s="1548" t="e">
        <f>((273.2+NG102)*$F$33/((273.2+$F$32)*NI102))</f>
        <v>#DIV/0!</v>
      </c>
      <c r="NM102" s="649" t="str">
        <f>IF(ND102="Low",NJ102*$D$42*NL102,IF(ND102="Med",NJ102*$D$43*NL102,IF(ND102="High",NJ102*$D$44*NL102,"rango cal. out")))</f>
        <v>rango cal. out</v>
      </c>
      <c r="NN102" s="703">
        <f t="shared" ref="NN102:NN103" si="54">NK102-NB102</f>
        <v>0</v>
      </c>
      <c r="NO102" s="704" t="e">
        <f t="shared" ref="NO102:NO103" si="55">(NM102-NE102)/NN102</f>
        <v>#VALUE!</v>
      </c>
      <c r="NP102" s="2048">
        <v>20.5</v>
      </c>
      <c r="NQ102" s="655">
        <v>52</v>
      </c>
      <c r="NR102" s="655">
        <v>1007</v>
      </c>
      <c r="NS102" s="649">
        <v>-5.7619999999999997E-11</v>
      </c>
      <c r="NT102" s="655">
        <v>60</v>
      </c>
      <c r="NU102" s="1548">
        <f>((273.2+NP102)*$F$33/((273.2+$F$32)*NR102))</f>
        <v>1.001093715939642</v>
      </c>
      <c r="NV102" s="656" t="s">
        <v>268</v>
      </c>
      <c r="NW102" s="649">
        <f>IF(NV102="Low",NS102*$D$42*NU102,IF(NV102="Med",NS102*$D$43*NU102,IF(NV102="High",NS102*$D$44*NU102,"rango cal. out")))</f>
        <v>-5.7856068972179493E-11</v>
      </c>
      <c r="NX102" s="2109">
        <f t="shared" ref="NX102:NX103" si="56">NW102/NT102</f>
        <v>-9.6426781620299159E-13</v>
      </c>
      <c r="NY102" s="2112">
        <v>20.399999999999999</v>
      </c>
      <c r="NZ102" s="1540">
        <v>54</v>
      </c>
      <c r="OA102" s="703">
        <v>1007</v>
      </c>
      <c r="OB102" s="649">
        <v>-5.8099999999999998E-11</v>
      </c>
      <c r="OC102" s="703">
        <v>180</v>
      </c>
      <c r="OD102" s="1548">
        <f>((273.2+NY102)*$F$33/((273.2+$F$32)*OA102))</f>
        <v>1.0007528600608746</v>
      </c>
      <c r="OE102" s="649">
        <f>IF(NV102="Low",OB102*$D$42*OD102,IF(NV102="Med",OB102*$D$43*OD102,IF(NV102="High",OB102*$D$44*OD102,"rango cal. out")))</f>
        <v>-5.8318172393045418E-11</v>
      </c>
      <c r="OF102" s="703">
        <f t="shared" ref="OF102:OF103" si="57">OC102-NT102</f>
        <v>120</v>
      </c>
      <c r="OG102" s="2049">
        <f t="shared" ref="OG102:OG103" si="58">(OE102-NW102)/OF102</f>
        <v>-3.8508618405493762E-15</v>
      </c>
      <c r="OH102" s="2041"/>
      <c r="OI102" s="655"/>
      <c r="OJ102" s="655"/>
      <c r="OK102" s="649"/>
      <c r="OL102" s="655"/>
      <c r="OM102" s="1548" t="e">
        <f>((273.2+OH102)*$F$33/((273.2+$F$32)*OJ102))</f>
        <v>#DIV/0!</v>
      </c>
      <c r="ON102" s="656"/>
      <c r="OO102" s="649" t="str">
        <f>IF(ON102="Low",OK102*$D$42*OM102,IF(ON102="Med",OK102*$D$43*OM102,IF(ON102="High",OK102*$D$44*OM102,"rango cal. out")))</f>
        <v>rango cal. out</v>
      </c>
      <c r="OP102" s="704" t="e">
        <f t="shared" ref="OP102:OP103" si="59">OO102/OL102</f>
        <v>#VALUE!</v>
      </c>
      <c r="OQ102" s="702"/>
      <c r="OR102" s="1540"/>
      <c r="OS102" s="703"/>
      <c r="OT102" s="649"/>
      <c r="OU102" s="703"/>
      <c r="OV102" s="1548" t="e">
        <f>((273.2+OQ102)*$F$33/((273.2+$F$32)*OS102))</f>
        <v>#DIV/0!</v>
      </c>
      <c r="OW102" s="649" t="str">
        <f>IF(ON102="Low",OT102*$D$42*OV102,IF(ON102="Med",OT102*$D$43*OV102,IF(ON102="High",OT102*$D$44*OV102,"rango cal. out")))</f>
        <v>rango cal. out</v>
      </c>
      <c r="OX102" s="703">
        <f t="shared" ref="OX102:OX103" si="60">OU102-OL102</f>
        <v>0</v>
      </c>
      <c r="OY102" s="704" t="e">
        <f t="shared" ref="OY102:OY103" si="61">(OW102-OO102)/OX102</f>
        <v>#VALUE!</v>
      </c>
      <c r="OZ102" s="2048">
        <v>20.5</v>
      </c>
      <c r="PA102" s="655">
        <v>53</v>
      </c>
      <c r="PB102" s="655">
        <v>1007</v>
      </c>
      <c r="PC102" s="649">
        <v>-1.297E-10</v>
      </c>
      <c r="PD102" s="655">
        <v>60</v>
      </c>
      <c r="PE102" s="1548">
        <f>((273.2+OZ102)*$F$33/((273.2+$F$32)*PB102))</f>
        <v>1.001093715939642</v>
      </c>
      <c r="PF102" s="656" t="s">
        <v>268</v>
      </c>
      <c r="PG102" s="649">
        <f>IF(PF102="Low",PC102*$D$42*PE102,IF(PF102="Med",PC102*$D$43*PE102,IF(PF102="High",PC102*$D$44*PE102,"rango cal. out")))</f>
        <v>-1.3023138052224368E-10</v>
      </c>
      <c r="PH102" s="2109">
        <f>PG102/PD102</f>
        <v>-2.1705230087040614E-12</v>
      </c>
      <c r="PI102" s="2112">
        <v>20.5</v>
      </c>
      <c r="PJ102" s="1540">
        <v>54</v>
      </c>
      <c r="PK102" s="703">
        <v>1007</v>
      </c>
      <c r="PL102" s="649">
        <v>-1.2990000000000001E-10</v>
      </c>
      <c r="PM102" s="703">
        <v>180</v>
      </c>
      <c r="PN102" s="1548">
        <f>((273.2+PI102)*$F$33/((273.2+$F$32)*PK102))</f>
        <v>1.001093715939642</v>
      </c>
      <c r="PO102" s="649">
        <f>IF(PF102="Low",PL102*$D$42*PN102,IF(PF102="Med",PL102*$D$43*PN102,IF(PF102="High",PL102*$D$44*PN102,"rango cal. out")))</f>
        <v>-1.3043219992166117E-10</v>
      </c>
      <c r="PP102" s="703">
        <f>PM102-PD102</f>
        <v>120</v>
      </c>
      <c r="PQ102" s="2049">
        <f t="shared" ref="PQ102:PQ103" si="62">(PO102-PG102)/PP102</f>
        <v>-1.6734949951457902E-15</v>
      </c>
      <c r="PR102" s="2041"/>
      <c r="PS102" s="655"/>
      <c r="PT102" s="655"/>
      <c r="PU102" s="649"/>
      <c r="PV102" s="655"/>
      <c r="PW102" s="1548" t="e">
        <f>((273.2+PR102)*$F$33/((273.2+$F$32)*PT102))</f>
        <v>#DIV/0!</v>
      </c>
      <c r="PX102" s="656"/>
      <c r="PY102" s="649" t="str">
        <f>IF(PX102="Low",PU102*$D$42*PW102,IF(PX102="Med",PU102*$D$43*PW102,IF(PX102="High",PU102*$D$44*PW102,"rango cal. out")))</f>
        <v>rango cal. out</v>
      </c>
      <c r="PZ102" s="704" t="e">
        <f t="shared" ref="PZ102:PZ103" si="63">PY102/PV102</f>
        <v>#VALUE!</v>
      </c>
      <c r="QA102" s="702"/>
      <c r="QB102" s="1540"/>
      <c r="QC102" s="703"/>
      <c r="QD102" s="649"/>
      <c r="QE102" s="703"/>
      <c r="QF102" s="1548" t="e">
        <f>((273.2+QA102)*$F$33/((273.2+$F$32)*QC102))</f>
        <v>#DIV/0!</v>
      </c>
      <c r="QG102" s="649" t="str">
        <f>IF(PX102="Low",QD102*$D$42*QF102,IF(PX102="Med",QD102*$D$43*QF102,IF(PX102="High",QD102*$D$44*QF102,"rango cal. out")))</f>
        <v>rango cal. out</v>
      </c>
      <c r="QH102" s="703">
        <f t="shared" ref="QH102:QH103" si="64">QE102-PV102</f>
        <v>0</v>
      </c>
      <c r="QI102" s="705" t="e">
        <f t="shared" ref="QI102:QI103" si="65">(QG102-PY102)/QH102</f>
        <v>#VALUE!</v>
      </c>
      <c r="QJ102" s="654"/>
      <c r="QK102" s="655"/>
      <c r="QL102" s="655"/>
      <c r="QM102" s="649"/>
      <c r="QN102" s="655"/>
      <c r="QO102" s="1548" t="e">
        <f>((273.2+QJ102)*$F$33/((273.2+$F$32)*QL102))</f>
        <v>#DIV/0!</v>
      </c>
      <c r="QP102" s="656"/>
      <c r="QQ102" s="649" t="str">
        <f>IF(QP102="Low",QM102*$D$42*QO102,IF(QP102="Med",QM102*$D$43*QO102,IF(QP102="High",QM102*$D$44*QO102,"rango cal. out")))</f>
        <v>rango cal. out</v>
      </c>
      <c r="QR102" s="704" t="e">
        <f t="shared" ref="QR102:QR103" si="66">QQ102/QN102</f>
        <v>#VALUE!</v>
      </c>
      <c r="QS102" s="702"/>
      <c r="QT102" s="1540"/>
      <c r="QU102" s="703"/>
      <c r="QV102" s="649"/>
      <c r="QW102" s="703"/>
      <c r="QX102" s="1548" t="e">
        <f>((273.2+QS102)*$F$33/((273.2+$F$32)*QU102))</f>
        <v>#DIV/0!</v>
      </c>
      <c r="QY102" s="649" t="str">
        <f>IF(QP102="Low",QV102*$D$42*QX102,IF(QP102="Med",QV102*$D$43*QX102,IF(QP102="High",QV102*$D$44*QX102,"rango cal. out")))</f>
        <v>rango cal. out</v>
      </c>
      <c r="QZ102" s="703">
        <f t="shared" ref="QZ102:QZ103" si="67">QW102-QN102</f>
        <v>0</v>
      </c>
      <c r="RA102" s="705" t="e">
        <f t="shared" ref="RA102:RA103" si="68">(QY102-QQ102)/QZ102</f>
        <v>#VALUE!</v>
      </c>
      <c r="RB102" s="654"/>
      <c r="RC102" s="655"/>
      <c r="RD102" s="655"/>
      <c r="RE102" s="649"/>
      <c r="RF102" s="655"/>
      <c r="RG102" s="1548" t="e">
        <f>((273.2+RB102)*$F$33/((273.2+$F$32)*RD102))</f>
        <v>#DIV/0!</v>
      </c>
      <c r="RH102" s="656"/>
      <c r="RI102" s="649" t="str">
        <f>IF(RH102="Low",RE102*$D$42*RG102,IF(RH102="Med",RE102*$D$43*RG102,IF(RH102="High",RE102*$D$44*RG102,"rango cal. out")))</f>
        <v>rango cal. out</v>
      </c>
      <c r="RJ102" s="704" t="e">
        <f t="shared" ref="RJ102:RJ103" si="69">RI102/RF102</f>
        <v>#VALUE!</v>
      </c>
      <c r="RK102" s="702"/>
      <c r="RL102" s="1540"/>
      <c r="RM102" s="703"/>
      <c r="RN102" s="649"/>
      <c r="RO102" s="703"/>
      <c r="RP102" s="1548" t="e">
        <f>((273.2+RK102)*$F$33/((273.2+$F$32)*RM102))</f>
        <v>#DIV/0!</v>
      </c>
      <c r="RQ102" s="649" t="str">
        <f>IF(RH102="Low",RN102*$D$42*RP102,IF(RH102="Med",RN102*$D$43*RP102,IF(RH102="High",RN102*$D$44*RP102,"rango cal. out")))</f>
        <v>rango cal. out</v>
      </c>
      <c r="RR102" s="703">
        <f t="shared" ref="RR102:RR103" si="70">RO102-RF102</f>
        <v>0</v>
      </c>
      <c r="RS102" s="705" t="e">
        <f t="shared" ref="RS102:RS103" si="71">(RQ102-RI102)/RR102</f>
        <v>#VALUE!</v>
      </c>
      <c r="RT102" s="654"/>
      <c r="RU102" s="655"/>
      <c r="RV102" s="655"/>
      <c r="RW102" s="649"/>
      <c r="RX102" s="655"/>
      <c r="RY102" s="1548" t="e">
        <f>((273.2+RT102)*$F$33/((273.2+$F$32)*RV102))</f>
        <v>#DIV/0!</v>
      </c>
      <c r="RZ102" s="656"/>
      <c r="SA102" s="649" t="str">
        <f>IF(RZ102="Low",RW102*$D$42*RY102,IF(RZ102="Med",RW102*$D$43*RY102,IF(RZ102="High",RW102*$D$44*RY102,"rango cal. out")))</f>
        <v>rango cal. out</v>
      </c>
      <c r="SB102" s="704" t="e">
        <f t="shared" ref="SB102:SB103" si="72">SA102/RX102</f>
        <v>#VALUE!</v>
      </c>
      <c r="SC102" s="702"/>
      <c r="SD102" s="1540"/>
      <c r="SE102" s="703"/>
      <c r="SF102" s="649"/>
      <c r="SG102" s="703"/>
      <c r="SH102" s="1548" t="e">
        <f>((273.2+SC102)*$F$33/((273.2+$F$32)*SE102))</f>
        <v>#DIV/0!</v>
      </c>
      <c r="SI102" s="649" t="str">
        <f>IF(RZ102="Low",SF102*$D$42*SH102,IF(RZ102="Med",SF102*$D$43*SH102,IF(RZ102="High",SF102*$D$44*SH102,"rango cal. out")))</f>
        <v>rango cal. out</v>
      </c>
      <c r="SJ102" s="703">
        <f t="shared" ref="SJ102:SJ103" si="73">SG102-RX102</f>
        <v>0</v>
      </c>
      <c r="SK102" s="704" t="e">
        <f t="shared" ref="SK102:SK103" si="74">(SI102-SA102)/SJ102</f>
        <v>#VALUE!</v>
      </c>
      <c r="SL102" s="2048">
        <v>20.5</v>
      </c>
      <c r="SM102" s="655">
        <v>55</v>
      </c>
      <c r="SN102" s="655">
        <v>1007</v>
      </c>
      <c r="SO102" s="649">
        <v>-5.8900000000000001E-12</v>
      </c>
      <c r="SP102" s="655">
        <v>60</v>
      </c>
      <c r="SQ102" s="1548">
        <f>((273.2+SL102)*$F$33/((273.2+$F$32)*SN102))</f>
        <v>1.001093715939642</v>
      </c>
      <c r="SR102" s="656" t="s">
        <v>268</v>
      </c>
      <c r="SS102" s="649">
        <f>IF(SR102="Low",SO102*$D$42*SQ102,IF(SR102="Med",SO102*$D$43*SQ102,IF(SR102="High",SO102*$D$44*SQ102,"rango cal. out")))</f>
        <v>-5.9141313128451447E-12</v>
      </c>
      <c r="ST102" s="2109">
        <f t="shared" ref="ST102:ST103" si="75">SS102/SP102</f>
        <v>-9.8568855214085743E-14</v>
      </c>
      <c r="SU102" s="2112">
        <v>20.6</v>
      </c>
      <c r="SV102" s="1540">
        <v>54</v>
      </c>
      <c r="SW102" s="703">
        <v>1007</v>
      </c>
      <c r="SX102" s="649">
        <v>-6.1900000000000001E-12</v>
      </c>
      <c r="SY102" s="703">
        <v>180</v>
      </c>
      <c r="SZ102" s="1548">
        <f>((273.2+SU102)*$F$33/((273.2+$F$32)*SW102))</f>
        <v>1.0014345718184097</v>
      </c>
      <c r="TA102" s="649">
        <f>IF(SR102="Low",SX102*$D$42*SZ102,IF(SR102="Med",SX102*$D$43*SZ102,IF(SR102="High",SX102*$D$44*SZ102,"rango cal. out")))</f>
        <v>-6.2174766395546237E-12</v>
      </c>
      <c r="TB102" s="703">
        <f t="shared" ref="TB102:TB103" si="76">SY102-SP102</f>
        <v>120</v>
      </c>
      <c r="TC102" s="2049">
        <f>(TA102-SS102)/TB102</f>
        <v>-2.5278777225789922E-15</v>
      </c>
      <c r="TD102" s="2048">
        <v>20.5</v>
      </c>
      <c r="TE102" s="655">
        <v>55</v>
      </c>
      <c r="TF102" s="655">
        <v>1008</v>
      </c>
      <c r="TG102" s="649">
        <v>-3.1890000000000001E-10</v>
      </c>
      <c r="TH102" s="655">
        <v>60</v>
      </c>
      <c r="TI102" s="1548">
        <f>((273.2+TD102)*$F$33/((273.2+$F$32)*TF102))</f>
        <v>1.0001005674119241</v>
      </c>
      <c r="TJ102" s="656" t="s">
        <v>268</v>
      </c>
      <c r="TK102" s="649">
        <f>IF(TJ102="Low",TG102*$D$42*TI102,IF(TJ102="Med",TG102*$D$43*TI102,IF(TJ102="High",TG102*$D$44*TI102,"rango cal. out")))</f>
        <v>-3.1988886716050552E-10</v>
      </c>
      <c r="TL102" s="2109">
        <f t="shared" ref="TL102:TL103" si="77">TK102/TH102</f>
        <v>-5.3314811193417587E-12</v>
      </c>
      <c r="TM102" s="2112">
        <v>20.5</v>
      </c>
      <c r="TN102" s="1540">
        <v>55</v>
      </c>
      <c r="TO102" s="703">
        <v>1008</v>
      </c>
      <c r="TP102" s="649">
        <v>-3.1910000000000001E-10</v>
      </c>
      <c r="TQ102" s="703">
        <v>180</v>
      </c>
      <c r="TR102" s="1548">
        <f>((273.2+TM102)*$F$33/((273.2+$F$32)*TO102))</f>
        <v>1.0001005674119241</v>
      </c>
      <c r="TS102" s="649">
        <f>IF(TJ102="Low",TP102*$D$42*TR102,IF(TJ102="Med",TP102*$D$43*TR102,IF(TJ102="High",TP102*$D$44*TR102,"rango cal. out")))</f>
        <v>-3.2008948733432841E-10</v>
      </c>
      <c r="TT102" s="703">
        <f t="shared" ref="TT102:TT103" si="78">TQ102-TH102</f>
        <v>120</v>
      </c>
      <c r="TU102" s="2049">
        <f t="shared" ref="TU102:TU103" si="79">(TS102-TK102)/TT102</f>
        <v>-1.6718347818573879E-15</v>
      </c>
      <c r="TV102" s="2041"/>
      <c r="TW102" s="655"/>
      <c r="TX102" s="655"/>
      <c r="TY102" s="649"/>
      <c r="TZ102" s="655"/>
      <c r="UA102" s="1548" t="e">
        <f>((273.2+TV102)*$F$33/((273.2+$F$32)*TX102))</f>
        <v>#DIV/0!</v>
      </c>
      <c r="UB102" s="656"/>
      <c r="UC102" s="649" t="str">
        <f>IF(UB102="Low",TY102*$D$42*UA102,IF(UB102="Med",TY102*$D$43*UA102,IF(UB102="High",TY102*$D$44*UA102,"rango cal. out")))</f>
        <v>rango cal. out</v>
      </c>
      <c r="UD102" s="704" t="e">
        <f t="shared" ref="UD102:UD103" si="80">UC102/TZ102</f>
        <v>#VALUE!</v>
      </c>
      <c r="UE102" s="702"/>
      <c r="UF102" s="1540"/>
      <c r="UG102" s="703"/>
      <c r="UH102" s="649"/>
      <c r="UI102" s="703"/>
      <c r="UJ102" s="1548" t="e">
        <f>((273.2+UE102)*$F$33/((273.2+$F$32)*UG102))</f>
        <v>#DIV/0!</v>
      </c>
      <c r="UK102" s="649" t="str">
        <f>IF(UB102="Low",UH102*$D$42*UJ102,IF(UB102="Med",UH102*$D$43*UJ102,IF(UB102="High",UH102*$D$44*UJ102,"rango cal. out")))</f>
        <v>rango cal. out</v>
      </c>
      <c r="UL102" s="703">
        <f t="shared" ref="UL102:UL103" si="81">UI102-TZ102</f>
        <v>0</v>
      </c>
      <c r="UM102" s="704" t="e">
        <f t="shared" ref="UM102:UM103" si="82">(UK102-UC102)/UL102</f>
        <v>#VALUE!</v>
      </c>
      <c r="UN102" s="2048">
        <v>20.399999999999999</v>
      </c>
      <c r="UO102" s="655">
        <v>56</v>
      </c>
      <c r="UP102" s="655">
        <v>1008</v>
      </c>
      <c r="UQ102" s="649">
        <v>-1.3330000000000001E-11</v>
      </c>
      <c r="UR102" s="655">
        <v>60</v>
      </c>
      <c r="US102" s="1548">
        <f>((273.2+UN102)*$F$33/((273.2+$F$32)*UP102))</f>
        <v>0.99976004968383014</v>
      </c>
      <c r="UT102" s="656" t="s">
        <v>268</v>
      </c>
      <c r="UU102" s="649">
        <f>IF(UT102="Low",UQ102*$D$42*US102,IF(UT102="Med",UQ102*$D$43*US102,IF(UT102="High",UQ102*$D$44*US102,"rango cal. out")))</f>
        <v>-1.3366781866672312E-11</v>
      </c>
      <c r="UV102" s="2109">
        <f t="shared" ref="UV102:UV103" si="83">UU102/UR102</f>
        <v>-2.2277969777787187E-13</v>
      </c>
      <c r="UW102" s="2112">
        <v>20.5</v>
      </c>
      <c r="UX102" s="1540">
        <v>56</v>
      </c>
      <c r="UY102" s="703">
        <v>1008</v>
      </c>
      <c r="UZ102" s="649">
        <v>-1.3339999999999999E-11</v>
      </c>
      <c r="VA102" s="703">
        <v>180</v>
      </c>
      <c r="VB102" s="1548">
        <f>((273.2+UW102)*$F$33/((273.2+$F$32)*UY102))</f>
        <v>1.0001005674119241</v>
      </c>
      <c r="VC102" s="649">
        <f>IF(UT102="Low",UZ102*$D$42*VB102,IF(UT102="Med",UZ102*$D$43*VB102,IF(UT102="High",UZ102*$D$44*VB102,"rango cal. out")))</f>
        <v>-1.3381365593982891E-11</v>
      </c>
      <c r="VD102" s="703">
        <f t="shared" ref="VD102:VD103" si="84">VA102-UR102</f>
        <v>120</v>
      </c>
      <c r="VE102" s="2049">
        <f t="shared" ref="VE102:VE103" si="85">(VC102-UU102)/VD102</f>
        <v>-1.2153106092149542E-16</v>
      </c>
    </row>
    <row r="103" spans="1:577" ht="30.75" thickBot="1" x14ac:dyDescent="0.3">
      <c r="A103" s="2060" t="s">
        <v>1058</v>
      </c>
      <c r="B103" s="2050">
        <v>20.3</v>
      </c>
      <c r="C103" s="2051">
        <v>54</v>
      </c>
      <c r="D103" s="2051">
        <v>1009</v>
      </c>
      <c r="E103" s="2052">
        <v>-5.4329999999999997E-9</v>
      </c>
      <c r="F103" s="2051">
        <v>60</v>
      </c>
      <c r="G103" s="2053">
        <f>((273.2+B103)*$F$33/((273.2+$F$32)*D103))</f>
        <v>0.9984290269686642</v>
      </c>
      <c r="H103" s="2054" t="s">
        <v>1042</v>
      </c>
      <c r="I103" s="2052">
        <f>IF(H103="Low",E103*$D$42*G103,IF(H103="Med",E103*$D$43*G103,IF(H103="High",E103*$D$44*G103,"rango cal. out")))</f>
        <v>-5.4298893684242727E-9</v>
      </c>
      <c r="J103" s="2110">
        <f>I103/F103</f>
        <v>-9.0498156140404545E-11</v>
      </c>
      <c r="K103" s="2107">
        <v>20.5</v>
      </c>
      <c r="L103" s="2055">
        <v>52</v>
      </c>
      <c r="M103" s="2056">
        <v>1009</v>
      </c>
      <c r="N103" s="2052">
        <v>-5.4340000000000001E-9</v>
      </c>
      <c r="O103" s="2056">
        <v>180</v>
      </c>
      <c r="P103" s="2053">
        <f>((273.2+K103)*$F$33/((273.2+$F$32)*M103))</f>
        <v>0.9991093874640431</v>
      </c>
      <c r="Q103" s="2052">
        <f>IF(H103="Low",N103*$D$42*P103,IF(H103="Med",N103*$D$43*P103,IF(H103="High",N103*$D$44*P103,"rango cal. out")))</f>
        <v>-5.4345895718910895E-9</v>
      </c>
      <c r="R103" s="2056">
        <f>O103-F103</f>
        <v>120</v>
      </c>
      <c r="S103" s="2057">
        <f t="shared" ref="S103" si="86">(Q103-I103)/R103</f>
        <v>-3.9168362223473184E-14</v>
      </c>
      <c r="T103" s="2042"/>
      <c r="U103" s="1575"/>
      <c r="V103" s="1575"/>
      <c r="W103" s="1576"/>
      <c r="X103" s="1575"/>
      <c r="Y103" s="1577" t="e">
        <f>((273.2+T103)*$F$33/((273.2+$F$32)*V103))</f>
        <v>#DIV/0!</v>
      </c>
      <c r="Z103" s="1578"/>
      <c r="AA103" s="1576" t="str">
        <f>IF(Z103="Low",W103*$D$42*Y103,IF(Z103="Med",W103*$D$43*Y103,IF(Z103="High",W103*$D$44*Y103,"rango cal. out")))</f>
        <v>rango cal. out</v>
      </c>
      <c r="AB103" s="1579" t="e">
        <f>AA103/X103</f>
        <v>#VALUE!</v>
      </c>
      <c r="AC103" s="1580"/>
      <c r="AD103" s="701"/>
      <c r="AE103" s="1581"/>
      <c r="AF103" s="1576"/>
      <c r="AG103" s="1581"/>
      <c r="AH103" s="1577" t="e">
        <f>((273.2+AC103)*$F$33/((273.2+$F$32)*AE103))</f>
        <v>#DIV/0!</v>
      </c>
      <c r="AI103" s="1576" t="str">
        <f>IF(Z103="Low",AF103*$D$42*AH103,IF(Z103="Med",AF103*$D$43*AH103,IF(Z103="High",AF103*$D$44*AH103,"rango cal. out")))</f>
        <v>rango cal. out</v>
      </c>
      <c r="AJ103" s="1581">
        <f>AG103-X103</f>
        <v>0</v>
      </c>
      <c r="AK103" s="1582" t="e">
        <f t="shared" si="1"/>
        <v>#VALUE!</v>
      </c>
      <c r="AL103" s="1574"/>
      <c r="AM103" s="1575"/>
      <c r="AN103" s="1575"/>
      <c r="AO103" s="1576"/>
      <c r="AP103" s="1575"/>
      <c r="AQ103" s="1577" t="e">
        <f>((273.2+AL103)*$F$33/((273.2+$F$32)*AN103))</f>
        <v>#DIV/0!</v>
      </c>
      <c r="AR103" s="1578"/>
      <c r="AS103" s="1576" t="str">
        <f>IF(AR103="Low",AO103*$D$42*AQ103,IF(AR103="Med",AO103*$D$43*AQ103,IF(AR103="High",AO103*$D$44*AQ103,"rango cal. out")))</f>
        <v>rango cal. out</v>
      </c>
      <c r="AT103" s="1579" t="e">
        <f>AS103/AP103</f>
        <v>#VALUE!</v>
      </c>
      <c r="AU103" s="1580"/>
      <c r="AV103" s="701"/>
      <c r="AW103" s="1581"/>
      <c r="AX103" s="1576"/>
      <c r="AY103" s="1581"/>
      <c r="AZ103" s="1577" t="e">
        <f>((273.2+AU103)*$F$33/((273.2+$F$32)*AW103))</f>
        <v>#DIV/0!</v>
      </c>
      <c r="BA103" s="1576" t="str">
        <f>IF(AR103="Low",AX103*$D$42*AZ103,IF(AR103="Med",AX103*$D$43*AZ103,IF(AR103="High",AX103*$D$44*AZ103,"rango cal. out")))</f>
        <v>rango cal. out</v>
      </c>
      <c r="BB103" s="1581">
        <f>AY103-AP103</f>
        <v>0</v>
      </c>
      <c r="BC103" s="1579" t="e">
        <f t="shared" si="2"/>
        <v>#VALUE!</v>
      </c>
      <c r="BD103" s="2050">
        <v>20.6</v>
      </c>
      <c r="BE103" s="2051">
        <v>51</v>
      </c>
      <c r="BF103" s="2051">
        <v>1009</v>
      </c>
      <c r="BG103" s="2052">
        <v>-8.5560000000000002E-10</v>
      </c>
      <c r="BH103" s="2051">
        <v>60</v>
      </c>
      <c r="BI103" s="2053">
        <f>((273.2+BD103)*$F$33/((273.2+$F$32)*BF103))</f>
        <v>0.99944956771173277</v>
      </c>
      <c r="BJ103" s="2054" t="s">
        <v>268</v>
      </c>
      <c r="BK103" s="2052">
        <f>IF(BJ103="Low",BG103*$D$42*BI103,IF(BJ103="Med",BG103*$D$43*BI103,IF(BJ103="High",BG103*$D$44*BI103,"rango cal. out")))</f>
        <v>-8.5769443728456094E-10</v>
      </c>
      <c r="BL103" s="2110">
        <f t="shared" si="3"/>
        <v>-1.4294907288076016E-11</v>
      </c>
      <c r="BM103" s="2113">
        <v>20.6</v>
      </c>
      <c r="BN103" s="2055">
        <v>53</v>
      </c>
      <c r="BO103" s="2056">
        <v>1009</v>
      </c>
      <c r="BP103" s="2052">
        <v>-8.5609999999999997E-10</v>
      </c>
      <c r="BQ103" s="2056">
        <v>180</v>
      </c>
      <c r="BR103" s="2053">
        <f>((273.2+BM103)*$F$33/((273.2+$F$32)*BO103))</f>
        <v>0.99944956771173277</v>
      </c>
      <c r="BS103" s="2052">
        <f>IF(BJ103="Low",BP103*$D$42*BR103,IF(BJ103="Med",BP103*$D$43*BR103,IF(BJ103="High",BP103*$D$44*BR103,"rango cal. out")))</f>
        <v>-8.5819566124276835E-10</v>
      </c>
      <c r="BT103" s="2056">
        <f t="shared" si="4"/>
        <v>120</v>
      </c>
      <c r="BU103" s="2057">
        <f t="shared" si="5"/>
        <v>-4.1768663183950367E-15</v>
      </c>
      <c r="BV103" s="2050">
        <v>20.7</v>
      </c>
      <c r="BW103" s="2051">
        <v>50</v>
      </c>
      <c r="BX103" s="2051">
        <v>1007</v>
      </c>
      <c r="BY103" s="2052">
        <v>-3.4799999999999999E-11</v>
      </c>
      <c r="BZ103" s="2051">
        <v>60</v>
      </c>
      <c r="CA103" s="2053">
        <f>((273.2+BV103)*$F$33/((273.2+$F$32)*BX103))</f>
        <v>1.0017754276971766</v>
      </c>
      <c r="CB103" s="2054" t="s">
        <v>268</v>
      </c>
      <c r="CC103" s="2052">
        <f>IF(CB103="Low",BY103*$D$42*CA103,IF(CB103="Med",BY103*$D$43*CA103,IF(CB103="High",BY103*$D$44*CA103,"rango cal. out")))</f>
        <v>-3.496637023851333E-11</v>
      </c>
      <c r="CD103" s="2110">
        <f t="shared" si="6"/>
        <v>-5.8277283730855552E-13</v>
      </c>
      <c r="CE103" s="2113">
        <v>20.5</v>
      </c>
      <c r="CF103" s="2055">
        <v>49</v>
      </c>
      <c r="CG103" s="2056">
        <v>1007</v>
      </c>
      <c r="CH103" s="2052">
        <v>-3.5019999999999999E-11</v>
      </c>
      <c r="CI103" s="2056">
        <v>180</v>
      </c>
      <c r="CJ103" s="2053">
        <f>((273.2+CE103)*$F$33/((273.2+$F$32)*CG103))</f>
        <v>1.001093715939642</v>
      </c>
      <c r="CK103" s="2052">
        <f>IF(CB103="Low",CH103*$D$42*CJ103,IF(CB103="Med",CH103*$D$43*CJ103,IF(CB103="High",CH103*$D$44*CJ103,"rango cal. out")))</f>
        <v>-3.5163476838002883E-11</v>
      </c>
      <c r="CL103" s="2056">
        <f t="shared" si="7"/>
        <v>120</v>
      </c>
      <c r="CM103" s="2057">
        <f t="shared" si="8"/>
        <v>-1.6425549957462687E-15</v>
      </c>
      <c r="CN103" s="2050">
        <v>20.5</v>
      </c>
      <c r="CO103" s="2051">
        <v>53</v>
      </c>
      <c r="CP103" s="2051">
        <v>1007</v>
      </c>
      <c r="CQ103" s="2052">
        <v>-1.9610000000000002E-9</v>
      </c>
      <c r="CR103" s="2051">
        <v>60</v>
      </c>
      <c r="CS103" s="2053">
        <f>((273.2+CN103)*$F$33/((273.2+$F$32)*CP103))</f>
        <v>1.001093715939642</v>
      </c>
      <c r="CT103" s="2054" t="s">
        <v>268</v>
      </c>
      <c r="CU103" s="2052">
        <f>IF(CT103="Low",CQ103*$D$42*CS103,IF(CT103="Med",CQ103*$D$43*CS103,IF(CT103="High",CQ103*$D$44*CS103,"rango cal. out")))</f>
        <v>-1.9690342112885109E-9</v>
      </c>
      <c r="CV103" s="2110">
        <f t="shared" si="9"/>
        <v>-3.2817236854808513E-11</v>
      </c>
      <c r="CW103" s="2113">
        <v>20.399999999999999</v>
      </c>
      <c r="CX103" s="2055">
        <v>51</v>
      </c>
      <c r="CY103" s="2056">
        <v>1007</v>
      </c>
      <c r="CZ103" s="2052">
        <v>-1.962E-9</v>
      </c>
      <c r="DA103" s="2056">
        <v>180</v>
      </c>
      <c r="DB103" s="2053">
        <f>((273.2+CW103)*$F$33/((273.2+$F$32)*CY103))</f>
        <v>1.0007528600608746</v>
      </c>
      <c r="DC103" s="2052">
        <f>IF(CT103="Low",CZ103*$D$42*DB103,IF(CT103="Med",CZ103*$D$43*DB103,IF(CT103="High",CZ103*$D$44*DB103,"rango cal. out")))</f>
        <v>-1.9693675427737541E-9</v>
      </c>
      <c r="DD103" s="2056">
        <f t="shared" si="10"/>
        <v>120</v>
      </c>
      <c r="DE103" s="2057">
        <f t="shared" si="11"/>
        <v>-2.7777623770266858E-15</v>
      </c>
      <c r="DF103" s="2042"/>
      <c r="DG103" s="1575"/>
      <c r="DH103" s="1575"/>
      <c r="DI103" s="1576"/>
      <c r="DJ103" s="1575"/>
      <c r="DK103" s="1577" t="e">
        <f>((273.2+DF103)*$F$33/((273.2+$F$32)*DH103))</f>
        <v>#DIV/0!</v>
      </c>
      <c r="DL103" s="1578"/>
      <c r="DM103" s="1576" t="str">
        <f>IF(DL103="Low",DI103*$D$42*DK103,IF(DL103="Med",DI103*$D$43*DK103,IF(DL103="High",DI103*$D$44*DK103,"rango cal. out")))</f>
        <v>rango cal. out</v>
      </c>
      <c r="DN103" s="1579" t="e">
        <f t="shared" si="12"/>
        <v>#VALUE!</v>
      </c>
      <c r="DO103" s="1580"/>
      <c r="DP103" s="701"/>
      <c r="DQ103" s="1581"/>
      <c r="DR103" s="1576"/>
      <c r="DS103" s="1581"/>
      <c r="DT103" s="1577" t="e">
        <f>((273.2+DO103)*$F$33/((273.2+$F$32)*DQ103))</f>
        <v>#DIV/0!</v>
      </c>
      <c r="DU103" s="1576" t="str">
        <f>IF(DL103="Low",DR103*$D$42*DT103,IF(DL103="Med",DR103*$D$43*DT103,IF(DL103="High",DR103*$D$44*DT103,"rango cal. out")))</f>
        <v>rango cal. out</v>
      </c>
      <c r="DV103" s="1581">
        <f t="shared" si="13"/>
        <v>0</v>
      </c>
      <c r="DW103" s="1582" t="e">
        <f t="shared" si="14"/>
        <v>#VALUE!</v>
      </c>
      <c r="DX103" s="1574"/>
      <c r="DY103" s="1575"/>
      <c r="DZ103" s="1575"/>
      <c r="EA103" s="1576"/>
      <c r="EB103" s="1575"/>
      <c r="EC103" s="1577" t="e">
        <f>((273.2+DX103)*$F$33/((273.2+$F$32)*DZ103))</f>
        <v>#DIV/0!</v>
      </c>
      <c r="ED103" s="1578"/>
      <c r="EE103" s="1576" t="str">
        <f>IF(ED103="Low",EA103*$D$42*EC103,IF(ED103="Med",EA103*$D$43*EC103,IF(ED103="High",EA103*$D$44*EC103,"rango cal. out")))</f>
        <v>rango cal. out</v>
      </c>
      <c r="EF103" s="1579" t="e">
        <f t="shared" si="15"/>
        <v>#VALUE!</v>
      </c>
      <c r="EG103" s="1580"/>
      <c r="EH103" s="701"/>
      <c r="EI103" s="1581"/>
      <c r="EJ103" s="1576"/>
      <c r="EK103" s="1581"/>
      <c r="EL103" s="1577" t="e">
        <f>((273.2+EG103)*$F$33/((273.2+$F$32)*EI103))</f>
        <v>#DIV/0!</v>
      </c>
      <c r="EM103" s="1576" t="str">
        <f>IF(ED103="Low",EJ103*$D$42*EL103,IF(ED103="Med",EJ103*$D$43*EL103,IF(ED103="High",EJ103*$D$44*EL103,"rango cal. out")))</f>
        <v>rango cal. out</v>
      </c>
      <c r="EN103" s="1581">
        <f t="shared" si="16"/>
        <v>0</v>
      </c>
      <c r="EO103" s="1579" t="e">
        <f t="shared" si="17"/>
        <v>#VALUE!</v>
      </c>
      <c r="EP103" s="2050">
        <v>20.5</v>
      </c>
      <c r="EQ103" s="2051">
        <v>53</v>
      </c>
      <c r="ER103" s="2051">
        <v>1007</v>
      </c>
      <c r="ES103" s="2052">
        <v>-2.5400000000000001E-12</v>
      </c>
      <c r="ET103" s="2051">
        <v>60</v>
      </c>
      <c r="EU103" s="2053">
        <f>((273.2+EP103)*$F$33/((273.2+$F$32)*ER103))</f>
        <v>1.001093715939642</v>
      </c>
      <c r="EV103" s="2054" t="s">
        <v>268</v>
      </c>
      <c r="EW103" s="2052">
        <f>IF(EV103="Low",ES103*$D$42*EU103,IF(EV103="Med",ES103*$D$43*EU103,IF(EV103="High",ES103*$D$44*EU103,"rango cal. out")))</f>
        <v>-2.550406372602151E-12</v>
      </c>
      <c r="EX103" s="2110">
        <f t="shared" ref="EX103" si="87">EW103/ET103</f>
        <v>-4.2506772876702518E-14</v>
      </c>
      <c r="EY103" s="2113">
        <v>20.6</v>
      </c>
      <c r="EZ103" s="2055">
        <v>54</v>
      </c>
      <c r="FA103" s="2056">
        <v>1007</v>
      </c>
      <c r="FB103" s="2052">
        <v>-2.6400000000000001E-12</v>
      </c>
      <c r="FC103" s="2056">
        <v>180</v>
      </c>
      <c r="FD103" s="2053">
        <f>((273.2+EY103)*$F$33/((273.2+$F$32)*FA103))</f>
        <v>1.0014345718184097</v>
      </c>
      <c r="FE103" s="2052">
        <f>IF(EV103="Low",FB103*$D$42*FD103,IF(EV103="Med",FB103*$D$43*FD103,IF(EV103="High",FB103*$D$44*FD103,"rango cal. out")))</f>
        <v>-2.6517186314094033E-12</v>
      </c>
      <c r="FF103" s="2056">
        <f t="shared" si="18"/>
        <v>120</v>
      </c>
      <c r="FG103" s="2057">
        <f t="shared" si="19"/>
        <v>-8.4426882339376898E-16</v>
      </c>
      <c r="FH103" s="2042"/>
      <c r="FI103" s="1575"/>
      <c r="FJ103" s="1575"/>
      <c r="FK103" s="1576"/>
      <c r="FL103" s="1575"/>
      <c r="FM103" s="1577" t="e">
        <f>((273.2+FH103)*$F$33/((273.2+$F$32)*FJ103))</f>
        <v>#DIV/0!</v>
      </c>
      <c r="FN103" s="1578"/>
      <c r="FO103" s="1576" t="str">
        <f>IF(FN103="Low",FK103*$D$42*FM103,IF(FN103="Med",FK103*$D$43*FM103,IF(FN103="High",FK103*$D$44*FM103,"rango cal. out")))</f>
        <v>rango cal. out</v>
      </c>
      <c r="FP103" s="1579" t="e">
        <f t="shared" si="20"/>
        <v>#VALUE!</v>
      </c>
      <c r="FQ103" s="1580"/>
      <c r="FR103" s="701"/>
      <c r="FS103" s="1581"/>
      <c r="FT103" s="1576"/>
      <c r="FU103" s="1581"/>
      <c r="FV103" s="1577" t="e">
        <f>((273.2+FQ103)*$F$33/((273.2+$F$32)*FS103))</f>
        <v>#DIV/0!</v>
      </c>
      <c r="FW103" s="1576" t="str">
        <f>IF(FN103="Low",FT103*$D$42*FV103,IF(FN103="Med",FT103*$D$43*FV103,IF(FN103="High",FT103*$D$44*FV103,"rango cal. out")))</f>
        <v>rango cal. out</v>
      </c>
      <c r="FX103" s="1581">
        <f t="shared" si="21"/>
        <v>0</v>
      </c>
      <c r="FY103" s="1582" t="e">
        <f t="shared" si="22"/>
        <v>#VALUE!</v>
      </c>
      <c r="FZ103" s="1574"/>
      <c r="GA103" s="1575"/>
      <c r="GB103" s="1575"/>
      <c r="GC103" s="1576"/>
      <c r="GD103" s="1575"/>
      <c r="GE103" s="1577" t="e">
        <f>((273.2+FZ103)*$F$33/((273.2+$F$32)*GB103))</f>
        <v>#DIV/0!</v>
      </c>
      <c r="GF103" s="1578"/>
      <c r="GG103" s="1576" t="str">
        <f>IF(GF103="Low",GC103*$D$42*GE103,IF(GF103="Med",GC103*$D$43*GE103,IF(GF103="High",GC103*$D$44*GE103,"rango cal. out")))</f>
        <v>rango cal. out</v>
      </c>
      <c r="GH103" s="1579" t="e">
        <f t="shared" si="23"/>
        <v>#VALUE!</v>
      </c>
      <c r="GI103" s="1580"/>
      <c r="GJ103" s="701"/>
      <c r="GK103" s="1581"/>
      <c r="GL103" s="1576"/>
      <c r="GM103" s="1581"/>
      <c r="GN103" s="1577" t="e">
        <f>((273.2+GI103)*$F$33/((273.2+$F$32)*GK103))</f>
        <v>#DIV/0!</v>
      </c>
      <c r="GO103" s="1576" t="str">
        <f>IF(GF103="Low",GL103*$D$42*GN103,IF(GF103="Med",GL103*$D$43*GN103,IF(GF103="High",GL103*$D$44*GN103,"rango cal. out")))</f>
        <v>rango cal. out</v>
      </c>
      <c r="GP103" s="1581">
        <f t="shared" si="24"/>
        <v>0</v>
      </c>
      <c r="GQ103" s="1582" t="e">
        <f t="shared" si="25"/>
        <v>#VALUE!</v>
      </c>
      <c r="GR103" s="1574"/>
      <c r="GS103" s="1575"/>
      <c r="GT103" s="1575"/>
      <c r="GU103" s="1576"/>
      <c r="GV103" s="1575"/>
      <c r="GW103" s="1577" t="e">
        <f>((273.2+GR103)*$F$33/((273.2+$F$32)*GT103))</f>
        <v>#DIV/0!</v>
      </c>
      <c r="GX103" s="1578"/>
      <c r="GY103" s="1576" t="str">
        <f>IF(GX103="Low",GU103*$D$42*GW103,IF(GX103="Med",GU103*$D$43*GW103,IF(GX103="High",GU103*$D$44*GW103,"rango cal. out")))</f>
        <v>rango cal. out</v>
      </c>
      <c r="GZ103" s="1579" t="e">
        <f t="shared" si="26"/>
        <v>#VALUE!</v>
      </c>
      <c r="HA103" s="1580"/>
      <c r="HB103" s="701"/>
      <c r="HC103" s="1581"/>
      <c r="HD103" s="1576"/>
      <c r="HE103" s="1581"/>
      <c r="HF103" s="1577" t="e">
        <f>((273.2+HA103)*$F$33/((273.2+$F$32)*HC103))</f>
        <v>#DIV/0!</v>
      </c>
      <c r="HG103" s="1576" t="str">
        <f>IF(GX103="Low",HD103*$D$42*HF103,IF(GX103="Med",HD103*$D$43*HF103,IF(GX103="High",HD103*$D$44*HF103,"rango cal. out")))</f>
        <v>rango cal. out</v>
      </c>
      <c r="HH103" s="1581">
        <f t="shared" si="27"/>
        <v>0</v>
      </c>
      <c r="HI103" s="1582" t="e">
        <f t="shared" si="28"/>
        <v>#VALUE!</v>
      </c>
      <c r="HJ103" s="1574"/>
      <c r="HK103" s="1575"/>
      <c r="HL103" s="1575"/>
      <c r="HM103" s="1576"/>
      <c r="HN103" s="1575"/>
      <c r="HO103" s="1577" t="e">
        <f>((273.2+HJ103)*$F$33/((273.2+$F$32)*HL103))</f>
        <v>#DIV/0!</v>
      </c>
      <c r="HP103" s="1578"/>
      <c r="HQ103" s="1576" t="str">
        <f>IF(HP103="Low",HM103*$D$42*HO103,IF(HP103="Med",HM103*$D$43*HO103,IF(HP103="High",HM103*$D$44*HO103,"rango cal. out")))</f>
        <v>rango cal. out</v>
      </c>
      <c r="HR103" s="1579" t="e">
        <f t="shared" si="29"/>
        <v>#VALUE!</v>
      </c>
      <c r="HS103" s="1580"/>
      <c r="HT103" s="701"/>
      <c r="HU103" s="1581"/>
      <c r="HV103" s="1576"/>
      <c r="HW103" s="1581"/>
      <c r="HX103" s="1577" t="e">
        <f>((273.2+HS103)*$F$33/((273.2+$F$32)*HU103))</f>
        <v>#DIV/0!</v>
      </c>
      <c r="HY103" s="1576" t="str">
        <f>IF(HP103="Low",HV103*$D$42*HX103,IF(HP103="Med",HV103*$D$43*HX103,IF(HP103="High",HV103*$D$44*HX103,"rango cal. out")))</f>
        <v>rango cal. out</v>
      </c>
      <c r="HZ103" s="1581">
        <f t="shared" si="30"/>
        <v>0</v>
      </c>
      <c r="IA103" s="1582" t="e">
        <f t="shared" si="31"/>
        <v>#VALUE!</v>
      </c>
      <c r="IB103" s="1574"/>
      <c r="IC103" s="1575"/>
      <c r="ID103" s="1575"/>
      <c r="IE103" s="1576"/>
      <c r="IF103" s="1575"/>
      <c r="IG103" s="1577" t="e">
        <f>((273.2+IB103)*$F$33/((273.2+$F$32)*ID103))</f>
        <v>#DIV/0!</v>
      </c>
      <c r="IH103" s="1578"/>
      <c r="II103" s="1576" t="str">
        <f>IF(IH103="Low",IE103*$D$42*IG103,IF(IH103="Med",IE103*$D$43*IG103,IF(IH103="High",IE103*$D$44*IG103,"rango cal. out")))</f>
        <v>rango cal. out</v>
      </c>
      <c r="IJ103" s="1579" t="e">
        <f t="shared" si="32"/>
        <v>#VALUE!</v>
      </c>
      <c r="IK103" s="1580"/>
      <c r="IL103" s="701"/>
      <c r="IM103" s="1581"/>
      <c r="IN103" s="1576"/>
      <c r="IO103" s="1581"/>
      <c r="IP103" s="1577" t="e">
        <f>((273.2+IK103)*$F$33/((273.2+$F$32)*IM103))</f>
        <v>#DIV/0!</v>
      </c>
      <c r="IQ103" s="1576" t="str">
        <f>IF(IH103="Low",IN103*$D$42*IP103,IF(IH103="Med",IN103*$D$43*IP103,IF(IH103="High",IN103*$D$44*IP103,"rango cal. out")))</f>
        <v>rango cal. out</v>
      </c>
      <c r="IR103" s="1581">
        <f t="shared" si="33"/>
        <v>0</v>
      </c>
      <c r="IS103" s="1582" t="e">
        <f t="shared" si="34"/>
        <v>#VALUE!</v>
      </c>
      <c r="IT103" s="1574"/>
      <c r="IU103" s="1575"/>
      <c r="IV103" s="1575"/>
      <c r="IW103" s="1576"/>
      <c r="IX103" s="1575"/>
      <c r="IY103" s="1577" t="e">
        <f>((273.2+IT103)*$F$33/((273.2+$F$32)*IV103))</f>
        <v>#DIV/0!</v>
      </c>
      <c r="IZ103" s="1578"/>
      <c r="JA103" s="1576" t="str">
        <f>IF(IZ103="Low",IW103*$D$42*IY103,IF(IZ103="Med",IW103*$D$43*IY103,IF(IZ103="High",IW103*$D$44*IY103,"rango cal. out")))</f>
        <v>rango cal. out</v>
      </c>
      <c r="JB103" s="1579" t="e">
        <f t="shared" si="35"/>
        <v>#VALUE!</v>
      </c>
      <c r="JC103" s="1580"/>
      <c r="JD103" s="701"/>
      <c r="JE103" s="1581"/>
      <c r="JF103" s="1576"/>
      <c r="JG103" s="1581"/>
      <c r="JH103" s="1577" t="e">
        <f>((273.2+JC103)*$F$33/((273.2+$F$32)*JE103))</f>
        <v>#DIV/0!</v>
      </c>
      <c r="JI103" s="1576" t="str">
        <f>IF(IZ103="Low",JF103*$D$42*JH103,IF(IZ103="Med",JF103*$D$43*JH103,IF(IZ103="High",JF103*$D$44*JH103,"rango cal. out")))</f>
        <v>rango cal. out</v>
      </c>
      <c r="JJ103" s="1581">
        <f t="shared" si="36"/>
        <v>0</v>
      </c>
      <c r="JK103" s="1582" t="e">
        <f t="shared" si="37"/>
        <v>#VALUE!</v>
      </c>
      <c r="JL103" s="1574"/>
      <c r="JM103" s="1575"/>
      <c r="JN103" s="1575"/>
      <c r="JO103" s="1576"/>
      <c r="JP103" s="1575"/>
      <c r="JQ103" s="1577" t="e">
        <f>((273.2+JL103)*$F$33/((273.2+$F$32)*JN103))</f>
        <v>#DIV/0!</v>
      </c>
      <c r="JR103" s="1578"/>
      <c r="JS103" s="1576" t="str">
        <f>IF(JR103="Low",JO103*$D$42*JQ103,IF(JR103="Med",JO103*$D$43*JQ103,IF(JR103="High",JO103*$D$44*JQ103,"rango cal. out")))</f>
        <v>rango cal. out</v>
      </c>
      <c r="JT103" s="1579" t="e">
        <f t="shared" si="38"/>
        <v>#VALUE!</v>
      </c>
      <c r="JU103" s="1580"/>
      <c r="JV103" s="701"/>
      <c r="JW103" s="1581"/>
      <c r="JX103" s="1576"/>
      <c r="JY103" s="1581"/>
      <c r="JZ103" s="1577" t="e">
        <f>((273.2+JU103)*$F$33/((273.2+$F$32)*JW103))</f>
        <v>#DIV/0!</v>
      </c>
      <c r="KA103" s="1576" t="str">
        <f>IF(JR103="Low",JX103*$D$42*JZ103,IF(JR103="Med",JX103*$D$43*JZ103,IF(JR103="High",JX103*$D$44*JZ103,"rango cal. out")))</f>
        <v>rango cal. out</v>
      </c>
      <c r="KB103" s="1581">
        <f t="shared" si="39"/>
        <v>0</v>
      </c>
      <c r="KC103" s="1582" t="e">
        <f t="shared" si="40"/>
        <v>#VALUE!</v>
      </c>
      <c r="KD103" s="1574"/>
      <c r="KE103" s="1575"/>
      <c r="KF103" s="1575"/>
      <c r="KG103" s="1576"/>
      <c r="KH103" s="1575"/>
      <c r="KI103" s="1577" t="e">
        <f>((273.2+KD103)*$F$33/((273.2+$F$32)*KF103))</f>
        <v>#DIV/0!</v>
      </c>
      <c r="KJ103" s="1578"/>
      <c r="KK103" s="1576" t="str">
        <f>IF(KJ103="Low",KG103*$D$42*KI103,IF(KJ103="Med",KG103*$D$43*KI103,IF(KJ103="High",KG103*$D$44*KI103,"rango cal. out")))</f>
        <v>rango cal. out</v>
      </c>
      <c r="KL103" s="1579" t="e">
        <f t="shared" si="41"/>
        <v>#VALUE!</v>
      </c>
      <c r="KM103" s="1580"/>
      <c r="KN103" s="701"/>
      <c r="KO103" s="1581"/>
      <c r="KP103" s="1576"/>
      <c r="KQ103" s="1581"/>
      <c r="KR103" s="1577" t="e">
        <f>((273.2+KM103)*$F$33/((273.2+$F$32)*KO103))</f>
        <v>#DIV/0!</v>
      </c>
      <c r="KS103" s="1576" t="str">
        <f>IF(KJ103="Low",KP103*$D$42*KR103,IF(KJ103="Med",KP103*$D$43*KR103,IF(KJ103="High",KP103*$D$44*KR103,"rango cal. out")))</f>
        <v>rango cal. out</v>
      </c>
      <c r="KT103" s="1581">
        <f t="shared" si="42"/>
        <v>0</v>
      </c>
      <c r="KU103" s="1582" t="e">
        <f t="shared" si="43"/>
        <v>#VALUE!</v>
      </c>
      <c r="KV103" s="1574"/>
      <c r="KW103" s="1575"/>
      <c r="KX103" s="1575"/>
      <c r="KY103" s="1576"/>
      <c r="KZ103" s="1575"/>
      <c r="LA103" s="1577" t="e">
        <f>((273.2+KV103)*$F$33/((273.2+$F$32)*KX103))</f>
        <v>#DIV/0!</v>
      </c>
      <c r="LB103" s="1578"/>
      <c r="LC103" s="1576" t="str">
        <f>IF(LB103="Low",KY103*$D$42*LA103,IF(LB103="Med",KY103*$D$43*LA103,IF(LB103="High",KY103*$D$44*LA103,"rango cal. out")))</f>
        <v>rango cal. out</v>
      </c>
      <c r="LD103" s="1579" t="e">
        <f t="shared" si="44"/>
        <v>#VALUE!</v>
      </c>
      <c r="LE103" s="1580"/>
      <c r="LF103" s="701"/>
      <c r="LG103" s="1581"/>
      <c r="LH103" s="1576"/>
      <c r="LI103" s="1581"/>
      <c r="LJ103" s="1577" t="e">
        <f>((273.2+LE103)*$F$33/((273.2+$F$32)*LG103))</f>
        <v>#DIV/0!</v>
      </c>
      <c r="LK103" s="1576" t="str">
        <f>IF(LB103="Low",LH103*$D$42*LJ103,IF(LB103="Med",LH103*$D$43*LJ103,IF(LB103="High",LH103*$D$44*LJ103,"rango cal. out")))</f>
        <v>rango cal. out</v>
      </c>
      <c r="LL103" s="1581">
        <f t="shared" si="45"/>
        <v>0</v>
      </c>
      <c r="LM103" s="1582" t="e">
        <f t="shared" si="46"/>
        <v>#VALUE!</v>
      </c>
      <c r="LN103" s="1574"/>
      <c r="LO103" s="1575"/>
      <c r="LP103" s="1575"/>
      <c r="LQ103" s="1576"/>
      <c r="LR103" s="1575"/>
      <c r="LS103" s="1577" t="e">
        <f>((273.2+LN103)*$F$33/((273.2+$F$32)*LP103))</f>
        <v>#DIV/0!</v>
      </c>
      <c r="LT103" s="1578"/>
      <c r="LU103" s="1576" t="str">
        <f>IF(LT103="Low",LQ103*$D$42*LS103,IF(LT103="Med",LQ103*$D$43*LS103,IF(LT103="High",LQ103*$D$44*LS103,"rango cal. out")))</f>
        <v>rango cal. out</v>
      </c>
      <c r="LV103" s="1579" t="e">
        <f t="shared" si="47"/>
        <v>#VALUE!</v>
      </c>
      <c r="LW103" s="1580"/>
      <c r="LX103" s="701"/>
      <c r="LY103" s="1581"/>
      <c r="LZ103" s="1576"/>
      <c r="MA103" s="1581"/>
      <c r="MB103" s="1577" t="e">
        <f>((273.2+LW103)*$F$33/((273.2+$F$32)*LY103))</f>
        <v>#DIV/0!</v>
      </c>
      <c r="MC103" s="1576" t="str">
        <f>IF(LT103="Low",LZ103*$D$42*MB103,IF(LT103="Med",LZ103*$D$43*MB103,IF(LT103="High",LZ103*$D$44*MB103,"rango cal. out")))</f>
        <v>rango cal. out</v>
      </c>
      <c r="MD103" s="1581">
        <f t="shared" si="48"/>
        <v>0</v>
      </c>
      <c r="ME103" s="1582" t="e">
        <f t="shared" si="49"/>
        <v>#VALUE!</v>
      </c>
      <c r="MF103" s="1574"/>
      <c r="MG103" s="1575"/>
      <c r="MH103" s="1575"/>
      <c r="MI103" s="1576"/>
      <c r="MJ103" s="1575"/>
      <c r="MK103" s="1577" t="e">
        <f>((273.2+MF103)*$F$33/((273.2+$F$32)*MH103))</f>
        <v>#DIV/0!</v>
      </c>
      <c r="ML103" s="1578"/>
      <c r="MM103" s="1576" t="str">
        <f>IF(ML103="Low",MI103*$D$42*MK103,IF(ML103="Med",MI103*$D$43*MK103,IF(ML103="High",MI103*$D$44*MK103,"rango cal. out")))</f>
        <v>rango cal. out</v>
      </c>
      <c r="MN103" s="1579" t="e">
        <f t="shared" si="50"/>
        <v>#VALUE!</v>
      </c>
      <c r="MO103" s="1580"/>
      <c r="MP103" s="701"/>
      <c r="MQ103" s="1581"/>
      <c r="MR103" s="1576"/>
      <c r="MS103" s="1581"/>
      <c r="MT103" s="1577" t="e">
        <f>((273.2+MO103)*$F$33/((273.2+$F$32)*MQ103))</f>
        <v>#DIV/0!</v>
      </c>
      <c r="MU103" s="1576" t="str">
        <f>IF(ML103="Low",MR103*$D$42*MT103,IF(ML103="Med",MR103*$D$43*MT103,IF(ML103="High",MR103*$D$44*MT103,"rango cal. out")))</f>
        <v>rango cal. out</v>
      </c>
      <c r="MV103" s="1581">
        <f t="shared" si="51"/>
        <v>0</v>
      </c>
      <c r="MW103" s="1582" t="e">
        <f t="shared" si="52"/>
        <v>#VALUE!</v>
      </c>
      <c r="MX103" s="1574"/>
      <c r="MY103" s="1575"/>
      <c r="MZ103" s="1575"/>
      <c r="NA103" s="1576"/>
      <c r="NB103" s="1575"/>
      <c r="NC103" s="1577" t="e">
        <f>((273.2+MX103)*$F$33/((273.2+$F$32)*MZ103))</f>
        <v>#DIV/0!</v>
      </c>
      <c r="ND103" s="1578"/>
      <c r="NE103" s="1576" t="str">
        <f>IF(ND103="Low",NA103*$D$42*NC103,IF(ND103="Med",NA103*$D$43*NC103,IF(ND103="High",NA103*$D$44*NC103,"rango cal. out")))</f>
        <v>rango cal. out</v>
      </c>
      <c r="NF103" s="1579" t="e">
        <f t="shared" si="53"/>
        <v>#VALUE!</v>
      </c>
      <c r="NG103" s="1580"/>
      <c r="NH103" s="701"/>
      <c r="NI103" s="1581"/>
      <c r="NJ103" s="1576"/>
      <c r="NK103" s="1581"/>
      <c r="NL103" s="1577" t="e">
        <f>((273.2+NG103)*$F$33/((273.2+$F$32)*NI103))</f>
        <v>#DIV/0!</v>
      </c>
      <c r="NM103" s="1576" t="str">
        <f>IF(ND103="Low",NJ103*$D$42*NL103,IF(ND103="Med",NJ103*$D$43*NL103,IF(ND103="High",NJ103*$D$44*NL103,"rango cal. out")))</f>
        <v>rango cal. out</v>
      </c>
      <c r="NN103" s="1581">
        <f t="shared" si="54"/>
        <v>0</v>
      </c>
      <c r="NO103" s="1579" t="e">
        <f t="shared" si="55"/>
        <v>#VALUE!</v>
      </c>
      <c r="NP103" s="2050">
        <v>20.5</v>
      </c>
      <c r="NQ103" s="2051">
        <v>53</v>
      </c>
      <c r="NR103" s="2051">
        <v>1007</v>
      </c>
      <c r="NS103" s="2052">
        <v>-5.538E-11</v>
      </c>
      <c r="NT103" s="2051">
        <v>60</v>
      </c>
      <c r="NU103" s="2053">
        <f>((273.2+NP103)*$F$33/((273.2+$F$32)*NR103))</f>
        <v>1.001093715939642</v>
      </c>
      <c r="NV103" s="2054" t="s">
        <v>268</v>
      </c>
      <c r="NW103" s="2052">
        <f>IF(NV103="Low",NS103*$D$42*NU103,IF(NV103="Med",NS103*$D$43*NU103,IF(NV103="High",NS103*$D$44*NU103,"rango cal. out")))</f>
        <v>-5.5606891698703583E-11</v>
      </c>
      <c r="NX103" s="2110">
        <f t="shared" si="56"/>
        <v>-9.2678152831172632E-13</v>
      </c>
      <c r="NY103" s="2113">
        <v>20.5</v>
      </c>
      <c r="NZ103" s="2055">
        <v>54</v>
      </c>
      <c r="OA103" s="2056">
        <v>1007</v>
      </c>
      <c r="OB103" s="2052">
        <v>-5.4740000000000003E-11</v>
      </c>
      <c r="OC103" s="2056">
        <v>180</v>
      </c>
      <c r="OD103" s="2053">
        <f>((273.2+NY103)*$F$33/((273.2+$F$32)*OA103))</f>
        <v>1.001093715939642</v>
      </c>
      <c r="OE103" s="2052">
        <f>IF(NV103="Low",OB103*$D$42*OD103,IF(NV103="Med",OB103*$D$43*OD103,IF(NV103="High",OB103*$D$44*OD103,"rango cal. out")))</f>
        <v>-5.4964269620567613E-11</v>
      </c>
      <c r="OF103" s="2056">
        <f t="shared" si="57"/>
        <v>120</v>
      </c>
      <c r="OG103" s="2057">
        <f t="shared" si="58"/>
        <v>5.3551839844664205E-15</v>
      </c>
      <c r="OH103" s="2042"/>
      <c r="OI103" s="1575"/>
      <c r="OJ103" s="1575"/>
      <c r="OK103" s="1576"/>
      <c r="OL103" s="1575"/>
      <c r="OM103" s="1577" t="e">
        <f>((273.2+OH103)*$F$33/((273.2+$F$32)*OJ103))</f>
        <v>#DIV/0!</v>
      </c>
      <c r="ON103" s="1578"/>
      <c r="OO103" s="1576" t="str">
        <f>IF(ON103="Low",OK103*$D$42*OM103,IF(ON103="Med",OK103*$D$43*OM103,IF(ON103="High",OK103*$D$44*OM103,"rango cal. out")))</f>
        <v>rango cal. out</v>
      </c>
      <c r="OP103" s="1579" t="e">
        <f t="shared" si="59"/>
        <v>#VALUE!</v>
      </c>
      <c r="OQ103" s="1580"/>
      <c r="OR103" s="701"/>
      <c r="OS103" s="1581"/>
      <c r="OT103" s="1576"/>
      <c r="OU103" s="1581"/>
      <c r="OV103" s="1577" t="e">
        <f>((273.2+OQ103)*$F$33/((273.2+$F$32)*OS103))</f>
        <v>#DIV/0!</v>
      </c>
      <c r="OW103" s="1576" t="str">
        <f>IF(ON103="Low",OT103*$D$42*OV103,IF(ON103="Med",OT103*$D$43*OV103,IF(ON103="High",OT103*$D$44*OV103,"rango cal. out")))</f>
        <v>rango cal. out</v>
      </c>
      <c r="OX103" s="1581">
        <f t="shared" si="60"/>
        <v>0</v>
      </c>
      <c r="OY103" s="1579" t="e">
        <f t="shared" si="61"/>
        <v>#VALUE!</v>
      </c>
      <c r="OZ103" s="2050">
        <v>20.399999999999999</v>
      </c>
      <c r="PA103" s="2051">
        <v>53</v>
      </c>
      <c r="PB103" s="2051">
        <v>1007</v>
      </c>
      <c r="PC103" s="2052">
        <v>-1.312E-10</v>
      </c>
      <c r="PD103" s="2051">
        <v>60</v>
      </c>
      <c r="PE103" s="2053">
        <f>((273.2+OZ103)*$F$33/((273.2+$F$32)*PB103))</f>
        <v>1.0007528600608746</v>
      </c>
      <c r="PF103" s="2054" t="s">
        <v>268</v>
      </c>
      <c r="PG103" s="2052">
        <f>IF(PF103="Low",PC103*$D$42*PE103,IF(PF103="Med",PC103*$D$43*PE103,IF(PF103="High",PC103*$D$44*PE103,"rango cal. out")))</f>
        <v>-1.3169267156570671E-10</v>
      </c>
      <c r="PH103" s="2110">
        <f>PG103/PD103</f>
        <v>-2.1948778594284453E-12</v>
      </c>
      <c r="PI103" s="2113">
        <v>20.399999999999999</v>
      </c>
      <c r="PJ103" s="2055">
        <v>54</v>
      </c>
      <c r="PK103" s="2056">
        <v>1007</v>
      </c>
      <c r="PL103" s="2052">
        <v>-1.3140000000000001E-10</v>
      </c>
      <c r="PM103" s="2056">
        <v>180</v>
      </c>
      <c r="PN103" s="2053">
        <f>((273.2+PI103)*$F$33/((273.2+$F$32)*PK103))</f>
        <v>1.0007528600608746</v>
      </c>
      <c r="PO103" s="2052">
        <f>IF(PF103="Low",PL103*$D$42*PN103,IF(PF103="Med",PL103*$D$43*PN103,IF(PF103="High",PL103*$D$44*PN103,"rango cal. out")))</f>
        <v>-1.3189342258943491E-10</v>
      </c>
      <c r="PP103" s="2056">
        <f>PM103-PD103</f>
        <v>120</v>
      </c>
      <c r="PQ103" s="2057">
        <f t="shared" si="62"/>
        <v>-1.6729251977350256E-15</v>
      </c>
      <c r="PR103" s="2042"/>
      <c r="PS103" s="1575"/>
      <c r="PT103" s="1575"/>
      <c r="PU103" s="1576"/>
      <c r="PV103" s="1575"/>
      <c r="PW103" s="1577" t="e">
        <f>((273.2+PR103)*$F$33/((273.2+$F$32)*PT103))</f>
        <v>#DIV/0!</v>
      </c>
      <c r="PX103" s="1578"/>
      <c r="PY103" s="1576" t="str">
        <f>IF(PX103="Low",PU103*$D$42*PW103,IF(PX103="Med",PU103*$D$43*PW103,IF(PX103="High",PU103*$D$44*PW103,"rango cal. out")))</f>
        <v>rango cal. out</v>
      </c>
      <c r="PZ103" s="1579" t="e">
        <f t="shared" si="63"/>
        <v>#VALUE!</v>
      </c>
      <c r="QA103" s="1580"/>
      <c r="QB103" s="701"/>
      <c r="QC103" s="1581"/>
      <c r="QD103" s="1576"/>
      <c r="QE103" s="1581"/>
      <c r="QF103" s="1577" t="e">
        <f>((273.2+QA103)*$F$33/((273.2+$F$32)*QC103))</f>
        <v>#DIV/0!</v>
      </c>
      <c r="QG103" s="1576" t="str">
        <f>IF(PX103="Low",QD103*$D$42*QF103,IF(PX103="Med",QD103*$D$43*QF103,IF(PX103="High",QD103*$D$44*QF103,"rango cal. out")))</f>
        <v>rango cal. out</v>
      </c>
      <c r="QH103" s="1581">
        <f t="shared" si="64"/>
        <v>0</v>
      </c>
      <c r="QI103" s="1582" t="e">
        <f t="shared" si="65"/>
        <v>#VALUE!</v>
      </c>
      <c r="QJ103" s="1574"/>
      <c r="QK103" s="1575"/>
      <c r="QL103" s="1575"/>
      <c r="QM103" s="1576"/>
      <c r="QN103" s="1575"/>
      <c r="QO103" s="1577" t="e">
        <f>((273.2+QJ103)*$F$33/((273.2+$F$32)*QL103))</f>
        <v>#DIV/0!</v>
      </c>
      <c r="QP103" s="1578"/>
      <c r="QQ103" s="1576" t="str">
        <f>IF(QP103="Low",QM103*$D$42*QO103,IF(QP103="Med",QM103*$D$43*QO103,IF(QP103="High",QM103*$D$44*QO103,"rango cal. out")))</f>
        <v>rango cal. out</v>
      </c>
      <c r="QR103" s="1579" t="e">
        <f t="shared" si="66"/>
        <v>#VALUE!</v>
      </c>
      <c r="QS103" s="1580"/>
      <c r="QT103" s="701"/>
      <c r="QU103" s="1581"/>
      <c r="QV103" s="1576"/>
      <c r="QW103" s="1581"/>
      <c r="QX103" s="1577" t="e">
        <f>((273.2+QS103)*$F$33/((273.2+$F$32)*QU103))</f>
        <v>#DIV/0!</v>
      </c>
      <c r="QY103" s="1576" t="str">
        <f>IF(QP103="Low",QV103*$D$42*QX103,IF(QP103="Med",QV103*$D$43*QX103,IF(QP103="High",QV103*$D$44*QX103,"rango cal. out")))</f>
        <v>rango cal. out</v>
      </c>
      <c r="QZ103" s="1581">
        <f t="shared" si="67"/>
        <v>0</v>
      </c>
      <c r="RA103" s="1582" t="e">
        <f t="shared" si="68"/>
        <v>#VALUE!</v>
      </c>
      <c r="RB103" s="1574"/>
      <c r="RC103" s="1575"/>
      <c r="RD103" s="1575"/>
      <c r="RE103" s="1576"/>
      <c r="RF103" s="1575"/>
      <c r="RG103" s="1577" t="e">
        <f>((273.2+RB103)*$F$33/((273.2+$F$32)*RD103))</f>
        <v>#DIV/0!</v>
      </c>
      <c r="RH103" s="1578"/>
      <c r="RI103" s="1576" t="str">
        <f>IF(RH103="Low",RE103*$D$42*RG103,IF(RH103="Med",RE103*$D$43*RG103,IF(RH103="High",RE103*$D$44*RG103,"rango cal. out")))</f>
        <v>rango cal. out</v>
      </c>
      <c r="RJ103" s="1579" t="e">
        <f t="shared" si="69"/>
        <v>#VALUE!</v>
      </c>
      <c r="RK103" s="1580"/>
      <c r="RL103" s="701"/>
      <c r="RM103" s="1581"/>
      <c r="RN103" s="1576"/>
      <c r="RO103" s="1581"/>
      <c r="RP103" s="1577" t="e">
        <f>((273.2+RK103)*$F$33/((273.2+$F$32)*RM103))</f>
        <v>#DIV/0!</v>
      </c>
      <c r="RQ103" s="1576" t="str">
        <f>IF(RH103="Low",RN103*$D$42*RP103,IF(RH103="Med",RN103*$D$43*RP103,IF(RH103="High",RN103*$D$44*RP103,"rango cal. out")))</f>
        <v>rango cal. out</v>
      </c>
      <c r="RR103" s="1581">
        <f t="shared" si="70"/>
        <v>0</v>
      </c>
      <c r="RS103" s="1582" t="e">
        <f t="shared" si="71"/>
        <v>#VALUE!</v>
      </c>
      <c r="RT103" s="1574"/>
      <c r="RU103" s="1575"/>
      <c r="RV103" s="1575"/>
      <c r="RW103" s="1576"/>
      <c r="RX103" s="1575"/>
      <c r="RY103" s="1577" t="e">
        <f>((273.2+RT103)*$F$33/((273.2+$F$32)*RV103))</f>
        <v>#DIV/0!</v>
      </c>
      <c r="RZ103" s="1578"/>
      <c r="SA103" s="1576" t="str">
        <f>IF(RZ103="Low",RW103*$D$42*RY103,IF(RZ103="Med",RW103*$D$43*RY103,IF(RZ103="High",RW103*$D$44*RY103,"rango cal. out")))</f>
        <v>rango cal. out</v>
      </c>
      <c r="SB103" s="1579" t="e">
        <f t="shared" si="72"/>
        <v>#VALUE!</v>
      </c>
      <c r="SC103" s="1580"/>
      <c r="SD103" s="701"/>
      <c r="SE103" s="1581"/>
      <c r="SF103" s="1576"/>
      <c r="SG103" s="1581"/>
      <c r="SH103" s="1577" t="e">
        <f>((273.2+SC103)*$F$33/((273.2+$F$32)*SE103))</f>
        <v>#DIV/0!</v>
      </c>
      <c r="SI103" s="1576" t="str">
        <f>IF(RZ103="Low",SF103*$D$42*SH103,IF(RZ103="Med",SF103*$D$43*SH103,IF(RZ103="High",SF103*$D$44*SH103,"rango cal. out")))</f>
        <v>rango cal. out</v>
      </c>
      <c r="SJ103" s="1581">
        <f t="shared" si="73"/>
        <v>0</v>
      </c>
      <c r="SK103" s="1579" t="e">
        <f t="shared" si="74"/>
        <v>#VALUE!</v>
      </c>
      <c r="SL103" s="2050">
        <v>20.5</v>
      </c>
      <c r="SM103" s="2051">
        <v>53</v>
      </c>
      <c r="SN103" s="2051">
        <v>1008</v>
      </c>
      <c r="SO103" s="2052">
        <v>-6.0599999999999996E-12</v>
      </c>
      <c r="SP103" s="2051">
        <v>60</v>
      </c>
      <c r="SQ103" s="2053">
        <f>((273.2+SL103)*$F$33/((273.2+$F$32)*SN103))</f>
        <v>1.0001005674119241</v>
      </c>
      <c r="SR103" s="2054" t="s">
        <v>268</v>
      </c>
      <c r="SS103" s="2052">
        <f>IF(SR103="Low",SO103*$D$42*SQ103,IF(SR103="Med",SO103*$D$43*SQ103,IF(SR103="High",SO103*$D$44*SQ103,"rango cal. out")))</f>
        <v>-6.0787912668318073E-12</v>
      </c>
      <c r="ST103" s="2110">
        <f t="shared" si="75"/>
        <v>-1.0131318778053012E-13</v>
      </c>
      <c r="SU103" s="2113">
        <v>20.5</v>
      </c>
      <c r="SV103" s="2055">
        <v>54</v>
      </c>
      <c r="SW103" s="2056">
        <v>1008</v>
      </c>
      <c r="SX103" s="2052">
        <v>-6.2199999999999997E-12</v>
      </c>
      <c r="SY103" s="2056">
        <v>180</v>
      </c>
      <c r="SZ103" s="2053">
        <f>((273.2+SU103)*$F$33/((273.2+$F$32)*SW103))</f>
        <v>1.0001005674119241</v>
      </c>
      <c r="TA103" s="2052">
        <f>IF(SR103="Low",SX103*$D$42*SZ103,IF(SR103="Med",SX103*$D$43*SZ103,IF(SR103="High",SX103*$D$44*SZ103,"rango cal. out")))</f>
        <v>-6.2392874058900735E-12</v>
      </c>
      <c r="TB103" s="2056">
        <f t="shared" si="76"/>
        <v>120</v>
      </c>
      <c r="TC103" s="2057">
        <f t="shared" ref="TC103" si="88">(TA103-SS103)/TB103</f>
        <v>-1.3374678254855522E-15</v>
      </c>
      <c r="TD103" s="2050">
        <v>20.5</v>
      </c>
      <c r="TE103" s="2051">
        <v>54</v>
      </c>
      <c r="TF103" s="2051">
        <v>1008</v>
      </c>
      <c r="TG103" s="2052">
        <v>-3.2990000000000002E-10</v>
      </c>
      <c r="TH103" s="2051">
        <v>60</v>
      </c>
      <c r="TI103" s="2053">
        <f>((273.2+TD103)*$F$33/((273.2+$F$32)*TF103))</f>
        <v>1.0001005674119241</v>
      </c>
      <c r="TJ103" s="2054" t="s">
        <v>268</v>
      </c>
      <c r="TK103" s="2052">
        <f>IF(TJ103="Low",TG103*$D$42*TI103,IF(TJ103="Med",TG103*$D$43*TI103,IF(TJ103="High",TG103*$D$44*TI103,"rango cal. out")))</f>
        <v>-3.3092297672076134E-10</v>
      </c>
      <c r="TL103" s="2110">
        <f t="shared" si="77"/>
        <v>-5.5153829453460221E-12</v>
      </c>
      <c r="TM103" s="2113">
        <v>20.399999999999999</v>
      </c>
      <c r="TN103" s="2055">
        <v>55</v>
      </c>
      <c r="TO103" s="2056">
        <v>1008</v>
      </c>
      <c r="TP103" s="2052">
        <v>-3.2990000000000002E-10</v>
      </c>
      <c r="TQ103" s="2056">
        <v>180</v>
      </c>
      <c r="TR103" s="2053">
        <f>((273.2+TM103)*$F$33/((273.2+$F$32)*TO103))</f>
        <v>0.99976004968383014</v>
      </c>
      <c r="TS103" s="2052">
        <f>IF(TJ103="Low",TP103*$D$42*TR103,IF(TJ103="Med",TP103*$D$43*TR103,IF(TJ103="High",TP103*$D$44*TR103,"rango cal. out")))</f>
        <v>-3.3081030291186762E-10</v>
      </c>
      <c r="TT103" s="2056">
        <f t="shared" si="78"/>
        <v>120</v>
      </c>
      <c r="TU103" s="2057">
        <f t="shared" si="79"/>
        <v>9.3894840744763196E-16</v>
      </c>
      <c r="TV103" s="2042"/>
      <c r="TW103" s="1575"/>
      <c r="TX103" s="1575"/>
      <c r="TY103" s="1576"/>
      <c r="TZ103" s="1575"/>
      <c r="UA103" s="1577" t="e">
        <f>((273.2+TV103)*$F$33/((273.2+$F$32)*TX103))</f>
        <v>#DIV/0!</v>
      </c>
      <c r="UB103" s="1578"/>
      <c r="UC103" s="1576" t="str">
        <f>IF(UB103="Low",TY103*$D$42*UA103,IF(UB103="Med",TY103*$D$43*UA103,IF(UB103="High",TY103*$D$44*UA103,"rango cal. out")))</f>
        <v>rango cal. out</v>
      </c>
      <c r="UD103" s="1579" t="e">
        <f t="shared" si="80"/>
        <v>#VALUE!</v>
      </c>
      <c r="UE103" s="1580"/>
      <c r="UF103" s="701"/>
      <c r="UG103" s="1581"/>
      <c r="UH103" s="1576"/>
      <c r="UI103" s="1581"/>
      <c r="UJ103" s="1577" t="e">
        <f>((273.2+UE103)*$F$33/((273.2+$F$32)*UG103))</f>
        <v>#DIV/0!</v>
      </c>
      <c r="UK103" s="1576" t="str">
        <f>IF(UB103="Low",UH103*$D$42*UJ103,IF(UB103="Med",UH103*$D$43*UJ103,IF(UB103="High",UH103*$D$44*UJ103,"rango cal. out")))</f>
        <v>rango cal. out</v>
      </c>
      <c r="UL103" s="1581">
        <f t="shared" si="81"/>
        <v>0</v>
      </c>
      <c r="UM103" s="1579" t="e">
        <f t="shared" si="82"/>
        <v>#VALUE!</v>
      </c>
      <c r="UN103" s="2050">
        <v>20.399999999999999</v>
      </c>
      <c r="UO103" s="2051">
        <v>55</v>
      </c>
      <c r="UP103" s="2051">
        <v>1008</v>
      </c>
      <c r="UQ103" s="2052">
        <v>-1.2729999999999999E-11</v>
      </c>
      <c r="UR103" s="2051">
        <v>60</v>
      </c>
      <c r="US103" s="2053">
        <f>((273.2+UN103)*$F$33/((273.2+$F$32)*UP103))</f>
        <v>0.99976004968383014</v>
      </c>
      <c r="UT103" s="2054" t="s">
        <v>268</v>
      </c>
      <c r="UU103" s="2052">
        <f>IF(UT103="Low",UQ103*$D$42*US103,IF(UT103="Med",UQ103*$D$43*US103,IF(UT103="High",UQ103*$D$44*US103,"rango cal. out")))</f>
        <v>-1.276512626877258E-11</v>
      </c>
      <c r="UV103" s="2110">
        <f t="shared" si="83"/>
        <v>-2.1275210447954302E-13</v>
      </c>
      <c r="UW103" s="2113">
        <v>20.5</v>
      </c>
      <c r="UX103" s="2055">
        <v>55</v>
      </c>
      <c r="UY103" s="2056">
        <v>1008</v>
      </c>
      <c r="UZ103" s="2052">
        <v>-1.275E-11</v>
      </c>
      <c r="VA103" s="2056">
        <v>180</v>
      </c>
      <c r="VB103" s="2053">
        <f>((273.2+UW103)*$F$33/((273.2+$F$32)*UY103))</f>
        <v>1.0001005674119241</v>
      </c>
      <c r="VC103" s="2052">
        <f>IF(UT103="Low",UZ103*$D$42*VB103,IF(UT103="Med",UZ103*$D$43*VB103,IF(UT103="High",UZ103*$D$44*VB103,"rango cal. out")))</f>
        <v>-1.2789536081205536E-11</v>
      </c>
      <c r="VD103" s="2056">
        <f t="shared" si="84"/>
        <v>120</v>
      </c>
      <c r="VE103" s="2057">
        <f t="shared" si="85"/>
        <v>-2.0341510360796454E-16</v>
      </c>
    </row>
    <row r="104" spans="1:577" ht="15.75" thickBot="1" x14ac:dyDescent="0.3">
      <c r="A104" s="2114"/>
      <c r="N104" s="642"/>
      <c r="S104" s="642"/>
    </row>
    <row r="105" spans="1:577" ht="15.75" customHeight="1" thickBot="1" x14ac:dyDescent="0.3">
      <c r="A105" s="2119" t="s">
        <v>1225</v>
      </c>
      <c r="B105" s="2213" t="s">
        <v>24</v>
      </c>
      <c r="C105" s="2214"/>
      <c r="D105" s="2214"/>
      <c r="E105" s="2214"/>
      <c r="F105" s="2214"/>
      <c r="G105" s="2214"/>
      <c r="H105" s="2214"/>
      <c r="I105" s="2214"/>
      <c r="J105" s="2214"/>
      <c r="K105" s="2214"/>
      <c r="L105" s="2214"/>
      <c r="M105" s="2214"/>
      <c r="N105" s="2214"/>
      <c r="O105" s="2214"/>
      <c r="P105" s="2214"/>
      <c r="Q105" s="2214"/>
      <c r="R105" s="2214"/>
      <c r="S105" s="2215"/>
      <c r="T105" s="2207" t="s">
        <v>25</v>
      </c>
      <c r="U105" s="2208"/>
      <c r="V105" s="2208"/>
      <c r="W105" s="2208"/>
      <c r="X105" s="2208"/>
      <c r="Y105" s="2208"/>
      <c r="Z105" s="2208"/>
      <c r="AA105" s="2208"/>
      <c r="AB105" s="2208"/>
      <c r="AC105" s="2208"/>
      <c r="AD105" s="2208"/>
      <c r="AE105" s="2208"/>
      <c r="AF105" s="2208"/>
      <c r="AG105" s="2208"/>
      <c r="AH105" s="2208"/>
      <c r="AI105" s="2208"/>
      <c r="AJ105" s="2208"/>
      <c r="AK105" s="2209"/>
      <c r="AL105" s="2207" t="s">
        <v>26</v>
      </c>
      <c r="AM105" s="2208"/>
      <c r="AN105" s="2208"/>
      <c r="AO105" s="2208"/>
      <c r="AP105" s="2208"/>
      <c r="AQ105" s="2208"/>
      <c r="AR105" s="2208"/>
      <c r="AS105" s="2208"/>
      <c r="AT105" s="2208"/>
      <c r="AU105" s="2208"/>
      <c r="AV105" s="2208"/>
      <c r="AW105" s="2208"/>
      <c r="AX105" s="2208"/>
      <c r="AY105" s="2208"/>
      <c r="AZ105" s="2208"/>
      <c r="BA105" s="2208"/>
      <c r="BB105" s="2208"/>
      <c r="BC105" s="2209"/>
      <c r="BD105" s="2210" t="s">
        <v>27</v>
      </c>
      <c r="BE105" s="2211"/>
      <c r="BF105" s="2211"/>
      <c r="BG105" s="2211"/>
      <c r="BH105" s="2211"/>
      <c r="BI105" s="2211"/>
      <c r="BJ105" s="2211"/>
      <c r="BK105" s="2211"/>
      <c r="BL105" s="2211"/>
      <c r="BM105" s="2211"/>
      <c r="BN105" s="2211"/>
      <c r="BO105" s="2211"/>
      <c r="BP105" s="2211"/>
      <c r="BQ105" s="2211"/>
      <c r="BR105" s="2211"/>
      <c r="BS105" s="2211"/>
      <c r="BT105" s="2211"/>
      <c r="BU105" s="2212"/>
      <c r="BV105" s="2210" t="s">
        <v>28</v>
      </c>
      <c r="BW105" s="2211"/>
      <c r="BX105" s="2211"/>
      <c r="BY105" s="2211"/>
      <c r="BZ105" s="2211"/>
      <c r="CA105" s="2211"/>
      <c r="CB105" s="2211"/>
      <c r="CC105" s="2211"/>
      <c r="CD105" s="2211"/>
      <c r="CE105" s="2211"/>
      <c r="CF105" s="2211"/>
      <c r="CG105" s="2211"/>
      <c r="CH105" s="2211"/>
      <c r="CI105" s="2211"/>
      <c r="CJ105" s="2211"/>
      <c r="CK105" s="2211"/>
      <c r="CL105" s="2211"/>
      <c r="CM105" s="2212"/>
      <c r="CN105" s="2210" t="s">
        <v>29</v>
      </c>
      <c r="CO105" s="2211"/>
      <c r="CP105" s="2211"/>
      <c r="CQ105" s="2211"/>
      <c r="CR105" s="2211"/>
      <c r="CS105" s="2211"/>
      <c r="CT105" s="2211"/>
      <c r="CU105" s="2211"/>
      <c r="CV105" s="2211"/>
      <c r="CW105" s="2211"/>
      <c r="CX105" s="2211"/>
      <c r="CY105" s="2211"/>
      <c r="CZ105" s="2211"/>
      <c r="DA105" s="2211"/>
      <c r="DB105" s="2211"/>
      <c r="DC105" s="2211"/>
      <c r="DD105" s="2211"/>
      <c r="DE105" s="2212"/>
      <c r="DF105" s="2207" t="s">
        <v>30</v>
      </c>
      <c r="DG105" s="2208"/>
      <c r="DH105" s="2208"/>
      <c r="DI105" s="2208"/>
      <c r="DJ105" s="2208"/>
      <c r="DK105" s="2208"/>
      <c r="DL105" s="2208"/>
      <c r="DM105" s="2208"/>
      <c r="DN105" s="2208"/>
      <c r="DO105" s="2208"/>
      <c r="DP105" s="2208"/>
      <c r="DQ105" s="2208"/>
      <c r="DR105" s="2208"/>
      <c r="DS105" s="2208"/>
      <c r="DT105" s="2208"/>
      <c r="DU105" s="2208"/>
      <c r="DV105" s="2208"/>
      <c r="DW105" s="2209"/>
      <c r="DX105" s="2207" t="s">
        <v>31</v>
      </c>
      <c r="DY105" s="2208"/>
      <c r="DZ105" s="2208"/>
      <c r="EA105" s="2208"/>
      <c r="EB105" s="2208"/>
      <c r="EC105" s="2208"/>
      <c r="ED105" s="2208"/>
      <c r="EE105" s="2208"/>
      <c r="EF105" s="2208"/>
      <c r="EG105" s="2208"/>
      <c r="EH105" s="2208"/>
      <c r="EI105" s="2208"/>
      <c r="EJ105" s="2208"/>
      <c r="EK105" s="2208"/>
      <c r="EL105" s="2208"/>
      <c r="EM105" s="2208"/>
      <c r="EN105" s="2208"/>
      <c r="EO105" s="2209"/>
      <c r="EP105" s="2210" t="s">
        <v>32</v>
      </c>
      <c r="EQ105" s="2211"/>
      <c r="ER105" s="2211"/>
      <c r="ES105" s="2211"/>
      <c r="ET105" s="2211"/>
      <c r="EU105" s="2211"/>
      <c r="EV105" s="2211"/>
      <c r="EW105" s="2211"/>
      <c r="EX105" s="2211"/>
      <c r="EY105" s="2211"/>
      <c r="EZ105" s="2211"/>
      <c r="FA105" s="2211"/>
      <c r="FB105" s="2211"/>
      <c r="FC105" s="2211"/>
      <c r="FD105" s="2211"/>
      <c r="FE105" s="2211"/>
      <c r="FF105" s="2211"/>
      <c r="FG105" s="2212"/>
      <c r="FH105" s="2207" t="s">
        <v>33</v>
      </c>
      <c r="FI105" s="2208"/>
      <c r="FJ105" s="2208"/>
      <c r="FK105" s="2208"/>
      <c r="FL105" s="2208"/>
      <c r="FM105" s="2208"/>
      <c r="FN105" s="2208"/>
      <c r="FO105" s="2208"/>
      <c r="FP105" s="2208"/>
      <c r="FQ105" s="2208"/>
      <c r="FR105" s="2208"/>
      <c r="FS105" s="2208"/>
      <c r="FT105" s="2208"/>
      <c r="FU105" s="2208"/>
      <c r="FV105" s="2208"/>
      <c r="FW105" s="2208"/>
      <c r="FX105" s="2208"/>
      <c r="FY105" s="2209"/>
      <c r="FZ105" s="2207" t="s">
        <v>34</v>
      </c>
      <c r="GA105" s="2208"/>
      <c r="GB105" s="2208"/>
      <c r="GC105" s="2208"/>
      <c r="GD105" s="2208"/>
      <c r="GE105" s="2208"/>
      <c r="GF105" s="2208"/>
      <c r="GG105" s="2208"/>
      <c r="GH105" s="2208"/>
      <c r="GI105" s="2208"/>
      <c r="GJ105" s="2208"/>
      <c r="GK105" s="2208"/>
      <c r="GL105" s="2208"/>
      <c r="GM105" s="2208"/>
      <c r="GN105" s="2208"/>
      <c r="GO105" s="2208"/>
      <c r="GP105" s="2208"/>
      <c r="GQ105" s="2209"/>
      <c r="GR105" s="2207" t="s">
        <v>35</v>
      </c>
      <c r="GS105" s="2208"/>
      <c r="GT105" s="2208"/>
      <c r="GU105" s="2208"/>
      <c r="GV105" s="2208"/>
      <c r="GW105" s="2208"/>
      <c r="GX105" s="2208"/>
      <c r="GY105" s="2208"/>
      <c r="GZ105" s="2208"/>
      <c r="HA105" s="2208"/>
      <c r="HB105" s="2208"/>
      <c r="HC105" s="2208"/>
      <c r="HD105" s="2208"/>
      <c r="HE105" s="2208"/>
      <c r="HF105" s="2208"/>
      <c r="HG105" s="2208"/>
      <c r="HH105" s="2208"/>
      <c r="HI105" s="2209"/>
      <c r="HJ105" s="2207" t="s">
        <v>36</v>
      </c>
      <c r="HK105" s="2208"/>
      <c r="HL105" s="2208"/>
      <c r="HM105" s="2208"/>
      <c r="HN105" s="2208"/>
      <c r="HO105" s="2208"/>
      <c r="HP105" s="2208"/>
      <c r="HQ105" s="2208"/>
      <c r="HR105" s="2208"/>
      <c r="HS105" s="2208"/>
      <c r="HT105" s="2208"/>
      <c r="HU105" s="2208"/>
      <c r="HV105" s="2208"/>
      <c r="HW105" s="2208"/>
      <c r="HX105" s="2208"/>
      <c r="HY105" s="2208"/>
      <c r="HZ105" s="2208"/>
      <c r="IA105" s="2209"/>
      <c r="IB105" s="2207" t="s">
        <v>37</v>
      </c>
      <c r="IC105" s="2208"/>
      <c r="ID105" s="2208"/>
      <c r="IE105" s="2208"/>
      <c r="IF105" s="2208"/>
      <c r="IG105" s="2208"/>
      <c r="IH105" s="2208"/>
      <c r="II105" s="2208"/>
      <c r="IJ105" s="2208"/>
      <c r="IK105" s="2208"/>
      <c r="IL105" s="2208"/>
      <c r="IM105" s="2208"/>
      <c r="IN105" s="2208"/>
      <c r="IO105" s="2208"/>
      <c r="IP105" s="2208"/>
      <c r="IQ105" s="2208"/>
      <c r="IR105" s="2208"/>
      <c r="IS105" s="2209"/>
      <c r="IT105" s="2207" t="s">
        <v>38</v>
      </c>
      <c r="IU105" s="2208"/>
      <c r="IV105" s="2208"/>
      <c r="IW105" s="2208"/>
      <c r="IX105" s="2208"/>
      <c r="IY105" s="2208"/>
      <c r="IZ105" s="2208"/>
      <c r="JA105" s="2208"/>
      <c r="JB105" s="2208"/>
      <c r="JC105" s="2208"/>
      <c r="JD105" s="2208"/>
      <c r="JE105" s="2208"/>
      <c r="JF105" s="2208"/>
      <c r="JG105" s="2208"/>
      <c r="JH105" s="2208"/>
      <c r="JI105" s="2208"/>
      <c r="JJ105" s="2208"/>
      <c r="JK105" s="2209"/>
      <c r="JL105" s="2207" t="s">
        <v>39</v>
      </c>
      <c r="JM105" s="2208"/>
      <c r="JN105" s="2208"/>
      <c r="JO105" s="2208"/>
      <c r="JP105" s="2208"/>
      <c r="JQ105" s="2208"/>
      <c r="JR105" s="2208"/>
      <c r="JS105" s="2208"/>
      <c r="JT105" s="2208"/>
      <c r="JU105" s="2208"/>
      <c r="JV105" s="2208"/>
      <c r="JW105" s="2208"/>
      <c r="JX105" s="2208"/>
      <c r="JY105" s="2208"/>
      <c r="JZ105" s="2208"/>
      <c r="KA105" s="2208"/>
      <c r="KB105" s="2208"/>
      <c r="KC105" s="2209"/>
      <c r="KD105" s="2207" t="s">
        <v>40</v>
      </c>
      <c r="KE105" s="2208"/>
      <c r="KF105" s="2208"/>
      <c r="KG105" s="2208"/>
      <c r="KH105" s="2208"/>
      <c r="KI105" s="2208"/>
      <c r="KJ105" s="2208"/>
      <c r="KK105" s="2208"/>
      <c r="KL105" s="2208"/>
      <c r="KM105" s="2208"/>
      <c r="KN105" s="2208"/>
      <c r="KO105" s="2208"/>
      <c r="KP105" s="2208"/>
      <c r="KQ105" s="2208"/>
      <c r="KR105" s="2208"/>
      <c r="KS105" s="2208"/>
      <c r="KT105" s="2208"/>
      <c r="KU105" s="2209"/>
      <c r="KV105" s="2207" t="s">
        <v>41</v>
      </c>
      <c r="KW105" s="2208"/>
      <c r="KX105" s="2208"/>
      <c r="KY105" s="2208"/>
      <c r="KZ105" s="2208"/>
      <c r="LA105" s="2208"/>
      <c r="LB105" s="2208"/>
      <c r="LC105" s="2208"/>
      <c r="LD105" s="2208"/>
      <c r="LE105" s="2208"/>
      <c r="LF105" s="2208"/>
      <c r="LG105" s="2208"/>
      <c r="LH105" s="2208"/>
      <c r="LI105" s="2208"/>
      <c r="LJ105" s="2208"/>
      <c r="LK105" s="2208"/>
      <c r="LL105" s="2208"/>
      <c r="LM105" s="2209"/>
      <c r="LN105" s="2207" t="s">
        <v>42</v>
      </c>
      <c r="LO105" s="2208"/>
      <c r="LP105" s="2208"/>
      <c r="LQ105" s="2208"/>
      <c r="LR105" s="2208"/>
      <c r="LS105" s="2208"/>
      <c r="LT105" s="2208"/>
      <c r="LU105" s="2208"/>
      <c r="LV105" s="2208"/>
      <c r="LW105" s="2208"/>
      <c r="LX105" s="2208"/>
      <c r="LY105" s="2208"/>
      <c r="LZ105" s="2208"/>
      <c r="MA105" s="2208"/>
      <c r="MB105" s="2208"/>
      <c r="MC105" s="2208"/>
      <c r="MD105" s="2208"/>
      <c r="ME105" s="2209"/>
      <c r="MF105" s="2207" t="s">
        <v>43</v>
      </c>
      <c r="MG105" s="2208"/>
      <c r="MH105" s="2208"/>
      <c r="MI105" s="2208"/>
      <c r="MJ105" s="2208"/>
      <c r="MK105" s="2208"/>
      <c r="ML105" s="2208"/>
      <c r="MM105" s="2208"/>
      <c r="MN105" s="2208"/>
      <c r="MO105" s="2208"/>
      <c r="MP105" s="2208"/>
      <c r="MQ105" s="2208"/>
      <c r="MR105" s="2208"/>
      <c r="MS105" s="2208"/>
      <c r="MT105" s="2208"/>
      <c r="MU105" s="2208"/>
      <c r="MV105" s="2208"/>
      <c r="MW105" s="2209"/>
      <c r="MX105" s="2207" t="s">
        <v>44</v>
      </c>
      <c r="MY105" s="2208"/>
      <c r="MZ105" s="2208"/>
      <c r="NA105" s="2208"/>
      <c r="NB105" s="2208"/>
      <c r="NC105" s="2208"/>
      <c r="ND105" s="2208"/>
      <c r="NE105" s="2208"/>
      <c r="NF105" s="2208"/>
      <c r="NG105" s="2208"/>
      <c r="NH105" s="2208"/>
      <c r="NI105" s="2208"/>
      <c r="NJ105" s="2208"/>
      <c r="NK105" s="2208"/>
      <c r="NL105" s="2208"/>
      <c r="NM105" s="2208"/>
      <c r="NN105" s="2208"/>
      <c r="NO105" s="2209"/>
      <c r="NP105" s="2210" t="s">
        <v>45</v>
      </c>
      <c r="NQ105" s="2211"/>
      <c r="NR105" s="2211"/>
      <c r="NS105" s="2211"/>
      <c r="NT105" s="2211"/>
      <c r="NU105" s="2211"/>
      <c r="NV105" s="2211"/>
      <c r="NW105" s="2211"/>
      <c r="NX105" s="2211"/>
      <c r="NY105" s="2211"/>
      <c r="NZ105" s="2211"/>
      <c r="OA105" s="2211"/>
      <c r="OB105" s="2211"/>
      <c r="OC105" s="2211"/>
      <c r="OD105" s="2211"/>
      <c r="OE105" s="2211"/>
      <c r="OF105" s="2211"/>
      <c r="OG105" s="2212"/>
      <c r="OH105" s="2207" t="s">
        <v>46</v>
      </c>
      <c r="OI105" s="2208"/>
      <c r="OJ105" s="2208"/>
      <c r="OK105" s="2208"/>
      <c r="OL105" s="2208"/>
      <c r="OM105" s="2208"/>
      <c r="ON105" s="2208"/>
      <c r="OO105" s="2208"/>
      <c r="OP105" s="2208"/>
      <c r="OQ105" s="2208"/>
      <c r="OR105" s="2208"/>
      <c r="OS105" s="2208"/>
      <c r="OT105" s="2208"/>
      <c r="OU105" s="2208"/>
      <c r="OV105" s="2208"/>
      <c r="OW105" s="2208"/>
      <c r="OX105" s="2208"/>
      <c r="OY105" s="2209"/>
      <c r="OZ105" s="2210" t="s">
        <v>47</v>
      </c>
      <c r="PA105" s="2211"/>
      <c r="PB105" s="2211"/>
      <c r="PC105" s="2211"/>
      <c r="PD105" s="2211"/>
      <c r="PE105" s="2211"/>
      <c r="PF105" s="2211"/>
      <c r="PG105" s="2211"/>
      <c r="PH105" s="2211"/>
      <c r="PI105" s="2211"/>
      <c r="PJ105" s="2211"/>
      <c r="PK105" s="2211"/>
      <c r="PL105" s="2211"/>
      <c r="PM105" s="2211"/>
      <c r="PN105" s="2211"/>
      <c r="PO105" s="2211"/>
      <c r="PP105" s="2211"/>
      <c r="PQ105" s="2212"/>
      <c r="PR105" s="2207" t="s">
        <v>48</v>
      </c>
      <c r="PS105" s="2208"/>
      <c r="PT105" s="2208"/>
      <c r="PU105" s="2208"/>
      <c r="PV105" s="2208"/>
      <c r="PW105" s="2208"/>
      <c r="PX105" s="2208"/>
      <c r="PY105" s="2208"/>
      <c r="PZ105" s="2208"/>
      <c r="QA105" s="2208"/>
      <c r="QB105" s="2208"/>
      <c r="QC105" s="2208"/>
      <c r="QD105" s="2208"/>
      <c r="QE105" s="2208"/>
      <c r="QF105" s="2208"/>
      <c r="QG105" s="2208"/>
      <c r="QH105" s="2208"/>
      <c r="QI105" s="2209"/>
      <c r="QJ105" s="2207" t="s">
        <v>49</v>
      </c>
      <c r="QK105" s="2208"/>
      <c r="QL105" s="2208"/>
      <c r="QM105" s="2208"/>
      <c r="QN105" s="2208"/>
      <c r="QO105" s="2208"/>
      <c r="QP105" s="2208"/>
      <c r="QQ105" s="2208"/>
      <c r="QR105" s="2208"/>
      <c r="QS105" s="2208"/>
      <c r="QT105" s="2208"/>
      <c r="QU105" s="2208"/>
      <c r="QV105" s="2208"/>
      <c r="QW105" s="2208"/>
      <c r="QX105" s="2208"/>
      <c r="QY105" s="2208"/>
      <c r="QZ105" s="2208"/>
      <c r="RA105" s="2209"/>
      <c r="RB105" s="2207" t="s">
        <v>50</v>
      </c>
      <c r="RC105" s="2208"/>
      <c r="RD105" s="2208"/>
      <c r="RE105" s="2208"/>
      <c r="RF105" s="2208"/>
      <c r="RG105" s="2208"/>
      <c r="RH105" s="2208"/>
      <c r="RI105" s="2208"/>
      <c r="RJ105" s="2208"/>
      <c r="RK105" s="2208"/>
      <c r="RL105" s="2208"/>
      <c r="RM105" s="2208"/>
      <c r="RN105" s="2208"/>
      <c r="RO105" s="2208"/>
      <c r="RP105" s="2208"/>
      <c r="RQ105" s="2208"/>
      <c r="RR105" s="2208"/>
      <c r="RS105" s="2209"/>
      <c r="RT105" s="2207" t="s">
        <v>51</v>
      </c>
      <c r="RU105" s="2208"/>
      <c r="RV105" s="2208"/>
      <c r="RW105" s="2208"/>
      <c r="RX105" s="2208"/>
      <c r="RY105" s="2208"/>
      <c r="RZ105" s="2208"/>
      <c r="SA105" s="2208"/>
      <c r="SB105" s="2208"/>
      <c r="SC105" s="2208"/>
      <c r="SD105" s="2208"/>
      <c r="SE105" s="2208"/>
      <c r="SF105" s="2208"/>
      <c r="SG105" s="2208"/>
      <c r="SH105" s="2208"/>
      <c r="SI105" s="2208"/>
      <c r="SJ105" s="2208"/>
      <c r="SK105" s="2209"/>
      <c r="SL105" s="2210" t="s">
        <v>52</v>
      </c>
      <c r="SM105" s="2211"/>
      <c r="SN105" s="2211"/>
      <c r="SO105" s="2211"/>
      <c r="SP105" s="2211"/>
      <c r="SQ105" s="2211"/>
      <c r="SR105" s="2211"/>
      <c r="SS105" s="2211"/>
      <c r="ST105" s="2211"/>
      <c r="SU105" s="2211"/>
      <c r="SV105" s="2211"/>
      <c r="SW105" s="2211"/>
      <c r="SX105" s="2211"/>
      <c r="SY105" s="2211"/>
      <c r="SZ105" s="2211"/>
      <c r="TA105" s="2211"/>
      <c r="TB105" s="2211"/>
      <c r="TC105" s="2212"/>
      <c r="TD105" s="2210" t="s">
        <v>53</v>
      </c>
      <c r="TE105" s="2211"/>
      <c r="TF105" s="2211"/>
      <c r="TG105" s="2211"/>
      <c r="TH105" s="2211"/>
      <c r="TI105" s="2211"/>
      <c r="TJ105" s="2211"/>
      <c r="TK105" s="2211"/>
      <c r="TL105" s="2211"/>
      <c r="TM105" s="2211"/>
      <c r="TN105" s="2211"/>
      <c r="TO105" s="2211"/>
      <c r="TP105" s="2211"/>
      <c r="TQ105" s="2211"/>
      <c r="TR105" s="2211"/>
      <c r="TS105" s="2211"/>
      <c r="TT105" s="2211"/>
      <c r="TU105" s="2212"/>
      <c r="TV105" s="2207" t="s">
        <v>54</v>
      </c>
      <c r="TW105" s="2208"/>
      <c r="TX105" s="2208"/>
      <c r="TY105" s="2208"/>
      <c r="TZ105" s="2208"/>
      <c r="UA105" s="2208"/>
      <c r="UB105" s="2208"/>
      <c r="UC105" s="2208"/>
      <c r="UD105" s="2208"/>
      <c r="UE105" s="2208"/>
      <c r="UF105" s="2208"/>
      <c r="UG105" s="2208"/>
      <c r="UH105" s="2208"/>
      <c r="UI105" s="2208"/>
      <c r="UJ105" s="2208"/>
      <c r="UK105" s="2208"/>
      <c r="UL105" s="2208"/>
      <c r="UM105" s="2209"/>
      <c r="UN105" s="2210" t="s">
        <v>55</v>
      </c>
      <c r="UO105" s="2211"/>
      <c r="UP105" s="2211"/>
      <c r="UQ105" s="2211"/>
      <c r="UR105" s="2211"/>
      <c r="US105" s="2211"/>
      <c r="UT105" s="2211"/>
      <c r="UU105" s="2211"/>
      <c r="UV105" s="2211"/>
      <c r="UW105" s="2211"/>
      <c r="UX105" s="2211"/>
      <c r="UY105" s="2211"/>
      <c r="UZ105" s="2211"/>
      <c r="VA105" s="2211"/>
      <c r="VB105" s="2211"/>
      <c r="VC105" s="2211"/>
      <c r="VD105" s="2211"/>
      <c r="VE105" s="2212"/>
    </row>
    <row r="106" spans="1:577" ht="30.75" thickBot="1" x14ac:dyDescent="0.3">
      <c r="A106" s="643" t="s">
        <v>56</v>
      </c>
      <c r="B106" s="644" t="s">
        <v>57</v>
      </c>
      <c r="C106" s="645" t="s">
        <v>58</v>
      </c>
      <c r="D106" s="645" t="s">
        <v>59</v>
      </c>
      <c r="E106" s="646" t="s">
        <v>264</v>
      </c>
      <c r="F106" s="645" t="s">
        <v>91</v>
      </c>
      <c r="G106" s="645" t="s">
        <v>92</v>
      </c>
      <c r="H106" s="99" t="s">
        <v>1085</v>
      </c>
      <c r="I106" s="2171" t="s">
        <v>263</v>
      </c>
      <c r="J106" s="645" t="s">
        <v>60</v>
      </c>
      <c r="K106" s="646" t="s">
        <v>274</v>
      </c>
      <c r="L106" s="645" t="s">
        <v>94</v>
      </c>
      <c r="M106" s="645" t="s">
        <v>7</v>
      </c>
      <c r="N106" s="99" t="s">
        <v>1084</v>
      </c>
      <c r="O106" s="2171" t="s">
        <v>119</v>
      </c>
      <c r="P106" s="645" t="s">
        <v>97</v>
      </c>
      <c r="Q106" s="99" t="s">
        <v>1046</v>
      </c>
      <c r="R106" s="645" t="s">
        <v>95</v>
      </c>
      <c r="S106" s="647" t="s">
        <v>96</v>
      </c>
      <c r="T106" s="648" t="s">
        <v>57</v>
      </c>
      <c r="U106" s="645" t="s">
        <v>58</v>
      </c>
      <c r="V106" s="645" t="s">
        <v>59</v>
      </c>
      <c r="W106" s="646" t="s">
        <v>264</v>
      </c>
      <c r="X106" s="645" t="s">
        <v>91</v>
      </c>
      <c r="Y106" s="645" t="s">
        <v>92</v>
      </c>
      <c r="Z106" s="99" t="s">
        <v>1085</v>
      </c>
      <c r="AA106" s="645" t="s">
        <v>263</v>
      </c>
      <c r="AB106" s="645" t="s">
        <v>60</v>
      </c>
      <c r="AC106" s="646" t="s">
        <v>274</v>
      </c>
      <c r="AD106" s="645" t="s">
        <v>94</v>
      </c>
      <c r="AE106" s="645" t="s">
        <v>7</v>
      </c>
      <c r="AF106" s="99" t="s">
        <v>1084</v>
      </c>
      <c r="AG106" s="645" t="s">
        <v>119</v>
      </c>
      <c r="AH106" s="645" t="s">
        <v>97</v>
      </c>
      <c r="AI106" s="99" t="s">
        <v>1046</v>
      </c>
      <c r="AJ106" s="645" t="s">
        <v>95</v>
      </c>
      <c r="AK106" s="647" t="s">
        <v>96</v>
      </c>
      <c r="AL106" s="644" t="s">
        <v>57</v>
      </c>
      <c r="AM106" s="645" t="s">
        <v>58</v>
      </c>
      <c r="AN106" s="645" t="s">
        <v>59</v>
      </c>
      <c r="AO106" s="646" t="s">
        <v>264</v>
      </c>
      <c r="AP106" s="645" t="s">
        <v>91</v>
      </c>
      <c r="AQ106" s="645" t="s">
        <v>92</v>
      </c>
      <c r="AR106" s="99" t="s">
        <v>1085</v>
      </c>
      <c r="AS106" s="645" t="s">
        <v>263</v>
      </c>
      <c r="AT106" s="645" t="s">
        <v>60</v>
      </c>
      <c r="AU106" s="646" t="s">
        <v>274</v>
      </c>
      <c r="AV106" s="645" t="s">
        <v>94</v>
      </c>
      <c r="AW106" s="645" t="s">
        <v>7</v>
      </c>
      <c r="AX106" s="646" t="s">
        <v>8</v>
      </c>
      <c r="AY106" s="645" t="s">
        <v>119</v>
      </c>
      <c r="AZ106" s="645" t="s">
        <v>97</v>
      </c>
      <c r="BA106" s="99" t="s">
        <v>1046</v>
      </c>
      <c r="BB106" s="645" t="s">
        <v>95</v>
      </c>
      <c r="BC106" s="647" t="s">
        <v>96</v>
      </c>
      <c r="BD106" s="644" t="s">
        <v>57</v>
      </c>
      <c r="BE106" s="645" t="s">
        <v>58</v>
      </c>
      <c r="BF106" s="645" t="s">
        <v>59</v>
      </c>
      <c r="BG106" s="646" t="s">
        <v>264</v>
      </c>
      <c r="BH106" s="645" t="s">
        <v>91</v>
      </c>
      <c r="BI106" s="645" t="s">
        <v>92</v>
      </c>
      <c r="BJ106" s="99" t="s">
        <v>1085</v>
      </c>
      <c r="BK106" s="645" t="s">
        <v>263</v>
      </c>
      <c r="BL106" s="645" t="s">
        <v>60</v>
      </c>
      <c r="BM106" s="646" t="s">
        <v>274</v>
      </c>
      <c r="BN106" s="99" t="s">
        <v>94</v>
      </c>
      <c r="BO106" s="645" t="s">
        <v>7</v>
      </c>
      <c r="BP106" s="646" t="s">
        <v>8</v>
      </c>
      <c r="BQ106" s="645" t="s">
        <v>119</v>
      </c>
      <c r="BR106" s="645" t="s">
        <v>97</v>
      </c>
      <c r="BS106" s="99" t="s">
        <v>1046</v>
      </c>
      <c r="BT106" s="645" t="s">
        <v>95</v>
      </c>
      <c r="BU106" s="647" t="s">
        <v>96</v>
      </c>
      <c r="BV106" s="644" t="s">
        <v>57</v>
      </c>
      <c r="BW106" s="645" t="s">
        <v>58</v>
      </c>
      <c r="BX106" s="645" t="s">
        <v>59</v>
      </c>
      <c r="BY106" s="646" t="s">
        <v>264</v>
      </c>
      <c r="BZ106" s="645" t="s">
        <v>91</v>
      </c>
      <c r="CA106" s="645" t="s">
        <v>92</v>
      </c>
      <c r="CB106" s="99" t="s">
        <v>1085</v>
      </c>
      <c r="CC106" s="645" t="s">
        <v>263</v>
      </c>
      <c r="CD106" s="645" t="s">
        <v>60</v>
      </c>
      <c r="CE106" s="646" t="s">
        <v>274</v>
      </c>
      <c r="CF106" s="645" t="s">
        <v>94</v>
      </c>
      <c r="CG106" s="645" t="s">
        <v>7</v>
      </c>
      <c r="CH106" s="646" t="s">
        <v>8</v>
      </c>
      <c r="CI106" s="645" t="s">
        <v>119</v>
      </c>
      <c r="CJ106" s="645" t="s">
        <v>97</v>
      </c>
      <c r="CK106" s="99" t="s">
        <v>1046</v>
      </c>
      <c r="CL106" s="645" t="s">
        <v>95</v>
      </c>
      <c r="CM106" s="647" t="s">
        <v>96</v>
      </c>
      <c r="CN106" s="644" t="s">
        <v>57</v>
      </c>
      <c r="CO106" s="645" t="s">
        <v>58</v>
      </c>
      <c r="CP106" s="645" t="s">
        <v>59</v>
      </c>
      <c r="CQ106" s="646" t="s">
        <v>264</v>
      </c>
      <c r="CR106" s="645" t="s">
        <v>91</v>
      </c>
      <c r="CS106" s="645" t="s">
        <v>92</v>
      </c>
      <c r="CT106" s="99" t="s">
        <v>1085</v>
      </c>
      <c r="CU106" s="645" t="s">
        <v>263</v>
      </c>
      <c r="CV106" s="645" t="s">
        <v>60</v>
      </c>
      <c r="CW106" s="646" t="s">
        <v>274</v>
      </c>
      <c r="CX106" s="645" t="s">
        <v>94</v>
      </c>
      <c r="CY106" s="645" t="s">
        <v>7</v>
      </c>
      <c r="CZ106" s="646" t="s">
        <v>8</v>
      </c>
      <c r="DA106" s="645" t="s">
        <v>119</v>
      </c>
      <c r="DB106" s="645" t="s">
        <v>97</v>
      </c>
      <c r="DC106" s="99" t="s">
        <v>1046</v>
      </c>
      <c r="DD106" s="645" t="s">
        <v>95</v>
      </c>
      <c r="DE106" s="647" t="s">
        <v>96</v>
      </c>
      <c r="DF106" s="644" t="s">
        <v>57</v>
      </c>
      <c r="DG106" s="645" t="s">
        <v>58</v>
      </c>
      <c r="DH106" s="645" t="s">
        <v>59</v>
      </c>
      <c r="DI106" s="646" t="s">
        <v>264</v>
      </c>
      <c r="DJ106" s="645" t="s">
        <v>91</v>
      </c>
      <c r="DK106" s="645" t="s">
        <v>92</v>
      </c>
      <c r="DL106" s="99" t="s">
        <v>1085</v>
      </c>
      <c r="DM106" s="645" t="s">
        <v>263</v>
      </c>
      <c r="DN106" s="645" t="s">
        <v>60</v>
      </c>
      <c r="DO106" s="646" t="s">
        <v>274</v>
      </c>
      <c r="DP106" s="645" t="s">
        <v>94</v>
      </c>
      <c r="DQ106" s="645" t="s">
        <v>7</v>
      </c>
      <c r="DR106" s="646" t="s">
        <v>8</v>
      </c>
      <c r="DS106" s="645" t="s">
        <v>119</v>
      </c>
      <c r="DT106" s="645" t="s">
        <v>97</v>
      </c>
      <c r="DU106" s="99" t="s">
        <v>1046</v>
      </c>
      <c r="DV106" s="645" t="s">
        <v>95</v>
      </c>
      <c r="DW106" s="647" t="s">
        <v>96</v>
      </c>
      <c r="DX106" s="644" t="s">
        <v>57</v>
      </c>
      <c r="DY106" s="645" t="s">
        <v>58</v>
      </c>
      <c r="DZ106" s="645" t="s">
        <v>59</v>
      </c>
      <c r="EA106" s="646" t="s">
        <v>264</v>
      </c>
      <c r="EB106" s="645" t="s">
        <v>91</v>
      </c>
      <c r="EC106" s="645" t="s">
        <v>92</v>
      </c>
      <c r="ED106" s="99" t="s">
        <v>1085</v>
      </c>
      <c r="EE106" s="645" t="s">
        <v>263</v>
      </c>
      <c r="EF106" s="645" t="s">
        <v>60</v>
      </c>
      <c r="EG106" s="646" t="s">
        <v>274</v>
      </c>
      <c r="EH106" s="645" t="s">
        <v>94</v>
      </c>
      <c r="EI106" s="645" t="s">
        <v>7</v>
      </c>
      <c r="EJ106" s="646" t="s">
        <v>8</v>
      </c>
      <c r="EK106" s="645" t="s">
        <v>119</v>
      </c>
      <c r="EL106" s="645" t="s">
        <v>97</v>
      </c>
      <c r="EM106" s="99" t="s">
        <v>1046</v>
      </c>
      <c r="EN106" s="645" t="s">
        <v>95</v>
      </c>
      <c r="EO106" s="647" t="s">
        <v>96</v>
      </c>
      <c r="EP106" s="644" t="s">
        <v>57</v>
      </c>
      <c r="EQ106" s="645" t="s">
        <v>58</v>
      </c>
      <c r="ER106" s="645" t="s">
        <v>59</v>
      </c>
      <c r="ES106" s="646" t="s">
        <v>264</v>
      </c>
      <c r="ET106" s="645" t="s">
        <v>91</v>
      </c>
      <c r="EU106" s="645" t="s">
        <v>92</v>
      </c>
      <c r="EV106" s="99" t="s">
        <v>1085</v>
      </c>
      <c r="EW106" s="645" t="s">
        <v>263</v>
      </c>
      <c r="EX106" s="645" t="s">
        <v>60</v>
      </c>
      <c r="EY106" s="646" t="s">
        <v>274</v>
      </c>
      <c r="EZ106" s="645" t="s">
        <v>94</v>
      </c>
      <c r="FA106" s="645" t="s">
        <v>7</v>
      </c>
      <c r="FB106" s="646" t="s">
        <v>8</v>
      </c>
      <c r="FC106" s="645" t="s">
        <v>119</v>
      </c>
      <c r="FD106" s="645" t="s">
        <v>97</v>
      </c>
      <c r="FE106" s="99" t="s">
        <v>1046</v>
      </c>
      <c r="FF106" s="645" t="s">
        <v>95</v>
      </c>
      <c r="FG106" s="647" t="s">
        <v>96</v>
      </c>
      <c r="FH106" s="644" t="s">
        <v>57</v>
      </c>
      <c r="FI106" s="645" t="s">
        <v>58</v>
      </c>
      <c r="FJ106" s="645" t="s">
        <v>59</v>
      </c>
      <c r="FK106" s="646" t="s">
        <v>264</v>
      </c>
      <c r="FL106" s="645" t="s">
        <v>91</v>
      </c>
      <c r="FM106" s="645" t="s">
        <v>92</v>
      </c>
      <c r="FN106" s="99" t="s">
        <v>1085</v>
      </c>
      <c r="FO106" s="645" t="s">
        <v>263</v>
      </c>
      <c r="FP106" s="645" t="s">
        <v>60</v>
      </c>
      <c r="FQ106" s="646" t="s">
        <v>274</v>
      </c>
      <c r="FR106" s="645" t="s">
        <v>94</v>
      </c>
      <c r="FS106" s="645" t="s">
        <v>7</v>
      </c>
      <c r="FT106" s="646" t="s">
        <v>8</v>
      </c>
      <c r="FU106" s="645" t="s">
        <v>119</v>
      </c>
      <c r="FV106" s="645" t="s">
        <v>97</v>
      </c>
      <c r="FW106" s="99" t="s">
        <v>1046</v>
      </c>
      <c r="FX106" s="645" t="s">
        <v>95</v>
      </c>
      <c r="FY106" s="647" t="s">
        <v>96</v>
      </c>
      <c r="FZ106" s="644" t="s">
        <v>57</v>
      </c>
      <c r="GA106" s="645" t="s">
        <v>58</v>
      </c>
      <c r="GB106" s="645" t="s">
        <v>59</v>
      </c>
      <c r="GC106" s="646" t="s">
        <v>264</v>
      </c>
      <c r="GD106" s="645" t="s">
        <v>91</v>
      </c>
      <c r="GE106" s="645" t="s">
        <v>92</v>
      </c>
      <c r="GF106" s="99" t="s">
        <v>1085</v>
      </c>
      <c r="GG106" s="645" t="s">
        <v>263</v>
      </c>
      <c r="GH106" s="645" t="s">
        <v>60</v>
      </c>
      <c r="GI106" s="646" t="s">
        <v>274</v>
      </c>
      <c r="GJ106" s="645" t="s">
        <v>94</v>
      </c>
      <c r="GK106" s="645" t="s">
        <v>7</v>
      </c>
      <c r="GL106" s="646" t="s">
        <v>8</v>
      </c>
      <c r="GM106" s="645" t="s">
        <v>119</v>
      </c>
      <c r="GN106" s="645" t="s">
        <v>97</v>
      </c>
      <c r="GO106" s="99" t="s">
        <v>1046</v>
      </c>
      <c r="GP106" s="645" t="s">
        <v>95</v>
      </c>
      <c r="GQ106" s="647" t="s">
        <v>96</v>
      </c>
      <c r="GR106" s="644" t="s">
        <v>57</v>
      </c>
      <c r="GS106" s="645" t="s">
        <v>58</v>
      </c>
      <c r="GT106" s="645" t="s">
        <v>59</v>
      </c>
      <c r="GU106" s="646" t="s">
        <v>264</v>
      </c>
      <c r="GV106" s="645" t="s">
        <v>91</v>
      </c>
      <c r="GW106" s="645" t="s">
        <v>92</v>
      </c>
      <c r="GX106" s="99" t="s">
        <v>1085</v>
      </c>
      <c r="GY106" s="645" t="s">
        <v>263</v>
      </c>
      <c r="GZ106" s="645" t="s">
        <v>60</v>
      </c>
      <c r="HA106" s="646" t="s">
        <v>274</v>
      </c>
      <c r="HB106" s="645" t="s">
        <v>94</v>
      </c>
      <c r="HC106" s="645" t="s">
        <v>7</v>
      </c>
      <c r="HD106" s="646" t="s">
        <v>8</v>
      </c>
      <c r="HE106" s="645" t="s">
        <v>119</v>
      </c>
      <c r="HF106" s="645" t="s">
        <v>97</v>
      </c>
      <c r="HG106" s="99" t="s">
        <v>1046</v>
      </c>
      <c r="HH106" s="645" t="s">
        <v>95</v>
      </c>
      <c r="HI106" s="647" t="s">
        <v>96</v>
      </c>
      <c r="HJ106" s="644" t="s">
        <v>57</v>
      </c>
      <c r="HK106" s="645" t="s">
        <v>58</v>
      </c>
      <c r="HL106" s="645" t="s">
        <v>59</v>
      </c>
      <c r="HM106" s="646" t="s">
        <v>264</v>
      </c>
      <c r="HN106" s="645" t="s">
        <v>91</v>
      </c>
      <c r="HO106" s="645" t="s">
        <v>92</v>
      </c>
      <c r="HP106" s="99" t="s">
        <v>1085</v>
      </c>
      <c r="HQ106" s="645" t="s">
        <v>263</v>
      </c>
      <c r="HR106" s="645" t="s">
        <v>60</v>
      </c>
      <c r="HS106" s="646" t="s">
        <v>274</v>
      </c>
      <c r="HT106" s="645" t="s">
        <v>94</v>
      </c>
      <c r="HU106" s="645" t="s">
        <v>7</v>
      </c>
      <c r="HV106" s="646" t="s">
        <v>8</v>
      </c>
      <c r="HW106" s="645" t="s">
        <v>119</v>
      </c>
      <c r="HX106" s="645" t="s">
        <v>97</v>
      </c>
      <c r="HY106" s="99" t="s">
        <v>1046</v>
      </c>
      <c r="HZ106" s="645" t="s">
        <v>95</v>
      </c>
      <c r="IA106" s="647" t="s">
        <v>96</v>
      </c>
      <c r="IB106" s="644" t="s">
        <v>57</v>
      </c>
      <c r="IC106" s="645" t="s">
        <v>58</v>
      </c>
      <c r="ID106" s="645" t="s">
        <v>59</v>
      </c>
      <c r="IE106" s="646" t="s">
        <v>264</v>
      </c>
      <c r="IF106" s="645" t="s">
        <v>91</v>
      </c>
      <c r="IG106" s="645" t="s">
        <v>92</v>
      </c>
      <c r="IH106" s="99" t="s">
        <v>1085</v>
      </c>
      <c r="II106" s="645" t="s">
        <v>263</v>
      </c>
      <c r="IJ106" s="645" t="s">
        <v>60</v>
      </c>
      <c r="IK106" s="646" t="s">
        <v>274</v>
      </c>
      <c r="IL106" s="645" t="s">
        <v>94</v>
      </c>
      <c r="IM106" s="645" t="s">
        <v>7</v>
      </c>
      <c r="IN106" s="646" t="s">
        <v>8</v>
      </c>
      <c r="IO106" s="645" t="s">
        <v>119</v>
      </c>
      <c r="IP106" s="645" t="s">
        <v>97</v>
      </c>
      <c r="IQ106" s="99" t="s">
        <v>1046</v>
      </c>
      <c r="IR106" s="645" t="s">
        <v>95</v>
      </c>
      <c r="IS106" s="647" t="s">
        <v>96</v>
      </c>
      <c r="IT106" s="644" t="s">
        <v>57</v>
      </c>
      <c r="IU106" s="645" t="s">
        <v>58</v>
      </c>
      <c r="IV106" s="645" t="s">
        <v>59</v>
      </c>
      <c r="IW106" s="646" t="s">
        <v>264</v>
      </c>
      <c r="IX106" s="645" t="s">
        <v>91</v>
      </c>
      <c r="IY106" s="645" t="s">
        <v>92</v>
      </c>
      <c r="IZ106" s="99" t="s">
        <v>1085</v>
      </c>
      <c r="JA106" s="645" t="s">
        <v>263</v>
      </c>
      <c r="JB106" s="645" t="s">
        <v>60</v>
      </c>
      <c r="JC106" s="646" t="s">
        <v>274</v>
      </c>
      <c r="JD106" s="645" t="s">
        <v>94</v>
      </c>
      <c r="JE106" s="645" t="s">
        <v>7</v>
      </c>
      <c r="JF106" s="646" t="s">
        <v>8</v>
      </c>
      <c r="JG106" s="645" t="s">
        <v>119</v>
      </c>
      <c r="JH106" s="645" t="s">
        <v>97</v>
      </c>
      <c r="JI106" s="99" t="s">
        <v>1046</v>
      </c>
      <c r="JJ106" s="645" t="s">
        <v>95</v>
      </c>
      <c r="JK106" s="647" t="s">
        <v>96</v>
      </c>
      <c r="JL106" s="644" t="s">
        <v>57</v>
      </c>
      <c r="JM106" s="645" t="s">
        <v>58</v>
      </c>
      <c r="JN106" s="645" t="s">
        <v>59</v>
      </c>
      <c r="JO106" s="646" t="s">
        <v>264</v>
      </c>
      <c r="JP106" s="645" t="s">
        <v>91</v>
      </c>
      <c r="JQ106" s="645" t="s">
        <v>92</v>
      </c>
      <c r="JR106" s="99" t="s">
        <v>1085</v>
      </c>
      <c r="JS106" s="645" t="s">
        <v>263</v>
      </c>
      <c r="JT106" s="645" t="s">
        <v>60</v>
      </c>
      <c r="JU106" s="646" t="s">
        <v>274</v>
      </c>
      <c r="JV106" s="645" t="s">
        <v>94</v>
      </c>
      <c r="JW106" s="645" t="s">
        <v>7</v>
      </c>
      <c r="JX106" s="646" t="s">
        <v>8</v>
      </c>
      <c r="JY106" s="645" t="s">
        <v>119</v>
      </c>
      <c r="JZ106" s="645" t="s">
        <v>97</v>
      </c>
      <c r="KA106" s="99" t="s">
        <v>1046</v>
      </c>
      <c r="KB106" s="645" t="s">
        <v>95</v>
      </c>
      <c r="KC106" s="647" t="s">
        <v>96</v>
      </c>
      <c r="KD106" s="644" t="s">
        <v>57</v>
      </c>
      <c r="KE106" s="645" t="s">
        <v>58</v>
      </c>
      <c r="KF106" s="645" t="s">
        <v>59</v>
      </c>
      <c r="KG106" s="646" t="s">
        <v>264</v>
      </c>
      <c r="KH106" s="645" t="s">
        <v>91</v>
      </c>
      <c r="KI106" s="645" t="s">
        <v>92</v>
      </c>
      <c r="KJ106" s="99" t="s">
        <v>1085</v>
      </c>
      <c r="KK106" s="645" t="s">
        <v>263</v>
      </c>
      <c r="KL106" s="645" t="s">
        <v>60</v>
      </c>
      <c r="KM106" s="646" t="s">
        <v>274</v>
      </c>
      <c r="KN106" s="645" t="s">
        <v>94</v>
      </c>
      <c r="KO106" s="645" t="s">
        <v>7</v>
      </c>
      <c r="KP106" s="646" t="s">
        <v>8</v>
      </c>
      <c r="KQ106" s="645" t="s">
        <v>119</v>
      </c>
      <c r="KR106" s="645" t="s">
        <v>97</v>
      </c>
      <c r="KS106" s="99" t="s">
        <v>1046</v>
      </c>
      <c r="KT106" s="645" t="s">
        <v>95</v>
      </c>
      <c r="KU106" s="647" t="s">
        <v>96</v>
      </c>
      <c r="KV106" s="644" t="s">
        <v>57</v>
      </c>
      <c r="KW106" s="645" t="s">
        <v>58</v>
      </c>
      <c r="KX106" s="645" t="s">
        <v>59</v>
      </c>
      <c r="KY106" s="646" t="s">
        <v>264</v>
      </c>
      <c r="KZ106" s="645" t="s">
        <v>91</v>
      </c>
      <c r="LA106" s="645" t="s">
        <v>92</v>
      </c>
      <c r="LB106" s="99" t="s">
        <v>1085</v>
      </c>
      <c r="LC106" s="645" t="s">
        <v>263</v>
      </c>
      <c r="LD106" s="645" t="s">
        <v>60</v>
      </c>
      <c r="LE106" s="646" t="s">
        <v>274</v>
      </c>
      <c r="LF106" s="645" t="s">
        <v>94</v>
      </c>
      <c r="LG106" s="645" t="s">
        <v>7</v>
      </c>
      <c r="LH106" s="646" t="s">
        <v>8</v>
      </c>
      <c r="LI106" s="645" t="s">
        <v>119</v>
      </c>
      <c r="LJ106" s="645" t="s">
        <v>97</v>
      </c>
      <c r="LK106" s="99" t="s">
        <v>1046</v>
      </c>
      <c r="LL106" s="645" t="s">
        <v>95</v>
      </c>
      <c r="LM106" s="647" t="s">
        <v>96</v>
      </c>
      <c r="LN106" s="644" t="s">
        <v>57</v>
      </c>
      <c r="LO106" s="645" t="s">
        <v>58</v>
      </c>
      <c r="LP106" s="645" t="s">
        <v>59</v>
      </c>
      <c r="LQ106" s="646" t="s">
        <v>264</v>
      </c>
      <c r="LR106" s="645" t="s">
        <v>91</v>
      </c>
      <c r="LS106" s="645" t="s">
        <v>92</v>
      </c>
      <c r="LT106" s="99" t="s">
        <v>1085</v>
      </c>
      <c r="LU106" s="645" t="s">
        <v>263</v>
      </c>
      <c r="LV106" s="645" t="s">
        <v>60</v>
      </c>
      <c r="LW106" s="646" t="s">
        <v>274</v>
      </c>
      <c r="LX106" s="645" t="s">
        <v>94</v>
      </c>
      <c r="LY106" s="645" t="s">
        <v>7</v>
      </c>
      <c r="LZ106" s="646" t="s">
        <v>8</v>
      </c>
      <c r="MA106" s="645" t="s">
        <v>119</v>
      </c>
      <c r="MB106" s="645" t="s">
        <v>97</v>
      </c>
      <c r="MC106" s="99" t="s">
        <v>1046</v>
      </c>
      <c r="MD106" s="645" t="s">
        <v>95</v>
      </c>
      <c r="ME106" s="647" t="s">
        <v>96</v>
      </c>
      <c r="MF106" s="644" t="s">
        <v>57</v>
      </c>
      <c r="MG106" s="645" t="s">
        <v>58</v>
      </c>
      <c r="MH106" s="645" t="s">
        <v>59</v>
      </c>
      <c r="MI106" s="646" t="s">
        <v>264</v>
      </c>
      <c r="MJ106" s="645" t="s">
        <v>91</v>
      </c>
      <c r="MK106" s="645" t="s">
        <v>92</v>
      </c>
      <c r="ML106" s="99" t="s">
        <v>1085</v>
      </c>
      <c r="MM106" s="645" t="s">
        <v>263</v>
      </c>
      <c r="MN106" s="645" t="s">
        <v>60</v>
      </c>
      <c r="MO106" s="646" t="s">
        <v>274</v>
      </c>
      <c r="MP106" s="645" t="s">
        <v>94</v>
      </c>
      <c r="MQ106" s="645" t="s">
        <v>7</v>
      </c>
      <c r="MR106" s="646" t="s">
        <v>8</v>
      </c>
      <c r="MS106" s="645" t="s">
        <v>119</v>
      </c>
      <c r="MT106" s="645" t="s">
        <v>97</v>
      </c>
      <c r="MU106" s="99" t="s">
        <v>1046</v>
      </c>
      <c r="MV106" s="645" t="s">
        <v>95</v>
      </c>
      <c r="MW106" s="647" t="s">
        <v>96</v>
      </c>
      <c r="MX106" s="644" t="s">
        <v>57</v>
      </c>
      <c r="MY106" s="645" t="s">
        <v>58</v>
      </c>
      <c r="MZ106" s="645" t="s">
        <v>59</v>
      </c>
      <c r="NA106" s="646" t="s">
        <v>264</v>
      </c>
      <c r="NB106" s="645" t="s">
        <v>91</v>
      </c>
      <c r="NC106" s="645" t="s">
        <v>92</v>
      </c>
      <c r="ND106" s="99" t="s">
        <v>1085</v>
      </c>
      <c r="NE106" s="645" t="s">
        <v>263</v>
      </c>
      <c r="NF106" s="645" t="s">
        <v>60</v>
      </c>
      <c r="NG106" s="646" t="s">
        <v>274</v>
      </c>
      <c r="NH106" s="645" t="s">
        <v>94</v>
      </c>
      <c r="NI106" s="645" t="s">
        <v>7</v>
      </c>
      <c r="NJ106" s="646" t="s">
        <v>8</v>
      </c>
      <c r="NK106" s="645" t="s">
        <v>119</v>
      </c>
      <c r="NL106" s="645" t="s">
        <v>97</v>
      </c>
      <c r="NM106" s="99" t="s">
        <v>1046</v>
      </c>
      <c r="NN106" s="645" t="s">
        <v>95</v>
      </c>
      <c r="NO106" s="647" t="s">
        <v>96</v>
      </c>
      <c r="NP106" s="644" t="s">
        <v>57</v>
      </c>
      <c r="NQ106" s="645" t="s">
        <v>58</v>
      </c>
      <c r="NR106" s="645" t="s">
        <v>59</v>
      </c>
      <c r="NS106" s="646" t="s">
        <v>264</v>
      </c>
      <c r="NT106" s="645" t="s">
        <v>91</v>
      </c>
      <c r="NU106" s="645" t="s">
        <v>92</v>
      </c>
      <c r="NV106" s="99" t="s">
        <v>1085</v>
      </c>
      <c r="NW106" s="645" t="s">
        <v>263</v>
      </c>
      <c r="NX106" s="645" t="s">
        <v>60</v>
      </c>
      <c r="NY106" s="646" t="s">
        <v>274</v>
      </c>
      <c r="NZ106" s="645" t="s">
        <v>94</v>
      </c>
      <c r="OA106" s="645" t="s">
        <v>7</v>
      </c>
      <c r="OB106" s="646" t="s">
        <v>8</v>
      </c>
      <c r="OC106" s="645" t="s">
        <v>119</v>
      </c>
      <c r="OD106" s="645" t="s">
        <v>97</v>
      </c>
      <c r="OE106" s="99" t="s">
        <v>1046</v>
      </c>
      <c r="OF106" s="645" t="s">
        <v>95</v>
      </c>
      <c r="OG106" s="647" t="s">
        <v>96</v>
      </c>
      <c r="OH106" s="644" t="s">
        <v>57</v>
      </c>
      <c r="OI106" s="645" t="s">
        <v>58</v>
      </c>
      <c r="OJ106" s="646" t="s">
        <v>59</v>
      </c>
      <c r="OK106" s="646" t="s">
        <v>264</v>
      </c>
      <c r="OL106" s="645" t="s">
        <v>91</v>
      </c>
      <c r="OM106" s="645" t="s">
        <v>92</v>
      </c>
      <c r="ON106" s="99" t="s">
        <v>1085</v>
      </c>
      <c r="OO106" s="645" t="s">
        <v>263</v>
      </c>
      <c r="OP106" s="645" t="s">
        <v>60</v>
      </c>
      <c r="OQ106" s="646" t="s">
        <v>274</v>
      </c>
      <c r="OR106" s="645" t="s">
        <v>94</v>
      </c>
      <c r="OS106" s="645" t="s">
        <v>7</v>
      </c>
      <c r="OT106" s="646" t="s">
        <v>8</v>
      </c>
      <c r="OU106" s="645" t="s">
        <v>119</v>
      </c>
      <c r="OV106" s="645" t="s">
        <v>97</v>
      </c>
      <c r="OW106" s="99" t="s">
        <v>1046</v>
      </c>
      <c r="OX106" s="645" t="s">
        <v>95</v>
      </c>
      <c r="OY106" s="647" t="s">
        <v>96</v>
      </c>
      <c r="OZ106" s="644" t="s">
        <v>57</v>
      </c>
      <c r="PA106" s="645" t="s">
        <v>58</v>
      </c>
      <c r="PB106" s="646" t="s">
        <v>59</v>
      </c>
      <c r="PC106" s="646" t="s">
        <v>264</v>
      </c>
      <c r="PD106" s="645" t="s">
        <v>91</v>
      </c>
      <c r="PE106" s="645" t="s">
        <v>92</v>
      </c>
      <c r="PF106" s="99" t="s">
        <v>1085</v>
      </c>
      <c r="PG106" s="645" t="s">
        <v>263</v>
      </c>
      <c r="PH106" s="645" t="s">
        <v>60</v>
      </c>
      <c r="PI106" s="646" t="s">
        <v>274</v>
      </c>
      <c r="PJ106" s="645" t="s">
        <v>94</v>
      </c>
      <c r="PK106" s="645" t="s">
        <v>7</v>
      </c>
      <c r="PL106" s="646" t="s">
        <v>8</v>
      </c>
      <c r="PM106" s="645" t="s">
        <v>119</v>
      </c>
      <c r="PN106" s="645" t="s">
        <v>97</v>
      </c>
      <c r="PO106" s="99" t="s">
        <v>1046</v>
      </c>
      <c r="PP106" s="645" t="s">
        <v>95</v>
      </c>
      <c r="PQ106" s="647" t="s">
        <v>96</v>
      </c>
      <c r="PR106" s="644" t="s">
        <v>57</v>
      </c>
      <c r="PS106" s="645" t="s">
        <v>58</v>
      </c>
      <c r="PT106" s="646" t="s">
        <v>59</v>
      </c>
      <c r="PU106" s="646" t="s">
        <v>264</v>
      </c>
      <c r="PV106" s="645" t="s">
        <v>91</v>
      </c>
      <c r="PW106" s="645" t="s">
        <v>92</v>
      </c>
      <c r="PX106" s="99" t="s">
        <v>1085</v>
      </c>
      <c r="PY106" s="645" t="s">
        <v>263</v>
      </c>
      <c r="PZ106" s="645" t="s">
        <v>60</v>
      </c>
      <c r="QA106" s="646" t="s">
        <v>274</v>
      </c>
      <c r="QB106" s="645" t="s">
        <v>94</v>
      </c>
      <c r="QC106" s="645" t="s">
        <v>7</v>
      </c>
      <c r="QD106" s="646" t="s">
        <v>8</v>
      </c>
      <c r="QE106" s="645" t="s">
        <v>119</v>
      </c>
      <c r="QF106" s="645" t="s">
        <v>97</v>
      </c>
      <c r="QG106" s="99" t="s">
        <v>1046</v>
      </c>
      <c r="QH106" s="645" t="s">
        <v>95</v>
      </c>
      <c r="QI106" s="647" t="s">
        <v>96</v>
      </c>
      <c r="QJ106" s="644" t="s">
        <v>57</v>
      </c>
      <c r="QK106" s="645" t="s">
        <v>58</v>
      </c>
      <c r="QL106" s="646" t="s">
        <v>59</v>
      </c>
      <c r="QM106" s="646" t="s">
        <v>264</v>
      </c>
      <c r="QN106" s="645" t="s">
        <v>91</v>
      </c>
      <c r="QO106" s="645" t="s">
        <v>92</v>
      </c>
      <c r="QP106" s="99" t="s">
        <v>1085</v>
      </c>
      <c r="QQ106" s="645" t="s">
        <v>263</v>
      </c>
      <c r="QR106" s="645" t="s">
        <v>60</v>
      </c>
      <c r="QS106" s="646" t="s">
        <v>274</v>
      </c>
      <c r="QT106" s="645" t="s">
        <v>94</v>
      </c>
      <c r="QU106" s="645" t="s">
        <v>7</v>
      </c>
      <c r="QV106" s="646" t="s">
        <v>8</v>
      </c>
      <c r="QW106" s="645" t="s">
        <v>119</v>
      </c>
      <c r="QX106" s="645" t="s">
        <v>97</v>
      </c>
      <c r="QY106" s="99" t="s">
        <v>1046</v>
      </c>
      <c r="QZ106" s="645" t="s">
        <v>95</v>
      </c>
      <c r="RA106" s="647" t="s">
        <v>96</v>
      </c>
      <c r="RB106" s="644" t="s">
        <v>57</v>
      </c>
      <c r="RC106" s="645" t="s">
        <v>58</v>
      </c>
      <c r="RD106" s="646" t="s">
        <v>59</v>
      </c>
      <c r="RE106" s="646" t="s">
        <v>264</v>
      </c>
      <c r="RF106" s="645" t="s">
        <v>91</v>
      </c>
      <c r="RG106" s="645" t="s">
        <v>92</v>
      </c>
      <c r="RH106" s="99" t="s">
        <v>1085</v>
      </c>
      <c r="RI106" s="645" t="s">
        <v>263</v>
      </c>
      <c r="RJ106" s="645" t="s">
        <v>60</v>
      </c>
      <c r="RK106" s="646" t="s">
        <v>274</v>
      </c>
      <c r="RL106" s="645" t="s">
        <v>94</v>
      </c>
      <c r="RM106" s="645" t="s">
        <v>7</v>
      </c>
      <c r="RN106" s="646" t="s">
        <v>8</v>
      </c>
      <c r="RO106" s="645" t="s">
        <v>119</v>
      </c>
      <c r="RP106" s="645" t="s">
        <v>97</v>
      </c>
      <c r="RQ106" s="99" t="s">
        <v>1046</v>
      </c>
      <c r="RR106" s="645" t="s">
        <v>95</v>
      </c>
      <c r="RS106" s="647" t="s">
        <v>96</v>
      </c>
      <c r="RT106" s="644" t="s">
        <v>57</v>
      </c>
      <c r="RU106" s="645" t="s">
        <v>58</v>
      </c>
      <c r="RV106" s="646" t="s">
        <v>59</v>
      </c>
      <c r="RW106" s="646" t="s">
        <v>264</v>
      </c>
      <c r="RX106" s="645" t="s">
        <v>91</v>
      </c>
      <c r="RY106" s="645" t="s">
        <v>92</v>
      </c>
      <c r="RZ106" s="99" t="s">
        <v>1085</v>
      </c>
      <c r="SA106" s="645" t="s">
        <v>263</v>
      </c>
      <c r="SB106" s="645" t="s">
        <v>60</v>
      </c>
      <c r="SC106" s="646" t="s">
        <v>274</v>
      </c>
      <c r="SD106" s="645" t="s">
        <v>94</v>
      </c>
      <c r="SE106" s="645" t="s">
        <v>7</v>
      </c>
      <c r="SF106" s="646" t="s">
        <v>8</v>
      </c>
      <c r="SG106" s="645" t="s">
        <v>119</v>
      </c>
      <c r="SH106" s="645" t="s">
        <v>97</v>
      </c>
      <c r="SI106" s="99" t="s">
        <v>1046</v>
      </c>
      <c r="SJ106" s="645" t="s">
        <v>95</v>
      </c>
      <c r="SK106" s="647" t="s">
        <v>96</v>
      </c>
      <c r="SL106" s="644" t="s">
        <v>57</v>
      </c>
      <c r="SM106" s="645" t="s">
        <v>58</v>
      </c>
      <c r="SN106" s="646" t="s">
        <v>59</v>
      </c>
      <c r="SO106" s="646" t="s">
        <v>264</v>
      </c>
      <c r="SP106" s="645" t="s">
        <v>91</v>
      </c>
      <c r="SQ106" s="645" t="s">
        <v>92</v>
      </c>
      <c r="SR106" s="99" t="s">
        <v>1085</v>
      </c>
      <c r="SS106" s="645" t="s">
        <v>263</v>
      </c>
      <c r="ST106" s="645" t="s">
        <v>60</v>
      </c>
      <c r="SU106" s="646" t="s">
        <v>274</v>
      </c>
      <c r="SV106" s="645" t="s">
        <v>94</v>
      </c>
      <c r="SW106" s="645" t="s">
        <v>7</v>
      </c>
      <c r="SX106" s="646" t="s">
        <v>8</v>
      </c>
      <c r="SY106" s="645" t="s">
        <v>119</v>
      </c>
      <c r="SZ106" s="645" t="s">
        <v>97</v>
      </c>
      <c r="TA106" s="99" t="s">
        <v>1046</v>
      </c>
      <c r="TB106" s="645" t="s">
        <v>95</v>
      </c>
      <c r="TC106" s="647" t="s">
        <v>96</v>
      </c>
      <c r="TD106" s="644" t="s">
        <v>57</v>
      </c>
      <c r="TE106" s="645" t="s">
        <v>58</v>
      </c>
      <c r="TF106" s="646" t="s">
        <v>59</v>
      </c>
      <c r="TG106" s="646" t="s">
        <v>264</v>
      </c>
      <c r="TH106" s="645" t="s">
        <v>91</v>
      </c>
      <c r="TI106" s="645" t="s">
        <v>92</v>
      </c>
      <c r="TJ106" s="99" t="s">
        <v>1085</v>
      </c>
      <c r="TK106" s="645" t="s">
        <v>263</v>
      </c>
      <c r="TL106" s="645" t="s">
        <v>60</v>
      </c>
      <c r="TM106" s="646" t="s">
        <v>274</v>
      </c>
      <c r="TN106" s="645" t="s">
        <v>94</v>
      </c>
      <c r="TO106" s="645" t="s">
        <v>7</v>
      </c>
      <c r="TP106" s="646" t="s">
        <v>8</v>
      </c>
      <c r="TQ106" s="645" t="s">
        <v>119</v>
      </c>
      <c r="TR106" s="645" t="s">
        <v>97</v>
      </c>
      <c r="TS106" s="99" t="s">
        <v>1046</v>
      </c>
      <c r="TT106" s="645" t="s">
        <v>95</v>
      </c>
      <c r="TU106" s="647" t="s">
        <v>96</v>
      </c>
      <c r="TV106" s="644" t="s">
        <v>57</v>
      </c>
      <c r="TW106" s="645" t="s">
        <v>58</v>
      </c>
      <c r="TX106" s="646" t="s">
        <v>59</v>
      </c>
      <c r="TY106" s="646" t="s">
        <v>264</v>
      </c>
      <c r="TZ106" s="645" t="s">
        <v>91</v>
      </c>
      <c r="UA106" s="645" t="s">
        <v>92</v>
      </c>
      <c r="UB106" s="99" t="s">
        <v>1085</v>
      </c>
      <c r="UC106" s="645" t="s">
        <v>263</v>
      </c>
      <c r="UD106" s="645" t="s">
        <v>60</v>
      </c>
      <c r="UE106" s="646" t="s">
        <v>274</v>
      </c>
      <c r="UF106" s="645" t="s">
        <v>94</v>
      </c>
      <c r="UG106" s="645" t="s">
        <v>7</v>
      </c>
      <c r="UH106" s="646" t="s">
        <v>8</v>
      </c>
      <c r="UI106" s="645" t="s">
        <v>119</v>
      </c>
      <c r="UJ106" s="645" t="s">
        <v>97</v>
      </c>
      <c r="UK106" s="99" t="s">
        <v>1046</v>
      </c>
      <c r="UL106" s="645" t="s">
        <v>95</v>
      </c>
      <c r="UM106" s="647" t="s">
        <v>96</v>
      </c>
      <c r="UN106" s="644" t="s">
        <v>57</v>
      </c>
      <c r="UO106" s="645" t="s">
        <v>58</v>
      </c>
      <c r="UP106" s="646" t="s">
        <v>59</v>
      </c>
      <c r="UQ106" s="646" t="s">
        <v>264</v>
      </c>
      <c r="UR106" s="645" t="s">
        <v>91</v>
      </c>
      <c r="US106" s="645" t="s">
        <v>92</v>
      </c>
      <c r="UT106" s="99" t="s">
        <v>1085</v>
      </c>
      <c r="UU106" s="645" t="s">
        <v>263</v>
      </c>
      <c r="UV106" s="645" t="s">
        <v>60</v>
      </c>
      <c r="UW106" s="646" t="s">
        <v>274</v>
      </c>
      <c r="UX106" s="645" t="s">
        <v>94</v>
      </c>
      <c r="UY106" s="645" t="s">
        <v>7</v>
      </c>
      <c r="UZ106" s="646" t="s">
        <v>8</v>
      </c>
      <c r="VA106" s="645" t="s">
        <v>119</v>
      </c>
      <c r="VB106" s="645" t="s">
        <v>97</v>
      </c>
      <c r="VC106" s="99" t="s">
        <v>1046</v>
      </c>
      <c r="VD106" s="645" t="s">
        <v>95</v>
      </c>
      <c r="VE106" s="647" t="s">
        <v>96</v>
      </c>
    </row>
    <row r="107" spans="1:577" ht="15.75" customHeight="1" x14ac:dyDescent="0.25">
      <c r="A107" s="2204">
        <v>0.85</v>
      </c>
      <c r="B107" s="2165">
        <v>20.399999999999999</v>
      </c>
      <c r="C107" s="2166">
        <v>54</v>
      </c>
      <c r="D107" s="2161">
        <v>1010</v>
      </c>
      <c r="E107" s="2160">
        <v>-2.92E-8</v>
      </c>
      <c r="F107" s="2162">
        <v>60</v>
      </c>
      <c r="G107" s="2163">
        <v>44333</v>
      </c>
      <c r="H107" s="2164" t="s">
        <v>1042</v>
      </c>
      <c r="I107" s="2167">
        <f>IF(H107="Low",E107*$D$42,IF(H107="Med",E107*$D$43,IF(H107="High",E107*$D$44,"rango cal. out")))</f>
        <v>-2.9229199999999997E-8</v>
      </c>
      <c r="J107" s="2168">
        <f>((273.2+B107)*$F$33/((273.2+$F$32)*D107))</f>
        <v>0.99778032681316897</v>
      </c>
      <c r="K107" s="2197">
        <f>I107/F107*J107*EXP(-LN(2)/10990*($F$96-G107))</f>
        <v>-4.8134334234268293E-10</v>
      </c>
      <c r="L107" s="2170">
        <f>K107-AVERAGE(S102:S103)</f>
        <v>-4.8131953037531141E-10</v>
      </c>
      <c r="M107" s="2200" t="e">
        <f>ABS(#REF!*L107*3600)</f>
        <v>#REF!</v>
      </c>
      <c r="N107" s="2198">
        <f>ABS($B$34*L107*3600)</f>
        <v>4.3665307795648249E-2</v>
      </c>
      <c r="O107" s="2199">
        <f>N107*$C$87</f>
        <v>4.3665307795648252</v>
      </c>
      <c r="P107" s="2201">
        <f>N107*$F$78</f>
        <v>5.2398369354777895E-2</v>
      </c>
      <c r="Q107" s="2202">
        <f>N107*$F$83</f>
        <v>5.2835022432734378E-2</v>
      </c>
      <c r="R107" s="2201">
        <f>N107*$F$80</f>
        <v>5.2835022432734378E-2</v>
      </c>
      <c r="S107" s="2203">
        <f>N107*$F$79</f>
        <v>5.4581634744560313E-2</v>
      </c>
      <c r="T107" s="659"/>
      <c r="U107" s="660"/>
      <c r="V107" s="661"/>
      <c r="W107" s="651"/>
      <c r="X107" s="662"/>
      <c r="Y107" s="663"/>
      <c r="Z107" s="656"/>
      <c r="AA107" s="649" t="str">
        <f>IF(Z107="Low",W107*$D$42,IF(Z107="Med",W107*$D$43,IF(Z107="High",W107*$D$44,"rango cal. out")))</f>
        <v>rango cal. out</v>
      </c>
      <c r="AB107" s="652" t="e">
        <f>((273.2+T107)*$F$33/((273.2+$F$32)*V107))</f>
        <v>#DIV/0!</v>
      </c>
      <c r="AC107" s="653" t="e">
        <f>AA107/X107*AB107*EXP(-LN(2)/10990*($F$96-Y107))</f>
        <v>#VALUE!</v>
      </c>
      <c r="AD107" s="599" t="e">
        <f>AC107-AVERAGE(#REF!)</f>
        <v>#VALUE!</v>
      </c>
      <c r="AE107" s="599" t="e">
        <f>ABS(#REF!*AD107*3600)</f>
        <v>#REF!</v>
      </c>
      <c r="AF107" s="657" t="e">
        <f>ABS($B$34*AD107*3600)</f>
        <v>#VALUE!</v>
      </c>
      <c r="AG107" s="599" t="e">
        <f>AF107*$C$87</f>
        <v>#VALUE!</v>
      </c>
      <c r="AH107" s="599" t="e">
        <f>AF107*$F$78</f>
        <v>#VALUE!</v>
      </c>
      <c r="AI107" s="600" t="e">
        <f>AF107*$F$83</f>
        <v>#VALUE!</v>
      </c>
      <c r="AJ107" s="599" t="e">
        <f>AF107*$F$80</f>
        <v>#VALUE!</v>
      </c>
      <c r="AK107" s="658" t="e">
        <f>AF107*$F$79</f>
        <v>#VALUE!</v>
      </c>
      <c r="AL107" s="664"/>
      <c r="AM107" s="660"/>
      <c r="AN107" s="661"/>
      <c r="AO107" s="651"/>
      <c r="AP107" s="662"/>
      <c r="AQ107" s="663"/>
      <c r="AR107" s="656"/>
      <c r="AS107" s="649" t="str">
        <f>IF(AR107="Low",AO107*$D$42,IF(AR107="Med",AO107*$D$43,IF(AR107="High",AO107*$D$44,"rango cal. out")))</f>
        <v>rango cal. out</v>
      </c>
      <c r="AT107" s="652" t="e">
        <f>((273.2+AL107)*$F$33/((273.2+$F$32)*AN107))</f>
        <v>#DIV/0!</v>
      </c>
      <c r="AU107" s="653" t="e">
        <f>AS107/AP107*AT107*EXP(-LN(2)/10990*($F$96-AQ107))</f>
        <v>#VALUE!</v>
      </c>
      <c r="AV107" s="599" t="e">
        <f>AU107-AVERAGE(BC102:BC103)</f>
        <v>#VALUE!</v>
      </c>
      <c r="AW107" s="599" t="e">
        <f>ABS(#REF!*AV107*3600)</f>
        <v>#REF!</v>
      </c>
      <c r="AX107" s="657" t="e">
        <f>ABS($B$34*AV107*3600)</f>
        <v>#VALUE!</v>
      </c>
      <c r="AY107" s="599" t="e">
        <f>AX107*$C$87</f>
        <v>#VALUE!</v>
      </c>
      <c r="AZ107" s="599" t="e">
        <f>AX107*$F$78</f>
        <v>#VALUE!</v>
      </c>
      <c r="BA107" s="600" t="e">
        <f>AX107*$F$83</f>
        <v>#VALUE!</v>
      </c>
      <c r="BB107" s="599" t="e">
        <f>AX107*$F$80</f>
        <v>#VALUE!</v>
      </c>
      <c r="BC107" s="658" t="e">
        <f>AX107*$F$79</f>
        <v>#VALUE!</v>
      </c>
      <c r="BD107" s="664"/>
      <c r="BE107" s="660"/>
      <c r="BF107" s="661"/>
      <c r="BG107" s="651"/>
      <c r="BH107" s="662"/>
      <c r="BI107" s="663">
        <v>44333</v>
      </c>
      <c r="BJ107" s="656"/>
      <c r="BK107" s="649" t="str">
        <f>IF(BJ107="Low",BG107*$D$42,IF(BJ107="Med",BG107*$D$43,IF(BJ107="High",BG107*$D$44,"rango cal. out")))</f>
        <v>rango cal. out</v>
      </c>
      <c r="BL107" s="652" t="e">
        <f>((273.2+BD107)*$F$33/((273.2+$F$32)*BF107))</f>
        <v>#DIV/0!</v>
      </c>
      <c r="BM107" s="653" t="e">
        <f>BK107/BH107*BL107*EXP(-LN(2)/10990*($F$96-BI107))</f>
        <v>#VALUE!</v>
      </c>
      <c r="BN107" s="599" t="e">
        <f>BM107-AVERAGE(BU102:BU103)</f>
        <v>#VALUE!</v>
      </c>
      <c r="BO107" s="599" t="e">
        <f>ABS(#REF!*BN107*3600)</f>
        <v>#REF!</v>
      </c>
      <c r="BP107" s="657" t="e">
        <f>ABS($B$34*BN107*3600)</f>
        <v>#VALUE!</v>
      </c>
      <c r="BQ107" s="599" t="e">
        <f>BP107*$C$87</f>
        <v>#VALUE!</v>
      </c>
      <c r="BR107" s="599" t="e">
        <f>BP107*$F$78</f>
        <v>#VALUE!</v>
      </c>
      <c r="BS107" s="600" t="e">
        <f>BP107*$F$83</f>
        <v>#VALUE!</v>
      </c>
      <c r="BT107" s="599" t="e">
        <f>BP107*$F$80</f>
        <v>#VALUE!</v>
      </c>
      <c r="BU107" s="658" t="e">
        <f>BP107*$F$79</f>
        <v>#VALUE!</v>
      </c>
      <c r="BV107" s="664"/>
      <c r="BW107" s="660"/>
      <c r="BX107" s="661"/>
      <c r="BY107" s="651"/>
      <c r="BZ107" s="662"/>
      <c r="CA107" s="663">
        <v>44333</v>
      </c>
      <c r="CB107" s="656"/>
      <c r="CC107" s="649" t="str">
        <f>IF(CB107="Low",BY107*$D$42,IF(CB107="Med",BY107*$D$43,IF(CB107="High",BY107*$D$44,"rango cal. out")))</f>
        <v>rango cal. out</v>
      </c>
      <c r="CD107" s="652" t="e">
        <f>((273.2+BV107)*$F$33/((273.2+$F$32)*BX107))</f>
        <v>#DIV/0!</v>
      </c>
      <c r="CE107" s="653" t="e">
        <f>CC107/BZ107*CD107*EXP(-LN(2)/10990*($F$96-CA107))</f>
        <v>#VALUE!</v>
      </c>
      <c r="CF107" s="599" t="e">
        <f>CE107-AVERAGE(CM102:CM103)</f>
        <v>#VALUE!</v>
      </c>
      <c r="CG107" s="599" t="e">
        <f>ABS(#REF!*CF107*3600)</f>
        <v>#REF!</v>
      </c>
      <c r="CH107" s="657" t="e">
        <f>ABS($B$34*CF107*3600)</f>
        <v>#VALUE!</v>
      </c>
      <c r="CI107" s="599" t="e">
        <f>CH107*$C$87</f>
        <v>#VALUE!</v>
      </c>
      <c r="CJ107" s="599" t="e">
        <f>CH107*$F$78</f>
        <v>#VALUE!</v>
      </c>
      <c r="CK107" s="600" t="e">
        <f>CH107*$F$83</f>
        <v>#VALUE!</v>
      </c>
      <c r="CL107" s="599" t="e">
        <f>CH107*$F$80</f>
        <v>#VALUE!</v>
      </c>
      <c r="CM107" s="658" t="e">
        <f>CH107*$F$79</f>
        <v>#VALUE!</v>
      </c>
      <c r="CN107" s="664"/>
      <c r="CO107" s="660"/>
      <c r="CP107" s="661"/>
      <c r="CQ107" s="651"/>
      <c r="CR107" s="662"/>
      <c r="CS107" s="663">
        <v>44333</v>
      </c>
      <c r="CT107" s="656"/>
      <c r="CU107" s="649" t="str">
        <f>IF(CT107="Low",CQ107*$D$42,IF(CT107="Med",CQ107*$D$43,IF(CT107="High",CQ107*$D$44,"rango cal. out")))</f>
        <v>rango cal. out</v>
      </c>
      <c r="CV107" s="652" t="e">
        <f>((273.2+CN107)*$F$33/((273.2+$F$32)*CP107))</f>
        <v>#DIV/0!</v>
      </c>
      <c r="CW107" s="653" t="e">
        <f>CU107/CR107*CV107*EXP(-LN(2)/10990*($F$96-CS107))</f>
        <v>#VALUE!</v>
      </c>
      <c r="CX107" s="599" t="e">
        <f>CW107-AVERAGE(DE102:DE103)</f>
        <v>#VALUE!</v>
      </c>
      <c r="CY107" s="599" t="e">
        <f>ABS(#REF!*CX107*3600)</f>
        <v>#REF!</v>
      </c>
      <c r="CZ107" s="657" t="e">
        <f>ABS($B$34*CX107*3600)</f>
        <v>#VALUE!</v>
      </c>
      <c r="DA107" s="599" t="e">
        <f>CZ107*$C$87</f>
        <v>#VALUE!</v>
      </c>
      <c r="DB107" s="599" t="e">
        <f>CZ107*$F$78</f>
        <v>#VALUE!</v>
      </c>
      <c r="DC107" s="600" t="e">
        <f>CZ107*$F$83</f>
        <v>#VALUE!</v>
      </c>
      <c r="DD107" s="599" t="e">
        <f>CZ107*$F$80</f>
        <v>#VALUE!</v>
      </c>
      <c r="DE107" s="658" t="e">
        <f>CZ107*$F$79</f>
        <v>#VALUE!</v>
      </c>
      <c r="DF107" s="664"/>
      <c r="DG107" s="660"/>
      <c r="DH107" s="661"/>
      <c r="DI107" s="651"/>
      <c r="DJ107" s="662"/>
      <c r="DK107" s="663"/>
      <c r="DL107" s="656"/>
      <c r="DM107" s="649" t="str">
        <f>IF(DL107="Low",DI107*$D$42,IF(DL107="Med",DI107*$D$43,IF(DL107="High",DI107*$D$44,"rango cal. out")))</f>
        <v>rango cal. out</v>
      </c>
      <c r="DN107" s="652" t="e">
        <f>((273.2+DF107)*$F$33/((273.2+$F$32)*DH107))</f>
        <v>#DIV/0!</v>
      </c>
      <c r="DO107" s="653" t="e">
        <f>DM107/DJ107*DN107*EXP(-LN(2)/10990*($F$96-DK107))</f>
        <v>#VALUE!</v>
      </c>
      <c r="DP107" s="599" t="e">
        <f>DO107-AVERAGE(DW102:DW103)</f>
        <v>#VALUE!</v>
      </c>
      <c r="DQ107" s="599" t="e">
        <f>ABS(#REF!*DP107*3600)</f>
        <v>#REF!</v>
      </c>
      <c r="DR107" s="657" t="e">
        <f>ABS($B$34*DP107*3600)</f>
        <v>#VALUE!</v>
      </c>
      <c r="DS107" s="599" t="e">
        <f>DR107*$C$87</f>
        <v>#VALUE!</v>
      </c>
      <c r="DT107" s="599" t="e">
        <f>DR107*$F$78</f>
        <v>#VALUE!</v>
      </c>
      <c r="DU107" s="600" t="e">
        <f>DR107*$F$83</f>
        <v>#VALUE!</v>
      </c>
      <c r="DV107" s="599" t="e">
        <f>DR107*$F$80</f>
        <v>#VALUE!</v>
      </c>
      <c r="DW107" s="658" t="e">
        <f>DR107*$F$79</f>
        <v>#VALUE!</v>
      </c>
      <c r="DX107" s="664"/>
      <c r="DY107" s="660"/>
      <c r="DZ107" s="659"/>
      <c r="EA107" s="665"/>
      <c r="EB107" s="662"/>
      <c r="EC107" s="663"/>
      <c r="ED107" s="656"/>
      <c r="EE107" s="649" t="str">
        <f>IF(ED107="Low",EA107*$D$42,IF(ED107="Med",EA107*$D$43,IF(ED107="High",EA107*$D$44,"rango cal. out")))</f>
        <v>rango cal. out</v>
      </c>
      <c r="EF107" s="652" t="e">
        <f>((273.2+DX107)*$F$33/((273.2+$F$32)*DZ107))</f>
        <v>#DIV/0!</v>
      </c>
      <c r="EG107" s="653" t="e">
        <f>EE107/EB107*EF107*EXP(-LN(2)/10990*($F$96-EC107))</f>
        <v>#VALUE!</v>
      </c>
      <c r="EH107" s="599" t="e">
        <f>EG107-AVERAGE(EO102:EO103)</f>
        <v>#VALUE!</v>
      </c>
      <c r="EI107" s="599" t="e">
        <f>ABS(#REF!*EH107*3600)</f>
        <v>#REF!</v>
      </c>
      <c r="EJ107" s="657" t="e">
        <f>ABS($B$34*EH107*3600)</f>
        <v>#VALUE!</v>
      </c>
      <c r="EK107" s="599" t="e">
        <f>EJ107*$C$87</f>
        <v>#VALUE!</v>
      </c>
      <c r="EL107" s="599" t="e">
        <f>EJ107*$F$78</f>
        <v>#VALUE!</v>
      </c>
      <c r="EM107" s="600" t="e">
        <f>EJ107*$F$83</f>
        <v>#VALUE!</v>
      </c>
      <c r="EN107" s="599" t="e">
        <f>EJ107*$F$80</f>
        <v>#VALUE!</v>
      </c>
      <c r="EO107" s="658" t="e">
        <f>EJ107*$F$79</f>
        <v>#VALUE!</v>
      </c>
      <c r="EP107" s="664"/>
      <c r="EQ107" s="660"/>
      <c r="ER107" s="661"/>
      <c r="ES107" s="651"/>
      <c r="ET107" s="662"/>
      <c r="EU107" s="663">
        <v>44333</v>
      </c>
      <c r="EV107" s="656"/>
      <c r="EW107" s="649" t="str">
        <f>IF(EV107="Low",ES107*$D$42,IF(EV107="Med",ES107*$D$43,IF(EV107="High",ES107*$D$44,"rango cal. out")))</f>
        <v>rango cal. out</v>
      </c>
      <c r="EX107" s="652" t="e">
        <f>((273.2+EP107)*$F$33/((273.2+$F$32)*ER107))</f>
        <v>#DIV/0!</v>
      </c>
      <c r="EY107" s="653" t="e">
        <f>EW107/ET107*EX107*EXP(-LN(2)/10990*($F$96-EU107))</f>
        <v>#VALUE!</v>
      </c>
      <c r="EZ107" s="599" t="e">
        <f>EY107-AVERAGE(FG102:FG103)</f>
        <v>#VALUE!</v>
      </c>
      <c r="FA107" s="599" t="e">
        <f>ABS(#REF!*EZ107*3600)</f>
        <v>#REF!</v>
      </c>
      <c r="FB107" s="657" t="e">
        <f>ABS($B$34*EZ107*3600)</f>
        <v>#VALUE!</v>
      </c>
      <c r="FC107" s="599" t="e">
        <f>FB107*$C$87</f>
        <v>#VALUE!</v>
      </c>
      <c r="FD107" s="599" t="e">
        <f>FB107*$F$78</f>
        <v>#VALUE!</v>
      </c>
      <c r="FE107" s="600" t="e">
        <f>FB107*$F$83</f>
        <v>#VALUE!</v>
      </c>
      <c r="FF107" s="599" t="e">
        <f>FB107*$F$80</f>
        <v>#VALUE!</v>
      </c>
      <c r="FG107" s="658" t="e">
        <f>FB107*$F$79</f>
        <v>#VALUE!</v>
      </c>
      <c r="FH107" s="664"/>
      <c r="FI107" s="660"/>
      <c r="FJ107" s="661"/>
      <c r="FK107" s="651"/>
      <c r="FL107" s="662"/>
      <c r="FM107" s="663"/>
      <c r="FN107" s="656"/>
      <c r="FO107" s="649" t="str">
        <f>IF(FN107="Low",FK107*$D$42,IF(FN107="Med",FK107*$D$43,IF(FN107="High",FK107*$D$44,"rango cal. out")))</f>
        <v>rango cal. out</v>
      </c>
      <c r="FP107" s="652" t="e">
        <f>((273.2+FH107)*$F$33/((273.2+$F$32)*FJ107))</f>
        <v>#DIV/0!</v>
      </c>
      <c r="FQ107" s="653" t="e">
        <f>FO107/FL107*FP107*EXP(-LN(2)/10990*($F$96-FM107))</f>
        <v>#VALUE!</v>
      </c>
      <c r="FR107" s="599" t="e">
        <f>FQ107-AVERAGE(FY102:FY103)</f>
        <v>#VALUE!</v>
      </c>
      <c r="FS107" s="599" t="e">
        <f>ABS(#REF!*FR107*3600)</f>
        <v>#REF!</v>
      </c>
      <c r="FT107" s="657" t="e">
        <f>ABS($B$34*FR107*3600)</f>
        <v>#VALUE!</v>
      </c>
      <c r="FU107" s="599" t="e">
        <f>FT107*$C$87</f>
        <v>#VALUE!</v>
      </c>
      <c r="FV107" s="599" t="e">
        <f>FT107*$F$78</f>
        <v>#VALUE!</v>
      </c>
      <c r="FW107" s="600" t="e">
        <f>FT107*$F$83</f>
        <v>#VALUE!</v>
      </c>
      <c r="FX107" s="599" t="e">
        <f>FT107*$F$80</f>
        <v>#VALUE!</v>
      </c>
      <c r="FY107" s="658" t="e">
        <f>FT107*$F$79</f>
        <v>#VALUE!</v>
      </c>
      <c r="FZ107" s="664"/>
      <c r="GA107" s="660"/>
      <c r="GB107" s="661"/>
      <c r="GC107" s="651"/>
      <c r="GD107" s="662"/>
      <c r="GE107" s="663"/>
      <c r="GF107" s="656"/>
      <c r="GG107" s="649" t="str">
        <f>IF(GF107="Low",GC107*$D$42,IF(GF107="Med",GC107*$D$43,IF(GF107="High",GC107*$D$44,"rango cal. out")))</f>
        <v>rango cal. out</v>
      </c>
      <c r="GH107" s="652" t="e">
        <f>((273.2+FZ107)*$F$33/((273.2+$F$32)*GB107))</f>
        <v>#DIV/0!</v>
      </c>
      <c r="GI107" s="653" t="e">
        <f>GG107/GD107*GH107*EXP(-LN(2)/10990*($F$96-GE107))</f>
        <v>#VALUE!</v>
      </c>
      <c r="GJ107" s="599" t="e">
        <f>GI107-AVERAGE(GQ102:GQ103)</f>
        <v>#VALUE!</v>
      </c>
      <c r="GK107" s="599" t="e">
        <f>ABS(#REF!*GJ107*3600)</f>
        <v>#REF!</v>
      </c>
      <c r="GL107" s="657" t="e">
        <f>ABS($B$34*GJ107*3600)</f>
        <v>#VALUE!</v>
      </c>
      <c r="GM107" s="599" t="e">
        <f>GL107*$C$87</f>
        <v>#VALUE!</v>
      </c>
      <c r="GN107" s="599" t="e">
        <f>GL107*$F$78</f>
        <v>#VALUE!</v>
      </c>
      <c r="GO107" s="600" t="e">
        <f>GL107*$F$83</f>
        <v>#VALUE!</v>
      </c>
      <c r="GP107" s="599" t="e">
        <f>GL107*$F$80</f>
        <v>#VALUE!</v>
      </c>
      <c r="GQ107" s="658" t="e">
        <f>GL107*$F$79</f>
        <v>#VALUE!</v>
      </c>
      <c r="GR107" s="664"/>
      <c r="GS107" s="660"/>
      <c r="GT107" s="659"/>
      <c r="GU107" s="665"/>
      <c r="GV107" s="662"/>
      <c r="GW107" s="663"/>
      <c r="GX107" s="656"/>
      <c r="GY107" s="649" t="str">
        <f>IF(GX107="Low",GU107*$D$42,IF(GX107="Med",GU107*$D$43,IF(GX107="High",GU107*$D$44,"rango cal. out")))</f>
        <v>rango cal. out</v>
      </c>
      <c r="GZ107" s="652" t="e">
        <f>((273.2+GR107)*$F$33/((273.2+$F$32)*GT107))</f>
        <v>#DIV/0!</v>
      </c>
      <c r="HA107" s="653" t="e">
        <f>GY107/GV107*GZ107*EXP(-LN(2)/10990*($F$96-GW107))</f>
        <v>#VALUE!</v>
      </c>
      <c r="HB107" s="599" t="e">
        <f>HA107-AVERAGE(HI102:HI103)</f>
        <v>#VALUE!</v>
      </c>
      <c r="HC107" s="599" t="e">
        <f>ABS(#REF!*HB107*3600)</f>
        <v>#REF!</v>
      </c>
      <c r="HD107" s="657" t="e">
        <f>ABS($B$34*HB107*3600)</f>
        <v>#VALUE!</v>
      </c>
      <c r="HE107" s="599" t="e">
        <f>HD107*$C$87</f>
        <v>#VALUE!</v>
      </c>
      <c r="HF107" s="599" t="e">
        <f>HD107*$F$78</f>
        <v>#VALUE!</v>
      </c>
      <c r="HG107" s="600" t="e">
        <f>HD107*$F$83</f>
        <v>#VALUE!</v>
      </c>
      <c r="HH107" s="599" t="e">
        <f>HD107*$F$80</f>
        <v>#VALUE!</v>
      </c>
      <c r="HI107" s="658" t="e">
        <f>HD107*$F$79</f>
        <v>#VALUE!</v>
      </c>
      <c r="HJ107" s="664"/>
      <c r="HK107" s="660"/>
      <c r="HL107" s="661"/>
      <c r="HM107" s="651"/>
      <c r="HN107" s="662"/>
      <c r="HO107" s="663"/>
      <c r="HP107" s="656"/>
      <c r="HQ107" s="649" t="str">
        <f>IF(HP107="Low",HM107*$D$42,IF(HP107="Med",HM107*$D$43,IF(HP107="High",HM107*$D$44,"rango cal. out")))</f>
        <v>rango cal. out</v>
      </c>
      <c r="HR107" s="652" t="e">
        <f>((273.2+HJ107)*$F$33/((273.2+$F$32)*HL107))</f>
        <v>#DIV/0!</v>
      </c>
      <c r="HS107" s="653" t="e">
        <f>HQ107/HN107*HR107*EXP(-LN(2)/10990*($F$96-HO107))</f>
        <v>#VALUE!</v>
      </c>
      <c r="HT107" s="599" t="e">
        <f>HS107-AVERAGE(IA102:IA103)</f>
        <v>#VALUE!</v>
      </c>
      <c r="HU107" s="599" t="e">
        <f>ABS(#REF!*HT107*3600)</f>
        <v>#REF!</v>
      </c>
      <c r="HV107" s="657" t="e">
        <f>ABS($B$34*HT107*3600)</f>
        <v>#VALUE!</v>
      </c>
      <c r="HW107" s="599" t="e">
        <f>HV107*$C$87</f>
        <v>#VALUE!</v>
      </c>
      <c r="HX107" s="599" t="e">
        <f>HV107*$F$78</f>
        <v>#VALUE!</v>
      </c>
      <c r="HY107" s="600" t="e">
        <f>HV107*$F$83</f>
        <v>#VALUE!</v>
      </c>
      <c r="HZ107" s="599" t="e">
        <f>HV107*$F$80</f>
        <v>#VALUE!</v>
      </c>
      <c r="IA107" s="658" t="e">
        <f>HV107*$F$79</f>
        <v>#VALUE!</v>
      </c>
      <c r="IB107" s="664"/>
      <c r="IC107" s="660"/>
      <c r="ID107" s="661"/>
      <c r="IE107" s="651"/>
      <c r="IF107" s="662"/>
      <c r="IG107" s="663"/>
      <c r="IH107" s="656"/>
      <c r="II107" s="649" t="str">
        <f>IF(IH107="Low",IE107*$D$42,IF(IH107="Med",IE107*$D$43,IF(IH107="High",IE107*$D$44,"rango cal. out")))</f>
        <v>rango cal. out</v>
      </c>
      <c r="IJ107" s="652" t="e">
        <f>((273.2+IB107)*$F$33/((273.2+$F$32)*ID107))</f>
        <v>#DIV/0!</v>
      </c>
      <c r="IK107" s="653" t="e">
        <f>II107/IF107*IJ107*EXP(-LN(2)/10990*($F$96-IG107))</f>
        <v>#VALUE!</v>
      </c>
      <c r="IL107" s="599" t="e">
        <f>IK107-AVERAGE(IS102:IS103)</f>
        <v>#VALUE!</v>
      </c>
      <c r="IM107" s="599" t="e">
        <f>ABS(#REF!*IL107*3600)</f>
        <v>#REF!</v>
      </c>
      <c r="IN107" s="657" t="e">
        <f>ABS($B$34*IL107*3600)</f>
        <v>#VALUE!</v>
      </c>
      <c r="IO107" s="599" t="e">
        <f>IN107*$C$87</f>
        <v>#VALUE!</v>
      </c>
      <c r="IP107" s="599" t="e">
        <f>IN107*$F$78</f>
        <v>#VALUE!</v>
      </c>
      <c r="IQ107" s="600" t="e">
        <f>IN107*$F$83</f>
        <v>#VALUE!</v>
      </c>
      <c r="IR107" s="599" t="e">
        <f>IN107*$F$80</f>
        <v>#VALUE!</v>
      </c>
      <c r="IS107" s="658" t="e">
        <f>IN107*$F$79</f>
        <v>#VALUE!</v>
      </c>
      <c r="IT107" s="664"/>
      <c r="IU107" s="660"/>
      <c r="IV107" s="661"/>
      <c r="IW107" s="651"/>
      <c r="IX107" s="662"/>
      <c r="IY107" s="663"/>
      <c r="IZ107" s="656"/>
      <c r="JA107" s="649" t="str">
        <f>IF(IZ107="Low",IW107*$D$42,IF(IZ107="Med",IW107*$D$43,IF(IZ107="High",IW107*$D$44,"rango cal. out")))</f>
        <v>rango cal. out</v>
      </c>
      <c r="JB107" s="652" t="e">
        <f>((273.2+IT107)*$F$33/((273.2+$F$32)*IV107))</f>
        <v>#DIV/0!</v>
      </c>
      <c r="JC107" s="653" t="e">
        <f>JA107/IX107*JB107*EXP(-LN(2)/10990*($F$96-IY107))</f>
        <v>#VALUE!</v>
      </c>
      <c r="JD107" s="599" t="e">
        <f>JC107-AVERAGE(JK102:JK103)</f>
        <v>#VALUE!</v>
      </c>
      <c r="JE107" s="599" t="e">
        <f>ABS(#REF!*JD107*3600)</f>
        <v>#REF!</v>
      </c>
      <c r="JF107" s="657" t="e">
        <f>ABS($B$34*JD107*3600)</f>
        <v>#VALUE!</v>
      </c>
      <c r="JG107" s="599" t="e">
        <f>JF107*$C$87</f>
        <v>#VALUE!</v>
      </c>
      <c r="JH107" s="599" t="e">
        <f>JF107*$F$78</f>
        <v>#VALUE!</v>
      </c>
      <c r="JI107" s="600" t="e">
        <f>JF107*$F$83</f>
        <v>#VALUE!</v>
      </c>
      <c r="JJ107" s="599" t="e">
        <f>JF107*$F$80</f>
        <v>#VALUE!</v>
      </c>
      <c r="JK107" s="658" t="e">
        <f>JF107*$F$79</f>
        <v>#VALUE!</v>
      </c>
      <c r="JL107" s="664"/>
      <c r="JM107" s="660"/>
      <c r="JN107" s="661"/>
      <c r="JO107" s="651"/>
      <c r="JP107" s="662"/>
      <c r="JQ107" s="663"/>
      <c r="JR107" s="656"/>
      <c r="JS107" s="649" t="str">
        <f>IF(JR107="Low",JO107*$D$42,IF(JR107="Med",JO107*$D$43,IF(JR107="High",JO107*$D$44,"rango cal. out")))</f>
        <v>rango cal. out</v>
      </c>
      <c r="JT107" s="652" t="e">
        <f>((273.2+JL107)*$F$33/((273.2+$F$32)*JN107))</f>
        <v>#DIV/0!</v>
      </c>
      <c r="JU107" s="653" t="e">
        <f>JS107/JP107*JT107*EXP(-LN(2)/10990*($F$96-JQ107))</f>
        <v>#VALUE!</v>
      </c>
      <c r="JV107" s="599" t="e">
        <f>JU107-AVERAGE(KC102:KC103)</f>
        <v>#VALUE!</v>
      </c>
      <c r="JW107" s="599" t="e">
        <f>ABS(#REF!*JV107*3600)</f>
        <v>#REF!</v>
      </c>
      <c r="JX107" s="657" t="e">
        <f>ABS($B$34*JV107*3600)</f>
        <v>#VALUE!</v>
      </c>
      <c r="JY107" s="599" t="e">
        <f>JX107*$C$87</f>
        <v>#VALUE!</v>
      </c>
      <c r="JZ107" s="599" t="e">
        <f>JX107*$F$78</f>
        <v>#VALUE!</v>
      </c>
      <c r="KA107" s="600" t="e">
        <f>JX107*$F$83</f>
        <v>#VALUE!</v>
      </c>
      <c r="KB107" s="599" t="e">
        <f>JX107*$F$80</f>
        <v>#VALUE!</v>
      </c>
      <c r="KC107" s="658" t="e">
        <f>JX107*$F$79</f>
        <v>#VALUE!</v>
      </c>
      <c r="KD107" s="664"/>
      <c r="KE107" s="660"/>
      <c r="KF107" s="661"/>
      <c r="KG107" s="651"/>
      <c r="KH107" s="662"/>
      <c r="KI107" s="663"/>
      <c r="KJ107" s="656"/>
      <c r="KK107" s="649" t="str">
        <f>IF(KJ107="Low",KG107*$D$42,IF(KJ107="Med",KG107*$D$43,IF(KJ107="High",KG107*$D$44,"rango cal. out")))</f>
        <v>rango cal. out</v>
      </c>
      <c r="KL107" s="652" t="e">
        <f>((273.2+KD107)*$F$33/((273.2+$F$32)*KF107))</f>
        <v>#DIV/0!</v>
      </c>
      <c r="KM107" s="653" t="e">
        <f>KK107/KH107*KL107*EXP(-LN(2)/10990*($F$96-KI107))</f>
        <v>#VALUE!</v>
      </c>
      <c r="KN107" s="599" t="e">
        <f>KM107-AVERAGE(KU102:KU103)</f>
        <v>#VALUE!</v>
      </c>
      <c r="KO107" s="599" t="e">
        <f>ABS(#REF!*KN107*3600)</f>
        <v>#REF!</v>
      </c>
      <c r="KP107" s="657" t="e">
        <f>ABS($B$34*KN107*3600)</f>
        <v>#VALUE!</v>
      </c>
      <c r="KQ107" s="599" t="e">
        <f>KP107*$C$87</f>
        <v>#VALUE!</v>
      </c>
      <c r="KR107" s="599" t="e">
        <f>KP107*$F$78</f>
        <v>#VALUE!</v>
      </c>
      <c r="KS107" s="600" t="e">
        <f>KP107*$F$83</f>
        <v>#VALUE!</v>
      </c>
      <c r="KT107" s="599" t="e">
        <f>KP107*$F$80</f>
        <v>#VALUE!</v>
      </c>
      <c r="KU107" s="658" t="e">
        <f>KP107*$F$79</f>
        <v>#VALUE!</v>
      </c>
      <c r="KV107" s="664"/>
      <c r="KW107" s="660"/>
      <c r="KX107" s="661"/>
      <c r="KY107" s="651"/>
      <c r="KZ107" s="662"/>
      <c r="LA107" s="663"/>
      <c r="LB107" s="656"/>
      <c r="LC107" s="649" t="str">
        <f>IF(LB107="Low",KY107*$D$42,IF(LB107="Med",KY107*$D$43,IF(LB107="High",KY107*$D$44,"rango cal. out")))</f>
        <v>rango cal. out</v>
      </c>
      <c r="LD107" s="652" t="e">
        <f>((273.2+KV107)*$F$33/((273.2+$F$32)*KX107))</f>
        <v>#DIV/0!</v>
      </c>
      <c r="LE107" s="653" t="e">
        <f>LC107/KZ107*LD107*EXP(-LN(2)/10990*($F$96-LA107))</f>
        <v>#VALUE!</v>
      </c>
      <c r="LF107" s="599" t="e">
        <f>LE107-AVERAGE(LM102:LM103)</f>
        <v>#VALUE!</v>
      </c>
      <c r="LG107" s="599" t="e">
        <f>ABS(#REF!*LF107*3600)</f>
        <v>#REF!</v>
      </c>
      <c r="LH107" s="657" t="e">
        <f>ABS($B$34*LF107*3600)</f>
        <v>#VALUE!</v>
      </c>
      <c r="LI107" s="599" t="e">
        <f>LH107*$C$87</f>
        <v>#VALUE!</v>
      </c>
      <c r="LJ107" s="599" t="e">
        <f>LH107*$F$78</f>
        <v>#VALUE!</v>
      </c>
      <c r="LK107" s="600" t="e">
        <f>LH107*$F$83</f>
        <v>#VALUE!</v>
      </c>
      <c r="LL107" s="599" t="e">
        <f>LH107*$F$80</f>
        <v>#VALUE!</v>
      </c>
      <c r="LM107" s="658" t="e">
        <f>LH107*$F$79</f>
        <v>#VALUE!</v>
      </c>
      <c r="LN107" s="664"/>
      <c r="LO107" s="660"/>
      <c r="LP107" s="661"/>
      <c r="LQ107" s="651"/>
      <c r="LR107" s="662"/>
      <c r="LS107" s="663"/>
      <c r="LT107" s="656"/>
      <c r="LU107" s="649" t="str">
        <f>IF(LT107="Low",LQ107*$D$42,IF(LT107="Med",LQ107*$D$43,IF(LT107="High",LQ107*$D$44,"rango cal. out")))</f>
        <v>rango cal. out</v>
      </c>
      <c r="LV107" s="652" t="e">
        <f>((273.2+LN107)*$F$33/((273.2+$F$32)*LP107))</f>
        <v>#DIV/0!</v>
      </c>
      <c r="LW107" s="653" t="e">
        <f>LU107/LR107*LV107*EXP(-LN(2)/10990*($F$96-LS107))</f>
        <v>#VALUE!</v>
      </c>
      <c r="LX107" s="599" t="e">
        <f>LW107-AVERAGE(ME102:ME103)</f>
        <v>#VALUE!</v>
      </c>
      <c r="LY107" s="599" t="e">
        <f>ABS(#REF!*LX107*3600)</f>
        <v>#REF!</v>
      </c>
      <c r="LZ107" s="657" t="e">
        <f>ABS($B$34*LX107*3600)</f>
        <v>#VALUE!</v>
      </c>
      <c r="MA107" s="599" t="e">
        <f>LZ107*$C$87</f>
        <v>#VALUE!</v>
      </c>
      <c r="MB107" s="599" t="e">
        <f>LZ107*$F$78</f>
        <v>#VALUE!</v>
      </c>
      <c r="MC107" s="600" t="e">
        <f>LZ107*$F$83</f>
        <v>#VALUE!</v>
      </c>
      <c r="MD107" s="599" t="e">
        <f>LZ107*$F$80</f>
        <v>#VALUE!</v>
      </c>
      <c r="ME107" s="658" t="e">
        <f>LZ107*$F$79</f>
        <v>#VALUE!</v>
      </c>
      <c r="MF107" s="664"/>
      <c r="MG107" s="660"/>
      <c r="MH107" s="661"/>
      <c r="MI107" s="651"/>
      <c r="MJ107" s="662"/>
      <c r="MK107" s="663"/>
      <c r="ML107" s="656"/>
      <c r="MM107" s="649" t="str">
        <f>IF(ML107="Low",MI107*$D$42,IF(ML107="Med",MI107*$D$43,IF(ML107="High",MI107*$D$44,"rango cal. out")))</f>
        <v>rango cal. out</v>
      </c>
      <c r="MN107" s="652" t="e">
        <f>((273.2+MF107)*$F$33/((273.2+$F$32)*MH107))</f>
        <v>#DIV/0!</v>
      </c>
      <c r="MO107" s="653" t="e">
        <f>MM107/MJ107*MN107*EXP(-LN(2)/10990*($F$96-MK107))</f>
        <v>#VALUE!</v>
      </c>
      <c r="MP107" s="599" t="e">
        <f>MO107-AVERAGE(MW102:MW103)</f>
        <v>#VALUE!</v>
      </c>
      <c r="MQ107" s="599" t="e">
        <f>ABS(#REF!*MP107*3600)</f>
        <v>#REF!</v>
      </c>
      <c r="MR107" s="657" t="e">
        <f>ABS($B$34*MP107*3600)</f>
        <v>#VALUE!</v>
      </c>
      <c r="MS107" s="599" t="e">
        <f>MR107*$C$87</f>
        <v>#VALUE!</v>
      </c>
      <c r="MT107" s="599" t="e">
        <f>MR107*$F$78</f>
        <v>#VALUE!</v>
      </c>
      <c r="MU107" s="600" t="e">
        <f>MR107*$F$83</f>
        <v>#VALUE!</v>
      </c>
      <c r="MV107" s="599" t="e">
        <f>MR107*$F$80</f>
        <v>#VALUE!</v>
      </c>
      <c r="MW107" s="658" t="e">
        <f>MR107*$F$79</f>
        <v>#VALUE!</v>
      </c>
      <c r="MX107" s="664"/>
      <c r="MY107" s="660"/>
      <c r="MZ107" s="666"/>
      <c r="NA107" s="651"/>
      <c r="NB107" s="667"/>
      <c r="NC107" s="663"/>
      <c r="ND107" s="656"/>
      <c r="NE107" s="649" t="str">
        <f>IF(ND107="Low",NA107*$D$42,IF(ND107="Med",NA107*$D$43,IF(ND107="High",NA107*$D$44,"rango cal. out")))</f>
        <v>rango cal. out</v>
      </c>
      <c r="NF107" s="652" t="e">
        <f>((273.2+MX107)*$F$33/((273.2+$F$32)*MZ107))</f>
        <v>#DIV/0!</v>
      </c>
      <c r="NG107" s="653" t="e">
        <f>NE107/NB107*NF107*EXP(-LN(2)/10990*($F$96-NC107))</f>
        <v>#VALUE!</v>
      </c>
      <c r="NH107" s="599" t="e">
        <f>NG107-AVERAGE(NO102:NO103)</f>
        <v>#VALUE!</v>
      </c>
      <c r="NI107" s="599" t="e">
        <f>ABS(#REF!*NH107*3600)</f>
        <v>#REF!</v>
      </c>
      <c r="NJ107" s="657" t="e">
        <f>ABS($B$34*NH107*3600)</f>
        <v>#VALUE!</v>
      </c>
      <c r="NK107" s="599" t="e">
        <f>NJ107*$C$87</f>
        <v>#VALUE!</v>
      </c>
      <c r="NL107" s="599" t="e">
        <f>NJ107*$F$78</f>
        <v>#VALUE!</v>
      </c>
      <c r="NM107" s="600" t="e">
        <f>NJ107*$F$83</f>
        <v>#VALUE!</v>
      </c>
      <c r="NN107" s="599" t="e">
        <f>NJ107*$F$80</f>
        <v>#VALUE!</v>
      </c>
      <c r="NO107" s="658" t="e">
        <f>NJ107*$F$79</f>
        <v>#VALUE!</v>
      </c>
      <c r="NP107" s="664"/>
      <c r="NQ107" s="660"/>
      <c r="NR107" s="661"/>
      <c r="NS107" s="651"/>
      <c r="NT107" s="662"/>
      <c r="NU107" s="663"/>
      <c r="NV107" s="656"/>
      <c r="NW107" s="649" t="str">
        <f>IF(NV107="Low",NS107*$D$42,IF(NV107="Med",NS107*$D$43,IF(NV107="High",NS107*$D$44,"rango cal. out")))</f>
        <v>rango cal. out</v>
      </c>
      <c r="NX107" s="652" t="e">
        <f>((273.2+NP107)*$F$33/((273.2+$F$32)*NR107))</f>
        <v>#DIV/0!</v>
      </c>
      <c r="NY107" s="653" t="e">
        <f>NW107/NT107*NX107*EXP(-LN(2)/10990*($F$96-NU107))</f>
        <v>#VALUE!</v>
      </c>
      <c r="NZ107" s="599" t="e">
        <f>NY107-AVERAGE(OG102:OG103)</f>
        <v>#VALUE!</v>
      </c>
      <c r="OA107" s="599" t="e">
        <f>ABS(#REF!*NZ107*3600)</f>
        <v>#REF!</v>
      </c>
      <c r="OB107" s="657" t="e">
        <f>ABS($B$34*NZ107*3600)</f>
        <v>#VALUE!</v>
      </c>
      <c r="OC107" s="599" t="e">
        <f>OB107*$C$87</f>
        <v>#VALUE!</v>
      </c>
      <c r="OD107" s="599" t="e">
        <f>OB107*$F$78</f>
        <v>#VALUE!</v>
      </c>
      <c r="OE107" s="600" t="e">
        <f>OB107*$F$83</f>
        <v>#VALUE!</v>
      </c>
      <c r="OF107" s="599" t="e">
        <f>OB107*$F$80</f>
        <v>#VALUE!</v>
      </c>
      <c r="OG107" s="658" t="e">
        <f>OB107*$F$79</f>
        <v>#VALUE!</v>
      </c>
      <c r="OH107" s="664"/>
      <c r="OI107" s="660"/>
      <c r="OJ107" s="661"/>
      <c r="OK107" s="651"/>
      <c r="OL107" s="662"/>
      <c r="OM107" s="663"/>
      <c r="ON107" s="656"/>
      <c r="OO107" s="649" t="str">
        <f>IF(ON107="Low",OK107*$D$42,IF(ON107="Med",OK107*$D$43,IF(ON107="High",OK107*$D$44,"rango cal. out")))</f>
        <v>rango cal. out</v>
      </c>
      <c r="OP107" s="652" t="e">
        <f>((273.2+OH107)*$F$33/((273.2+$F$32)*OJ107))</f>
        <v>#DIV/0!</v>
      </c>
      <c r="OQ107" s="653" t="e">
        <f>OO107/OL107*OP107*EXP(-LN(2)/10990*($F$96-OM107))</f>
        <v>#VALUE!</v>
      </c>
      <c r="OR107" s="599" t="e">
        <f>OQ107-AVERAGE(OY102:OY103)</f>
        <v>#VALUE!</v>
      </c>
      <c r="OS107" s="599" t="e">
        <f>ABS(#REF!*OR107*3600)</f>
        <v>#REF!</v>
      </c>
      <c r="OT107" s="657" t="e">
        <f>ABS($B$34*OR107*3600)</f>
        <v>#VALUE!</v>
      </c>
      <c r="OU107" s="599" t="e">
        <f>OT107*$C$87</f>
        <v>#VALUE!</v>
      </c>
      <c r="OV107" s="599" t="e">
        <f>OT107*$F$78</f>
        <v>#VALUE!</v>
      </c>
      <c r="OW107" s="600" t="e">
        <f>OT107*$F$83</f>
        <v>#VALUE!</v>
      </c>
      <c r="OX107" s="599" t="e">
        <f>OT107*$F$80</f>
        <v>#VALUE!</v>
      </c>
      <c r="OY107" s="658" t="e">
        <f>OT107*$F$79</f>
        <v>#VALUE!</v>
      </c>
      <c r="OZ107" s="664"/>
      <c r="PA107" s="660"/>
      <c r="PB107" s="661"/>
      <c r="PC107" s="651"/>
      <c r="PD107" s="662"/>
      <c r="PE107" s="663"/>
      <c r="PF107" s="656"/>
      <c r="PG107" s="649" t="str">
        <f>IF(PF107="Low",PC107*$D$42,IF(PF107="Med",PC107*$D$43,IF(PF107="High",PC107*$D$44,"rango cal. out")))</f>
        <v>rango cal. out</v>
      </c>
      <c r="PH107" s="652" t="e">
        <f>((273.2+OZ107)*$F$33/((273.2+$F$32)*PB107))</f>
        <v>#DIV/0!</v>
      </c>
      <c r="PI107" s="653" t="e">
        <f>PG107/PD107*PH107*EXP(-LN(2)/10990*($F$96-PE107))</f>
        <v>#VALUE!</v>
      </c>
      <c r="PJ107" s="599" t="e">
        <f>PI107-AVERAGE(PQ102:PQ103)</f>
        <v>#VALUE!</v>
      </c>
      <c r="PK107" s="599" t="e">
        <f>ABS(#REF!*PJ107*3600)</f>
        <v>#REF!</v>
      </c>
      <c r="PL107" s="657" t="e">
        <f>ABS($B$34*PJ107*3600)</f>
        <v>#VALUE!</v>
      </c>
      <c r="PM107" s="599" t="e">
        <f>PL107*$C$87</f>
        <v>#VALUE!</v>
      </c>
      <c r="PN107" s="599" t="e">
        <f>PL107*$F$78</f>
        <v>#VALUE!</v>
      </c>
      <c r="PO107" s="600" t="e">
        <f>PL107*$F$83</f>
        <v>#VALUE!</v>
      </c>
      <c r="PP107" s="599" t="e">
        <f>PL107*$F$80</f>
        <v>#VALUE!</v>
      </c>
      <c r="PQ107" s="658" t="e">
        <f>PL107*$F$79</f>
        <v>#VALUE!</v>
      </c>
      <c r="PR107" s="664"/>
      <c r="PS107" s="660"/>
      <c r="PT107" s="661"/>
      <c r="PU107" s="651"/>
      <c r="PV107" s="662"/>
      <c r="PW107" s="663"/>
      <c r="PX107" s="656"/>
      <c r="PY107" s="649" t="str">
        <f>IF(PX107="Low",PU107*$D$42,IF(PX107="Med",PU107*$D$43,IF(PX107="High",PU107*$D$44,"rango cal. out")))</f>
        <v>rango cal. out</v>
      </c>
      <c r="PZ107" s="652" t="e">
        <f>((273.2+PR107)*$F$33/((273.2+$F$32)*PT107))</f>
        <v>#DIV/0!</v>
      </c>
      <c r="QA107" s="653" t="e">
        <f>PY107/PV107*PZ107*EXP(-LN(2)/10990*($F$96-PW107))</f>
        <v>#VALUE!</v>
      </c>
      <c r="QB107" s="599" t="e">
        <f>QA107-AVERAGE(QI102:QI103)</f>
        <v>#VALUE!</v>
      </c>
      <c r="QC107" s="599" t="e">
        <f>ABS(#REF!*QB107*3600)</f>
        <v>#REF!</v>
      </c>
      <c r="QD107" s="657" t="e">
        <f>ABS($B$34*QB107*3600)</f>
        <v>#VALUE!</v>
      </c>
      <c r="QE107" s="599" t="e">
        <f>QD107*$C$87</f>
        <v>#VALUE!</v>
      </c>
      <c r="QF107" s="599" t="e">
        <f>QD107*$F$78</f>
        <v>#VALUE!</v>
      </c>
      <c r="QG107" s="600" t="e">
        <f>QD107*$F$83</f>
        <v>#VALUE!</v>
      </c>
      <c r="QH107" s="599" t="e">
        <f>QD107*$F$80</f>
        <v>#VALUE!</v>
      </c>
      <c r="QI107" s="658" t="e">
        <f>QD107*$F$79</f>
        <v>#VALUE!</v>
      </c>
      <c r="QJ107" s="664"/>
      <c r="QK107" s="660"/>
      <c r="QL107" s="661"/>
      <c r="QM107" s="651"/>
      <c r="QN107" s="662"/>
      <c r="QO107" s="663"/>
      <c r="QP107" s="656"/>
      <c r="QQ107" s="649" t="str">
        <f>IF(QP107="Low",QM107*$D$42,IF(QP107="Med",QM107*$D$43,IF(QP107="High",QM107*$D$44,"rango cal. out")))</f>
        <v>rango cal. out</v>
      </c>
      <c r="QR107" s="652" t="e">
        <f>((273.2+QJ107)*$F$33/((273.2+$F$32)*QL107))</f>
        <v>#DIV/0!</v>
      </c>
      <c r="QS107" s="653" t="e">
        <f>QQ107/QN107*QR107*EXP(-LN(2)/10990*($F$96-QO107))</f>
        <v>#VALUE!</v>
      </c>
      <c r="QT107" s="599" t="e">
        <f>QS107-AVERAGE(RA102:RA103)</f>
        <v>#VALUE!</v>
      </c>
      <c r="QU107" s="599" t="e">
        <f>ABS(#REF!*QT107*3600)</f>
        <v>#REF!</v>
      </c>
      <c r="QV107" s="657" t="e">
        <f>ABS($B$34*QT107*3600)</f>
        <v>#VALUE!</v>
      </c>
      <c r="QW107" s="599" t="e">
        <f>QV107*$C$87</f>
        <v>#VALUE!</v>
      </c>
      <c r="QX107" s="599" t="e">
        <f>QV107*$F$78</f>
        <v>#VALUE!</v>
      </c>
      <c r="QY107" s="600" t="e">
        <f>QV107*$F$83</f>
        <v>#VALUE!</v>
      </c>
      <c r="QZ107" s="599" t="e">
        <f>QV107*$F$80</f>
        <v>#VALUE!</v>
      </c>
      <c r="RA107" s="658" t="e">
        <f>QV107*$F$79</f>
        <v>#VALUE!</v>
      </c>
      <c r="RB107" s="664"/>
      <c r="RC107" s="660"/>
      <c r="RD107" s="661"/>
      <c r="RE107" s="651"/>
      <c r="RF107" s="667"/>
      <c r="RG107" s="663"/>
      <c r="RH107" s="656"/>
      <c r="RI107" s="649" t="str">
        <f>IF(RH107="Low",RE107*$D$42,IF(RH107="Med",RE107*$D$43,IF(RH107="High",RE107*$D$44,"rango cal. out")))</f>
        <v>rango cal. out</v>
      </c>
      <c r="RJ107" s="652" t="e">
        <f>((273.2+RB107)*$F$33/((273.2+$F$32)*RD107))</f>
        <v>#DIV/0!</v>
      </c>
      <c r="RK107" s="653" t="e">
        <f>RI107/RF107*RJ107*EXP(-LN(2)/10990*($F$96-RG107))</f>
        <v>#VALUE!</v>
      </c>
      <c r="RL107" s="599" t="e">
        <f>RK107-AVERAGE(RS102:RS103)</f>
        <v>#VALUE!</v>
      </c>
      <c r="RM107" s="599" t="e">
        <f>ABS(#REF!*RL107*3600)</f>
        <v>#REF!</v>
      </c>
      <c r="RN107" s="657" t="e">
        <f>ABS($B$34*RL107*3600)</f>
        <v>#VALUE!</v>
      </c>
      <c r="RO107" s="599" t="e">
        <f>RN107*$C$87</f>
        <v>#VALUE!</v>
      </c>
      <c r="RP107" s="599" t="e">
        <f>RN107*$F$78</f>
        <v>#VALUE!</v>
      </c>
      <c r="RQ107" s="600" t="e">
        <f>RN107*$F$83</f>
        <v>#VALUE!</v>
      </c>
      <c r="RR107" s="599" t="e">
        <f>RN107*$F$80</f>
        <v>#VALUE!</v>
      </c>
      <c r="RS107" s="658" t="e">
        <f>RN107*$F$79</f>
        <v>#VALUE!</v>
      </c>
      <c r="RT107" s="664"/>
      <c r="RU107" s="660"/>
      <c r="RV107" s="659"/>
      <c r="RW107" s="665"/>
      <c r="RX107" s="662"/>
      <c r="RY107" s="663"/>
      <c r="RZ107" s="656"/>
      <c r="SA107" s="649" t="str">
        <f>IF(RZ107="Low",RW107*$D$42,IF(RZ107="Med",RW107*$D$43,IF(RZ107="High",RW107*$D$44,"rango cal. out")))</f>
        <v>rango cal. out</v>
      </c>
      <c r="SB107" s="652" t="e">
        <f>((273.2+RT107)*$F$33/((273.2+$F$32)*RV107))</f>
        <v>#DIV/0!</v>
      </c>
      <c r="SC107" s="653" t="e">
        <f>SA107/RX107*SB107*EXP(-LN(2)/10990*($F$96-RY107))</f>
        <v>#VALUE!</v>
      </c>
      <c r="SD107" s="599" t="e">
        <f>SC107-AVERAGE(SK102:SK103)</f>
        <v>#VALUE!</v>
      </c>
      <c r="SE107" s="599" t="e">
        <f>ABS(#REF!*SD107*3600)</f>
        <v>#REF!</v>
      </c>
      <c r="SF107" s="657" t="e">
        <f>ABS($B$34*SD107*3600)</f>
        <v>#VALUE!</v>
      </c>
      <c r="SG107" s="599" t="e">
        <f>SF107*$C$87</f>
        <v>#VALUE!</v>
      </c>
      <c r="SH107" s="599" t="e">
        <f>SF107*$F$78</f>
        <v>#VALUE!</v>
      </c>
      <c r="SI107" s="600" t="e">
        <f>SF107*$F$83</f>
        <v>#VALUE!</v>
      </c>
      <c r="SJ107" s="599" t="e">
        <f>SF107*$F$80</f>
        <v>#VALUE!</v>
      </c>
      <c r="SK107" s="658" t="e">
        <f>SF107*$F$79</f>
        <v>#VALUE!</v>
      </c>
      <c r="SL107" s="664"/>
      <c r="SM107" s="660"/>
      <c r="SN107" s="661"/>
      <c r="SO107" s="651"/>
      <c r="SP107" s="662"/>
      <c r="SQ107" s="663"/>
      <c r="SR107" s="656"/>
      <c r="SS107" s="649" t="str">
        <f>IF(SR107="Low",SO107*$D$42,IF(SR107="Med",SO107*$D$43,IF(SR107="High",SO107*$D$44,"rango cal. out")))</f>
        <v>rango cal. out</v>
      </c>
      <c r="ST107" s="652" t="e">
        <f>((273.2+SL107)*$F$33/((273.2+$F$32)*SN107))</f>
        <v>#DIV/0!</v>
      </c>
      <c r="SU107" s="653" t="e">
        <f>SS107/SP107*ST107*EXP(-LN(2)/10990*($F$96-SQ107))</f>
        <v>#VALUE!</v>
      </c>
      <c r="SV107" s="599" t="e">
        <f>SU107-AVERAGE(TC102:TC103)</f>
        <v>#VALUE!</v>
      </c>
      <c r="SW107" s="599" t="e">
        <f>ABS(#REF!*SV107*3600)</f>
        <v>#REF!</v>
      </c>
      <c r="SX107" s="657" t="e">
        <f>ABS($B$34*SV107*3600)</f>
        <v>#VALUE!</v>
      </c>
      <c r="SY107" s="599" t="e">
        <f>SX107*$C$87</f>
        <v>#VALUE!</v>
      </c>
      <c r="SZ107" s="599" t="e">
        <f>SX107*$F$78</f>
        <v>#VALUE!</v>
      </c>
      <c r="TA107" s="600" t="e">
        <f>SX107*$F$83</f>
        <v>#VALUE!</v>
      </c>
      <c r="TB107" s="599" t="e">
        <f>SX107*$F$80</f>
        <v>#VALUE!</v>
      </c>
      <c r="TC107" s="658" t="e">
        <f>SX107*$F$79</f>
        <v>#VALUE!</v>
      </c>
      <c r="TD107" s="664"/>
      <c r="TE107" s="660"/>
      <c r="TF107" s="661"/>
      <c r="TG107" s="649"/>
      <c r="TH107" s="662"/>
      <c r="TI107" s="663"/>
      <c r="TJ107" s="656"/>
      <c r="TK107" s="649" t="str">
        <f>IF(TJ107="Low",TG107*$D$42,IF(TJ107="Med",TG107*$D$43,IF(TJ107="High",TG107*$D$44,"rango cal. out")))</f>
        <v>rango cal. out</v>
      </c>
      <c r="TL107" s="652" t="e">
        <f>((273.2+TD107)*$F$33/((273.2+$F$32)*TF107))</f>
        <v>#DIV/0!</v>
      </c>
      <c r="TM107" s="653" t="e">
        <f>TK107/TH107*TL107*EXP(-LN(2)/10990*($F$96-TI107))</f>
        <v>#VALUE!</v>
      </c>
      <c r="TN107" s="599" t="e">
        <f>TM107-AVERAGE(TU102:TU103)</f>
        <v>#VALUE!</v>
      </c>
      <c r="TO107" s="599" t="e">
        <f>ABS(#REF!*TN107*3600)</f>
        <v>#REF!</v>
      </c>
      <c r="TP107" s="657" t="e">
        <f>ABS($B$34*TN107*3600)</f>
        <v>#VALUE!</v>
      </c>
      <c r="TQ107" s="599" t="e">
        <f>TP107*$C$87</f>
        <v>#VALUE!</v>
      </c>
      <c r="TR107" s="599" t="e">
        <f>TP107*$F$78</f>
        <v>#VALUE!</v>
      </c>
      <c r="TS107" s="600" t="e">
        <f>TP107*$F$83</f>
        <v>#VALUE!</v>
      </c>
      <c r="TT107" s="599" t="e">
        <f>TP107*$F$80</f>
        <v>#VALUE!</v>
      </c>
      <c r="TU107" s="658" t="e">
        <f>TP107*$F$79</f>
        <v>#VALUE!</v>
      </c>
      <c r="TV107" s="664"/>
      <c r="TW107" s="660"/>
      <c r="TX107" s="661"/>
      <c r="TY107" s="651"/>
      <c r="TZ107" s="662"/>
      <c r="UA107" s="663"/>
      <c r="UB107" s="656"/>
      <c r="UC107" s="649" t="str">
        <f>IF(UB107="Low",TY107*$D$42,IF(UB107="Med",TY107*$D$43,IF(UB107="High",TY107*$D$44,"rango cal. out")))</f>
        <v>rango cal. out</v>
      </c>
      <c r="UD107" s="652" t="e">
        <f>((273.2+TV107)*$F$33/((273.2+$F$32)*TX107))</f>
        <v>#DIV/0!</v>
      </c>
      <c r="UE107" s="653" t="e">
        <f>UC107/TZ107*UD107*EXP(-LN(2)/10990*($F$96-UA107))</f>
        <v>#VALUE!</v>
      </c>
      <c r="UF107" s="599" t="e">
        <f>UE107-AVERAGE(UM102:UM103)</f>
        <v>#VALUE!</v>
      </c>
      <c r="UG107" s="599" t="e">
        <f>ABS(#REF!*UF107*3600)</f>
        <v>#REF!</v>
      </c>
      <c r="UH107" s="657" t="e">
        <f>ABS($B$34*UF107*3600)</f>
        <v>#VALUE!</v>
      </c>
      <c r="UI107" s="599" t="e">
        <f>UH107*$C$87</f>
        <v>#VALUE!</v>
      </c>
      <c r="UJ107" s="599" t="e">
        <f>UH107*$F$78</f>
        <v>#VALUE!</v>
      </c>
      <c r="UK107" s="600" t="e">
        <f>UH107*$F$83</f>
        <v>#VALUE!</v>
      </c>
      <c r="UL107" s="599" t="e">
        <f>UH107*$F$80</f>
        <v>#VALUE!</v>
      </c>
      <c r="UM107" s="658" t="e">
        <f>UH107*$F$79</f>
        <v>#VALUE!</v>
      </c>
      <c r="UN107" s="664"/>
      <c r="UO107" s="660"/>
      <c r="UP107" s="661"/>
      <c r="UQ107" s="649"/>
      <c r="UR107" s="662"/>
      <c r="US107" s="663"/>
      <c r="UT107" s="656"/>
      <c r="UU107" s="649" t="str">
        <f>IF(UT107="Low",UQ107*$D$42,IF(UT107="Med",UQ107*$D$43,IF(UT107="High",UQ107*$D$44,"rango cal. out")))</f>
        <v>rango cal. out</v>
      </c>
      <c r="UV107" s="652" t="e">
        <f>((273.2+UN107)*$F$33/((273.2+$F$32)*UP107))</f>
        <v>#DIV/0!</v>
      </c>
      <c r="UW107" s="653" t="e">
        <f>UU107/UR107*UV107*EXP(-LN(2)/10990*($F$96-US107))</f>
        <v>#VALUE!</v>
      </c>
      <c r="UX107" s="599" t="e">
        <f>UW107-AVERAGE(VE102:VE103)</f>
        <v>#VALUE!</v>
      </c>
      <c r="UY107" s="599" t="e">
        <f>ABS(#REF!*UX107*3600)</f>
        <v>#REF!</v>
      </c>
      <c r="UZ107" s="657" t="e">
        <f>ABS($B$34*UX107*3600)</f>
        <v>#VALUE!</v>
      </c>
      <c r="VA107" s="599" t="e">
        <f>UZ107*$C$87</f>
        <v>#VALUE!</v>
      </c>
      <c r="VB107" s="599" t="e">
        <f>UZ107*$F$78</f>
        <v>#VALUE!</v>
      </c>
      <c r="VC107" s="600" t="e">
        <f>UZ107*$F$83</f>
        <v>#VALUE!</v>
      </c>
      <c r="VD107" s="599" t="e">
        <f>UZ107*$F$80</f>
        <v>#VALUE!</v>
      </c>
      <c r="VE107" s="658" t="e">
        <f>UZ107*$F$79</f>
        <v>#VALUE!</v>
      </c>
    </row>
    <row r="108" spans="1:577" x14ac:dyDescent="0.25">
      <c r="A108" s="2205"/>
      <c r="B108" s="2083">
        <v>20.3</v>
      </c>
      <c r="C108" s="2084">
        <v>53</v>
      </c>
      <c r="D108" s="2084">
        <v>1010</v>
      </c>
      <c r="E108" s="2085">
        <v>-2.92E-8</v>
      </c>
      <c r="F108" s="2084">
        <v>60</v>
      </c>
      <c r="G108" s="2152">
        <v>44333</v>
      </c>
      <c r="H108" s="2153" t="s">
        <v>1042</v>
      </c>
      <c r="I108" s="2076">
        <f>IF(H108="Low",E108*$D$42,IF(H108="Med",E108*$D$43,IF(H108="High",E108*$D$44,"rango cal. out")))</f>
        <v>-2.9229199999999997E-8</v>
      </c>
      <c r="J108" s="2077">
        <f>((273.2+B108)*$F$33/((273.2+$F$32)*D108))</f>
        <v>0.99744048337760605</v>
      </c>
      <c r="K108" s="2078">
        <f>I108/F108*J108*EXP(-LN(2)/10990*($F$96-G108))</f>
        <v>-4.8117939706259366E-10</v>
      </c>
      <c r="L108" s="2075">
        <f>K108-AVERAGE(S102:S103)</f>
        <v>-4.8115558509522214E-10</v>
      </c>
      <c r="M108" s="2087" t="e">
        <f>ABS(#REF!*L108*3600)</f>
        <v>#REF!</v>
      </c>
      <c r="N108" s="2073">
        <f>ABS($B$34*L108*3600)</f>
        <v>4.3650434679838555E-2</v>
      </c>
      <c r="O108" s="2074">
        <f>N108*$C$87</f>
        <v>4.3650434679838552</v>
      </c>
      <c r="P108" s="2081">
        <f>N108*$F$78</f>
        <v>5.2380521615806266E-2</v>
      </c>
      <c r="Q108" s="2080">
        <f>N108*$F$83</f>
        <v>5.2817025962604652E-2</v>
      </c>
      <c r="R108" s="2081">
        <f>N108*$F$80</f>
        <v>5.2817025962604652E-2</v>
      </c>
      <c r="S108" s="2082">
        <f>N108*$F$79</f>
        <v>5.4563043349798196E-2</v>
      </c>
      <c r="T108" s="677"/>
      <c r="U108" s="669"/>
      <c r="V108" s="670"/>
      <c r="W108" s="671"/>
      <c r="X108" s="678"/>
      <c r="Y108" s="650"/>
      <c r="Z108" s="650"/>
      <c r="AA108" s="671" t="str">
        <f>IF(Z108="Low",W108*$D$42,IF(Z108="Med",W108*$D$43,IF(Z108="High",W108*$D$44,"rango cal. out")))</f>
        <v>rango cal. out</v>
      </c>
      <c r="AB108" s="619" t="e">
        <f>((273.2+T108)*$F$33/((273.2+$F$32)*V108))</f>
        <v>#DIV/0!</v>
      </c>
      <c r="AC108" s="674" t="e">
        <f>AA108/X108*AB108*EXP(-LN(2)/10990*($F$96-Y108))</f>
        <v>#VALUE!</v>
      </c>
      <c r="AD108" s="599" t="e">
        <f>AC108-AVERAGE(#REF!)</f>
        <v>#VALUE!</v>
      </c>
      <c r="AE108" s="672" t="e">
        <f>ABS(#REF!*AD108*3600)</f>
        <v>#REF!</v>
      </c>
      <c r="AF108" s="675" t="e">
        <f>ABS($B$34*AD108*3600)</f>
        <v>#VALUE!</v>
      </c>
      <c r="AG108" s="614" t="e">
        <f>AF108*$C$87</f>
        <v>#VALUE!</v>
      </c>
      <c r="AH108" s="672" t="e">
        <f>AF108*$F$78</f>
        <v>#VALUE!</v>
      </c>
      <c r="AI108" s="599" t="e">
        <f>AF108*$F$83</f>
        <v>#VALUE!</v>
      </c>
      <c r="AJ108" s="672" t="e">
        <f>AF108*$F$80</f>
        <v>#VALUE!</v>
      </c>
      <c r="AK108" s="676" t="e">
        <f>AF108*$F$79</f>
        <v>#VALUE!</v>
      </c>
      <c r="AL108" s="668"/>
      <c r="AM108" s="669"/>
      <c r="AN108" s="670"/>
      <c r="AO108" s="671"/>
      <c r="AP108" s="678"/>
      <c r="AQ108" s="650"/>
      <c r="AR108" s="650"/>
      <c r="AS108" s="671" t="str">
        <f>IF(AR108="Low",AO108*$D$42,IF(AR108="Med",AO108*$D$43,IF(AR108="High",AO108*$D$44,"rango cal. out")))</f>
        <v>rango cal. out</v>
      </c>
      <c r="AT108" s="619" t="e">
        <f>((273.2+AL108)*$F$33/((273.2+$F$32)*AN108))</f>
        <v>#DIV/0!</v>
      </c>
      <c r="AU108" s="674" t="e">
        <f>AS108/AP108*AT108*EXP(-LN(2)/10990*($F$96-AQ108))</f>
        <v>#VALUE!</v>
      </c>
      <c r="AV108" s="599" t="e">
        <f>AU108-AVERAGE(BC102:BC103)</f>
        <v>#VALUE!</v>
      </c>
      <c r="AW108" s="672" t="e">
        <f>ABS(#REF!*AV108*3600)</f>
        <v>#REF!</v>
      </c>
      <c r="AX108" s="675" t="e">
        <f>ABS($B$34*AV108*3600)</f>
        <v>#VALUE!</v>
      </c>
      <c r="AY108" s="614" t="e">
        <f>AX108*$C$87</f>
        <v>#VALUE!</v>
      </c>
      <c r="AZ108" s="672" t="e">
        <f>AX108*$F$78</f>
        <v>#VALUE!</v>
      </c>
      <c r="BA108" s="599" t="e">
        <f>AX108*$F$83</f>
        <v>#VALUE!</v>
      </c>
      <c r="BB108" s="672" t="e">
        <f>AX108*$F$80</f>
        <v>#VALUE!</v>
      </c>
      <c r="BC108" s="676" t="e">
        <f>AX108*$F$79</f>
        <v>#VALUE!</v>
      </c>
      <c r="BD108" s="668"/>
      <c r="BE108" s="669"/>
      <c r="BF108" s="670"/>
      <c r="BG108" s="671"/>
      <c r="BH108" s="678"/>
      <c r="BI108" s="663">
        <v>44333</v>
      </c>
      <c r="BJ108" s="650"/>
      <c r="BK108" s="671" t="str">
        <f>IF(BJ108="Low",BG108*$D$42,IF(BJ108="Med",BG108*$D$43,IF(BJ108="High",BG108*$D$44,"rango cal. out")))</f>
        <v>rango cal. out</v>
      </c>
      <c r="BL108" s="619" t="e">
        <f>((273.2+BD108)*$F$33/((273.2+$F$32)*BF108))</f>
        <v>#DIV/0!</v>
      </c>
      <c r="BM108" s="674" t="e">
        <f>BK108/BH108*BL108*EXP(-LN(2)/10990*($F$96-BI108))</f>
        <v>#VALUE!</v>
      </c>
      <c r="BN108" s="599" t="e">
        <f>BM108-AVERAGE(BU102:BU103)</f>
        <v>#VALUE!</v>
      </c>
      <c r="BO108" s="672" t="e">
        <f>ABS(#REF!*BN108*3600)</f>
        <v>#REF!</v>
      </c>
      <c r="BP108" s="675" t="e">
        <f>ABS($B$34*BN108*3600)</f>
        <v>#VALUE!</v>
      </c>
      <c r="BQ108" s="614" t="e">
        <f>BP108*$C$87</f>
        <v>#VALUE!</v>
      </c>
      <c r="BR108" s="672" t="e">
        <f>BP108*$F$78</f>
        <v>#VALUE!</v>
      </c>
      <c r="BS108" s="599" t="e">
        <f>BP108*$F$83</f>
        <v>#VALUE!</v>
      </c>
      <c r="BT108" s="672" t="e">
        <f>BP108*$F$80</f>
        <v>#VALUE!</v>
      </c>
      <c r="BU108" s="676" t="e">
        <f>BP108*$F$79</f>
        <v>#VALUE!</v>
      </c>
      <c r="BV108" s="668"/>
      <c r="BW108" s="669"/>
      <c r="BX108" s="670"/>
      <c r="BY108" s="671"/>
      <c r="BZ108" s="678"/>
      <c r="CA108" s="663">
        <v>44333</v>
      </c>
      <c r="CB108" s="650"/>
      <c r="CC108" s="671" t="str">
        <f>IF(CB108="Low",BY108*$D$42,IF(CB108="Med",BY108*$D$43,IF(CB108="High",BY108*$D$44,"rango cal. out")))</f>
        <v>rango cal. out</v>
      </c>
      <c r="CD108" s="619" t="e">
        <f>((273.2+BV108)*$F$33/((273.2+$F$32)*BX108))</f>
        <v>#DIV/0!</v>
      </c>
      <c r="CE108" s="674" t="e">
        <f>CC108/BZ108*CD108*EXP(-LN(2)/10990*($F$96-CA108))</f>
        <v>#VALUE!</v>
      </c>
      <c r="CF108" s="599" t="e">
        <f>CE108-AVERAGE(CM102:CM103)</f>
        <v>#VALUE!</v>
      </c>
      <c r="CG108" s="672" t="e">
        <f>ABS(#REF!*CF108*3600)</f>
        <v>#REF!</v>
      </c>
      <c r="CH108" s="675" t="e">
        <f>ABS($B$34*CF108*3600)</f>
        <v>#VALUE!</v>
      </c>
      <c r="CI108" s="614" t="e">
        <f>CH108*$C$87</f>
        <v>#VALUE!</v>
      </c>
      <c r="CJ108" s="672" t="e">
        <f>CH108*$F$78</f>
        <v>#VALUE!</v>
      </c>
      <c r="CK108" s="599" t="e">
        <f>CH108*$F$83</f>
        <v>#VALUE!</v>
      </c>
      <c r="CL108" s="672" t="e">
        <f>CH108*$F$80</f>
        <v>#VALUE!</v>
      </c>
      <c r="CM108" s="676" t="e">
        <f>CH108*$F$79</f>
        <v>#VALUE!</v>
      </c>
      <c r="CN108" s="668"/>
      <c r="CO108" s="669"/>
      <c r="CP108" s="670"/>
      <c r="CQ108" s="671"/>
      <c r="CR108" s="678"/>
      <c r="CS108" s="663">
        <v>44333</v>
      </c>
      <c r="CT108" s="650"/>
      <c r="CU108" s="671" t="str">
        <f>IF(CT108="Low",CQ108*$D$42,IF(CT108="Med",CQ108*$D$43,IF(CT108="High",CQ108*$D$44,"rango cal. out")))</f>
        <v>rango cal. out</v>
      </c>
      <c r="CV108" s="619" t="e">
        <f>((273.2+CN108)*$F$33/((273.2+$F$32)*CP108))</f>
        <v>#DIV/0!</v>
      </c>
      <c r="CW108" s="674" t="e">
        <f>CU108/CR108*CV108*EXP(-LN(2)/10990*($F$96-CS108))</f>
        <v>#VALUE!</v>
      </c>
      <c r="CX108" s="599" t="e">
        <f>CW108-AVERAGE(DE102:DE103)</f>
        <v>#VALUE!</v>
      </c>
      <c r="CY108" s="672" t="e">
        <f>ABS(#REF!*CX108*3600)</f>
        <v>#REF!</v>
      </c>
      <c r="CZ108" s="675" t="e">
        <f>ABS($B$34*CX108*3600)</f>
        <v>#VALUE!</v>
      </c>
      <c r="DA108" s="614" t="e">
        <f>CZ108*$C$87</f>
        <v>#VALUE!</v>
      </c>
      <c r="DB108" s="672" t="e">
        <f>CZ108*$F$78</f>
        <v>#VALUE!</v>
      </c>
      <c r="DC108" s="599" t="e">
        <f>CZ108*$F$83</f>
        <v>#VALUE!</v>
      </c>
      <c r="DD108" s="672" t="e">
        <f>CZ108*$F$80</f>
        <v>#VALUE!</v>
      </c>
      <c r="DE108" s="676" t="e">
        <f>CZ108*$F$79</f>
        <v>#VALUE!</v>
      </c>
      <c r="DF108" s="668"/>
      <c r="DG108" s="669"/>
      <c r="DH108" s="670"/>
      <c r="DI108" s="671"/>
      <c r="DJ108" s="678"/>
      <c r="DK108" s="650"/>
      <c r="DL108" s="650"/>
      <c r="DM108" s="671" t="str">
        <f>IF(DL108="Low",DI108*$D$42,IF(DL108="Med",DI108*$D$43,IF(DL108="High",DI108*$D$44,"rango cal. out")))</f>
        <v>rango cal. out</v>
      </c>
      <c r="DN108" s="619" t="e">
        <f>((273.2+DF108)*$F$33/((273.2+$F$32)*DH108))</f>
        <v>#DIV/0!</v>
      </c>
      <c r="DO108" s="674" t="e">
        <f>DM108/DJ108*DN108*EXP(-LN(2)/10990*($F$96-DK108))</f>
        <v>#VALUE!</v>
      </c>
      <c r="DP108" s="599" t="e">
        <f>DO108-AVERAGE(DW102:DW103)</f>
        <v>#VALUE!</v>
      </c>
      <c r="DQ108" s="672" t="e">
        <f>ABS(#REF!*DP108*3600)</f>
        <v>#REF!</v>
      </c>
      <c r="DR108" s="675" t="e">
        <f>ABS($B$34*DP108*3600)</f>
        <v>#VALUE!</v>
      </c>
      <c r="DS108" s="614" t="e">
        <f>DR108*$C$87</f>
        <v>#VALUE!</v>
      </c>
      <c r="DT108" s="672" t="e">
        <f>DR108*$F$78</f>
        <v>#VALUE!</v>
      </c>
      <c r="DU108" s="599" t="e">
        <f>DR108*$F$83</f>
        <v>#VALUE!</v>
      </c>
      <c r="DV108" s="672" t="e">
        <f>DR108*$F$80</f>
        <v>#VALUE!</v>
      </c>
      <c r="DW108" s="676" t="e">
        <f>DR108*$F$79</f>
        <v>#VALUE!</v>
      </c>
      <c r="DX108" s="668"/>
      <c r="DY108" s="669"/>
      <c r="DZ108" s="677"/>
      <c r="EA108" s="679"/>
      <c r="EB108" s="678"/>
      <c r="EC108" s="650"/>
      <c r="ED108" s="650"/>
      <c r="EE108" s="671" t="str">
        <f>IF(ED108="Low",EA108*$D$42,IF(ED108="Med",EA108*$D$43,IF(ED108="High",EA108*$D$44,"rango cal. out")))</f>
        <v>rango cal. out</v>
      </c>
      <c r="EF108" s="619" t="e">
        <f>((273.2+DX108)*$F$33/((273.2+$F$32)*DZ108))</f>
        <v>#DIV/0!</v>
      </c>
      <c r="EG108" s="674" t="e">
        <f>EE108/EB108*EF108*EXP(-LN(2)/10990*($F$96-EC108))</f>
        <v>#VALUE!</v>
      </c>
      <c r="EH108" s="599" t="e">
        <f>EG108-AVERAGE(EO102:EO103)</f>
        <v>#VALUE!</v>
      </c>
      <c r="EI108" s="672" t="e">
        <f>ABS(#REF!*EH108*3600)</f>
        <v>#REF!</v>
      </c>
      <c r="EJ108" s="675" t="e">
        <f>ABS($B$34*EH108*3600)</f>
        <v>#VALUE!</v>
      </c>
      <c r="EK108" s="614" t="e">
        <f>EJ108*$C$87</f>
        <v>#VALUE!</v>
      </c>
      <c r="EL108" s="672" t="e">
        <f>EJ108*$F$78</f>
        <v>#VALUE!</v>
      </c>
      <c r="EM108" s="599" t="e">
        <f>EJ108*$F$83</f>
        <v>#VALUE!</v>
      </c>
      <c r="EN108" s="672" t="e">
        <f>EJ108*$F$80</f>
        <v>#VALUE!</v>
      </c>
      <c r="EO108" s="676" t="e">
        <f>EJ108*$F$79</f>
        <v>#VALUE!</v>
      </c>
      <c r="EP108" s="668"/>
      <c r="EQ108" s="669"/>
      <c r="ER108" s="670"/>
      <c r="ES108" s="671"/>
      <c r="ET108" s="678"/>
      <c r="EU108" s="663">
        <v>44333</v>
      </c>
      <c r="EV108" s="650"/>
      <c r="EW108" s="671" t="str">
        <f>IF(EV108="Low",ES108*$D$42,IF(EV108="Med",ES108*$D$43,IF(EV108="High",ES108*$D$44,"rango cal. out")))</f>
        <v>rango cal. out</v>
      </c>
      <c r="EX108" s="619" t="e">
        <f>((273.2+EP108)*$F$33/((273.2+$F$32)*ER108))</f>
        <v>#DIV/0!</v>
      </c>
      <c r="EY108" s="674" t="e">
        <f>EW108/ET108*EX108*EXP(-LN(2)/10990*($F$96-EU108))</f>
        <v>#VALUE!</v>
      </c>
      <c r="EZ108" s="599" t="e">
        <f>EY108-AVERAGE(FG102:FG103)</f>
        <v>#VALUE!</v>
      </c>
      <c r="FA108" s="672" t="e">
        <f>ABS(#REF!*EZ108*3600)</f>
        <v>#REF!</v>
      </c>
      <c r="FB108" s="675" t="e">
        <f>ABS($B$34*EZ108*3600)</f>
        <v>#VALUE!</v>
      </c>
      <c r="FC108" s="614" t="e">
        <f>FB108*$C$87</f>
        <v>#VALUE!</v>
      </c>
      <c r="FD108" s="672" t="e">
        <f>FB108*$F$78</f>
        <v>#VALUE!</v>
      </c>
      <c r="FE108" s="599" t="e">
        <f>FB108*$F$83</f>
        <v>#VALUE!</v>
      </c>
      <c r="FF108" s="672" t="e">
        <f>FB108*$F$80</f>
        <v>#VALUE!</v>
      </c>
      <c r="FG108" s="676" t="e">
        <f>FB108*$F$79</f>
        <v>#VALUE!</v>
      </c>
      <c r="FH108" s="668"/>
      <c r="FI108" s="669"/>
      <c r="FJ108" s="670"/>
      <c r="FK108" s="671"/>
      <c r="FL108" s="678"/>
      <c r="FM108" s="650"/>
      <c r="FN108" s="650"/>
      <c r="FO108" s="671" t="str">
        <f>IF(FN108="Low",FK108*$D$42,IF(FN108="Med",FK108*$D$43,IF(FN108="High",FK108*$D$44,"rango cal. out")))</f>
        <v>rango cal. out</v>
      </c>
      <c r="FP108" s="619" t="e">
        <f>((273.2+FH108)*$F$33/((273.2+$F$32)*FJ108))</f>
        <v>#DIV/0!</v>
      </c>
      <c r="FQ108" s="674" t="e">
        <f>FO108/FL108*FP108*EXP(-LN(2)/10990*($F$96-FM108))</f>
        <v>#VALUE!</v>
      </c>
      <c r="FR108" s="599" t="e">
        <f>FQ108-AVERAGE(FY102:FY103)</f>
        <v>#VALUE!</v>
      </c>
      <c r="FS108" s="672" t="e">
        <f>ABS(#REF!*FR108*3600)</f>
        <v>#REF!</v>
      </c>
      <c r="FT108" s="675" t="e">
        <f>ABS($B$34*FR108*3600)</f>
        <v>#VALUE!</v>
      </c>
      <c r="FU108" s="614" t="e">
        <f>FT108*$C$87</f>
        <v>#VALUE!</v>
      </c>
      <c r="FV108" s="672" t="e">
        <f>FT108*$F$78</f>
        <v>#VALUE!</v>
      </c>
      <c r="FW108" s="599" t="e">
        <f>FT108*$F$83</f>
        <v>#VALUE!</v>
      </c>
      <c r="FX108" s="672" t="e">
        <f>FT108*$F$80</f>
        <v>#VALUE!</v>
      </c>
      <c r="FY108" s="676" t="e">
        <f>FT108*$F$79</f>
        <v>#VALUE!</v>
      </c>
      <c r="FZ108" s="668"/>
      <c r="GA108" s="669"/>
      <c r="GB108" s="670"/>
      <c r="GC108" s="671"/>
      <c r="GD108" s="678"/>
      <c r="GE108" s="650"/>
      <c r="GF108" s="650"/>
      <c r="GG108" s="671" t="str">
        <f>IF(GF108="Low",GC108*$D$42,IF(GF108="Med",GC108*$D$43,IF(GF108="High",GC108*$D$44,"rango cal. out")))</f>
        <v>rango cal. out</v>
      </c>
      <c r="GH108" s="619" t="e">
        <f>((273.2+FZ108)*$F$33/((273.2+$F$32)*GB108))</f>
        <v>#DIV/0!</v>
      </c>
      <c r="GI108" s="674" t="e">
        <f>GG108/GD108*GH108*EXP(-LN(2)/10990*($F$96-GE108))</f>
        <v>#VALUE!</v>
      </c>
      <c r="GJ108" s="599" t="e">
        <f>GI108-AVERAGE(GQ102:GQ103)</f>
        <v>#VALUE!</v>
      </c>
      <c r="GK108" s="672" t="e">
        <f>ABS(#REF!*GJ108*3600)</f>
        <v>#REF!</v>
      </c>
      <c r="GL108" s="675" t="e">
        <f>ABS($B$34*GJ108*3600)</f>
        <v>#VALUE!</v>
      </c>
      <c r="GM108" s="614" t="e">
        <f>GL108*$C$87</f>
        <v>#VALUE!</v>
      </c>
      <c r="GN108" s="672" t="e">
        <f>GL108*$F$78</f>
        <v>#VALUE!</v>
      </c>
      <c r="GO108" s="599" t="e">
        <f>GL108*$F$83</f>
        <v>#VALUE!</v>
      </c>
      <c r="GP108" s="672" t="e">
        <f>GL108*$F$80</f>
        <v>#VALUE!</v>
      </c>
      <c r="GQ108" s="676" t="e">
        <f>GL108*$F$79</f>
        <v>#VALUE!</v>
      </c>
      <c r="GR108" s="668"/>
      <c r="GS108" s="669"/>
      <c r="GT108" s="677"/>
      <c r="GU108" s="679"/>
      <c r="GV108" s="678"/>
      <c r="GW108" s="650"/>
      <c r="GX108" s="650"/>
      <c r="GY108" s="671" t="str">
        <f>IF(GX108="Low",GU108*$D$42,IF(GX108="Med",GU108*$D$43,IF(GX108="High",GU108*$D$44,"rango cal. out")))</f>
        <v>rango cal. out</v>
      </c>
      <c r="GZ108" s="619" t="e">
        <f>((273.2+GR108)*$F$33/((273.2+$F$32)*GT108))</f>
        <v>#DIV/0!</v>
      </c>
      <c r="HA108" s="674" t="e">
        <f>GY108/GV108*GZ108*EXP(-LN(2)/10990*($F$96-GW108))</f>
        <v>#VALUE!</v>
      </c>
      <c r="HB108" s="599" t="e">
        <f>HA108-AVERAGE(HI102:HI103)</f>
        <v>#VALUE!</v>
      </c>
      <c r="HC108" s="672" t="e">
        <f>ABS(#REF!*HB108*3600)</f>
        <v>#REF!</v>
      </c>
      <c r="HD108" s="675" t="e">
        <f>ABS($B$34*HB108*3600)</f>
        <v>#VALUE!</v>
      </c>
      <c r="HE108" s="614" t="e">
        <f>HD108*$C$87</f>
        <v>#VALUE!</v>
      </c>
      <c r="HF108" s="672" t="e">
        <f>HD108*$F$78</f>
        <v>#VALUE!</v>
      </c>
      <c r="HG108" s="599" t="e">
        <f>HD108*$F$83</f>
        <v>#VALUE!</v>
      </c>
      <c r="HH108" s="672" t="e">
        <f>HD108*$F$80</f>
        <v>#VALUE!</v>
      </c>
      <c r="HI108" s="676" t="e">
        <f>HD108*$F$79</f>
        <v>#VALUE!</v>
      </c>
      <c r="HJ108" s="668"/>
      <c r="HK108" s="669"/>
      <c r="HL108" s="670"/>
      <c r="HM108" s="671"/>
      <c r="HN108" s="678"/>
      <c r="HO108" s="650"/>
      <c r="HP108" s="650"/>
      <c r="HQ108" s="671" t="str">
        <f>IF(HP108="Low",HM108*$D$42,IF(HP108="Med",HM108*$D$43,IF(HP108="High",HM108*$D$44,"rango cal. out")))</f>
        <v>rango cal. out</v>
      </c>
      <c r="HR108" s="619" t="e">
        <f>((273.2+HJ108)*$F$33/((273.2+$F$32)*HL108))</f>
        <v>#DIV/0!</v>
      </c>
      <c r="HS108" s="674" t="e">
        <f>HQ108/HN108*HR108*EXP(-LN(2)/10990*($F$96-HO108))</f>
        <v>#VALUE!</v>
      </c>
      <c r="HT108" s="599" t="e">
        <f>HS108-AVERAGE(IA102:IA103)</f>
        <v>#VALUE!</v>
      </c>
      <c r="HU108" s="672" t="e">
        <f>ABS(#REF!*HT108*3600)</f>
        <v>#REF!</v>
      </c>
      <c r="HV108" s="675" t="e">
        <f>ABS($B$34*HT108*3600)</f>
        <v>#VALUE!</v>
      </c>
      <c r="HW108" s="614" t="e">
        <f>HV108*$C$87</f>
        <v>#VALUE!</v>
      </c>
      <c r="HX108" s="672" t="e">
        <f>HV108*$F$78</f>
        <v>#VALUE!</v>
      </c>
      <c r="HY108" s="599" t="e">
        <f>HV108*$F$83</f>
        <v>#VALUE!</v>
      </c>
      <c r="HZ108" s="672" t="e">
        <f>HV108*$F$80</f>
        <v>#VALUE!</v>
      </c>
      <c r="IA108" s="676" t="e">
        <f>HV108*$F$79</f>
        <v>#VALUE!</v>
      </c>
      <c r="IB108" s="668"/>
      <c r="IC108" s="669"/>
      <c r="ID108" s="670"/>
      <c r="IE108" s="671"/>
      <c r="IF108" s="678"/>
      <c r="IG108" s="650"/>
      <c r="IH108" s="650"/>
      <c r="II108" s="671" t="str">
        <f>IF(IH108="Low",IE108*$D$42,IF(IH108="Med",IE108*$D$43,IF(IH108="High",IE108*$D$44,"rango cal. out")))</f>
        <v>rango cal. out</v>
      </c>
      <c r="IJ108" s="619" t="e">
        <f>((273.2+IB108)*$F$33/((273.2+$F$32)*ID108))</f>
        <v>#DIV/0!</v>
      </c>
      <c r="IK108" s="674" t="e">
        <f>II108/IF108*IJ108*EXP(-LN(2)/10990*($F$96-IG108))</f>
        <v>#VALUE!</v>
      </c>
      <c r="IL108" s="599" t="e">
        <f>IK108-AVERAGE(IS102:IS103)</f>
        <v>#VALUE!</v>
      </c>
      <c r="IM108" s="672" t="e">
        <f>ABS(#REF!*IL108*3600)</f>
        <v>#REF!</v>
      </c>
      <c r="IN108" s="675" t="e">
        <f>ABS($B$34*IL108*3600)</f>
        <v>#VALUE!</v>
      </c>
      <c r="IO108" s="614" t="e">
        <f>IN108*$C$87</f>
        <v>#VALUE!</v>
      </c>
      <c r="IP108" s="672" t="e">
        <f>IN108*$F$78</f>
        <v>#VALUE!</v>
      </c>
      <c r="IQ108" s="599" t="e">
        <f>IN108*$F$83</f>
        <v>#VALUE!</v>
      </c>
      <c r="IR108" s="672" t="e">
        <f>IN108*$F$80</f>
        <v>#VALUE!</v>
      </c>
      <c r="IS108" s="676" t="e">
        <f>IN108*$F$79</f>
        <v>#VALUE!</v>
      </c>
      <c r="IT108" s="668"/>
      <c r="IU108" s="669"/>
      <c r="IV108" s="670"/>
      <c r="IW108" s="671"/>
      <c r="IX108" s="678"/>
      <c r="IY108" s="650"/>
      <c r="IZ108" s="650"/>
      <c r="JA108" s="671" t="str">
        <f>IF(IZ108="Low",IW108*$D$42,IF(IZ108="Med",IW108*$D$43,IF(IZ108="High",IW108*$D$44,"rango cal. out")))</f>
        <v>rango cal. out</v>
      </c>
      <c r="JB108" s="619" t="e">
        <f>((273.2+IT108)*$F$33/((273.2+$F$32)*IV108))</f>
        <v>#DIV/0!</v>
      </c>
      <c r="JC108" s="674" t="e">
        <f>JA108/IX108*JB108*EXP(-LN(2)/10990*($F$96-IY108))</f>
        <v>#VALUE!</v>
      </c>
      <c r="JD108" s="599" t="e">
        <f>JC108-AVERAGE(JK102:JK103)</f>
        <v>#VALUE!</v>
      </c>
      <c r="JE108" s="672" t="e">
        <f>ABS(#REF!*JD108*3600)</f>
        <v>#REF!</v>
      </c>
      <c r="JF108" s="675" t="e">
        <f>ABS($B$34*JD108*3600)</f>
        <v>#VALUE!</v>
      </c>
      <c r="JG108" s="614" t="e">
        <f>JF108*$C$87</f>
        <v>#VALUE!</v>
      </c>
      <c r="JH108" s="672" t="e">
        <f>JF108*$F$78</f>
        <v>#VALUE!</v>
      </c>
      <c r="JI108" s="599" t="e">
        <f>JF108*$F$83</f>
        <v>#VALUE!</v>
      </c>
      <c r="JJ108" s="672" t="e">
        <f>JF108*$F$80</f>
        <v>#VALUE!</v>
      </c>
      <c r="JK108" s="676" t="e">
        <f>JF108*$F$79</f>
        <v>#VALUE!</v>
      </c>
      <c r="JL108" s="668"/>
      <c r="JM108" s="669"/>
      <c r="JN108" s="670"/>
      <c r="JO108" s="671"/>
      <c r="JP108" s="678"/>
      <c r="JQ108" s="650"/>
      <c r="JR108" s="650"/>
      <c r="JS108" s="671" t="str">
        <f>IF(JR108="Low",JO108*$D$42,IF(JR108="Med",JO108*$D$43,IF(JR108="High",JO108*$D$44,"rango cal. out")))</f>
        <v>rango cal. out</v>
      </c>
      <c r="JT108" s="619" t="e">
        <f>((273.2+JL108)*$F$33/((273.2+$F$32)*JN108))</f>
        <v>#DIV/0!</v>
      </c>
      <c r="JU108" s="674" t="e">
        <f>JS108/JP108*JT108*EXP(-LN(2)/10990*($F$96-JQ108))</f>
        <v>#VALUE!</v>
      </c>
      <c r="JV108" s="599" t="e">
        <f>JU108-AVERAGE(KC102:KC103)</f>
        <v>#VALUE!</v>
      </c>
      <c r="JW108" s="672" t="e">
        <f>ABS(#REF!*JV108*3600)</f>
        <v>#REF!</v>
      </c>
      <c r="JX108" s="675" t="e">
        <f>ABS($B$34*JV108*3600)</f>
        <v>#VALUE!</v>
      </c>
      <c r="JY108" s="614" t="e">
        <f>JX108*$C$87</f>
        <v>#VALUE!</v>
      </c>
      <c r="JZ108" s="672" t="e">
        <f>JX108*$F$78</f>
        <v>#VALUE!</v>
      </c>
      <c r="KA108" s="599" t="e">
        <f>JX108*$F$83</f>
        <v>#VALUE!</v>
      </c>
      <c r="KB108" s="672" t="e">
        <f>JX108*$F$80</f>
        <v>#VALUE!</v>
      </c>
      <c r="KC108" s="676" t="e">
        <f>JX108*$F$79</f>
        <v>#VALUE!</v>
      </c>
      <c r="KD108" s="668"/>
      <c r="KE108" s="669"/>
      <c r="KF108" s="670"/>
      <c r="KG108" s="671"/>
      <c r="KH108" s="678"/>
      <c r="KI108" s="650"/>
      <c r="KJ108" s="650"/>
      <c r="KK108" s="671" t="str">
        <f>IF(KJ108="Low",KG108*$D$42,IF(KJ108="Med",KG108*$D$43,IF(KJ108="High",KG108*$D$44,"rango cal. out")))</f>
        <v>rango cal. out</v>
      </c>
      <c r="KL108" s="619" t="e">
        <f>((273.2+KD108)*$F$33/((273.2+$F$32)*KF108))</f>
        <v>#DIV/0!</v>
      </c>
      <c r="KM108" s="674" t="e">
        <f>KK108/KH108*KL108*EXP(-LN(2)/10990*($F$96-KI108))</f>
        <v>#VALUE!</v>
      </c>
      <c r="KN108" s="599" t="e">
        <f>KM108-AVERAGE(KU102:KU103)</f>
        <v>#VALUE!</v>
      </c>
      <c r="KO108" s="672" t="e">
        <f>ABS(#REF!*KN108*3600)</f>
        <v>#REF!</v>
      </c>
      <c r="KP108" s="675" t="e">
        <f>ABS($B$34*KN108*3600)</f>
        <v>#VALUE!</v>
      </c>
      <c r="KQ108" s="614" t="e">
        <f>KP108*$C$87</f>
        <v>#VALUE!</v>
      </c>
      <c r="KR108" s="672" t="e">
        <f>KP108*$F$78</f>
        <v>#VALUE!</v>
      </c>
      <c r="KS108" s="599" t="e">
        <f>KP108*$F$83</f>
        <v>#VALUE!</v>
      </c>
      <c r="KT108" s="672" t="e">
        <f>KP108*$F$80</f>
        <v>#VALUE!</v>
      </c>
      <c r="KU108" s="676" t="e">
        <f>KP108*$F$79</f>
        <v>#VALUE!</v>
      </c>
      <c r="KV108" s="668"/>
      <c r="KW108" s="669"/>
      <c r="KX108" s="670"/>
      <c r="KY108" s="671"/>
      <c r="KZ108" s="678"/>
      <c r="LA108" s="650"/>
      <c r="LB108" s="650"/>
      <c r="LC108" s="671" t="str">
        <f>IF(LB108="Low",KY108*$D$42,IF(LB108="Med",KY108*$D$43,IF(LB108="High",KY108*$D$44,"rango cal. out")))</f>
        <v>rango cal. out</v>
      </c>
      <c r="LD108" s="619" t="e">
        <f>((273.2+KV108)*$F$33/((273.2+$F$32)*KX108))</f>
        <v>#DIV/0!</v>
      </c>
      <c r="LE108" s="674" t="e">
        <f>LC108/KZ108*LD108*EXP(-LN(2)/10990*($F$96-LA108))</f>
        <v>#VALUE!</v>
      </c>
      <c r="LF108" s="599" t="e">
        <f>LE108-AVERAGE(LM102:LM103)</f>
        <v>#VALUE!</v>
      </c>
      <c r="LG108" s="672" t="e">
        <f>ABS(#REF!*LF108*3600)</f>
        <v>#REF!</v>
      </c>
      <c r="LH108" s="675" t="e">
        <f>ABS($B$34*LF108*3600)</f>
        <v>#VALUE!</v>
      </c>
      <c r="LI108" s="614" t="e">
        <f>LH108*$C$87</f>
        <v>#VALUE!</v>
      </c>
      <c r="LJ108" s="672" t="e">
        <f>LH108*$F$78</f>
        <v>#VALUE!</v>
      </c>
      <c r="LK108" s="599" t="e">
        <f>LH108*$F$83</f>
        <v>#VALUE!</v>
      </c>
      <c r="LL108" s="672" t="e">
        <f>LH108*$F$80</f>
        <v>#VALUE!</v>
      </c>
      <c r="LM108" s="676" t="e">
        <f>LH108*$F$79</f>
        <v>#VALUE!</v>
      </c>
      <c r="LN108" s="668"/>
      <c r="LO108" s="669"/>
      <c r="LP108" s="670"/>
      <c r="LQ108" s="671"/>
      <c r="LR108" s="678"/>
      <c r="LS108" s="650"/>
      <c r="LT108" s="650"/>
      <c r="LU108" s="671" t="str">
        <f>IF(LT108="Low",LQ108*$D$42,IF(LT108="Med",LQ108*$D$43,IF(LT108="High",LQ108*$D$44,"rango cal. out")))</f>
        <v>rango cal. out</v>
      </c>
      <c r="LV108" s="619" t="e">
        <f>((273.2+LN108)*$F$33/((273.2+$F$32)*LP108))</f>
        <v>#DIV/0!</v>
      </c>
      <c r="LW108" s="674" t="e">
        <f>LU108/LR108*LV108*EXP(-LN(2)/10990*($F$96-LS108))</f>
        <v>#VALUE!</v>
      </c>
      <c r="LX108" s="599" t="e">
        <f>LW108-AVERAGE(ME102:ME103)</f>
        <v>#VALUE!</v>
      </c>
      <c r="LY108" s="672" t="e">
        <f>ABS(#REF!*LX108*3600)</f>
        <v>#REF!</v>
      </c>
      <c r="LZ108" s="675" t="e">
        <f>ABS($B$34*LX108*3600)</f>
        <v>#VALUE!</v>
      </c>
      <c r="MA108" s="614" t="e">
        <f>LZ108*$C$87</f>
        <v>#VALUE!</v>
      </c>
      <c r="MB108" s="672" t="e">
        <f>LZ108*$F$78</f>
        <v>#VALUE!</v>
      </c>
      <c r="MC108" s="599" t="e">
        <f>LZ108*$F$83</f>
        <v>#VALUE!</v>
      </c>
      <c r="MD108" s="672" t="e">
        <f>LZ108*$F$80</f>
        <v>#VALUE!</v>
      </c>
      <c r="ME108" s="676" t="e">
        <f>LZ108*$F$79</f>
        <v>#VALUE!</v>
      </c>
      <c r="MF108" s="668"/>
      <c r="MG108" s="669"/>
      <c r="MH108" s="670"/>
      <c r="MI108" s="671"/>
      <c r="MJ108" s="678"/>
      <c r="MK108" s="650"/>
      <c r="ML108" s="650"/>
      <c r="MM108" s="671" t="str">
        <f>IF(ML108="Low",MI108*$D$42,IF(ML108="Med",MI108*$D$43,IF(ML108="High",MI108*$D$44,"rango cal. out")))</f>
        <v>rango cal. out</v>
      </c>
      <c r="MN108" s="619" t="e">
        <f>((273.2+MF108)*$F$33/((273.2+$F$32)*MH108))</f>
        <v>#DIV/0!</v>
      </c>
      <c r="MO108" s="674" t="e">
        <f>MM108/MJ108*MN108*EXP(-LN(2)/10990*($F$96-MK108))</f>
        <v>#VALUE!</v>
      </c>
      <c r="MP108" s="599" t="e">
        <f>MO108-AVERAGE(MW102:MW103)</f>
        <v>#VALUE!</v>
      </c>
      <c r="MQ108" s="672" t="e">
        <f>ABS(#REF!*MP108*3600)</f>
        <v>#REF!</v>
      </c>
      <c r="MR108" s="675" t="e">
        <f>ABS($B$34*MP108*3600)</f>
        <v>#VALUE!</v>
      </c>
      <c r="MS108" s="614" t="e">
        <f>MR108*$C$87</f>
        <v>#VALUE!</v>
      </c>
      <c r="MT108" s="672" t="e">
        <f>MR108*$F$78</f>
        <v>#VALUE!</v>
      </c>
      <c r="MU108" s="599" t="e">
        <f>MR108*$F$83</f>
        <v>#VALUE!</v>
      </c>
      <c r="MV108" s="672" t="e">
        <f>MR108*$F$80</f>
        <v>#VALUE!</v>
      </c>
      <c r="MW108" s="676" t="e">
        <f>MR108*$F$79</f>
        <v>#VALUE!</v>
      </c>
      <c r="MX108" s="668"/>
      <c r="MY108" s="669"/>
      <c r="MZ108" s="680"/>
      <c r="NA108" s="671"/>
      <c r="NB108" s="673"/>
      <c r="NC108" s="650"/>
      <c r="ND108" s="650"/>
      <c r="NE108" s="671" t="str">
        <f>IF(ND108="Low",NA108*$D$42,IF(ND108="Med",NA108*$D$43,IF(ND108="High",NA108*$D$44,"rango cal. out")))</f>
        <v>rango cal. out</v>
      </c>
      <c r="NF108" s="619" t="e">
        <f>((273.2+MX108)*$F$33/((273.2+$F$32)*MZ108))</f>
        <v>#DIV/0!</v>
      </c>
      <c r="NG108" s="674" t="e">
        <f>NE108/NB108*NF108*EXP(-LN(2)/10990*($F$96-NC108))</f>
        <v>#VALUE!</v>
      </c>
      <c r="NH108" s="599" t="e">
        <f>NG108-AVERAGE(NO102:NO103)</f>
        <v>#VALUE!</v>
      </c>
      <c r="NI108" s="672" t="e">
        <f>ABS(#REF!*NH108*3600)</f>
        <v>#REF!</v>
      </c>
      <c r="NJ108" s="675" t="e">
        <f>ABS($B$34*NH108*3600)</f>
        <v>#VALUE!</v>
      </c>
      <c r="NK108" s="614" t="e">
        <f>NJ108*$C$87</f>
        <v>#VALUE!</v>
      </c>
      <c r="NL108" s="672" t="e">
        <f>NJ108*$F$78</f>
        <v>#VALUE!</v>
      </c>
      <c r="NM108" s="599" t="e">
        <f>NJ108*$F$83</f>
        <v>#VALUE!</v>
      </c>
      <c r="NN108" s="672" t="e">
        <f>NJ108*$F$80</f>
        <v>#VALUE!</v>
      </c>
      <c r="NO108" s="676" t="e">
        <f>NJ108*$F$79</f>
        <v>#VALUE!</v>
      </c>
      <c r="NP108" s="668"/>
      <c r="NQ108" s="669"/>
      <c r="NR108" s="670"/>
      <c r="NS108" s="671"/>
      <c r="NT108" s="678"/>
      <c r="NU108" s="650"/>
      <c r="NV108" s="650"/>
      <c r="NW108" s="671" t="str">
        <f>IF(NV108="Low",NS108*$D$42,IF(NV108="Med",NS108*$D$43,IF(NV108="High",NS108*$D$44,"rango cal. out")))</f>
        <v>rango cal. out</v>
      </c>
      <c r="NX108" s="619" t="e">
        <f>((273.2+NP108)*$F$33/((273.2+$F$32)*NR108))</f>
        <v>#DIV/0!</v>
      </c>
      <c r="NY108" s="674" t="e">
        <f>NW108/NT108*NX108*EXP(-LN(2)/10990*($F$96-NU108))</f>
        <v>#VALUE!</v>
      </c>
      <c r="NZ108" s="599" t="e">
        <f>NY108-AVERAGE(OG102:OG103)</f>
        <v>#VALUE!</v>
      </c>
      <c r="OA108" s="672" t="e">
        <f>ABS(#REF!*NZ108*3600)</f>
        <v>#REF!</v>
      </c>
      <c r="OB108" s="675" t="e">
        <f>ABS($B$34*NZ108*3600)</f>
        <v>#VALUE!</v>
      </c>
      <c r="OC108" s="614" t="e">
        <f>OB108*$C$87</f>
        <v>#VALUE!</v>
      </c>
      <c r="OD108" s="672" t="e">
        <f>OB108*$F$78</f>
        <v>#VALUE!</v>
      </c>
      <c r="OE108" s="599" t="e">
        <f>OB108*$F$83</f>
        <v>#VALUE!</v>
      </c>
      <c r="OF108" s="672" t="e">
        <f>OB108*$F$80</f>
        <v>#VALUE!</v>
      </c>
      <c r="OG108" s="676" t="e">
        <f>OB108*$F$79</f>
        <v>#VALUE!</v>
      </c>
      <c r="OH108" s="668"/>
      <c r="OI108" s="669"/>
      <c r="OJ108" s="670"/>
      <c r="OK108" s="671"/>
      <c r="OL108" s="678"/>
      <c r="OM108" s="650"/>
      <c r="ON108" s="650"/>
      <c r="OO108" s="671" t="str">
        <f>IF(ON108="Low",OK108*$D$42,IF(ON108="Med",OK108*$D$43,IF(ON108="High",OK108*$D$44,"rango cal. out")))</f>
        <v>rango cal. out</v>
      </c>
      <c r="OP108" s="619" t="e">
        <f>((273.2+OH108)*$F$33/((273.2+$F$32)*OJ108))</f>
        <v>#DIV/0!</v>
      </c>
      <c r="OQ108" s="674" t="e">
        <f>OO108/OL108*OP108*EXP(-LN(2)/10990*($F$96-OM108))</f>
        <v>#VALUE!</v>
      </c>
      <c r="OR108" s="599" t="e">
        <f>OQ108-AVERAGE(OY102:OY103)</f>
        <v>#VALUE!</v>
      </c>
      <c r="OS108" s="672" t="e">
        <f>ABS(#REF!*OR108*3600)</f>
        <v>#REF!</v>
      </c>
      <c r="OT108" s="675" t="e">
        <f>ABS($B$34*OR108*3600)</f>
        <v>#VALUE!</v>
      </c>
      <c r="OU108" s="614" t="e">
        <f>OT108*$C$87</f>
        <v>#VALUE!</v>
      </c>
      <c r="OV108" s="672" t="e">
        <f>OT108*$F$78</f>
        <v>#VALUE!</v>
      </c>
      <c r="OW108" s="599" t="e">
        <f>OT108*$F$83</f>
        <v>#VALUE!</v>
      </c>
      <c r="OX108" s="672" t="e">
        <f>OT108*$F$80</f>
        <v>#VALUE!</v>
      </c>
      <c r="OY108" s="676" t="e">
        <f>OT108*$F$79</f>
        <v>#VALUE!</v>
      </c>
      <c r="OZ108" s="668"/>
      <c r="PA108" s="669"/>
      <c r="PB108" s="670"/>
      <c r="PC108" s="671"/>
      <c r="PD108" s="678"/>
      <c r="PE108" s="650"/>
      <c r="PF108" s="650"/>
      <c r="PG108" s="671" t="str">
        <f>IF(PF108="Low",PC108*$D$42,IF(PF108="Med",PC108*$D$43,IF(PF108="High",PC108*$D$44,"rango cal. out")))</f>
        <v>rango cal. out</v>
      </c>
      <c r="PH108" s="619" t="e">
        <f>((273.2+OZ108)*$F$33/((273.2+$F$32)*PB108))</f>
        <v>#DIV/0!</v>
      </c>
      <c r="PI108" s="674" t="e">
        <f>PG108/PD108*PH108*EXP(-LN(2)/10990*($F$96-PE108))</f>
        <v>#VALUE!</v>
      </c>
      <c r="PJ108" s="599" t="e">
        <f>PI108-AVERAGE(PQ102:PQ103)</f>
        <v>#VALUE!</v>
      </c>
      <c r="PK108" s="672" t="e">
        <f>ABS(#REF!*PJ108*3600)</f>
        <v>#REF!</v>
      </c>
      <c r="PL108" s="675" t="e">
        <f>ABS($B$34*PJ108*3600)</f>
        <v>#VALUE!</v>
      </c>
      <c r="PM108" s="614" t="e">
        <f>PL108*$C$87</f>
        <v>#VALUE!</v>
      </c>
      <c r="PN108" s="672" t="e">
        <f>PL108*$F$78</f>
        <v>#VALUE!</v>
      </c>
      <c r="PO108" s="599" t="e">
        <f>PL108*$F$83</f>
        <v>#VALUE!</v>
      </c>
      <c r="PP108" s="672" t="e">
        <f>PL108*$F$80</f>
        <v>#VALUE!</v>
      </c>
      <c r="PQ108" s="676" t="e">
        <f>PL108*$F$79</f>
        <v>#VALUE!</v>
      </c>
      <c r="PR108" s="668"/>
      <c r="PS108" s="669"/>
      <c r="PT108" s="670"/>
      <c r="PU108" s="671"/>
      <c r="PV108" s="678"/>
      <c r="PW108" s="650"/>
      <c r="PX108" s="650"/>
      <c r="PY108" s="671" t="str">
        <f>IF(PX108="Low",PU108*$D$42,IF(PX108="Med",PU108*$D$43,IF(PX108="High",PU108*$D$44,"rango cal. out")))</f>
        <v>rango cal. out</v>
      </c>
      <c r="PZ108" s="619" t="e">
        <f>((273.2+PR108)*$F$33/((273.2+$F$32)*PT108))</f>
        <v>#DIV/0!</v>
      </c>
      <c r="QA108" s="674" t="e">
        <f>PY108/PV108*PZ108*EXP(-LN(2)/10990*($F$96-PW108))</f>
        <v>#VALUE!</v>
      </c>
      <c r="QB108" s="599" t="e">
        <f>QA108-AVERAGE(QI102:QI103)</f>
        <v>#VALUE!</v>
      </c>
      <c r="QC108" s="672" t="e">
        <f>ABS(#REF!*QB108*3600)</f>
        <v>#REF!</v>
      </c>
      <c r="QD108" s="675" t="e">
        <f>ABS($B$34*QB108*3600)</f>
        <v>#VALUE!</v>
      </c>
      <c r="QE108" s="614" t="e">
        <f>QD108*$C$87</f>
        <v>#VALUE!</v>
      </c>
      <c r="QF108" s="672" t="e">
        <f>QD108*$F$78</f>
        <v>#VALUE!</v>
      </c>
      <c r="QG108" s="599" t="e">
        <f>QD108*$F$83</f>
        <v>#VALUE!</v>
      </c>
      <c r="QH108" s="672" t="e">
        <f>QD108*$F$80</f>
        <v>#VALUE!</v>
      </c>
      <c r="QI108" s="676" t="e">
        <f>QD108*$F$79</f>
        <v>#VALUE!</v>
      </c>
      <c r="QJ108" s="668"/>
      <c r="QK108" s="669"/>
      <c r="QL108" s="670"/>
      <c r="QM108" s="671"/>
      <c r="QN108" s="678"/>
      <c r="QO108" s="650"/>
      <c r="QP108" s="650"/>
      <c r="QQ108" s="671" t="str">
        <f>IF(QP108="Low",QM108*$D$42,IF(QP108="Med",QM108*$D$43,IF(QP108="High",QM108*$D$44,"rango cal. out")))</f>
        <v>rango cal. out</v>
      </c>
      <c r="QR108" s="619" t="e">
        <f>((273.2+QJ108)*$F$33/((273.2+$F$32)*QL108))</f>
        <v>#DIV/0!</v>
      </c>
      <c r="QS108" s="674" t="e">
        <f>QQ108/QN108*QR108*EXP(-LN(2)/10990*($F$96-QO108))</f>
        <v>#VALUE!</v>
      </c>
      <c r="QT108" s="599" t="e">
        <f>QS108-AVERAGE(RA102:RA103)</f>
        <v>#VALUE!</v>
      </c>
      <c r="QU108" s="672" t="e">
        <f>ABS(#REF!*QT108*3600)</f>
        <v>#REF!</v>
      </c>
      <c r="QV108" s="675" t="e">
        <f>ABS($B$34*QT108*3600)</f>
        <v>#VALUE!</v>
      </c>
      <c r="QW108" s="614" t="e">
        <f>QV108*$C$87</f>
        <v>#VALUE!</v>
      </c>
      <c r="QX108" s="672" t="e">
        <f>QV108*$F$78</f>
        <v>#VALUE!</v>
      </c>
      <c r="QY108" s="599" t="e">
        <f>QV108*$F$83</f>
        <v>#VALUE!</v>
      </c>
      <c r="QZ108" s="672" t="e">
        <f>QV108*$F$80</f>
        <v>#VALUE!</v>
      </c>
      <c r="RA108" s="676" t="e">
        <f>QV108*$F$79</f>
        <v>#VALUE!</v>
      </c>
      <c r="RB108" s="668"/>
      <c r="RC108" s="669"/>
      <c r="RD108" s="670"/>
      <c r="RE108" s="671"/>
      <c r="RF108" s="673"/>
      <c r="RG108" s="650"/>
      <c r="RH108" s="650"/>
      <c r="RI108" s="671" t="str">
        <f>IF(RH108="Low",RE108*$D$42,IF(RH108="Med",RE108*$D$43,IF(RH108="High",RE108*$D$44,"rango cal. out")))</f>
        <v>rango cal. out</v>
      </c>
      <c r="RJ108" s="619" t="e">
        <f>((273.2+RB108)*$F$33/((273.2+$F$32)*RD108))</f>
        <v>#DIV/0!</v>
      </c>
      <c r="RK108" s="674" t="e">
        <f>RI108/RF108*RJ108*EXP(-LN(2)/10990*($F$96-RG108))</f>
        <v>#VALUE!</v>
      </c>
      <c r="RL108" s="599" t="e">
        <f>RK108-AVERAGE(RS102:RS103)</f>
        <v>#VALUE!</v>
      </c>
      <c r="RM108" s="672" t="e">
        <f>ABS(#REF!*RL108*3600)</f>
        <v>#REF!</v>
      </c>
      <c r="RN108" s="675" t="e">
        <f>ABS($B$34*RL108*3600)</f>
        <v>#VALUE!</v>
      </c>
      <c r="RO108" s="614" t="e">
        <f>RN108*$C$87</f>
        <v>#VALUE!</v>
      </c>
      <c r="RP108" s="672" t="e">
        <f>RN108*$F$78</f>
        <v>#VALUE!</v>
      </c>
      <c r="RQ108" s="599" t="e">
        <f>RN108*$F$83</f>
        <v>#VALUE!</v>
      </c>
      <c r="RR108" s="672" t="e">
        <f>RN108*$F$80</f>
        <v>#VALUE!</v>
      </c>
      <c r="RS108" s="676" t="e">
        <f>RN108*$F$79</f>
        <v>#VALUE!</v>
      </c>
      <c r="RT108" s="668"/>
      <c r="RU108" s="669"/>
      <c r="RV108" s="677"/>
      <c r="RW108" s="679"/>
      <c r="RX108" s="678"/>
      <c r="RY108" s="650"/>
      <c r="RZ108" s="650"/>
      <c r="SA108" s="671" t="str">
        <f>IF(RZ108="Low",RW108*$D$42,IF(RZ108="Med",RW108*$D$43,IF(RZ108="High",RW108*$D$44,"rango cal. out")))</f>
        <v>rango cal. out</v>
      </c>
      <c r="SB108" s="619" t="e">
        <f>((273.2+RT108)*$F$33/((273.2+$F$32)*RV108))</f>
        <v>#DIV/0!</v>
      </c>
      <c r="SC108" s="674" t="e">
        <f>SA108/RX108*SB108*EXP(-LN(2)/10990*($F$96-RY108))</f>
        <v>#VALUE!</v>
      </c>
      <c r="SD108" s="599" t="e">
        <f>SC108-AVERAGE(SK102:SK103)</f>
        <v>#VALUE!</v>
      </c>
      <c r="SE108" s="672" t="e">
        <f>ABS(#REF!*SD108*3600)</f>
        <v>#REF!</v>
      </c>
      <c r="SF108" s="675" t="e">
        <f>ABS($B$34*SD108*3600)</f>
        <v>#VALUE!</v>
      </c>
      <c r="SG108" s="614" t="e">
        <f>SF108*$C$87</f>
        <v>#VALUE!</v>
      </c>
      <c r="SH108" s="672" t="e">
        <f>SF108*$F$78</f>
        <v>#VALUE!</v>
      </c>
      <c r="SI108" s="599" t="e">
        <f>SF108*$F$83</f>
        <v>#VALUE!</v>
      </c>
      <c r="SJ108" s="672" t="e">
        <f>SF108*$F$80</f>
        <v>#VALUE!</v>
      </c>
      <c r="SK108" s="676" t="e">
        <f>SF108*$F$79</f>
        <v>#VALUE!</v>
      </c>
      <c r="SL108" s="668"/>
      <c r="SM108" s="669"/>
      <c r="SN108" s="670"/>
      <c r="SO108" s="671"/>
      <c r="SP108" s="678"/>
      <c r="SQ108" s="650"/>
      <c r="SR108" s="650"/>
      <c r="SS108" s="671" t="str">
        <f>IF(SR108="Low",SO108*$D$42,IF(SR108="Med",SO108*$D$43,IF(SR108="High",SO108*$D$44,"rango cal. out")))</f>
        <v>rango cal. out</v>
      </c>
      <c r="ST108" s="619" t="e">
        <f>((273.2+SL108)*$F$33/((273.2+$F$32)*SN108))</f>
        <v>#DIV/0!</v>
      </c>
      <c r="SU108" s="674" t="e">
        <f>SS108/SP108*ST108*EXP(-LN(2)/10990*($F$96-SQ108))</f>
        <v>#VALUE!</v>
      </c>
      <c r="SV108" s="599" t="e">
        <f>SU108-AVERAGE(TC102:TC103)</f>
        <v>#VALUE!</v>
      </c>
      <c r="SW108" s="672" t="e">
        <f>ABS(#REF!*SV108*3600)</f>
        <v>#REF!</v>
      </c>
      <c r="SX108" s="675" t="e">
        <f>ABS($B$34*SV108*3600)</f>
        <v>#VALUE!</v>
      </c>
      <c r="SY108" s="614" t="e">
        <f>SX108*$C$87</f>
        <v>#VALUE!</v>
      </c>
      <c r="SZ108" s="672" t="e">
        <f>SX108*$F$78</f>
        <v>#VALUE!</v>
      </c>
      <c r="TA108" s="599" t="e">
        <f>SX108*$F$83</f>
        <v>#VALUE!</v>
      </c>
      <c r="TB108" s="672" t="e">
        <f>SX108*$F$80</f>
        <v>#VALUE!</v>
      </c>
      <c r="TC108" s="676" t="e">
        <f>SX108*$F$79</f>
        <v>#VALUE!</v>
      </c>
      <c r="TD108" s="668"/>
      <c r="TE108" s="669"/>
      <c r="TF108" s="670"/>
      <c r="TG108" s="671"/>
      <c r="TH108" s="678"/>
      <c r="TI108" s="650"/>
      <c r="TJ108" s="650"/>
      <c r="TK108" s="671" t="str">
        <f>IF(TJ108="Low",TG108*$D$42,IF(TJ108="Med",TG108*$D$43,IF(TJ108="High",TG108*$D$44,"rango cal. out")))</f>
        <v>rango cal. out</v>
      </c>
      <c r="TL108" s="619" t="e">
        <f>((273.2+TD108)*$F$33/((273.2+$F$32)*TF108))</f>
        <v>#DIV/0!</v>
      </c>
      <c r="TM108" s="674" t="e">
        <f>TK108/TH108*TL108*EXP(-LN(2)/10990*($F$96-TI108))</f>
        <v>#VALUE!</v>
      </c>
      <c r="TN108" s="599" t="e">
        <f>TM108-AVERAGE(TU102:TU103)</f>
        <v>#VALUE!</v>
      </c>
      <c r="TO108" s="672" t="e">
        <f>ABS(#REF!*TN108*3600)</f>
        <v>#REF!</v>
      </c>
      <c r="TP108" s="675" t="e">
        <f>ABS($B$34*TN108*3600)</f>
        <v>#VALUE!</v>
      </c>
      <c r="TQ108" s="614" t="e">
        <f>TP108*$C$87</f>
        <v>#VALUE!</v>
      </c>
      <c r="TR108" s="672" t="e">
        <f>TP108*$F$78</f>
        <v>#VALUE!</v>
      </c>
      <c r="TS108" s="599" t="e">
        <f>TP108*$F$83</f>
        <v>#VALUE!</v>
      </c>
      <c r="TT108" s="672" t="e">
        <f>TP108*$F$80</f>
        <v>#VALUE!</v>
      </c>
      <c r="TU108" s="676" t="e">
        <f>TP108*$F$79</f>
        <v>#VALUE!</v>
      </c>
      <c r="TV108" s="668"/>
      <c r="TW108" s="669"/>
      <c r="TX108" s="670"/>
      <c r="TY108" s="671"/>
      <c r="TZ108" s="678"/>
      <c r="UA108" s="650"/>
      <c r="UB108" s="650"/>
      <c r="UC108" s="671" t="str">
        <f>IF(UB108="Low",TY108*$D$42,IF(UB108="Med",TY108*$D$43,IF(UB108="High",TY108*$D$44,"rango cal. out")))</f>
        <v>rango cal. out</v>
      </c>
      <c r="UD108" s="619" t="e">
        <f>((273.2+TV108)*$F$33/((273.2+$F$32)*TX108))</f>
        <v>#DIV/0!</v>
      </c>
      <c r="UE108" s="674" t="e">
        <f>UC108/TZ108*UD108*EXP(-LN(2)/10990*($F$96-UA108))</f>
        <v>#VALUE!</v>
      </c>
      <c r="UF108" s="599" t="e">
        <f>UE108-AVERAGE(UM102:UM103)</f>
        <v>#VALUE!</v>
      </c>
      <c r="UG108" s="672" t="e">
        <f>ABS(#REF!*UF108*3600)</f>
        <v>#REF!</v>
      </c>
      <c r="UH108" s="675" t="e">
        <f>ABS($B$34*UF108*3600)</f>
        <v>#VALUE!</v>
      </c>
      <c r="UI108" s="614" t="e">
        <f>UH108*$C$87</f>
        <v>#VALUE!</v>
      </c>
      <c r="UJ108" s="672" t="e">
        <f>UH108*$F$78</f>
        <v>#VALUE!</v>
      </c>
      <c r="UK108" s="599" t="e">
        <f>UH108*$F$83</f>
        <v>#VALUE!</v>
      </c>
      <c r="UL108" s="672" t="e">
        <f>UH108*$F$80</f>
        <v>#VALUE!</v>
      </c>
      <c r="UM108" s="676" t="e">
        <f>UH108*$F$79</f>
        <v>#VALUE!</v>
      </c>
      <c r="UN108" s="668"/>
      <c r="UO108" s="669"/>
      <c r="UP108" s="670"/>
      <c r="UQ108" s="671"/>
      <c r="UR108" s="678"/>
      <c r="US108" s="650"/>
      <c r="UT108" s="650"/>
      <c r="UU108" s="671" t="str">
        <f>IF(UT108="Low",UQ108*$D$42,IF(UT108="Med",UQ108*$D$43,IF(UT108="High",UQ108*$D$44,"rango cal. out")))</f>
        <v>rango cal. out</v>
      </c>
      <c r="UV108" s="619" t="e">
        <f>((273.2+UN108)*$F$33/((273.2+$F$32)*UP108))</f>
        <v>#DIV/0!</v>
      </c>
      <c r="UW108" s="674" t="e">
        <f>UU108/UR108*UV108*EXP(-LN(2)/10990*($F$96-US108))</f>
        <v>#VALUE!</v>
      </c>
      <c r="UX108" s="599" t="e">
        <f>UW108-AVERAGE(VE102:VE103)</f>
        <v>#VALUE!</v>
      </c>
      <c r="UY108" s="672" t="e">
        <f>ABS(#REF!*UX108*3600)</f>
        <v>#REF!</v>
      </c>
      <c r="UZ108" s="675" t="e">
        <f>ABS($B$34*UX108*3600)</f>
        <v>#VALUE!</v>
      </c>
      <c r="VA108" s="614" t="e">
        <f>UZ108*$C$87</f>
        <v>#VALUE!</v>
      </c>
      <c r="VB108" s="672" t="e">
        <f>UZ108*$F$78</f>
        <v>#VALUE!</v>
      </c>
      <c r="VC108" s="599" t="e">
        <f>UZ108*$F$83</f>
        <v>#VALUE!</v>
      </c>
      <c r="VD108" s="672" t="e">
        <f>UZ108*$F$80</f>
        <v>#VALUE!</v>
      </c>
      <c r="VE108" s="676" t="e">
        <f>UZ108*$F$79</f>
        <v>#VALUE!</v>
      </c>
    </row>
    <row r="109" spans="1:577" x14ac:dyDescent="0.25">
      <c r="A109" s="2205"/>
      <c r="B109" s="2083">
        <v>20.399999999999999</v>
      </c>
      <c r="C109" s="2084">
        <v>54</v>
      </c>
      <c r="D109" s="2084">
        <v>1010</v>
      </c>
      <c r="E109" s="2085">
        <v>-2.9189999999999999E-8</v>
      </c>
      <c r="F109" s="2084">
        <v>60</v>
      </c>
      <c r="G109" s="2152">
        <v>44333</v>
      </c>
      <c r="H109" s="2154" t="s">
        <v>1042</v>
      </c>
      <c r="I109" s="2076">
        <f>IF(H109="Low",E109*$D$42,IF(H109="Med",E109*$D$43,IF(H109="High",E109*$D$44,"rango cal. out")))</f>
        <v>-2.9219189999999996E-8</v>
      </c>
      <c r="J109" s="2077">
        <f>((273.2+B109)*$F$33/((273.2+$F$32)*D109))</f>
        <v>0.99778032681316897</v>
      </c>
      <c r="K109" s="2078">
        <f>I109/F109*J109*EXP(-LN(2)/10990*($F$96-G109))</f>
        <v>-4.8117849873229166E-10</v>
      </c>
      <c r="L109" s="2075">
        <f>K109-AVERAGE(S102:S103)</f>
        <v>-4.8115468676492014E-10</v>
      </c>
      <c r="M109" s="2087" t="e">
        <f>ABS(#REF!*L109*3600)</f>
        <v>#REF!</v>
      </c>
      <c r="N109" s="2073">
        <f>ABS($B$34*L109*3600)</f>
        <v>4.3650353183313555E-2</v>
      </c>
      <c r="O109" s="2072">
        <f>N109*$C$87</f>
        <v>4.3650353183313557</v>
      </c>
      <c r="P109" s="2081">
        <f>N109*$F$78</f>
        <v>5.2380423819976263E-2</v>
      </c>
      <c r="Q109" s="2080">
        <f>N109*$F$83</f>
        <v>5.2816927351809401E-2</v>
      </c>
      <c r="R109" s="2081">
        <f>N109*$F$80</f>
        <v>5.2816927351809401E-2</v>
      </c>
      <c r="S109" s="2082">
        <f>N109*$F$79</f>
        <v>5.4562941479141945E-2</v>
      </c>
      <c r="T109" s="677"/>
      <c r="U109" s="669"/>
      <c r="V109" s="670"/>
      <c r="W109" s="671"/>
      <c r="X109" s="678"/>
      <c r="Y109" s="650"/>
      <c r="Z109" s="663"/>
      <c r="AA109" s="671" t="str">
        <f>IF(Z109="Low",W109*$D$42,IF(Z109="Med",W109*$D$43,IF(Z109="High",W109*$D$44,"rango cal. out")))</f>
        <v>rango cal. out</v>
      </c>
      <c r="AB109" s="619" t="e">
        <f>((273.2+T109)*$F$33/((273.2+$F$32)*V109))</f>
        <v>#DIV/0!</v>
      </c>
      <c r="AC109" s="674" t="e">
        <f>AA109/X109*AB109*EXP(-LN(2)/10990*($F$96-Y109))</f>
        <v>#VALUE!</v>
      </c>
      <c r="AD109" s="599" t="e">
        <f>AC109-AVERAGE(#REF!)</f>
        <v>#VALUE!</v>
      </c>
      <c r="AE109" s="672" t="e">
        <f>ABS(#REF!*AD109*3600)</f>
        <v>#REF!</v>
      </c>
      <c r="AF109" s="675" t="e">
        <f>ABS($B$34*AD109*3600)</f>
        <v>#VALUE!</v>
      </c>
      <c r="AG109" s="672" t="e">
        <f>AF109*$C$87</f>
        <v>#VALUE!</v>
      </c>
      <c r="AH109" s="672" t="e">
        <f>AF109*$F$78</f>
        <v>#VALUE!</v>
      </c>
      <c r="AI109" s="600" t="e">
        <f>AF109*$F$83</f>
        <v>#VALUE!</v>
      </c>
      <c r="AJ109" s="672" t="e">
        <f>AF109*$F$80</f>
        <v>#VALUE!</v>
      </c>
      <c r="AK109" s="676" t="e">
        <f>AF109*$F$79</f>
        <v>#VALUE!</v>
      </c>
      <c r="AL109" s="668"/>
      <c r="AM109" s="669"/>
      <c r="AN109" s="670"/>
      <c r="AO109" s="671"/>
      <c r="AP109" s="678"/>
      <c r="AQ109" s="650"/>
      <c r="AR109" s="663"/>
      <c r="AS109" s="671" t="str">
        <f>IF(AR109="Low",AO109*$D$42,IF(AR109="Med",AO109*$D$43,IF(AR109="High",AO109*$D$44,"rango cal. out")))</f>
        <v>rango cal. out</v>
      </c>
      <c r="AT109" s="619" t="e">
        <f>((273.2+AL109)*$F$33/((273.2+$F$32)*AN109))</f>
        <v>#DIV/0!</v>
      </c>
      <c r="AU109" s="674" t="e">
        <f>AS109/AP109*AT109*EXP(-LN(2)/10990*($F$96-AQ109))</f>
        <v>#VALUE!</v>
      </c>
      <c r="AV109" s="599" t="e">
        <f>AU109-AVERAGE(BC102:BC103)</f>
        <v>#VALUE!</v>
      </c>
      <c r="AW109" s="672" t="e">
        <f>ABS(#REF!*AV109*3600)</f>
        <v>#REF!</v>
      </c>
      <c r="AX109" s="675" t="e">
        <f>ABS($B$34*AV109*3600)</f>
        <v>#VALUE!</v>
      </c>
      <c r="AY109" s="672" t="e">
        <f>AX109*$C$87</f>
        <v>#VALUE!</v>
      </c>
      <c r="AZ109" s="672" t="e">
        <f>AX109*$F$78</f>
        <v>#VALUE!</v>
      </c>
      <c r="BA109" s="600" t="e">
        <f>AX109*$F$83</f>
        <v>#VALUE!</v>
      </c>
      <c r="BB109" s="672" t="e">
        <f>AX109*$F$80</f>
        <v>#VALUE!</v>
      </c>
      <c r="BC109" s="676" t="e">
        <f>AX109*$F$79</f>
        <v>#VALUE!</v>
      </c>
      <c r="BD109" s="668"/>
      <c r="BE109" s="669"/>
      <c r="BF109" s="670"/>
      <c r="BG109" s="671"/>
      <c r="BH109" s="678"/>
      <c r="BI109" s="663">
        <v>44333</v>
      </c>
      <c r="BJ109" s="663"/>
      <c r="BK109" s="671" t="str">
        <f>IF(BJ109="Low",BG109*$D$42,IF(BJ109="Med",BG109*$D$43,IF(BJ109="High",BG109*$D$44,"rango cal. out")))</f>
        <v>rango cal. out</v>
      </c>
      <c r="BL109" s="619" t="e">
        <f>((273.2+BD109)*$F$33/((273.2+$F$32)*BF109))</f>
        <v>#DIV/0!</v>
      </c>
      <c r="BM109" s="674" t="e">
        <f>BK109/BH109*BL109*EXP(-LN(2)/10990*($F$96-BI109))</f>
        <v>#VALUE!</v>
      </c>
      <c r="BN109" s="599" t="e">
        <f>BM109-AVERAGE(BU102:BU103)</f>
        <v>#VALUE!</v>
      </c>
      <c r="BO109" s="672" t="e">
        <f>ABS(#REF!*BN109*3600)</f>
        <v>#REF!</v>
      </c>
      <c r="BP109" s="675" t="e">
        <f>ABS($B$34*BN109*3600)</f>
        <v>#VALUE!</v>
      </c>
      <c r="BQ109" s="672" t="e">
        <f>BP109*$C$87</f>
        <v>#VALUE!</v>
      </c>
      <c r="BR109" s="672" t="e">
        <f>BP109*$F$78</f>
        <v>#VALUE!</v>
      </c>
      <c r="BS109" s="600" t="e">
        <f>BP109*$F$83</f>
        <v>#VALUE!</v>
      </c>
      <c r="BT109" s="672" t="e">
        <f>BP109*$F$80</f>
        <v>#VALUE!</v>
      </c>
      <c r="BU109" s="676" t="e">
        <f>BP109*$F$79</f>
        <v>#VALUE!</v>
      </c>
      <c r="BV109" s="668"/>
      <c r="BW109" s="669"/>
      <c r="BX109" s="670"/>
      <c r="BY109" s="671"/>
      <c r="BZ109" s="678"/>
      <c r="CA109" s="663">
        <v>44333</v>
      </c>
      <c r="CB109" s="663"/>
      <c r="CC109" s="671" t="str">
        <f>IF(CB109="Low",BY109*$D$42,IF(CB109="Med",BY109*$D$43,IF(CB109="High",BY109*$D$44,"rango cal. out")))</f>
        <v>rango cal. out</v>
      </c>
      <c r="CD109" s="619" t="e">
        <f>((273.2+BV109)*$F$33/((273.2+$F$32)*BX109))</f>
        <v>#DIV/0!</v>
      </c>
      <c r="CE109" s="674" t="e">
        <f>CC109/BZ109*CD109*EXP(-LN(2)/10990*($F$96-CA109))</f>
        <v>#VALUE!</v>
      </c>
      <c r="CF109" s="599" t="e">
        <f>CE109-AVERAGE(CM102:CM103)</f>
        <v>#VALUE!</v>
      </c>
      <c r="CG109" s="672" t="e">
        <f>ABS(#REF!*CF109*3600)</f>
        <v>#REF!</v>
      </c>
      <c r="CH109" s="675" t="e">
        <f>ABS($B$34*CF109*3600)</f>
        <v>#VALUE!</v>
      </c>
      <c r="CI109" s="672" t="e">
        <f>CH109*$C$87</f>
        <v>#VALUE!</v>
      </c>
      <c r="CJ109" s="672" t="e">
        <f>CH109*$F$78</f>
        <v>#VALUE!</v>
      </c>
      <c r="CK109" s="600" t="e">
        <f>CH109*$F$83</f>
        <v>#VALUE!</v>
      </c>
      <c r="CL109" s="672" t="e">
        <f>CH109*$F$80</f>
        <v>#VALUE!</v>
      </c>
      <c r="CM109" s="676" t="e">
        <f>CH109*$F$79</f>
        <v>#VALUE!</v>
      </c>
      <c r="CN109" s="668"/>
      <c r="CO109" s="669"/>
      <c r="CP109" s="670"/>
      <c r="CQ109" s="671"/>
      <c r="CR109" s="678"/>
      <c r="CS109" s="663">
        <v>44333</v>
      </c>
      <c r="CT109" s="663"/>
      <c r="CU109" s="671" t="str">
        <f>IF(CT109="Low",CQ109*$D$42,IF(CT109="Med",CQ109*$D$43,IF(CT109="High",CQ109*$D$44,"rango cal. out")))</f>
        <v>rango cal. out</v>
      </c>
      <c r="CV109" s="619" t="e">
        <f>((273.2+CN109)*$F$33/((273.2+$F$32)*CP109))</f>
        <v>#DIV/0!</v>
      </c>
      <c r="CW109" s="674" t="e">
        <f>CU109/CR109*CV109*EXP(-LN(2)/10990*($F$96-CS109))</f>
        <v>#VALUE!</v>
      </c>
      <c r="CX109" s="599" t="e">
        <f>CW109-AVERAGE(DE102:DE103)</f>
        <v>#VALUE!</v>
      </c>
      <c r="CY109" s="672" t="e">
        <f>ABS(#REF!*CX109*3600)</f>
        <v>#REF!</v>
      </c>
      <c r="CZ109" s="675" t="e">
        <f>ABS($B$34*CX109*3600)</f>
        <v>#VALUE!</v>
      </c>
      <c r="DA109" s="672" t="e">
        <f>CZ109*$C$87</f>
        <v>#VALUE!</v>
      </c>
      <c r="DB109" s="672" t="e">
        <f>CZ109*$F$78</f>
        <v>#VALUE!</v>
      </c>
      <c r="DC109" s="600" t="e">
        <f>CZ109*$F$83</f>
        <v>#VALUE!</v>
      </c>
      <c r="DD109" s="672" t="e">
        <f>CZ109*$F$80</f>
        <v>#VALUE!</v>
      </c>
      <c r="DE109" s="676" t="e">
        <f>CZ109*$F$79</f>
        <v>#VALUE!</v>
      </c>
      <c r="DF109" s="668"/>
      <c r="DG109" s="669"/>
      <c r="DH109" s="670"/>
      <c r="DI109" s="671"/>
      <c r="DJ109" s="678"/>
      <c r="DK109" s="650"/>
      <c r="DL109" s="663"/>
      <c r="DM109" s="671" t="str">
        <f>IF(DL109="Low",DI109*$D$42,IF(DL109="Med",DI109*$D$43,IF(DL109="High",DI109*$D$44,"rango cal. out")))</f>
        <v>rango cal. out</v>
      </c>
      <c r="DN109" s="619" t="e">
        <f>((273.2+DF109)*$F$33/((273.2+$F$32)*DH109))</f>
        <v>#DIV/0!</v>
      </c>
      <c r="DO109" s="674" t="e">
        <f>DM109/DJ109*DN109*EXP(-LN(2)/10990*($F$96-DK109))</f>
        <v>#VALUE!</v>
      </c>
      <c r="DP109" s="599" t="e">
        <f>DO109-AVERAGE(DW102:DW103)</f>
        <v>#VALUE!</v>
      </c>
      <c r="DQ109" s="672" t="e">
        <f>ABS(#REF!*DP109*3600)</f>
        <v>#REF!</v>
      </c>
      <c r="DR109" s="675" t="e">
        <f>ABS($B$34*DP109*3600)</f>
        <v>#VALUE!</v>
      </c>
      <c r="DS109" s="672" t="e">
        <f>DR109*$C$87</f>
        <v>#VALUE!</v>
      </c>
      <c r="DT109" s="672" t="e">
        <f>DR109*$F$78</f>
        <v>#VALUE!</v>
      </c>
      <c r="DU109" s="600" t="e">
        <f>DR109*$F$83</f>
        <v>#VALUE!</v>
      </c>
      <c r="DV109" s="672" t="e">
        <f>DR109*$F$80</f>
        <v>#VALUE!</v>
      </c>
      <c r="DW109" s="676" t="e">
        <f>DR109*$F$79</f>
        <v>#VALUE!</v>
      </c>
      <c r="DX109" s="668"/>
      <c r="DY109" s="669"/>
      <c r="DZ109" s="677"/>
      <c r="EA109" s="679"/>
      <c r="EB109" s="678"/>
      <c r="EC109" s="650"/>
      <c r="ED109" s="663"/>
      <c r="EE109" s="671" t="str">
        <f>IF(ED109="Low",EA109*$D$42,IF(ED109="Med",EA109*$D$43,IF(ED109="High",EA109*$D$44,"rango cal. out")))</f>
        <v>rango cal. out</v>
      </c>
      <c r="EF109" s="619" t="e">
        <f>((273.2+DX109)*$F$33/((273.2+$F$32)*DZ109))</f>
        <v>#DIV/0!</v>
      </c>
      <c r="EG109" s="674" t="e">
        <f>EE109/EB109*EF109*EXP(-LN(2)/10990*($F$96-EC109))</f>
        <v>#VALUE!</v>
      </c>
      <c r="EH109" s="599" t="e">
        <f>EG109-AVERAGE(EO102:EO103)</f>
        <v>#VALUE!</v>
      </c>
      <c r="EI109" s="672" t="e">
        <f>ABS(#REF!*EH109*3600)</f>
        <v>#REF!</v>
      </c>
      <c r="EJ109" s="675" t="e">
        <f>ABS($B$34*EH109*3600)</f>
        <v>#VALUE!</v>
      </c>
      <c r="EK109" s="672" t="e">
        <f>EJ109*$C$87</f>
        <v>#VALUE!</v>
      </c>
      <c r="EL109" s="672" t="e">
        <f>EJ109*$F$78</f>
        <v>#VALUE!</v>
      </c>
      <c r="EM109" s="600" t="e">
        <f>EJ109*$F$83</f>
        <v>#VALUE!</v>
      </c>
      <c r="EN109" s="672" t="e">
        <f>EJ109*$F$80</f>
        <v>#VALUE!</v>
      </c>
      <c r="EO109" s="676" t="e">
        <f>EJ109*$F$79</f>
        <v>#VALUE!</v>
      </c>
      <c r="EP109" s="668"/>
      <c r="EQ109" s="669"/>
      <c r="ER109" s="670"/>
      <c r="ES109" s="671"/>
      <c r="ET109" s="678"/>
      <c r="EU109" s="663">
        <v>44333</v>
      </c>
      <c r="EV109" s="663"/>
      <c r="EW109" s="671" t="str">
        <f>IF(EV109="Low",ES109*$D$42,IF(EV109="Med",ES109*$D$43,IF(EV109="High",ES109*$D$44,"rango cal. out")))</f>
        <v>rango cal. out</v>
      </c>
      <c r="EX109" s="619" t="e">
        <f>((273.2+EP109)*$F$33/((273.2+$F$32)*ER109))</f>
        <v>#DIV/0!</v>
      </c>
      <c r="EY109" s="674" t="e">
        <f>EW109/ET109*EX109*EXP(-LN(2)/10990*($F$96-EU109))</f>
        <v>#VALUE!</v>
      </c>
      <c r="EZ109" s="599" t="e">
        <f>EY109-AVERAGE(FG102:FG103)</f>
        <v>#VALUE!</v>
      </c>
      <c r="FA109" s="672" t="e">
        <f>ABS(#REF!*EZ109*3600)</f>
        <v>#REF!</v>
      </c>
      <c r="FB109" s="675" t="e">
        <f>ABS($B$34*EZ109*3600)</f>
        <v>#VALUE!</v>
      </c>
      <c r="FC109" s="672" t="e">
        <f>FB109*$C$87</f>
        <v>#VALUE!</v>
      </c>
      <c r="FD109" s="672" t="e">
        <f>FB109*$F$78</f>
        <v>#VALUE!</v>
      </c>
      <c r="FE109" s="600" t="e">
        <f>FB109*$F$83</f>
        <v>#VALUE!</v>
      </c>
      <c r="FF109" s="672" t="e">
        <f>FB109*$F$80</f>
        <v>#VALUE!</v>
      </c>
      <c r="FG109" s="676" t="e">
        <f>FB109*$F$79</f>
        <v>#VALUE!</v>
      </c>
      <c r="FH109" s="668"/>
      <c r="FI109" s="669"/>
      <c r="FJ109" s="670"/>
      <c r="FK109" s="671"/>
      <c r="FL109" s="678"/>
      <c r="FM109" s="650"/>
      <c r="FN109" s="663"/>
      <c r="FO109" s="671" t="str">
        <f>IF(FN109="Low",FK109*$D$42,IF(FN109="Med",FK109*$D$43,IF(FN109="High",FK109*$D$44,"rango cal. out")))</f>
        <v>rango cal. out</v>
      </c>
      <c r="FP109" s="619" t="e">
        <f>((273.2+FH109)*$F$33/((273.2+$F$32)*FJ109))</f>
        <v>#DIV/0!</v>
      </c>
      <c r="FQ109" s="674" t="e">
        <f>FO109/FL109*FP109*EXP(-LN(2)/10990*($F$96-FM109))</f>
        <v>#VALUE!</v>
      </c>
      <c r="FR109" s="599" t="e">
        <f>FQ109-AVERAGE(FY102:FY103)</f>
        <v>#VALUE!</v>
      </c>
      <c r="FS109" s="672" t="e">
        <f>ABS(#REF!*FR109*3600)</f>
        <v>#REF!</v>
      </c>
      <c r="FT109" s="675" t="e">
        <f>ABS($B$34*FR109*3600)</f>
        <v>#VALUE!</v>
      </c>
      <c r="FU109" s="672" t="e">
        <f>FT109*$C$87</f>
        <v>#VALUE!</v>
      </c>
      <c r="FV109" s="672" t="e">
        <f>FT109*$F$78</f>
        <v>#VALUE!</v>
      </c>
      <c r="FW109" s="600" t="e">
        <f>FT109*$F$83</f>
        <v>#VALUE!</v>
      </c>
      <c r="FX109" s="672" t="e">
        <f>FT109*$F$80</f>
        <v>#VALUE!</v>
      </c>
      <c r="FY109" s="676" t="e">
        <f>FT109*$F$79</f>
        <v>#VALUE!</v>
      </c>
      <c r="FZ109" s="668"/>
      <c r="GA109" s="669"/>
      <c r="GB109" s="670"/>
      <c r="GC109" s="671"/>
      <c r="GD109" s="678"/>
      <c r="GE109" s="650"/>
      <c r="GF109" s="663"/>
      <c r="GG109" s="671" t="str">
        <f>IF(GF109="Low",GC109*$D$42,IF(GF109="Med",GC109*$D$43,IF(GF109="High",GC109*$D$44,"rango cal. out")))</f>
        <v>rango cal. out</v>
      </c>
      <c r="GH109" s="619" t="e">
        <f>((273.2+FZ109)*$F$33/((273.2+$F$32)*GB109))</f>
        <v>#DIV/0!</v>
      </c>
      <c r="GI109" s="674" t="e">
        <f>GG109/GD109*GH109*EXP(-LN(2)/10990*($F$96-GE109))</f>
        <v>#VALUE!</v>
      </c>
      <c r="GJ109" s="599" t="e">
        <f>GI109-AVERAGE(GQ102:GQ103)</f>
        <v>#VALUE!</v>
      </c>
      <c r="GK109" s="672" t="e">
        <f>ABS(#REF!*GJ109*3600)</f>
        <v>#REF!</v>
      </c>
      <c r="GL109" s="675" t="e">
        <f>ABS($B$34*GJ109*3600)</f>
        <v>#VALUE!</v>
      </c>
      <c r="GM109" s="672" t="e">
        <f>GL109*$C$87</f>
        <v>#VALUE!</v>
      </c>
      <c r="GN109" s="672" t="e">
        <f>GL109*$F$78</f>
        <v>#VALUE!</v>
      </c>
      <c r="GO109" s="600" t="e">
        <f>GL109*$F$83</f>
        <v>#VALUE!</v>
      </c>
      <c r="GP109" s="672" t="e">
        <f>GL109*$F$80</f>
        <v>#VALUE!</v>
      </c>
      <c r="GQ109" s="676" t="e">
        <f>GL109*$F$79</f>
        <v>#VALUE!</v>
      </c>
      <c r="GR109" s="668"/>
      <c r="GS109" s="669"/>
      <c r="GT109" s="677"/>
      <c r="GU109" s="679"/>
      <c r="GV109" s="678"/>
      <c r="GW109" s="650"/>
      <c r="GX109" s="663"/>
      <c r="GY109" s="671" t="str">
        <f>IF(GX109="Low",GU109*$D$42,IF(GX109="Med",GU109*$D$43,IF(GX109="High",GU109*$D$44,"rango cal. out")))</f>
        <v>rango cal. out</v>
      </c>
      <c r="GZ109" s="619" t="e">
        <f>((273.2+GR109)*$F$33/((273.2+$F$32)*GT109))</f>
        <v>#DIV/0!</v>
      </c>
      <c r="HA109" s="674" t="e">
        <f>GY109/GV109*GZ109*EXP(-LN(2)/10990*($F$96-GW109))</f>
        <v>#VALUE!</v>
      </c>
      <c r="HB109" s="599" t="e">
        <f>HA109-AVERAGE(HI102:HI103)</f>
        <v>#VALUE!</v>
      </c>
      <c r="HC109" s="672" t="e">
        <f>ABS(#REF!*HB109*3600)</f>
        <v>#REF!</v>
      </c>
      <c r="HD109" s="675" t="e">
        <f>ABS($B$34*HB109*3600)</f>
        <v>#VALUE!</v>
      </c>
      <c r="HE109" s="672" t="e">
        <f>HD109*$C$87</f>
        <v>#VALUE!</v>
      </c>
      <c r="HF109" s="672" t="e">
        <f>HD109*$F$78</f>
        <v>#VALUE!</v>
      </c>
      <c r="HG109" s="600" t="e">
        <f>HD109*$F$83</f>
        <v>#VALUE!</v>
      </c>
      <c r="HH109" s="672" t="e">
        <f>HD109*$F$80</f>
        <v>#VALUE!</v>
      </c>
      <c r="HI109" s="676" t="e">
        <f>HD109*$F$79</f>
        <v>#VALUE!</v>
      </c>
      <c r="HJ109" s="668"/>
      <c r="HK109" s="669"/>
      <c r="HL109" s="670"/>
      <c r="HM109" s="671"/>
      <c r="HN109" s="678"/>
      <c r="HO109" s="650"/>
      <c r="HP109" s="663"/>
      <c r="HQ109" s="671" t="str">
        <f>IF(HP109="Low",HM109*$D$42,IF(HP109="Med",HM109*$D$43,IF(HP109="High",HM109*$D$44,"rango cal. out")))</f>
        <v>rango cal. out</v>
      </c>
      <c r="HR109" s="619" t="e">
        <f>((273.2+HJ109)*$F$33/((273.2+$F$32)*HL109))</f>
        <v>#DIV/0!</v>
      </c>
      <c r="HS109" s="674" t="e">
        <f>HQ109/HN109*HR109*EXP(-LN(2)/10990*($F$96-HO109))</f>
        <v>#VALUE!</v>
      </c>
      <c r="HT109" s="599" t="e">
        <f>HS109-AVERAGE(IA102:IA103)</f>
        <v>#VALUE!</v>
      </c>
      <c r="HU109" s="672" t="e">
        <f>ABS(#REF!*HT109*3600)</f>
        <v>#REF!</v>
      </c>
      <c r="HV109" s="675" t="e">
        <f>ABS($B$34*HT109*3600)</f>
        <v>#VALUE!</v>
      </c>
      <c r="HW109" s="672" t="e">
        <f>HV109*$C$87</f>
        <v>#VALUE!</v>
      </c>
      <c r="HX109" s="672" t="e">
        <f>HV109*$F$78</f>
        <v>#VALUE!</v>
      </c>
      <c r="HY109" s="600" t="e">
        <f>HV109*$F$83</f>
        <v>#VALUE!</v>
      </c>
      <c r="HZ109" s="672" t="e">
        <f>HV109*$F$80</f>
        <v>#VALUE!</v>
      </c>
      <c r="IA109" s="676" t="e">
        <f>HV109*$F$79</f>
        <v>#VALUE!</v>
      </c>
      <c r="IB109" s="668"/>
      <c r="IC109" s="669"/>
      <c r="ID109" s="670"/>
      <c r="IE109" s="671"/>
      <c r="IF109" s="678"/>
      <c r="IG109" s="650"/>
      <c r="IH109" s="663"/>
      <c r="II109" s="671" t="str">
        <f>IF(IH109="Low",IE109*$D$42,IF(IH109="Med",IE109*$D$43,IF(IH109="High",IE109*$D$44,"rango cal. out")))</f>
        <v>rango cal. out</v>
      </c>
      <c r="IJ109" s="619" t="e">
        <f>((273.2+IB109)*$F$33/((273.2+$F$32)*ID109))</f>
        <v>#DIV/0!</v>
      </c>
      <c r="IK109" s="674" t="e">
        <f>II109/IF109*IJ109*EXP(-LN(2)/10990*($F$96-IG109))</f>
        <v>#VALUE!</v>
      </c>
      <c r="IL109" s="599" t="e">
        <f>IK109-AVERAGE(IS102:IS103)</f>
        <v>#VALUE!</v>
      </c>
      <c r="IM109" s="672" t="e">
        <f>ABS(#REF!*IL109*3600)</f>
        <v>#REF!</v>
      </c>
      <c r="IN109" s="675" t="e">
        <f>ABS($B$34*IL109*3600)</f>
        <v>#VALUE!</v>
      </c>
      <c r="IO109" s="672" t="e">
        <f>IN109*$C$87</f>
        <v>#VALUE!</v>
      </c>
      <c r="IP109" s="672" t="e">
        <f>IN109*$F$78</f>
        <v>#VALUE!</v>
      </c>
      <c r="IQ109" s="600" t="e">
        <f>IN109*$F$83</f>
        <v>#VALUE!</v>
      </c>
      <c r="IR109" s="672" t="e">
        <f>IN109*$F$80</f>
        <v>#VALUE!</v>
      </c>
      <c r="IS109" s="676" t="e">
        <f>IN109*$F$79</f>
        <v>#VALUE!</v>
      </c>
      <c r="IT109" s="668"/>
      <c r="IU109" s="669"/>
      <c r="IV109" s="670"/>
      <c r="IW109" s="671"/>
      <c r="IX109" s="678"/>
      <c r="IY109" s="650"/>
      <c r="IZ109" s="663"/>
      <c r="JA109" s="671" t="str">
        <f>IF(IZ109="Low",IW109*$D$42,IF(IZ109="Med",IW109*$D$43,IF(IZ109="High",IW109*$D$44,"rango cal. out")))</f>
        <v>rango cal. out</v>
      </c>
      <c r="JB109" s="619" t="e">
        <f>((273.2+IT109)*$F$33/((273.2+$F$32)*IV109))</f>
        <v>#DIV/0!</v>
      </c>
      <c r="JC109" s="674" t="e">
        <f>JA109/IX109*JB109*EXP(-LN(2)/10990*($F$96-IY109))</f>
        <v>#VALUE!</v>
      </c>
      <c r="JD109" s="599" t="e">
        <f>JC109-AVERAGE(JK102:JK103)</f>
        <v>#VALUE!</v>
      </c>
      <c r="JE109" s="672" t="e">
        <f>ABS(#REF!*JD109*3600)</f>
        <v>#REF!</v>
      </c>
      <c r="JF109" s="675" t="e">
        <f>ABS($B$34*JD109*3600)</f>
        <v>#VALUE!</v>
      </c>
      <c r="JG109" s="672" t="e">
        <f>JF109*$C$87</f>
        <v>#VALUE!</v>
      </c>
      <c r="JH109" s="672" t="e">
        <f>JF109*$F$78</f>
        <v>#VALUE!</v>
      </c>
      <c r="JI109" s="600" t="e">
        <f>JF109*$F$83</f>
        <v>#VALUE!</v>
      </c>
      <c r="JJ109" s="672" t="e">
        <f>JF109*$F$80</f>
        <v>#VALUE!</v>
      </c>
      <c r="JK109" s="676" t="e">
        <f>JF109*$F$79</f>
        <v>#VALUE!</v>
      </c>
      <c r="JL109" s="668"/>
      <c r="JM109" s="669"/>
      <c r="JN109" s="670"/>
      <c r="JO109" s="671"/>
      <c r="JP109" s="678"/>
      <c r="JQ109" s="650"/>
      <c r="JR109" s="663"/>
      <c r="JS109" s="671" t="str">
        <f>IF(JR109="Low",JO109*$D$42,IF(JR109="Med",JO109*$D$43,IF(JR109="High",JO109*$D$44,"rango cal. out")))</f>
        <v>rango cal. out</v>
      </c>
      <c r="JT109" s="619" t="e">
        <f>((273.2+JL109)*$F$33/((273.2+$F$32)*JN109))</f>
        <v>#DIV/0!</v>
      </c>
      <c r="JU109" s="674" t="e">
        <f>JS109/JP109*JT109*EXP(-LN(2)/10990*($F$96-JQ109))</f>
        <v>#VALUE!</v>
      </c>
      <c r="JV109" s="599" t="e">
        <f>JU109-AVERAGE(KC102:KC103)</f>
        <v>#VALUE!</v>
      </c>
      <c r="JW109" s="672" t="e">
        <f>ABS(#REF!*JV109*3600)</f>
        <v>#REF!</v>
      </c>
      <c r="JX109" s="675" t="e">
        <f>ABS($B$34*JV109*3600)</f>
        <v>#VALUE!</v>
      </c>
      <c r="JY109" s="672" t="e">
        <f>JX109*$C$87</f>
        <v>#VALUE!</v>
      </c>
      <c r="JZ109" s="672" t="e">
        <f>JX109*$F$78</f>
        <v>#VALUE!</v>
      </c>
      <c r="KA109" s="600" t="e">
        <f>JX109*$F$83</f>
        <v>#VALUE!</v>
      </c>
      <c r="KB109" s="672" t="e">
        <f>JX109*$F$80</f>
        <v>#VALUE!</v>
      </c>
      <c r="KC109" s="676" t="e">
        <f>JX109*$F$79</f>
        <v>#VALUE!</v>
      </c>
      <c r="KD109" s="668"/>
      <c r="KE109" s="669"/>
      <c r="KF109" s="670"/>
      <c r="KG109" s="671"/>
      <c r="KH109" s="678"/>
      <c r="KI109" s="650"/>
      <c r="KJ109" s="663"/>
      <c r="KK109" s="671" t="str">
        <f>IF(KJ109="Low",KG109*$D$42,IF(KJ109="Med",KG109*$D$43,IF(KJ109="High",KG109*$D$44,"rango cal. out")))</f>
        <v>rango cal. out</v>
      </c>
      <c r="KL109" s="619" t="e">
        <f>((273.2+KD109)*$F$33/((273.2+$F$32)*KF109))</f>
        <v>#DIV/0!</v>
      </c>
      <c r="KM109" s="674" t="e">
        <f>KK109/KH109*KL109*EXP(-LN(2)/10990*($F$96-KI109))</f>
        <v>#VALUE!</v>
      </c>
      <c r="KN109" s="599" t="e">
        <f>KM109-AVERAGE(KU102:KU103)</f>
        <v>#VALUE!</v>
      </c>
      <c r="KO109" s="672" t="e">
        <f>ABS(#REF!*KN109*3600)</f>
        <v>#REF!</v>
      </c>
      <c r="KP109" s="675" t="e">
        <f>ABS($B$34*KN109*3600)</f>
        <v>#VALUE!</v>
      </c>
      <c r="KQ109" s="672" t="e">
        <f>KP109*$C$87</f>
        <v>#VALUE!</v>
      </c>
      <c r="KR109" s="672" t="e">
        <f>KP109*$F$78</f>
        <v>#VALUE!</v>
      </c>
      <c r="KS109" s="600" t="e">
        <f>KP109*$F$83</f>
        <v>#VALUE!</v>
      </c>
      <c r="KT109" s="672" t="e">
        <f>KP109*$F$80</f>
        <v>#VALUE!</v>
      </c>
      <c r="KU109" s="676" t="e">
        <f>KP109*$F$79</f>
        <v>#VALUE!</v>
      </c>
      <c r="KV109" s="668"/>
      <c r="KW109" s="669"/>
      <c r="KX109" s="670"/>
      <c r="KY109" s="671"/>
      <c r="KZ109" s="678"/>
      <c r="LA109" s="650"/>
      <c r="LB109" s="663"/>
      <c r="LC109" s="671" t="str">
        <f>IF(LB109="Low",KY109*$D$42,IF(LB109="Med",KY109*$D$43,IF(LB109="High",KY109*$D$44,"rango cal. out")))</f>
        <v>rango cal. out</v>
      </c>
      <c r="LD109" s="619" t="e">
        <f>((273.2+KV109)*$F$33/((273.2+$F$32)*KX109))</f>
        <v>#DIV/0!</v>
      </c>
      <c r="LE109" s="674" t="e">
        <f>LC109/KZ109*LD109*EXP(-LN(2)/10990*($F$96-LA109))</f>
        <v>#VALUE!</v>
      </c>
      <c r="LF109" s="599" t="e">
        <f>LE109-AVERAGE(LM102:LM103)</f>
        <v>#VALUE!</v>
      </c>
      <c r="LG109" s="672" t="e">
        <f>ABS(#REF!*LF109*3600)</f>
        <v>#REF!</v>
      </c>
      <c r="LH109" s="675" t="e">
        <f>ABS($B$34*LF109*3600)</f>
        <v>#VALUE!</v>
      </c>
      <c r="LI109" s="672" t="e">
        <f>LH109*$C$87</f>
        <v>#VALUE!</v>
      </c>
      <c r="LJ109" s="672" t="e">
        <f>LH109*$F$78</f>
        <v>#VALUE!</v>
      </c>
      <c r="LK109" s="600" t="e">
        <f>LH109*$F$83</f>
        <v>#VALUE!</v>
      </c>
      <c r="LL109" s="672" t="e">
        <f>LH109*$F$80</f>
        <v>#VALUE!</v>
      </c>
      <c r="LM109" s="676" t="e">
        <f>LH109*$F$79</f>
        <v>#VALUE!</v>
      </c>
      <c r="LN109" s="668"/>
      <c r="LO109" s="669"/>
      <c r="LP109" s="670"/>
      <c r="LQ109" s="671"/>
      <c r="LR109" s="678"/>
      <c r="LS109" s="650"/>
      <c r="LT109" s="663"/>
      <c r="LU109" s="671" t="str">
        <f>IF(LT109="Low",LQ109*$D$42,IF(LT109="Med",LQ109*$D$43,IF(LT109="High",LQ109*$D$44,"rango cal. out")))</f>
        <v>rango cal. out</v>
      </c>
      <c r="LV109" s="619" t="e">
        <f>((273.2+LN109)*$F$33/((273.2+$F$32)*LP109))</f>
        <v>#DIV/0!</v>
      </c>
      <c r="LW109" s="674" t="e">
        <f>LU109/LR109*LV109*EXP(-LN(2)/10990*($F$96-LS109))</f>
        <v>#VALUE!</v>
      </c>
      <c r="LX109" s="599" t="e">
        <f>LW109-AVERAGE(ME102:ME103)</f>
        <v>#VALUE!</v>
      </c>
      <c r="LY109" s="672" t="e">
        <f>ABS(#REF!*LX109*3600)</f>
        <v>#REF!</v>
      </c>
      <c r="LZ109" s="675" t="e">
        <f>ABS($B$34*LX109*3600)</f>
        <v>#VALUE!</v>
      </c>
      <c r="MA109" s="672" t="e">
        <f>LZ109*$C$87</f>
        <v>#VALUE!</v>
      </c>
      <c r="MB109" s="672" t="e">
        <f>LZ109*$F$78</f>
        <v>#VALUE!</v>
      </c>
      <c r="MC109" s="600" t="e">
        <f>LZ109*$F$83</f>
        <v>#VALUE!</v>
      </c>
      <c r="MD109" s="672" t="e">
        <f>LZ109*$F$80</f>
        <v>#VALUE!</v>
      </c>
      <c r="ME109" s="676" t="e">
        <f>LZ109*$F$79</f>
        <v>#VALUE!</v>
      </c>
      <c r="MF109" s="668"/>
      <c r="MG109" s="669"/>
      <c r="MH109" s="670"/>
      <c r="MI109" s="671"/>
      <c r="MJ109" s="678"/>
      <c r="MK109" s="650"/>
      <c r="ML109" s="663"/>
      <c r="MM109" s="671" t="str">
        <f>IF(ML109="Low",MI109*$D$42,IF(ML109="Med",MI109*$D$43,IF(ML109="High",MI109*$D$44,"rango cal. out")))</f>
        <v>rango cal. out</v>
      </c>
      <c r="MN109" s="619" t="e">
        <f>((273.2+MF109)*$F$33/((273.2+$F$32)*MH109))</f>
        <v>#DIV/0!</v>
      </c>
      <c r="MO109" s="674" t="e">
        <f>MM109/MJ109*MN109*EXP(-LN(2)/10990*($F$96-MK109))</f>
        <v>#VALUE!</v>
      </c>
      <c r="MP109" s="599" t="e">
        <f>MO109-AVERAGE(MW102:MW103)</f>
        <v>#VALUE!</v>
      </c>
      <c r="MQ109" s="672" t="e">
        <f>ABS(#REF!*MP109*3600)</f>
        <v>#REF!</v>
      </c>
      <c r="MR109" s="675" t="e">
        <f>ABS($B$34*MP109*3600)</f>
        <v>#VALUE!</v>
      </c>
      <c r="MS109" s="672" t="e">
        <f>MR109*$C$87</f>
        <v>#VALUE!</v>
      </c>
      <c r="MT109" s="672" t="e">
        <f>MR109*$F$78</f>
        <v>#VALUE!</v>
      </c>
      <c r="MU109" s="600" t="e">
        <f>MR109*$F$83</f>
        <v>#VALUE!</v>
      </c>
      <c r="MV109" s="672" t="e">
        <f>MR109*$F$80</f>
        <v>#VALUE!</v>
      </c>
      <c r="MW109" s="676" t="e">
        <f>MR109*$F$79</f>
        <v>#VALUE!</v>
      </c>
      <c r="MX109" s="668"/>
      <c r="MY109" s="669"/>
      <c r="MZ109" s="680"/>
      <c r="NA109" s="671"/>
      <c r="NB109" s="673"/>
      <c r="NC109" s="650"/>
      <c r="ND109" s="663"/>
      <c r="NE109" s="671" t="str">
        <f>IF(ND109="Low",NA109*$D$42,IF(ND109="Med",NA109*$D$43,IF(ND109="High",NA109*$D$44,"rango cal. out")))</f>
        <v>rango cal. out</v>
      </c>
      <c r="NF109" s="619" t="e">
        <f>((273.2+MX109)*$F$33/((273.2+$F$32)*MZ109))</f>
        <v>#DIV/0!</v>
      </c>
      <c r="NG109" s="674" t="e">
        <f>NE109/NB109*NF109*EXP(-LN(2)/10990*($F$96-NC109))</f>
        <v>#VALUE!</v>
      </c>
      <c r="NH109" s="599" t="e">
        <f>NG109-AVERAGE(NO102:NO103)</f>
        <v>#VALUE!</v>
      </c>
      <c r="NI109" s="672" t="e">
        <f>ABS(#REF!*NH109*3600)</f>
        <v>#REF!</v>
      </c>
      <c r="NJ109" s="675" t="e">
        <f>ABS($B$34*NH109*3600)</f>
        <v>#VALUE!</v>
      </c>
      <c r="NK109" s="672" t="e">
        <f>NJ109*$C$87</f>
        <v>#VALUE!</v>
      </c>
      <c r="NL109" s="672" t="e">
        <f>NJ109*$F$78</f>
        <v>#VALUE!</v>
      </c>
      <c r="NM109" s="600" t="e">
        <f>NJ109*$F$83</f>
        <v>#VALUE!</v>
      </c>
      <c r="NN109" s="672" t="e">
        <f>NJ109*$F$80</f>
        <v>#VALUE!</v>
      </c>
      <c r="NO109" s="676" t="e">
        <f>NJ109*$F$79</f>
        <v>#VALUE!</v>
      </c>
      <c r="NP109" s="668"/>
      <c r="NQ109" s="669"/>
      <c r="NR109" s="670"/>
      <c r="NS109" s="671"/>
      <c r="NT109" s="678"/>
      <c r="NU109" s="650"/>
      <c r="NV109" s="663"/>
      <c r="NW109" s="671" t="str">
        <f>IF(NV109="Low",NS109*$D$42,IF(NV109="Med",NS109*$D$43,IF(NV109="High",NS109*$D$44,"rango cal. out")))</f>
        <v>rango cal. out</v>
      </c>
      <c r="NX109" s="619" t="e">
        <f>((273.2+NP109)*$F$33/((273.2+$F$32)*NR109))</f>
        <v>#DIV/0!</v>
      </c>
      <c r="NY109" s="674" t="e">
        <f>NW109/NT109*NX109*EXP(-LN(2)/10990*($F$96-NU109))</f>
        <v>#VALUE!</v>
      </c>
      <c r="NZ109" s="599" t="e">
        <f>NY109-AVERAGE(OG102:OG103)</f>
        <v>#VALUE!</v>
      </c>
      <c r="OA109" s="672" t="e">
        <f>ABS(#REF!*NZ109*3600)</f>
        <v>#REF!</v>
      </c>
      <c r="OB109" s="675" t="e">
        <f>ABS($B$34*NZ109*3600)</f>
        <v>#VALUE!</v>
      </c>
      <c r="OC109" s="672" t="e">
        <f>OB109*$C$87</f>
        <v>#VALUE!</v>
      </c>
      <c r="OD109" s="672" t="e">
        <f>OB109*$F$78</f>
        <v>#VALUE!</v>
      </c>
      <c r="OE109" s="600" t="e">
        <f>OB109*$F$83</f>
        <v>#VALUE!</v>
      </c>
      <c r="OF109" s="672" t="e">
        <f>OB109*$F$80</f>
        <v>#VALUE!</v>
      </c>
      <c r="OG109" s="676" t="e">
        <f>OB109*$F$79</f>
        <v>#VALUE!</v>
      </c>
      <c r="OH109" s="668"/>
      <c r="OI109" s="669"/>
      <c r="OJ109" s="670"/>
      <c r="OK109" s="671"/>
      <c r="OL109" s="678"/>
      <c r="OM109" s="650"/>
      <c r="ON109" s="663"/>
      <c r="OO109" s="671" t="str">
        <f>IF(ON109="Low",OK109*$D$42,IF(ON109="Med",OK109*$D$43,IF(ON109="High",OK109*$D$44,"rango cal. out")))</f>
        <v>rango cal. out</v>
      </c>
      <c r="OP109" s="619" t="e">
        <f>((273.2+OH109)*$F$33/((273.2+$F$32)*OJ109))</f>
        <v>#DIV/0!</v>
      </c>
      <c r="OQ109" s="674" t="e">
        <f>OO109/OL109*OP109*EXP(-LN(2)/10990*($F$96-OM109))</f>
        <v>#VALUE!</v>
      </c>
      <c r="OR109" s="599" t="e">
        <f>OQ109-AVERAGE(OY102:OY103)</f>
        <v>#VALUE!</v>
      </c>
      <c r="OS109" s="672" t="e">
        <f>ABS(#REF!*OR109*3600)</f>
        <v>#REF!</v>
      </c>
      <c r="OT109" s="675" t="e">
        <f>ABS($B$34*OR109*3600)</f>
        <v>#VALUE!</v>
      </c>
      <c r="OU109" s="672" t="e">
        <f>OT109*$C$87</f>
        <v>#VALUE!</v>
      </c>
      <c r="OV109" s="672" t="e">
        <f>OT109*$F$78</f>
        <v>#VALUE!</v>
      </c>
      <c r="OW109" s="600" t="e">
        <f>OT109*$F$83</f>
        <v>#VALUE!</v>
      </c>
      <c r="OX109" s="672" t="e">
        <f>OT109*$F$80</f>
        <v>#VALUE!</v>
      </c>
      <c r="OY109" s="676" t="e">
        <f>OT109*$F$79</f>
        <v>#VALUE!</v>
      </c>
      <c r="OZ109" s="668"/>
      <c r="PA109" s="669"/>
      <c r="PB109" s="670"/>
      <c r="PC109" s="671"/>
      <c r="PD109" s="678"/>
      <c r="PE109" s="650"/>
      <c r="PF109" s="663"/>
      <c r="PG109" s="671" t="str">
        <f>IF(PF109="Low",PC109*$D$42,IF(PF109="Med",PC109*$D$43,IF(PF109="High",PC109*$D$44,"rango cal. out")))</f>
        <v>rango cal. out</v>
      </c>
      <c r="PH109" s="619" t="e">
        <f>((273.2+OZ109)*$F$33/((273.2+$F$32)*PB109))</f>
        <v>#DIV/0!</v>
      </c>
      <c r="PI109" s="674" t="e">
        <f>PG109/PD109*PH109*EXP(-LN(2)/10990*($F$96-PE109))</f>
        <v>#VALUE!</v>
      </c>
      <c r="PJ109" s="599" t="e">
        <f>PI109-AVERAGE(PQ102:PQ103)</f>
        <v>#VALUE!</v>
      </c>
      <c r="PK109" s="672" t="e">
        <f>ABS(#REF!*PJ109*3600)</f>
        <v>#REF!</v>
      </c>
      <c r="PL109" s="675" t="e">
        <f>ABS($B$34*PJ109*3600)</f>
        <v>#VALUE!</v>
      </c>
      <c r="PM109" s="672" t="e">
        <f>PL109*$C$87</f>
        <v>#VALUE!</v>
      </c>
      <c r="PN109" s="672" t="e">
        <f>PL109*$F$78</f>
        <v>#VALUE!</v>
      </c>
      <c r="PO109" s="600" t="e">
        <f>PL109*$F$83</f>
        <v>#VALUE!</v>
      </c>
      <c r="PP109" s="672" t="e">
        <f>PL109*$F$80</f>
        <v>#VALUE!</v>
      </c>
      <c r="PQ109" s="676" t="e">
        <f>PL109*$F$79</f>
        <v>#VALUE!</v>
      </c>
      <c r="PR109" s="668"/>
      <c r="PS109" s="669"/>
      <c r="PT109" s="670"/>
      <c r="PU109" s="671"/>
      <c r="PV109" s="678"/>
      <c r="PW109" s="650"/>
      <c r="PX109" s="663"/>
      <c r="PY109" s="671" t="str">
        <f>IF(PX109="Low",PU109*$D$42,IF(PX109="Med",PU109*$D$43,IF(PX109="High",PU109*$D$44,"rango cal. out")))</f>
        <v>rango cal. out</v>
      </c>
      <c r="PZ109" s="619" t="e">
        <f>((273.2+PR109)*$F$33/((273.2+$F$32)*PT109))</f>
        <v>#DIV/0!</v>
      </c>
      <c r="QA109" s="674" t="e">
        <f>PY109/PV109*PZ109*EXP(-LN(2)/10990*($F$96-PW109))</f>
        <v>#VALUE!</v>
      </c>
      <c r="QB109" s="599" t="e">
        <f>QA109-AVERAGE(QI102:QI103)</f>
        <v>#VALUE!</v>
      </c>
      <c r="QC109" s="672" t="e">
        <f>ABS(#REF!*QB109*3600)</f>
        <v>#REF!</v>
      </c>
      <c r="QD109" s="675" t="e">
        <f>ABS($B$34*QB109*3600)</f>
        <v>#VALUE!</v>
      </c>
      <c r="QE109" s="672" t="e">
        <f>QD109*$C$87</f>
        <v>#VALUE!</v>
      </c>
      <c r="QF109" s="672" t="e">
        <f>QD109*$F$78</f>
        <v>#VALUE!</v>
      </c>
      <c r="QG109" s="600" t="e">
        <f>QD109*$F$83</f>
        <v>#VALUE!</v>
      </c>
      <c r="QH109" s="672" t="e">
        <f>QD109*$F$80</f>
        <v>#VALUE!</v>
      </c>
      <c r="QI109" s="676" t="e">
        <f>QD109*$F$79</f>
        <v>#VALUE!</v>
      </c>
      <c r="QJ109" s="668"/>
      <c r="QK109" s="669"/>
      <c r="QL109" s="670"/>
      <c r="QM109" s="671"/>
      <c r="QN109" s="678"/>
      <c r="QO109" s="650"/>
      <c r="QP109" s="663"/>
      <c r="QQ109" s="671" t="str">
        <f>IF(QP109="Low",QM109*$D$42,IF(QP109="Med",QM109*$D$43,IF(QP109="High",QM109*$D$44,"rango cal. out")))</f>
        <v>rango cal. out</v>
      </c>
      <c r="QR109" s="619" t="e">
        <f>((273.2+QJ109)*$F$33/((273.2+$F$32)*QL109))</f>
        <v>#DIV/0!</v>
      </c>
      <c r="QS109" s="674" t="e">
        <f>QQ109/QN109*QR109*EXP(-LN(2)/10990*($F$96-QO109))</f>
        <v>#VALUE!</v>
      </c>
      <c r="QT109" s="599" t="e">
        <f>QS109-AVERAGE(RA102:RA103)</f>
        <v>#VALUE!</v>
      </c>
      <c r="QU109" s="672" t="e">
        <f>ABS(#REF!*QT109*3600)</f>
        <v>#REF!</v>
      </c>
      <c r="QV109" s="675" t="e">
        <f>ABS($B$34*QT109*3600)</f>
        <v>#VALUE!</v>
      </c>
      <c r="QW109" s="672" t="e">
        <f>QV109*$C$87</f>
        <v>#VALUE!</v>
      </c>
      <c r="QX109" s="672" t="e">
        <f>QV109*$F$78</f>
        <v>#VALUE!</v>
      </c>
      <c r="QY109" s="600" t="e">
        <f>QV109*$F$83</f>
        <v>#VALUE!</v>
      </c>
      <c r="QZ109" s="672" t="e">
        <f>QV109*$F$80</f>
        <v>#VALUE!</v>
      </c>
      <c r="RA109" s="676" t="e">
        <f>QV109*$F$79</f>
        <v>#VALUE!</v>
      </c>
      <c r="RB109" s="668"/>
      <c r="RC109" s="669"/>
      <c r="RD109" s="670"/>
      <c r="RE109" s="671"/>
      <c r="RF109" s="673"/>
      <c r="RG109" s="650"/>
      <c r="RH109" s="663"/>
      <c r="RI109" s="671" t="str">
        <f>IF(RH109="Low",RE109*$D$42,IF(RH109="Med",RE109*$D$43,IF(RH109="High",RE109*$D$44,"rango cal. out")))</f>
        <v>rango cal. out</v>
      </c>
      <c r="RJ109" s="619" t="e">
        <f>((273.2+RB109)*$F$33/((273.2+$F$32)*RD109))</f>
        <v>#DIV/0!</v>
      </c>
      <c r="RK109" s="674" t="e">
        <f>RI109/RF109*RJ109*EXP(-LN(2)/10990*($F$96-RG109))</f>
        <v>#VALUE!</v>
      </c>
      <c r="RL109" s="599" t="e">
        <f>RK109-AVERAGE(RS102:RS103)</f>
        <v>#VALUE!</v>
      </c>
      <c r="RM109" s="672" t="e">
        <f>ABS(#REF!*RL109*3600)</f>
        <v>#REF!</v>
      </c>
      <c r="RN109" s="675" t="e">
        <f>ABS($B$34*RL109*3600)</f>
        <v>#VALUE!</v>
      </c>
      <c r="RO109" s="672" t="e">
        <f>RN109*$C$87</f>
        <v>#VALUE!</v>
      </c>
      <c r="RP109" s="672" t="e">
        <f>RN109*$F$78</f>
        <v>#VALUE!</v>
      </c>
      <c r="RQ109" s="600" t="e">
        <f>RN109*$F$83</f>
        <v>#VALUE!</v>
      </c>
      <c r="RR109" s="672" t="e">
        <f>RN109*$F$80</f>
        <v>#VALUE!</v>
      </c>
      <c r="RS109" s="676" t="e">
        <f>RN109*$F$79</f>
        <v>#VALUE!</v>
      </c>
      <c r="RT109" s="668"/>
      <c r="RU109" s="669"/>
      <c r="RV109" s="677"/>
      <c r="RW109" s="679"/>
      <c r="RX109" s="678"/>
      <c r="RY109" s="650"/>
      <c r="RZ109" s="663"/>
      <c r="SA109" s="671" t="str">
        <f>IF(RZ109="Low",RW109*$D$42,IF(RZ109="Med",RW109*$D$43,IF(RZ109="High",RW109*$D$44,"rango cal. out")))</f>
        <v>rango cal. out</v>
      </c>
      <c r="SB109" s="619" t="e">
        <f>((273.2+RT109)*$F$33/((273.2+$F$32)*RV109))</f>
        <v>#DIV/0!</v>
      </c>
      <c r="SC109" s="674" t="e">
        <f>SA109/RX109*SB109*EXP(-LN(2)/10990*($F$96-RY109))</f>
        <v>#VALUE!</v>
      </c>
      <c r="SD109" s="599" t="e">
        <f>SC109-AVERAGE(SK102:SK103)</f>
        <v>#VALUE!</v>
      </c>
      <c r="SE109" s="672" t="e">
        <f>ABS(#REF!*SD109*3600)</f>
        <v>#REF!</v>
      </c>
      <c r="SF109" s="675" t="e">
        <f>ABS($B$34*SD109*3600)</f>
        <v>#VALUE!</v>
      </c>
      <c r="SG109" s="672" t="e">
        <f>SF109*$C$87</f>
        <v>#VALUE!</v>
      </c>
      <c r="SH109" s="672" t="e">
        <f>SF109*$F$78</f>
        <v>#VALUE!</v>
      </c>
      <c r="SI109" s="600" t="e">
        <f>SF109*$F$83</f>
        <v>#VALUE!</v>
      </c>
      <c r="SJ109" s="672" t="e">
        <f>SF109*$F$80</f>
        <v>#VALUE!</v>
      </c>
      <c r="SK109" s="676" t="e">
        <f>SF109*$F$79</f>
        <v>#VALUE!</v>
      </c>
      <c r="SL109" s="668"/>
      <c r="SM109" s="669"/>
      <c r="SN109" s="670"/>
      <c r="SO109" s="671"/>
      <c r="SP109" s="678"/>
      <c r="SQ109" s="650"/>
      <c r="SR109" s="663"/>
      <c r="SS109" s="671" t="str">
        <f>IF(SR109="Low",SO109*$D$42,IF(SR109="Med",SO109*$D$43,IF(SR109="High",SO109*$D$44,"rango cal. out")))</f>
        <v>rango cal. out</v>
      </c>
      <c r="ST109" s="619" t="e">
        <f>((273.2+SL109)*$F$33/((273.2+$F$32)*SN109))</f>
        <v>#DIV/0!</v>
      </c>
      <c r="SU109" s="674" t="e">
        <f>SS109/SP109*ST109*EXP(-LN(2)/10990*($F$96-SQ109))</f>
        <v>#VALUE!</v>
      </c>
      <c r="SV109" s="599" t="e">
        <f>SU109-AVERAGE(TC102:TC103)</f>
        <v>#VALUE!</v>
      </c>
      <c r="SW109" s="672" t="e">
        <f>ABS(#REF!*SV109*3600)</f>
        <v>#REF!</v>
      </c>
      <c r="SX109" s="675" t="e">
        <f>ABS($B$34*SV109*3600)</f>
        <v>#VALUE!</v>
      </c>
      <c r="SY109" s="672" t="e">
        <f>SX109*$C$87</f>
        <v>#VALUE!</v>
      </c>
      <c r="SZ109" s="672" t="e">
        <f>SX109*$F$78</f>
        <v>#VALUE!</v>
      </c>
      <c r="TA109" s="600" t="e">
        <f>SX109*$F$83</f>
        <v>#VALUE!</v>
      </c>
      <c r="TB109" s="672" t="e">
        <f>SX109*$F$80</f>
        <v>#VALUE!</v>
      </c>
      <c r="TC109" s="676" t="e">
        <f>SX109*$F$79</f>
        <v>#VALUE!</v>
      </c>
      <c r="TD109" s="668"/>
      <c r="TE109" s="669"/>
      <c r="TF109" s="670"/>
      <c r="TG109" s="671"/>
      <c r="TH109" s="678"/>
      <c r="TI109" s="650"/>
      <c r="TJ109" s="663"/>
      <c r="TK109" s="671" t="str">
        <f>IF(TJ109="Low",TG109*$D$42,IF(TJ109="Med",TG109*$D$43,IF(TJ109="High",TG109*$D$44,"rango cal. out")))</f>
        <v>rango cal. out</v>
      </c>
      <c r="TL109" s="619" t="e">
        <f>((273.2+TD109)*$F$33/((273.2+$F$32)*TF109))</f>
        <v>#DIV/0!</v>
      </c>
      <c r="TM109" s="674" t="e">
        <f>TK109/TH109*TL109*EXP(-LN(2)/10990*($F$96-TI109))</f>
        <v>#VALUE!</v>
      </c>
      <c r="TN109" s="599" t="e">
        <f>TM109-AVERAGE(TU102:TU103)</f>
        <v>#VALUE!</v>
      </c>
      <c r="TO109" s="672" t="e">
        <f>ABS(#REF!*TN109*3600)</f>
        <v>#REF!</v>
      </c>
      <c r="TP109" s="675" t="e">
        <f>ABS($B$34*TN109*3600)</f>
        <v>#VALUE!</v>
      </c>
      <c r="TQ109" s="672" t="e">
        <f>TP109*$C$87</f>
        <v>#VALUE!</v>
      </c>
      <c r="TR109" s="672" t="e">
        <f>TP109*$F$78</f>
        <v>#VALUE!</v>
      </c>
      <c r="TS109" s="600" t="e">
        <f>TP109*$F$83</f>
        <v>#VALUE!</v>
      </c>
      <c r="TT109" s="672" t="e">
        <f>TP109*$F$80</f>
        <v>#VALUE!</v>
      </c>
      <c r="TU109" s="676" t="e">
        <f>TP109*$F$79</f>
        <v>#VALUE!</v>
      </c>
      <c r="TV109" s="668"/>
      <c r="TW109" s="669"/>
      <c r="TX109" s="670"/>
      <c r="TY109" s="671"/>
      <c r="TZ109" s="678"/>
      <c r="UA109" s="650"/>
      <c r="UB109" s="663"/>
      <c r="UC109" s="671" t="str">
        <f>IF(UB109="Low",TY109*$D$42,IF(UB109="Med",TY109*$D$43,IF(UB109="High",TY109*$D$44,"rango cal. out")))</f>
        <v>rango cal. out</v>
      </c>
      <c r="UD109" s="619" t="e">
        <f>((273.2+TV109)*$F$33/((273.2+$F$32)*TX109))</f>
        <v>#DIV/0!</v>
      </c>
      <c r="UE109" s="674" t="e">
        <f>UC109/TZ109*UD109*EXP(-LN(2)/10990*($F$96-UA109))</f>
        <v>#VALUE!</v>
      </c>
      <c r="UF109" s="599" t="e">
        <f>UE109-AVERAGE(UM102:UM103)</f>
        <v>#VALUE!</v>
      </c>
      <c r="UG109" s="672" t="e">
        <f>ABS(#REF!*UF109*3600)</f>
        <v>#REF!</v>
      </c>
      <c r="UH109" s="675" t="e">
        <f>ABS($B$34*UF109*3600)</f>
        <v>#VALUE!</v>
      </c>
      <c r="UI109" s="672" t="e">
        <f>UH109*$C$87</f>
        <v>#VALUE!</v>
      </c>
      <c r="UJ109" s="672" t="e">
        <f>UH109*$F$78</f>
        <v>#VALUE!</v>
      </c>
      <c r="UK109" s="600" t="e">
        <f>UH109*$F$83</f>
        <v>#VALUE!</v>
      </c>
      <c r="UL109" s="672" t="e">
        <f>UH109*$F$80</f>
        <v>#VALUE!</v>
      </c>
      <c r="UM109" s="676" t="e">
        <f>UH109*$F$79</f>
        <v>#VALUE!</v>
      </c>
      <c r="UN109" s="668"/>
      <c r="UO109" s="669"/>
      <c r="UP109" s="670"/>
      <c r="UQ109" s="671"/>
      <c r="UR109" s="678"/>
      <c r="US109" s="650"/>
      <c r="UT109" s="663"/>
      <c r="UU109" s="671" t="str">
        <f>IF(UT109="Low",UQ109*$D$42,IF(UT109="Med",UQ109*$D$43,IF(UT109="High",UQ109*$D$44,"rango cal. out")))</f>
        <v>rango cal. out</v>
      </c>
      <c r="UV109" s="619" t="e">
        <f>((273.2+UN109)*$F$33/((273.2+$F$32)*UP109))</f>
        <v>#DIV/0!</v>
      </c>
      <c r="UW109" s="674" t="e">
        <f>UU109/UR109*UV109*EXP(-LN(2)/10990*($F$96-US109))</f>
        <v>#VALUE!</v>
      </c>
      <c r="UX109" s="599" t="e">
        <f>UW109-AVERAGE(VE102:VE103)</f>
        <v>#VALUE!</v>
      </c>
      <c r="UY109" s="672" t="e">
        <f>ABS(#REF!*UX109*3600)</f>
        <v>#REF!</v>
      </c>
      <c r="UZ109" s="675" t="e">
        <f>ABS($B$34*UX109*3600)</f>
        <v>#VALUE!</v>
      </c>
      <c r="VA109" s="672" t="e">
        <f>UZ109*$C$87</f>
        <v>#VALUE!</v>
      </c>
      <c r="VB109" s="672" t="e">
        <f>UZ109*$F$78</f>
        <v>#VALUE!</v>
      </c>
      <c r="VC109" s="600" t="e">
        <f>UZ109*$F$83</f>
        <v>#VALUE!</v>
      </c>
      <c r="VD109" s="672" t="e">
        <f>UZ109*$F$80</f>
        <v>#VALUE!</v>
      </c>
      <c r="VE109" s="676" t="e">
        <f>UZ109*$F$79</f>
        <v>#VALUE!</v>
      </c>
    </row>
    <row r="110" spans="1:577" x14ac:dyDescent="0.25">
      <c r="A110" s="2205"/>
      <c r="B110" s="2083">
        <v>20.5</v>
      </c>
      <c r="C110" s="2084">
        <v>54</v>
      </c>
      <c r="D110" s="2084">
        <v>1010</v>
      </c>
      <c r="E110" s="2085">
        <v>-2.9189999999999999E-8</v>
      </c>
      <c r="F110" s="2084">
        <v>60</v>
      </c>
      <c r="G110" s="2152">
        <v>44333</v>
      </c>
      <c r="H110" s="2153" t="s">
        <v>1042</v>
      </c>
      <c r="I110" s="2076">
        <f>IF(H110="Low",E110*$D$42,IF(H110="Med",E110*$D$43,IF(H110="High",E110*$D$44,"rango cal. out")))</f>
        <v>-2.9219189999999996E-8</v>
      </c>
      <c r="J110" s="2077">
        <f>((273.2+B110)*$F$33/((273.2+$F$32)*D110))</f>
        <v>0.99812017024873212</v>
      </c>
      <c r="K110" s="2078">
        <f>I110/F110*J110*EXP(-LN(2)/10990*($F$96-G110))</f>
        <v>-4.8134238786673719E-10</v>
      </c>
      <c r="L110" s="2075">
        <f>K110-AVERAGE(S102:S103)</f>
        <v>-4.8131857589936568E-10</v>
      </c>
      <c r="M110" s="2087" t="e">
        <f>ABS(#REF!*L110*3600)</f>
        <v>#REF!</v>
      </c>
      <c r="N110" s="2073">
        <f>ABS($B$34*L110*3600)</f>
        <v>4.3665221205590458E-2</v>
      </c>
      <c r="O110" s="2074">
        <f>N110*$C$87</f>
        <v>4.3665221205590461</v>
      </c>
      <c r="P110" s="2081">
        <f>N110*$F$78</f>
        <v>5.2398265446708552E-2</v>
      </c>
      <c r="Q110" s="2080">
        <f>N110*$F$83</f>
        <v>5.2834917658764455E-2</v>
      </c>
      <c r="R110" s="2081">
        <f>N110*$F$80</f>
        <v>5.2834917658764455E-2</v>
      </c>
      <c r="S110" s="2082">
        <f>N110*$F$79</f>
        <v>5.4581526506988075E-2</v>
      </c>
      <c r="T110" s="677"/>
      <c r="U110" s="669"/>
      <c r="V110" s="670"/>
      <c r="W110" s="671"/>
      <c r="X110" s="678"/>
      <c r="Y110" s="650"/>
      <c r="Z110" s="650"/>
      <c r="AA110" s="671" t="str">
        <f>IF(Z110="Low",W110*$D$42,IF(Z110="Med",W110*$D$43,IF(Z110="High",W110*$D$44,"rango cal. out")))</f>
        <v>rango cal. out</v>
      </c>
      <c r="AB110" s="619" t="e">
        <f>((273.2+T110)*$F$33/((273.2+$F$32)*V110))</f>
        <v>#DIV/0!</v>
      </c>
      <c r="AC110" s="674" t="e">
        <f>AA110/X110*AB110*EXP(-LN(2)/10990*($F$96-Y110))</f>
        <v>#VALUE!</v>
      </c>
      <c r="AD110" s="599" t="e">
        <f>AC110-AVERAGE(#REF!)</f>
        <v>#VALUE!</v>
      </c>
      <c r="AE110" s="672" t="e">
        <f>ABS(#REF!*AD110*3600)</f>
        <v>#REF!</v>
      </c>
      <c r="AF110" s="675" t="e">
        <f>ABS($B$34*AD110*3600)</f>
        <v>#VALUE!</v>
      </c>
      <c r="AG110" s="614" t="e">
        <f>AF110*$C$87</f>
        <v>#VALUE!</v>
      </c>
      <c r="AH110" s="672" t="e">
        <f>AF110*$F$78</f>
        <v>#VALUE!</v>
      </c>
      <c r="AI110" s="600" t="e">
        <f>AF110*$F$83</f>
        <v>#VALUE!</v>
      </c>
      <c r="AJ110" s="672" t="e">
        <f>AF110*$F$80</f>
        <v>#VALUE!</v>
      </c>
      <c r="AK110" s="676" t="e">
        <f>AF110*$F$79</f>
        <v>#VALUE!</v>
      </c>
      <c r="AL110" s="668"/>
      <c r="AM110" s="669"/>
      <c r="AN110" s="670"/>
      <c r="AO110" s="671"/>
      <c r="AP110" s="678"/>
      <c r="AQ110" s="650"/>
      <c r="AR110" s="650"/>
      <c r="AS110" s="671" t="str">
        <f>IF(AR110="Low",AO110*$D$42,IF(AR110="Med",AO110*$D$43,IF(AR110="High",AO110*$D$44,"rango cal. out")))</f>
        <v>rango cal. out</v>
      </c>
      <c r="AT110" s="619" t="e">
        <f>((273.2+AL110)*$F$33/((273.2+$F$32)*AN110))</f>
        <v>#DIV/0!</v>
      </c>
      <c r="AU110" s="674" t="e">
        <f>AS110/AP110*AT110*EXP(-LN(2)/10990*($F$96-AQ110))</f>
        <v>#VALUE!</v>
      </c>
      <c r="AV110" s="599" t="e">
        <f>AU110-AVERAGE(BC102:BC103)</f>
        <v>#VALUE!</v>
      </c>
      <c r="AW110" s="672" t="e">
        <f>ABS(#REF!*AV110*3600)</f>
        <v>#REF!</v>
      </c>
      <c r="AX110" s="675" t="e">
        <f>ABS($B$34*AV110*3600)</f>
        <v>#VALUE!</v>
      </c>
      <c r="AY110" s="614" t="e">
        <f>AX110*$C$87</f>
        <v>#VALUE!</v>
      </c>
      <c r="AZ110" s="672" t="e">
        <f>AX110*$F$78</f>
        <v>#VALUE!</v>
      </c>
      <c r="BA110" s="600" t="e">
        <f>AX110*$F$83</f>
        <v>#VALUE!</v>
      </c>
      <c r="BB110" s="672" t="e">
        <f>AX110*$F$80</f>
        <v>#VALUE!</v>
      </c>
      <c r="BC110" s="676" t="e">
        <f>AX110*$F$79</f>
        <v>#VALUE!</v>
      </c>
      <c r="BD110" s="668"/>
      <c r="BE110" s="669"/>
      <c r="BF110" s="670"/>
      <c r="BG110" s="671"/>
      <c r="BH110" s="678"/>
      <c r="BI110" s="663">
        <v>44333</v>
      </c>
      <c r="BJ110" s="650"/>
      <c r="BK110" s="671" t="str">
        <f>IF(BJ110="Low",BG110*$D$42,IF(BJ110="Med",BG110*$D$43,IF(BJ110="High",BG110*$D$44,"rango cal. out")))</f>
        <v>rango cal. out</v>
      </c>
      <c r="BL110" s="619" t="e">
        <f>((273.2+BD110)*$F$33/((273.2+$F$32)*BF110))</f>
        <v>#DIV/0!</v>
      </c>
      <c r="BM110" s="674" t="e">
        <f>BK110/BH110*BL110*EXP(-LN(2)/10990*($F$96-BI110))</f>
        <v>#VALUE!</v>
      </c>
      <c r="BN110" s="599" t="e">
        <f>BM110-AVERAGE(BU102:BU103)</f>
        <v>#VALUE!</v>
      </c>
      <c r="BO110" s="672" t="e">
        <f>ABS(#REF!*BN110*3600)</f>
        <v>#REF!</v>
      </c>
      <c r="BP110" s="675" t="e">
        <f>ABS($B$34*BN110*3600)</f>
        <v>#VALUE!</v>
      </c>
      <c r="BQ110" s="614" t="e">
        <f>BP110*$C$87</f>
        <v>#VALUE!</v>
      </c>
      <c r="BR110" s="672" t="e">
        <f>BP110*$F$78</f>
        <v>#VALUE!</v>
      </c>
      <c r="BS110" s="600" t="e">
        <f>BP110*$F$83</f>
        <v>#VALUE!</v>
      </c>
      <c r="BT110" s="672" t="e">
        <f>BP110*$F$80</f>
        <v>#VALUE!</v>
      </c>
      <c r="BU110" s="676" t="e">
        <f>BP110*$F$79</f>
        <v>#VALUE!</v>
      </c>
      <c r="BV110" s="668"/>
      <c r="BW110" s="669"/>
      <c r="BX110" s="670"/>
      <c r="BY110" s="671"/>
      <c r="BZ110" s="678"/>
      <c r="CA110" s="663">
        <v>44333</v>
      </c>
      <c r="CB110" s="650"/>
      <c r="CC110" s="671" t="str">
        <f>IF(CB110="Low",BY110*$D$42,IF(CB110="Med",BY110*$D$43,IF(CB110="High",BY110*$D$44,"rango cal. out")))</f>
        <v>rango cal. out</v>
      </c>
      <c r="CD110" s="619" t="e">
        <f>((273.2+BV110)*$F$33/((273.2+$F$32)*BX110))</f>
        <v>#DIV/0!</v>
      </c>
      <c r="CE110" s="674" t="e">
        <f>CC110/BZ110*CD110*EXP(-LN(2)/10990*($F$96-CA110))</f>
        <v>#VALUE!</v>
      </c>
      <c r="CF110" s="599" t="e">
        <f>CE110-AVERAGE(CM102:CM103)</f>
        <v>#VALUE!</v>
      </c>
      <c r="CG110" s="672" t="e">
        <f>ABS(#REF!*CF110*3600)</f>
        <v>#REF!</v>
      </c>
      <c r="CH110" s="675" t="e">
        <f>ABS($B$34*CF110*3600)</f>
        <v>#VALUE!</v>
      </c>
      <c r="CI110" s="614" t="e">
        <f>CH110*$C$87</f>
        <v>#VALUE!</v>
      </c>
      <c r="CJ110" s="672" t="e">
        <f>CH110*$F$78</f>
        <v>#VALUE!</v>
      </c>
      <c r="CK110" s="600" t="e">
        <f>CH110*$F$83</f>
        <v>#VALUE!</v>
      </c>
      <c r="CL110" s="672" t="e">
        <f>CH110*$F$80</f>
        <v>#VALUE!</v>
      </c>
      <c r="CM110" s="676" t="e">
        <f>CH110*$F$79</f>
        <v>#VALUE!</v>
      </c>
      <c r="CN110" s="668"/>
      <c r="CO110" s="669"/>
      <c r="CP110" s="670"/>
      <c r="CQ110" s="671"/>
      <c r="CR110" s="678"/>
      <c r="CS110" s="663">
        <v>44333</v>
      </c>
      <c r="CT110" s="650"/>
      <c r="CU110" s="671" t="str">
        <f>IF(CT110="Low",CQ110*$D$42,IF(CT110="Med",CQ110*$D$43,IF(CT110="High",CQ110*$D$44,"rango cal. out")))</f>
        <v>rango cal. out</v>
      </c>
      <c r="CV110" s="619" t="e">
        <f>((273.2+CN110)*$F$33/((273.2+$F$32)*CP110))</f>
        <v>#DIV/0!</v>
      </c>
      <c r="CW110" s="674" t="e">
        <f>CU110/CR110*CV110*EXP(-LN(2)/10990*($F$96-CS110))</f>
        <v>#VALUE!</v>
      </c>
      <c r="CX110" s="599" t="e">
        <f>CW110-AVERAGE(DE102:DE103)</f>
        <v>#VALUE!</v>
      </c>
      <c r="CY110" s="672" t="e">
        <f>ABS(#REF!*CX110*3600)</f>
        <v>#REF!</v>
      </c>
      <c r="CZ110" s="675" t="e">
        <f>ABS($B$34*CX110*3600)</f>
        <v>#VALUE!</v>
      </c>
      <c r="DA110" s="614" t="e">
        <f>CZ110*$C$87</f>
        <v>#VALUE!</v>
      </c>
      <c r="DB110" s="672" t="e">
        <f>CZ110*$F$78</f>
        <v>#VALUE!</v>
      </c>
      <c r="DC110" s="600" t="e">
        <f>CZ110*$F$83</f>
        <v>#VALUE!</v>
      </c>
      <c r="DD110" s="672" t="e">
        <f>CZ110*$F$80</f>
        <v>#VALUE!</v>
      </c>
      <c r="DE110" s="676" t="e">
        <f>CZ110*$F$79</f>
        <v>#VALUE!</v>
      </c>
      <c r="DF110" s="668"/>
      <c r="DG110" s="669"/>
      <c r="DH110" s="670"/>
      <c r="DI110" s="671"/>
      <c r="DJ110" s="678"/>
      <c r="DK110" s="650"/>
      <c r="DL110" s="650"/>
      <c r="DM110" s="671" t="str">
        <f>IF(DL110="Low",DI110*$D$42,IF(DL110="Med",DI110*$D$43,IF(DL110="High",DI110*$D$44,"rango cal. out")))</f>
        <v>rango cal. out</v>
      </c>
      <c r="DN110" s="619" t="e">
        <f>((273.2+DF110)*$F$33/((273.2+$F$32)*DH110))</f>
        <v>#DIV/0!</v>
      </c>
      <c r="DO110" s="674" t="e">
        <f>DM110/DJ110*DN110*EXP(-LN(2)/10990*($F$96-DK110))</f>
        <v>#VALUE!</v>
      </c>
      <c r="DP110" s="599" t="e">
        <f>DO110-AVERAGE(DW102:DW103)</f>
        <v>#VALUE!</v>
      </c>
      <c r="DQ110" s="672" t="e">
        <f>ABS(#REF!*DP110*3600)</f>
        <v>#REF!</v>
      </c>
      <c r="DR110" s="675" t="e">
        <f>ABS($B$34*DP110*3600)</f>
        <v>#VALUE!</v>
      </c>
      <c r="DS110" s="614" t="e">
        <f>DR110*$C$87</f>
        <v>#VALUE!</v>
      </c>
      <c r="DT110" s="672" t="e">
        <f>DR110*$F$78</f>
        <v>#VALUE!</v>
      </c>
      <c r="DU110" s="600" t="e">
        <f>DR110*$F$83</f>
        <v>#VALUE!</v>
      </c>
      <c r="DV110" s="672" t="e">
        <f>DR110*$F$80</f>
        <v>#VALUE!</v>
      </c>
      <c r="DW110" s="676" t="e">
        <f>DR110*$F$79</f>
        <v>#VALUE!</v>
      </c>
      <c r="DX110" s="668"/>
      <c r="DY110" s="669"/>
      <c r="DZ110" s="677"/>
      <c r="EA110" s="679"/>
      <c r="EB110" s="678"/>
      <c r="EC110" s="650"/>
      <c r="ED110" s="650"/>
      <c r="EE110" s="671" t="str">
        <f>IF(ED110="Low",EA110*$D$42,IF(ED110="Med",EA110*$D$43,IF(ED110="High",EA110*$D$44,"rango cal. out")))</f>
        <v>rango cal. out</v>
      </c>
      <c r="EF110" s="619" t="e">
        <f>((273.2+DX110)*$F$33/((273.2+$F$32)*DZ110))</f>
        <v>#DIV/0!</v>
      </c>
      <c r="EG110" s="674" t="e">
        <f>EE110/EB110*EF110*EXP(-LN(2)/10990*($F$96-EC110))</f>
        <v>#VALUE!</v>
      </c>
      <c r="EH110" s="599" t="e">
        <f>EG110-AVERAGE(EO102:EO103)</f>
        <v>#VALUE!</v>
      </c>
      <c r="EI110" s="672" t="e">
        <f>ABS(#REF!*EH110*3600)</f>
        <v>#REF!</v>
      </c>
      <c r="EJ110" s="675" t="e">
        <f>ABS($B$34*EH110*3600)</f>
        <v>#VALUE!</v>
      </c>
      <c r="EK110" s="614" t="e">
        <f>EJ110*$C$87</f>
        <v>#VALUE!</v>
      </c>
      <c r="EL110" s="672" t="e">
        <f>EJ110*$F$78</f>
        <v>#VALUE!</v>
      </c>
      <c r="EM110" s="600" t="e">
        <f>EJ110*$F$83</f>
        <v>#VALUE!</v>
      </c>
      <c r="EN110" s="672" t="e">
        <f>EJ110*$F$80</f>
        <v>#VALUE!</v>
      </c>
      <c r="EO110" s="676" t="e">
        <f>EJ110*$F$79</f>
        <v>#VALUE!</v>
      </c>
      <c r="EP110" s="668"/>
      <c r="EQ110" s="669"/>
      <c r="ER110" s="670"/>
      <c r="ES110" s="671"/>
      <c r="ET110" s="678"/>
      <c r="EU110" s="663">
        <v>44333</v>
      </c>
      <c r="EV110" s="650"/>
      <c r="EW110" s="671" t="str">
        <f>IF(EV110="Low",ES110*$D$42,IF(EV110="Med",ES110*$D$43,IF(EV110="High",ES110*$D$44,"rango cal. out")))</f>
        <v>rango cal. out</v>
      </c>
      <c r="EX110" s="619" t="e">
        <f>((273.2+EP110)*$F$33/((273.2+$F$32)*ER110))</f>
        <v>#DIV/0!</v>
      </c>
      <c r="EY110" s="674" t="e">
        <f>EW110/ET110*EX110*EXP(-LN(2)/10990*($F$96-EU110))</f>
        <v>#VALUE!</v>
      </c>
      <c r="EZ110" s="599" t="e">
        <f>EY110-AVERAGE(FG102:FG103)</f>
        <v>#VALUE!</v>
      </c>
      <c r="FA110" s="672" t="e">
        <f>ABS(#REF!*EZ110*3600)</f>
        <v>#REF!</v>
      </c>
      <c r="FB110" s="675" t="e">
        <f>ABS($B$34*EZ110*3600)</f>
        <v>#VALUE!</v>
      </c>
      <c r="FC110" s="614" t="e">
        <f>FB110*$C$87</f>
        <v>#VALUE!</v>
      </c>
      <c r="FD110" s="672" t="e">
        <f>FB110*$F$78</f>
        <v>#VALUE!</v>
      </c>
      <c r="FE110" s="600" t="e">
        <f>FB110*$F$83</f>
        <v>#VALUE!</v>
      </c>
      <c r="FF110" s="672" t="e">
        <f>FB110*$F$80</f>
        <v>#VALUE!</v>
      </c>
      <c r="FG110" s="676" t="e">
        <f>FB110*$F$79</f>
        <v>#VALUE!</v>
      </c>
      <c r="FH110" s="668"/>
      <c r="FI110" s="669"/>
      <c r="FJ110" s="670"/>
      <c r="FK110" s="671"/>
      <c r="FL110" s="678"/>
      <c r="FM110" s="650"/>
      <c r="FN110" s="650"/>
      <c r="FO110" s="671" t="str">
        <f>IF(FN110="Low",FK110*$D$42,IF(FN110="Med",FK110*$D$43,IF(FN110="High",FK110*$D$44,"rango cal. out")))</f>
        <v>rango cal. out</v>
      </c>
      <c r="FP110" s="619" t="e">
        <f>((273.2+FH110)*$F$33/((273.2+$F$32)*FJ110))</f>
        <v>#DIV/0!</v>
      </c>
      <c r="FQ110" s="674" t="e">
        <f>FO110/FL110*FP110*EXP(-LN(2)/10990*($F$96-FM110))</f>
        <v>#VALUE!</v>
      </c>
      <c r="FR110" s="599" t="e">
        <f>FQ110-AVERAGE(FY102:FY103)</f>
        <v>#VALUE!</v>
      </c>
      <c r="FS110" s="672" t="e">
        <f>ABS(#REF!*FR110*3600)</f>
        <v>#REF!</v>
      </c>
      <c r="FT110" s="675" t="e">
        <f>ABS($B$34*FR110*3600)</f>
        <v>#VALUE!</v>
      </c>
      <c r="FU110" s="614" t="e">
        <f>FT110*$C$87</f>
        <v>#VALUE!</v>
      </c>
      <c r="FV110" s="672" t="e">
        <f>FT110*$F$78</f>
        <v>#VALUE!</v>
      </c>
      <c r="FW110" s="600" t="e">
        <f>FT110*$F$83</f>
        <v>#VALUE!</v>
      </c>
      <c r="FX110" s="672" t="e">
        <f>FT110*$F$80</f>
        <v>#VALUE!</v>
      </c>
      <c r="FY110" s="676" t="e">
        <f>FT110*$F$79</f>
        <v>#VALUE!</v>
      </c>
      <c r="FZ110" s="668"/>
      <c r="GA110" s="669"/>
      <c r="GB110" s="670"/>
      <c r="GC110" s="671"/>
      <c r="GD110" s="678"/>
      <c r="GE110" s="650"/>
      <c r="GF110" s="650"/>
      <c r="GG110" s="671" t="str">
        <f>IF(GF110="Low",GC110*$D$42,IF(GF110="Med",GC110*$D$43,IF(GF110="High",GC110*$D$44,"rango cal. out")))</f>
        <v>rango cal. out</v>
      </c>
      <c r="GH110" s="619" t="e">
        <f>((273.2+FZ110)*$F$33/((273.2+$F$32)*GB110))</f>
        <v>#DIV/0!</v>
      </c>
      <c r="GI110" s="674" t="e">
        <f>GG110/GD110*GH110*EXP(-LN(2)/10990*($F$96-GE110))</f>
        <v>#VALUE!</v>
      </c>
      <c r="GJ110" s="599" t="e">
        <f>GI110-AVERAGE(GQ102:GQ103)</f>
        <v>#VALUE!</v>
      </c>
      <c r="GK110" s="672" t="e">
        <f>ABS(#REF!*GJ110*3600)</f>
        <v>#REF!</v>
      </c>
      <c r="GL110" s="675" t="e">
        <f>ABS($B$34*GJ110*3600)</f>
        <v>#VALUE!</v>
      </c>
      <c r="GM110" s="614" t="e">
        <f>GL110*$C$87</f>
        <v>#VALUE!</v>
      </c>
      <c r="GN110" s="672" t="e">
        <f>GL110*$F$78</f>
        <v>#VALUE!</v>
      </c>
      <c r="GO110" s="600" t="e">
        <f>GL110*$F$83</f>
        <v>#VALUE!</v>
      </c>
      <c r="GP110" s="672" t="e">
        <f>GL110*$F$80</f>
        <v>#VALUE!</v>
      </c>
      <c r="GQ110" s="676" t="e">
        <f>GL110*$F$79</f>
        <v>#VALUE!</v>
      </c>
      <c r="GR110" s="668"/>
      <c r="GS110" s="669"/>
      <c r="GT110" s="677"/>
      <c r="GU110" s="679"/>
      <c r="GV110" s="678"/>
      <c r="GW110" s="650"/>
      <c r="GX110" s="650"/>
      <c r="GY110" s="671" t="str">
        <f>IF(GX110="Low",GU110*$D$42,IF(GX110="Med",GU110*$D$43,IF(GX110="High",GU110*$D$44,"rango cal. out")))</f>
        <v>rango cal. out</v>
      </c>
      <c r="GZ110" s="619" t="e">
        <f>((273.2+GR110)*$F$33/((273.2+$F$32)*GT110))</f>
        <v>#DIV/0!</v>
      </c>
      <c r="HA110" s="674" t="e">
        <f>GY110/GV110*GZ110*EXP(-LN(2)/10990*($F$96-GW110))</f>
        <v>#VALUE!</v>
      </c>
      <c r="HB110" s="599" t="e">
        <f>HA110-AVERAGE(HI102:HI103)</f>
        <v>#VALUE!</v>
      </c>
      <c r="HC110" s="672" t="e">
        <f>ABS(#REF!*HB110*3600)</f>
        <v>#REF!</v>
      </c>
      <c r="HD110" s="675" t="e">
        <f>ABS($B$34*HB110*3600)</f>
        <v>#VALUE!</v>
      </c>
      <c r="HE110" s="614" t="e">
        <f>HD110*$C$87</f>
        <v>#VALUE!</v>
      </c>
      <c r="HF110" s="672" t="e">
        <f>HD110*$F$78</f>
        <v>#VALUE!</v>
      </c>
      <c r="HG110" s="600" t="e">
        <f>HD110*$F$83</f>
        <v>#VALUE!</v>
      </c>
      <c r="HH110" s="672" t="e">
        <f>HD110*$F$80</f>
        <v>#VALUE!</v>
      </c>
      <c r="HI110" s="676" t="e">
        <f>HD110*$F$79</f>
        <v>#VALUE!</v>
      </c>
      <c r="HJ110" s="668"/>
      <c r="HK110" s="669"/>
      <c r="HL110" s="670"/>
      <c r="HM110" s="671"/>
      <c r="HN110" s="678"/>
      <c r="HO110" s="650"/>
      <c r="HP110" s="650"/>
      <c r="HQ110" s="671" t="str">
        <f>IF(HP110="Low",HM110*$D$42,IF(HP110="Med",HM110*$D$43,IF(HP110="High",HM110*$D$44,"rango cal. out")))</f>
        <v>rango cal. out</v>
      </c>
      <c r="HR110" s="619" t="e">
        <f>((273.2+HJ110)*$F$33/((273.2+$F$32)*HL110))</f>
        <v>#DIV/0!</v>
      </c>
      <c r="HS110" s="674" t="e">
        <f>HQ110/HN110*HR110*EXP(-LN(2)/10990*($F$96-HO110))</f>
        <v>#VALUE!</v>
      </c>
      <c r="HT110" s="599" t="e">
        <f>HS110-AVERAGE(IA102:IA103)</f>
        <v>#VALUE!</v>
      </c>
      <c r="HU110" s="672" t="e">
        <f>ABS(#REF!*HT110*3600)</f>
        <v>#REF!</v>
      </c>
      <c r="HV110" s="675" t="e">
        <f>ABS($B$34*HT110*3600)</f>
        <v>#VALUE!</v>
      </c>
      <c r="HW110" s="614" t="e">
        <f>HV110*$C$87</f>
        <v>#VALUE!</v>
      </c>
      <c r="HX110" s="672" t="e">
        <f>HV110*$F$78</f>
        <v>#VALUE!</v>
      </c>
      <c r="HY110" s="600" t="e">
        <f>HV110*$F$83</f>
        <v>#VALUE!</v>
      </c>
      <c r="HZ110" s="672" t="e">
        <f>HV110*$F$80</f>
        <v>#VALUE!</v>
      </c>
      <c r="IA110" s="676" t="e">
        <f>HV110*$F$79</f>
        <v>#VALUE!</v>
      </c>
      <c r="IB110" s="668"/>
      <c r="IC110" s="669"/>
      <c r="ID110" s="670"/>
      <c r="IE110" s="671"/>
      <c r="IF110" s="678"/>
      <c r="IG110" s="650"/>
      <c r="IH110" s="650"/>
      <c r="II110" s="671" t="str">
        <f>IF(IH110="Low",IE110*$D$42,IF(IH110="Med",IE110*$D$43,IF(IH110="High",IE110*$D$44,"rango cal. out")))</f>
        <v>rango cal. out</v>
      </c>
      <c r="IJ110" s="619" t="e">
        <f>((273.2+IB110)*$F$33/((273.2+$F$32)*ID110))</f>
        <v>#DIV/0!</v>
      </c>
      <c r="IK110" s="674" t="e">
        <f>II110/IF110*IJ110*EXP(-LN(2)/10990*($F$96-IG110))</f>
        <v>#VALUE!</v>
      </c>
      <c r="IL110" s="599" t="e">
        <f>IK110-AVERAGE(IS102:IS103)</f>
        <v>#VALUE!</v>
      </c>
      <c r="IM110" s="672" t="e">
        <f>ABS(#REF!*IL110*3600)</f>
        <v>#REF!</v>
      </c>
      <c r="IN110" s="675" t="e">
        <f>ABS($B$34*IL110*3600)</f>
        <v>#VALUE!</v>
      </c>
      <c r="IO110" s="614" t="e">
        <f>IN110*$C$87</f>
        <v>#VALUE!</v>
      </c>
      <c r="IP110" s="672" t="e">
        <f>IN110*$F$78</f>
        <v>#VALUE!</v>
      </c>
      <c r="IQ110" s="600" t="e">
        <f>IN110*$F$83</f>
        <v>#VALUE!</v>
      </c>
      <c r="IR110" s="672" t="e">
        <f>IN110*$F$80</f>
        <v>#VALUE!</v>
      </c>
      <c r="IS110" s="676" t="e">
        <f>IN110*$F$79</f>
        <v>#VALUE!</v>
      </c>
      <c r="IT110" s="668"/>
      <c r="IU110" s="669"/>
      <c r="IV110" s="670"/>
      <c r="IW110" s="671"/>
      <c r="IX110" s="678"/>
      <c r="IY110" s="650"/>
      <c r="IZ110" s="650"/>
      <c r="JA110" s="671" t="str">
        <f>IF(IZ110="Low",IW110*$D$42,IF(IZ110="Med",IW110*$D$43,IF(IZ110="High",IW110*$D$44,"rango cal. out")))</f>
        <v>rango cal. out</v>
      </c>
      <c r="JB110" s="619" t="e">
        <f>((273.2+IT110)*$F$33/((273.2+$F$32)*IV110))</f>
        <v>#DIV/0!</v>
      </c>
      <c r="JC110" s="674" t="e">
        <f>JA110/IX110*JB110*EXP(-LN(2)/10990*($F$96-IY110))</f>
        <v>#VALUE!</v>
      </c>
      <c r="JD110" s="599" t="e">
        <f>JC110-AVERAGE(JK102:JK103)</f>
        <v>#VALUE!</v>
      </c>
      <c r="JE110" s="672" t="e">
        <f>ABS(#REF!*JD110*3600)</f>
        <v>#REF!</v>
      </c>
      <c r="JF110" s="675" t="e">
        <f>ABS($B$34*JD110*3600)</f>
        <v>#VALUE!</v>
      </c>
      <c r="JG110" s="614" t="e">
        <f>JF110*$C$87</f>
        <v>#VALUE!</v>
      </c>
      <c r="JH110" s="672" t="e">
        <f>JF110*$F$78</f>
        <v>#VALUE!</v>
      </c>
      <c r="JI110" s="600" t="e">
        <f>JF110*$F$83</f>
        <v>#VALUE!</v>
      </c>
      <c r="JJ110" s="672" t="e">
        <f>JF110*$F$80</f>
        <v>#VALUE!</v>
      </c>
      <c r="JK110" s="676" t="e">
        <f>JF110*$F$79</f>
        <v>#VALUE!</v>
      </c>
      <c r="JL110" s="668"/>
      <c r="JM110" s="669"/>
      <c r="JN110" s="670"/>
      <c r="JO110" s="671"/>
      <c r="JP110" s="678"/>
      <c r="JQ110" s="650"/>
      <c r="JR110" s="650"/>
      <c r="JS110" s="671" t="str">
        <f>IF(JR110="Low",JO110*$D$42,IF(JR110="Med",JO110*$D$43,IF(JR110="High",JO110*$D$44,"rango cal. out")))</f>
        <v>rango cal. out</v>
      </c>
      <c r="JT110" s="619" t="e">
        <f>((273.2+JL110)*$F$33/((273.2+$F$32)*JN110))</f>
        <v>#DIV/0!</v>
      </c>
      <c r="JU110" s="674" t="e">
        <f>JS110/JP110*JT110*EXP(-LN(2)/10990*($F$96-JQ110))</f>
        <v>#VALUE!</v>
      </c>
      <c r="JV110" s="599" t="e">
        <f>JU110-AVERAGE(KC102:KC103)</f>
        <v>#VALUE!</v>
      </c>
      <c r="JW110" s="672" t="e">
        <f>ABS(#REF!*JV110*3600)</f>
        <v>#REF!</v>
      </c>
      <c r="JX110" s="675" t="e">
        <f>ABS($B$34*JV110*3600)</f>
        <v>#VALUE!</v>
      </c>
      <c r="JY110" s="614" t="e">
        <f>JX110*$C$87</f>
        <v>#VALUE!</v>
      </c>
      <c r="JZ110" s="672" t="e">
        <f>JX110*$F$78</f>
        <v>#VALUE!</v>
      </c>
      <c r="KA110" s="600" t="e">
        <f>JX110*$F$83</f>
        <v>#VALUE!</v>
      </c>
      <c r="KB110" s="672" t="e">
        <f>JX110*$F$80</f>
        <v>#VALUE!</v>
      </c>
      <c r="KC110" s="676" t="e">
        <f>JX110*$F$79</f>
        <v>#VALUE!</v>
      </c>
      <c r="KD110" s="668"/>
      <c r="KE110" s="669"/>
      <c r="KF110" s="670"/>
      <c r="KG110" s="671"/>
      <c r="KH110" s="678"/>
      <c r="KI110" s="650"/>
      <c r="KJ110" s="650"/>
      <c r="KK110" s="671" t="str">
        <f>IF(KJ110="Low",KG110*$D$42,IF(KJ110="Med",KG110*$D$43,IF(KJ110="High",KG110*$D$44,"rango cal. out")))</f>
        <v>rango cal. out</v>
      </c>
      <c r="KL110" s="619" t="e">
        <f>((273.2+KD110)*$F$33/((273.2+$F$32)*KF110))</f>
        <v>#DIV/0!</v>
      </c>
      <c r="KM110" s="674" t="e">
        <f>KK110/KH110*KL110*EXP(-LN(2)/10990*($F$96-KI110))</f>
        <v>#VALUE!</v>
      </c>
      <c r="KN110" s="599" t="e">
        <f>KM110-AVERAGE(KU102:KU103)</f>
        <v>#VALUE!</v>
      </c>
      <c r="KO110" s="672" t="e">
        <f>ABS(#REF!*KN110*3600)</f>
        <v>#REF!</v>
      </c>
      <c r="KP110" s="675" t="e">
        <f>ABS($B$34*KN110*3600)</f>
        <v>#VALUE!</v>
      </c>
      <c r="KQ110" s="614" t="e">
        <f>KP110*$C$87</f>
        <v>#VALUE!</v>
      </c>
      <c r="KR110" s="672" t="e">
        <f>KP110*$F$78</f>
        <v>#VALUE!</v>
      </c>
      <c r="KS110" s="600" t="e">
        <f>KP110*$F$83</f>
        <v>#VALUE!</v>
      </c>
      <c r="KT110" s="672" t="e">
        <f>KP110*$F$80</f>
        <v>#VALUE!</v>
      </c>
      <c r="KU110" s="676" t="e">
        <f>KP110*$F$79</f>
        <v>#VALUE!</v>
      </c>
      <c r="KV110" s="668"/>
      <c r="KW110" s="669"/>
      <c r="KX110" s="670"/>
      <c r="KY110" s="671"/>
      <c r="KZ110" s="678"/>
      <c r="LA110" s="650"/>
      <c r="LB110" s="650"/>
      <c r="LC110" s="671" t="str">
        <f>IF(LB110="Low",KY110*$D$42,IF(LB110="Med",KY110*$D$43,IF(LB110="High",KY110*$D$44,"rango cal. out")))</f>
        <v>rango cal. out</v>
      </c>
      <c r="LD110" s="619" t="e">
        <f>((273.2+KV110)*$F$33/((273.2+$F$32)*KX110))</f>
        <v>#DIV/0!</v>
      </c>
      <c r="LE110" s="674" t="e">
        <f>LC110/KZ110*LD110*EXP(-LN(2)/10990*($F$96-LA110))</f>
        <v>#VALUE!</v>
      </c>
      <c r="LF110" s="599" t="e">
        <f>LE110-AVERAGE(LM102:LM103)</f>
        <v>#VALUE!</v>
      </c>
      <c r="LG110" s="672" t="e">
        <f>ABS(#REF!*LF110*3600)</f>
        <v>#REF!</v>
      </c>
      <c r="LH110" s="675" t="e">
        <f>ABS($B$34*LF110*3600)</f>
        <v>#VALUE!</v>
      </c>
      <c r="LI110" s="614" t="e">
        <f>LH110*$C$87</f>
        <v>#VALUE!</v>
      </c>
      <c r="LJ110" s="672" t="e">
        <f>LH110*$F$78</f>
        <v>#VALUE!</v>
      </c>
      <c r="LK110" s="600" t="e">
        <f>LH110*$F$83</f>
        <v>#VALUE!</v>
      </c>
      <c r="LL110" s="672" t="e">
        <f>LH110*$F$80</f>
        <v>#VALUE!</v>
      </c>
      <c r="LM110" s="676" t="e">
        <f>LH110*$F$79</f>
        <v>#VALUE!</v>
      </c>
      <c r="LN110" s="668"/>
      <c r="LO110" s="669"/>
      <c r="LP110" s="670"/>
      <c r="LQ110" s="671"/>
      <c r="LR110" s="678"/>
      <c r="LS110" s="650"/>
      <c r="LT110" s="650"/>
      <c r="LU110" s="671" t="str">
        <f>IF(LT110="Low",LQ110*$D$42,IF(LT110="Med",LQ110*$D$43,IF(LT110="High",LQ110*$D$44,"rango cal. out")))</f>
        <v>rango cal. out</v>
      </c>
      <c r="LV110" s="619" t="e">
        <f>((273.2+LN110)*$F$33/((273.2+$F$32)*LP110))</f>
        <v>#DIV/0!</v>
      </c>
      <c r="LW110" s="674" t="e">
        <f>LU110/LR110*LV110*EXP(-LN(2)/10990*($F$96-LS110))</f>
        <v>#VALUE!</v>
      </c>
      <c r="LX110" s="599" t="e">
        <f>LW110-AVERAGE(ME102:ME103)</f>
        <v>#VALUE!</v>
      </c>
      <c r="LY110" s="672" t="e">
        <f>ABS(#REF!*LX110*3600)</f>
        <v>#REF!</v>
      </c>
      <c r="LZ110" s="675" t="e">
        <f>ABS($B$34*LX110*3600)</f>
        <v>#VALUE!</v>
      </c>
      <c r="MA110" s="614" t="e">
        <f>LZ110*$C$87</f>
        <v>#VALUE!</v>
      </c>
      <c r="MB110" s="672" t="e">
        <f>LZ110*$F$78</f>
        <v>#VALUE!</v>
      </c>
      <c r="MC110" s="600" t="e">
        <f>LZ110*$F$83</f>
        <v>#VALUE!</v>
      </c>
      <c r="MD110" s="672" t="e">
        <f>LZ110*$F$80</f>
        <v>#VALUE!</v>
      </c>
      <c r="ME110" s="676" t="e">
        <f>LZ110*$F$79</f>
        <v>#VALUE!</v>
      </c>
      <c r="MF110" s="668"/>
      <c r="MG110" s="669"/>
      <c r="MH110" s="670"/>
      <c r="MI110" s="671"/>
      <c r="MJ110" s="678"/>
      <c r="MK110" s="650"/>
      <c r="ML110" s="650"/>
      <c r="MM110" s="671" t="str">
        <f>IF(ML110="Low",MI110*$D$42,IF(ML110="Med",MI110*$D$43,IF(ML110="High",MI110*$D$44,"rango cal. out")))</f>
        <v>rango cal. out</v>
      </c>
      <c r="MN110" s="619" t="e">
        <f>((273.2+MF110)*$F$33/((273.2+$F$32)*MH110))</f>
        <v>#DIV/0!</v>
      </c>
      <c r="MO110" s="674" t="e">
        <f>MM110/MJ110*MN110*EXP(-LN(2)/10990*($F$96-MK110))</f>
        <v>#VALUE!</v>
      </c>
      <c r="MP110" s="599" t="e">
        <f>MO110-AVERAGE(MW102:MW103)</f>
        <v>#VALUE!</v>
      </c>
      <c r="MQ110" s="672" t="e">
        <f>ABS(#REF!*MP110*3600)</f>
        <v>#REF!</v>
      </c>
      <c r="MR110" s="675" t="e">
        <f>ABS($B$34*MP110*3600)</f>
        <v>#VALUE!</v>
      </c>
      <c r="MS110" s="614" t="e">
        <f>MR110*$C$87</f>
        <v>#VALUE!</v>
      </c>
      <c r="MT110" s="672" t="e">
        <f>MR110*$F$78</f>
        <v>#VALUE!</v>
      </c>
      <c r="MU110" s="600" t="e">
        <f>MR110*$F$83</f>
        <v>#VALUE!</v>
      </c>
      <c r="MV110" s="672" t="e">
        <f>MR110*$F$80</f>
        <v>#VALUE!</v>
      </c>
      <c r="MW110" s="676" t="e">
        <f>MR110*$F$79</f>
        <v>#VALUE!</v>
      </c>
      <c r="MX110" s="668"/>
      <c r="MY110" s="669"/>
      <c r="MZ110" s="680"/>
      <c r="NA110" s="671"/>
      <c r="NB110" s="673"/>
      <c r="NC110" s="650"/>
      <c r="ND110" s="650"/>
      <c r="NE110" s="671" t="str">
        <f>IF(ND110="Low",NA110*$D$42,IF(ND110="Med",NA110*$D$43,IF(ND110="High",NA110*$D$44,"rango cal. out")))</f>
        <v>rango cal. out</v>
      </c>
      <c r="NF110" s="619" t="e">
        <f>((273.2+MX110)*$F$33/((273.2+$F$32)*MZ110))</f>
        <v>#DIV/0!</v>
      </c>
      <c r="NG110" s="674" t="e">
        <f>NE110/NB110*NF110*EXP(-LN(2)/10990*($F$96-NC110))</f>
        <v>#VALUE!</v>
      </c>
      <c r="NH110" s="599" t="e">
        <f>NG110-AVERAGE(NO102:NO103)</f>
        <v>#VALUE!</v>
      </c>
      <c r="NI110" s="672" t="e">
        <f>ABS(#REF!*NH110*3600)</f>
        <v>#REF!</v>
      </c>
      <c r="NJ110" s="675" t="e">
        <f>ABS($B$34*NH110*3600)</f>
        <v>#VALUE!</v>
      </c>
      <c r="NK110" s="614" t="e">
        <f>NJ110*$C$87</f>
        <v>#VALUE!</v>
      </c>
      <c r="NL110" s="672" t="e">
        <f>NJ110*$F$78</f>
        <v>#VALUE!</v>
      </c>
      <c r="NM110" s="600" t="e">
        <f>NJ110*$F$83</f>
        <v>#VALUE!</v>
      </c>
      <c r="NN110" s="672" t="e">
        <f>NJ110*$F$80</f>
        <v>#VALUE!</v>
      </c>
      <c r="NO110" s="676" t="e">
        <f>NJ110*$F$79</f>
        <v>#VALUE!</v>
      </c>
      <c r="NP110" s="668"/>
      <c r="NQ110" s="669"/>
      <c r="NR110" s="670"/>
      <c r="NS110" s="671"/>
      <c r="NT110" s="678"/>
      <c r="NU110" s="650"/>
      <c r="NV110" s="650"/>
      <c r="NW110" s="671" t="str">
        <f>IF(NV110="Low",NS110*$D$42,IF(NV110="Med",NS110*$D$43,IF(NV110="High",NS110*$D$44,"rango cal. out")))</f>
        <v>rango cal. out</v>
      </c>
      <c r="NX110" s="619" t="e">
        <f>((273.2+NP110)*$F$33/((273.2+$F$32)*NR110))</f>
        <v>#DIV/0!</v>
      </c>
      <c r="NY110" s="674" t="e">
        <f>NW110/NT110*NX110*EXP(-LN(2)/10990*($F$96-NU110))</f>
        <v>#VALUE!</v>
      </c>
      <c r="NZ110" s="599" t="e">
        <f>NY110-AVERAGE(OG102:OG103)</f>
        <v>#VALUE!</v>
      </c>
      <c r="OA110" s="672" t="e">
        <f>ABS(#REF!*NZ110*3600)</f>
        <v>#REF!</v>
      </c>
      <c r="OB110" s="675" t="e">
        <f>ABS($B$34*NZ110*3600)</f>
        <v>#VALUE!</v>
      </c>
      <c r="OC110" s="614" t="e">
        <f>OB110*$C$87</f>
        <v>#VALUE!</v>
      </c>
      <c r="OD110" s="672" t="e">
        <f>OB110*$F$78</f>
        <v>#VALUE!</v>
      </c>
      <c r="OE110" s="600" t="e">
        <f>OB110*$F$83</f>
        <v>#VALUE!</v>
      </c>
      <c r="OF110" s="672" t="e">
        <f>OB110*$F$80</f>
        <v>#VALUE!</v>
      </c>
      <c r="OG110" s="676" t="e">
        <f>OB110*$F$79</f>
        <v>#VALUE!</v>
      </c>
      <c r="OH110" s="668"/>
      <c r="OI110" s="669"/>
      <c r="OJ110" s="670"/>
      <c r="OK110" s="671"/>
      <c r="OL110" s="678"/>
      <c r="OM110" s="650"/>
      <c r="ON110" s="650"/>
      <c r="OO110" s="671" t="str">
        <f>IF(ON110="Low",OK110*$D$42,IF(ON110="Med",OK110*$D$43,IF(ON110="High",OK110*$D$44,"rango cal. out")))</f>
        <v>rango cal. out</v>
      </c>
      <c r="OP110" s="619" t="e">
        <f>((273.2+OH110)*$F$33/((273.2+$F$32)*OJ110))</f>
        <v>#DIV/0!</v>
      </c>
      <c r="OQ110" s="674" t="e">
        <f>OO110/OL110*OP110*EXP(-LN(2)/10990*($F$96-OM110))</f>
        <v>#VALUE!</v>
      </c>
      <c r="OR110" s="599" t="e">
        <f>OQ110-AVERAGE(OY102:OY103)</f>
        <v>#VALUE!</v>
      </c>
      <c r="OS110" s="672" t="e">
        <f>ABS(#REF!*OR110*3600)</f>
        <v>#REF!</v>
      </c>
      <c r="OT110" s="675" t="e">
        <f>ABS($B$34*OR110*3600)</f>
        <v>#VALUE!</v>
      </c>
      <c r="OU110" s="614" t="e">
        <f>OT110*$C$87</f>
        <v>#VALUE!</v>
      </c>
      <c r="OV110" s="672" t="e">
        <f>OT110*$F$78</f>
        <v>#VALUE!</v>
      </c>
      <c r="OW110" s="600" t="e">
        <f>OT110*$F$83</f>
        <v>#VALUE!</v>
      </c>
      <c r="OX110" s="672" t="e">
        <f>OT110*$F$80</f>
        <v>#VALUE!</v>
      </c>
      <c r="OY110" s="676" t="e">
        <f>OT110*$F$79</f>
        <v>#VALUE!</v>
      </c>
      <c r="OZ110" s="668"/>
      <c r="PA110" s="669"/>
      <c r="PB110" s="670"/>
      <c r="PC110" s="671"/>
      <c r="PD110" s="678"/>
      <c r="PE110" s="650"/>
      <c r="PF110" s="650"/>
      <c r="PG110" s="671" t="str">
        <f>IF(PF110="Low",PC110*$D$42,IF(PF110="Med",PC110*$D$43,IF(PF110="High",PC110*$D$44,"rango cal. out")))</f>
        <v>rango cal. out</v>
      </c>
      <c r="PH110" s="619" t="e">
        <f>((273.2+OZ110)*$F$33/((273.2+$F$32)*PB110))</f>
        <v>#DIV/0!</v>
      </c>
      <c r="PI110" s="674" t="e">
        <f>PG110/PD110*PH110*EXP(-LN(2)/10990*($F$96-PE110))</f>
        <v>#VALUE!</v>
      </c>
      <c r="PJ110" s="599" t="e">
        <f>PI110-AVERAGE(PQ102:PQ103)</f>
        <v>#VALUE!</v>
      </c>
      <c r="PK110" s="672" t="e">
        <f>ABS(#REF!*PJ110*3600)</f>
        <v>#REF!</v>
      </c>
      <c r="PL110" s="675" t="e">
        <f>ABS($B$34*PJ110*3600)</f>
        <v>#VALUE!</v>
      </c>
      <c r="PM110" s="614" t="e">
        <f>PL110*$C$87</f>
        <v>#VALUE!</v>
      </c>
      <c r="PN110" s="672" t="e">
        <f>PL110*$F$78</f>
        <v>#VALUE!</v>
      </c>
      <c r="PO110" s="600" t="e">
        <f>PL110*$F$83</f>
        <v>#VALUE!</v>
      </c>
      <c r="PP110" s="672" t="e">
        <f>PL110*$F$80</f>
        <v>#VALUE!</v>
      </c>
      <c r="PQ110" s="676" t="e">
        <f>PL110*$F$79</f>
        <v>#VALUE!</v>
      </c>
      <c r="PR110" s="668"/>
      <c r="PS110" s="669"/>
      <c r="PT110" s="670"/>
      <c r="PU110" s="671"/>
      <c r="PV110" s="678"/>
      <c r="PW110" s="650"/>
      <c r="PX110" s="650"/>
      <c r="PY110" s="671" t="str">
        <f>IF(PX110="Low",PU110*$D$42,IF(PX110="Med",PU110*$D$43,IF(PX110="High",PU110*$D$44,"rango cal. out")))</f>
        <v>rango cal. out</v>
      </c>
      <c r="PZ110" s="619" t="e">
        <f>((273.2+PR110)*$F$33/((273.2+$F$32)*PT110))</f>
        <v>#DIV/0!</v>
      </c>
      <c r="QA110" s="674" t="e">
        <f>PY110/PV110*PZ110*EXP(-LN(2)/10990*($F$96-PW110))</f>
        <v>#VALUE!</v>
      </c>
      <c r="QB110" s="599" t="e">
        <f>QA110-AVERAGE(QI102:QI103)</f>
        <v>#VALUE!</v>
      </c>
      <c r="QC110" s="672" t="e">
        <f>ABS(#REF!*QB110*3600)</f>
        <v>#REF!</v>
      </c>
      <c r="QD110" s="675" t="e">
        <f>ABS($B$34*QB110*3600)</f>
        <v>#VALUE!</v>
      </c>
      <c r="QE110" s="614" t="e">
        <f>QD110*$C$87</f>
        <v>#VALUE!</v>
      </c>
      <c r="QF110" s="672" t="e">
        <f>QD110*$F$78</f>
        <v>#VALUE!</v>
      </c>
      <c r="QG110" s="600" t="e">
        <f>QD110*$F$83</f>
        <v>#VALUE!</v>
      </c>
      <c r="QH110" s="672" t="e">
        <f>QD110*$F$80</f>
        <v>#VALUE!</v>
      </c>
      <c r="QI110" s="676" t="e">
        <f>QD110*$F$79</f>
        <v>#VALUE!</v>
      </c>
      <c r="QJ110" s="668"/>
      <c r="QK110" s="669"/>
      <c r="QL110" s="670"/>
      <c r="QM110" s="671"/>
      <c r="QN110" s="678"/>
      <c r="QO110" s="650"/>
      <c r="QP110" s="650"/>
      <c r="QQ110" s="671" t="str">
        <f>IF(QP110="Low",QM110*$D$42,IF(QP110="Med",QM110*$D$43,IF(QP110="High",QM110*$D$44,"rango cal. out")))</f>
        <v>rango cal. out</v>
      </c>
      <c r="QR110" s="619" t="e">
        <f>((273.2+QJ110)*$F$33/((273.2+$F$32)*QL110))</f>
        <v>#DIV/0!</v>
      </c>
      <c r="QS110" s="674" t="e">
        <f>QQ110/QN110*QR110*EXP(-LN(2)/10990*($F$96-QO110))</f>
        <v>#VALUE!</v>
      </c>
      <c r="QT110" s="599" t="e">
        <f>QS110-AVERAGE(RA102:RA103)</f>
        <v>#VALUE!</v>
      </c>
      <c r="QU110" s="672" t="e">
        <f>ABS(#REF!*QT110*3600)</f>
        <v>#REF!</v>
      </c>
      <c r="QV110" s="675" t="e">
        <f>ABS($B$34*QT110*3600)</f>
        <v>#VALUE!</v>
      </c>
      <c r="QW110" s="614" t="e">
        <f>QV110*$C$87</f>
        <v>#VALUE!</v>
      </c>
      <c r="QX110" s="672" t="e">
        <f>QV110*$F$78</f>
        <v>#VALUE!</v>
      </c>
      <c r="QY110" s="600" t="e">
        <f>QV110*$F$83</f>
        <v>#VALUE!</v>
      </c>
      <c r="QZ110" s="672" t="e">
        <f>QV110*$F$80</f>
        <v>#VALUE!</v>
      </c>
      <c r="RA110" s="676" t="e">
        <f>QV110*$F$79</f>
        <v>#VALUE!</v>
      </c>
      <c r="RB110" s="668"/>
      <c r="RC110" s="669"/>
      <c r="RD110" s="670"/>
      <c r="RE110" s="671"/>
      <c r="RF110" s="673"/>
      <c r="RG110" s="650"/>
      <c r="RH110" s="650"/>
      <c r="RI110" s="671" t="str">
        <f>IF(RH110="Low",RE110*$D$42,IF(RH110="Med",RE110*$D$43,IF(RH110="High",RE110*$D$44,"rango cal. out")))</f>
        <v>rango cal. out</v>
      </c>
      <c r="RJ110" s="619" t="e">
        <f>((273.2+RB110)*$F$33/((273.2+$F$32)*RD110))</f>
        <v>#DIV/0!</v>
      </c>
      <c r="RK110" s="674" t="e">
        <f>RI110/RF110*RJ110*EXP(-LN(2)/10990*($F$96-RG110))</f>
        <v>#VALUE!</v>
      </c>
      <c r="RL110" s="599" t="e">
        <f>RK110-AVERAGE(RS102:RS103)</f>
        <v>#VALUE!</v>
      </c>
      <c r="RM110" s="672" t="e">
        <f>ABS(#REF!*RL110*3600)</f>
        <v>#REF!</v>
      </c>
      <c r="RN110" s="675" t="e">
        <f>ABS($B$34*RL110*3600)</f>
        <v>#VALUE!</v>
      </c>
      <c r="RO110" s="614" t="e">
        <f>RN110*$C$87</f>
        <v>#VALUE!</v>
      </c>
      <c r="RP110" s="672" t="e">
        <f>RN110*$F$78</f>
        <v>#VALUE!</v>
      </c>
      <c r="RQ110" s="600" t="e">
        <f>RN110*$F$83</f>
        <v>#VALUE!</v>
      </c>
      <c r="RR110" s="672" t="e">
        <f>RN110*$F$80</f>
        <v>#VALUE!</v>
      </c>
      <c r="RS110" s="676" t="e">
        <f>RN110*$F$79</f>
        <v>#VALUE!</v>
      </c>
      <c r="RT110" s="668"/>
      <c r="RU110" s="669"/>
      <c r="RV110" s="677"/>
      <c r="RW110" s="679"/>
      <c r="RX110" s="678"/>
      <c r="RY110" s="650"/>
      <c r="RZ110" s="650"/>
      <c r="SA110" s="671" t="str">
        <f>IF(RZ110="Low",RW110*$D$42,IF(RZ110="Med",RW110*$D$43,IF(RZ110="High",RW110*$D$44,"rango cal. out")))</f>
        <v>rango cal. out</v>
      </c>
      <c r="SB110" s="619" t="e">
        <f>((273.2+RT110)*$F$33/((273.2+$F$32)*RV110))</f>
        <v>#DIV/0!</v>
      </c>
      <c r="SC110" s="674" t="e">
        <f>SA110/RX110*SB110*EXP(-LN(2)/10990*($F$96-RY110))</f>
        <v>#VALUE!</v>
      </c>
      <c r="SD110" s="599" t="e">
        <f>SC110-AVERAGE(SK102:SK103)</f>
        <v>#VALUE!</v>
      </c>
      <c r="SE110" s="672" t="e">
        <f>ABS(#REF!*SD110*3600)</f>
        <v>#REF!</v>
      </c>
      <c r="SF110" s="675" t="e">
        <f>ABS($B$34*SD110*3600)</f>
        <v>#VALUE!</v>
      </c>
      <c r="SG110" s="614" t="e">
        <f>SF110*$C$87</f>
        <v>#VALUE!</v>
      </c>
      <c r="SH110" s="672" t="e">
        <f>SF110*$F$78</f>
        <v>#VALUE!</v>
      </c>
      <c r="SI110" s="600" t="e">
        <f>SF110*$F$83</f>
        <v>#VALUE!</v>
      </c>
      <c r="SJ110" s="672" t="e">
        <f>SF110*$F$80</f>
        <v>#VALUE!</v>
      </c>
      <c r="SK110" s="676" t="e">
        <f>SF110*$F$79</f>
        <v>#VALUE!</v>
      </c>
      <c r="SL110" s="668"/>
      <c r="SM110" s="669"/>
      <c r="SN110" s="670"/>
      <c r="SO110" s="671"/>
      <c r="SP110" s="678"/>
      <c r="SQ110" s="650"/>
      <c r="SR110" s="650"/>
      <c r="SS110" s="671" t="str">
        <f>IF(SR110="Low",SO110*$D$42,IF(SR110="Med",SO110*$D$43,IF(SR110="High",SO110*$D$44,"rango cal. out")))</f>
        <v>rango cal. out</v>
      </c>
      <c r="ST110" s="619" t="e">
        <f>((273.2+SL110)*$F$33/((273.2+$F$32)*SN110))</f>
        <v>#DIV/0!</v>
      </c>
      <c r="SU110" s="674" t="e">
        <f>SS110/SP110*ST110*EXP(-LN(2)/10990*($F$96-SQ110))</f>
        <v>#VALUE!</v>
      </c>
      <c r="SV110" s="599" t="e">
        <f>SU110-AVERAGE(TC102:TC103)</f>
        <v>#VALUE!</v>
      </c>
      <c r="SW110" s="672" t="e">
        <f>ABS(#REF!*SV110*3600)</f>
        <v>#REF!</v>
      </c>
      <c r="SX110" s="675" t="e">
        <f>ABS($B$34*SV110*3600)</f>
        <v>#VALUE!</v>
      </c>
      <c r="SY110" s="614" t="e">
        <f>SX110*$C$87</f>
        <v>#VALUE!</v>
      </c>
      <c r="SZ110" s="672" t="e">
        <f>SX110*$F$78</f>
        <v>#VALUE!</v>
      </c>
      <c r="TA110" s="600" t="e">
        <f>SX110*$F$83</f>
        <v>#VALUE!</v>
      </c>
      <c r="TB110" s="672" t="e">
        <f>SX110*$F$80</f>
        <v>#VALUE!</v>
      </c>
      <c r="TC110" s="676" t="e">
        <f>SX110*$F$79</f>
        <v>#VALUE!</v>
      </c>
      <c r="TD110" s="668"/>
      <c r="TE110" s="669"/>
      <c r="TF110" s="670"/>
      <c r="TG110" s="671"/>
      <c r="TH110" s="678"/>
      <c r="TI110" s="650"/>
      <c r="TJ110" s="650"/>
      <c r="TK110" s="671" t="str">
        <f>IF(TJ110="Low",TG110*$D$42,IF(TJ110="Med",TG110*$D$43,IF(TJ110="High",TG110*$D$44,"rango cal. out")))</f>
        <v>rango cal. out</v>
      </c>
      <c r="TL110" s="619" t="e">
        <f>((273.2+TD110)*$F$33/((273.2+$F$32)*TF110))</f>
        <v>#DIV/0!</v>
      </c>
      <c r="TM110" s="674" t="e">
        <f>TK110/TH110*TL110*EXP(-LN(2)/10990*($F$96-TI110))</f>
        <v>#VALUE!</v>
      </c>
      <c r="TN110" s="599" t="e">
        <f>TM110-AVERAGE(TU102:TU103)</f>
        <v>#VALUE!</v>
      </c>
      <c r="TO110" s="672" t="e">
        <f>ABS(#REF!*TN110*3600)</f>
        <v>#REF!</v>
      </c>
      <c r="TP110" s="675" t="e">
        <f>ABS($B$34*TN110*3600)</f>
        <v>#VALUE!</v>
      </c>
      <c r="TQ110" s="614" t="e">
        <f>TP110*$C$87</f>
        <v>#VALUE!</v>
      </c>
      <c r="TR110" s="672" t="e">
        <f>TP110*$F$78</f>
        <v>#VALUE!</v>
      </c>
      <c r="TS110" s="600" t="e">
        <f>TP110*$F$83</f>
        <v>#VALUE!</v>
      </c>
      <c r="TT110" s="672" t="e">
        <f>TP110*$F$80</f>
        <v>#VALUE!</v>
      </c>
      <c r="TU110" s="676" t="e">
        <f>TP110*$F$79</f>
        <v>#VALUE!</v>
      </c>
      <c r="TV110" s="668"/>
      <c r="TW110" s="669"/>
      <c r="TX110" s="670"/>
      <c r="TY110" s="671"/>
      <c r="TZ110" s="678"/>
      <c r="UA110" s="650"/>
      <c r="UB110" s="650"/>
      <c r="UC110" s="671" t="str">
        <f>IF(UB110="Low",TY110*$D$42,IF(UB110="Med",TY110*$D$43,IF(UB110="High",TY110*$D$44,"rango cal. out")))</f>
        <v>rango cal. out</v>
      </c>
      <c r="UD110" s="619" t="e">
        <f>((273.2+TV110)*$F$33/((273.2+$F$32)*TX110))</f>
        <v>#DIV/0!</v>
      </c>
      <c r="UE110" s="674" t="e">
        <f>UC110/TZ110*UD110*EXP(-LN(2)/10990*($F$96-UA110))</f>
        <v>#VALUE!</v>
      </c>
      <c r="UF110" s="599" t="e">
        <f>UE110-AVERAGE(UM102:UM103)</f>
        <v>#VALUE!</v>
      </c>
      <c r="UG110" s="672" t="e">
        <f>ABS(#REF!*UF110*3600)</f>
        <v>#REF!</v>
      </c>
      <c r="UH110" s="675" t="e">
        <f>ABS($B$34*UF110*3600)</f>
        <v>#VALUE!</v>
      </c>
      <c r="UI110" s="614" t="e">
        <f>UH110*$C$87</f>
        <v>#VALUE!</v>
      </c>
      <c r="UJ110" s="672" t="e">
        <f>UH110*$F$78</f>
        <v>#VALUE!</v>
      </c>
      <c r="UK110" s="600" t="e">
        <f>UH110*$F$83</f>
        <v>#VALUE!</v>
      </c>
      <c r="UL110" s="672" t="e">
        <f>UH110*$F$80</f>
        <v>#VALUE!</v>
      </c>
      <c r="UM110" s="676" t="e">
        <f>UH110*$F$79</f>
        <v>#VALUE!</v>
      </c>
      <c r="UN110" s="668"/>
      <c r="UO110" s="669"/>
      <c r="UP110" s="670"/>
      <c r="UQ110" s="671"/>
      <c r="UR110" s="678"/>
      <c r="US110" s="650"/>
      <c r="UT110" s="650"/>
      <c r="UU110" s="671" t="str">
        <f>IF(UT110="Low",UQ110*$D$42,IF(UT110="Med",UQ110*$D$43,IF(UT110="High",UQ110*$D$44,"rango cal. out")))</f>
        <v>rango cal. out</v>
      </c>
      <c r="UV110" s="619" t="e">
        <f>((273.2+UN110)*$F$33/((273.2+$F$32)*UP110))</f>
        <v>#DIV/0!</v>
      </c>
      <c r="UW110" s="674" t="e">
        <f>UU110/UR110*UV110*EXP(-LN(2)/10990*($F$96-US110))</f>
        <v>#VALUE!</v>
      </c>
      <c r="UX110" s="599" t="e">
        <f>UW110-AVERAGE(VE102:VE103)</f>
        <v>#VALUE!</v>
      </c>
      <c r="UY110" s="672" t="e">
        <f>ABS(#REF!*UX110*3600)</f>
        <v>#REF!</v>
      </c>
      <c r="UZ110" s="675" t="e">
        <f>ABS($B$34*UX110*3600)</f>
        <v>#VALUE!</v>
      </c>
      <c r="VA110" s="614" t="e">
        <f>UZ110*$C$87</f>
        <v>#VALUE!</v>
      </c>
      <c r="VB110" s="672" t="e">
        <f>UZ110*$F$78</f>
        <v>#VALUE!</v>
      </c>
      <c r="VC110" s="600" t="e">
        <f>UZ110*$F$83</f>
        <v>#VALUE!</v>
      </c>
      <c r="VD110" s="672" t="e">
        <f>UZ110*$F$80</f>
        <v>#VALUE!</v>
      </c>
      <c r="VE110" s="676" t="e">
        <f>UZ110*$F$79</f>
        <v>#VALUE!</v>
      </c>
    </row>
    <row r="111" spans="1:577" x14ac:dyDescent="0.25">
      <c r="A111" s="2206"/>
      <c r="B111" s="2083">
        <v>20.3</v>
      </c>
      <c r="C111" s="2084">
        <v>54</v>
      </c>
      <c r="D111" s="2084">
        <v>1010</v>
      </c>
      <c r="E111" s="2085">
        <v>-2.9189999999999999E-8</v>
      </c>
      <c r="F111" s="2084">
        <v>60</v>
      </c>
      <c r="G111" s="2152">
        <v>44333</v>
      </c>
      <c r="H111" s="2153" t="s">
        <v>1042</v>
      </c>
      <c r="I111" s="2079">
        <f>IF(H111="Low",E111*$D$42,IF(H111="Med",E111*$D$43,IF(H111="High",E111*$D$44,"rango cal. out")))</f>
        <v>-2.9219189999999996E-8</v>
      </c>
      <c r="J111" s="2077">
        <f>((273.2+B111)*$F$33/((273.2+$F$32)*D111))</f>
        <v>0.99744048337760605</v>
      </c>
      <c r="K111" s="2078">
        <f>I111/F111*J111*EXP(-LN(2)/10990*($F$96-G111))</f>
        <v>-4.8101460959784602E-10</v>
      </c>
      <c r="L111" s="2075">
        <f>K111-AVERAGE(S102:S103)</f>
        <v>-4.809907976304745E-10</v>
      </c>
      <c r="M111" s="2086" t="e">
        <f>ABS(#REF!*L111*3600)</f>
        <v>#REF!</v>
      </c>
      <c r="N111" s="2071">
        <f>ABS($B$34*L111*3600)</f>
        <v>4.3635485161036651E-2</v>
      </c>
      <c r="O111" s="2074">
        <f>N111*$C$87</f>
        <v>4.3635485161036653</v>
      </c>
      <c r="P111" s="2081">
        <f>N111*$F$78</f>
        <v>5.2362582193243981E-2</v>
      </c>
      <c r="Q111" s="2080">
        <f>N111*$F$83</f>
        <v>5.2798937044854347E-2</v>
      </c>
      <c r="R111" s="2081">
        <f>N111*$F$80</f>
        <v>5.2798937044854347E-2</v>
      </c>
      <c r="S111" s="2082">
        <f>N111*$F$79</f>
        <v>5.4544356451295815E-2</v>
      </c>
      <c r="T111" s="677"/>
      <c r="U111" s="669"/>
      <c r="V111" s="670"/>
      <c r="W111" s="671"/>
      <c r="X111" s="678"/>
      <c r="Y111" s="663"/>
      <c r="Z111" s="650"/>
      <c r="AA111" s="651" t="str">
        <f>IF(Z111="Low",W111*$D$42,IF(Z111="Med",W111*$D$43,IF(Z111="High",W111*$D$44,"rango cal. out")))</f>
        <v>rango cal. out</v>
      </c>
      <c r="AB111" s="619" t="e">
        <f>((273.2+T111)*$F$33/((273.2+$F$32)*V111))</f>
        <v>#DIV/0!</v>
      </c>
      <c r="AC111" s="674" t="e">
        <f>AA111/X111*AB111*EXP(-LN(2)/10990*($F$96-Y111))</f>
        <v>#VALUE!</v>
      </c>
      <c r="AD111" s="599" t="e">
        <f>AC111-AVERAGE(#REF!)</f>
        <v>#VALUE!</v>
      </c>
      <c r="AE111" s="599" t="e">
        <f>ABS(#REF!*AD111*3600)</f>
        <v>#REF!</v>
      </c>
      <c r="AF111" s="657" t="e">
        <f>ABS($B$34*AD111*3600)</f>
        <v>#VALUE!</v>
      </c>
      <c r="AG111" s="614" t="e">
        <f>AF111*$C$87</f>
        <v>#VALUE!</v>
      </c>
      <c r="AH111" s="672" t="e">
        <f>AF111*$F$78</f>
        <v>#VALUE!</v>
      </c>
      <c r="AI111" s="600" t="e">
        <f>AF111*$F$83</f>
        <v>#VALUE!</v>
      </c>
      <c r="AJ111" s="672" t="e">
        <f>AF111*$F$80</f>
        <v>#VALUE!</v>
      </c>
      <c r="AK111" s="676" t="e">
        <f>AF111*$F$79</f>
        <v>#VALUE!</v>
      </c>
      <c r="AL111" s="668"/>
      <c r="AM111" s="669"/>
      <c r="AN111" s="670"/>
      <c r="AO111" s="671"/>
      <c r="AP111" s="678"/>
      <c r="AQ111" s="663"/>
      <c r="AR111" s="650"/>
      <c r="AS111" s="651" t="str">
        <f>IF(AR111="Low",AO111*$D$42,IF(AR111="Med",AO111*$D$43,IF(AR111="High",AO111*$D$44,"rango cal. out")))</f>
        <v>rango cal. out</v>
      </c>
      <c r="AT111" s="619" t="e">
        <f>((273.2+AL111)*$F$33/((273.2+$F$32)*AN111))</f>
        <v>#DIV/0!</v>
      </c>
      <c r="AU111" s="674" t="e">
        <f>AS111/AP111*AT111*EXP(-LN(2)/10990*($F$96-AQ111))</f>
        <v>#VALUE!</v>
      </c>
      <c r="AV111" s="599" t="e">
        <f>AU111-AVERAGE(BC102:BC103)</f>
        <v>#VALUE!</v>
      </c>
      <c r="AW111" s="599" t="e">
        <f>ABS(#REF!*AV111*3600)</f>
        <v>#REF!</v>
      </c>
      <c r="AX111" s="657" t="e">
        <f>ABS($B$34*AV111*3600)</f>
        <v>#VALUE!</v>
      </c>
      <c r="AY111" s="614" t="e">
        <f>AX111*$C$87</f>
        <v>#VALUE!</v>
      </c>
      <c r="AZ111" s="672" t="e">
        <f>AX111*$F$78</f>
        <v>#VALUE!</v>
      </c>
      <c r="BA111" s="600" t="e">
        <f>AX111*$F$83</f>
        <v>#VALUE!</v>
      </c>
      <c r="BB111" s="672" t="e">
        <f>AX111*$F$80</f>
        <v>#VALUE!</v>
      </c>
      <c r="BC111" s="676" t="e">
        <f>AX111*$F$79</f>
        <v>#VALUE!</v>
      </c>
      <c r="BD111" s="668"/>
      <c r="BE111" s="669"/>
      <c r="BF111" s="670"/>
      <c r="BG111" s="671"/>
      <c r="BH111" s="678"/>
      <c r="BI111" s="663">
        <v>44333</v>
      </c>
      <c r="BJ111" s="650"/>
      <c r="BK111" s="651" t="str">
        <f>IF(BJ111="Low",BG111*$D$42,IF(BJ111="Med",BG111*$D$43,IF(BJ111="High",BG111*$D$44,"rango cal. out")))</f>
        <v>rango cal. out</v>
      </c>
      <c r="BL111" s="619" t="e">
        <f>((273.2+BD111)*$F$33/((273.2+$F$32)*BF111))</f>
        <v>#DIV/0!</v>
      </c>
      <c r="BM111" s="674" t="e">
        <f>BK111/BH111*BL111*EXP(-LN(2)/10990*($F$96-BI111))</f>
        <v>#VALUE!</v>
      </c>
      <c r="BN111" s="599" t="e">
        <f>BM111-AVERAGE(BU102:BU103)</f>
        <v>#VALUE!</v>
      </c>
      <c r="BO111" s="599" t="e">
        <f>ABS(#REF!*BN111*3600)</f>
        <v>#REF!</v>
      </c>
      <c r="BP111" s="657" t="e">
        <f>ABS($B$34*BN111*3600)</f>
        <v>#VALUE!</v>
      </c>
      <c r="BQ111" s="614" t="e">
        <f>BP111*$C$87</f>
        <v>#VALUE!</v>
      </c>
      <c r="BR111" s="672" t="e">
        <f>BP111*$F$78</f>
        <v>#VALUE!</v>
      </c>
      <c r="BS111" s="600" t="e">
        <f>BP111*$F$83</f>
        <v>#VALUE!</v>
      </c>
      <c r="BT111" s="672" t="e">
        <f>BP111*$F$80</f>
        <v>#VALUE!</v>
      </c>
      <c r="BU111" s="676" t="e">
        <f>BP111*$F$79</f>
        <v>#VALUE!</v>
      </c>
      <c r="BV111" s="668"/>
      <c r="BW111" s="669"/>
      <c r="BX111" s="670"/>
      <c r="BY111" s="671"/>
      <c r="BZ111" s="678"/>
      <c r="CA111" s="663">
        <v>44333</v>
      </c>
      <c r="CB111" s="650"/>
      <c r="CC111" s="651" t="str">
        <f>IF(CB111="Low",BY111*$D$42,IF(CB111="Med",BY111*$D$43,IF(CB111="High",BY111*$D$44,"rango cal. out")))</f>
        <v>rango cal. out</v>
      </c>
      <c r="CD111" s="619" t="e">
        <f>((273.2+BV111)*$F$33/((273.2+$F$32)*BX111))</f>
        <v>#DIV/0!</v>
      </c>
      <c r="CE111" s="674" t="e">
        <f>CC111/BZ111*CD111*EXP(-LN(2)/10990*($F$96-CA111))</f>
        <v>#VALUE!</v>
      </c>
      <c r="CF111" s="599" t="e">
        <f>CE111-AVERAGE(CM102:CM103)</f>
        <v>#VALUE!</v>
      </c>
      <c r="CG111" s="599" t="e">
        <f>ABS(#REF!*CF111*3600)</f>
        <v>#REF!</v>
      </c>
      <c r="CH111" s="657" t="e">
        <f>ABS($B$34*CF111*3600)</f>
        <v>#VALUE!</v>
      </c>
      <c r="CI111" s="614" t="e">
        <f>CH111*$C$87</f>
        <v>#VALUE!</v>
      </c>
      <c r="CJ111" s="672" t="e">
        <f>CH111*$F$78</f>
        <v>#VALUE!</v>
      </c>
      <c r="CK111" s="600" t="e">
        <f>CH111*$F$83</f>
        <v>#VALUE!</v>
      </c>
      <c r="CL111" s="672" t="e">
        <f>CH111*$F$80</f>
        <v>#VALUE!</v>
      </c>
      <c r="CM111" s="676" t="e">
        <f>CH111*$F$79</f>
        <v>#VALUE!</v>
      </c>
      <c r="CN111" s="668"/>
      <c r="CO111" s="669"/>
      <c r="CP111" s="670"/>
      <c r="CQ111" s="671"/>
      <c r="CR111" s="678"/>
      <c r="CS111" s="663">
        <v>44333</v>
      </c>
      <c r="CT111" s="650"/>
      <c r="CU111" s="651" t="str">
        <f>IF(CT111="Low",CQ111*$D$42,IF(CT111="Med",CQ111*$D$43,IF(CT111="High",CQ111*$D$44,"rango cal. out")))</f>
        <v>rango cal. out</v>
      </c>
      <c r="CV111" s="619" t="e">
        <f>((273.2+CN111)*$F$33/((273.2+$F$32)*CP111))</f>
        <v>#DIV/0!</v>
      </c>
      <c r="CW111" s="674" t="e">
        <f>CU111/CR111*CV111*EXP(-LN(2)/10990*($F$96-CS111))</f>
        <v>#VALUE!</v>
      </c>
      <c r="CX111" s="599" t="e">
        <f>CW111-AVERAGE(DE102:DE103)</f>
        <v>#VALUE!</v>
      </c>
      <c r="CY111" s="599" t="e">
        <f>ABS(#REF!*CX111*3600)</f>
        <v>#REF!</v>
      </c>
      <c r="CZ111" s="657" t="e">
        <f>ABS($B$34*CX111*3600)</f>
        <v>#VALUE!</v>
      </c>
      <c r="DA111" s="614" t="e">
        <f>CZ111*$C$87</f>
        <v>#VALUE!</v>
      </c>
      <c r="DB111" s="672" t="e">
        <f>CZ111*$F$78</f>
        <v>#VALUE!</v>
      </c>
      <c r="DC111" s="600" t="e">
        <f>CZ111*$F$83</f>
        <v>#VALUE!</v>
      </c>
      <c r="DD111" s="672" t="e">
        <f>CZ111*$F$80</f>
        <v>#VALUE!</v>
      </c>
      <c r="DE111" s="676" t="e">
        <f>CZ111*$F$79</f>
        <v>#VALUE!</v>
      </c>
      <c r="DF111" s="668"/>
      <c r="DG111" s="669"/>
      <c r="DH111" s="670"/>
      <c r="DI111" s="671"/>
      <c r="DJ111" s="678"/>
      <c r="DK111" s="663"/>
      <c r="DL111" s="650"/>
      <c r="DM111" s="651" t="str">
        <f>IF(DL111="Low",DI111*$D$42,IF(DL111="Med",DI111*$D$43,IF(DL111="High",DI111*$D$44,"rango cal. out")))</f>
        <v>rango cal. out</v>
      </c>
      <c r="DN111" s="619" t="e">
        <f>((273.2+DF111)*$F$33/((273.2+$F$32)*DH111))</f>
        <v>#DIV/0!</v>
      </c>
      <c r="DO111" s="674" t="e">
        <f>DM111/DJ111*DN111*EXP(-LN(2)/10990*($F$96-DK111))</f>
        <v>#VALUE!</v>
      </c>
      <c r="DP111" s="599" t="e">
        <f>DO111-AVERAGE(DW102:DW103)</f>
        <v>#VALUE!</v>
      </c>
      <c r="DQ111" s="599" t="e">
        <f>ABS(#REF!*DP111*3600)</f>
        <v>#REF!</v>
      </c>
      <c r="DR111" s="657" t="e">
        <f>ABS($B$34*DP111*3600)</f>
        <v>#VALUE!</v>
      </c>
      <c r="DS111" s="614" t="e">
        <f>DR111*$C$87</f>
        <v>#VALUE!</v>
      </c>
      <c r="DT111" s="672" t="e">
        <f>DR111*$F$78</f>
        <v>#VALUE!</v>
      </c>
      <c r="DU111" s="600" t="e">
        <f>DR111*$F$83</f>
        <v>#VALUE!</v>
      </c>
      <c r="DV111" s="672" t="e">
        <f>DR111*$F$80</f>
        <v>#VALUE!</v>
      </c>
      <c r="DW111" s="676" t="e">
        <f>DR111*$F$79</f>
        <v>#VALUE!</v>
      </c>
      <c r="DX111" s="668"/>
      <c r="DY111" s="669"/>
      <c r="DZ111" s="677"/>
      <c r="EA111" s="679"/>
      <c r="EB111" s="678"/>
      <c r="EC111" s="663"/>
      <c r="ED111" s="650"/>
      <c r="EE111" s="651" t="str">
        <f>IF(ED111="Low",EA111*$D$42,IF(ED111="Med",EA111*$D$43,IF(ED111="High",EA111*$D$44,"rango cal. out")))</f>
        <v>rango cal. out</v>
      </c>
      <c r="EF111" s="619" t="e">
        <f>((273.2+DX111)*$F$33/((273.2+$F$32)*DZ111))</f>
        <v>#DIV/0!</v>
      </c>
      <c r="EG111" s="674" t="e">
        <f>EE111/EB111*EF111*EXP(-LN(2)/10990*($F$96-EC111))</f>
        <v>#VALUE!</v>
      </c>
      <c r="EH111" s="599" t="e">
        <f>EG111-AVERAGE(EO102:EO103)</f>
        <v>#VALUE!</v>
      </c>
      <c r="EI111" s="599" t="e">
        <f>ABS(#REF!*EH111*3600)</f>
        <v>#REF!</v>
      </c>
      <c r="EJ111" s="657" t="e">
        <f>ABS($B$34*EH111*3600)</f>
        <v>#VALUE!</v>
      </c>
      <c r="EK111" s="614" t="e">
        <f>EJ111*$C$87</f>
        <v>#VALUE!</v>
      </c>
      <c r="EL111" s="672" t="e">
        <f>EJ111*$F$78</f>
        <v>#VALUE!</v>
      </c>
      <c r="EM111" s="600" t="e">
        <f>EJ111*$F$83</f>
        <v>#VALUE!</v>
      </c>
      <c r="EN111" s="672" t="e">
        <f>EJ111*$F$80</f>
        <v>#VALUE!</v>
      </c>
      <c r="EO111" s="676" t="e">
        <f>EJ111*$F$79</f>
        <v>#VALUE!</v>
      </c>
      <c r="EP111" s="668"/>
      <c r="EQ111" s="669"/>
      <c r="ER111" s="670"/>
      <c r="ES111" s="671"/>
      <c r="ET111" s="678"/>
      <c r="EU111" s="663">
        <v>44333</v>
      </c>
      <c r="EV111" s="650"/>
      <c r="EW111" s="651" t="str">
        <f>IF(EV111="Low",ES111*$D$42,IF(EV111="Med",ES111*$D$43,IF(EV111="High",ES111*$D$44,"rango cal. out")))</f>
        <v>rango cal. out</v>
      </c>
      <c r="EX111" s="619" t="e">
        <f>((273.2+EP111)*$F$33/((273.2+$F$32)*ER111))</f>
        <v>#DIV/0!</v>
      </c>
      <c r="EY111" s="674" t="e">
        <f>EW111/ET111*EX111*EXP(-LN(2)/10990*($F$96-EU111))</f>
        <v>#VALUE!</v>
      </c>
      <c r="EZ111" s="599" t="e">
        <f>EY111-AVERAGE(FG102:FG103)</f>
        <v>#VALUE!</v>
      </c>
      <c r="FA111" s="599" t="e">
        <f>ABS(#REF!*EZ111*3600)</f>
        <v>#REF!</v>
      </c>
      <c r="FB111" s="657" t="e">
        <f>ABS($B$34*EZ111*3600)</f>
        <v>#VALUE!</v>
      </c>
      <c r="FC111" s="614" t="e">
        <f>FB111*$C$87</f>
        <v>#VALUE!</v>
      </c>
      <c r="FD111" s="672" t="e">
        <f>FB111*$F$78</f>
        <v>#VALUE!</v>
      </c>
      <c r="FE111" s="600" t="e">
        <f>FB111*$F$83</f>
        <v>#VALUE!</v>
      </c>
      <c r="FF111" s="672" t="e">
        <f>FB111*$F$80</f>
        <v>#VALUE!</v>
      </c>
      <c r="FG111" s="676" t="e">
        <f>FB111*$F$79</f>
        <v>#VALUE!</v>
      </c>
      <c r="FH111" s="668"/>
      <c r="FI111" s="669"/>
      <c r="FJ111" s="670"/>
      <c r="FK111" s="671"/>
      <c r="FL111" s="678"/>
      <c r="FM111" s="663"/>
      <c r="FN111" s="650"/>
      <c r="FO111" s="651" t="str">
        <f>IF(FN111="Low",FK111*$D$42,IF(FN111="Med",FK111*$D$43,IF(FN111="High",FK111*$D$44,"rango cal. out")))</f>
        <v>rango cal. out</v>
      </c>
      <c r="FP111" s="619" t="e">
        <f>((273.2+FH111)*$F$33/((273.2+$F$32)*FJ111))</f>
        <v>#DIV/0!</v>
      </c>
      <c r="FQ111" s="674" t="e">
        <f>FO111/FL111*FP111*EXP(-LN(2)/10990*($F$96-FM111))</f>
        <v>#VALUE!</v>
      </c>
      <c r="FR111" s="599" t="e">
        <f>FQ111-AVERAGE(FY102:FY103)</f>
        <v>#VALUE!</v>
      </c>
      <c r="FS111" s="599" t="e">
        <f>ABS(#REF!*FR111*3600)</f>
        <v>#REF!</v>
      </c>
      <c r="FT111" s="657" t="e">
        <f>ABS($B$34*FR111*3600)</f>
        <v>#VALUE!</v>
      </c>
      <c r="FU111" s="614" t="e">
        <f>FT111*$C$87</f>
        <v>#VALUE!</v>
      </c>
      <c r="FV111" s="672" t="e">
        <f>FT111*$F$78</f>
        <v>#VALUE!</v>
      </c>
      <c r="FW111" s="600" t="e">
        <f>FT111*$F$83</f>
        <v>#VALUE!</v>
      </c>
      <c r="FX111" s="672" t="e">
        <f>FT111*$F$80</f>
        <v>#VALUE!</v>
      </c>
      <c r="FY111" s="676" t="e">
        <f>FT111*$F$79</f>
        <v>#VALUE!</v>
      </c>
      <c r="FZ111" s="668"/>
      <c r="GA111" s="669"/>
      <c r="GB111" s="670"/>
      <c r="GC111" s="671"/>
      <c r="GD111" s="678"/>
      <c r="GE111" s="663"/>
      <c r="GF111" s="650"/>
      <c r="GG111" s="651" t="str">
        <f>IF(GF111="Low",GC111*$D$42,IF(GF111="Med",GC111*$D$43,IF(GF111="High",GC111*$D$44,"rango cal. out")))</f>
        <v>rango cal. out</v>
      </c>
      <c r="GH111" s="619" t="e">
        <f>((273.2+FZ111)*$F$33/((273.2+$F$32)*GB111))</f>
        <v>#DIV/0!</v>
      </c>
      <c r="GI111" s="674" t="e">
        <f>GG111/GD111*GH111*EXP(-LN(2)/10990*($F$96-GE111))</f>
        <v>#VALUE!</v>
      </c>
      <c r="GJ111" s="599" t="e">
        <f>GI111-AVERAGE(GQ102:GQ103)</f>
        <v>#VALUE!</v>
      </c>
      <c r="GK111" s="599" t="e">
        <f>ABS(#REF!*GJ111*3600)</f>
        <v>#REF!</v>
      </c>
      <c r="GL111" s="657" t="e">
        <f>ABS($B$34*GJ111*3600)</f>
        <v>#VALUE!</v>
      </c>
      <c r="GM111" s="614" t="e">
        <f>GL111*$C$87</f>
        <v>#VALUE!</v>
      </c>
      <c r="GN111" s="672" t="e">
        <f>GL111*$F$78</f>
        <v>#VALUE!</v>
      </c>
      <c r="GO111" s="600" t="e">
        <f>GL111*$F$83</f>
        <v>#VALUE!</v>
      </c>
      <c r="GP111" s="672" t="e">
        <f>GL111*$F$80</f>
        <v>#VALUE!</v>
      </c>
      <c r="GQ111" s="676" t="e">
        <f>GL111*$F$79</f>
        <v>#VALUE!</v>
      </c>
      <c r="GR111" s="668"/>
      <c r="GS111" s="669"/>
      <c r="GT111" s="677"/>
      <c r="GU111" s="679"/>
      <c r="GV111" s="678"/>
      <c r="GW111" s="663"/>
      <c r="GX111" s="650"/>
      <c r="GY111" s="651" t="str">
        <f>IF(GX111="Low",GU111*$D$42,IF(GX111="Med",GU111*$D$43,IF(GX111="High",GU111*$D$44,"rango cal. out")))</f>
        <v>rango cal. out</v>
      </c>
      <c r="GZ111" s="619" t="e">
        <f>((273.2+GR111)*$F$33/((273.2+$F$32)*GT111))</f>
        <v>#DIV/0!</v>
      </c>
      <c r="HA111" s="674" t="e">
        <f>GY111/GV111*GZ111*EXP(-LN(2)/10990*($F$96-GW111))</f>
        <v>#VALUE!</v>
      </c>
      <c r="HB111" s="599" t="e">
        <f>HA111-AVERAGE(HI102:HI103)</f>
        <v>#VALUE!</v>
      </c>
      <c r="HC111" s="599" t="e">
        <f>ABS(#REF!*HB111*3600)</f>
        <v>#REF!</v>
      </c>
      <c r="HD111" s="657" t="e">
        <f>ABS($B$34*HB111*3600)</f>
        <v>#VALUE!</v>
      </c>
      <c r="HE111" s="614" t="e">
        <f>HD111*$C$87</f>
        <v>#VALUE!</v>
      </c>
      <c r="HF111" s="672" t="e">
        <f>HD111*$F$78</f>
        <v>#VALUE!</v>
      </c>
      <c r="HG111" s="600" t="e">
        <f>HD111*$F$83</f>
        <v>#VALUE!</v>
      </c>
      <c r="HH111" s="672" t="e">
        <f>HD111*$F$80</f>
        <v>#VALUE!</v>
      </c>
      <c r="HI111" s="676" t="e">
        <f>HD111*$F$79</f>
        <v>#VALUE!</v>
      </c>
      <c r="HJ111" s="668"/>
      <c r="HK111" s="669"/>
      <c r="HL111" s="670"/>
      <c r="HM111" s="671"/>
      <c r="HN111" s="678"/>
      <c r="HO111" s="663"/>
      <c r="HP111" s="650"/>
      <c r="HQ111" s="651" t="str">
        <f>IF(HP111="Low",HM111*$D$42,IF(HP111="Med",HM111*$D$43,IF(HP111="High",HM111*$D$44,"rango cal. out")))</f>
        <v>rango cal. out</v>
      </c>
      <c r="HR111" s="619" t="e">
        <f>((273.2+HJ111)*$F$33/((273.2+$F$32)*HL111))</f>
        <v>#DIV/0!</v>
      </c>
      <c r="HS111" s="674" t="e">
        <f>HQ111/HN111*HR111*EXP(-LN(2)/10990*($F$96-HO111))</f>
        <v>#VALUE!</v>
      </c>
      <c r="HT111" s="599" t="e">
        <f>HS111-AVERAGE(IA102:IA103)</f>
        <v>#VALUE!</v>
      </c>
      <c r="HU111" s="599" t="e">
        <f>ABS(#REF!*HT111*3600)</f>
        <v>#REF!</v>
      </c>
      <c r="HV111" s="657" t="e">
        <f>ABS($B$34*HT111*3600)</f>
        <v>#VALUE!</v>
      </c>
      <c r="HW111" s="614" t="e">
        <f>HV111*$C$87</f>
        <v>#VALUE!</v>
      </c>
      <c r="HX111" s="672" t="e">
        <f>HV111*$F$78</f>
        <v>#VALUE!</v>
      </c>
      <c r="HY111" s="600" t="e">
        <f>HV111*$F$83</f>
        <v>#VALUE!</v>
      </c>
      <c r="HZ111" s="672" t="e">
        <f>HV111*$F$80</f>
        <v>#VALUE!</v>
      </c>
      <c r="IA111" s="676" t="e">
        <f>HV111*$F$79</f>
        <v>#VALUE!</v>
      </c>
      <c r="IB111" s="668"/>
      <c r="IC111" s="669"/>
      <c r="ID111" s="670"/>
      <c r="IE111" s="671"/>
      <c r="IF111" s="678"/>
      <c r="IG111" s="663"/>
      <c r="IH111" s="650"/>
      <c r="II111" s="651" t="str">
        <f>IF(IH111="Low",IE111*$D$42,IF(IH111="Med",IE111*$D$43,IF(IH111="High",IE111*$D$44,"rango cal. out")))</f>
        <v>rango cal. out</v>
      </c>
      <c r="IJ111" s="619" t="e">
        <f>((273.2+IB111)*$F$33/((273.2+$F$32)*ID111))</f>
        <v>#DIV/0!</v>
      </c>
      <c r="IK111" s="674" t="e">
        <f>II111/IF111*IJ111*EXP(-LN(2)/10990*($F$96-IG111))</f>
        <v>#VALUE!</v>
      </c>
      <c r="IL111" s="599" t="e">
        <f>IK111-AVERAGE(IS102:IS103)</f>
        <v>#VALUE!</v>
      </c>
      <c r="IM111" s="599" t="e">
        <f>ABS(#REF!*IL111*3600)</f>
        <v>#REF!</v>
      </c>
      <c r="IN111" s="657" t="e">
        <f>ABS($B$34*IL111*3600)</f>
        <v>#VALUE!</v>
      </c>
      <c r="IO111" s="614" t="e">
        <f>IN111*$C$87</f>
        <v>#VALUE!</v>
      </c>
      <c r="IP111" s="672" t="e">
        <f>IN111*$F$78</f>
        <v>#VALUE!</v>
      </c>
      <c r="IQ111" s="600" t="e">
        <f>IN111*$F$83</f>
        <v>#VALUE!</v>
      </c>
      <c r="IR111" s="672" t="e">
        <f>IN111*$F$80</f>
        <v>#VALUE!</v>
      </c>
      <c r="IS111" s="676" t="e">
        <f>IN111*$F$79</f>
        <v>#VALUE!</v>
      </c>
      <c r="IT111" s="668"/>
      <c r="IU111" s="669"/>
      <c r="IV111" s="670"/>
      <c r="IW111" s="671"/>
      <c r="IX111" s="678"/>
      <c r="IY111" s="663"/>
      <c r="IZ111" s="650"/>
      <c r="JA111" s="651" t="str">
        <f>IF(IZ111="Low",IW111*$D$42,IF(IZ111="Med",IW111*$D$43,IF(IZ111="High",IW111*$D$44,"rango cal. out")))</f>
        <v>rango cal. out</v>
      </c>
      <c r="JB111" s="619" t="e">
        <f>((273.2+IT111)*$F$33/((273.2+$F$32)*IV111))</f>
        <v>#DIV/0!</v>
      </c>
      <c r="JC111" s="674" t="e">
        <f>JA111/IX111*JB111*EXP(-LN(2)/10990*($F$96-IY111))</f>
        <v>#VALUE!</v>
      </c>
      <c r="JD111" s="599" t="e">
        <f>JC111-AVERAGE(JK102:JK103)</f>
        <v>#VALUE!</v>
      </c>
      <c r="JE111" s="599" t="e">
        <f>ABS(#REF!*JD111*3600)</f>
        <v>#REF!</v>
      </c>
      <c r="JF111" s="657" t="e">
        <f>ABS($B$34*JD111*3600)</f>
        <v>#VALUE!</v>
      </c>
      <c r="JG111" s="614" t="e">
        <f>JF111*$C$87</f>
        <v>#VALUE!</v>
      </c>
      <c r="JH111" s="672" t="e">
        <f>JF111*$F$78</f>
        <v>#VALUE!</v>
      </c>
      <c r="JI111" s="600" t="e">
        <f>JF111*$F$83</f>
        <v>#VALUE!</v>
      </c>
      <c r="JJ111" s="672" t="e">
        <f>JF111*$F$80</f>
        <v>#VALUE!</v>
      </c>
      <c r="JK111" s="676" t="e">
        <f>JF111*$F$79</f>
        <v>#VALUE!</v>
      </c>
      <c r="JL111" s="668"/>
      <c r="JM111" s="669"/>
      <c r="JN111" s="670"/>
      <c r="JO111" s="671"/>
      <c r="JP111" s="678"/>
      <c r="JQ111" s="663"/>
      <c r="JR111" s="650"/>
      <c r="JS111" s="651" t="str">
        <f>IF(JR111="Low",JO111*$D$42,IF(JR111="Med",JO111*$D$43,IF(JR111="High",JO111*$D$44,"rango cal. out")))</f>
        <v>rango cal. out</v>
      </c>
      <c r="JT111" s="619" t="e">
        <f>((273.2+JL111)*$F$33/((273.2+$F$32)*JN111))</f>
        <v>#DIV/0!</v>
      </c>
      <c r="JU111" s="674" t="e">
        <f>JS111/JP111*JT111*EXP(-LN(2)/10990*($F$96-JQ111))</f>
        <v>#VALUE!</v>
      </c>
      <c r="JV111" s="599" t="e">
        <f>JU111-AVERAGE(KC102:KC103)</f>
        <v>#VALUE!</v>
      </c>
      <c r="JW111" s="599" t="e">
        <f>ABS(#REF!*JV111*3600)</f>
        <v>#REF!</v>
      </c>
      <c r="JX111" s="657" t="e">
        <f>ABS($B$34*JV111*3600)</f>
        <v>#VALUE!</v>
      </c>
      <c r="JY111" s="614" t="e">
        <f>JX111*$C$87</f>
        <v>#VALUE!</v>
      </c>
      <c r="JZ111" s="672" t="e">
        <f>JX111*$F$78</f>
        <v>#VALUE!</v>
      </c>
      <c r="KA111" s="600" t="e">
        <f>JX111*$F$83</f>
        <v>#VALUE!</v>
      </c>
      <c r="KB111" s="672" t="e">
        <f>JX111*$F$80</f>
        <v>#VALUE!</v>
      </c>
      <c r="KC111" s="676" t="e">
        <f>JX111*$F$79</f>
        <v>#VALUE!</v>
      </c>
      <c r="KD111" s="668"/>
      <c r="KE111" s="669"/>
      <c r="KF111" s="670"/>
      <c r="KG111" s="671"/>
      <c r="KH111" s="678"/>
      <c r="KI111" s="663"/>
      <c r="KJ111" s="650"/>
      <c r="KK111" s="651" t="str">
        <f>IF(KJ111="Low",KG111*$D$42,IF(KJ111="Med",KG111*$D$43,IF(KJ111="High",KG111*$D$44,"rango cal. out")))</f>
        <v>rango cal. out</v>
      </c>
      <c r="KL111" s="619" t="e">
        <f>((273.2+KD111)*$F$33/((273.2+$F$32)*KF111))</f>
        <v>#DIV/0!</v>
      </c>
      <c r="KM111" s="674" t="e">
        <f>KK111/KH111*KL111*EXP(-LN(2)/10990*($F$96-KI111))</f>
        <v>#VALUE!</v>
      </c>
      <c r="KN111" s="599" t="e">
        <f>KM111-AVERAGE(KU102:KU103)</f>
        <v>#VALUE!</v>
      </c>
      <c r="KO111" s="599" t="e">
        <f>ABS(#REF!*KN111*3600)</f>
        <v>#REF!</v>
      </c>
      <c r="KP111" s="657" t="e">
        <f>ABS($B$34*KN111*3600)</f>
        <v>#VALUE!</v>
      </c>
      <c r="KQ111" s="614" t="e">
        <f>KP111*$C$87</f>
        <v>#VALUE!</v>
      </c>
      <c r="KR111" s="672" t="e">
        <f>KP111*$F$78</f>
        <v>#VALUE!</v>
      </c>
      <c r="KS111" s="600" t="e">
        <f>KP111*$F$83</f>
        <v>#VALUE!</v>
      </c>
      <c r="KT111" s="672" t="e">
        <f>KP111*$F$80</f>
        <v>#VALUE!</v>
      </c>
      <c r="KU111" s="676" t="e">
        <f>KP111*$F$79</f>
        <v>#VALUE!</v>
      </c>
      <c r="KV111" s="668"/>
      <c r="KW111" s="669"/>
      <c r="KX111" s="670"/>
      <c r="KY111" s="671"/>
      <c r="KZ111" s="678"/>
      <c r="LA111" s="663"/>
      <c r="LB111" s="650"/>
      <c r="LC111" s="651" t="str">
        <f>IF(LB111="Low",KY111*$D$42,IF(LB111="Med",KY111*$D$43,IF(LB111="High",KY111*$D$44,"rango cal. out")))</f>
        <v>rango cal. out</v>
      </c>
      <c r="LD111" s="619" t="e">
        <f>((273.2+KV111)*$F$33/((273.2+$F$32)*KX111))</f>
        <v>#DIV/0!</v>
      </c>
      <c r="LE111" s="674" t="e">
        <f>LC111/KZ111*LD111*EXP(-LN(2)/10990*($F$96-LA111))</f>
        <v>#VALUE!</v>
      </c>
      <c r="LF111" s="599" t="e">
        <f>LE111-AVERAGE(LM102:LM103)</f>
        <v>#VALUE!</v>
      </c>
      <c r="LG111" s="599" t="e">
        <f>ABS(#REF!*LF111*3600)</f>
        <v>#REF!</v>
      </c>
      <c r="LH111" s="657" t="e">
        <f>ABS($B$34*LF111*3600)</f>
        <v>#VALUE!</v>
      </c>
      <c r="LI111" s="614" t="e">
        <f>LH111*$C$87</f>
        <v>#VALUE!</v>
      </c>
      <c r="LJ111" s="672" t="e">
        <f>LH111*$F$78</f>
        <v>#VALUE!</v>
      </c>
      <c r="LK111" s="600" t="e">
        <f>LH111*$F$83</f>
        <v>#VALUE!</v>
      </c>
      <c r="LL111" s="672" t="e">
        <f>LH111*$F$80</f>
        <v>#VALUE!</v>
      </c>
      <c r="LM111" s="676" t="e">
        <f>LH111*$F$79</f>
        <v>#VALUE!</v>
      </c>
      <c r="LN111" s="668"/>
      <c r="LO111" s="669"/>
      <c r="LP111" s="670"/>
      <c r="LQ111" s="671"/>
      <c r="LR111" s="678"/>
      <c r="LS111" s="663"/>
      <c r="LT111" s="650"/>
      <c r="LU111" s="651" t="str">
        <f>IF(LT111="Low",LQ111*$D$42,IF(LT111="Med",LQ111*$D$43,IF(LT111="High",LQ111*$D$44,"rango cal. out")))</f>
        <v>rango cal. out</v>
      </c>
      <c r="LV111" s="619" t="e">
        <f>((273.2+LN111)*$F$33/((273.2+$F$32)*LP111))</f>
        <v>#DIV/0!</v>
      </c>
      <c r="LW111" s="674" t="e">
        <f>LU111/LR111*LV111*EXP(-LN(2)/10990*($F$96-LS111))</f>
        <v>#VALUE!</v>
      </c>
      <c r="LX111" s="599" t="e">
        <f>LW111-AVERAGE(ME102:ME103)</f>
        <v>#VALUE!</v>
      </c>
      <c r="LY111" s="599" t="e">
        <f>ABS(#REF!*LX111*3600)</f>
        <v>#REF!</v>
      </c>
      <c r="LZ111" s="657" t="e">
        <f>ABS($B$34*LX111*3600)</f>
        <v>#VALUE!</v>
      </c>
      <c r="MA111" s="614" t="e">
        <f>LZ111*$C$87</f>
        <v>#VALUE!</v>
      </c>
      <c r="MB111" s="672" t="e">
        <f>LZ111*$F$78</f>
        <v>#VALUE!</v>
      </c>
      <c r="MC111" s="600" t="e">
        <f>LZ111*$F$83</f>
        <v>#VALUE!</v>
      </c>
      <c r="MD111" s="672" t="e">
        <f>LZ111*$F$80</f>
        <v>#VALUE!</v>
      </c>
      <c r="ME111" s="676" t="e">
        <f>LZ111*$F$79</f>
        <v>#VALUE!</v>
      </c>
      <c r="MF111" s="668"/>
      <c r="MG111" s="669"/>
      <c r="MH111" s="670"/>
      <c r="MI111" s="671"/>
      <c r="MJ111" s="678"/>
      <c r="MK111" s="663"/>
      <c r="ML111" s="650"/>
      <c r="MM111" s="651" t="str">
        <f>IF(ML111="Low",MI111*$D$42,IF(ML111="Med",MI111*$D$43,IF(ML111="High",MI111*$D$44,"rango cal. out")))</f>
        <v>rango cal. out</v>
      </c>
      <c r="MN111" s="619" t="e">
        <f>((273.2+MF111)*$F$33/((273.2+$F$32)*MH111))</f>
        <v>#DIV/0!</v>
      </c>
      <c r="MO111" s="674" t="e">
        <f>MM111/MJ111*MN111*EXP(-LN(2)/10990*($F$96-MK111))</f>
        <v>#VALUE!</v>
      </c>
      <c r="MP111" s="599" t="e">
        <f>MO111-AVERAGE(MW102:MW103)</f>
        <v>#VALUE!</v>
      </c>
      <c r="MQ111" s="599" t="e">
        <f>ABS(#REF!*MP111*3600)</f>
        <v>#REF!</v>
      </c>
      <c r="MR111" s="657" t="e">
        <f>ABS($B$34*MP111*3600)</f>
        <v>#VALUE!</v>
      </c>
      <c r="MS111" s="614" t="e">
        <f>MR111*$C$87</f>
        <v>#VALUE!</v>
      </c>
      <c r="MT111" s="672" t="e">
        <f>MR111*$F$78</f>
        <v>#VALUE!</v>
      </c>
      <c r="MU111" s="600" t="e">
        <f>MR111*$F$83</f>
        <v>#VALUE!</v>
      </c>
      <c r="MV111" s="672" t="e">
        <f>MR111*$F$80</f>
        <v>#VALUE!</v>
      </c>
      <c r="MW111" s="676" t="e">
        <f>MR111*$F$79</f>
        <v>#VALUE!</v>
      </c>
      <c r="MX111" s="668"/>
      <c r="MY111" s="669"/>
      <c r="MZ111" s="680"/>
      <c r="NA111" s="671"/>
      <c r="NB111" s="673"/>
      <c r="NC111" s="663"/>
      <c r="ND111" s="650"/>
      <c r="NE111" s="651" t="str">
        <f>IF(ND111="Low",NA111*$D$42,IF(ND111="Med",NA111*$D$43,IF(ND111="High",NA111*$D$44,"rango cal. out")))</f>
        <v>rango cal. out</v>
      </c>
      <c r="NF111" s="619" t="e">
        <f>((273.2+MX111)*$F$33/((273.2+$F$32)*MZ111))</f>
        <v>#DIV/0!</v>
      </c>
      <c r="NG111" s="674" t="e">
        <f>NE111/NB111*NF111*EXP(-LN(2)/10990*($F$96-NC111))</f>
        <v>#VALUE!</v>
      </c>
      <c r="NH111" s="599" t="e">
        <f>NG111-AVERAGE(NO102:NO103)</f>
        <v>#VALUE!</v>
      </c>
      <c r="NI111" s="599" t="e">
        <f>ABS(#REF!*NH111*3600)</f>
        <v>#REF!</v>
      </c>
      <c r="NJ111" s="657" t="e">
        <f>ABS($B$34*NH111*3600)</f>
        <v>#VALUE!</v>
      </c>
      <c r="NK111" s="614" t="e">
        <f>NJ111*$C$87</f>
        <v>#VALUE!</v>
      </c>
      <c r="NL111" s="672" t="e">
        <f>NJ111*$F$78</f>
        <v>#VALUE!</v>
      </c>
      <c r="NM111" s="600" t="e">
        <f>NJ111*$F$83</f>
        <v>#VALUE!</v>
      </c>
      <c r="NN111" s="672" t="e">
        <f>NJ111*$F$80</f>
        <v>#VALUE!</v>
      </c>
      <c r="NO111" s="676" t="e">
        <f>NJ111*$F$79</f>
        <v>#VALUE!</v>
      </c>
      <c r="NP111" s="668"/>
      <c r="NQ111" s="669"/>
      <c r="NR111" s="670"/>
      <c r="NS111" s="671"/>
      <c r="NT111" s="678"/>
      <c r="NU111" s="663"/>
      <c r="NV111" s="650"/>
      <c r="NW111" s="651" t="str">
        <f>IF(NV111="Low",NS111*$D$42,IF(NV111="Med",NS111*$D$43,IF(NV111="High",NS111*$D$44,"rango cal. out")))</f>
        <v>rango cal. out</v>
      </c>
      <c r="NX111" s="619" t="e">
        <f>((273.2+NP111)*$F$33/((273.2+$F$32)*NR111))</f>
        <v>#DIV/0!</v>
      </c>
      <c r="NY111" s="674" t="e">
        <f>NW111/NT111*NX111*EXP(-LN(2)/10990*($F$96-NU111))</f>
        <v>#VALUE!</v>
      </c>
      <c r="NZ111" s="599" t="e">
        <f>NY111-AVERAGE(OG102:OG103)</f>
        <v>#VALUE!</v>
      </c>
      <c r="OA111" s="599" t="e">
        <f>ABS(#REF!*NZ111*3600)</f>
        <v>#REF!</v>
      </c>
      <c r="OB111" s="657" t="e">
        <f>ABS($B$34*NZ111*3600)</f>
        <v>#VALUE!</v>
      </c>
      <c r="OC111" s="614" t="e">
        <f>OB111*$C$87</f>
        <v>#VALUE!</v>
      </c>
      <c r="OD111" s="672" t="e">
        <f>OB111*$F$78</f>
        <v>#VALUE!</v>
      </c>
      <c r="OE111" s="600" t="e">
        <f>OB111*$F$83</f>
        <v>#VALUE!</v>
      </c>
      <c r="OF111" s="672" t="e">
        <f>OB111*$F$80</f>
        <v>#VALUE!</v>
      </c>
      <c r="OG111" s="676" t="e">
        <f>OB111*$F$79</f>
        <v>#VALUE!</v>
      </c>
      <c r="OH111" s="668"/>
      <c r="OI111" s="669"/>
      <c r="OJ111" s="670"/>
      <c r="OK111" s="671"/>
      <c r="OL111" s="678"/>
      <c r="OM111" s="663"/>
      <c r="ON111" s="650"/>
      <c r="OO111" s="651" t="str">
        <f>IF(ON111="Low",OK111*$D$42,IF(ON111="Med",OK111*$D$43,IF(ON111="High",OK111*$D$44,"rango cal. out")))</f>
        <v>rango cal. out</v>
      </c>
      <c r="OP111" s="619" t="e">
        <f>((273.2+OH111)*$F$33/((273.2+$F$32)*OJ111))</f>
        <v>#DIV/0!</v>
      </c>
      <c r="OQ111" s="674" t="e">
        <f>OO111/OL111*OP111*EXP(-LN(2)/10990*($F$96-OM111))</f>
        <v>#VALUE!</v>
      </c>
      <c r="OR111" s="599" t="e">
        <f>OQ111-AVERAGE(OY102:OY103)</f>
        <v>#VALUE!</v>
      </c>
      <c r="OS111" s="599" t="e">
        <f>ABS(#REF!*OR111*3600)</f>
        <v>#REF!</v>
      </c>
      <c r="OT111" s="657" t="e">
        <f>ABS($B$34*OR111*3600)</f>
        <v>#VALUE!</v>
      </c>
      <c r="OU111" s="614" t="e">
        <f>OT111*$C$87</f>
        <v>#VALUE!</v>
      </c>
      <c r="OV111" s="672" t="e">
        <f>OT111*$F$78</f>
        <v>#VALUE!</v>
      </c>
      <c r="OW111" s="600" t="e">
        <f>OT111*$F$83</f>
        <v>#VALUE!</v>
      </c>
      <c r="OX111" s="672" t="e">
        <f>OT111*$F$80</f>
        <v>#VALUE!</v>
      </c>
      <c r="OY111" s="676" t="e">
        <f>OT111*$F$79</f>
        <v>#VALUE!</v>
      </c>
      <c r="OZ111" s="668"/>
      <c r="PA111" s="669"/>
      <c r="PB111" s="670"/>
      <c r="PC111" s="671"/>
      <c r="PD111" s="678"/>
      <c r="PE111" s="663"/>
      <c r="PF111" s="650"/>
      <c r="PG111" s="651" t="str">
        <f>IF(PF111="Low",PC111*$D$42,IF(PF111="Med",PC111*$D$43,IF(PF111="High",PC111*$D$44,"rango cal. out")))</f>
        <v>rango cal. out</v>
      </c>
      <c r="PH111" s="619" t="e">
        <f>((273.2+OZ111)*$F$33/((273.2+$F$32)*PB111))</f>
        <v>#DIV/0!</v>
      </c>
      <c r="PI111" s="674" t="e">
        <f>PG111/PD111*PH111*EXP(-LN(2)/10990*($F$96-PE111))</f>
        <v>#VALUE!</v>
      </c>
      <c r="PJ111" s="599" t="e">
        <f>PI111-AVERAGE(PQ102:PQ103)</f>
        <v>#VALUE!</v>
      </c>
      <c r="PK111" s="599" t="e">
        <f>ABS(#REF!*PJ111*3600)</f>
        <v>#REF!</v>
      </c>
      <c r="PL111" s="657" t="e">
        <f>ABS($B$34*PJ111*3600)</f>
        <v>#VALUE!</v>
      </c>
      <c r="PM111" s="614" t="e">
        <f>PL111*$C$87</f>
        <v>#VALUE!</v>
      </c>
      <c r="PN111" s="672" t="e">
        <f>PL111*$F$78</f>
        <v>#VALUE!</v>
      </c>
      <c r="PO111" s="600" t="e">
        <f>PL111*$F$83</f>
        <v>#VALUE!</v>
      </c>
      <c r="PP111" s="672" t="e">
        <f>PL111*$F$80</f>
        <v>#VALUE!</v>
      </c>
      <c r="PQ111" s="676" t="e">
        <f>PL111*$F$79</f>
        <v>#VALUE!</v>
      </c>
      <c r="PR111" s="668"/>
      <c r="PS111" s="669"/>
      <c r="PT111" s="670"/>
      <c r="PU111" s="671"/>
      <c r="PV111" s="678"/>
      <c r="PW111" s="663"/>
      <c r="PX111" s="650"/>
      <c r="PY111" s="651" t="str">
        <f>IF(PX111="Low",PU111*$D$42,IF(PX111="Med",PU111*$D$43,IF(PX111="High",PU111*$D$44,"rango cal. out")))</f>
        <v>rango cal. out</v>
      </c>
      <c r="PZ111" s="619" t="e">
        <f>((273.2+PR111)*$F$33/((273.2+$F$32)*PT111))</f>
        <v>#DIV/0!</v>
      </c>
      <c r="QA111" s="674" t="e">
        <f>PY111/PV111*PZ111*EXP(-LN(2)/10990*($F$96-PW111))</f>
        <v>#VALUE!</v>
      </c>
      <c r="QB111" s="599" t="e">
        <f>QA111-AVERAGE(QI102:QI103)</f>
        <v>#VALUE!</v>
      </c>
      <c r="QC111" s="599" t="e">
        <f>ABS(#REF!*QB111*3600)</f>
        <v>#REF!</v>
      </c>
      <c r="QD111" s="657" t="e">
        <f>ABS($B$34*QB111*3600)</f>
        <v>#VALUE!</v>
      </c>
      <c r="QE111" s="614" t="e">
        <f>QD111*$C$87</f>
        <v>#VALUE!</v>
      </c>
      <c r="QF111" s="672" t="e">
        <f>QD111*$F$78</f>
        <v>#VALUE!</v>
      </c>
      <c r="QG111" s="600" t="e">
        <f>QD111*$F$83</f>
        <v>#VALUE!</v>
      </c>
      <c r="QH111" s="672" t="e">
        <f>QD111*$F$80</f>
        <v>#VALUE!</v>
      </c>
      <c r="QI111" s="676" t="e">
        <f>QD111*$F$79</f>
        <v>#VALUE!</v>
      </c>
      <c r="QJ111" s="668"/>
      <c r="QK111" s="669"/>
      <c r="QL111" s="670"/>
      <c r="QM111" s="671"/>
      <c r="QN111" s="678"/>
      <c r="QO111" s="663"/>
      <c r="QP111" s="650"/>
      <c r="QQ111" s="651" t="str">
        <f>IF(QP111="Low",QM111*$D$42,IF(QP111="Med",QM111*$D$43,IF(QP111="High",QM111*$D$44,"rango cal. out")))</f>
        <v>rango cal. out</v>
      </c>
      <c r="QR111" s="619" t="e">
        <f>((273.2+QJ111)*$F$33/((273.2+$F$32)*QL111))</f>
        <v>#DIV/0!</v>
      </c>
      <c r="QS111" s="674" t="e">
        <f>QQ111/QN111*QR111*EXP(-LN(2)/10990*($F$96-QO111))</f>
        <v>#VALUE!</v>
      </c>
      <c r="QT111" s="599" t="e">
        <f>QS111-AVERAGE(RA102:RA103)</f>
        <v>#VALUE!</v>
      </c>
      <c r="QU111" s="599" t="e">
        <f>ABS(#REF!*QT111*3600)</f>
        <v>#REF!</v>
      </c>
      <c r="QV111" s="657" t="e">
        <f>ABS($B$34*QT111*3600)</f>
        <v>#VALUE!</v>
      </c>
      <c r="QW111" s="614" t="e">
        <f>QV111*$C$87</f>
        <v>#VALUE!</v>
      </c>
      <c r="QX111" s="672" t="e">
        <f>QV111*$F$78</f>
        <v>#VALUE!</v>
      </c>
      <c r="QY111" s="600" t="e">
        <f>QV111*$F$83</f>
        <v>#VALUE!</v>
      </c>
      <c r="QZ111" s="672" t="e">
        <f>QV111*$F$80</f>
        <v>#VALUE!</v>
      </c>
      <c r="RA111" s="676" t="e">
        <f>QV111*$F$79</f>
        <v>#VALUE!</v>
      </c>
      <c r="RB111" s="668"/>
      <c r="RC111" s="669"/>
      <c r="RD111" s="670"/>
      <c r="RE111" s="671"/>
      <c r="RF111" s="673"/>
      <c r="RG111" s="663"/>
      <c r="RH111" s="650"/>
      <c r="RI111" s="651" t="str">
        <f>IF(RH111="Low",RE111*$D$42,IF(RH111="Med",RE111*$D$43,IF(RH111="High",RE111*$D$44,"rango cal. out")))</f>
        <v>rango cal. out</v>
      </c>
      <c r="RJ111" s="619" t="e">
        <f>((273.2+RB111)*$F$33/((273.2+$F$32)*RD111))</f>
        <v>#DIV/0!</v>
      </c>
      <c r="RK111" s="674" t="e">
        <f>RI111/RF111*RJ111*EXP(-LN(2)/10990*($F$96-RG111))</f>
        <v>#VALUE!</v>
      </c>
      <c r="RL111" s="599" t="e">
        <f>RK111-AVERAGE(RS102:RS103)</f>
        <v>#VALUE!</v>
      </c>
      <c r="RM111" s="599" t="e">
        <f>ABS(#REF!*RL111*3600)</f>
        <v>#REF!</v>
      </c>
      <c r="RN111" s="657" t="e">
        <f>ABS($B$34*RL111*3600)</f>
        <v>#VALUE!</v>
      </c>
      <c r="RO111" s="614" t="e">
        <f>RN111*$C$87</f>
        <v>#VALUE!</v>
      </c>
      <c r="RP111" s="672" t="e">
        <f>RN111*$F$78</f>
        <v>#VALUE!</v>
      </c>
      <c r="RQ111" s="600" t="e">
        <f>RN111*$F$83</f>
        <v>#VALUE!</v>
      </c>
      <c r="RR111" s="672" t="e">
        <f>RN111*$F$80</f>
        <v>#VALUE!</v>
      </c>
      <c r="RS111" s="676" t="e">
        <f>RN111*$F$79</f>
        <v>#VALUE!</v>
      </c>
      <c r="RT111" s="668"/>
      <c r="RU111" s="669"/>
      <c r="RV111" s="677"/>
      <c r="RW111" s="679"/>
      <c r="RX111" s="678"/>
      <c r="RY111" s="663"/>
      <c r="RZ111" s="650"/>
      <c r="SA111" s="651" t="str">
        <f>IF(RZ111="Low",RW111*$D$42,IF(RZ111="Med",RW111*$D$43,IF(RZ111="High",RW111*$D$44,"rango cal. out")))</f>
        <v>rango cal. out</v>
      </c>
      <c r="SB111" s="619" t="e">
        <f>((273.2+RT111)*$F$33/((273.2+$F$32)*RV111))</f>
        <v>#DIV/0!</v>
      </c>
      <c r="SC111" s="674" t="e">
        <f>SA111/RX111*SB111*EXP(-LN(2)/10990*($F$96-RY111))</f>
        <v>#VALUE!</v>
      </c>
      <c r="SD111" s="599" t="e">
        <f>SC111-AVERAGE(SK102:SK103)</f>
        <v>#VALUE!</v>
      </c>
      <c r="SE111" s="599" t="e">
        <f>ABS(#REF!*SD111*3600)</f>
        <v>#REF!</v>
      </c>
      <c r="SF111" s="657" t="e">
        <f>ABS($B$34*SD111*3600)</f>
        <v>#VALUE!</v>
      </c>
      <c r="SG111" s="614" t="e">
        <f>SF111*$C$87</f>
        <v>#VALUE!</v>
      </c>
      <c r="SH111" s="672" t="e">
        <f>SF111*$F$78</f>
        <v>#VALUE!</v>
      </c>
      <c r="SI111" s="600" t="e">
        <f>SF111*$F$83</f>
        <v>#VALUE!</v>
      </c>
      <c r="SJ111" s="672" t="e">
        <f>SF111*$F$80</f>
        <v>#VALUE!</v>
      </c>
      <c r="SK111" s="676" t="e">
        <f>SF111*$F$79</f>
        <v>#VALUE!</v>
      </c>
      <c r="SL111" s="668"/>
      <c r="SM111" s="669"/>
      <c r="SN111" s="670"/>
      <c r="SO111" s="671"/>
      <c r="SP111" s="678"/>
      <c r="SQ111" s="663"/>
      <c r="SR111" s="650"/>
      <c r="SS111" s="651" t="str">
        <f>IF(SR111="Low",SO111*$D$42,IF(SR111="Med",SO111*$D$43,IF(SR111="High",SO111*$D$44,"rango cal. out")))</f>
        <v>rango cal. out</v>
      </c>
      <c r="ST111" s="619" t="e">
        <f>((273.2+SL111)*$F$33/((273.2+$F$32)*SN111))</f>
        <v>#DIV/0!</v>
      </c>
      <c r="SU111" s="674" t="e">
        <f>SS111/SP111*ST111*EXP(-LN(2)/10990*($F$96-SQ111))</f>
        <v>#VALUE!</v>
      </c>
      <c r="SV111" s="599" t="e">
        <f>SU111-AVERAGE(TC102:TC103)</f>
        <v>#VALUE!</v>
      </c>
      <c r="SW111" s="599" t="e">
        <f>ABS(#REF!*SV111*3600)</f>
        <v>#REF!</v>
      </c>
      <c r="SX111" s="657" t="e">
        <f>ABS($B$34*SV111*3600)</f>
        <v>#VALUE!</v>
      </c>
      <c r="SY111" s="614" t="e">
        <f>SX111*$C$87</f>
        <v>#VALUE!</v>
      </c>
      <c r="SZ111" s="672" t="e">
        <f>SX111*$F$78</f>
        <v>#VALUE!</v>
      </c>
      <c r="TA111" s="600" t="e">
        <f>SX111*$F$83</f>
        <v>#VALUE!</v>
      </c>
      <c r="TB111" s="672" t="e">
        <f>SX111*$F$80</f>
        <v>#VALUE!</v>
      </c>
      <c r="TC111" s="676" t="e">
        <f>SX111*$F$79</f>
        <v>#VALUE!</v>
      </c>
      <c r="TD111" s="668"/>
      <c r="TE111" s="669"/>
      <c r="TF111" s="670"/>
      <c r="TG111" s="671"/>
      <c r="TH111" s="678"/>
      <c r="TI111" s="663"/>
      <c r="TJ111" s="650"/>
      <c r="TK111" s="651" t="str">
        <f>IF(TJ111="Low",TG111*$D$42,IF(TJ111="Med",TG111*$D$43,IF(TJ111="High",TG111*$D$44,"rango cal. out")))</f>
        <v>rango cal. out</v>
      </c>
      <c r="TL111" s="619" t="e">
        <f>((273.2+TD111)*$F$33/((273.2+$F$32)*TF111))</f>
        <v>#DIV/0!</v>
      </c>
      <c r="TM111" s="674" t="e">
        <f>TK111/TH111*TL111*EXP(-LN(2)/10990*($F$96-TI111))</f>
        <v>#VALUE!</v>
      </c>
      <c r="TN111" s="599" t="e">
        <f>TM111-AVERAGE(TU102:TU103)</f>
        <v>#VALUE!</v>
      </c>
      <c r="TO111" s="599" t="e">
        <f>ABS(#REF!*TN111*3600)</f>
        <v>#REF!</v>
      </c>
      <c r="TP111" s="657" t="e">
        <f>ABS($B$34*TN111*3600)</f>
        <v>#VALUE!</v>
      </c>
      <c r="TQ111" s="614" t="e">
        <f>TP111*$C$87</f>
        <v>#VALUE!</v>
      </c>
      <c r="TR111" s="672" t="e">
        <f>TP111*$F$78</f>
        <v>#VALUE!</v>
      </c>
      <c r="TS111" s="600" t="e">
        <f>TP111*$F$83</f>
        <v>#VALUE!</v>
      </c>
      <c r="TT111" s="672" t="e">
        <f>TP111*$F$80</f>
        <v>#VALUE!</v>
      </c>
      <c r="TU111" s="676" t="e">
        <f>TP111*$F$79</f>
        <v>#VALUE!</v>
      </c>
      <c r="TV111" s="668"/>
      <c r="TW111" s="669"/>
      <c r="TX111" s="670"/>
      <c r="TY111" s="671"/>
      <c r="TZ111" s="678"/>
      <c r="UA111" s="663"/>
      <c r="UB111" s="650"/>
      <c r="UC111" s="651" t="str">
        <f>IF(UB111="Low",TY111*$D$42,IF(UB111="Med",TY111*$D$43,IF(UB111="High",TY111*$D$44,"rango cal. out")))</f>
        <v>rango cal. out</v>
      </c>
      <c r="UD111" s="619" t="e">
        <f>((273.2+TV111)*$F$33/((273.2+$F$32)*TX111))</f>
        <v>#DIV/0!</v>
      </c>
      <c r="UE111" s="674" t="e">
        <f>UC111/TZ111*UD111*EXP(-LN(2)/10990*($F$96-UA111))</f>
        <v>#VALUE!</v>
      </c>
      <c r="UF111" s="599" t="e">
        <f>UE111-AVERAGE(UM102:UM103)</f>
        <v>#VALUE!</v>
      </c>
      <c r="UG111" s="599" t="e">
        <f>ABS(#REF!*UF111*3600)</f>
        <v>#REF!</v>
      </c>
      <c r="UH111" s="657" t="e">
        <f>ABS($B$34*UF111*3600)</f>
        <v>#VALUE!</v>
      </c>
      <c r="UI111" s="614" t="e">
        <f>UH111*$C$87</f>
        <v>#VALUE!</v>
      </c>
      <c r="UJ111" s="672" t="e">
        <f>UH111*$F$78</f>
        <v>#VALUE!</v>
      </c>
      <c r="UK111" s="600" t="e">
        <f>UH111*$F$83</f>
        <v>#VALUE!</v>
      </c>
      <c r="UL111" s="672" t="e">
        <f>UH111*$F$80</f>
        <v>#VALUE!</v>
      </c>
      <c r="UM111" s="676" t="e">
        <f>UH111*$F$79</f>
        <v>#VALUE!</v>
      </c>
      <c r="UN111" s="668"/>
      <c r="UO111" s="669"/>
      <c r="UP111" s="670"/>
      <c r="UQ111" s="671"/>
      <c r="UR111" s="678"/>
      <c r="US111" s="663"/>
      <c r="UT111" s="650"/>
      <c r="UU111" s="651" t="str">
        <f>IF(UT111="Low",UQ111*$D$42,IF(UT111="Med",UQ111*$D$43,IF(UT111="High",UQ111*$D$44,"rango cal. out")))</f>
        <v>rango cal. out</v>
      </c>
      <c r="UV111" s="619" t="e">
        <f>((273.2+UN111)*$F$33/((273.2+$F$32)*UP111))</f>
        <v>#DIV/0!</v>
      </c>
      <c r="UW111" s="674" t="e">
        <f>UU111/UR111*UV111*EXP(-LN(2)/10990*($F$96-US111))</f>
        <v>#VALUE!</v>
      </c>
      <c r="UX111" s="599" t="e">
        <f>UW111-AVERAGE(VE102:VE103)</f>
        <v>#VALUE!</v>
      </c>
      <c r="UY111" s="599" t="e">
        <f>ABS(#REF!*UX111*3600)</f>
        <v>#REF!</v>
      </c>
      <c r="UZ111" s="657" t="e">
        <f>ABS($B$34*UX111*3600)</f>
        <v>#VALUE!</v>
      </c>
      <c r="VA111" s="614" t="e">
        <f>UZ111*$C$87</f>
        <v>#VALUE!</v>
      </c>
      <c r="VB111" s="672" t="e">
        <f>UZ111*$F$78</f>
        <v>#VALUE!</v>
      </c>
      <c r="VC111" s="600" t="e">
        <f>UZ111*$F$83</f>
        <v>#VALUE!</v>
      </c>
      <c r="VD111" s="672" t="e">
        <f>UZ111*$F$80</f>
        <v>#VALUE!</v>
      </c>
      <c r="VE111" s="676" t="e">
        <f>UZ111*$F$79</f>
        <v>#VALUE!</v>
      </c>
    </row>
    <row r="112" spans="1:577" x14ac:dyDescent="0.25">
      <c r="A112" s="681" t="s">
        <v>61</v>
      </c>
      <c r="B112" s="688">
        <f>AVERAGE(B107:B111)</f>
        <v>20.38</v>
      </c>
      <c r="C112" s="689">
        <f>AVERAGE(C107:C111)</f>
        <v>53.8</v>
      </c>
      <c r="D112" s="689">
        <f>AVERAGE(D107:D111)</f>
        <v>1010</v>
      </c>
      <c r="E112" s="672">
        <f>AVERAGE(E107:E111)</f>
        <v>-2.9194E-8</v>
      </c>
      <c r="F112" s="689">
        <f>AVERAGE(F107:F111)</f>
        <v>60</v>
      </c>
      <c r="G112" s="2116" t="s">
        <v>93</v>
      </c>
      <c r="H112" s="90" t="s">
        <v>93</v>
      </c>
      <c r="I112" s="599">
        <f t="shared" ref="I112:S112" si="89">AVERAGE(I107:I111)</f>
        <v>-2.9223193999999995E-8</v>
      </c>
      <c r="J112" s="619">
        <f t="shared" si="89"/>
        <v>0.99771235812605641</v>
      </c>
      <c r="K112" s="675">
        <f t="shared" si="89"/>
        <v>-4.8121164712043027E-10</v>
      </c>
      <c r="L112" s="672">
        <f t="shared" si="89"/>
        <v>-4.8118783515305875E-10</v>
      </c>
      <c r="M112" s="687" t="e">
        <f t="shared" si="89"/>
        <v>#REF!</v>
      </c>
      <c r="N112" s="687">
        <f t="shared" si="89"/>
        <v>4.3653360405085495E-2</v>
      </c>
      <c r="O112" s="687">
        <f t="shared" si="89"/>
        <v>4.3653360405085504</v>
      </c>
      <c r="P112" s="2121">
        <f t="shared" si="89"/>
        <v>5.2384032486102593E-2</v>
      </c>
      <c r="Q112" s="687">
        <f t="shared" si="89"/>
        <v>5.282056609015344E-2</v>
      </c>
      <c r="R112" s="687">
        <f t="shared" si="89"/>
        <v>5.282056609015344E-2</v>
      </c>
      <c r="S112" s="690">
        <f t="shared" si="89"/>
        <v>5.4566700506356869E-2</v>
      </c>
      <c r="T112" s="691" t="e">
        <f t="shared" ref="T112:X112" si="90">AVERAGE(T107:T111)</f>
        <v>#DIV/0!</v>
      </c>
      <c r="U112" s="683" t="e">
        <f t="shared" si="90"/>
        <v>#DIV/0!</v>
      </c>
      <c r="V112" s="684" t="e">
        <f t="shared" si="90"/>
        <v>#DIV/0!</v>
      </c>
      <c r="W112" s="685" t="e">
        <f t="shared" si="90"/>
        <v>#DIV/0!</v>
      </c>
      <c r="X112" s="685" t="e">
        <f t="shared" si="90"/>
        <v>#DIV/0!</v>
      </c>
      <c r="Y112" s="685" t="s">
        <v>93</v>
      </c>
      <c r="Z112" s="90" t="s">
        <v>93</v>
      </c>
      <c r="AA112" s="599" t="e">
        <f t="shared" ref="AA112" si="91">AVERAGE(AA107:AA111)</f>
        <v>#DIV/0!</v>
      </c>
      <c r="AB112" s="619" t="e">
        <f>AVERAGE(AB107:AB111)</f>
        <v>#DIV/0!</v>
      </c>
      <c r="AC112" s="675" t="e">
        <f>AVERAGE(AC107:AC111)</f>
        <v>#VALUE!</v>
      </c>
      <c r="AD112" s="672" t="e">
        <f>AVERAGE(AD107:AD111)</f>
        <v>#VALUE!</v>
      </c>
      <c r="AE112" s="687" t="e">
        <f t="shared" ref="AE112:AO112" si="92">AVERAGE(AE107:AE111)</f>
        <v>#REF!</v>
      </c>
      <c r="AF112" s="686" t="e">
        <f t="shared" si="92"/>
        <v>#VALUE!</v>
      </c>
      <c r="AG112" s="687" t="e">
        <f t="shared" si="92"/>
        <v>#VALUE!</v>
      </c>
      <c r="AH112" s="687" t="e">
        <f t="shared" si="92"/>
        <v>#VALUE!</v>
      </c>
      <c r="AI112" s="687" t="e">
        <f t="shared" si="92"/>
        <v>#VALUE!</v>
      </c>
      <c r="AJ112" s="687" t="e">
        <f t="shared" si="92"/>
        <v>#VALUE!</v>
      </c>
      <c r="AK112" s="690" t="e">
        <f t="shared" si="92"/>
        <v>#VALUE!</v>
      </c>
      <c r="AL112" s="682" t="e">
        <f t="shared" si="92"/>
        <v>#DIV/0!</v>
      </c>
      <c r="AM112" s="683" t="e">
        <f t="shared" si="92"/>
        <v>#DIV/0!</v>
      </c>
      <c r="AN112" s="684" t="e">
        <f t="shared" si="92"/>
        <v>#DIV/0!</v>
      </c>
      <c r="AO112" s="685" t="e">
        <f t="shared" si="92"/>
        <v>#DIV/0!</v>
      </c>
      <c r="AP112" s="685" t="e">
        <f>AVERAGE(AP107:AP111)</f>
        <v>#DIV/0!</v>
      </c>
      <c r="AQ112" s="685" t="s">
        <v>93</v>
      </c>
      <c r="AR112" s="90" t="s">
        <v>93</v>
      </c>
      <c r="AS112" s="599" t="e">
        <f t="shared" ref="AS112" si="93">AVERAGE(AS107:AS111)</f>
        <v>#DIV/0!</v>
      </c>
      <c r="AT112" s="619" t="e">
        <f t="shared" ref="AT112:BC112" si="94">AVERAGE(AT107:AT111)</f>
        <v>#DIV/0!</v>
      </c>
      <c r="AU112" s="675" t="e">
        <f t="shared" si="94"/>
        <v>#VALUE!</v>
      </c>
      <c r="AV112" s="672" t="e">
        <f>AVERAGE(AV107:AV111)</f>
        <v>#VALUE!</v>
      </c>
      <c r="AW112" s="687" t="e">
        <f t="shared" si="94"/>
        <v>#REF!</v>
      </c>
      <c r="AX112" s="686" t="e">
        <f t="shared" si="94"/>
        <v>#VALUE!</v>
      </c>
      <c r="AY112" s="687" t="e">
        <f t="shared" si="94"/>
        <v>#VALUE!</v>
      </c>
      <c r="AZ112" s="687" t="e">
        <f t="shared" si="94"/>
        <v>#VALUE!</v>
      </c>
      <c r="BA112" s="687" t="e">
        <f t="shared" si="94"/>
        <v>#VALUE!</v>
      </c>
      <c r="BB112" s="687" t="e">
        <f t="shared" si="94"/>
        <v>#VALUE!</v>
      </c>
      <c r="BC112" s="690" t="e">
        <f t="shared" si="94"/>
        <v>#VALUE!</v>
      </c>
      <c r="BD112" s="682" t="e">
        <f>AVERAGE(BD107:BD111)</f>
        <v>#DIV/0!</v>
      </c>
      <c r="BE112" s="683" t="e">
        <f>AVERAGE(BE107:BE111)</f>
        <v>#DIV/0!</v>
      </c>
      <c r="BF112" s="684" t="e">
        <f>AVERAGE(BF107:BF111)</f>
        <v>#DIV/0!</v>
      </c>
      <c r="BG112" s="599" t="e">
        <f>AVERAGE(BG107:BG111)</f>
        <v>#DIV/0!</v>
      </c>
      <c r="BH112" s="685" t="e">
        <f>AVERAGE(BH107:BH111)</f>
        <v>#DIV/0!</v>
      </c>
      <c r="BI112" s="2116" t="s">
        <v>93</v>
      </c>
      <c r="BJ112" s="90" t="s">
        <v>93</v>
      </c>
      <c r="BK112" s="599" t="e">
        <f t="shared" ref="BK112:BZ112" si="95">AVERAGE(BK107:BK111)</f>
        <v>#DIV/0!</v>
      </c>
      <c r="BL112" s="619" t="e">
        <f t="shared" si="95"/>
        <v>#DIV/0!</v>
      </c>
      <c r="BM112" s="675" t="e">
        <f t="shared" si="95"/>
        <v>#VALUE!</v>
      </c>
      <c r="BN112" s="672" t="e">
        <f t="shared" si="95"/>
        <v>#VALUE!</v>
      </c>
      <c r="BO112" s="687" t="e">
        <f t="shared" si="95"/>
        <v>#REF!</v>
      </c>
      <c r="BP112" s="686" t="e">
        <f t="shared" si="95"/>
        <v>#VALUE!</v>
      </c>
      <c r="BQ112" s="687" t="e">
        <f t="shared" si="95"/>
        <v>#VALUE!</v>
      </c>
      <c r="BR112" s="687" t="e">
        <f t="shared" si="95"/>
        <v>#VALUE!</v>
      </c>
      <c r="BS112" s="687" t="e">
        <f t="shared" si="95"/>
        <v>#VALUE!</v>
      </c>
      <c r="BT112" s="687" t="e">
        <f t="shared" si="95"/>
        <v>#VALUE!</v>
      </c>
      <c r="BU112" s="690" t="e">
        <f t="shared" si="95"/>
        <v>#VALUE!</v>
      </c>
      <c r="BV112" s="682" t="e">
        <f t="shared" si="95"/>
        <v>#DIV/0!</v>
      </c>
      <c r="BW112" s="683" t="e">
        <f t="shared" si="95"/>
        <v>#DIV/0!</v>
      </c>
      <c r="BX112" s="684" t="e">
        <f t="shared" si="95"/>
        <v>#DIV/0!</v>
      </c>
      <c r="BY112" s="599" t="e">
        <f t="shared" si="95"/>
        <v>#DIV/0!</v>
      </c>
      <c r="BZ112" s="685" t="e">
        <f t="shared" si="95"/>
        <v>#DIV/0!</v>
      </c>
      <c r="CA112" s="2116" t="s">
        <v>93</v>
      </c>
      <c r="CB112" s="90" t="s">
        <v>93</v>
      </c>
      <c r="CC112" s="599" t="e">
        <f t="shared" ref="CC112:CR112" si="96">AVERAGE(CC107:CC111)</f>
        <v>#DIV/0!</v>
      </c>
      <c r="CD112" s="619" t="e">
        <f t="shared" si="96"/>
        <v>#DIV/0!</v>
      </c>
      <c r="CE112" s="675" t="e">
        <f t="shared" si="96"/>
        <v>#VALUE!</v>
      </c>
      <c r="CF112" s="672" t="e">
        <f t="shared" si="96"/>
        <v>#VALUE!</v>
      </c>
      <c r="CG112" s="687" t="e">
        <f t="shared" si="96"/>
        <v>#REF!</v>
      </c>
      <c r="CH112" s="686" t="e">
        <f t="shared" si="96"/>
        <v>#VALUE!</v>
      </c>
      <c r="CI112" s="687" t="e">
        <f t="shared" si="96"/>
        <v>#VALUE!</v>
      </c>
      <c r="CJ112" s="687" t="e">
        <f t="shared" si="96"/>
        <v>#VALUE!</v>
      </c>
      <c r="CK112" s="687" t="e">
        <f t="shared" si="96"/>
        <v>#VALUE!</v>
      </c>
      <c r="CL112" s="687" t="e">
        <f t="shared" si="96"/>
        <v>#VALUE!</v>
      </c>
      <c r="CM112" s="690" t="e">
        <f t="shared" si="96"/>
        <v>#VALUE!</v>
      </c>
      <c r="CN112" s="682" t="e">
        <f t="shared" si="96"/>
        <v>#DIV/0!</v>
      </c>
      <c r="CO112" s="683" t="e">
        <f t="shared" si="96"/>
        <v>#DIV/0!</v>
      </c>
      <c r="CP112" s="684" t="e">
        <f t="shared" si="96"/>
        <v>#DIV/0!</v>
      </c>
      <c r="CQ112" s="599" t="e">
        <f t="shared" si="96"/>
        <v>#DIV/0!</v>
      </c>
      <c r="CR112" s="685" t="e">
        <f t="shared" si="96"/>
        <v>#DIV/0!</v>
      </c>
      <c r="CS112" s="2116" t="s">
        <v>93</v>
      </c>
      <c r="CT112" s="90" t="s">
        <v>93</v>
      </c>
      <c r="CU112" s="599" t="e">
        <f>AVERAGE(CU107:CU111)</f>
        <v>#DIV/0!</v>
      </c>
      <c r="CV112" s="619" t="e">
        <f>AVERAGE(CV107:CV111)</f>
        <v>#DIV/0!</v>
      </c>
      <c r="CW112" s="675" t="e">
        <f>AVERAGE(CW107:CW111)</f>
        <v>#VALUE!</v>
      </c>
      <c r="CX112" s="672" t="e">
        <f>AVERAGE(CX107:CX111)</f>
        <v>#VALUE!</v>
      </c>
      <c r="CY112" s="687" t="e">
        <f>AVERAGE(CY107:CY111)</f>
        <v>#REF!</v>
      </c>
      <c r="CZ112" s="686" t="e">
        <f t="shared" ref="CZ112:DJ112" si="97">AVERAGE(CZ107:CZ111)</f>
        <v>#VALUE!</v>
      </c>
      <c r="DA112" s="687" t="e">
        <f t="shared" si="97"/>
        <v>#VALUE!</v>
      </c>
      <c r="DB112" s="687" t="e">
        <f t="shared" si="97"/>
        <v>#VALUE!</v>
      </c>
      <c r="DC112" s="687" t="e">
        <f t="shared" si="97"/>
        <v>#VALUE!</v>
      </c>
      <c r="DD112" s="687" t="e">
        <f t="shared" si="97"/>
        <v>#VALUE!</v>
      </c>
      <c r="DE112" s="690" t="e">
        <f t="shared" si="97"/>
        <v>#VALUE!</v>
      </c>
      <c r="DF112" s="682" t="e">
        <f t="shared" si="97"/>
        <v>#DIV/0!</v>
      </c>
      <c r="DG112" s="683" t="e">
        <f t="shared" si="97"/>
        <v>#DIV/0!</v>
      </c>
      <c r="DH112" s="684" t="e">
        <f t="shared" si="97"/>
        <v>#DIV/0!</v>
      </c>
      <c r="DI112" s="599" t="e">
        <f t="shared" si="97"/>
        <v>#DIV/0!</v>
      </c>
      <c r="DJ112" s="685" t="e">
        <f t="shared" si="97"/>
        <v>#DIV/0!</v>
      </c>
      <c r="DK112" s="685" t="s">
        <v>93</v>
      </c>
      <c r="DL112" s="90" t="s">
        <v>93</v>
      </c>
      <c r="DM112" s="599" t="e">
        <f t="shared" ref="DM112" si="98">AVERAGE(DM107:DM111)</f>
        <v>#DIV/0!</v>
      </c>
      <c r="DN112" s="619" t="e">
        <f t="shared" ref="DN112:EB112" si="99">AVERAGE(DN107:DN111)</f>
        <v>#DIV/0!</v>
      </c>
      <c r="DO112" s="675" t="e">
        <f t="shared" si="99"/>
        <v>#VALUE!</v>
      </c>
      <c r="DP112" s="672" t="e">
        <f>AVERAGE(DP107:DP111)</f>
        <v>#VALUE!</v>
      </c>
      <c r="DQ112" s="687" t="e">
        <f t="shared" si="99"/>
        <v>#REF!</v>
      </c>
      <c r="DR112" s="686" t="e">
        <f t="shared" si="99"/>
        <v>#VALUE!</v>
      </c>
      <c r="DS112" s="687" t="e">
        <f t="shared" si="99"/>
        <v>#VALUE!</v>
      </c>
      <c r="DT112" s="687" t="e">
        <f t="shared" si="99"/>
        <v>#VALUE!</v>
      </c>
      <c r="DU112" s="687" t="e">
        <f t="shared" si="99"/>
        <v>#VALUE!</v>
      </c>
      <c r="DV112" s="687" t="e">
        <f t="shared" si="99"/>
        <v>#VALUE!</v>
      </c>
      <c r="DW112" s="690" t="e">
        <f t="shared" si="99"/>
        <v>#VALUE!</v>
      </c>
      <c r="DX112" s="682" t="e">
        <f t="shared" si="99"/>
        <v>#DIV/0!</v>
      </c>
      <c r="DY112" s="683" t="e">
        <f t="shared" si="99"/>
        <v>#DIV/0!</v>
      </c>
      <c r="DZ112" s="684" t="e">
        <f t="shared" si="99"/>
        <v>#DIV/0!</v>
      </c>
      <c r="EA112" s="653" t="e">
        <f t="shared" si="99"/>
        <v>#DIV/0!</v>
      </c>
      <c r="EB112" s="685" t="e">
        <f t="shared" si="99"/>
        <v>#DIV/0!</v>
      </c>
      <c r="EC112" s="685" t="s">
        <v>93</v>
      </c>
      <c r="ED112" s="90" t="s">
        <v>93</v>
      </c>
      <c r="EE112" s="599" t="e">
        <f t="shared" ref="EE112" si="100">AVERAGE(EE107:EE111)</f>
        <v>#DIV/0!</v>
      </c>
      <c r="EF112" s="619" t="e">
        <f t="shared" ref="EF112:ET112" si="101">AVERAGE(EF107:EF111)</f>
        <v>#DIV/0!</v>
      </c>
      <c r="EG112" s="675" t="e">
        <f t="shared" si="101"/>
        <v>#VALUE!</v>
      </c>
      <c r="EH112" s="672" t="e">
        <f>AVERAGE(EH107:EH111)</f>
        <v>#VALUE!</v>
      </c>
      <c r="EI112" s="687" t="e">
        <f t="shared" si="101"/>
        <v>#REF!</v>
      </c>
      <c r="EJ112" s="686" t="e">
        <f t="shared" si="101"/>
        <v>#VALUE!</v>
      </c>
      <c r="EK112" s="687" t="e">
        <f t="shared" si="101"/>
        <v>#VALUE!</v>
      </c>
      <c r="EL112" s="687" t="e">
        <f t="shared" si="101"/>
        <v>#VALUE!</v>
      </c>
      <c r="EM112" s="687" t="e">
        <f t="shared" si="101"/>
        <v>#VALUE!</v>
      </c>
      <c r="EN112" s="687" t="e">
        <f t="shared" si="101"/>
        <v>#VALUE!</v>
      </c>
      <c r="EO112" s="690" t="e">
        <f t="shared" si="101"/>
        <v>#VALUE!</v>
      </c>
      <c r="EP112" s="682" t="e">
        <f t="shared" si="101"/>
        <v>#DIV/0!</v>
      </c>
      <c r="EQ112" s="683" t="e">
        <f t="shared" si="101"/>
        <v>#DIV/0!</v>
      </c>
      <c r="ER112" s="684" t="e">
        <f t="shared" si="101"/>
        <v>#DIV/0!</v>
      </c>
      <c r="ES112" s="599" t="e">
        <f t="shared" si="101"/>
        <v>#DIV/0!</v>
      </c>
      <c r="ET112" s="685" t="e">
        <f t="shared" si="101"/>
        <v>#DIV/0!</v>
      </c>
      <c r="EU112" s="685" t="s">
        <v>93</v>
      </c>
      <c r="EV112" s="90" t="s">
        <v>93</v>
      </c>
      <c r="EW112" s="599" t="e">
        <f t="shared" ref="EW112" si="102">AVERAGE(EW107:EW111)</f>
        <v>#DIV/0!</v>
      </c>
      <c r="EX112" s="619" t="e">
        <f t="shared" ref="EX112:FL112" si="103">AVERAGE(EX107:EX111)</f>
        <v>#DIV/0!</v>
      </c>
      <c r="EY112" s="675" t="e">
        <f t="shared" si="103"/>
        <v>#VALUE!</v>
      </c>
      <c r="EZ112" s="672" t="e">
        <f>AVERAGE(EZ107:EZ111)</f>
        <v>#VALUE!</v>
      </c>
      <c r="FA112" s="687" t="e">
        <f t="shared" si="103"/>
        <v>#REF!</v>
      </c>
      <c r="FB112" s="686" t="e">
        <f t="shared" si="103"/>
        <v>#VALUE!</v>
      </c>
      <c r="FC112" s="687" t="e">
        <f t="shared" si="103"/>
        <v>#VALUE!</v>
      </c>
      <c r="FD112" s="687" t="e">
        <f t="shared" si="103"/>
        <v>#VALUE!</v>
      </c>
      <c r="FE112" s="687" t="e">
        <f t="shared" si="103"/>
        <v>#VALUE!</v>
      </c>
      <c r="FF112" s="687" t="e">
        <f t="shared" si="103"/>
        <v>#VALUE!</v>
      </c>
      <c r="FG112" s="690" t="e">
        <f t="shared" si="103"/>
        <v>#VALUE!</v>
      </c>
      <c r="FH112" s="682" t="e">
        <f t="shared" si="103"/>
        <v>#DIV/0!</v>
      </c>
      <c r="FI112" s="683" t="e">
        <f t="shared" si="103"/>
        <v>#DIV/0!</v>
      </c>
      <c r="FJ112" s="684" t="e">
        <f t="shared" si="103"/>
        <v>#DIV/0!</v>
      </c>
      <c r="FK112" s="599" t="e">
        <f t="shared" si="103"/>
        <v>#DIV/0!</v>
      </c>
      <c r="FL112" s="685" t="e">
        <f t="shared" si="103"/>
        <v>#DIV/0!</v>
      </c>
      <c r="FM112" s="685" t="s">
        <v>93</v>
      </c>
      <c r="FN112" s="90" t="s">
        <v>93</v>
      </c>
      <c r="FO112" s="599" t="e">
        <f t="shared" ref="FO112" si="104">AVERAGE(FO107:FO111)</f>
        <v>#DIV/0!</v>
      </c>
      <c r="FP112" s="619" t="e">
        <f t="shared" ref="FP112:GD112" si="105">AVERAGE(FP107:FP111)</f>
        <v>#DIV/0!</v>
      </c>
      <c r="FQ112" s="675" t="e">
        <f t="shared" si="105"/>
        <v>#VALUE!</v>
      </c>
      <c r="FR112" s="672" t="e">
        <f>AVERAGE(FR107:FR111)</f>
        <v>#VALUE!</v>
      </c>
      <c r="FS112" s="687" t="e">
        <f t="shared" si="105"/>
        <v>#REF!</v>
      </c>
      <c r="FT112" s="686" t="e">
        <f t="shared" si="105"/>
        <v>#VALUE!</v>
      </c>
      <c r="FU112" s="687" t="e">
        <f t="shared" si="105"/>
        <v>#VALUE!</v>
      </c>
      <c r="FV112" s="687" t="e">
        <f t="shared" si="105"/>
        <v>#VALUE!</v>
      </c>
      <c r="FW112" s="687" t="e">
        <f t="shared" si="105"/>
        <v>#VALUE!</v>
      </c>
      <c r="FX112" s="687" t="e">
        <f t="shared" si="105"/>
        <v>#VALUE!</v>
      </c>
      <c r="FY112" s="690" t="e">
        <f t="shared" si="105"/>
        <v>#VALUE!</v>
      </c>
      <c r="FZ112" s="682" t="e">
        <f t="shared" si="105"/>
        <v>#DIV/0!</v>
      </c>
      <c r="GA112" s="683" t="e">
        <f t="shared" si="105"/>
        <v>#DIV/0!</v>
      </c>
      <c r="GB112" s="684" t="e">
        <f t="shared" si="105"/>
        <v>#DIV/0!</v>
      </c>
      <c r="GC112" s="599" t="e">
        <f t="shared" si="105"/>
        <v>#DIV/0!</v>
      </c>
      <c r="GD112" s="685" t="e">
        <f t="shared" si="105"/>
        <v>#DIV/0!</v>
      </c>
      <c r="GE112" s="685" t="s">
        <v>93</v>
      </c>
      <c r="GF112" s="90" t="s">
        <v>93</v>
      </c>
      <c r="GG112" s="599" t="e">
        <f t="shared" ref="GG112" si="106">AVERAGE(GG107:GG111)</f>
        <v>#DIV/0!</v>
      </c>
      <c r="GH112" s="619" t="e">
        <f t="shared" ref="GH112:GV112" si="107">AVERAGE(GH107:GH111)</f>
        <v>#DIV/0!</v>
      </c>
      <c r="GI112" s="675" t="e">
        <f t="shared" si="107"/>
        <v>#VALUE!</v>
      </c>
      <c r="GJ112" s="672" t="e">
        <f>AVERAGE(GJ107:GJ111)</f>
        <v>#VALUE!</v>
      </c>
      <c r="GK112" s="687" t="e">
        <f t="shared" si="107"/>
        <v>#REF!</v>
      </c>
      <c r="GL112" s="686" t="e">
        <f t="shared" si="107"/>
        <v>#VALUE!</v>
      </c>
      <c r="GM112" s="687" t="e">
        <f t="shared" si="107"/>
        <v>#VALUE!</v>
      </c>
      <c r="GN112" s="687" t="e">
        <f t="shared" si="107"/>
        <v>#VALUE!</v>
      </c>
      <c r="GO112" s="687" t="e">
        <f t="shared" si="107"/>
        <v>#VALUE!</v>
      </c>
      <c r="GP112" s="687" t="e">
        <f t="shared" si="107"/>
        <v>#VALUE!</v>
      </c>
      <c r="GQ112" s="690" t="e">
        <f t="shared" si="107"/>
        <v>#VALUE!</v>
      </c>
      <c r="GR112" s="682" t="e">
        <f t="shared" si="107"/>
        <v>#DIV/0!</v>
      </c>
      <c r="GS112" s="683" t="e">
        <f t="shared" si="107"/>
        <v>#DIV/0!</v>
      </c>
      <c r="GT112" s="684" t="e">
        <f t="shared" si="107"/>
        <v>#DIV/0!</v>
      </c>
      <c r="GU112" s="653" t="e">
        <f t="shared" si="107"/>
        <v>#DIV/0!</v>
      </c>
      <c r="GV112" s="685" t="e">
        <f t="shared" si="107"/>
        <v>#DIV/0!</v>
      </c>
      <c r="GW112" s="685" t="s">
        <v>93</v>
      </c>
      <c r="GX112" s="90" t="s">
        <v>93</v>
      </c>
      <c r="GY112" s="599" t="e">
        <f t="shared" ref="GY112" si="108">AVERAGE(GY107:GY111)</f>
        <v>#DIV/0!</v>
      </c>
      <c r="GZ112" s="619" t="e">
        <f t="shared" ref="GZ112:HN112" si="109">AVERAGE(GZ107:GZ111)</f>
        <v>#DIV/0!</v>
      </c>
      <c r="HA112" s="675" t="e">
        <f t="shared" si="109"/>
        <v>#VALUE!</v>
      </c>
      <c r="HB112" s="672" t="e">
        <f>AVERAGE(HB107:HB111)</f>
        <v>#VALUE!</v>
      </c>
      <c r="HC112" s="687" t="e">
        <f t="shared" si="109"/>
        <v>#REF!</v>
      </c>
      <c r="HD112" s="686" t="e">
        <f t="shared" si="109"/>
        <v>#VALUE!</v>
      </c>
      <c r="HE112" s="687" t="e">
        <f t="shared" si="109"/>
        <v>#VALUE!</v>
      </c>
      <c r="HF112" s="687" t="e">
        <f t="shared" si="109"/>
        <v>#VALUE!</v>
      </c>
      <c r="HG112" s="687" t="e">
        <f t="shared" si="109"/>
        <v>#VALUE!</v>
      </c>
      <c r="HH112" s="687" t="e">
        <f t="shared" si="109"/>
        <v>#VALUE!</v>
      </c>
      <c r="HI112" s="690" t="e">
        <f t="shared" si="109"/>
        <v>#VALUE!</v>
      </c>
      <c r="HJ112" s="682" t="e">
        <f t="shared" si="109"/>
        <v>#DIV/0!</v>
      </c>
      <c r="HK112" s="683" t="e">
        <f t="shared" si="109"/>
        <v>#DIV/0!</v>
      </c>
      <c r="HL112" s="684" t="e">
        <f t="shared" si="109"/>
        <v>#DIV/0!</v>
      </c>
      <c r="HM112" s="599" t="e">
        <f t="shared" si="109"/>
        <v>#DIV/0!</v>
      </c>
      <c r="HN112" s="685" t="e">
        <f t="shared" si="109"/>
        <v>#DIV/0!</v>
      </c>
      <c r="HO112" s="685" t="s">
        <v>93</v>
      </c>
      <c r="HP112" s="90" t="s">
        <v>93</v>
      </c>
      <c r="HQ112" s="599" t="e">
        <f t="shared" ref="HQ112" si="110">AVERAGE(HQ107:HQ111)</f>
        <v>#DIV/0!</v>
      </c>
      <c r="HR112" s="619" t="e">
        <f t="shared" ref="HR112:IF112" si="111">AVERAGE(HR107:HR111)</f>
        <v>#DIV/0!</v>
      </c>
      <c r="HS112" s="675" t="e">
        <f t="shared" si="111"/>
        <v>#VALUE!</v>
      </c>
      <c r="HT112" s="672" t="e">
        <f>AVERAGE(HT107:HT111)</f>
        <v>#VALUE!</v>
      </c>
      <c r="HU112" s="687" t="e">
        <f t="shared" si="111"/>
        <v>#REF!</v>
      </c>
      <c r="HV112" s="686" t="e">
        <f t="shared" si="111"/>
        <v>#VALUE!</v>
      </c>
      <c r="HW112" s="687" t="e">
        <f t="shared" si="111"/>
        <v>#VALUE!</v>
      </c>
      <c r="HX112" s="687" t="e">
        <f t="shared" si="111"/>
        <v>#VALUE!</v>
      </c>
      <c r="HY112" s="687" t="e">
        <f t="shared" si="111"/>
        <v>#VALUE!</v>
      </c>
      <c r="HZ112" s="687" t="e">
        <f t="shared" si="111"/>
        <v>#VALUE!</v>
      </c>
      <c r="IA112" s="690" t="e">
        <f t="shared" si="111"/>
        <v>#VALUE!</v>
      </c>
      <c r="IB112" s="682" t="e">
        <f t="shared" si="111"/>
        <v>#DIV/0!</v>
      </c>
      <c r="IC112" s="683" t="e">
        <f t="shared" si="111"/>
        <v>#DIV/0!</v>
      </c>
      <c r="ID112" s="684" t="e">
        <f t="shared" si="111"/>
        <v>#DIV/0!</v>
      </c>
      <c r="IE112" s="599" t="e">
        <f t="shared" si="111"/>
        <v>#DIV/0!</v>
      </c>
      <c r="IF112" s="685" t="e">
        <f t="shared" si="111"/>
        <v>#DIV/0!</v>
      </c>
      <c r="IG112" s="685" t="s">
        <v>93</v>
      </c>
      <c r="IH112" s="90" t="s">
        <v>93</v>
      </c>
      <c r="II112" s="599" t="e">
        <f t="shared" ref="II112" si="112">AVERAGE(II107:II111)</f>
        <v>#DIV/0!</v>
      </c>
      <c r="IJ112" s="619" t="e">
        <f t="shared" ref="IJ112:IX112" si="113">AVERAGE(IJ107:IJ111)</f>
        <v>#DIV/0!</v>
      </c>
      <c r="IK112" s="675" t="e">
        <f t="shared" si="113"/>
        <v>#VALUE!</v>
      </c>
      <c r="IL112" s="672" t="e">
        <f>AVERAGE(IL107:IL111)</f>
        <v>#VALUE!</v>
      </c>
      <c r="IM112" s="687" t="e">
        <f t="shared" si="113"/>
        <v>#REF!</v>
      </c>
      <c r="IN112" s="686" t="e">
        <f t="shared" si="113"/>
        <v>#VALUE!</v>
      </c>
      <c r="IO112" s="687" t="e">
        <f t="shared" si="113"/>
        <v>#VALUE!</v>
      </c>
      <c r="IP112" s="687" t="e">
        <f t="shared" si="113"/>
        <v>#VALUE!</v>
      </c>
      <c r="IQ112" s="687" t="e">
        <f t="shared" si="113"/>
        <v>#VALUE!</v>
      </c>
      <c r="IR112" s="687" t="e">
        <f t="shared" si="113"/>
        <v>#VALUE!</v>
      </c>
      <c r="IS112" s="690" t="e">
        <f t="shared" si="113"/>
        <v>#VALUE!</v>
      </c>
      <c r="IT112" s="682" t="e">
        <f t="shared" si="113"/>
        <v>#DIV/0!</v>
      </c>
      <c r="IU112" s="683" t="e">
        <f t="shared" si="113"/>
        <v>#DIV/0!</v>
      </c>
      <c r="IV112" s="684" t="e">
        <f t="shared" si="113"/>
        <v>#DIV/0!</v>
      </c>
      <c r="IW112" s="599" t="e">
        <f t="shared" si="113"/>
        <v>#DIV/0!</v>
      </c>
      <c r="IX112" s="685" t="e">
        <f t="shared" si="113"/>
        <v>#DIV/0!</v>
      </c>
      <c r="IY112" s="685" t="s">
        <v>93</v>
      </c>
      <c r="IZ112" s="90" t="s">
        <v>93</v>
      </c>
      <c r="JA112" s="599" t="e">
        <f t="shared" ref="JA112" si="114">AVERAGE(JA107:JA111)</f>
        <v>#DIV/0!</v>
      </c>
      <c r="JB112" s="619" t="e">
        <f t="shared" ref="JB112:JP112" si="115">AVERAGE(JB107:JB111)</f>
        <v>#DIV/0!</v>
      </c>
      <c r="JC112" s="675" t="e">
        <f t="shared" si="115"/>
        <v>#VALUE!</v>
      </c>
      <c r="JD112" s="672" t="e">
        <f>AVERAGE(JD107:JD111)</f>
        <v>#VALUE!</v>
      </c>
      <c r="JE112" s="687" t="e">
        <f t="shared" si="115"/>
        <v>#REF!</v>
      </c>
      <c r="JF112" s="686" t="e">
        <f t="shared" si="115"/>
        <v>#VALUE!</v>
      </c>
      <c r="JG112" s="687" t="e">
        <f t="shared" si="115"/>
        <v>#VALUE!</v>
      </c>
      <c r="JH112" s="687" t="e">
        <f t="shared" si="115"/>
        <v>#VALUE!</v>
      </c>
      <c r="JI112" s="687" t="e">
        <f t="shared" si="115"/>
        <v>#VALUE!</v>
      </c>
      <c r="JJ112" s="687" t="e">
        <f t="shared" si="115"/>
        <v>#VALUE!</v>
      </c>
      <c r="JK112" s="690" t="e">
        <f t="shared" si="115"/>
        <v>#VALUE!</v>
      </c>
      <c r="JL112" s="682" t="e">
        <f t="shared" si="115"/>
        <v>#DIV/0!</v>
      </c>
      <c r="JM112" s="683" t="e">
        <f t="shared" si="115"/>
        <v>#DIV/0!</v>
      </c>
      <c r="JN112" s="684" t="e">
        <f t="shared" si="115"/>
        <v>#DIV/0!</v>
      </c>
      <c r="JO112" s="599" t="e">
        <f t="shared" si="115"/>
        <v>#DIV/0!</v>
      </c>
      <c r="JP112" s="685" t="e">
        <f t="shared" si="115"/>
        <v>#DIV/0!</v>
      </c>
      <c r="JQ112" s="685" t="s">
        <v>93</v>
      </c>
      <c r="JR112" s="90" t="s">
        <v>93</v>
      </c>
      <c r="JS112" s="599" t="e">
        <f t="shared" ref="JS112" si="116">AVERAGE(JS107:JS111)</f>
        <v>#DIV/0!</v>
      </c>
      <c r="JT112" s="619" t="e">
        <f t="shared" ref="JT112:KH112" si="117">AVERAGE(JT107:JT111)</f>
        <v>#DIV/0!</v>
      </c>
      <c r="JU112" s="675" t="e">
        <f t="shared" si="117"/>
        <v>#VALUE!</v>
      </c>
      <c r="JV112" s="672" t="e">
        <f>AVERAGE(JV107:JV111)</f>
        <v>#VALUE!</v>
      </c>
      <c r="JW112" s="687" t="e">
        <f t="shared" si="117"/>
        <v>#REF!</v>
      </c>
      <c r="JX112" s="686" t="e">
        <f t="shared" si="117"/>
        <v>#VALUE!</v>
      </c>
      <c r="JY112" s="687" t="e">
        <f t="shared" si="117"/>
        <v>#VALUE!</v>
      </c>
      <c r="JZ112" s="687" t="e">
        <f t="shared" si="117"/>
        <v>#VALUE!</v>
      </c>
      <c r="KA112" s="687" t="e">
        <f t="shared" si="117"/>
        <v>#VALUE!</v>
      </c>
      <c r="KB112" s="687" t="e">
        <f t="shared" si="117"/>
        <v>#VALUE!</v>
      </c>
      <c r="KC112" s="690" t="e">
        <f t="shared" si="117"/>
        <v>#VALUE!</v>
      </c>
      <c r="KD112" s="682" t="e">
        <f t="shared" si="117"/>
        <v>#DIV/0!</v>
      </c>
      <c r="KE112" s="683" t="e">
        <f t="shared" si="117"/>
        <v>#DIV/0!</v>
      </c>
      <c r="KF112" s="684" t="e">
        <f t="shared" si="117"/>
        <v>#DIV/0!</v>
      </c>
      <c r="KG112" s="599" t="e">
        <f t="shared" si="117"/>
        <v>#DIV/0!</v>
      </c>
      <c r="KH112" s="685" t="e">
        <f t="shared" si="117"/>
        <v>#DIV/0!</v>
      </c>
      <c r="KI112" s="685" t="s">
        <v>93</v>
      </c>
      <c r="KJ112" s="90" t="s">
        <v>93</v>
      </c>
      <c r="KK112" s="599" t="e">
        <f t="shared" ref="KK112" si="118">AVERAGE(KK107:KK111)</f>
        <v>#DIV/0!</v>
      </c>
      <c r="KL112" s="619" t="e">
        <f t="shared" ref="KL112:KZ112" si="119">AVERAGE(KL107:KL111)</f>
        <v>#DIV/0!</v>
      </c>
      <c r="KM112" s="675" t="e">
        <f t="shared" si="119"/>
        <v>#VALUE!</v>
      </c>
      <c r="KN112" s="672" t="e">
        <f>AVERAGE(KN107:KN111)</f>
        <v>#VALUE!</v>
      </c>
      <c r="KO112" s="687" t="e">
        <f t="shared" si="119"/>
        <v>#REF!</v>
      </c>
      <c r="KP112" s="686" t="e">
        <f t="shared" si="119"/>
        <v>#VALUE!</v>
      </c>
      <c r="KQ112" s="687" t="e">
        <f t="shared" si="119"/>
        <v>#VALUE!</v>
      </c>
      <c r="KR112" s="687" t="e">
        <f t="shared" si="119"/>
        <v>#VALUE!</v>
      </c>
      <c r="KS112" s="687" t="e">
        <f t="shared" si="119"/>
        <v>#VALUE!</v>
      </c>
      <c r="KT112" s="687" t="e">
        <f t="shared" si="119"/>
        <v>#VALUE!</v>
      </c>
      <c r="KU112" s="690" t="e">
        <f t="shared" si="119"/>
        <v>#VALUE!</v>
      </c>
      <c r="KV112" s="682" t="e">
        <f t="shared" si="119"/>
        <v>#DIV/0!</v>
      </c>
      <c r="KW112" s="683" t="e">
        <f t="shared" si="119"/>
        <v>#DIV/0!</v>
      </c>
      <c r="KX112" s="684" t="e">
        <f t="shared" si="119"/>
        <v>#DIV/0!</v>
      </c>
      <c r="KY112" s="599" t="e">
        <f t="shared" si="119"/>
        <v>#DIV/0!</v>
      </c>
      <c r="KZ112" s="685" t="e">
        <f t="shared" si="119"/>
        <v>#DIV/0!</v>
      </c>
      <c r="LA112" s="685" t="s">
        <v>93</v>
      </c>
      <c r="LB112" s="90" t="s">
        <v>93</v>
      </c>
      <c r="LC112" s="599" t="e">
        <f t="shared" ref="LC112" si="120">AVERAGE(LC107:LC111)</f>
        <v>#DIV/0!</v>
      </c>
      <c r="LD112" s="619" t="e">
        <f t="shared" ref="LD112:LR112" si="121">AVERAGE(LD107:LD111)</f>
        <v>#DIV/0!</v>
      </c>
      <c r="LE112" s="675" t="e">
        <f t="shared" si="121"/>
        <v>#VALUE!</v>
      </c>
      <c r="LF112" s="672" t="e">
        <f>AVERAGE(LF107:LF111)</f>
        <v>#VALUE!</v>
      </c>
      <c r="LG112" s="687" t="e">
        <f t="shared" si="121"/>
        <v>#REF!</v>
      </c>
      <c r="LH112" s="686" t="e">
        <f t="shared" si="121"/>
        <v>#VALUE!</v>
      </c>
      <c r="LI112" s="687" t="e">
        <f t="shared" si="121"/>
        <v>#VALUE!</v>
      </c>
      <c r="LJ112" s="687" t="e">
        <f t="shared" si="121"/>
        <v>#VALUE!</v>
      </c>
      <c r="LK112" s="687" t="e">
        <f t="shared" si="121"/>
        <v>#VALUE!</v>
      </c>
      <c r="LL112" s="687" t="e">
        <f t="shared" si="121"/>
        <v>#VALUE!</v>
      </c>
      <c r="LM112" s="690" t="e">
        <f t="shared" si="121"/>
        <v>#VALUE!</v>
      </c>
      <c r="LN112" s="682" t="e">
        <f t="shared" si="121"/>
        <v>#DIV/0!</v>
      </c>
      <c r="LO112" s="683" t="e">
        <f t="shared" si="121"/>
        <v>#DIV/0!</v>
      </c>
      <c r="LP112" s="684" t="e">
        <f t="shared" si="121"/>
        <v>#DIV/0!</v>
      </c>
      <c r="LQ112" s="599" t="e">
        <f t="shared" si="121"/>
        <v>#DIV/0!</v>
      </c>
      <c r="LR112" s="685" t="e">
        <f t="shared" si="121"/>
        <v>#DIV/0!</v>
      </c>
      <c r="LS112" s="685" t="s">
        <v>93</v>
      </c>
      <c r="LT112" s="90" t="s">
        <v>93</v>
      </c>
      <c r="LU112" s="599" t="e">
        <f t="shared" ref="LU112" si="122">AVERAGE(LU107:LU111)</f>
        <v>#DIV/0!</v>
      </c>
      <c r="LV112" s="619" t="e">
        <f t="shared" ref="LV112:MJ112" si="123">AVERAGE(LV107:LV111)</f>
        <v>#DIV/0!</v>
      </c>
      <c r="LW112" s="675" t="e">
        <f t="shared" si="123"/>
        <v>#VALUE!</v>
      </c>
      <c r="LX112" s="672" t="e">
        <f>AVERAGE(LX107:LX111)</f>
        <v>#VALUE!</v>
      </c>
      <c r="LY112" s="687" t="e">
        <f t="shared" si="123"/>
        <v>#REF!</v>
      </c>
      <c r="LZ112" s="686" t="e">
        <f t="shared" si="123"/>
        <v>#VALUE!</v>
      </c>
      <c r="MA112" s="687" t="e">
        <f t="shared" si="123"/>
        <v>#VALUE!</v>
      </c>
      <c r="MB112" s="687" t="e">
        <f t="shared" si="123"/>
        <v>#VALUE!</v>
      </c>
      <c r="MC112" s="687" t="e">
        <f t="shared" si="123"/>
        <v>#VALUE!</v>
      </c>
      <c r="MD112" s="687" t="e">
        <f t="shared" si="123"/>
        <v>#VALUE!</v>
      </c>
      <c r="ME112" s="690" t="e">
        <f t="shared" si="123"/>
        <v>#VALUE!</v>
      </c>
      <c r="MF112" s="682" t="e">
        <f t="shared" si="123"/>
        <v>#DIV/0!</v>
      </c>
      <c r="MG112" s="683" t="e">
        <f t="shared" si="123"/>
        <v>#DIV/0!</v>
      </c>
      <c r="MH112" s="684" t="e">
        <f t="shared" si="123"/>
        <v>#DIV/0!</v>
      </c>
      <c r="MI112" s="599" t="e">
        <f t="shared" si="123"/>
        <v>#DIV/0!</v>
      </c>
      <c r="MJ112" s="685" t="e">
        <f t="shared" si="123"/>
        <v>#DIV/0!</v>
      </c>
      <c r="MK112" s="685" t="s">
        <v>93</v>
      </c>
      <c r="ML112" s="90" t="s">
        <v>93</v>
      </c>
      <c r="MM112" s="599" t="e">
        <f t="shared" ref="MM112" si="124">AVERAGE(MM107:MM111)</f>
        <v>#DIV/0!</v>
      </c>
      <c r="MN112" s="619" t="e">
        <f t="shared" ref="MN112:NB112" si="125">AVERAGE(MN107:MN111)</f>
        <v>#DIV/0!</v>
      </c>
      <c r="MO112" s="675" t="e">
        <f t="shared" si="125"/>
        <v>#VALUE!</v>
      </c>
      <c r="MP112" s="672" t="e">
        <f>AVERAGE(MP107:MP111)</f>
        <v>#VALUE!</v>
      </c>
      <c r="MQ112" s="687" t="e">
        <f t="shared" si="125"/>
        <v>#REF!</v>
      </c>
      <c r="MR112" s="686" t="e">
        <f t="shared" si="125"/>
        <v>#VALUE!</v>
      </c>
      <c r="MS112" s="687" t="e">
        <f t="shared" si="125"/>
        <v>#VALUE!</v>
      </c>
      <c r="MT112" s="687" t="e">
        <f t="shared" si="125"/>
        <v>#VALUE!</v>
      </c>
      <c r="MU112" s="687" t="e">
        <f t="shared" si="125"/>
        <v>#VALUE!</v>
      </c>
      <c r="MV112" s="687" t="e">
        <f t="shared" si="125"/>
        <v>#VALUE!</v>
      </c>
      <c r="MW112" s="690" t="e">
        <f t="shared" si="125"/>
        <v>#VALUE!</v>
      </c>
      <c r="MX112" s="692" t="e">
        <f t="shared" si="125"/>
        <v>#DIV/0!</v>
      </c>
      <c r="MY112" s="683" t="e">
        <f t="shared" si="125"/>
        <v>#DIV/0!</v>
      </c>
      <c r="MZ112" s="693" t="e">
        <f t="shared" si="125"/>
        <v>#DIV/0!</v>
      </c>
      <c r="NA112" s="599" t="e">
        <f t="shared" si="125"/>
        <v>#DIV/0!</v>
      </c>
      <c r="NB112" s="694" t="e">
        <f t="shared" si="125"/>
        <v>#DIV/0!</v>
      </c>
      <c r="NC112" s="685" t="s">
        <v>93</v>
      </c>
      <c r="ND112" s="90" t="s">
        <v>93</v>
      </c>
      <c r="NE112" s="599" t="e">
        <f t="shared" ref="NE112" si="126">AVERAGE(NE107:NE111)</f>
        <v>#DIV/0!</v>
      </c>
      <c r="NF112" s="619" t="e">
        <f t="shared" ref="NF112:NT112" si="127">AVERAGE(NF107:NF111)</f>
        <v>#DIV/0!</v>
      </c>
      <c r="NG112" s="675" t="e">
        <f t="shared" si="127"/>
        <v>#VALUE!</v>
      </c>
      <c r="NH112" s="672" t="e">
        <f>AVERAGE(NH107:NH111)</f>
        <v>#VALUE!</v>
      </c>
      <c r="NI112" s="687" t="e">
        <f t="shared" si="127"/>
        <v>#REF!</v>
      </c>
      <c r="NJ112" s="686" t="e">
        <f t="shared" si="127"/>
        <v>#VALUE!</v>
      </c>
      <c r="NK112" s="687" t="e">
        <f t="shared" si="127"/>
        <v>#VALUE!</v>
      </c>
      <c r="NL112" s="687" t="e">
        <f t="shared" si="127"/>
        <v>#VALUE!</v>
      </c>
      <c r="NM112" s="687" t="e">
        <f t="shared" si="127"/>
        <v>#VALUE!</v>
      </c>
      <c r="NN112" s="687" t="e">
        <f t="shared" si="127"/>
        <v>#VALUE!</v>
      </c>
      <c r="NO112" s="690" t="e">
        <f t="shared" si="127"/>
        <v>#VALUE!</v>
      </c>
      <c r="NP112" s="682" t="e">
        <f t="shared" si="127"/>
        <v>#DIV/0!</v>
      </c>
      <c r="NQ112" s="683" t="e">
        <f t="shared" si="127"/>
        <v>#DIV/0!</v>
      </c>
      <c r="NR112" s="684" t="e">
        <f t="shared" si="127"/>
        <v>#DIV/0!</v>
      </c>
      <c r="NS112" s="599" t="e">
        <f t="shared" si="127"/>
        <v>#DIV/0!</v>
      </c>
      <c r="NT112" s="685" t="e">
        <f t="shared" si="127"/>
        <v>#DIV/0!</v>
      </c>
      <c r="NU112" s="685" t="s">
        <v>93</v>
      </c>
      <c r="NV112" s="90" t="s">
        <v>93</v>
      </c>
      <c r="NW112" s="599" t="e">
        <f t="shared" ref="NW112" si="128">AVERAGE(NW107:NW111)</f>
        <v>#DIV/0!</v>
      </c>
      <c r="NX112" s="619" t="e">
        <f t="shared" ref="NX112:OL112" si="129">AVERAGE(NX107:NX111)</f>
        <v>#DIV/0!</v>
      </c>
      <c r="NY112" s="675" t="e">
        <f t="shared" si="129"/>
        <v>#VALUE!</v>
      </c>
      <c r="NZ112" s="672" t="e">
        <f>AVERAGE(NZ107:NZ111)</f>
        <v>#VALUE!</v>
      </c>
      <c r="OA112" s="687" t="e">
        <f t="shared" si="129"/>
        <v>#REF!</v>
      </c>
      <c r="OB112" s="686" t="e">
        <f t="shared" si="129"/>
        <v>#VALUE!</v>
      </c>
      <c r="OC112" s="687" t="e">
        <f t="shared" si="129"/>
        <v>#VALUE!</v>
      </c>
      <c r="OD112" s="687" t="e">
        <f t="shared" si="129"/>
        <v>#VALUE!</v>
      </c>
      <c r="OE112" s="687" t="e">
        <f t="shared" si="129"/>
        <v>#VALUE!</v>
      </c>
      <c r="OF112" s="687" t="e">
        <f t="shared" si="129"/>
        <v>#VALUE!</v>
      </c>
      <c r="OG112" s="690" t="e">
        <f t="shared" si="129"/>
        <v>#VALUE!</v>
      </c>
      <c r="OH112" s="682" t="e">
        <f t="shared" si="129"/>
        <v>#DIV/0!</v>
      </c>
      <c r="OI112" s="683" t="e">
        <f t="shared" si="129"/>
        <v>#DIV/0!</v>
      </c>
      <c r="OJ112" s="684" t="e">
        <f t="shared" si="129"/>
        <v>#DIV/0!</v>
      </c>
      <c r="OK112" s="599" t="e">
        <f t="shared" si="129"/>
        <v>#DIV/0!</v>
      </c>
      <c r="OL112" s="685" t="e">
        <f t="shared" si="129"/>
        <v>#DIV/0!</v>
      </c>
      <c r="OM112" s="685" t="s">
        <v>93</v>
      </c>
      <c r="ON112" s="90" t="s">
        <v>93</v>
      </c>
      <c r="OO112" s="599" t="e">
        <f t="shared" ref="OO112" si="130">AVERAGE(OO107:OO111)</f>
        <v>#DIV/0!</v>
      </c>
      <c r="OP112" s="619" t="e">
        <f t="shared" ref="OP112:PD112" si="131">AVERAGE(OP107:OP111)</f>
        <v>#DIV/0!</v>
      </c>
      <c r="OQ112" s="675" t="e">
        <f t="shared" si="131"/>
        <v>#VALUE!</v>
      </c>
      <c r="OR112" s="672" t="e">
        <f>AVERAGE(OR107:OR111)</f>
        <v>#VALUE!</v>
      </c>
      <c r="OS112" s="687" t="e">
        <f t="shared" si="131"/>
        <v>#REF!</v>
      </c>
      <c r="OT112" s="686" t="e">
        <f t="shared" si="131"/>
        <v>#VALUE!</v>
      </c>
      <c r="OU112" s="687" t="e">
        <f t="shared" si="131"/>
        <v>#VALUE!</v>
      </c>
      <c r="OV112" s="687" t="e">
        <f t="shared" si="131"/>
        <v>#VALUE!</v>
      </c>
      <c r="OW112" s="687" t="e">
        <f t="shared" si="131"/>
        <v>#VALUE!</v>
      </c>
      <c r="OX112" s="687" t="e">
        <f t="shared" si="131"/>
        <v>#VALUE!</v>
      </c>
      <c r="OY112" s="690" t="e">
        <f t="shared" si="131"/>
        <v>#VALUE!</v>
      </c>
      <c r="OZ112" s="682" t="e">
        <f t="shared" si="131"/>
        <v>#DIV/0!</v>
      </c>
      <c r="PA112" s="683" t="e">
        <f t="shared" si="131"/>
        <v>#DIV/0!</v>
      </c>
      <c r="PB112" s="684" t="e">
        <f t="shared" si="131"/>
        <v>#DIV/0!</v>
      </c>
      <c r="PC112" s="599" t="e">
        <f t="shared" si="131"/>
        <v>#DIV/0!</v>
      </c>
      <c r="PD112" s="685" t="e">
        <f t="shared" si="131"/>
        <v>#DIV/0!</v>
      </c>
      <c r="PE112" s="685" t="s">
        <v>93</v>
      </c>
      <c r="PF112" s="90" t="s">
        <v>93</v>
      </c>
      <c r="PG112" s="599" t="e">
        <f t="shared" ref="PG112" si="132">AVERAGE(PG107:PG111)</f>
        <v>#DIV/0!</v>
      </c>
      <c r="PH112" s="619" t="e">
        <f t="shared" ref="PH112:PV112" si="133">AVERAGE(PH107:PH111)</f>
        <v>#DIV/0!</v>
      </c>
      <c r="PI112" s="675" t="e">
        <f t="shared" si="133"/>
        <v>#VALUE!</v>
      </c>
      <c r="PJ112" s="672" t="e">
        <f>AVERAGE(PJ107:PJ111)</f>
        <v>#VALUE!</v>
      </c>
      <c r="PK112" s="687" t="e">
        <f t="shared" si="133"/>
        <v>#REF!</v>
      </c>
      <c r="PL112" s="686" t="e">
        <f t="shared" si="133"/>
        <v>#VALUE!</v>
      </c>
      <c r="PM112" s="687" t="e">
        <f t="shared" si="133"/>
        <v>#VALUE!</v>
      </c>
      <c r="PN112" s="687" t="e">
        <f t="shared" si="133"/>
        <v>#VALUE!</v>
      </c>
      <c r="PO112" s="687" t="e">
        <f t="shared" si="133"/>
        <v>#VALUE!</v>
      </c>
      <c r="PP112" s="687" t="e">
        <f t="shared" si="133"/>
        <v>#VALUE!</v>
      </c>
      <c r="PQ112" s="690" t="e">
        <f t="shared" si="133"/>
        <v>#VALUE!</v>
      </c>
      <c r="PR112" s="682" t="e">
        <f t="shared" si="133"/>
        <v>#DIV/0!</v>
      </c>
      <c r="PS112" s="683" t="e">
        <f t="shared" si="133"/>
        <v>#DIV/0!</v>
      </c>
      <c r="PT112" s="684" t="e">
        <f t="shared" si="133"/>
        <v>#DIV/0!</v>
      </c>
      <c r="PU112" s="599" t="e">
        <f t="shared" si="133"/>
        <v>#DIV/0!</v>
      </c>
      <c r="PV112" s="685" t="e">
        <f t="shared" si="133"/>
        <v>#DIV/0!</v>
      </c>
      <c r="PW112" s="685" t="s">
        <v>93</v>
      </c>
      <c r="PX112" s="90" t="s">
        <v>93</v>
      </c>
      <c r="PY112" s="599" t="e">
        <f t="shared" ref="PY112" si="134">AVERAGE(PY107:PY111)</f>
        <v>#DIV/0!</v>
      </c>
      <c r="PZ112" s="619" t="e">
        <f t="shared" ref="PZ112:QN112" si="135">AVERAGE(PZ107:PZ111)</f>
        <v>#DIV/0!</v>
      </c>
      <c r="QA112" s="675" t="e">
        <f t="shared" si="135"/>
        <v>#VALUE!</v>
      </c>
      <c r="QB112" s="672" t="e">
        <f>AVERAGE(QB107:QB111)</f>
        <v>#VALUE!</v>
      </c>
      <c r="QC112" s="687" t="e">
        <f t="shared" si="135"/>
        <v>#REF!</v>
      </c>
      <c r="QD112" s="686" t="e">
        <f t="shared" si="135"/>
        <v>#VALUE!</v>
      </c>
      <c r="QE112" s="687" t="e">
        <f t="shared" si="135"/>
        <v>#VALUE!</v>
      </c>
      <c r="QF112" s="687" t="e">
        <f t="shared" si="135"/>
        <v>#VALUE!</v>
      </c>
      <c r="QG112" s="687" t="e">
        <f t="shared" si="135"/>
        <v>#VALUE!</v>
      </c>
      <c r="QH112" s="687" t="e">
        <f t="shared" si="135"/>
        <v>#VALUE!</v>
      </c>
      <c r="QI112" s="690" t="e">
        <f t="shared" si="135"/>
        <v>#VALUE!</v>
      </c>
      <c r="QJ112" s="682" t="e">
        <f t="shared" si="135"/>
        <v>#DIV/0!</v>
      </c>
      <c r="QK112" s="683" t="e">
        <f t="shared" si="135"/>
        <v>#DIV/0!</v>
      </c>
      <c r="QL112" s="684" t="e">
        <f t="shared" si="135"/>
        <v>#DIV/0!</v>
      </c>
      <c r="QM112" s="599" t="e">
        <f t="shared" si="135"/>
        <v>#DIV/0!</v>
      </c>
      <c r="QN112" s="685" t="e">
        <f t="shared" si="135"/>
        <v>#DIV/0!</v>
      </c>
      <c r="QO112" s="685" t="s">
        <v>93</v>
      </c>
      <c r="QP112" s="90" t="s">
        <v>93</v>
      </c>
      <c r="QQ112" s="599" t="e">
        <f t="shared" ref="QQ112" si="136">AVERAGE(QQ107:QQ111)</f>
        <v>#DIV/0!</v>
      </c>
      <c r="QR112" s="619" t="e">
        <f t="shared" ref="QR112:RF112" si="137">AVERAGE(QR107:QR111)</f>
        <v>#DIV/0!</v>
      </c>
      <c r="QS112" s="675" t="e">
        <f t="shared" si="137"/>
        <v>#VALUE!</v>
      </c>
      <c r="QT112" s="672" t="e">
        <f>AVERAGE(QT107:QT111)</f>
        <v>#VALUE!</v>
      </c>
      <c r="QU112" s="687" t="e">
        <f t="shared" si="137"/>
        <v>#REF!</v>
      </c>
      <c r="QV112" s="686" t="e">
        <f t="shared" si="137"/>
        <v>#VALUE!</v>
      </c>
      <c r="QW112" s="687" t="e">
        <f t="shared" si="137"/>
        <v>#VALUE!</v>
      </c>
      <c r="QX112" s="687" t="e">
        <f t="shared" si="137"/>
        <v>#VALUE!</v>
      </c>
      <c r="QY112" s="687" t="e">
        <f t="shared" si="137"/>
        <v>#VALUE!</v>
      </c>
      <c r="QZ112" s="687" t="e">
        <f t="shared" si="137"/>
        <v>#VALUE!</v>
      </c>
      <c r="RA112" s="690" t="e">
        <f t="shared" si="137"/>
        <v>#VALUE!</v>
      </c>
      <c r="RB112" s="682" t="e">
        <f t="shared" si="137"/>
        <v>#DIV/0!</v>
      </c>
      <c r="RC112" s="683" t="e">
        <f t="shared" si="137"/>
        <v>#DIV/0!</v>
      </c>
      <c r="RD112" s="684" t="e">
        <f t="shared" si="137"/>
        <v>#DIV/0!</v>
      </c>
      <c r="RE112" s="599" t="e">
        <f t="shared" si="137"/>
        <v>#DIV/0!</v>
      </c>
      <c r="RF112" s="694" t="e">
        <f t="shared" si="137"/>
        <v>#DIV/0!</v>
      </c>
      <c r="RG112" s="685" t="s">
        <v>93</v>
      </c>
      <c r="RH112" s="90" t="s">
        <v>93</v>
      </c>
      <c r="RI112" s="599" t="e">
        <f t="shared" ref="RI112" si="138">AVERAGE(RI107:RI111)</f>
        <v>#DIV/0!</v>
      </c>
      <c r="RJ112" s="619" t="e">
        <f t="shared" ref="RJ112:RX112" si="139">AVERAGE(RJ107:RJ111)</f>
        <v>#DIV/0!</v>
      </c>
      <c r="RK112" s="675" t="e">
        <f t="shared" si="139"/>
        <v>#VALUE!</v>
      </c>
      <c r="RL112" s="672" t="e">
        <f>AVERAGE(RL107:RL111)</f>
        <v>#VALUE!</v>
      </c>
      <c r="RM112" s="687" t="e">
        <f t="shared" si="139"/>
        <v>#REF!</v>
      </c>
      <c r="RN112" s="686" t="e">
        <f t="shared" si="139"/>
        <v>#VALUE!</v>
      </c>
      <c r="RO112" s="687" t="e">
        <f t="shared" si="139"/>
        <v>#VALUE!</v>
      </c>
      <c r="RP112" s="687" t="e">
        <f t="shared" si="139"/>
        <v>#VALUE!</v>
      </c>
      <c r="RQ112" s="687" t="e">
        <f t="shared" si="139"/>
        <v>#VALUE!</v>
      </c>
      <c r="RR112" s="687" t="e">
        <f t="shared" si="139"/>
        <v>#VALUE!</v>
      </c>
      <c r="RS112" s="690" t="e">
        <f t="shared" si="139"/>
        <v>#VALUE!</v>
      </c>
      <c r="RT112" s="682" t="e">
        <f t="shared" si="139"/>
        <v>#DIV/0!</v>
      </c>
      <c r="RU112" s="683" t="e">
        <f t="shared" si="139"/>
        <v>#DIV/0!</v>
      </c>
      <c r="RV112" s="684" t="e">
        <f t="shared" si="139"/>
        <v>#DIV/0!</v>
      </c>
      <c r="RW112" s="672" t="e">
        <f t="shared" si="139"/>
        <v>#DIV/0!</v>
      </c>
      <c r="RX112" s="685" t="e">
        <f t="shared" si="139"/>
        <v>#DIV/0!</v>
      </c>
      <c r="RY112" s="685" t="s">
        <v>93</v>
      </c>
      <c r="RZ112" s="90" t="s">
        <v>93</v>
      </c>
      <c r="SA112" s="599" t="e">
        <f t="shared" ref="SA112" si="140">AVERAGE(SA107:SA111)</f>
        <v>#DIV/0!</v>
      </c>
      <c r="SB112" s="619" t="e">
        <f t="shared" ref="SB112:SP112" si="141">AVERAGE(SB107:SB111)</f>
        <v>#DIV/0!</v>
      </c>
      <c r="SC112" s="675" t="e">
        <f t="shared" si="141"/>
        <v>#VALUE!</v>
      </c>
      <c r="SD112" s="672" t="e">
        <f>AVERAGE(SD107:SD111)</f>
        <v>#VALUE!</v>
      </c>
      <c r="SE112" s="687" t="e">
        <f t="shared" si="141"/>
        <v>#REF!</v>
      </c>
      <c r="SF112" s="686" t="e">
        <f t="shared" si="141"/>
        <v>#VALUE!</v>
      </c>
      <c r="SG112" s="687" t="e">
        <f t="shared" si="141"/>
        <v>#VALUE!</v>
      </c>
      <c r="SH112" s="687" t="e">
        <f t="shared" si="141"/>
        <v>#VALUE!</v>
      </c>
      <c r="SI112" s="687" t="e">
        <f t="shared" si="141"/>
        <v>#VALUE!</v>
      </c>
      <c r="SJ112" s="687" t="e">
        <f t="shared" si="141"/>
        <v>#VALUE!</v>
      </c>
      <c r="SK112" s="690" t="e">
        <f t="shared" si="141"/>
        <v>#VALUE!</v>
      </c>
      <c r="SL112" s="682" t="e">
        <f t="shared" si="141"/>
        <v>#DIV/0!</v>
      </c>
      <c r="SM112" s="683" t="e">
        <f t="shared" si="141"/>
        <v>#DIV/0!</v>
      </c>
      <c r="SN112" s="684" t="e">
        <f t="shared" si="141"/>
        <v>#DIV/0!</v>
      </c>
      <c r="SO112" s="599" t="e">
        <f t="shared" si="141"/>
        <v>#DIV/0!</v>
      </c>
      <c r="SP112" s="685" t="e">
        <f t="shared" si="141"/>
        <v>#DIV/0!</v>
      </c>
      <c r="SQ112" s="685" t="s">
        <v>93</v>
      </c>
      <c r="SR112" s="90" t="s">
        <v>93</v>
      </c>
      <c r="SS112" s="599" t="e">
        <f t="shared" ref="SS112" si="142">AVERAGE(SS107:SS111)</f>
        <v>#DIV/0!</v>
      </c>
      <c r="ST112" s="619" t="e">
        <f t="shared" ref="ST112:TH112" si="143">AVERAGE(ST107:ST111)</f>
        <v>#DIV/0!</v>
      </c>
      <c r="SU112" s="675" t="e">
        <f t="shared" si="143"/>
        <v>#VALUE!</v>
      </c>
      <c r="SV112" s="672" t="e">
        <f>AVERAGE(SV107:SV111)</f>
        <v>#VALUE!</v>
      </c>
      <c r="SW112" s="687" t="e">
        <f t="shared" si="143"/>
        <v>#REF!</v>
      </c>
      <c r="SX112" s="686" t="e">
        <f t="shared" si="143"/>
        <v>#VALUE!</v>
      </c>
      <c r="SY112" s="687" t="e">
        <f t="shared" si="143"/>
        <v>#VALUE!</v>
      </c>
      <c r="SZ112" s="687" t="e">
        <f t="shared" si="143"/>
        <v>#VALUE!</v>
      </c>
      <c r="TA112" s="687" t="e">
        <f t="shared" si="143"/>
        <v>#VALUE!</v>
      </c>
      <c r="TB112" s="687" t="e">
        <f t="shared" si="143"/>
        <v>#VALUE!</v>
      </c>
      <c r="TC112" s="690" t="e">
        <f t="shared" si="143"/>
        <v>#VALUE!</v>
      </c>
      <c r="TD112" s="682" t="e">
        <f t="shared" si="143"/>
        <v>#DIV/0!</v>
      </c>
      <c r="TE112" s="683" t="e">
        <f t="shared" si="143"/>
        <v>#DIV/0!</v>
      </c>
      <c r="TF112" s="684" t="e">
        <f t="shared" si="143"/>
        <v>#DIV/0!</v>
      </c>
      <c r="TG112" s="599" t="e">
        <f t="shared" si="143"/>
        <v>#DIV/0!</v>
      </c>
      <c r="TH112" s="685" t="e">
        <f t="shared" si="143"/>
        <v>#DIV/0!</v>
      </c>
      <c r="TI112" s="685" t="s">
        <v>93</v>
      </c>
      <c r="TJ112" s="90" t="s">
        <v>93</v>
      </c>
      <c r="TK112" s="599" t="e">
        <f t="shared" ref="TK112" si="144">AVERAGE(TK107:TK111)</f>
        <v>#DIV/0!</v>
      </c>
      <c r="TL112" s="619" t="e">
        <f t="shared" ref="TL112:TZ112" si="145">AVERAGE(TL107:TL111)</f>
        <v>#DIV/0!</v>
      </c>
      <c r="TM112" s="675" t="e">
        <f t="shared" si="145"/>
        <v>#VALUE!</v>
      </c>
      <c r="TN112" s="672" t="e">
        <f>AVERAGE(TN107:TN111)</f>
        <v>#VALUE!</v>
      </c>
      <c r="TO112" s="687" t="e">
        <f t="shared" si="145"/>
        <v>#REF!</v>
      </c>
      <c r="TP112" s="686" t="e">
        <f t="shared" si="145"/>
        <v>#VALUE!</v>
      </c>
      <c r="TQ112" s="687" t="e">
        <f t="shared" si="145"/>
        <v>#VALUE!</v>
      </c>
      <c r="TR112" s="687" t="e">
        <f t="shared" si="145"/>
        <v>#VALUE!</v>
      </c>
      <c r="TS112" s="687" t="e">
        <f t="shared" si="145"/>
        <v>#VALUE!</v>
      </c>
      <c r="TT112" s="687" t="e">
        <f t="shared" si="145"/>
        <v>#VALUE!</v>
      </c>
      <c r="TU112" s="690" t="e">
        <f t="shared" si="145"/>
        <v>#VALUE!</v>
      </c>
      <c r="TV112" s="682" t="e">
        <f t="shared" si="145"/>
        <v>#DIV/0!</v>
      </c>
      <c r="TW112" s="683" t="e">
        <f t="shared" si="145"/>
        <v>#DIV/0!</v>
      </c>
      <c r="TX112" s="684" t="e">
        <f t="shared" si="145"/>
        <v>#DIV/0!</v>
      </c>
      <c r="TY112" s="599" t="e">
        <f t="shared" si="145"/>
        <v>#DIV/0!</v>
      </c>
      <c r="TZ112" s="685" t="e">
        <f t="shared" si="145"/>
        <v>#DIV/0!</v>
      </c>
      <c r="UA112" s="685" t="s">
        <v>93</v>
      </c>
      <c r="UB112" s="90" t="s">
        <v>93</v>
      </c>
      <c r="UC112" s="599" t="e">
        <f t="shared" ref="UC112" si="146">AVERAGE(UC107:UC111)</f>
        <v>#DIV/0!</v>
      </c>
      <c r="UD112" s="619" t="e">
        <f t="shared" ref="UD112:UR112" si="147">AVERAGE(UD107:UD111)</f>
        <v>#DIV/0!</v>
      </c>
      <c r="UE112" s="675" t="e">
        <f t="shared" si="147"/>
        <v>#VALUE!</v>
      </c>
      <c r="UF112" s="672" t="e">
        <f>AVERAGE(UF107:UF111)</f>
        <v>#VALUE!</v>
      </c>
      <c r="UG112" s="687" t="e">
        <f t="shared" si="147"/>
        <v>#REF!</v>
      </c>
      <c r="UH112" s="686" t="e">
        <f t="shared" si="147"/>
        <v>#VALUE!</v>
      </c>
      <c r="UI112" s="687" t="e">
        <f t="shared" si="147"/>
        <v>#VALUE!</v>
      </c>
      <c r="UJ112" s="687" t="e">
        <f t="shared" si="147"/>
        <v>#VALUE!</v>
      </c>
      <c r="UK112" s="687" t="e">
        <f t="shared" si="147"/>
        <v>#VALUE!</v>
      </c>
      <c r="UL112" s="687" t="e">
        <f t="shared" si="147"/>
        <v>#VALUE!</v>
      </c>
      <c r="UM112" s="690" t="e">
        <f t="shared" si="147"/>
        <v>#VALUE!</v>
      </c>
      <c r="UN112" s="682" t="e">
        <f t="shared" si="147"/>
        <v>#DIV/0!</v>
      </c>
      <c r="UO112" s="683" t="e">
        <f t="shared" si="147"/>
        <v>#DIV/0!</v>
      </c>
      <c r="UP112" s="684" t="e">
        <f t="shared" si="147"/>
        <v>#DIV/0!</v>
      </c>
      <c r="UQ112" s="599" t="e">
        <f t="shared" si="147"/>
        <v>#DIV/0!</v>
      </c>
      <c r="UR112" s="685" t="e">
        <f t="shared" si="147"/>
        <v>#DIV/0!</v>
      </c>
      <c r="US112" s="685" t="s">
        <v>93</v>
      </c>
      <c r="UT112" s="90" t="s">
        <v>93</v>
      </c>
      <c r="UU112" s="599" t="e">
        <f t="shared" ref="UU112" si="148">AVERAGE(UU107:UU111)</f>
        <v>#DIV/0!</v>
      </c>
      <c r="UV112" s="619" t="e">
        <f t="shared" ref="UV112:VE112" si="149">AVERAGE(UV107:UV111)</f>
        <v>#DIV/0!</v>
      </c>
      <c r="UW112" s="675" t="e">
        <f t="shared" si="149"/>
        <v>#VALUE!</v>
      </c>
      <c r="UX112" s="672" t="e">
        <f>AVERAGE(UX107:UX111)</f>
        <v>#VALUE!</v>
      </c>
      <c r="UY112" s="687" t="e">
        <f t="shared" si="149"/>
        <v>#REF!</v>
      </c>
      <c r="UZ112" s="686" t="e">
        <f t="shared" si="149"/>
        <v>#VALUE!</v>
      </c>
      <c r="VA112" s="687" t="e">
        <f t="shared" si="149"/>
        <v>#VALUE!</v>
      </c>
      <c r="VB112" s="687" t="e">
        <f t="shared" si="149"/>
        <v>#VALUE!</v>
      </c>
      <c r="VC112" s="687" t="e">
        <f t="shared" si="149"/>
        <v>#VALUE!</v>
      </c>
      <c r="VD112" s="687" t="e">
        <f t="shared" si="149"/>
        <v>#VALUE!</v>
      </c>
      <c r="VE112" s="690" t="e">
        <f t="shared" si="149"/>
        <v>#VALUE!</v>
      </c>
    </row>
    <row r="113" spans="1:577" x14ac:dyDescent="0.25">
      <c r="A113" s="681" t="s">
        <v>62</v>
      </c>
      <c r="B113" s="688">
        <f>STDEVA(B107:B111)</f>
        <v>8.366600265340704E-2</v>
      </c>
      <c r="C113" s="619">
        <f>STDEVA(C107:C111)</f>
        <v>0.44721359549995793</v>
      </c>
      <c r="D113" s="619">
        <f>STDEVA(D107:D111)</f>
        <v>0</v>
      </c>
      <c r="E113" s="672">
        <f>STDEVA(E107:E111)</f>
        <v>5.477225575052435E-12</v>
      </c>
      <c r="F113" s="619">
        <f>STDEVA(F107:F111)</f>
        <v>0</v>
      </c>
      <c r="G113" s="2117" t="s">
        <v>93</v>
      </c>
      <c r="H113" s="40" t="s">
        <v>93</v>
      </c>
      <c r="I113" s="599">
        <f t="shared" ref="I113:S113" si="150">STDEVA(I107:I111)</f>
        <v>5.482702800627421E-12</v>
      </c>
      <c r="J113" s="652">
        <f t="shared" si="150"/>
        <v>2.8433341781558817E-4</v>
      </c>
      <c r="K113" s="675">
        <f t="shared" si="150"/>
        <v>1.3729479367574348E-13</v>
      </c>
      <c r="L113" s="672">
        <f t="shared" si="150"/>
        <v>1.3729479367574348E-13</v>
      </c>
      <c r="M113" s="672" t="e">
        <f t="shared" si="150"/>
        <v>#REF!</v>
      </c>
      <c r="N113" s="672">
        <f t="shared" si="150"/>
        <v>1.2455383682262404E-5</v>
      </c>
      <c r="O113" s="672">
        <f t="shared" si="150"/>
        <v>1.2455383682262731E-3</v>
      </c>
      <c r="P113" s="672">
        <f t="shared" si="150"/>
        <v>1.4946460418714384E-5</v>
      </c>
      <c r="Q113" s="672">
        <f t="shared" si="150"/>
        <v>1.5071014255537192E-5</v>
      </c>
      <c r="R113" s="672">
        <f t="shared" si="150"/>
        <v>1.5071014255537192E-5</v>
      </c>
      <c r="S113" s="676">
        <f t="shared" si="150"/>
        <v>1.5569229602828005E-5</v>
      </c>
      <c r="T113" s="691" t="e">
        <f t="shared" ref="T113:V113" si="151">STDEVA(T107:T111)</f>
        <v>#DIV/0!</v>
      </c>
      <c r="U113" s="691" t="e">
        <f t="shared" si="151"/>
        <v>#DIV/0!</v>
      </c>
      <c r="V113" s="695" t="e">
        <f t="shared" si="151"/>
        <v>#DIV/0!</v>
      </c>
      <c r="W113" s="652" t="e">
        <f>STDEVA(W107:W111)</f>
        <v>#DIV/0!</v>
      </c>
      <c r="X113" s="652" t="e">
        <f>STDEVA(X107:X111)</f>
        <v>#DIV/0!</v>
      </c>
      <c r="Y113" s="652" t="s">
        <v>93</v>
      </c>
      <c r="Z113" s="40" t="s">
        <v>93</v>
      </c>
      <c r="AA113" s="599">
        <f>STDEVA(AA107:AA111)</f>
        <v>0</v>
      </c>
      <c r="AB113" s="652" t="e">
        <f>STDEVA(AB107:AB111)</f>
        <v>#DIV/0!</v>
      </c>
      <c r="AC113" s="675" t="e">
        <f>STDEVA(AC107:AC111)</f>
        <v>#VALUE!</v>
      </c>
      <c r="AD113" s="672" t="e">
        <f>STDEVA(AD107:AD111)</f>
        <v>#VALUE!</v>
      </c>
      <c r="AE113" s="672" t="e">
        <f t="shared" ref="AE113:AO113" si="152">STDEVA(AE107:AE111)</f>
        <v>#REF!</v>
      </c>
      <c r="AF113" s="675" t="e">
        <f t="shared" si="152"/>
        <v>#VALUE!</v>
      </c>
      <c r="AG113" s="672" t="e">
        <f>STDEVA(AG107:AG111)</f>
        <v>#VALUE!</v>
      </c>
      <c r="AH113" s="672" t="e">
        <f>STDEVA(AH107:AH111)</f>
        <v>#VALUE!</v>
      </c>
      <c r="AI113" s="672" t="e">
        <f>STDEVA(AI107:AI111)</f>
        <v>#VALUE!</v>
      </c>
      <c r="AJ113" s="672" t="e">
        <f>STDEVA(AJ107:AJ111)</f>
        <v>#VALUE!</v>
      </c>
      <c r="AK113" s="676" t="e">
        <f>STDEVA(AK107:AK111)</f>
        <v>#VALUE!</v>
      </c>
      <c r="AL113" s="682" t="e">
        <f t="shared" si="152"/>
        <v>#DIV/0!</v>
      </c>
      <c r="AM113" s="691" t="e">
        <f t="shared" si="152"/>
        <v>#DIV/0!</v>
      </c>
      <c r="AN113" s="695" t="e">
        <f t="shared" si="152"/>
        <v>#DIV/0!</v>
      </c>
      <c r="AO113" s="652" t="e">
        <f t="shared" si="152"/>
        <v>#DIV/0!</v>
      </c>
      <c r="AP113" s="652" t="e">
        <f>STDEVA(AP107:AP111)</f>
        <v>#DIV/0!</v>
      </c>
      <c r="AQ113" s="652" t="s">
        <v>93</v>
      </c>
      <c r="AR113" s="40" t="s">
        <v>93</v>
      </c>
      <c r="AS113" s="599">
        <f>STDEVA(AS107:AS111)</f>
        <v>0</v>
      </c>
      <c r="AT113" s="652" t="e">
        <f t="shared" ref="AT113:AX113" si="153">STDEVA(AT107:AT111)</f>
        <v>#DIV/0!</v>
      </c>
      <c r="AU113" s="675" t="e">
        <f t="shared" si="153"/>
        <v>#VALUE!</v>
      </c>
      <c r="AV113" s="672" t="e">
        <f>STDEVA(AV107:AV111)</f>
        <v>#VALUE!</v>
      </c>
      <c r="AW113" s="672" t="e">
        <f t="shared" si="153"/>
        <v>#REF!</v>
      </c>
      <c r="AX113" s="675" t="e">
        <f t="shared" si="153"/>
        <v>#VALUE!</v>
      </c>
      <c r="AY113" s="672" t="e">
        <f t="shared" ref="AY113:BH113" si="154">STDEVA(AY107:AY111)</f>
        <v>#VALUE!</v>
      </c>
      <c r="AZ113" s="672" t="e">
        <f t="shared" si="154"/>
        <v>#VALUE!</v>
      </c>
      <c r="BA113" s="672" t="e">
        <f t="shared" si="154"/>
        <v>#VALUE!</v>
      </c>
      <c r="BB113" s="672" t="e">
        <f t="shared" si="154"/>
        <v>#VALUE!</v>
      </c>
      <c r="BC113" s="676" t="e">
        <f t="shared" si="154"/>
        <v>#VALUE!</v>
      </c>
      <c r="BD113" s="682" t="e">
        <f t="shared" si="154"/>
        <v>#DIV/0!</v>
      </c>
      <c r="BE113" s="691" t="e">
        <f t="shared" si="154"/>
        <v>#DIV/0!</v>
      </c>
      <c r="BF113" s="695" t="e">
        <f t="shared" si="154"/>
        <v>#DIV/0!</v>
      </c>
      <c r="BG113" s="599" t="e">
        <f t="shared" si="154"/>
        <v>#DIV/0!</v>
      </c>
      <c r="BH113" s="652" t="e">
        <f t="shared" si="154"/>
        <v>#DIV/0!</v>
      </c>
      <c r="BI113" s="2117" t="s">
        <v>93</v>
      </c>
      <c r="BJ113" s="40" t="s">
        <v>93</v>
      </c>
      <c r="BK113" s="599">
        <f>STDEVA(BK107:BK111)</f>
        <v>0</v>
      </c>
      <c r="BL113" s="652" t="e">
        <f>STDEVA(BL107:BL111)</f>
        <v>#DIV/0!</v>
      </c>
      <c r="BM113" s="675" t="e">
        <f>STDEVA(BM107:BM111)</f>
        <v>#VALUE!</v>
      </c>
      <c r="BN113" s="672" t="e">
        <f>STDEVA(BN107:BN111)</f>
        <v>#VALUE!</v>
      </c>
      <c r="BO113" s="672" t="e">
        <f t="shared" ref="BO113:BZ113" si="155">STDEVA(BO107:BO111)</f>
        <v>#REF!</v>
      </c>
      <c r="BP113" s="675" t="e">
        <f t="shared" si="155"/>
        <v>#VALUE!</v>
      </c>
      <c r="BQ113" s="672" t="e">
        <f>STDEVA(BQ107:BQ111)</f>
        <v>#VALUE!</v>
      </c>
      <c r="BR113" s="672" t="e">
        <f>STDEVA(BR107:BR111)</f>
        <v>#VALUE!</v>
      </c>
      <c r="BS113" s="672" t="e">
        <f>STDEVA(BS107:BS111)</f>
        <v>#VALUE!</v>
      </c>
      <c r="BT113" s="672" t="e">
        <f>STDEVA(BT107:BT111)</f>
        <v>#VALUE!</v>
      </c>
      <c r="BU113" s="676" t="e">
        <f>STDEVA(BU107:BU111)</f>
        <v>#VALUE!</v>
      </c>
      <c r="BV113" s="682" t="e">
        <f t="shared" si="155"/>
        <v>#DIV/0!</v>
      </c>
      <c r="BW113" s="691" t="e">
        <f t="shared" si="155"/>
        <v>#DIV/0!</v>
      </c>
      <c r="BX113" s="695" t="e">
        <f t="shared" si="155"/>
        <v>#DIV/0!</v>
      </c>
      <c r="BY113" s="599" t="e">
        <f t="shared" si="155"/>
        <v>#DIV/0!</v>
      </c>
      <c r="BZ113" s="652" t="e">
        <f t="shared" si="155"/>
        <v>#DIV/0!</v>
      </c>
      <c r="CA113" s="652" t="s">
        <v>93</v>
      </c>
      <c r="CB113" s="40" t="s">
        <v>93</v>
      </c>
      <c r="CC113" s="599">
        <f>STDEVA(CC107:CC111)</f>
        <v>0</v>
      </c>
      <c r="CD113" s="652" t="e">
        <f t="shared" ref="CD113:CR113" si="156">STDEVA(CD107:CD111)</f>
        <v>#DIV/0!</v>
      </c>
      <c r="CE113" s="675" t="e">
        <f t="shared" si="156"/>
        <v>#VALUE!</v>
      </c>
      <c r="CF113" s="672" t="e">
        <f>STDEVA(CF107:CF111)</f>
        <v>#VALUE!</v>
      </c>
      <c r="CG113" s="672" t="e">
        <f t="shared" si="156"/>
        <v>#REF!</v>
      </c>
      <c r="CH113" s="675" t="e">
        <f t="shared" si="156"/>
        <v>#VALUE!</v>
      </c>
      <c r="CI113" s="672" t="e">
        <f>STDEVA(CI107:CI111)</f>
        <v>#VALUE!</v>
      </c>
      <c r="CJ113" s="672" t="e">
        <f>STDEVA(CJ107:CJ111)</f>
        <v>#VALUE!</v>
      </c>
      <c r="CK113" s="672" t="e">
        <f>STDEVA(CK107:CK111)</f>
        <v>#VALUE!</v>
      </c>
      <c r="CL113" s="672" t="e">
        <f>STDEVA(CL107:CL111)</f>
        <v>#VALUE!</v>
      </c>
      <c r="CM113" s="676" t="e">
        <f>STDEVA(CM107:CM111)</f>
        <v>#VALUE!</v>
      </c>
      <c r="CN113" s="682" t="e">
        <f t="shared" si="156"/>
        <v>#DIV/0!</v>
      </c>
      <c r="CO113" s="691" t="e">
        <f t="shared" si="156"/>
        <v>#DIV/0!</v>
      </c>
      <c r="CP113" s="695" t="e">
        <f t="shared" si="156"/>
        <v>#DIV/0!</v>
      </c>
      <c r="CQ113" s="599" t="e">
        <f t="shared" si="156"/>
        <v>#DIV/0!</v>
      </c>
      <c r="CR113" s="652" t="e">
        <f t="shared" si="156"/>
        <v>#DIV/0!</v>
      </c>
      <c r="CS113" s="652" t="s">
        <v>93</v>
      </c>
      <c r="CT113" s="40" t="s">
        <v>93</v>
      </c>
      <c r="CU113" s="599">
        <f>STDEVA(CU107:CU111)</f>
        <v>0</v>
      </c>
      <c r="CV113" s="652" t="e">
        <f t="shared" ref="CV113:DJ113" si="157">STDEVA(CV107:CV111)</f>
        <v>#DIV/0!</v>
      </c>
      <c r="CW113" s="675" t="e">
        <f t="shared" si="157"/>
        <v>#VALUE!</v>
      </c>
      <c r="CX113" s="672" t="e">
        <f>STDEVA(CX107:CX111)</f>
        <v>#VALUE!</v>
      </c>
      <c r="CY113" s="672" t="e">
        <f t="shared" si="157"/>
        <v>#REF!</v>
      </c>
      <c r="CZ113" s="675" t="e">
        <f t="shared" si="157"/>
        <v>#VALUE!</v>
      </c>
      <c r="DA113" s="672" t="e">
        <f>STDEVA(DA107:DA111)</f>
        <v>#VALUE!</v>
      </c>
      <c r="DB113" s="672" t="e">
        <f>STDEVA(DB107:DB111)</f>
        <v>#VALUE!</v>
      </c>
      <c r="DC113" s="672" t="e">
        <f>STDEVA(DC107:DC111)</f>
        <v>#VALUE!</v>
      </c>
      <c r="DD113" s="672" t="e">
        <f>STDEVA(DD107:DD111)</f>
        <v>#VALUE!</v>
      </c>
      <c r="DE113" s="676" t="e">
        <f>STDEVA(DE107:DE111)</f>
        <v>#VALUE!</v>
      </c>
      <c r="DF113" s="682" t="e">
        <f t="shared" si="157"/>
        <v>#DIV/0!</v>
      </c>
      <c r="DG113" s="691" t="e">
        <f t="shared" si="157"/>
        <v>#DIV/0!</v>
      </c>
      <c r="DH113" s="695" t="e">
        <f t="shared" si="157"/>
        <v>#DIV/0!</v>
      </c>
      <c r="DI113" s="599" t="e">
        <f t="shared" si="157"/>
        <v>#DIV/0!</v>
      </c>
      <c r="DJ113" s="652" t="e">
        <f t="shared" si="157"/>
        <v>#DIV/0!</v>
      </c>
      <c r="DK113" s="652" t="s">
        <v>93</v>
      </c>
      <c r="DL113" s="40" t="s">
        <v>93</v>
      </c>
      <c r="DM113" s="599">
        <f>STDEVA(DM107:DM111)</f>
        <v>0</v>
      </c>
      <c r="DN113" s="652" t="e">
        <f t="shared" ref="DN113:EB113" si="158">STDEVA(DN107:DN111)</f>
        <v>#DIV/0!</v>
      </c>
      <c r="DO113" s="675" t="e">
        <f t="shared" si="158"/>
        <v>#VALUE!</v>
      </c>
      <c r="DP113" s="672" t="e">
        <f>STDEVA(DP107:DP111)</f>
        <v>#VALUE!</v>
      </c>
      <c r="DQ113" s="672" t="e">
        <f t="shared" si="158"/>
        <v>#REF!</v>
      </c>
      <c r="DR113" s="675" t="e">
        <f t="shared" si="158"/>
        <v>#VALUE!</v>
      </c>
      <c r="DS113" s="672" t="e">
        <f>STDEVA(DS107:DS111)</f>
        <v>#VALUE!</v>
      </c>
      <c r="DT113" s="672" t="e">
        <f>STDEVA(DT107:DT111)</f>
        <v>#VALUE!</v>
      </c>
      <c r="DU113" s="672" t="e">
        <f>STDEVA(DU107:DU111)</f>
        <v>#VALUE!</v>
      </c>
      <c r="DV113" s="672" t="e">
        <f>STDEVA(DV107:DV111)</f>
        <v>#VALUE!</v>
      </c>
      <c r="DW113" s="676" t="e">
        <f>STDEVA(DW107:DW111)</f>
        <v>#VALUE!</v>
      </c>
      <c r="DX113" s="682" t="e">
        <f t="shared" si="158"/>
        <v>#DIV/0!</v>
      </c>
      <c r="DY113" s="691" t="e">
        <f t="shared" si="158"/>
        <v>#DIV/0!</v>
      </c>
      <c r="DZ113" s="695" t="e">
        <f t="shared" si="158"/>
        <v>#DIV/0!</v>
      </c>
      <c r="EA113" s="653" t="e">
        <f t="shared" si="158"/>
        <v>#DIV/0!</v>
      </c>
      <c r="EB113" s="652" t="e">
        <f t="shared" si="158"/>
        <v>#DIV/0!</v>
      </c>
      <c r="EC113" s="652" t="s">
        <v>93</v>
      </c>
      <c r="ED113" s="40" t="s">
        <v>93</v>
      </c>
      <c r="EE113" s="599">
        <f>STDEVA(EE107:EE111)</f>
        <v>0</v>
      </c>
      <c r="EF113" s="652" t="e">
        <f t="shared" ref="EF113:ET113" si="159">STDEVA(EF107:EF111)</f>
        <v>#DIV/0!</v>
      </c>
      <c r="EG113" s="675" t="e">
        <f t="shared" si="159"/>
        <v>#VALUE!</v>
      </c>
      <c r="EH113" s="672" t="e">
        <f>STDEVA(EH107:EH111)</f>
        <v>#VALUE!</v>
      </c>
      <c r="EI113" s="672" t="e">
        <f t="shared" si="159"/>
        <v>#REF!</v>
      </c>
      <c r="EJ113" s="675" t="e">
        <f t="shared" si="159"/>
        <v>#VALUE!</v>
      </c>
      <c r="EK113" s="672" t="e">
        <f>STDEVA(EK107:EK111)</f>
        <v>#VALUE!</v>
      </c>
      <c r="EL113" s="672" t="e">
        <f>STDEVA(EL107:EL111)</f>
        <v>#VALUE!</v>
      </c>
      <c r="EM113" s="672" t="e">
        <f>STDEVA(EM107:EM111)</f>
        <v>#VALUE!</v>
      </c>
      <c r="EN113" s="672" t="e">
        <f>STDEVA(EN107:EN111)</f>
        <v>#VALUE!</v>
      </c>
      <c r="EO113" s="676" t="e">
        <f>STDEVA(EO107:EO111)</f>
        <v>#VALUE!</v>
      </c>
      <c r="EP113" s="682" t="e">
        <f t="shared" si="159"/>
        <v>#DIV/0!</v>
      </c>
      <c r="EQ113" s="691" t="e">
        <f t="shared" si="159"/>
        <v>#DIV/0!</v>
      </c>
      <c r="ER113" s="695" t="e">
        <f t="shared" si="159"/>
        <v>#DIV/0!</v>
      </c>
      <c r="ES113" s="599" t="e">
        <f t="shared" si="159"/>
        <v>#DIV/0!</v>
      </c>
      <c r="ET113" s="652" t="e">
        <f t="shared" si="159"/>
        <v>#DIV/0!</v>
      </c>
      <c r="EU113" s="652" t="s">
        <v>93</v>
      </c>
      <c r="EV113" s="40" t="s">
        <v>93</v>
      </c>
      <c r="EW113" s="599">
        <f>STDEVA(EW107:EW111)</f>
        <v>0</v>
      </c>
      <c r="EX113" s="652" t="e">
        <f t="shared" ref="EX113:FL113" si="160">STDEVA(EX107:EX111)</f>
        <v>#DIV/0!</v>
      </c>
      <c r="EY113" s="675" t="e">
        <f t="shared" si="160"/>
        <v>#VALUE!</v>
      </c>
      <c r="EZ113" s="672" t="e">
        <f>STDEVA(EZ107:EZ111)</f>
        <v>#VALUE!</v>
      </c>
      <c r="FA113" s="672" t="e">
        <f t="shared" si="160"/>
        <v>#REF!</v>
      </c>
      <c r="FB113" s="675" t="e">
        <f t="shared" si="160"/>
        <v>#VALUE!</v>
      </c>
      <c r="FC113" s="672" t="e">
        <f>STDEVA(FC107:FC111)</f>
        <v>#VALUE!</v>
      </c>
      <c r="FD113" s="672" t="e">
        <f>STDEVA(FD107:FD111)</f>
        <v>#VALUE!</v>
      </c>
      <c r="FE113" s="672" t="e">
        <f>STDEVA(FE107:FE111)</f>
        <v>#VALUE!</v>
      </c>
      <c r="FF113" s="672" t="e">
        <f>STDEVA(FF107:FF111)</f>
        <v>#VALUE!</v>
      </c>
      <c r="FG113" s="676" t="e">
        <f>STDEVA(FG107:FG111)</f>
        <v>#VALUE!</v>
      </c>
      <c r="FH113" s="682" t="e">
        <f t="shared" si="160"/>
        <v>#DIV/0!</v>
      </c>
      <c r="FI113" s="691" t="e">
        <f t="shared" si="160"/>
        <v>#DIV/0!</v>
      </c>
      <c r="FJ113" s="695" t="e">
        <f t="shared" si="160"/>
        <v>#DIV/0!</v>
      </c>
      <c r="FK113" s="599" t="e">
        <f t="shared" si="160"/>
        <v>#DIV/0!</v>
      </c>
      <c r="FL113" s="652" t="e">
        <f t="shared" si="160"/>
        <v>#DIV/0!</v>
      </c>
      <c r="FM113" s="652" t="s">
        <v>93</v>
      </c>
      <c r="FN113" s="40" t="s">
        <v>93</v>
      </c>
      <c r="FO113" s="599">
        <f>STDEVA(FO107:FO111)</f>
        <v>0</v>
      </c>
      <c r="FP113" s="652" t="e">
        <f t="shared" ref="FP113:GD113" si="161">STDEVA(FP107:FP111)</f>
        <v>#DIV/0!</v>
      </c>
      <c r="FQ113" s="675" t="e">
        <f t="shared" si="161"/>
        <v>#VALUE!</v>
      </c>
      <c r="FR113" s="672" t="e">
        <f>STDEVA(FR107:FR111)</f>
        <v>#VALUE!</v>
      </c>
      <c r="FS113" s="672" t="e">
        <f t="shared" si="161"/>
        <v>#REF!</v>
      </c>
      <c r="FT113" s="675" t="e">
        <f t="shared" si="161"/>
        <v>#VALUE!</v>
      </c>
      <c r="FU113" s="672" t="e">
        <f>STDEVA(FU107:FU111)</f>
        <v>#VALUE!</v>
      </c>
      <c r="FV113" s="672" t="e">
        <f>STDEVA(FV107:FV111)</f>
        <v>#VALUE!</v>
      </c>
      <c r="FW113" s="672" t="e">
        <f>STDEVA(FW107:FW111)</f>
        <v>#VALUE!</v>
      </c>
      <c r="FX113" s="672" t="e">
        <f>STDEVA(FX107:FX111)</f>
        <v>#VALUE!</v>
      </c>
      <c r="FY113" s="676" t="e">
        <f>STDEVA(FY107:FY111)</f>
        <v>#VALUE!</v>
      </c>
      <c r="FZ113" s="682" t="e">
        <f t="shared" si="161"/>
        <v>#DIV/0!</v>
      </c>
      <c r="GA113" s="691" t="e">
        <f t="shared" si="161"/>
        <v>#DIV/0!</v>
      </c>
      <c r="GB113" s="695" t="e">
        <f t="shared" si="161"/>
        <v>#DIV/0!</v>
      </c>
      <c r="GC113" s="599" t="e">
        <f t="shared" si="161"/>
        <v>#DIV/0!</v>
      </c>
      <c r="GD113" s="652" t="e">
        <f t="shared" si="161"/>
        <v>#DIV/0!</v>
      </c>
      <c r="GE113" s="652" t="s">
        <v>93</v>
      </c>
      <c r="GF113" s="40" t="s">
        <v>93</v>
      </c>
      <c r="GG113" s="599">
        <f>STDEVA(GG107:GG111)</f>
        <v>0</v>
      </c>
      <c r="GH113" s="652" t="e">
        <f t="shared" ref="GH113:GV113" si="162">STDEVA(GH107:GH111)</f>
        <v>#DIV/0!</v>
      </c>
      <c r="GI113" s="675" t="e">
        <f t="shared" si="162"/>
        <v>#VALUE!</v>
      </c>
      <c r="GJ113" s="672" t="e">
        <f>STDEVA(GJ107:GJ111)</f>
        <v>#VALUE!</v>
      </c>
      <c r="GK113" s="672" t="e">
        <f t="shared" si="162"/>
        <v>#REF!</v>
      </c>
      <c r="GL113" s="675" t="e">
        <f t="shared" si="162"/>
        <v>#VALUE!</v>
      </c>
      <c r="GM113" s="672" t="e">
        <f>STDEVA(GM107:GM111)</f>
        <v>#VALUE!</v>
      </c>
      <c r="GN113" s="672" t="e">
        <f>STDEVA(GN107:GN111)</f>
        <v>#VALUE!</v>
      </c>
      <c r="GO113" s="672" t="e">
        <f>STDEVA(GO107:GO111)</f>
        <v>#VALUE!</v>
      </c>
      <c r="GP113" s="672" t="e">
        <f>STDEVA(GP107:GP111)</f>
        <v>#VALUE!</v>
      </c>
      <c r="GQ113" s="676" t="e">
        <f>STDEVA(GQ107:GQ111)</f>
        <v>#VALUE!</v>
      </c>
      <c r="GR113" s="682" t="e">
        <f t="shared" si="162"/>
        <v>#DIV/0!</v>
      </c>
      <c r="GS113" s="691" t="e">
        <f t="shared" si="162"/>
        <v>#DIV/0!</v>
      </c>
      <c r="GT113" s="695" t="e">
        <f t="shared" si="162"/>
        <v>#DIV/0!</v>
      </c>
      <c r="GU113" s="653" t="e">
        <f t="shared" si="162"/>
        <v>#DIV/0!</v>
      </c>
      <c r="GV113" s="652" t="e">
        <f t="shared" si="162"/>
        <v>#DIV/0!</v>
      </c>
      <c r="GW113" s="652" t="s">
        <v>93</v>
      </c>
      <c r="GX113" s="40" t="s">
        <v>93</v>
      </c>
      <c r="GY113" s="599">
        <f>STDEVA(GY107:GY111)</f>
        <v>0</v>
      </c>
      <c r="GZ113" s="652" t="e">
        <f t="shared" ref="GZ113:HN113" si="163">STDEVA(GZ107:GZ111)</f>
        <v>#DIV/0!</v>
      </c>
      <c r="HA113" s="675" t="e">
        <f t="shared" si="163"/>
        <v>#VALUE!</v>
      </c>
      <c r="HB113" s="672" t="e">
        <f>STDEVA(HB107:HB111)</f>
        <v>#VALUE!</v>
      </c>
      <c r="HC113" s="672" t="e">
        <f t="shared" si="163"/>
        <v>#REF!</v>
      </c>
      <c r="HD113" s="675" t="e">
        <f t="shared" si="163"/>
        <v>#VALUE!</v>
      </c>
      <c r="HE113" s="672" t="e">
        <f>STDEVA(HE107:HE111)</f>
        <v>#VALUE!</v>
      </c>
      <c r="HF113" s="672" t="e">
        <f>STDEVA(HF107:HF111)</f>
        <v>#VALUE!</v>
      </c>
      <c r="HG113" s="672" t="e">
        <f>STDEVA(HG107:HG111)</f>
        <v>#VALUE!</v>
      </c>
      <c r="HH113" s="672" t="e">
        <f>STDEVA(HH107:HH111)</f>
        <v>#VALUE!</v>
      </c>
      <c r="HI113" s="676" t="e">
        <f>STDEVA(HI107:HI111)</f>
        <v>#VALUE!</v>
      </c>
      <c r="HJ113" s="682" t="e">
        <f t="shared" si="163"/>
        <v>#DIV/0!</v>
      </c>
      <c r="HK113" s="691" t="e">
        <f t="shared" si="163"/>
        <v>#DIV/0!</v>
      </c>
      <c r="HL113" s="695" t="e">
        <f t="shared" si="163"/>
        <v>#DIV/0!</v>
      </c>
      <c r="HM113" s="599" t="e">
        <f t="shared" si="163"/>
        <v>#DIV/0!</v>
      </c>
      <c r="HN113" s="652" t="e">
        <f t="shared" si="163"/>
        <v>#DIV/0!</v>
      </c>
      <c r="HO113" s="652" t="s">
        <v>93</v>
      </c>
      <c r="HP113" s="40" t="s">
        <v>93</v>
      </c>
      <c r="HQ113" s="599">
        <f>STDEVA(HQ107:HQ111)</f>
        <v>0</v>
      </c>
      <c r="HR113" s="652" t="e">
        <f t="shared" ref="HR113:IF113" si="164">STDEVA(HR107:HR111)</f>
        <v>#DIV/0!</v>
      </c>
      <c r="HS113" s="675" t="e">
        <f t="shared" si="164"/>
        <v>#VALUE!</v>
      </c>
      <c r="HT113" s="672" t="e">
        <f>STDEVA(HT107:HT111)</f>
        <v>#VALUE!</v>
      </c>
      <c r="HU113" s="672" t="e">
        <f t="shared" si="164"/>
        <v>#REF!</v>
      </c>
      <c r="HV113" s="675" t="e">
        <f t="shared" si="164"/>
        <v>#VALUE!</v>
      </c>
      <c r="HW113" s="672" t="e">
        <f>STDEVA(HW107:HW111)</f>
        <v>#VALUE!</v>
      </c>
      <c r="HX113" s="672" t="e">
        <f>STDEVA(HX107:HX111)</f>
        <v>#VALUE!</v>
      </c>
      <c r="HY113" s="672" t="e">
        <f>STDEVA(HY107:HY111)</f>
        <v>#VALUE!</v>
      </c>
      <c r="HZ113" s="672" t="e">
        <f>STDEVA(HZ107:HZ111)</f>
        <v>#VALUE!</v>
      </c>
      <c r="IA113" s="676" t="e">
        <f>STDEVA(IA107:IA111)</f>
        <v>#VALUE!</v>
      </c>
      <c r="IB113" s="682" t="e">
        <f t="shared" si="164"/>
        <v>#DIV/0!</v>
      </c>
      <c r="IC113" s="691" t="e">
        <f t="shared" si="164"/>
        <v>#DIV/0!</v>
      </c>
      <c r="ID113" s="695" t="e">
        <f t="shared" si="164"/>
        <v>#DIV/0!</v>
      </c>
      <c r="IE113" s="599" t="e">
        <f t="shared" si="164"/>
        <v>#DIV/0!</v>
      </c>
      <c r="IF113" s="652" t="e">
        <f t="shared" si="164"/>
        <v>#DIV/0!</v>
      </c>
      <c r="IG113" s="652" t="s">
        <v>93</v>
      </c>
      <c r="IH113" s="40" t="s">
        <v>93</v>
      </c>
      <c r="II113" s="599">
        <f>STDEVA(II107:II111)</f>
        <v>0</v>
      </c>
      <c r="IJ113" s="652" t="e">
        <f t="shared" ref="IJ113:IX113" si="165">STDEVA(IJ107:IJ111)</f>
        <v>#DIV/0!</v>
      </c>
      <c r="IK113" s="675" t="e">
        <f t="shared" si="165"/>
        <v>#VALUE!</v>
      </c>
      <c r="IL113" s="672" t="e">
        <f>STDEVA(IL107:IL111)</f>
        <v>#VALUE!</v>
      </c>
      <c r="IM113" s="672" t="e">
        <f t="shared" si="165"/>
        <v>#REF!</v>
      </c>
      <c r="IN113" s="675" t="e">
        <f t="shared" si="165"/>
        <v>#VALUE!</v>
      </c>
      <c r="IO113" s="672" t="e">
        <f>STDEVA(IO107:IO111)</f>
        <v>#VALUE!</v>
      </c>
      <c r="IP113" s="672" t="e">
        <f>STDEVA(IP107:IP111)</f>
        <v>#VALUE!</v>
      </c>
      <c r="IQ113" s="672" t="e">
        <f>STDEVA(IQ107:IQ111)</f>
        <v>#VALUE!</v>
      </c>
      <c r="IR113" s="672" t="e">
        <f>STDEVA(IR107:IR111)</f>
        <v>#VALUE!</v>
      </c>
      <c r="IS113" s="676" t="e">
        <f>STDEVA(IS107:IS111)</f>
        <v>#VALUE!</v>
      </c>
      <c r="IT113" s="682" t="e">
        <f t="shared" si="165"/>
        <v>#DIV/0!</v>
      </c>
      <c r="IU113" s="691" t="e">
        <f t="shared" si="165"/>
        <v>#DIV/0!</v>
      </c>
      <c r="IV113" s="695" t="e">
        <f t="shared" si="165"/>
        <v>#DIV/0!</v>
      </c>
      <c r="IW113" s="599" t="e">
        <f t="shared" si="165"/>
        <v>#DIV/0!</v>
      </c>
      <c r="IX113" s="652" t="e">
        <f t="shared" si="165"/>
        <v>#DIV/0!</v>
      </c>
      <c r="IY113" s="652" t="s">
        <v>93</v>
      </c>
      <c r="IZ113" s="40" t="s">
        <v>93</v>
      </c>
      <c r="JA113" s="599">
        <f>STDEVA(JA107:JA111)</f>
        <v>0</v>
      </c>
      <c r="JB113" s="652" t="e">
        <f t="shared" ref="JB113:JP113" si="166">STDEVA(JB107:JB111)</f>
        <v>#DIV/0!</v>
      </c>
      <c r="JC113" s="675" t="e">
        <f t="shared" si="166"/>
        <v>#VALUE!</v>
      </c>
      <c r="JD113" s="672" t="e">
        <f>STDEVA(JD107:JD111)</f>
        <v>#VALUE!</v>
      </c>
      <c r="JE113" s="672" t="e">
        <f t="shared" si="166"/>
        <v>#REF!</v>
      </c>
      <c r="JF113" s="675" t="e">
        <f t="shared" si="166"/>
        <v>#VALUE!</v>
      </c>
      <c r="JG113" s="672" t="e">
        <f>STDEVA(JG107:JG111)</f>
        <v>#VALUE!</v>
      </c>
      <c r="JH113" s="672" t="e">
        <f>STDEVA(JH107:JH111)</f>
        <v>#VALUE!</v>
      </c>
      <c r="JI113" s="672" t="e">
        <f>STDEVA(JI107:JI111)</f>
        <v>#VALUE!</v>
      </c>
      <c r="JJ113" s="672" t="e">
        <f>STDEVA(JJ107:JJ111)</f>
        <v>#VALUE!</v>
      </c>
      <c r="JK113" s="676" t="e">
        <f>STDEVA(JK107:JK111)</f>
        <v>#VALUE!</v>
      </c>
      <c r="JL113" s="682" t="e">
        <f t="shared" si="166"/>
        <v>#DIV/0!</v>
      </c>
      <c r="JM113" s="691" t="e">
        <f t="shared" si="166"/>
        <v>#DIV/0!</v>
      </c>
      <c r="JN113" s="695" t="e">
        <f t="shared" si="166"/>
        <v>#DIV/0!</v>
      </c>
      <c r="JO113" s="599" t="e">
        <f t="shared" si="166"/>
        <v>#DIV/0!</v>
      </c>
      <c r="JP113" s="652" t="e">
        <f t="shared" si="166"/>
        <v>#DIV/0!</v>
      </c>
      <c r="JQ113" s="652" t="s">
        <v>93</v>
      </c>
      <c r="JR113" s="40" t="s">
        <v>93</v>
      </c>
      <c r="JS113" s="599">
        <f>STDEVA(JS107:JS111)</f>
        <v>0</v>
      </c>
      <c r="JT113" s="652" t="e">
        <f t="shared" ref="JT113:KH113" si="167">STDEVA(JT107:JT111)</f>
        <v>#DIV/0!</v>
      </c>
      <c r="JU113" s="675" t="e">
        <f t="shared" si="167"/>
        <v>#VALUE!</v>
      </c>
      <c r="JV113" s="672" t="e">
        <f>STDEVA(JV107:JV111)</f>
        <v>#VALUE!</v>
      </c>
      <c r="JW113" s="672" t="e">
        <f t="shared" si="167"/>
        <v>#REF!</v>
      </c>
      <c r="JX113" s="675" t="e">
        <f t="shared" si="167"/>
        <v>#VALUE!</v>
      </c>
      <c r="JY113" s="672" t="e">
        <f>STDEVA(JY107:JY111)</f>
        <v>#VALUE!</v>
      </c>
      <c r="JZ113" s="672" t="e">
        <f>STDEVA(JZ107:JZ111)</f>
        <v>#VALUE!</v>
      </c>
      <c r="KA113" s="672" t="e">
        <f>STDEVA(KA107:KA111)</f>
        <v>#VALUE!</v>
      </c>
      <c r="KB113" s="672" t="e">
        <f>STDEVA(KB107:KB111)</f>
        <v>#VALUE!</v>
      </c>
      <c r="KC113" s="676" t="e">
        <f>STDEVA(KC107:KC111)</f>
        <v>#VALUE!</v>
      </c>
      <c r="KD113" s="682" t="e">
        <f t="shared" si="167"/>
        <v>#DIV/0!</v>
      </c>
      <c r="KE113" s="691" t="e">
        <f t="shared" si="167"/>
        <v>#DIV/0!</v>
      </c>
      <c r="KF113" s="695" t="e">
        <f t="shared" si="167"/>
        <v>#DIV/0!</v>
      </c>
      <c r="KG113" s="599" t="e">
        <f t="shared" si="167"/>
        <v>#DIV/0!</v>
      </c>
      <c r="KH113" s="652" t="e">
        <f t="shared" si="167"/>
        <v>#DIV/0!</v>
      </c>
      <c r="KI113" s="652" t="s">
        <v>93</v>
      </c>
      <c r="KJ113" s="40" t="s">
        <v>93</v>
      </c>
      <c r="KK113" s="599">
        <f>STDEVA(KK107:KK111)</f>
        <v>0</v>
      </c>
      <c r="KL113" s="652" t="e">
        <f t="shared" ref="KL113:KZ113" si="168">STDEVA(KL107:KL111)</f>
        <v>#DIV/0!</v>
      </c>
      <c r="KM113" s="675" t="e">
        <f t="shared" si="168"/>
        <v>#VALUE!</v>
      </c>
      <c r="KN113" s="672" t="e">
        <f>STDEVA(KN107:KN111)</f>
        <v>#VALUE!</v>
      </c>
      <c r="KO113" s="672" t="e">
        <f t="shared" si="168"/>
        <v>#REF!</v>
      </c>
      <c r="KP113" s="675" t="e">
        <f t="shared" si="168"/>
        <v>#VALUE!</v>
      </c>
      <c r="KQ113" s="672" t="e">
        <f>STDEVA(KQ107:KQ111)</f>
        <v>#VALUE!</v>
      </c>
      <c r="KR113" s="672" t="e">
        <f>STDEVA(KR107:KR111)</f>
        <v>#VALUE!</v>
      </c>
      <c r="KS113" s="672" t="e">
        <f>STDEVA(KS107:KS111)</f>
        <v>#VALUE!</v>
      </c>
      <c r="KT113" s="672" t="e">
        <f>STDEVA(KT107:KT111)</f>
        <v>#VALUE!</v>
      </c>
      <c r="KU113" s="676" t="e">
        <f>STDEVA(KU107:KU111)</f>
        <v>#VALUE!</v>
      </c>
      <c r="KV113" s="682" t="e">
        <f t="shared" si="168"/>
        <v>#DIV/0!</v>
      </c>
      <c r="KW113" s="691" t="e">
        <f t="shared" si="168"/>
        <v>#DIV/0!</v>
      </c>
      <c r="KX113" s="695" t="e">
        <f t="shared" si="168"/>
        <v>#DIV/0!</v>
      </c>
      <c r="KY113" s="599" t="e">
        <f t="shared" si="168"/>
        <v>#DIV/0!</v>
      </c>
      <c r="KZ113" s="652" t="e">
        <f t="shared" si="168"/>
        <v>#DIV/0!</v>
      </c>
      <c r="LA113" s="652" t="s">
        <v>93</v>
      </c>
      <c r="LB113" s="40" t="s">
        <v>93</v>
      </c>
      <c r="LC113" s="599">
        <f>STDEVA(LC107:LC111)</f>
        <v>0</v>
      </c>
      <c r="LD113" s="652" t="e">
        <f t="shared" ref="LD113:LR113" si="169">STDEVA(LD107:LD111)</f>
        <v>#DIV/0!</v>
      </c>
      <c r="LE113" s="675" t="e">
        <f t="shared" si="169"/>
        <v>#VALUE!</v>
      </c>
      <c r="LF113" s="672" t="e">
        <f>STDEVA(LF107:LF111)</f>
        <v>#VALUE!</v>
      </c>
      <c r="LG113" s="672" t="e">
        <f t="shared" si="169"/>
        <v>#REF!</v>
      </c>
      <c r="LH113" s="675" t="e">
        <f t="shared" si="169"/>
        <v>#VALUE!</v>
      </c>
      <c r="LI113" s="672" t="e">
        <f>STDEVA(LI107:LI111)</f>
        <v>#VALUE!</v>
      </c>
      <c r="LJ113" s="672" t="e">
        <f>STDEVA(LJ107:LJ111)</f>
        <v>#VALUE!</v>
      </c>
      <c r="LK113" s="672" t="e">
        <f>STDEVA(LK107:LK111)</f>
        <v>#VALUE!</v>
      </c>
      <c r="LL113" s="672" t="e">
        <f>STDEVA(LL107:LL111)</f>
        <v>#VALUE!</v>
      </c>
      <c r="LM113" s="676" t="e">
        <f>STDEVA(LM107:LM111)</f>
        <v>#VALUE!</v>
      </c>
      <c r="LN113" s="682" t="e">
        <f t="shared" si="169"/>
        <v>#DIV/0!</v>
      </c>
      <c r="LO113" s="691" t="e">
        <f t="shared" si="169"/>
        <v>#DIV/0!</v>
      </c>
      <c r="LP113" s="695" t="e">
        <f t="shared" si="169"/>
        <v>#DIV/0!</v>
      </c>
      <c r="LQ113" s="599" t="e">
        <f t="shared" si="169"/>
        <v>#DIV/0!</v>
      </c>
      <c r="LR113" s="652" t="e">
        <f t="shared" si="169"/>
        <v>#DIV/0!</v>
      </c>
      <c r="LS113" s="652" t="s">
        <v>93</v>
      </c>
      <c r="LT113" s="40" t="s">
        <v>93</v>
      </c>
      <c r="LU113" s="599">
        <f>STDEVA(LU107:LU111)</f>
        <v>0</v>
      </c>
      <c r="LV113" s="652" t="e">
        <f t="shared" ref="LV113:MJ113" si="170">STDEVA(LV107:LV111)</f>
        <v>#DIV/0!</v>
      </c>
      <c r="LW113" s="675" t="e">
        <f t="shared" si="170"/>
        <v>#VALUE!</v>
      </c>
      <c r="LX113" s="672" t="e">
        <f>STDEVA(LX107:LX111)</f>
        <v>#VALUE!</v>
      </c>
      <c r="LY113" s="672" t="e">
        <f t="shared" si="170"/>
        <v>#REF!</v>
      </c>
      <c r="LZ113" s="675" t="e">
        <f t="shared" si="170"/>
        <v>#VALUE!</v>
      </c>
      <c r="MA113" s="672" t="e">
        <f>STDEVA(MA107:MA111)</f>
        <v>#VALUE!</v>
      </c>
      <c r="MB113" s="672" t="e">
        <f>STDEVA(MB107:MB111)</f>
        <v>#VALUE!</v>
      </c>
      <c r="MC113" s="672" t="e">
        <f>STDEVA(MC107:MC111)</f>
        <v>#VALUE!</v>
      </c>
      <c r="MD113" s="672" t="e">
        <f>STDEVA(MD107:MD111)</f>
        <v>#VALUE!</v>
      </c>
      <c r="ME113" s="676" t="e">
        <f>STDEVA(ME107:ME111)</f>
        <v>#VALUE!</v>
      </c>
      <c r="MF113" s="682" t="e">
        <f t="shared" si="170"/>
        <v>#DIV/0!</v>
      </c>
      <c r="MG113" s="691" t="e">
        <f t="shared" si="170"/>
        <v>#DIV/0!</v>
      </c>
      <c r="MH113" s="695" t="e">
        <f t="shared" si="170"/>
        <v>#DIV/0!</v>
      </c>
      <c r="MI113" s="599" t="e">
        <f t="shared" si="170"/>
        <v>#DIV/0!</v>
      </c>
      <c r="MJ113" s="652" t="e">
        <f t="shared" si="170"/>
        <v>#DIV/0!</v>
      </c>
      <c r="MK113" s="652" t="s">
        <v>93</v>
      </c>
      <c r="ML113" s="40" t="s">
        <v>93</v>
      </c>
      <c r="MM113" s="599">
        <f>STDEVA(MM107:MM111)</f>
        <v>0</v>
      </c>
      <c r="MN113" s="652" t="e">
        <f t="shared" ref="MN113:NB113" si="171">STDEVA(MN107:MN111)</f>
        <v>#DIV/0!</v>
      </c>
      <c r="MO113" s="675" t="e">
        <f t="shared" si="171"/>
        <v>#VALUE!</v>
      </c>
      <c r="MP113" s="672" t="e">
        <f>STDEVA(MP107:MP111)</f>
        <v>#VALUE!</v>
      </c>
      <c r="MQ113" s="672" t="e">
        <f t="shared" si="171"/>
        <v>#REF!</v>
      </c>
      <c r="MR113" s="675" t="e">
        <f t="shared" si="171"/>
        <v>#VALUE!</v>
      </c>
      <c r="MS113" s="672" t="e">
        <f>STDEVA(MS107:MS111)</f>
        <v>#VALUE!</v>
      </c>
      <c r="MT113" s="672" t="e">
        <f>STDEVA(MT107:MT111)</f>
        <v>#VALUE!</v>
      </c>
      <c r="MU113" s="672" t="e">
        <f>STDEVA(MU107:MU111)</f>
        <v>#VALUE!</v>
      </c>
      <c r="MV113" s="672" t="e">
        <f>STDEVA(MV107:MV111)</f>
        <v>#VALUE!</v>
      </c>
      <c r="MW113" s="676" t="e">
        <f>STDEVA(MW107:MW111)</f>
        <v>#VALUE!</v>
      </c>
      <c r="MX113" s="682" t="e">
        <f t="shared" si="171"/>
        <v>#DIV/0!</v>
      </c>
      <c r="MY113" s="691" t="e">
        <f t="shared" si="171"/>
        <v>#DIV/0!</v>
      </c>
      <c r="MZ113" s="695" t="e">
        <f t="shared" si="171"/>
        <v>#DIV/0!</v>
      </c>
      <c r="NA113" s="599" t="e">
        <f t="shared" si="171"/>
        <v>#DIV/0!</v>
      </c>
      <c r="NB113" s="652" t="e">
        <f t="shared" si="171"/>
        <v>#DIV/0!</v>
      </c>
      <c r="NC113" s="652" t="s">
        <v>93</v>
      </c>
      <c r="ND113" s="40" t="s">
        <v>93</v>
      </c>
      <c r="NE113" s="599">
        <f>STDEVA(NE107:NE111)</f>
        <v>0</v>
      </c>
      <c r="NF113" s="652" t="e">
        <f t="shared" ref="NF113:NT113" si="172">STDEVA(NF107:NF111)</f>
        <v>#DIV/0!</v>
      </c>
      <c r="NG113" s="675" t="e">
        <f t="shared" si="172"/>
        <v>#VALUE!</v>
      </c>
      <c r="NH113" s="672" t="e">
        <f>STDEVA(NH107:NH111)</f>
        <v>#VALUE!</v>
      </c>
      <c r="NI113" s="672" t="e">
        <f t="shared" si="172"/>
        <v>#REF!</v>
      </c>
      <c r="NJ113" s="675" t="e">
        <f t="shared" si="172"/>
        <v>#VALUE!</v>
      </c>
      <c r="NK113" s="672" t="e">
        <f>STDEVA(NK107:NK111)</f>
        <v>#VALUE!</v>
      </c>
      <c r="NL113" s="672" t="e">
        <f>STDEVA(NL107:NL111)</f>
        <v>#VALUE!</v>
      </c>
      <c r="NM113" s="672" t="e">
        <f>STDEVA(NM107:NM111)</f>
        <v>#VALUE!</v>
      </c>
      <c r="NN113" s="672" t="e">
        <f>STDEVA(NN107:NN111)</f>
        <v>#VALUE!</v>
      </c>
      <c r="NO113" s="676" t="e">
        <f>STDEVA(NO107:NO111)</f>
        <v>#VALUE!</v>
      </c>
      <c r="NP113" s="682" t="e">
        <f t="shared" si="172"/>
        <v>#DIV/0!</v>
      </c>
      <c r="NQ113" s="691" t="e">
        <f t="shared" si="172"/>
        <v>#DIV/0!</v>
      </c>
      <c r="NR113" s="695" t="e">
        <f t="shared" si="172"/>
        <v>#DIV/0!</v>
      </c>
      <c r="NS113" s="599" t="e">
        <f t="shared" si="172"/>
        <v>#DIV/0!</v>
      </c>
      <c r="NT113" s="652" t="e">
        <f t="shared" si="172"/>
        <v>#DIV/0!</v>
      </c>
      <c r="NU113" s="652" t="s">
        <v>93</v>
      </c>
      <c r="NV113" s="40" t="s">
        <v>93</v>
      </c>
      <c r="NW113" s="599">
        <f>STDEVA(NW107:NW111)</f>
        <v>0</v>
      </c>
      <c r="NX113" s="652" t="e">
        <f t="shared" ref="NX113:OL113" si="173">STDEVA(NX107:NX111)</f>
        <v>#DIV/0!</v>
      </c>
      <c r="NY113" s="675" t="e">
        <f t="shared" si="173"/>
        <v>#VALUE!</v>
      </c>
      <c r="NZ113" s="672" t="e">
        <f>STDEVA(NZ107:NZ111)</f>
        <v>#VALUE!</v>
      </c>
      <c r="OA113" s="672" t="e">
        <f t="shared" si="173"/>
        <v>#REF!</v>
      </c>
      <c r="OB113" s="675" t="e">
        <f t="shared" si="173"/>
        <v>#VALUE!</v>
      </c>
      <c r="OC113" s="672" t="e">
        <f>STDEVA(OC107:OC111)</f>
        <v>#VALUE!</v>
      </c>
      <c r="OD113" s="672" t="e">
        <f>STDEVA(OD107:OD111)</f>
        <v>#VALUE!</v>
      </c>
      <c r="OE113" s="672" t="e">
        <f>STDEVA(OE107:OE111)</f>
        <v>#VALUE!</v>
      </c>
      <c r="OF113" s="672" t="e">
        <f>STDEVA(OF107:OF111)</f>
        <v>#VALUE!</v>
      </c>
      <c r="OG113" s="676" t="e">
        <f>STDEVA(OG107:OG111)</f>
        <v>#VALUE!</v>
      </c>
      <c r="OH113" s="682" t="e">
        <f t="shared" si="173"/>
        <v>#DIV/0!</v>
      </c>
      <c r="OI113" s="691" t="e">
        <f t="shared" si="173"/>
        <v>#DIV/0!</v>
      </c>
      <c r="OJ113" s="695" t="e">
        <f t="shared" si="173"/>
        <v>#DIV/0!</v>
      </c>
      <c r="OK113" s="599" t="e">
        <f t="shared" si="173"/>
        <v>#DIV/0!</v>
      </c>
      <c r="OL113" s="652" t="e">
        <f t="shared" si="173"/>
        <v>#DIV/0!</v>
      </c>
      <c r="OM113" s="652" t="s">
        <v>93</v>
      </c>
      <c r="ON113" s="40" t="s">
        <v>93</v>
      </c>
      <c r="OO113" s="599">
        <f>STDEVA(OO107:OO111)</f>
        <v>0</v>
      </c>
      <c r="OP113" s="652" t="e">
        <f t="shared" ref="OP113:PD113" si="174">STDEVA(OP107:OP111)</f>
        <v>#DIV/0!</v>
      </c>
      <c r="OQ113" s="675" t="e">
        <f t="shared" si="174"/>
        <v>#VALUE!</v>
      </c>
      <c r="OR113" s="672" t="e">
        <f>STDEVA(OR107:OR111)</f>
        <v>#VALUE!</v>
      </c>
      <c r="OS113" s="672" t="e">
        <f t="shared" si="174"/>
        <v>#REF!</v>
      </c>
      <c r="OT113" s="675" t="e">
        <f t="shared" si="174"/>
        <v>#VALUE!</v>
      </c>
      <c r="OU113" s="672" t="e">
        <f>STDEVA(OU107:OU111)</f>
        <v>#VALUE!</v>
      </c>
      <c r="OV113" s="672" t="e">
        <f>STDEVA(OV107:OV111)</f>
        <v>#VALUE!</v>
      </c>
      <c r="OW113" s="672" t="e">
        <f>STDEVA(OW107:OW111)</f>
        <v>#VALUE!</v>
      </c>
      <c r="OX113" s="672" t="e">
        <f>STDEVA(OX107:OX111)</f>
        <v>#VALUE!</v>
      </c>
      <c r="OY113" s="676" t="e">
        <f>STDEVA(OY107:OY111)</f>
        <v>#VALUE!</v>
      </c>
      <c r="OZ113" s="682" t="e">
        <f t="shared" si="174"/>
        <v>#DIV/0!</v>
      </c>
      <c r="PA113" s="691" t="e">
        <f t="shared" si="174"/>
        <v>#DIV/0!</v>
      </c>
      <c r="PB113" s="695" t="e">
        <f t="shared" si="174"/>
        <v>#DIV/0!</v>
      </c>
      <c r="PC113" s="599" t="e">
        <f t="shared" si="174"/>
        <v>#DIV/0!</v>
      </c>
      <c r="PD113" s="652" t="e">
        <f t="shared" si="174"/>
        <v>#DIV/0!</v>
      </c>
      <c r="PE113" s="652" t="s">
        <v>93</v>
      </c>
      <c r="PF113" s="40" t="s">
        <v>93</v>
      </c>
      <c r="PG113" s="599">
        <f>STDEVA(PG107:PG111)</f>
        <v>0</v>
      </c>
      <c r="PH113" s="652" t="e">
        <f t="shared" ref="PH113:PV113" si="175">STDEVA(PH107:PH111)</f>
        <v>#DIV/0!</v>
      </c>
      <c r="PI113" s="675" t="e">
        <f t="shared" si="175"/>
        <v>#VALUE!</v>
      </c>
      <c r="PJ113" s="672" t="e">
        <f>STDEVA(PJ107:PJ111)</f>
        <v>#VALUE!</v>
      </c>
      <c r="PK113" s="672" t="e">
        <f t="shared" si="175"/>
        <v>#REF!</v>
      </c>
      <c r="PL113" s="675" t="e">
        <f t="shared" si="175"/>
        <v>#VALUE!</v>
      </c>
      <c r="PM113" s="672" t="e">
        <f>STDEVA(PM107:PM111)</f>
        <v>#VALUE!</v>
      </c>
      <c r="PN113" s="672" t="e">
        <f>STDEVA(PN107:PN111)</f>
        <v>#VALUE!</v>
      </c>
      <c r="PO113" s="672" t="e">
        <f>STDEVA(PO107:PO111)</f>
        <v>#VALUE!</v>
      </c>
      <c r="PP113" s="672" t="e">
        <f>STDEVA(PP107:PP111)</f>
        <v>#VALUE!</v>
      </c>
      <c r="PQ113" s="676" t="e">
        <f>STDEVA(PQ107:PQ111)</f>
        <v>#VALUE!</v>
      </c>
      <c r="PR113" s="682" t="e">
        <f t="shared" si="175"/>
        <v>#DIV/0!</v>
      </c>
      <c r="PS113" s="691" t="e">
        <f t="shared" si="175"/>
        <v>#DIV/0!</v>
      </c>
      <c r="PT113" s="695" t="e">
        <f t="shared" si="175"/>
        <v>#DIV/0!</v>
      </c>
      <c r="PU113" s="599" t="e">
        <f t="shared" si="175"/>
        <v>#DIV/0!</v>
      </c>
      <c r="PV113" s="652" t="e">
        <f t="shared" si="175"/>
        <v>#DIV/0!</v>
      </c>
      <c r="PW113" s="652" t="s">
        <v>93</v>
      </c>
      <c r="PX113" s="40" t="s">
        <v>93</v>
      </c>
      <c r="PY113" s="599">
        <f>STDEVA(PY107:PY111)</f>
        <v>0</v>
      </c>
      <c r="PZ113" s="652" t="e">
        <f t="shared" ref="PZ113:QN113" si="176">STDEVA(PZ107:PZ111)</f>
        <v>#DIV/0!</v>
      </c>
      <c r="QA113" s="675" t="e">
        <f t="shared" si="176"/>
        <v>#VALUE!</v>
      </c>
      <c r="QB113" s="672" t="e">
        <f>STDEVA(QB107:QB111)</f>
        <v>#VALUE!</v>
      </c>
      <c r="QC113" s="672" t="e">
        <f t="shared" si="176"/>
        <v>#REF!</v>
      </c>
      <c r="QD113" s="675" t="e">
        <f t="shared" si="176"/>
        <v>#VALUE!</v>
      </c>
      <c r="QE113" s="672" t="e">
        <f>STDEVA(QE107:QE111)</f>
        <v>#VALUE!</v>
      </c>
      <c r="QF113" s="672" t="e">
        <f>STDEVA(QF107:QF111)</f>
        <v>#VALUE!</v>
      </c>
      <c r="QG113" s="672" t="e">
        <f>STDEVA(QG107:QG111)</f>
        <v>#VALUE!</v>
      </c>
      <c r="QH113" s="672" t="e">
        <f>STDEVA(QH107:QH111)</f>
        <v>#VALUE!</v>
      </c>
      <c r="QI113" s="676" t="e">
        <f>STDEVA(QI107:QI111)</f>
        <v>#VALUE!</v>
      </c>
      <c r="QJ113" s="682" t="e">
        <f t="shared" si="176"/>
        <v>#DIV/0!</v>
      </c>
      <c r="QK113" s="691" t="e">
        <f t="shared" si="176"/>
        <v>#DIV/0!</v>
      </c>
      <c r="QL113" s="695" t="e">
        <f t="shared" si="176"/>
        <v>#DIV/0!</v>
      </c>
      <c r="QM113" s="599" t="e">
        <f t="shared" si="176"/>
        <v>#DIV/0!</v>
      </c>
      <c r="QN113" s="652" t="e">
        <f t="shared" si="176"/>
        <v>#DIV/0!</v>
      </c>
      <c r="QO113" s="652" t="s">
        <v>93</v>
      </c>
      <c r="QP113" s="40" t="s">
        <v>93</v>
      </c>
      <c r="QQ113" s="599">
        <f>STDEVA(QQ107:QQ111)</f>
        <v>0</v>
      </c>
      <c r="QR113" s="652" t="e">
        <f t="shared" ref="QR113:RF113" si="177">STDEVA(QR107:QR111)</f>
        <v>#DIV/0!</v>
      </c>
      <c r="QS113" s="675" t="e">
        <f t="shared" si="177"/>
        <v>#VALUE!</v>
      </c>
      <c r="QT113" s="672" t="e">
        <f>STDEVA(QT107:QT111)</f>
        <v>#VALUE!</v>
      </c>
      <c r="QU113" s="672" t="e">
        <f t="shared" si="177"/>
        <v>#REF!</v>
      </c>
      <c r="QV113" s="675" t="e">
        <f t="shared" si="177"/>
        <v>#VALUE!</v>
      </c>
      <c r="QW113" s="672" t="e">
        <f>STDEVA(QW107:QW111)</f>
        <v>#VALUE!</v>
      </c>
      <c r="QX113" s="672" t="e">
        <f>STDEVA(QX107:QX111)</f>
        <v>#VALUE!</v>
      </c>
      <c r="QY113" s="672" t="e">
        <f>STDEVA(QY107:QY111)</f>
        <v>#VALUE!</v>
      </c>
      <c r="QZ113" s="672" t="e">
        <f>STDEVA(QZ107:QZ111)</f>
        <v>#VALUE!</v>
      </c>
      <c r="RA113" s="676" t="e">
        <f>STDEVA(RA107:RA111)</f>
        <v>#VALUE!</v>
      </c>
      <c r="RB113" s="682" t="e">
        <f t="shared" si="177"/>
        <v>#DIV/0!</v>
      </c>
      <c r="RC113" s="691" t="e">
        <f t="shared" si="177"/>
        <v>#DIV/0!</v>
      </c>
      <c r="RD113" s="695" t="e">
        <f t="shared" si="177"/>
        <v>#DIV/0!</v>
      </c>
      <c r="RE113" s="599" t="e">
        <f t="shared" si="177"/>
        <v>#DIV/0!</v>
      </c>
      <c r="RF113" s="652" t="e">
        <f t="shared" si="177"/>
        <v>#DIV/0!</v>
      </c>
      <c r="RG113" s="652" t="s">
        <v>93</v>
      </c>
      <c r="RH113" s="40" t="s">
        <v>93</v>
      </c>
      <c r="RI113" s="599">
        <f>STDEVA(RI107:RI111)</f>
        <v>0</v>
      </c>
      <c r="RJ113" s="652" t="e">
        <f t="shared" ref="RJ113:RX113" si="178">STDEVA(RJ107:RJ111)</f>
        <v>#DIV/0!</v>
      </c>
      <c r="RK113" s="675" t="e">
        <f t="shared" si="178"/>
        <v>#VALUE!</v>
      </c>
      <c r="RL113" s="672" t="e">
        <f>STDEVA(RL107:RL111)</f>
        <v>#VALUE!</v>
      </c>
      <c r="RM113" s="672" t="e">
        <f t="shared" si="178"/>
        <v>#REF!</v>
      </c>
      <c r="RN113" s="675" t="e">
        <f t="shared" si="178"/>
        <v>#VALUE!</v>
      </c>
      <c r="RO113" s="672" t="e">
        <f>STDEVA(RO107:RO111)</f>
        <v>#VALUE!</v>
      </c>
      <c r="RP113" s="672" t="e">
        <f>STDEVA(RP107:RP111)</f>
        <v>#VALUE!</v>
      </c>
      <c r="RQ113" s="672" t="e">
        <f>STDEVA(RQ107:RQ111)</f>
        <v>#VALUE!</v>
      </c>
      <c r="RR113" s="672" t="e">
        <f>STDEVA(RR107:RR111)</f>
        <v>#VALUE!</v>
      </c>
      <c r="RS113" s="676" t="e">
        <f>STDEVA(RS107:RS111)</f>
        <v>#VALUE!</v>
      </c>
      <c r="RT113" s="682" t="e">
        <f t="shared" si="178"/>
        <v>#DIV/0!</v>
      </c>
      <c r="RU113" s="691" t="e">
        <f t="shared" si="178"/>
        <v>#DIV/0!</v>
      </c>
      <c r="RV113" s="695" t="e">
        <f t="shared" si="178"/>
        <v>#DIV/0!</v>
      </c>
      <c r="RW113" s="599" t="e">
        <f t="shared" si="178"/>
        <v>#DIV/0!</v>
      </c>
      <c r="RX113" s="652" t="e">
        <f t="shared" si="178"/>
        <v>#DIV/0!</v>
      </c>
      <c r="RY113" s="652" t="s">
        <v>93</v>
      </c>
      <c r="RZ113" s="40" t="s">
        <v>93</v>
      </c>
      <c r="SA113" s="599">
        <f>STDEVA(SA107:SA111)</f>
        <v>0</v>
      </c>
      <c r="SB113" s="652" t="e">
        <f t="shared" ref="SB113:SP113" si="179">STDEVA(SB107:SB111)</f>
        <v>#DIV/0!</v>
      </c>
      <c r="SC113" s="675" t="e">
        <f t="shared" si="179"/>
        <v>#VALUE!</v>
      </c>
      <c r="SD113" s="672" t="e">
        <f>STDEVA(SD107:SD111)</f>
        <v>#VALUE!</v>
      </c>
      <c r="SE113" s="672" t="e">
        <f t="shared" si="179"/>
        <v>#REF!</v>
      </c>
      <c r="SF113" s="675" t="e">
        <f t="shared" si="179"/>
        <v>#VALUE!</v>
      </c>
      <c r="SG113" s="672" t="e">
        <f>STDEVA(SG107:SG111)</f>
        <v>#VALUE!</v>
      </c>
      <c r="SH113" s="672" t="e">
        <f>STDEVA(SH107:SH111)</f>
        <v>#VALUE!</v>
      </c>
      <c r="SI113" s="672" t="e">
        <f>STDEVA(SI107:SI111)</f>
        <v>#VALUE!</v>
      </c>
      <c r="SJ113" s="672" t="e">
        <f>STDEVA(SJ107:SJ111)</f>
        <v>#VALUE!</v>
      </c>
      <c r="SK113" s="676" t="e">
        <f>STDEVA(SK107:SK111)</f>
        <v>#VALUE!</v>
      </c>
      <c r="SL113" s="682" t="e">
        <f t="shared" si="179"/>
        <v>#DIV/0!</v>
      </c>
      <c r="SM113" s="691" t="e">
        <f t="shared" si="179"/>
        <v>#DIV/0!</v>
      </c>
      <c r="SN113" s="695" t="e">
        <f t="shared" si="179"/>
        <v>#DIV/0!</v>
      </c>
      <c r="SO113" s="599" t="e">
        <f t="shared" si="179"/>
        <v>#DIV/0!</v>
      </c>
      <c r="SP113" s="652" t="e">
        <f t="shared" si="179"/>
        <v>#DIV/0!</v>
      </c>
      <c r="SQ113" s="652" t="s">
        <v>93</v>
      </c>
      <c r="SR113" s="40" t="s">
        <v>93</v>
      </c>
      <c r="SS113" s="599">
        <f>STDEVA(SS107:SS111)</f>
        <v>0</v>
      </c>
      <c r="ST113" s="652" t="e">
        <f t="shared" ref="ST113:TH113" si="180">STDEVA(ST107:ST111)</f>
        <v>#DIV/0!</v>
      </c>
      <c r="SU113" s="675" t="e">
        <f t="shared" si="180"/>
        <v>#VALUE!</v>
      </c>
      <c r="SV113" s="672" t="e">
        <f>STDEVA(SV107:SV111)</f>
        <v>#VALUE!</v>
      </c>
      <c r="SW113" s="672" t="e">
        <f t="shared" si="180"/>
        <v>#REF!</v>
      </c>
      <c r="SX113" s="675" t="e">
        <f t="shared" si="180"/>
        <v>#VALUE!</v>
      </c>
      <c r="SY113" s="672" t="e">
        <f>STDEVA(SY107:SY111)</f>
        <v>#VALUE!</v>
      </c>
      <c r="SZ113" s="672" t="e">
        <f>STDEVA(SZ107:SZ111)</f>
        <v>#VALUE!</v>
      </c>
      <c r="TA113" s="672" t="e">
        <f>STDEVA(TA107:TA111)</f>
        <v>#VALUE!</v>
      </c>
      <c r="TB113" s="672" t="e">
        <f>STDEVA(TB107:TB111)</f>
        <v>#VALUE!</v>
      </c>
      <c r="TC113" s="676" t="e">
        <f>STDEVA(TC107:TC111)</f>
        <v>#VALUE!</v>
      </c>
      <c r="TD113" s="682" t="e">
        <f t="shared" si="180"/>
        <v>#DIV/0!</v>
      </c>
      <c r="TE113" s="691" t="e">
        <f t="shared" si="180"/>
        <v>#DIV/0!</v>
      </c>
      <c r="TF113" s="695" t="e">
        <f t="shared" si="180"/>
        <v>#DIV/0!</v>
      </c>
      <c r="TG113" s="599" t="e">
        <f t="shared" si="180"/>
        <v>#DIV/0!</v>
      </c>
      <c r="TH113" s="652" t="e">
        <f t="shared" si="180"/>
        <v>#DIV/0!</v>
      </c>
      <c r="TI113" s="652" t="s">
        <v>93</v>
      </c>
      <c r="TJ113" s="40" t="s">
        <v>93</v>
      </c>
      <c r="TK113" s="599">
        <f>STDEVA(TK107:TK111)</f>
        <v>0</v>
      </c>
      <c r="TL113" s="652" t="e">
        <f t="shared" ref="TL113:TZ113" si="181">STDEVA(TL107:TL111)</f>
        <v>#DIV/0!</v>
      </c>
      <c r="TM113" s="675" t="e">
        <f t="shared" si="181"/>
        <v>#VALUE!</v>
      </c>
      <c r="TN113" s="672" t="e">
        <f>STDEVA(TN107:TN111)</f>
        <v>#VALUE!</v>
      </c>
      <c r="TO113" s="672" t="e">
        <f t="shared" si="181"/>
        <v>#REF!</v>
      </c>
      <c r="TP113" s="675" t="e">
        <f t="shared" si="181"/>
        <v>#VALUE!</v>
      </c>
      <c r="TQ113" s="672" t="e">
        <f>STDEVA(TQ107:TQ111)</f>
        <v>#VALUE!</v>
      </c>
      <c r="TR113" s="672" t="e">
        <f>STDEVA(TR107:TR111)</f>
        <v>#VALUE!</v>
      </c>
      <c r="TS113" s="672" t="e">
        <f>STDEVA(TS107:TS111)</f>
        <v>#VALUE!</v>
      </c>
      <c r="TT113" s="672" t="e">
        <f>STDEVA(TT107:TT111)</f>
        <v>#VALUE!</v>
      </c>
      <c r="TU113" s="676" t="e">
        <f>STDEVA(TU107:TU111)</f>
        <v>#VALUE!</v>
      </c>
      <c r="TV113" s="682" t="e">
        <f t="shared" si="181"/>
        <v>#DIV/0!</v>
      </c>
      <c r="TW113" s="691" t="e">
        <f t="shared" si="181"/>
        <v>#DIV/0!</v>
      </c>
      <c r="TX113" s="695" t="e">
        <f t="shared" si="181"/>
        <v>#DIV/0!</v>
      </c>
      <c r="TY113" s="599" t="e">
        <f t="shared" si="181"/>
        <v>#DIV/0!</v>
      </c>
      <c r="TZ113" s="652" t="e">
        <f t="shared" si="181"/>
        <v>#DIV/0!</v>
      </c>
      <c r="UA113" s="652" t="s">
        <v>93</v>
      </c>
      <c r="UB113" s="40" t="s">
        <v>93</v>
      </c>
      <c r="UC113" s="599">
        <f>STDEVA(UC107:UC111)</f>
        <v>0</v>
      </c>
      <c r="UD113" s="652" t="e">
        <f t="shared" ref="UD113:UR113" si="182">STDEVA(UD107:UD111)</f>
        <v>#DIV/0!</v>
      </c>
      <c r="UE113" s="675" t="e">
        <f t="shared" si="182"/>
        <v>#VALUE!</v>
      </c>
      <c r="UF113" s="672" t="e">
        <f>STDEVA(UF107:UF111)</f>
        <v>#VALUE!</v>
      </c>
      <c r="UG113" s="672" t="e">
        <f t="shared" si="182"/>
        <v>#REF!</v>
      </c>
      <c r="UH113" s="675" t="e">
        <f t="shared" si="182"/>
        <v>#VALUE!</v>
      </c>
      <c r="UI113" s="672" t="e">
        <f>STDEVA(UI107:UI111)</f>
        <v>#VALUE!</v>
      </c>
      <c r="UJ113" s="672" t="e">
        <f>STDEVA(UJ107:UJ111)</f>
        <v>#VALUE!</v>
      </c>
      <c r="UK113" s="672" t="e">
        <f>STDEVA(UK107:UK111)</f>
        <v>#VALUE!</v>
      </c>
      <c r="UL113" s="672" t="e">
        <f>STDEVA(UL107:UL111)</f>
        <v>#VALUE!</v>
      </c>
      <c r="UM113" s="676" t="e">
        <f>STDEVA(UM107:UM111)</f>
        <v>#VALUE!</v>
      </c>
      <c r="UN113" s="682" t="e">
        <f t="shared" si="182"/>
        <v>#DIV/0!</v>
      </c>
      <c r="UO113" s="691" t="e">
        <f t="shared" si="182"/>
        <v>#DIV/0!</v>
      </c>
      <c r="UP113" s="695" t="e">
        <f t="shared" si="182"/>
        <v>#DIV/0!</v>
      </c>
      <c r="UQ113" s="599" t="e">
        <f t="shared" si="182"/>
        <v>#DIV/0!</v>
      </c>
      <c r="UR113" s="652" t="e">
        <f t="shared" si="182"/>
        <v>#DIV/0!</v>
      </c>
      <c r="US113" s="652" t="s">
        <v>93</v>
      </c>
      <c r="UT113" s="40" t="s">
        <v>93</v>
      </c>
      <c r="UU113" s="599">
        <f>STDEVA(UU107:UU111)</f>
        <v>0</v>
      </c>
      <c r="UV113" s="652" t="e">
        <f>STDEVA(UV107:UV111)</f>
        <v>#DIV/0!</v>
      </c>
      <c r="UW113" s="675" t="e">
        <f>STDEVA(UW107:UW111)</f>
        <v>#VALUE!</v>
      </c>
      <c r="UX113" s="672" t="e">
        <f>STDEVA(UX107:UX111)</f>
        <v>#VALUE!</v>
      </c>
      <c r="UY113" s="672" t="e">
        <f t="shared" ref="UY113:VE113" si="183">STDEVA(UY107:UY111)</f>
        <v>#REF!</v>
      </c>
      <c r="UZ113" s="675" t="e">
        <f t="shared" si="183"/>
        <v>#VALUE!</v>
      </c>
      <c r="VA113" s="672" t="e">
        <f t="shared" si="183"/>
        <v>#VALUE!</v>
      </c>
      <c r="VB113" s="672" t="e">
        <f t="shared" si="183"/>
        <v>#VALUE!</v>
      </c>
      <c r="VC113" s="672" t="e">
        <f>STDEVA(VC107:VC111)</f>
        <v>#VALUE!</v>
      </c>
      <c r="VD113" s="672" t="e">
        <f t="shared" si="183"/>
        <v>#VALUE!</v>
      </c>
      <c r="VE113" s="676" t="e">
        <f t="shared" si="183"/>
        <v>#VALUE!</v>
      </c>
    </row>
    <row r="114" spans="1:577" x14ac:dyDescent="0.25">
      <c r="A114" s="1537" t="s">
        <v>63</v>
      </c>
      <c r="B114" s="688">
        <f>(B113/B112)*100</f>
        <v>0.41052994432486284</v>
      </c>
      <c r="C114" s="619">
        <f t="shared" ref="C114:F114" si="184">C113/C112*100</f>
        <v>0.83125203624527499</v>
      </c>
      <c r="D114" s="619">
        <f t="shared" si="184"/>
        <v>0</v>
      </c>
      <c r="E114" s="672">
        <f t="shared" si="184"/>
        <v>-1.8761476930370745E-2</v>
      </c>
      <c r="F114" s="619">
        <f t="shared" si="184"/>
        <v>0</v>
      </c>
      <c r="G114" s="619" t="s">
        <v>93</v>
      </c>
      <c r="H114" s="38" t="s">
        <v>93</v>
      </c>
      <c r="I114" s="672">
        <f>I113/I112*100</f>
        <v>-1.8761476930370519E-2</v>
      </c>
      <c r="J114" s="619">
        <f>J113/J112*100</f>
        <v>2.8498536226376377E-2</v>
      </c>
      <c r="K114" s="675">
        <f>K113/K112*100</f>
        <v>-2.8531062059140778E-2</v>
      </c>
      <c r="L114" s="672">
        <f>L113/L112*100</f>
        <v>-2.8532473941713852E-2</v>
      </c>
      <c r="M114" s="672" t="e">
        <f t="shared" ref="M114:V114" si="185">M113/M112*100</f>
        <v>#REF!</v>
      </c>
      <c r="N114" s="672">
        <f t="shared" ref="N114:S114" si="186">N113/N112*100</f>
        <v>2.8532473941711455E-2</v>
      </c>
      <c r="O114" s="672">
        <f t="shared" si="186"/>
        <v>2.8532473941712197E-2</v>
      </c>
      <c r="P114" s="672">
        <f t="shared" si="186"/>
        <v>2.8532473941710497E-2</v>
      </c>
      <c r="Q114" s="672">
        <f t="shared" si="186"/>
        <v>2.8532473941710858E-2</v>
      </c>
      <c r="R114" s="672">
        <f t="shared" si="186"/>
        <v>2.8532473941710858E-2</v>
      </c>
      <c r="S114" s="676">
        <f t="shared" si="186"/>
        <v>2.8532473941711451E-2</v>
      </c>
      <c r="T114" s="1538" t="e">
        <f t="shared" si="185"/>
        <v>#DIV/0!</v>
      </c>
      <c r="U114" s="1538" t="e">
        <f t="shared" si="185"/>
        <v>#DIV/0!</v>
      </c>
      <c r="V114" s="1539" t="e">
        <f t="shared" si="185"/>
        <v>#DIV/0!</v>
      </c>
      <c r="W114" s="619" t="e">
        <f>W113/W112*100</f>
        <v>#DIV/0!</v>
      </c>
      <c r="X114" s="619" t="e">
        <f>X113/X112*100</f>
        <v>#DIV/0!</v>
      </c>
      <c r="Y114" s="619" t="s">
        <v>93</v>
      </c>
      <c r="Z114" s="38" t="s">
        <v>93</v>
      </c>
      <c r="AA114" s="672" t="e">
        <f>AA113/AA112*100</f>
        <v>#DIV/0!</v>
      </c>
      <c r="AB114" s="619" t="e">
        <f>AB113/AB112*100</f>
        <v>#DIV/0!</v>
      </c>
      <c r="AC114" s="675" t="e">
        <f>AC113/AC112*100</f>
        <v>#VALUE!</v>
      </c>
      <c r="AD114" s="672" t="e">
        <f>AD113/AD112*100</f>
        <v>#VALUE!</v>
      </c>
      <c r="AE114" s="672" t="e">
        <f t="shared" ref="AE114:AO114" si="187">AE113/AE112*100</f>
        <v>#REF!</v>
      </c>
      <c r="AF114" s="675" t="e">
        <f t="shared" si="187"/>
        <v>#VALUE!</v>
      </c>
      <c r="AG114" s="672" t="e">
        <f>AG113/AG112*100</f>
        <v>#VALUE!</v>
      </c>
      <c r="AH114" s="672" t="e">
        <f>AH113/AH112*100</f>
        <v>#VALUE!</v>
      </c>
      <c r="AI114" s="672" t="e">
        <f>AI113/AI112*100</f>
        <v>#VALUE!</v>
      </c>
      <c r="AJ114" s="672" t="e">
        <f>AJ113/AJ112*100</f>
        <v>#VALUE!</v>
      </c>
      <c r="AK114" s="676" t="e">
        <f>AK113/AK112*100</f>
        <v>#VALUE!</v>
      </c>
      <c r="AL114" s="688" t="e">
        <f t="shared" si="187"/>
        <v>#DIV/0!</v>
      </c>
      <c r="AM114" s="1538" t="e">
        <f t="shared" si="187"/>
        <v>#DIV/0!</v>
      </c>
      <c r="AN114" s="1539" t="e">
        <f t="shared" si="187"/>
        <v>#DIV/0!</v>
      </c>
      <c r="AO114" s="619" t="e">
        <f t="shared" si="187"/>
        <v>#DIV/0!</v>
      </c>
      <c r="AP114" s="619" t="e">
        <f>AP113/AP112*100</f>
        <v>#DIV/0!</v>
      </c>
      <c r="AQ114" s="619" t="s">
        <v>93</v>
      </c>
      <c r="AR114" s="38" t="s">
        <v>93</v>
      </c>
      <c r="AS114" s="672" t="e">
        <f>AS113/AS112*100</f>
        <v>#DIV/0!</v>
      </c>
      <c r="AT114" s="619" t="e">
        <f t="shared" ref="AT114:BH114" si="188">AT113/AT112*100</f>
        <v>#DIV/0!</v>
      </c>
      <c r="AU114" s="675" t="e">
        <f t="shared" si="188"/>
        <v>#VALUE!</v>
      </c>
      <c r="AV114" s="672" t="e">
        <f>AV113/AV112*100</f>
        <v>#VALUE!</v>
      </c>
      <c r="AW114" s="672" t="e">
        <f t="shared" si="188"/>
        <v>#REF!</v>
      </c>
      <c r="AX114" s="675" t="e">
        <f t="shared" si="188"/>
        <v>#VALUE!</v>
      </c>
      <c r="AY114" s="672" t="e">
        <f>AY113/AY112*100</f>
        <v>#VALUE!</v>
      </c>
      <c r="AZ114" s="672" t="e">
        <f>AZ113/AZ112*100</f>
        <v>#VALUE!</v>
      </c>
      <c r="BA114" s="672" t="e">
        <f>BA113/BA112*100</f>
        <v>#VALUE!</v>
      </c>
      <c r="BB114" s="672" t="e">
        <f>BB113/BB112*100</f>
        <v>#VALUE!</v>
      </c>
      <c r="BC114" s="676" t="e">
        <f>BC113/BC112*100</f>
        <v>#VALUE!</v>
      </c>
      <c r="BD114" s="688" t="e">
        <f t="shared" si="188"/>
        <v>#DIV/0!</v>
      </c>
      <c r="BE114" s="1538" t="e">
        <f t="shared" si="188"/>
        <v>#DIV/0!</v>
      </c>
      <c r="BF114" s="1539" t="e">
        <f t="shared" si="188"/>
        <v>#DIV/0!</v>
      </c>
      <c r="BG114" s="672" t="e">
        <f t="shared" si="188"/>
        <v>#DIV/0!</v>
      </c>
      <c r="BH114" s="619" t="e">
        <f t="shared" si="188"/>
        <v>#DIV/0!</v>
      </c>
      <c r="BI114" s="619" t="s">
        <v>93</v>
      </c>
      <c r="BJ114" s="38" t="s">
        <v>93</v>
      </c>
      <c r="BK114" s="672" t="e">
        <f>BK113/BK112*100</f>
        <v>#DIV/0!</v>
      </c>
      <c r="BL114" s="619" t="e">
        <f t="shared" ref="BL114:BZ114" si="189">BL113/BL112*100</f>
        <v>#DIV/0!</v>
      </c>
      <c r="BM114" s="675" t="e">
        <f t="shared" si="189"/>
        <v>#VALUE!</v>
      </c>
      <c r="BN114" s="672" t="e">
        <f>BN113/BN112*100</f>
        <v>#VALUE!</v>
      </c>
      <c r="BO114" s="672" t="e">
        <f t="shared" si="189"/>
        <v>#REF!</v>
      </c>
      <c r="BP114" s="675" t="e">
        <f t="shared" si="189"/>
        <v>#VALUE!</v>
      </c>
      <c r="BQ114" s="672" t="e">
        <f>BQ113/BQ112*100</f>
        <v>#VALUE!</v>
      </c>
      <c r="BR114" s="672" t="e">
        <f>BR113/BR112*100</f>
        <v>#VALUE!</v>
      </c>
      <c r="BS114" s="672" t="e">
        <f>BS113/BS112*100</f>
        <v>#VALUE!</v>
      </c>
      <c r="BT114" s="672" t="e">
        <f>BT113/BT112*100</f>
        <v>#VALUE!</v>
      </c>
      <c r="BU114" s="676" t="e">
        <f>BU113/BU112*100</f>
        <v>#VALUE!</v>
      </c>
      <c r="BV114" s="688" t="e">
        <f t="shared" si="189"/>
        <v>#DIV/0!</v>
      </c>
      <c r="BW114" s="1538" t="e">
        <f t="shared" si="189"/>
        <v>#DIV/0!</v>
      </c>
      <c r="BX114" s="1539" t="e">
        <f t="shared" si="189"/>
        <v>#DIV/0!</v>
      </c>
      <c r="BY114" s="672" t="e">
        <f t="shared" si="189"/>
        <v>#DIV/0!</v>
      </c>
      <c r="BZ114" s="619" t="e">
        <f t="shared" si="189"/>
        <v>#DIV/0!</v>
      </c>
      <c r="CA114" s="619" t="s">
        <v>93</v>
      </c>
      <c r="CB114" s="38" t="s">
        <v>93</v>
      </c>
      <c r="CC114" s="672" t="e">
        <f>CC113/CC112*100</f>
        <v>#DIV/0!</v>
      </c>
      <c r="CD114" s="619" t="e">
        <f t="shared" ref="CD114:CR114" si="190">CD113/CD112*100</f>
        <v>#DIV/0!</v>
      </c>
      <c r="CE114" s="675" t="e">
        <f t="shared" si="190"/>
        <v>#VALUE!</v>
      </c>
      <c r="CF114" s="672" t="e">
        <f>CF113/CF112*100</f>
        <v>#VALUE!</v>
      </c>
      <c r="CG114" s="672" t="e">
        <f t="shared" si="190"/>
        <v>#REF!</v>
      </c>
      <c r="CH114" s="675" t="e">
        <f t="shared" si="190"/>
        <v>#VALUE!</v>
      </c>
      <c r="CI114" s="672" t="e">
        <f>CI113/CI112*100</f>
        <v>#VALUE!</v>
      </c>
      <c r="CJ114" s="672" t="e">
        <f>CJ113/CJ112*100</f>
        <v>#VALUE!</v>
      </c>
      <c r="CK114" s="672" t="e">
        <f>CK113/CK112*100</f>
        <v>#VALUE!</v>
      </c>
      <c r="CL114" s="672" t="e">
        <f>CL113/CL112*100</f>
        <v>#VALUE!</v>
      </c>
      <c r="CM114" s="676" t="e">
        <f>CM113/CM112*100</f>
        <v>#VALUE!</v>
      </c>
      <c r="CN114" s="688" t="e">
        <f t="shared" si="190"/>
        <v>#DIV/0!</v>
      </c>
      <c r="CO114" s="1538" t="e">
        <f t="shared" si="190"/>
        <v>#DIV/0!</v>
      </c>
      <c r="CP114" s="1539" t="e">
        <f t="shared" si="190"/>
        <v>#DIV/0!</v>
      </c>
      <c r="CQ114" s="672" t="e">
        <f t="shared" si="190"/>
        <v>#DIV/0!</v>
      </c>
      <c r="CR114" s="619" t="e">
        <f t="shared" si="190"/>
        <v>#DIV/0!</v>
      </c>
      <c r="CS114" s="619" t="s">
        <v>93</v>
      </c>
      <c r="CT114" s="38" t="s">
        <v>93</v>
      </c>
      <c r="CU114" s="672" t="e">
        <f>CU113/CU112*100</f>
        <v>#DIV/0!</v>
      </c>
      <c r="CV114" s="619" t="e">
        <f t="shared" ref="CV114:DJ114" si="191">CV113/CV112*100</f>
        <v>#DIV/0!</v>
      </c>
      <c r="CW114" s="675" t="e">
        <f t="shared" si="191"/>
        <v>#VALUE!</v>
      </c>
      <c r="CX114" s="672" t="e">
        <f>CX113/CX112*100</f>
        <v>#VALUE!</v>
      </c>
      <c r="CY114" s="672" t="e">
        <f t="shared" si="191"/>
        <v>#REF!</v>
      </c>
      <c r="CZ114" s="675" t="e">
        <f t="shared" si="191"/>
        <v>#VALUE!</v>
      </c>
      <c r="DA114" s="672" t="e">
        <f>DA113/DA112*100</f>
        <v>#VALUE!</v>
      </c>
      <c r="DB114" s="672" t="e">
        <f>DB113/DB112*100</f>
        <v>#VALUE!</v>
      </c>
      <c r="DC114" s="672" t="e">
        <f>DC113/DC112*100</f>
        <v>#VALUE!</v>
      </c>
      <c r="DD114" s="672" t="e">
        <f>DD113/DD112*100</f>
        <v>#VALUE!</v>
      </c>
      <c r="DE114" s="676" t="e">
        <f>DE113/DE112*100</f>
        <v>#VALUE!</v>
      </c>
      <c r="DF114" s="688" t="e">
        <f t="shared" si="191"/>
        <v>#DIV/0!</v>
      </c>
      <c r="DG114" s="1538" t="e">
        <f t="shared" si="191"/>
        <v>#DIV/0!</v>
      </c>
      <c r="DH114" s="1539" t="e">
        <f t="shared" si="191"/>
        <v>#DIV/0!</v>
      </c>
      <c r="DI114" s="672" t="e">
        <f t="shared" si="191"/>
        <v>#DIV/0!</v>
      </c>
      <c r="DJ114" s="619" t="e">
        <f t="shared" si="191"/>
        <v>#DIV/0!</v>
      </c>
      <c r="DK114" s="619" t="s">
        <v>93</v>
      </c>
      <c r="DL114" s="38" t="s">
        <v>93</v>
      </c>
      <c r="DM114" s="672" t="e">
        <f>DM113/DM112*100</f>
        <v>#DIV/0!</v>
      </c>
      <c r="DN114" s="619" t="e">
        <f t="shared" ref="DN114:EB114" si="192">DN113/DN112*100</f>
        <v>#DIV/0!</v>
      </c>
      <c r="DO114" s="675" t="e">
        <f t="shared" si="192"/>
        <v>#VALUE!</v>
      </c>
      <c r="DP114" s="672" t="e">
        <f>DP113/DP112*100</f>
        <v>#VALUE!</v>
      </c>
      <c r="DQ114" s="672" t="e">
        <f t="shared" si="192"/>
        <v>#REF!</v>
      </c>
      <c r="DR114" s="675" t="e">
        <f t="shared" si="192"/>
        <v>#VALUE!</v>
      </c>
      <c r="DS114" s="672" t="e">
        <f>DS113/DS112*100</f>
        <v>#VALUE!</v>
      </c>
      <c r="DT114" s="672" t="e">
        <f>DT113/DT112*100</f>
        <v>#VALUE!</v>
      </c>
      <c r="DU114" s="672" t="e">
        <f>DU113/DU112*100</f>
        <v>#VALUE!</v>
      </c>
      <c r="DV114" s="672" t="e">
        <f>DV113/DV112*100</f>
        <v>#VALUE!</v>
      </c>
      <c r="DW114" s="676" t="e">
        <f>DW113/DW112*100</f>
        <v>#VALUE!</v>
      </c>
      <c r="DX114" s="688" t="e">
        <f t="shared" si="192"/>
        <v>#DIV/0!</v>
      </c>
      <c r="DY114" s="1538" t="e">
        <f t="shared" si="192"/>
        <v>#DIV/0!</v>
      </c>
      <c r="DZ114" s="1539" t="e">
        <f t="shared" si="192"/>
        <v>#DIV/0!</v>
      </c>
      <c r="EA114" s="674" t="e">
        <f t="shared" si="192"/>
        <v>#DIV/0!</v>
      </c>
      <c r="EB114" s="619" t="e">
        <f t="shared" si="192"/>
        <v>#DIV/0!</v>
      </c>
      <c r="EC114" s="619" t="s">
        <v>93</v>
      </c>
      <c r="ED114" s="38" t="s">
        <v>93</v>
      </c>
      <c r="EE114" s="672" t="e">
        <f>EE113/EE112*100</f>
        <v>#DIV/0!</v>
      </c>
      <c r="EF114" s="619" t="e">
        <f t="shared" ref="EF114:ET114" si="193">EF113/EF112*100</f>
        <v>#DIV/0!</v>
      </c>
      <c r="EG114" s="675" t="e">
        <f t="shared" si="193"/>
        <v>#VALUE!</v>
      </c>
      <c r="EH114" s="672" t="e">
        <f>EH113/EH112*100</f>
        <v>#VALUE!</v>
      </c>
      <c r="EI114" s="672" t="e">
        <f t="shared" si="193"/>
        <v>#REF!</v>
      </c>
      <c r="EJ114" s="675" t="e">
        <f t="shared" si="193"/>
        <v>#VALUE!</v>
      </c>
      <c r="EK114" s="672" t="e">
        <f>EK113/EK112*100</f>
        <v>#VALUE!</v>
      </c>
      <c r="EL114" s="672" t="e">
        <f>EL113/EL112*100</f>
        <v>#VALUE!</v>
      </c>
      <c r="EM114" s="672" t="e">
        <f>EM113/EM112*100</f>
        <v>#VALUE!</v>
      </c>
      <c r="EN114" s="672" t="e">
        <f>EN113/EN112*100</f>
        <v>#VALUE!</v>
      </c>
      <c r="EO114" s="676" t="e">
        <f>EO113/EO112*100</f>
        <v>#VALUE!</v>
      </c>
      <c r="EP114" s="688" t="e">
        <f t="shared" si="193"/>
        <v>#DIV/0!</v>
      </c>
      <c r="EQ114" s="1538" t="e">
        <f t="shared" si="193"/>
        <v>#DIV/0!</v>
      </c>
      <c r="ER114" s="1539" t="e">
        <f t="shared" si="193"/>
        <v>#DIV/0!</v>
      </c>
      <c r="ES114" s="672" t="e">
        <f t="shared" si="193"/>
        <v>#DIV/0!</v>
      </c>
      <c r="ET114" s="619" t="e">
        <f t="shared" si="193"/>
        <v>#DIV/0!</v>
      </c>
      <c r="EU114" s="619" t="s">
        <v>93</v>
      </c>
      <c r="EV114" s="38" t="s">
        <v>93</v>
      </c>
      <c r="EW114" s="672" t="e">
        <f>EW113/EW112*100</f>
        <v>#DIV/0!</v>
      </c>
      <c r="EX114" s="619" t="e">
        <f t="shared" ref="EX114:FL114" si="194">EX113/EX112*100</f>
        <v>#DIV/0!</v>
      </c>
      <c r="EY114" s="675" t="e">
        <f t="shared" si="194"/>
        <v>#VALUE!</v>
      </c>
      <c r="EZ114" s="672" t="e">
        <f>EZ113/EZ112*100</f>
        <v>#VALUE!</v>
      </c>
      <c r="FA114" s="672" t="e">
        <f t="shared" si="194"/>
        <v>#REF!</v>
      </c>
      <c r="FB114" s="675" t="e">
        <f t="shared" si="194"/>
        <v>#VALUE!</v>
      </c>
      <c r="FC114" s="672" t="e">
        <f>FC113/FC112*100</f>
        <v>#VALUE!</v>
      </c>
      <c r="FD114" s="672" t="e">
        <f>FD113/FD112*100</f>
        <v>#VALUE!</v>
      </c>
      <c r="FE114" s="672" t="e">
        <f>FE113/FE112*100</f>
        <v>#VALUE!</v>
      </c>
      <c r="FF114" s="672" t="e">
        <f>FF113/FF112*100</f>
        <v>#VALUE!</v>
      </c>
      <c r="FG114" s="676" t="e">
        <f>FG113/FG112*100</f>
        <v>#VALUE!</v>
      </c>
      <c r="FH114" s="688" t="e">
        <f t="shared" si="194"/>
        <v>#DIV/0!</v>
      </c>
      <c r="FI114" s="1538" t="e">
        <f t="shared" si="194"/>
        <v>#DIV/0!</v>
      </c>
      <c r="FJ114" s="1539" t="e">
        <f t="shared" si="194"/>
        <v>#DIV/0!</v>
      </c>
      <c r="FK114" s="672" t="e">
        <f t="shared" si="194"/>
        <v>#DIV/0!</v>
      </c>
      <c r="FL114" s="619" t="e">
        <f t="shared" si="194"/>
        <v>#DIV/0!</v>
      </c>
      <c r="FM114" s="619" t="s">
        <v>93</v>
      </c>
      <c r="FN114" s="38" t="s">
        <v>93</v>
      </c>
      <c r="FO114" s="672" t="e">
        <f>FO113/FO112*100</f>
        <v>#DIV/0!</v>
      </c>
      <c r="FP114" s="619" t="e">
        <f t="shared" ref="FP114:GD114" si="195">FP113/FP112*100</f>
        <v>#DIV/0!</v>
      </c>
      <c r="FQ114" s="675" t="e">
        <f t="shared" si="195"/>
        <v>#VALUE!</v>
      </c>
      <c r="FR114" s="672" t="e">
        <f>FR113/FR112*100</f>
        <v>#VALUE!</v>
      </c>
      <c r="FS114" s="672" t="e">
        <f t="shared" si="195"/>
        <v>#REF!</v>
      </c>
      <c r="FT114" s="675" t="e">
        <f t="shared" si="195"/>
        <v>#VALUE!</v>
      </c>
      <c r="FU114" s="672" t="e">
        <f>FU113/FU112*100</f>
        <v>#VALUE!</v>
      </c>
      <c r="FV114" s="672" t="e">
        <f>FV113/FV112*100</f>
        <v>#VALUE!</v>
      </c>
      <c r="FW114" s="672" t="e">
        <f>FW113/FW112*100</f>
        <v>#VALUE!</v>
      </c>
      <c r="FX114" s="672" t="e">
        <f>FX113/FX112*100</f>
        <v>#VALUE!</v>
      </c>
      <c r="FY114" s="676" t="e">
        <f>FY113/FY112*100</f>
        <v>#VALUE!</v>
      </c>
      <c r="FZ114" s="688" t="e">
        <f t="shared" si="195"/>
        <v>#DIV/0!</v>
      </c>
      <c r="GA114" s="1538" t="e">
        <f t="shared" si="195"/>
        <v>#DIV/0!</v>
      </c>
      <c r="GB114" s="1539" t="e">
        <f t="shared" si="195"/>
        <v>#DIV/0!</v>
      </c>
      <c r="GC114" s="672" t="e">
        <f t="shared" si="195"/>
        <v>#DIV/0!</v>
      </c>
      <c r="GD114" s="619" t="e">
        <f t="shared" si="195"/>
        <v>#DIV/0!</v>
      </c>
      <c r="GE114" s="619" t="s">
        <v>93</v>
      </c>
      <c r="GF114" s="38" t="s">
        <v>93</v>
      </c>
      <c r="GG114" s="672" t="e">
        <f>GG113/GG112*100</f>
        <v>#DIV/0!</v>
      </c>
      <c r="GH114" s="619" t="e">
        <f t="shared" ref="GH114:GV114" si="196">GH113/GH112*100</f>
        <v>#DIV/0!</v>
      </c>
      <c r="GI114" s="675" t="e">
        <f t="shared" si="196"/>
        <v>#VALUE!</v>
      </c>
      <c r="GJ114" s="672" t="e">
        <f>GJ113/GJ112*100</f>
        <v>#VALUE!</v>
      </c>
      <c r="GK114" s="672" t="e">
        <f t="shared" si="196"/>
        <v>#REF!</v>
      </c>
      <c r="GL114" s="675" t="e">
        <f t="shared" si="196"/>
        <v>#VALUE!</v>
      </c>
      <c r="GM114" s="672" t="e">
        <f>GM113/GM112*100</f>
        <v>#VALUE!</v>
      </c>
      <c r="GN114" s="672" t="e">
        <f>GN113/GN112*100</f>
        <v>#VALUE!</v>
      </c>
      <c r="GO114" s="672" t="e">
        <f>GO113/GO112*100</f>
        <v>#VALUE!</v>
      </c>
      <c r="GP114" s="672" t="e">
        <f>GP113/GP112*100</f>
        <v>#VALUE!</v>
      </c>
      <c r="GQ114" s="676" t="e">
        <f>GQ113/GQ112*100</f>
        <v>#VALUE!</v>
      </c>
      <c r="GR114" s="688" t="e">
        <f t="shared" si="196"/>
        <v>#DIV/0!</v>
      </c>
      <c r="GS114" s="1538" t="e">
        <f t="shared" si="196"/>
        <v>#DIV/0!</v>
      </c>
      <c r="GT114" s="1539" t="e">
        <f t="shared" si="196"/>
        <v>#DIV/0!</v>
      </c>
      <c r="GU114" s="674" t="e">
        <f t="shared" si="196"/>
        <v>#DIV/0!</v>
      </c>
      <c r="GV114" s="619" t="e">
        <f t="shared" si="196"/>
        <v>#DIV/0!</v>
      </c>
      <c r="GW114" s="619" t="s">
        <v>93</v>
      </c>
      <c r="GX114" s="38" t="s">
        <v>93</v>
      </c>
      <c r="GY114" s="672" t="e">
        <f>GY113/GY112*100</f>
        <v>#DIV/0!</v>
      </c>
      <c r="GZ114" s="619" t="e">
        <f t="shared" ref="GZ114:HN114" si="197">GZ113/GZ112*100</f>
        <v>#DIV/0!</v>
      </c>
      <c r="HA114" s="675" t="e">
        <f t="shared" si="197"/>
        <v>#VALUE!</v>
      </c>
      <c r="HB114" s="672" t="e">
        <f>HB113/HB112*100</f>
        <v>#VALUE!</v>
      </c>
      <c r="HC114" s="672" t="e">
        <f t="shared" si="197"/>
        <v>#REF!</v>
      </c>
      <c r="HD114" s="675" t="e">
        <f t="shared" si="197"/>
        <v>#VALUE!</v>
      </c>
      <c r="HE114" s="672" t="e">
        <f>HE113/HE112*100</f>
        <v>#VALUE!</v>
      </c>
      <c r="HF114" s="672" t="e">
        <f>HF113/HF112*100</f>
        <v>#VALUE!</v>
      </c>
      <c r="HG114" s="672" t="e">
        <f>HG113/HG112*100</f>
        <v>#VALUE!</v>
      </c>
      <c r="HH114" s="672" t="e">
        <f>HH113/HH112*100</f>
        <v>#VALUE!</v>
      </c>
      <c r="HI114" s="676" t="e">
        <f>HI113/HI112*100</f>
        <v>#VALUE!</v>
      </c>
      <c r="HJ114" s="688" t="e">
        <f t="shared" si="197"/>
        <v>#DIV/0!</v>
      </c>
      <c r="HK114" s="1538" t="e">
        <f t="shared" si="197"/>
        <v>#DIV/0!</v>
      </c>
      <c r="HL114" s="1539" t="e">
        <f t="shared" si="197"/>
        <v>#DIV/0!</v>
      </c>
      <c r="HM114" s="672" t="e">
        <f t="shared" si="197"/>
        <v>#DIV/0!</v>
      </c>
      <c r="HN114" s="619" t="e">
        <f t="shared" si="197"/>
        <v>#DIV/0!</v>
      </c>
      <c r="HO114" s="619" t="s">
        <v>93</v>
      </c>
      <c r="HP114" s="38" t="s">
        <v>93</v>
      </c>
      <c r="HQ114" s="672" t="e">
        <f>HQ113/HQ112*100</f>
        <v>#DIV/0!</v>
      </c>
      <c r="HR114" s="619" t="e">
        <f t="shared" ref="HR114:IF114" si="198">HR113/HR112*100</f>
        <v>#DIV/0!</v>
      </c>
      <c r="HS114" s="675" t="e">
        <f t="shared" si="198"/>
        <v>#VALUE!</v>
      </c>
      <c r="HT114" s="672" t="e">
        <f>HT113/HT112*100</f>
        <v>#VALUE!</v>
      </c>
      <c r="HU114" s="672" t="e">
        <f t="shared" si="198"/>
        <v>#REF!</v>
      </c>
      <c r="HV114" s="675" t="e">
        <f t="shared" si="198"/>
        <v>#VALUE!</v>
      </c>
      <c r="HW114" s="672" t="e">
        <f>HW113/HW112*100</f>
        <v>#VALUE!</v>
      </c>
      <c r="HX114" s="672" t="e">
        <f>HX113/HX112*100</f>
        <v>#VALUE!</v>
      </c>
      <c r="HY114" s="672" t="e">
        <f>HY113/HY112*100</f>
        <v>#VALUE!</v>
      </c>
      <c r="HZ114" s="672" t="e">
        <f>HZ113/HZ112*100</f>
        <v>#VALUE!</v>
      </c>
      <c r="IA114" s="676" t="e">
        <f>IA113/IA112*100</f>
        <v>#VALUE!</v>
      </c>
      <c r="IB114" s="688" t="e">
        <f t="shared" si="198"/>
        <v>#DIV/0!</v>
      </c>
      <c r="IC114" s="1538" t="e">
        <f t="shared" si="198"/>
        <v>#DIV/0!</v>
      </c>
      <c r="ID114" s="1539" t="e">
        <f t="shared" si="198"/>
        <v>#DIV/0!</v>
      </c>
      <c r="IE114" s="672" t="e">
        <f t="shared" si="198"/>
        <v>#DIV/0!</v>
      </c>
      <c r="IF114" s="619" t="e">
        <f t="shared" si="198"/>
        <v>#DIV/0!</v>
      </c>
      <c r="IG114" s="619" t="s">
        <v>93</v>
      </c>
      <c r="IH114" s="38" t="s">
        <v>93</v>
      </c>
      <c r="II114" s="672" t="e">
        <f>II113/II112*100</f>
        <v>#DIV/0!</v>
      </c>
      <c r="IJ114" s="619" t="e">
        <f t="shared" ref="IJ114:IX114" si="199">IJ113/IJ112*100</f>
        <v>#DIV/0!</v>
      </c>
      <c r="IK114" s="675" t="e">
        <f t="shared" si="199"/>
        <v>#VALUE!</v>
      </c>
      <c r="IL114" s="672" t="e">
        <f>IL113/IL112*100</f>
        <v>#VALUE!</v>
      </c>
      <c r="IM114" s="672" t="e">
        <f t="shared" si="199"/>
        <v>#REF!</v>
      </c>
      <c r="IN114" s="675" t="e">
        <f t="shared" si="199"/>
        <v>#VALUE!</v>
      </c>
      <c r="IO114" s="672" t="e">
        <f>IO113/IO112*100</f>
        <v>#VALUE!</v>
      </c>
      <c r="IP114" s="672" t="e">
        <f>IP113/IP112*100</f>
        <v>#VALUE!</v>
      </c>
      <c r="IQ114" s="672" t="e">
        <f>IQ113/IQ112*100</f>
        <v>#VALUE!</v>
      </c>
      <c r="IR114" s="672" t="e">
        <f>IR113/IR112*100</f>
        <v>#VALUE!</v>
      </c>
      <c r="IS114" s="676" t="e">
        <f>IS113/IS112*100</f>
        <v>#VALUE!</v>
      </c>
      <c r="IT114" s="688" t="e">
        <f t="shared" si="199"/>
        <v>#DIV/0!</v>
      </c>
      <c r="IU114" s="1538" t="e">
        <f t="shared" si="199"/>
        <v>#DIV/0!</v>
      </c>
      <c r="IV114" s="1539" t="e">
        <f t="shared" si="199"/>
        <v>#DIV/0!</v>
      </c>
      <c r="IW114" s="672" t="e">
        <f t="shared" si="199"/>
        <v>#DIV/0!</v>
      </c>
      <c r="IX114" s="619" t="e">
        <f t="shared" si="199"/>
        <v>#DIV/0!</v>
      </c>
      <c r="IY114" s="619" t="s">
        <v>93</v>
      </c>
      <c r="IZ114" s="38" t="s">
        <v>93</v>
      </c>
      <c r="JA114" s="672" t="e">
        <f>JA113/JA112*100</f>
        <v>#DIV/0!</v>
      </c>
      <c r="JB114" s="619" t="e">
        <f t="shared" ref="JB114:JP114" si="200">JB113/JB112*100</f>
        <v>#DIV/0!</v>
      </c>
      <c r="JC114" s="675" t="e">
        <f t="shared" si="200"/>
        <v>#VALUE!</v>
      </c>
      <c r="JD114" s="672" t="e">
        <f>JD113/JD112*100</f>
        <v>#VALUE!</v>
      </c>
      <c r="JE114" s="672" t="e">
        <f t="shared" si="200"/>
        <v>#REF!</v>
      </c>
      <c r="JF114" s="675" t="e">
        <f t="shared" si="200"/>
        <v>#VALUE!</v>
      </c>
      <c r="JG114" s="672" t="e">
        <f>JG113/JG112*100</f>
        <v>#VALUE!</v>
      </c>
      <c r="JH114" s="672" t="e">
        <f>JH113/JH112*100</f>
        <v>#VALUE!</v>
      </c>
      <c r="JI114" s="672" t="e">
        <f>JI113/JI112*100</f>
        <v>#VALUE!</v>
      </c>
      <c r="JJ114" s="672" t="e">
        <f>JJ113/JJ112*100</f>
        <v>#VALUE!</v>
      </c>
      <c r="JK114" s="676" t="e">
        <f>JK113/JK112*100</f>
        <v>#VALUE!</v>
      </c>
      <c r="JL114" s="688" t="e">
        <f t="shared" si="200"/>
        <v>#DIV/0!</v>
      </c>
      <c r="JM114" s="1538" t="e">
        <f t="shared" si="200"/>
        <v>#DIV/0!</v>
      </c>
      <c r="JN114" s="1539" t="e">
        <f t="shared" si="200"/>
        <v>#DIV/0!</v>
      </c>
      <c r="JO114" s="672" t="e">
        <f t="shared" si="200"/>
        <v>#DIV/0!</v>
      </c>
      <c r="JP114" s="619" t="e">
        <f t="shared" si="200"/>
        <v>#DIV/0!</v>
      </c>
      <c r="JQ114" s="619" t="s">
        <v>93</v>
      </c>
      <c r="JR114" s="38" t="s">
        <v>93</v>
      </c>
      <c r="JS114" s="672" t="e">
        <f>JS113/JS112*100</f>
        <v>#DIV/0!</v>
      </c>
      <c r="JT114" s="619" t="e">
        <f t="shared" ref="JT114:KH114" si="201">JT113/JT112*100</f>
        <v>#DIV/0!</v>
      </c>
      <c r="JU114" s="675" t="e">
        <f t="shared" si="201"/>
        <v>#VALUE!</v>
      </c>
      <c r="JV114" s="672" t="e">
        <f>JV113/JV112*100</f>
        <v>#VALUE!</v>
      </c>
      <c r="JW114" s="672" t="e">
        <f t="shared" si="201"/>
        <v>#REF!</v>
      </c>
      <c r="JX114" s="675" t="e">
        <f t="shared" si="201"/>
        <v>#VALUE!</v>
      </c>
      <c r="JY114" s="672" t="e">
        <f>JY113/JY112*100</f>
        <v>#VALUE!</v>
      </c>
      <c r="JZ114" s="672" t="e">
        <f>JZ113/JZ112*100</f>
        <v>#VALUE!</v>
      </c>
      <c r="KA114" s="672" t="e">
        <f>KA113/KA112*100</f>
        <v>#VALUE!</v>
      </c>
      <c r="KB114" s="672" t="e">
        <f>KB113/KB112*100</f>
        <v>#VALUE!</v>
      </c>
      <c r="KC114" s="676" t="e">
        <f>KC113/KC112*100</f>
        <v>#VALUE!</v>
      </c>
      <c r="KD114" s="688" t="e">
        <f t="shared" si="201"/>
        <v>#DIV/0!</v>
      </c>
      <c r="KE114" s="1538" t="e">
        <f t="shared" si="201"/>
        <v>#DIV/0!</v>
      </c>
      <c r="KF114" s="1539" t="e">
        <f t="shared" si="201"/>
        <v>#DIV/0!</v>
      </c>
      <c r="KG114" s="672" t="e">
        <f t="shared" si="201"/>
        <v>#DIV/0!</v>
      </c>
      <c r="KH114" s="619" t="e">
        <f t="shared" si="201"/>
        <v>#DIV/0!</v>
      </c>
      <c r="KI114" s="619" t="s">
        <v>93</v>
      </c>
      <c r="KJ114" s="38" t="s">
        <v>93</v>
      </c>
      <c r="KK114" s="672" t="e">
        <f>KK113/KK112*100</f>
        <v>#DIV/0!</v>
      </c>
      <c r="KL114" s="619" t="e">
        <f t="shared" ref="KL114:KZ114" si="202">KL113/KL112*100</f>
        <v>#DIV/0!</v>
      </c>
      <c r="KM114" s="675" t="e">
        <f t="shared" si="202"/>
        <v>#VALUE!</v>
      </c>
      <c r="KN114" s="672" t="e">
        <f>KN113/KN112*100</f>
        <v>#VALUE!</v>
      </c>
      <c r="KO114" s="672" t="e">
        <f t="shared" si="202"/>
        <v>#REF!</v>
      </c>
      <c r="KP114" s="675" t="e">
        <f t="shared" si="202"/>
        <v>#VALUE!</v>
      </c>
      <c r="KQ114" s="672" t="e">
        <f>KQ113/KQ112*100</f>
        <v>#VALUE!</v>
      </c>
      <c r="KR114" s="672" t="e">
        <f>KR113/KR112*100</f>
        <v>#VALUE!</v>
      </c>
      <c r="KS114" s="672" t="e">
        <f>KS113/KS112*100</f>
        <v>#VALUE!</v>
      </c>
      <c r="KT114" s="672" t="e">
        <f>KT113/KT112*100</f>
        <v>#VALUE!</v>
      </c>
      <c r="KU114" s="676" t="e">
        <f>KU113/KU112*100</f>
        <v>#VALUE!</v>
      </c>
      <c r="KV114" s="688" t="e">
        <f t="shared" si="202"/>
        <v>#DIV/0!</v>
      </c>
      <c r="KW114" s="1538" t="e">
        <f t="shared" si="202"/>
        <v>#DIV/0!</v>
      </c>
      <c r="KX114" s="1539" t="e">
        <f t="shared" si="202"/>
        <v>#DIV/0!</v>
      </c>
      <c r="KY114" s="672" t="e">
        <f t="shared" si="202"/>
        <v>#DIV/0!</v>
      </c>
      <c r="KZ114" s="619" t="e">
        <f t="shared" si="202"/>
        <v>#DIV/0!</v>
      </c>
      <c r="LA114" s="619" t="s">
        <v>93</v>
      </c>
      <c r="LB114" s="38" t="s">
        <v>93</v>
      </c>
      <c r="LC114" s="672" t="e">
        <f>LC113/LC112*100</f>
        <v>#DIV/0!</v>
      </c>
      <c r="LD114" s="619" t="e">
        <f t="shared" ref="LD114:LR114" si="203">LD113/LD112*100</f>
        <v>#DIV/0!</v>
      </c>
      <c r="LE114" s="675" t="e">
        <f t="shared" si="203"/>
        <v>#VALUE!</v>
      </c>
      <c r="LF114" s="672" t="e">
        <f>LF113/LF112*100</f>
        <v>#VALUE!</v>
      </c>
      <c r="LG114" s="672" t="e">
        <f t="shared" si="203"/>
        <v>#REF!</v>
      </c>
      <c r="LH114" s="675" t="e">
        <f t="shared" si="203"/>
        <v>#VALUE!</v>
      </c>
      <c r="LI114" s="672" t="e">
        <f>LI113/LI112*100</f>
        <v>#VALUE!</v>
      </c>
      <c r="LJ114" s="672" t="e">
        <f>LJ113/LJ112*100</f>
        <v>#VALUE!</v>
      </c>
      <c r="LK114" s="672" t="e">
        <f>LK113/LK112*100</f>
        <v>#VALUE!</v>
      </c>
      <c r="LL114" s="672" t="e">
        <f>LL113/LL112*100</f>
        <v>#VALUE!</v>
      </c>
      <c r="LM114" s="676" t="e">
        <f>LM113/LM112*100</f>
        <v>#VALUE!</v>
      </c>
      <c r="LN114" s="688" t="e">
        <f t="shared" si="203"/>
        <v>#DIV/0!</v>
      </c>
      <c r="LO114" s="1538" t="e">
        <f t="shared" si="203"/>
        <v>#DIV/0!</v>
      </c>
      <c r="LP114" s="1539" t="e">
        <f t="shared" si="203"/>
        <v>#DIV/0!</v>
      </c>
      <c r="LQ114" s="672" t="e">
        <f t="shared" si="203"/>
        <v>#DIV/0!</v>
      </c>
      <c r="LR114" s="619" t="e">
        <f t="shared" si="203"/>
        <v>#DIV/0!</v>
      </c>
      <c r="LS114" s="619" t="s">
        <v>93</v>
      </c>
      <c r="LT114" s="38" t="s">
        <v>93</v>
      </c>
      <c r="LU114" s="672" t="e">
        <f>LU113/LU112*100</f>
        <v>#DIV/0!</v>
      </c>
      <c r="LV114" s="619" t="e">
        <f t="shared" ref="LV114:MJ114" si="204">LV113/LV112*100</f>
        <v>#DIV/0!</v>
      </c>
      <c r="LW114" s="675" t="e">
        <f t="shared" si="204"/>
        <v>#VALUE!</v>
      </c>
      <c r="LX114" s="672" t="e">
        <f>LX113/LX112*100</f>
        <v>#VALUE!</v>
      </c>
      <c r="LY114" s="672" t="e">
        <f t="shared" si="204"/>
        <v>#REF!</v>
      </c>
      <c r="LZ114" s="675" t="e">
        <f t="shared" si="204"/>
        <v>#VALUE!</v>
      </c>
      <c r="MA114" s="672" t="e">
        <f>MA113/MA112*100</f>
        <v>#VALUE!</v>
      </c>
      <c r="MB114" s="672" t="e">
        <f>MB113/MB112*100</f>
        <v>#VALUE!</v>
      </c>
      <c r="MC114" s="672" t="e">
        <f>MC113/MC112*100</f>
        <v>#VALUE!</v>
      </c>
      <c r="MD114" s="672" t="e">
        <f>MD113/MD112*100</f>
        <v>#VALUE!</v>
      </c>
      <c r="ME114" s="676" t="e">
        <f>ME113/ME112*100</f>
        <v>#VALUE!</v>
      </c>
      <c r="MF114" s="688" t="e">
        <f t="shared" si="204"/>
        <v>#DIV/0!</v>
      </c>
      <c r="MG114" s="1538" t="e">
        <f t="shared" si="204"/>
        <v>#DIV/0!</v>
      </c>
      <c r="MH114" s="1539" t="e">
        <f t="shared" si="204"/>
        <v>#DIV/0!</v>
      </c>
      <c r="MI114" s="672" t="e">
        <f t="shared" si="204"/>
        <v>#DIV/0!</v>
      </c>
      <c r="MJ114" s="619" t="e">
        <f t="shared" si="204"/>
        <v>#DIV/0!</v>
      </c>
      <c r="MK114" s="619" t="s">
        <v>93</v>
      </c>
      <c r="ML114" s="38" t="s">
        <v>93</v>
      </c>
      <c r="MM114" s="672" t="e">
        <f>MM113/MM112*100</f>
        <v>#DIV/0!</v>
      </c>
      <c r="MN114" s="619" t="e">
        <f t="shared" ref="MN114:NB114" si="205">MN113/MN112*100</f>
        <v>#DIV/0!</v>
      </c>
      <c r="MO114" s="675" t="e">
        <f t="shared" si="205"/>
        <v>#VALUE!</v>
      </c>
      <c r="MP114" s="672" t="e">
        <f>MP113/MP112*100</f>
        <v>#VALUE!</v>
      </c>
      <c r="MQ114" s="672" t="e">
        <f t="shared" si="205"/>
        <v>#REF!</v>
      </c>
      <c r="MR114" s="675" t="e">
        <f t="shared" si="205"/>
        <v>#VALUE!</v>
      </c>
      <c r="MS114" s="672" t="e">
        <f>MS113/MS112*100</f>
        <v>#VALUE!</v>
      </c>
      <c r="MT114" s="672" t="e">
        <f>MT113/MT112*100</f>
        <v>#VALUE!</v>
      </c>
      <c r="MU114" s="672" t="e">
        <f>MU113/MU112*100</f>
        <v>#VALUE!</v>
      </c>
      <c r="MV114" s="672" t="e">
        <f>MV113/MV112*100</f>
        <v>#VALUE!</v>
      </c>
      <c r="MW114" s="676" t="e">
        <f>MW113/MW112*100</f>
        <v>#VALUE!</v>
      </c>
      <c r="MX114" s="688" t="e">
        <f t="shared" si="205"/>
        <v>#DIV/0!</v>
      </c>
      <c r="MY114" s="1538" t="e">
        <f t="shared" si="205"/>
        <v>#DIV/0!</v>
      </c>
      <c r="MZ114" s="1539" t="e">
        <f t="shared" si="205"/>
        <v>#DIV/0!</v>
      </c>
      <c r="NA114" s="672" t="e">
        <f t="shared" si="205"/>
        <v>#DIV/0!</v>
      </c>
      <c r="NB114" s="619" t="e">
        <f t="shared" si="205"/>
        <v>#DIV/0!</v>
      </c>
      <c r="NC114" s="619" t="s">
        <v>93</v>
      </c>
      <c r="ND114" s="38" t="s">
        <v>93</v>
      </c>
      <c r="NE114" s="672" t="e">
        <f>NE113/NE112*100</f>
        <v>#DIV/0!</v>
      </c>
      <c r="NF114" s="619" t="e">
        <f t="shared" ref="NF114:NT114" si="206">NF113/NF112*100</f>
        <v>#DIV/0!</v>
      </c>
      <c r="NG114" s="675" t="e">
        <f t="shared" si="206"/>
        <v>#VALUE!</v>
      </c>
      <c r="NH114" s="672" t="e">
        <f>NH113/NH112*100</f>
        <v>#VALUE!</v>
      </c>
      <c r="NI114" s="672" t="e">
        <f t="shared" si="206"/>
        <v>#REF!</v>
      </c>
      <c r="NJ114" s="675" t="e">
        <f t="shared" si="206"/>
        <v>#VALUE!</v>
      </c>
      <c r="NK114" s="672" t="e">
        <f>NK113/NK112*100</f>
        <v>#VALUE!</v>
      </c>
      <c r="NL114" s="672" t="e">
        <f>NL113/NL112*100</f>
        <v>#VALUE!</v>
      </c>
      <c r="NM114" s="672" t="e">
        <f>NM113/NM112*100</f>
        <v>#VALUE!</v>
      </c>
      <c r="NN114" s="672" t="e">
        <f>NN113/NN112*100</f>
        <v>#VALUE!</v>
      </c>
      <c r="NO114" s="676" t="e">
        <f>NO113/NO112*100</f>
        <v>#VALUE!</v>
      </c>
      <c r="NP114" s="688" t="e">
        <f t="shared" si="206"/>
        <v>#DIV/0!</v>
      </c>
      <c r="NQ114" s="1538" t="e">
        <f t="shared" si="206"/>
        <v>#DIV/0!</v>
      </c>
      <c r="NR114" s="1539" t="e">
        <f t="shared" si="206"/>
        <v>#DIV/0!</v>
      </c>
      <c r="NS114" s="672" t="e">
        <f t="shared" si="206"/>
        <v>#DIV/0!</v>
      </c>
      <c r="NT114" s="619" t="e">
        <f t="shared" si="206"/>
        <v>#DIV/0!</v>
      </c>
      <c r="NU114" s="619" t="s">
        <v>93</v>
      </c>
      <c r="NV114" s="38" t="s">
        <v>93</v>
      </c>
      <c r="NW114" s="672" t="e">
        <f>NW113/NW112*100</f>
        <v>#DIV/0!</v>
      </c>
      <c r="NX114" s="619" t="e">
        <f t="shared" ref="NX114:OL114" si="207">NX113/NX112*100</f>
        <v>#DIV/0!</v>
      </c>
      <c r="NY114" s="675" t="e">
        <f t="shared" si="207"/>
        <v>#VALUE!</v>
      </c>
      <c r="NZ114" s="672" t="e">
        <f>NZ113/NZ112*100</f>
        <v>#VALUE!</v>
      </c>
      <c r="OA114" s="672" t="e">
        <f t="shared" si="207"/>
        <v>#REF!</v>
      </c>
      <c r="OB114" s="675" t="e">
        <f t="shared" si="207"/>
        <v>#VALUE!</v>
      </c>
      <c r="OC114" s="672" t="e">
        <f>OC113/OC112*100</f>
        <v>#VALUE!</v>
      </c>
      <c r="OD114" s="672" t="e">
        <f>OD113/OD112*100</f>
        <v>#VALUE!</v>
      </c>
      <c r="OE114" s="672" t="e">
        <f>OE113/OE112*100</f>
        <v>#VALUE!</v>
      </c>
      <c r="OF114" s="672" t="e">
        <f>OF113/OF112*100</f>
        <v>#VALUE!</v>
      </c>
      <c r="OG114" s="676" t="e">
        <f>OG113/OG112*100</f>
        <v>#VALUE!</v>
      </c>
      <c r="OH114" s="688" t="e">
        <f t="shared" si="207"/>
        <v>#DIV/0!</v>
      </c>
      <c r="OI114" s="1538" t="e">
        <f t="shared" si="207"/>
        <v>#DIV/0!</v>
      </c>
      <c r="OJ114" s="1539" t="e">
        <f t="shared" si="207"/>
        <v>#DIV/0!</v>
      </c>
      <c r="OK114" s="672" t="e">
        <f t="shared" si="207"/>
        <v>#DIV/0!</v>
      </c>
      <c r="OL114" s="619" t="e">
        <f t="shared" si="207"/>
        <v>#DIV/0!</v>
      </c>
      <c r="OM114" s="619" t="s">
        <v>93</v>
      </c>
      <c r="ON114" s="38" t="s">
        <v>93</v>
      </c>
      <c r="OO114" s="672" t="e">
        <f>OO113/OO112*100</f>
        <v>#DIV/0!</v>
      </c>
      <c r="OP114" s="619" t="e">
        <f t="shared" ref="OP114:PD114" si="208">OP113/OP112*100</f>
        <v>#DIV/0!</v>
      </c>
      <c r="OQ114" s="675" t="e">
        <f t="shared" si="208"/>
        <v>#VALUE!</v>
      </c>
      <c r="OR114" s="672" t="e">
        <f>OR113/OR112*100</f>
        <v>#VALUE!</v>
      </c>
      <c r="OS114" s="672" t="e">
        <f t="shared" si="208"/>
        <v>#REF!</v>
      </c>
      <c r="OT114" s="675" t="e">
        <f t="shared" si="208"/>
        <v>#VALUE!</v>
      </c>
      <c r="OU114" s="672" t="e">
        <f>OU113/OU112*100</f>
        <v>#VALUE!</v>
      </c>
      <c r="OV114" s="672" t="e">
        <f>OV113/OV112*100</f>
        <v>#VALUE!</v>
      </c>
      <c r="OW114" s="672" t="e">
        <f>OW113/OW112*100</f>
        <v>#VALUE!</v>
      </c>
      <c r="OX114" s="672" t="e">
        <f>OX113/OX112*100</f>
        <v>#VALUE!</v>
      </c>
      <c r="OY114" s="676" t="e">
        <f>OY113/OY112*100</f>
        <v>#VALUE!</v>
      </c>
      <c r="OZ114" s="688" t="e">
        <f t="shared" si="208"/>
        <v>#DIV/0!</v>
      </c>
      <c r="PA114" s="1538" t="e">
        <f t="shared" si="208"/>
        <v>#DIV/0!</v>
      </c>
      <c r="PB114" s="1539" t="e">
        <f t="shared" si="208"/>
        <v>#DIV/0!</v>
      </c>
      <c r="PC114" s="672" t="e">
        <f t="shared" si="208"/>
        <v>#DIV/0!</v>
      </c>
      <c r="PD114" s="619" t="e">
        <f t="shared" si="208"/>
        <v>#DIV/0!</v>
      </c>
      <c r="PE114" s="619" t="s">
        <v>93</v>
      </c>
      <c r="PF114" s="38" t="s">
        <v>93</v>
      </c>
      <c r="PG114" s="672" t="e">
        <f>PG113/PG112*100</f>
        <v>#DIV/0!</v>
      </c>
      <c r="PH114" s="619" t="e">
        <f t="shared" ref="PH114:PV114" si="209">PH113/PH112*100</f>
        <v>#DIV/0!</v>
      </c>
      <c r="PI114" s="675" t="e">
        <f t="shared" si="209"/>
        <v>#VALUE!</v>
      </c>
      <c r="PJ114" s="672" t="e">
        <f>PJ113/PJ112*100</f>
        <v>#VALUE!</v>
      </c>
      <c r="PK114" s="672" t="e">
        <f t="shared" si="209"/>
        <v>#REF!</v>
      </c>
      <c r="PL114" s="675" t="e">
        <f t="shared" si="209"/>
        <v>#VALUE!</v>
      </c>
      <c r="PM114" s="672" t="e">
        <f>PM113/PM112*100</f>
        <v>#VALUE!</v>
      </c>
      <c r="PN114" s="672" t="e">
        <f>PN113/PN112*100</f>
        <v>#VALUE!</v>
      </c>
      <c r="PO114" s="672" t="e">
        <f>PO113/PO112*100</f>
        <v>#VALUE!</v>
      </c>
      <c r="PP114" s="672" t="e">
        <f>PP113/PP112*100</f>
        <v>#VALUE!</v>
      </c>
      <c r="PQ114" s="676" t="e">
        <f>PQ113/PQ112*100</f>
        <v>#VALUE!</v>
      </c>
      <c r="PR114" s="688" t="e">
        <f t="shared" si="209"/>
        <v>#DIV/0!</v>
      </c>
      <c r="PS114" s="1538" t="e">
        <f t="shared" si="209"/>
        <v>#DIV/0!</v>
      </c>
      <c r="PT114" s="1539" t="e">
        <f t="shared" si="209"/>
        <v>#DIV/0!</v>
      </c>
      <c r="PU114" s="672" t="e">
        <f t="shared" si="209"/>
        <v>#DIV/0!</v>
      </c>
      <c r="PV114" s="619" t="e">
        <f t="shared" si="209"/>
        <v>#DIV/0!</v>
      </c>
      <c r="PW114" s="619" t="s">
        <v>93</v>
      </c>
      <c r="PX114" s="38" t="s">
        <v>93</v>
      </c>
      <c r="PY114" s="672" t="e">
        <f>PY113/PY112*100</f>
        <v>#DIV/0!</v>
      </c>
      <c r="PZ114" s="619" t="e">
        <f t="shared" ref="PZ114:QN114" si="210">PZ113/PZ112*100</f>
        <v>#DIV/0!</v>
      </c>
      <c r="QA114" s="675" t="e">
        <f t="shared" si="210"/>
        <v>#VALUE!</v>
      </c>
      <c r="QB114" s="672" t="e">
        <f>QB113/QB112*100</f>
        <v>#VALUE!</v>
      </c>
      <c r="QC114" s="672" t="e">
        <f t="shared" si="210"/>
        <v>#REF!</v>
      </c>
      <c r="QD114" s="675" t="e">
        <f t="shared" si="210"/>
        <v>#VALUE!</v>
      </c>
      <c r="QE114" s="672" t="e">
        <f>QE113/QE112*100</f>
        <v>#VALUE!</v>
      </c>
      <c r="QF114" s="672" t="e">
        <f>QF113/QF112*100</f>
        <v>#VALUE!</v>
      </c>
      <c r="QG114" s="672" t="e">
        <f>QG113/QG112*100</f>
        <v>#VALUE!</v>
      </c>
      <c r="QH114" s="672" t="e">
        <f>QH113/QH112*100</f>
        <v>#VALUE!</v>
      </c>
      <c r="QI114" s="676" t="e">
        <f>QI113/QI112*100</f>
        <v>#VALUE!</v>
      </c>
      <c r="QJ114" s="688" t="e">
        <f t="shared" si="210"/>
        <v>#DIV/0!</v>
      </c>
      <c r="QK114" s="1538" t="e">
        <f t="shared" si="210"/>
        <v>#DIV/0!</v>
      </c>
      <c r="QL114" s="1539" t="e">
        <f t="shared" si="210"/>
        <v>#DIV/0!</v>
      </c>
      <c r="QM114" s="672" t="e">
        <f t="shared" si="210"/>
        <v>#DIV/0!</v>
      </c>
      <c r="QN114" s="619" t="e">
        <f t="shared" si="210"/>
        <v>#DIV/0!</v>
      </c>
      <c r="QO114" s="619" t="s">
        <v>93</v>
      </c>
      <c r="QP114" s="38" t="s">
        <v>93</v>
      </c>
      <c r="QQ114" s="672" t="e">
        <f>QQ113/QQ112*100</f>
        <v>#DIV/0!</v>
      </c>
      <c r="QR114" s="619" t="e">
        <f t="shared" ref="QR114:RF114" si="211">QR113/QR112*100</f>
        <v>#DIV/0!</v>
      </c>
      <c r="QS114" s="675" t="e">
        <f t="shared" si="211"/>
        <v>#VALUE!</v>
      </c>
      <c r="QT114" s="672" t="e">
        <f>QT113/QT112*100</f>
        <v>#VALUE!</v>
      </c>
      <c r="QU114" s="672" t="e">
        <f t="shared" si="211"/>
        <v>#REF!</v>
      </c>
      <c r="QV114" s="675" t="e">
        <f t="shared" si="211"/>
        <v>#VALUE!</v>
      </c>
      <c r="QW114" s="672" t="e">
        <f>QW113/QW112*100</f>
        <v>#VALUE!</v>
      </c>
      <c r="QX114" s="672" t="e">
        <f>QX113/QX112*100</f>
        <v>#VALUE!</v>
      </c>
      <c r="QY114" s="672" t="e">
        <f>QY113/QY112*100</f>
        <v>#VALUE!</v>
      </c>
      <c r="QZ114" s="672" t="e">
        <f>QZ113/QZ112*100</f>
        <v>#VALUE!</v>
      </c>
      <c r="RA114" s="676" t="e">
        <f>RA113/RA112*100</f>
        <v>#VALUE!</v>
      </c>
      <c r="RB114" s="688" t="e">
        <f t="shared" si="211"/>
        <v>#DIV/0!</v>
      </c>
      <c r="RC114" s="1538" t="e">
        <f t="shared" si="211"/>
        <v>#DIV/0!</v>
      </c>
      <c r="RD114" s="1539" t="e">
        <f t="shared" si="211"/>
        <v>#DIV/0!</v>
      </c>
      <c r="RE114" s="672" t="e">
        <f t="shared" si="211"/>
        <v>#DIV/0!</v>
      </c>
      <c r="RF114" s="619" t="e">
        <f t="shared" si="211"/>
        <v>#DIV/0!</v>
      </c>
      <c r="RG114" s="619" t="s">
        <v>93</v>
      </c>
      <c r="RH114" s="38" t="s">
        <v>93</v>
      </c>
      <c r="RI114" s="672" t="e">
        <f>RI113/RI112*100</f>
        <v>#DIV/0!</v>
      </c>
      <c r="RJ114" s="619" t="e">
        <f t="shared" ref="RJ114:RX114" si="212">RJ113/RJ112*100</f>
        <v>#DIV/0!</v>
      </c>
      <c r="RK114" s="675" t="e">
        <f t="shared" si="212"/>
        <v>#VALUE!</v>
      </c>
      <c r="RL114" s="672" t="e">
        <f>RL113/RL112*100</f>
        <v>#VALUE!</v>
      </c>
      <c r="RM114" s="672" t="e">
        <f t="shared" si="212"/>
        <v>#REF!</v>
      </c>
      <c r="RN114" s="675" t="e">
        <f t="shared" si="212"/>
        <v>#VALUE!</v>
      </c>
      <c r="RO114" s="672" t="e">
        <f>RO113/RO112*100</f>
        <v>#VALUE!</v>
      </c>
      <c r="RP114" s="672" t="e">
        <f>RP113/RP112*100</f>
        <v>#VALUE!</v>
      </c>
      <c r="RQ114" s="672" t="e">
        <f>RQ113/RQ112*100</f>
        <v>#VALUE!</v>
      </c>
      <c r="RR114" s="672" t="e">
        <f>RR113/RR112*100</f>
        <v>#VALUE!</v>
      </c>
      <c r="RS114" s="676" t="e">
        <f>RS113/RS112*100</f>
        <v>#VALUE!</v>
      </c>
      <c r="RT114" s="688" t="e">
        <f t="shared" si="212"/>
        <v>#DIV/0!</v>
      </c>
      <c r="RU114" s="1538" t="e">
        <f t="shared" si="212"/>
        <v>#DIV/0!</v>
      </c>
      <c r="RV114" s="1539" t="e">
        <f t="shared" si="212"/>
        <v>#DIV/0!</v>
      </c>
      <c r="RW114" s="672" t="e">
        <f t="shared" si="212"/>
        <v>#DIV/0!</v>
      </c>
      <c r="RX114" s="619" t="e">
        <f t="shared" si="212"/>
        <v>#DIV/0!</v>
      </c>
      <c r="RY114" s="619" t="s">
        <v>93</v>
      </c>
      <c r="RZ114" s="38" t="s">
        <v>93</v>
      </c>
      <c r="SA114" s="672" t="e">
        <f>SA113/SA112*100</f>
        <v>#DIV/0!</v>
      </c>
      <c r="SB114" s="619" t="e">
        <f t="shared" ref="SB114:SP114" si="213">SB113/SB112*100</f>
        <v>#DIV/0!</v>
      </c>
      <c r="SC114" s="675" t="e">
        <f t="shared" si="213"/>
        <v>#VALUE!</v>
      </c>
      <c r="SD114" s="672" t="e">
        <f>SD113/SD112*100</f>
        <v>#VALUE!</v>
      </c>
      <c r="SE114" s="672" t="e">
        <f t="shared" si="213"/>
        <v>#REF!</v>
      </c>
      <c r="SF114" s="675" t="e">
        <f t="shared" si="213"/>
        <v>#VALUE!</v>
      </c>
      <c r="SG114" s="672" t="e">
        <f>SG113/SG112*100</f>
        <v>#VALUE!</v>
      </c>
      <c r="SH114" s="672" t="e">
        <f>SH113/SH112*100</f>
        <v>#VALUE!</v>
      </c>
      <c r="SI114" s="672" t="e">
        <f>SI113/SI112*100</f>
        <v>#VALUE!</v>
      </c>
      <c r="SJ114" s="672" t="e">
        <f>SJ113/SJ112*100</f>
        <v>#VALUE!</v>
      </c>
      <c r="SK114" s="676" t="e">
        <f>SK113/SK112*100</f>
        <v>#VALUE!</v>
      </c>
      <c r="SL114" s="688" t="e">
        <f t="shared" si="213"/>
        <v>#DIV/0!</v>
      </c>
      <c r="SM114" s="1538" t="e">
        <f t="shared" si="213"/>
        <v>#DIV/0!</v>
      </c>
      <c r="SN114" s="1539" t="e">
        <f t="shared" si="213"/>
        <v>#DIV/0!</v>
      </c>
      <c r="SO114" s="672" t="e">
        <f t="shared" si="213"/>
        <v>#DIV/0!</v>
      </c>
      <c r="SP114" s="619" t="e">
        <f t="shared" si="213"/>
        <v>#DIV/0!</v>
      </c>
      <c r="SQ114" s="619" t="s">
        <v>93</v>
      </c>
      <c r="SR114" s="38" t="s">
        <v>93</v>
      </c>
      <c r="SS114" s="672" t="e">
        <f>SS113/SS112*100</f>
        <v>#DIV/0!</v>
      </c>
      <c r="ST114" s="619" t="e">
        <f t="shared" ref="ST114:TH114" si="214">ST113/ST112*100</f>
        <v>#DIV/0!</v>
      </c>
      <c r="SU114" s="675" t="e">
        <f t="shared" si="214"/>
        <v>#VALUE!</v>
      </c>
      <c r="SV114" s="672" t="e">
        <f>SV113/SV112*100</f>
        <v>#VALUE!</v>
      </c>
      <c r="SW114" s="672" t="e">
        <f t="shared" si="214"/>
        <v>#REF!</v>
      </c>
      <c r="SX114" s="675" t="e">
        <f t="shared" si="214"/>
        <v>#VALUE!</v>
      </c>
      <c r="SY114" s="672" t="e">
        <f>SY113/SY112*100</f>
        <v>#VALUE!</v>
      </c>
      <c r="SZ114" s="672" t="e">
        <f>SZ113/SZ112*100</f>
        <v>#VALUE!</v>
      </c>
      <c r="TA114" s="672" t="e">
        <f>TA113/TA112*100</f>
        <v>#VALUE!</v>
      </c>
      <c r="TB114" s="672" t="e">
        <f>TB113/TB112*100</f>
        <v>#VALUE!</v>
      </c>
      <c r="TC114" s="676" t="e">
        <f>TC113/TC112*100</f>
        <v>#VALUE!</v>
      </c>
      <c r="TD114" s="688" t="e">
        <f t="shared" si="214"/>
        <v>#DIV/0!</v>
      </c>
      <c r="TE114" s="1538" t="e">
        <f t="shared" si="214"/>
        <v>#DIV/0!</v>
      </c>
      <c r="TF114" s="1539" t="e">
        <f t="shared" si="214"/>
        <v>#DIV/0!</v>
      </c>
      <c r="TG114" s="672" t="e">
        <f t="shared" si="214"/>
        <v>#DIV/0!</v>
      </c>
      <c r="TH114" s="619" t="e">
        <f t="shared" si="214"/>
        <v>#DIV/0!</v>
      </c>
      <c r="TI114" s="619" t="s">
        <v>93</v>
      </c>
      <c r="TJ114" s="38" t="s">
        <v>93</v>
      </c>
      <c r="TK114" s="672" t="e">
        <f>TK113/TK112*100</f>
        <v>#DIV/0!</v>
      </c>
      <c r="TL114" s="619" t="e">
        <f t="shared" ref="TL114:TZ114" si="215">TL113/TL112*100</f>
        <v>#DIV/0!</v>
      </c>
      <c r="TM114" s="675" t="e">
        <f t="shared" si="215"/>
        <v>#VALUE!</v>
      </c>
      <c r="TN114" s="672" t="e">
        <f>TN113/TN112*100</f>
        <v>#VALUE!</v>
      </c>
      <c r="TO114" s="672" t="e">
        <f t="shared" si="215"/>
        <v>#REF!</v>
      </c>
      <c r="TP114" s="675" t="e">
        <f t="shared" si="215"/>
        <v>#VALUE!</v>
      </c>
      <c r="TQ114" s="672" t="e">
        <f>TQ113/TQ112*100</f>
        <v>#VALUE!</v>
      </c>
      <c r="TR114" s="672" t="e">
        <f>TR113/TR112*100</f>
        <v>#VALUE!</v>
      </c>
      <c r="TS114" s="672" t="e">
        <f>TS113/TS112*100</f>
        <v>#VALUE!</v>
      </c>
      <c r="TT114" s="672" t="e">
        <f>TT113/TT112*100</f>
        <v>#VALUE!</v>
      </c>
      <c r="TU114" s="676" t="e">
        <f>TU113/TU112*100</f>
        <v>#VALUE!</v>
      </c>
      <c r="TV114" s="688" t="e">
        <f t="shared" si="215"/>
        <v>#DIV/0!</v>
      </c>
      <c r="TW114" s="1538" t="e">
        <f t="shared" si="215"/>
        <v>#DIV/0!</v>
      </c>
      <c r="TX114" s="1539" t="e">
        <f t="shared" si="215"/>
        <v>#DIV/0!</v>
      </c>
      <c r="TY114" s="672" t="e">
        <f t="shared" si="215"/>
        <v>#DIV/0!</v>
      </c>
      <c r="TZ114" s="619" t="e">
        <f t="shared" si="215"/>
        <v>#DIV/0!</v>
      </c>
      <c r="UA114" s="619" t="s">
        <v>93</v>
      </c>
      <c r="UB114" s="38" t="s">
        <v>93</v>
      </c>
      <c r="UC114" s="672" t="e">
        <f>UC113/UC112*100</f>
        <v>#DIV/0!</v>
      </c>
      <c r="UD114" s="619" t="e">
        <f t="shared" ref="UD114:UR114" si="216">UD113/UD112*100</f>
        <v>#DIV/0!</v>
      </c>
      <c r="UE114" s="675" t="e">
        <f t="shared" si="216"/>
        <v>#VALUE!</v>
      </c>
      <c r="UF114" s="672" t="e">
        <f>UF113/UF112*100</f>
        <v>#VALUE!</v>
      </c>
      <c r="UG114" s="672" t="e">
        <f t="shared" si="216"/>
        <v>#REF!</v>
      </c>
      <c r="UH114" s="675" t="e">
        <f t="shared" si="216"/>
        <v>#VALUE!</v>
      </c>
      <c r="UI114" s="672" t="e">
        <f>UI113/UI112*100</f>
        <v>#VALUE!</v>
      </c>
      <c r="UJ114" s="672" t="e">
        <f>UJ113/UJ112*100</f>
        <v>#VALUE!</v>
      </c>
      <c r="UK114" s="672" t="e">
        <f>UK113/UK112*100</f>
        <v>#VALUE!</v>
      </c>
      <c r="UL114" s="672" t="e">
        <f>UL113/UL112*100</f>
        <v>#VALUE!</v>
      </c>
      <c r="UM114" s="676" t="e">
        <f>UM113/UM112*100</f>
        <v>#VALUE!</v>
      </c>
      <c r="UN114" s="688" t="e">
        <f t="shared" si="216"/>
        <v>#DIV/0!</v>
      </c>
      <c r="UO114" s="1538" t="e">
        <f t="shared" si="216"/>
        <v>#DIV/0!</v>
      </c>
      <c r="UP114" s="1539" t="e">
        <f t="shared" si="216"/>
        <v>#DIV/0!</v>
      </c>
      <c r="UQ114" s="672" t="e">
        <f t="shared" si="216"/>
        <v>#DIV/0!</v>
      </c>
      <c r="UR114" s="619" t="e">
        <f t="shared" si="216"/>
        <v>#DIV/0!</v>
      </c>
      <c r="US114" s="619" t="s">
        <v>93</v>
      </c>
      <c r="UT114" s="38" t="s">
        <v>93</v>
      </c>
      <c r="UU114" s="672" t="e">
        <f>UU113/UU112*100</f>
        <v>#DIV/0!</v>
      </c>
      <c r="UV114" s="619" t="e">
        <f>UV113/UV112*100</f>
        <v>#DIV/0!</v>
      </c>
      <c r="UW114" s="675" t="e">
        <f>UW113/UW112*100</f>
        <v>#VALUE!</v>
      </c>
      <c r="UX114" s="672" t="e">
        <f>UX113/UX112*100</f>
        <v>#VALUE!</v>
      </c>
      <c r="UY114" s="672" t="e">
        <f t="shared" ref="UY114:VE114" si="217">UY113/UY112*100</f>
        <v>#REF!</v>
      </c>
      <c r="UZ114" s="675" t="e">
        <f t="shared" si="217"/>
        <v>#VALUE!</v>
      </c>
      <c r="VA114" s="672" t="e">
        <f t="shared" si="217"/>
        <v>#VALUE!</v>
      </c>
      <c r="VB114" s="672" t="e">
        <f t="shared" si="217"/>
        <v>#VALUE!</v>
      </c>
      <c r="VC114" s="672" t="e">
        <f>VC113/VC112*100</f>
        <v>#VALUE!</v>
      </c>
      <c r="VD114" s="672" t="e">
        <f t="shared" si="217"/>
        <v>#VALUE!</v>
      </c>
      <c r="VE114" s="676" t="e">
        <f t="shared" si="217"/>
        <v>#VALUE!</v>
      </c>
    </row>
    <row r="115" spans="1:577" ht="15.75" thickBot="1" x14ac:dyDescent="0.3">
      <c r="A115" s="1541" t="s">
        <v>1059</v>
      </c>
      <c r="B115" s="699"/>
      <c r="C115" s="700"/>
      <c r="D115" s="700"/>
      <c r="E115" s="604"/>
      <c r="F115" s="700"/>
      <c r="G115" s="700"/>
      <c r="H115" s="700"/>
      <c r="I115" s="604">
        <f>S103/K112*100</f>
        <v>8.1395291360582406E-3</v>
      </c>
      <c r="J115" s="604">
        <f>S102/K112*100</f>
        <v>1.7571421161812174E-3</v>
      </c>
      <c r="K115" s="2118">
        <f>AVERAGE(S102:S103)/K112*100</f>
        <v>4.9483356261197289E-3</v>
      </c>
      <c r="L115" s="604">
        <f>AVERAGE(S102:S103)/L112*100</f>
        <v>4.9485804984915234E-3</v>
      </c>
      <c r="M115" s="604">
        <f>S102/L112*100</f>
        <v>1.7572290697733094E-3</v>
      </c>
      <c r="N115" s="697">
        <f>S103/L112*100</f>
        <v>8.1399319272097356E-3</v>
      </c>
      <c r="O115" s="2120"/>
      <c r="P115" s="604">
        <f>MAX(I115:N115)</f>
        <v>8.1399319272097356E-3</v>
      </c>
      <c r="Q115" s="604">
        <f>MIN(I115:N115)</f>
        <v>1.7571421161812174E-3</v>
      </c>
      <c r="R115" s="604"/>
      <c r="S115" s="607"/>
      <c r="T115" s="1535"/>
      <c r="U115" s="1535"/>
      <c r="V115" s="1536"/>
      <c r="W115" s="700"/>
      <c r="X115" s="700"/>
      <c r="Y115" s="700"/>
      <c r="Z115" s="700"/>
      <c r="AA115" s="604"/>
      <c r="AB115" s="700"/>
      <c r="AC115" s="698"/>
      <c r="AD115" s="604"/>
      <c r="AE115" s="604"/>
      <c r="AF115" s="697"/>
      <c r="AG115" s="604"/>
      <c r="AH115" s="604"/>
      <c r="AI115" s="604"/>
      <c r="AJ115" s="604"/>
      <c r="AK115" s="607"/>
      <c r="AL115" s="699"/>
      <c r="AM115" s="1535"/>
      <c r="AN115" s="1536"/>
      <c r="AO115" s="700"/>
      <c r="AP115" s="700"/>
      <c r="AQ115" s="700"/>
      <c r="AR115" s="700"/>
      <c r="AS115" s="604"/>
      <c r="AT115" s="700"/>
      <c r="AU115" s="698"/>
      <c r="AV115" s="604"/>
      <c r="AW115" s="604"/>
      <c r="AX115" s="697"/>
      <c r="AY115" s="604"/>
      <c r="AZ115" s="604"/>
      <c r="BA115" s="604"/>
      <c r="BB115" s="604"/>
      <c r="BC115" s="607"/>
      <c r="BD115" s="699"/>
      <c r="BE115" s="1535"/>
      <c r="BF115" s="1536"/>
      <c r="BG115" s="604"/>
      <c r="BH115" s="700"/>
      <c r="BI115" s="700"/>
      <c r="BJ115" s="700"/>
      <c r="BK115" s="604"/>
      <c r="BL115" s="700"/>
      <c r="BM115" s="698"/>
      <c r="BN115" s="604"/>
      <c r="BO115" s="604"/>
      <c r="BP115" s="697"/>
      <c r="BQ115" s="604"/>
      <c r="BR115" s="604"/>
      <c r="BS115" s="604"/>
      <c r="BT115" s="604"/>
      <c r="BU115" s="607"/>
      <c r="BV115" s="699"/>
      <c r="BW115" s="1535"/>
      <c r="BX115" s="1536"/>
      <c r="BY115" s="604"/>
      <c r="BZ115" s="700"/>
      <c r="CA115" s="700"/>
      <c r="CB115" s="700"/>
      <c r="CC115" s="604"/>
      <c r="CD115" s="700"/>
      <c r="CE115" s="698"/>
      <c r="CF115" s="604"/>
      <c r="CG115" s="604"/>
      <c r="CH115" s="697"/>
      <c r="CI115" s="604"/>
      <c r="CJ115" s="604"/>
      <c r="CK115" s="604"/>
      <c r="CL115" s="604"/>
      <c r="CM115" s="607"/>
      <c r="CN115" s="699"/>
      <c r="CO115" s="1535"/>
      <c r="CP115" s="1536"/>
      <c r="CQ115" s="604"/>
      <c r="CR115" s="700"/>
      <c r="CS115" s="700"/>
      <c r="CT115" s="700"/>
      <c r="CU115" s="604"/>
      <c r="CV115" s="700"/>
      <c r="CW115" s="698"/>
      <c r="CX115" s="604"/>
      <c r="CY115" s="604"/>
      <c r="CZ115" s="697"/>
      <c r="DA115" s="604"/>
      <c r="DB115" s="604"/>
      <c r="DC115" s="604"/>
      <c r="DD115" s="604"/>
      <c r="DE115" s="607"/>
      <c r="DF115" s="699"/>
      <c r="DG115" s="1535"/>
      <c r="DH115" s="1536"/>
      <c r="DI115" s="604"/>
      <c r="DJ115" s="700"/>
      <c r="DK115" s="700"/>
      <c r="DL115" s="700"/>
      <c r="DM115" s="604"/>
      <c r="DN115" s="700"/>
      <c r="DO115" s="698"/>
      <c r="DP115" s="604"/>
      <c r="DQ115" s="604"/>
      <c r="DR115" s="697"/>
      <c r="DS115" s="604"/>
      <c r="DT115" s="604"/>
      <c r="DU115" s="604"/>
      <c r="DV115" s="604"/>
      <c r="DW115" s="607"/>
      <c r="DX115" s="699"/>
      <c r="DY115" s="1535"/>
      <c r="DZ115" s="1536"/>
      <c r="EA115" s="698"/>
      <c r="EB115" s="700"/>
      <c r="EC115" s="700"/>
      <c r="ED115" s="700"/>
      <c r="EE115" s="604"/>
      <c r="EF115" s="700"/>
      <c r="EG115" s="698"/>
      <c r="EH115" s="604"/>
      <c r="EI115" s="604"/>
      <c r="EJ115" s="697"/>
      <c r="EK115" s="604"/>
      <c r="EL115" s="604"/>
      <c r="EM115" s="604"/>
      <c r="EN115" s="604"/>
      <c r="EO115" s="607"/>
      <c r="EP115" s="699"/>
      <c r="EQ115" s="1535"/>
      <c r="ER115" s="1536"/>
      <c r="ES115" s="604"/>
      <c r="ET115" s="700"/>
      <c r="EU115" s="700"/>
      <c r="EV115" s="700"/>
      <c r="EW115" s="604"/>
      <c r="EX115" s="700"/>
      <c r="EY115" s="698"/>
      <c r="EZ115" s="604"/>
      <c r="FA115" s="604"/>
      <c r="FB115" s="697"/>
      <c r="FC115" s="604"/>
      <c r="FD115" s="604"/>
      <c r="FE115" s="604"/>
      <c r="FF115" s="604"/>
      <c r="FG115" s="607"/>
      <c r="FH115" s="699"/>
      <c r="FI115" s="1535"/>
      <c r="FJ115" s="1536"/>
      <c r="FK115" s="604"/>
      <c r="FL115" s="700"/>
      <c r="FM115" s="700"/>
      <c r="FN115" s="700"/>
      <c r="FO115" s="604"/>
      <c r="FP115" s="700"/>
      <c r="FQ115" s="698"/>
      <c r="FR115" s="604"/>
      <c r="FS115" s="604"/>
      <c r="FT115" s="697"/>
      <c r="FU115" s="604"/>
      <c r="FV115" s="604"/>
      <c r="FW115" s="604"/>
      <c r="FX115" s="604"/>
      <c r="FY115" s="607"/>
      <c r="FZ115" s="699"/>
      <c r="GA115" s="1535"/>
      <c r="GB115" s="1536"/>
      <c r="GC115" s="604"/>
      <c r="GD115" s="700"/>
      <c r="GE115" s="700"/>
      <c r="GF115" s="700"/>
      <c r="GG115" s="604"/>
      <c r="GH115" s="700"/>
      <c r="GI115" s="698"/>
      <c r="GJ115" s="604"/>
      <c r="GK115" s="604"/>
      <c r="GL115" s="697"/>
      <c r="GM115" s="604"/>
      <c r="GN115" s="604"/>
      <c r="GO115" s="604"/>
      <c r="GP115" s="604"/>
      <c r="GQ115" s="607"/>
      <c r="GR115" s="699"/>
      <c r="GS115" s="1535"/>
      <c r="GT115" s="1536"/>
      <c r="GU115" s="698"/>
      <c r="GV115" s="700"/>
      <c r="GW115" s="700"/>
      <c r="GX115" s="700"/>
      <c r="GY115" s="604"/>
      <c r="GZ115" s="700"/>
      <c r="HA115" s="698"/>
      <c r="HB115" s="604"/>
      <c r="HC115" s="604"/>
      <c r="HD115" s="697"/>
      <c r="HE115" s="604"/>
      <c r="HF115" s="604"/>
      <c r="HG115" s="604"/>
      <c r="HH115" s="604"/>
      <c r="HI115" s="607"/>
      <c r="HJ115" s="699"/>
      <c r="HK115" s="1535"/>
      <c r="HL115" s="1536"/>
      <c r="HM115" s="604"/>
      <c r="HN115" s="700"/>
      <c r="HO115" s="700"/>
      <c r="HP115" s="700"/>
      <c r="HQ115" s="604"/>
      <c r="HR115" s="700"/>
      <c r="HS115" s="698"/>
      <c r="HT115" s="604"/>
      <c r="HU115" s="604"/>
      <c r="HV115" s="697"/>
      <c r="HW115" s="604"/>
      <c r="HX115" s="604"/>
      <c r="HY115" s="604"/>
      <c r="HZ115" s="604"/>
      <c r="IA115" s="607"/>
      <c r="IB115" s="699"/>
      <c r="IC115" s="1535"/>
      <c r="ID115" s="1536"/>
      <c r="IE115" s="604"/>
      <c r="IF115" s="700"/>
      <c r="IG115" s="700"/>
      <c r="IH115" s="700"/>
      <c r="II115" s="604"/>
      <c r="IJ115" s="700"/>
      <c r="IK115" s="698"/>
      <c r="IL115" s="604"/>
      <c r="IM115" s="604"/>
      <c r="IN115" s="697"/>
      <c r="IO115" s="604"/>
      <c r="IP115" s="604"/>
      <c r="IQ115" s="604"/>
      <c r="IR115" s="604"/>
      <c r="IS115" s="607"/>
      <c r="IT115" s="699"/>
      <c r="IU115" s="1535"/>
      <c r="IV115" s="1536"/>
      <c r="IW115" s="604"/>
      <c r="IX115" s="700"/>
      <c r="IY115" s="700"/>
      <c r="IZ115" s="700"/>
      <c r="JA115" s="604"/>
      <c r="JB115" s="700"/>
      <c r="JC115" s="698"/>
      <c r="JD115" s="604"/>
      <c r="JE115" s="604"/>
      <c r="JF115" s="697"/>
      <c r="JG115" s="604"/>
      <c r="JH115" s="604"/>
      <c r="JI115" s="604"/>
      <c r="JJ115" s="604"/>
      <c r="JK115" s="607"/>
      <c r="JL115" s="699"/>
      <c r="JM115" s="1535"/>
      <c r="JN115" s="1536"/>
      <c r="JO115" s="604"/>
      <c r="JP115" s="700"/>
      <c r="JQ115" s="700"/>
      <c r="JR115" s="700"/>
      <c r="JS115" s="604"/>
      <c r="JT115" s="700"/>
      <c r="JU115" s="698"/>
      <c r="JV115" s="604"/>
      <c r="JW115" s="604"/>
      <c r="JX115" s="697"/>
      <c r="JY115" s="604"/>
      <c r="JZ115" s="604"/>
      <c r="KA115" s="604"/>
      <c r="KB115" s="604"/>
      <c r="KC115" s="607"/>
      <c r="KD115" s="699"/>
      <c r="KE115" s="1535"/>
      <c r="KF115" s="1536"/>
      <c r="KG115" s="604"/>
      <c r="KH115" s="700"/>
      <c r="KI115" s="700"/>
      <c r="KJ115" s="700"/>
      <c r="KK115" s="604"/>
      <c r="KL115" s="700"/>
      <c r="KM115" s="698"/>
      <c r="KN115" s="604"/>
      <c r="KO115" s="604"/>
      <c r="KP115" s="697"/>
      <c r="KQ115" s="604"/>
      <c r="KR115" s="604"/>
      <c r="KS115" s="604"/>
      <c r="KT115" s="604"/>
      <c r="KU115" s="607"/>
      <c r="KV115" s="699"/>
      <c r="KW115" s="1535"/>
      <c r="KX115" s="1536"/>
      <c r="KY115" s="604"/>
      <c r="KZ115" s="700"/>
      <c r="LA115" s="700"/>
      <c r="LB115" s="700"/>
      <c r="LC115" s="604"/>
      <c r="LD115" s="700"/>
      <c r="LE115" s="698"/>
      <c r="LF115" s="604"/>
      <c r="LG115" s="604"/>
      <c r="LH115" s="697"/>
      <c r="LI115" s="604"/>
      <c r="LJ115" s="604"/>
      <c r="LK115" s="604"/>
      <c r="LL115" s="604"/>
      <c r="LM115" s="607"/>
      <c r="LN115" s="699"/>
      <c r="LO115" s="1535"/>
      <c r="LP115" s="1536"/>
      <c r="LQ115" s="604"/>
      <c r="LR115" s="700"/>
      <c r="LS115" s="700"/>
      <c r="LT115" s="700"/>
      <c r="LU115" s="604"/>
      <c r="LV115" s="700"/>
      <c r="LW115" s="698"/>
      <c r="LX115" s="604"/>
      <c r="LY115" s="604"/>
      <c r="LZ115" s="697"/>
      <c r="MA115" s="604"/>
      <c r="MB115" s="604"/>
      <c r="MC115" s="604"/>
      <c r="MD115" s="604"/>
      <c r="ME115" s="607"/>
      <c r="MF115" s="699"/>
      <c r="MG115" s="1535"/>
      <c r="MH115" s="1536"/>
      <c r="MI115" s="604"/>
      <c r="MJ115" s="700"/>
      <c r="MK115" s="700"/>
      <c r="ML115" s="700"/>
      <c r="MM115" s="604"/>
      <c r="MN115" s="700"/>
      <c r="MO115" s="698"/>
      <c r="MP115" s="604"/>
      <c r="MQ115" s="604"/>
      <c r="MR115" s="697"/>
      <c r="MS115" s="604"/>
      <c r="MT115" s="604"/>
      <c r="MU115" s="604"/>
      <c r="MV115" s="604"/>
      <c r="MW115" s="607"/>
      <c r="MX115" s="699"/>
      <c r="MY115" s="1535"/>
      <c r="MZ115" s="1536"/>
      <c r="NA115" s="604"/>
      <c r="NB115" s="700"/>
      <c r="NC115" s="700"/>
      <c r="ND115" s="700"/>
      <c r="NE115" s="604"/>
      <c r="NF115" s="700"/>
      <c r="NG115" s="698"/>
      <c r="NH115" s="604"/>
      <c r="NI115" s="604"/>
      <c r="NJ115" s="697"/>
      <c r="NK115" s="604"/>
      <c r="NL115" s="604"/>
      <c r="NM115" s="604"/>
      <c r="NN115" s="604"/>
      <c r="NO115" s="607"/>
      <c r="NP115" s="699"/>
      <c r="NQ115" s="1535"/>
      <c r="NR115" s="1536"/>
      <c r="NS115" s="604"/>
      <c r="NT115" s="700"/>
      <c r="NU115" s="700"/>
      <c r="NV115" s="700"/>
      <c r="NW115" s="604"/>
      <c r="NX115" s="700"/>
      <c r="NY115" s="698"/>
      <c r="NZ115" s="604"/>
      <c r="OA115" s="604"/>
      <c r="OB115" s="697"/>
      <c r="OC115" s="604"/>
      <c r="OD115" s="604"/>
      <c r="OE115" s="604"/>
      <c r="OF115" s="604"/>
      <c r="OG115" s="607"/>
      <c r="OH115" s="699"/>
      <c r="OI115" s="1535"/>
      <c r="OJ115" s="1536"/>
      <c r="OK115" s="604"/>
      <c r="OL115" s="700"/>
      <c r="OM115" s="700"/>
      <c r="ON115" s="700"/>
      <c r="OO115" s="604"/>
      <c r="OP115" s="700"/>
      <c r="OQ115" s="698"/>
      <c r="OR115" s="604"/>
      <c r="OS115" s="604"/>
      <c r="OT115" s="697"/>
      <c r="OU115" s="604"/>
      <c r="OV115" s="604"/>
      <c r="OW115" s="604"/>
      <c r="OX115" s="604"/>
      <c r="OY115" s="607"/>
      <c r="OZ115" s="699"/>
      <c r="PA115" s="1535"/>
      <c r="PB115" s="1536"/>
      <c r="PC115" s="604"/>
      <c r="PD115" s="700"/>
      <c r="PE115" s="700"/>
      <c r="PF115" s="700"/>
      <c r="PG115" s="604"/>
      <c r="PH115" s="700"/>
      <c r="PI115" s="698"/>
      <c r="PJ115" s="604"/>
      <c r="PK115" s="604"/>
      <c r="PL115" s="697"/>
      <c r="PM115" s="604"/>
      <c r="PN115" s="604"/>
      <c r="PO115" s="604"/>
      <c r="PP115" s="604"/>
      <c r="PQ115" s="607"/>
      <c r="PR115" s="699"/>
      <c r="PS115" s="1535"/>
      <c r="PT115" s="1536"/>
      <c r="PU115" s="604"/>
      <c r="PV115" s="700"/>
      <c r="PW115" s="700"/>
      <c r="PX115" s="700"/>
      <c r="PY115" s="604"/>
      <c r="PZ115" s="700"/>
      <c r="QA115" s="698"/>
      <c r="QB115" s="604"/>
      <c r="QC115" s="604"/>
      <c r="QD115" s="697"/>
      <c r="QE115" s="604"/>
      <c r="QF115" s="604"/>
      <c r="QG115" s="604"/>
      <c r="QH115" s="604"/>
      <c r="QI115" s="607"/>
      <c r="QJ115" s="699"/>
      <c r="QK115" s="1535"/>
      <c r="QL115" s="1536"/>
      <c r="QM115" s="604"/>
      <c r="QN115" s="700"/>
      <c r="QO115" s="700"/>
      <c r="QP115" s="700"/>
      <c r="QQ115" s="604"/>
      <c r="QR115" s="700"/>
      <c r="QS115" s="698"/>
      <c r="QT115" s="604"/>
      <c r="QU115" s="604"/>
      <c r="QV115" s="697"/>
      <c r="QW115" s="604"/>
      <c r="QX115" s="604"/>
      <c r="QY115" s="604"/>
      <c r="QZ115" s="604"/>
      <c r="RA115" s="607"/>
      <c r="RB115" s="699"/>
      <c r="RC115" s="1535"/>
      <c r="RD115" s="1536"/>
      <c r="RE115" s="604"/>
      <c r="RF115" s="700"/>
      <c r="RG115" s="700"/>
      <c r="RH115" s="700"/>
      <c r="RI115" s="604"/>
      <c r="RJ115" s="700"/>
      <c r="RK115" s="698"/>
      <c r="RL115" s="604"/>
      <c r="RM115" s="604"/>
      <c r="RN115" s="697"/>
      <c r="RO115" s="604"/>
      <c r="RP115" s="604"/>
      <c r="RQ115" s="604"/>
      <c r="RR115" s="604"/>
      <c r="RS115" s="607"/>
      <c r="RT115" s="699"/>
      <c r="RU115" s="1535"/>
      <c r="RV115" s="1536"/>
      <c r="RW115" s="698"/>
      <c r="RX115" s="700"/>
      <c r="RY115" s="700"/>
      <c r="RZ115" s="700"/>
      <c r="SA115" s="604"/>
      <c r="SB115" s="700"/>
      <c r="SC115" s="698"/>
      <c r="SD115" s="604"/>
      <c r="SE115" s="604"/>
      <c r="SF115" s="697"/>
      <c r="SG115" s="604"/>
      <c r="SH115" s="604"/>
      <c r="SI115" s="604"/>
      <c r="SJ115" s="604"/>
      <c r="SK115" s="607"/>
      <c r="SL115" s="699"/>
      <c r="SM115" s="1535"/>
      <c r="SN115" s="1536"/>
      <c r="SO115" s="604"/>
      <c r="SP115" s="700"/>
      <c r="SQ115" s="700"/>
      <c r="SR115" s="700"/>
      <c r="SS115" s="604"/>
      <c r="ST115" s="700"/>
      <c r="SU115" s="698"/>
      <c r="SV115" s="604"/>
      <c r="SW115" s="604"/>
      <c r="SX115" s="697"/>
      <c r="SY115" s="604"/>
      <c r="SZ115" s="604"/>
      <c r="TA115" s="604"/>
      <c r="TB115" s="604"/>
      <c r="TC115" s="607"/>
      <c r="TD115" s="699"/>
      <c r="TE115" s="1535"/>
      <c r="TF115" s="1536"/>
      <c r="TG115" s="604"/>
      <c r="TH115" s="700"/>
      <c r="TI115" s="700"/>
      <c r="TJ115" s="700"/>
      <c r="TK115" s="604"/>
      <c r="TL115" s="700"/>
      <c r="TM115" s="698"/>
      <c r="TN115" s="604"/>
      <c r="TO115" s="604"/>
      <c r="TP115" s="697"/>
      <c r="TQ115" s="604"/>
      <c r="TR115" s="604"/>
      <c r="TS115" s="604"/>
      <c r="TT115" s="604"/>
      <c r="TU115" s="607"/>
      <c r="TV115" s="699"/>
      <c r="TW115" s="1535"/>
      <c r="TX115" s="1536"/>
      <c r="TY115" s="604"/>
      <c r="TZ115" s="700"/>
      <c r="UA115" s="700"/>
      <c r="UB115" s="700"/>
      <c r="UC115" s="604"/>
      <c r="UD115" s="700"/>
      <c r="UE115" s="698"/>
      <c r="UF115" s="604"/>
      <c r="UG115" s="604"/>
      <c r="UH115" s="697"/>
      <c r="UI115" s="604"/>
      <c r="UJ115" s="604"/>
      <c r="UK115" s="604"/>
      <c r="UL115" s="604"/>
      <c r="UM115" s="607"/>
      <c r="UN115" s="699"/>
      <c r="UO115" s="1535"/>
      <c r="UP115" s="1536"/>
      <c r="UQ115" s="604"/>
      <c r="UR115" s="700"/>
      <c r="US115" s="700"/>
      <c r="UT115" s="700"/>
      <c r="UU115" s="604"/>
      <c r="UV115" s="700"/>
      <c r="UW115" s="698"/>
      <c r="UX115" s="604"/>
      <c r="UY115" s="604"/>
      <c r="UZ115" s="697"/>
      <c r="VA115" s="604"/>
      <c r="VB115" s="604"/>
      <c r="VC115" s="604"/>
      <c r="VD115" s="604"/>
      <c r="VE115" s="607"/>
    </row>
    <row r="116" spans="1:577" x14ac:dyDescent="0.25">
      <c r="A116" s="2218">
        <v>100</v>
      </c>
      <c r="B116" s="2006">
        <v>19.8</v>
      </c>
      <c r="C116" s="2007">
        <v>52</v>
      </c>
      <c r="D116" s="2005">
        <v>1009.1</v>
      </c>
      <c r="E116" s="1998">
        <v>-1.927E-8</v>
      </c>
      <c r="F116" s="667">
        <v>60</v>
      </c>
      <c r="G116" s="663">
        <v>44334</v>
      </c>
      <c r="H116" s="656" t="s">
        <v>1042</v>
      </c>
      <c r="I116" s="649">
        <f>IF(H116="Low",E116*$D$42,IF(H116="Med",E116*$D$43,IF(H116="High",E116*$D$44,"rango cal. out")))</f>
        <v>-1.9289269999999998E-8</v>
      </c>
      <c r="J116" s="652">
        <f>((273.2+B116)*$F$33/((273.2+$F$32)*D116))</f>
        <v>0.99662935176076561</v>
      </c>
      <c r="K116" s="653">
        <f>I116/F116*J116*EXP(-LN(2)/10990*($F$96-G116))</f>
        <v>-3.1730722463222936E-10</v>
      </c>
      <c r="L116" s="599">
        <f>K116-AVERAGE(S102:S103)</f>
        <v>-3.1728341266485784E-10</v>
      </c>
      <c r="M116" s="599" t="e">
        <f>ABS(#REF!*L116*3600)</f>
        <v>#REF!</v>
      </c>
      <c r="N116" s="657">
        <f>ABS($B$34*L116*3600)</f>
        <v>2.8783951196955902E-2</v>
      </c>
      <c r="O116" s="600">
        <f>N116*$C$87</f>
        <v>2.8783951196955901</v>
      </c>
      <c r="P116" s="599">
        <f>N116*$F$78</f>
        <v>3.4540741436347083E-2</v>
      </c>
      <c r="Q116" s="600">
        <f>N116*$F$83</f>
        <v>3.4828580948316638E-2</v>
      </c>
      <c r="R116" s="599">
        <f>N116*$F$80</f>
        <v>3.4828580948316638E-2</v>
      </c>
      <c r="S116" s="658">
        <f>N116*$F$79</f>
        <v>3.597993899619488E-2</v>
      </c>
      <c r="T116" s="659"/>
      <c r="U116" s="660"/>
      <c r="V116" s="661"/>
      <c r="W116" s="651"/>
      <c r="X116" s="662"/>
      <c r="Y116" s="663"/>
      <c r="Z116" s="656"/>
      <c r="AA116" s="649" t="str">
        <f>IF(Z116="Low",W116*$D$42,IF(Z116="Med",W116*$D$43,IF(Z116="High",W116*$D$44,"rango cal. out")))</f>
        <v>rango cal. out</v>
      </c>
      <c r="AB116" s="652" t="e">
        <f>((273.2+T116)*$F$33/((273.2+$F$32)*V116))</f>
        <v>#DIV/0!</v>
      </c>
      <c r="AC116" s="653" t="e">
        <f>AA116/X116*AB116*EXP(-LN(2)/10990*($F$96-Y116))</f>
        <v>#VALUE!</v>
      </c>
      <c r="AD116" s="599" t="e">
        <f>AC116-AVERAGE(#REF!)</f>
        <v>#VALUE!</v>
      </c>
      <c r="AE116" s="599" t="e">
        <f>ABS(#REF!*AD116*3600)</f>
        <v>#REF!</v>
      </c>
      <c r="AF116" s="657" t="e">
        <f>ABS($B$34*AD116*3600)</f>
        <v>#VALUE!</v>
      </c>
      <c r="AG116" s="600" t="e">
        <f>AF116*$C$87</f>
        <v>#VALUE!</v>
      </c>
      <c r="AH116" s="599" t="e">
        <f>AF116*$F$78</f>
        <v>#VALUE!</v>
      </c>
      <c r="AI116" s="600" t="e">
        <f>AF116*$F$83</f>
        <v>#VALUE!</v>
      </c>
      <c r="AJ116" s="599" t="e">
        <f>AF116*$F$80</f>
        <v>#VALUE!</v>
      </c>
      <c r="AK116" s="658" t="e">
        <f>AF116*$F$79</f>
        <v>#VALUE!</v>
      </c>
      <c r="AL116" s="664"/>
      <c r="AM116" s="660"/>
      <c r="AN116" s="661"/>
      <c r="AO116" s="651"/>
      <c r="AP116" s="662"/>
      <c r="AQ116" s="663"/>
      <c r="AR116" s="656"/>
      <c r="AS116" s="649" t="str">
        <f>IF(AR116="Low",AO116*$D$42,IF(AR116="Med",AO116*$D$43,IF(AR116="High",AO116*$D$44,"rango cal. out")))</f>
        <v>rango cal. out</v>
      </c>
      <c r="AT116" s="652" t="e">
        <f>((273.2+AL116)*$F$33/((273.2+$F$32)*AN116))</f>
        <v>#DIV/0!</v>
      </c>
      <c r="AU116" s="653" t="e">
        <f>AS116/AP116*AT116*EXP(-LN(2)/10990*($F$96-AQ116))</f>
        <v>#VALUE!</v>
      </c>
      <c r="AV116" s="599" t="e">
        <f>AU116-AVERAGE(BC102:BC103)</f>
        <v>#VALUE!</v>
      </c>
      <c r="AW116" s="599" t="e">
        <f>ABS(#REF!*AV116*3600)</f>
        <v>#REF!</v>
      </c>
      <c r="AX116" s="657" t="e">
        <f>ABS($B$34*AV116*3600)</f>
        <v>#VALUE!</v>
      </c>
      <c r="AY116" s="600" t="e">
        <f>AX116*$C$87</f>
        <v>#VALUE!</v>
      </c>
      <c r="AZ116" s="599" t="e">
        <f>AX116*$F$78</f>
        <v>#VALUE!</v>
      </c>
      <c r="BA116" s="600" t="e">
        <f>AX116*$F$83</f>
        <v>#VALUE!</v>
      </c>
      <c r="BB116" s="599" t="e">
        <f>AX116*$F$80</f>
        <v>#VALUE!</v>
      </c>
      <c r="BC116" s="658" t="e">
        <f>AX116*$F$79</f>
        <v>#VALUE!</v>
      </c>
      <c r="BD116" s="664"/>
      <c r="BE116" s="660"/>
      <c r="BF116" s="661"/>
      <c r="BG116" s="1998">
        <f>-0.00000000298</f>
        <v>-2.98E-9</v>
      </c>
      <c r="BH116" s="662"/>
      <c r="BI116" s="663">
        <v>44333</v>
      </c>
      <c r="BJ116" s="656"/>
      <c r="BK116" s="649" t="str">
        <f>IF(BJ116="Low",BG116*$D$42,IF(BJ116="Med",BG116*$D$43,IF(BJ116="High",BG116*$D$44,"rango cal. out")))</f>
        <v>rango cal. out</v>
      </c>
      <c r="BL116" s="652" t="e">
        <f>((273.2+BD116)*$F$33/((273.2+$F$32)*BF116))</f>
        <v>#DIV/0!</v>
      </c>
      <c r="BM116" s="653" t="e">
        <f>BK116/BH116*BL116*EXP(-LN(2)/10990*($F$96-BI116))</f>
        <v>#VALUE!</v>
      </c>
      <c r="BN116" s="599" t="e">
        <f>BM116-AVERAGE(BU102:BU103)</f>
        <v>#VALUE!</v>
      </c>
      <c r="BO116" s="599" t="e">
        <f>ABS(#REF!*BN116*3600)</f>
        <v>#REF!</v>
      </c>
      <c r="BP116" s="657" t="e">
        <f>ABS($B$34*BN116*3600)</f>
        <v>#VALUE!</v>
      </c>
      <c r="BQ116" s="600" t="e">
        <f>BP116*$C$87</f>
        <v>#VALUE!</v>
      </c>
      <c r="BR116" s="599" t="e">
        <f>BP116*$F$78</f>
        <v>#VALUE!</v>
      </c>
      <c r="BS116" s="600" t="e">
        <f>BP116*$F$83</f>
        <v>#VALUE!</v>
      </c>
      <c r="BT116" s="599" t="e">
        <f>BP116*$F$80</f>
        <v>#VALUE!</v>
      </c>
      <c r="BU116" s="658" t="e">
        <f>BP116*$F$79</f>
        <v>#VALUE!</v>
      </c>
      <c r="BV116" s="2002">
        <v>19.899999999999999</v>
      </c>
      <c r="BW116" s="2003">
        <v>51</v>
      </c>
      <c r="BX116" s="2004">
        <v>1008.7</v>
      </c>
      <c r="BY116" s="1998">
        <v>-1.58E-10</v>
      </c>
      <c r="BZ116" s="662"/>
      <c r="CA116" s="663">
        <v>44333</v>
      </c>
      <c r="CB116" s="656"/>
      <c r="CC116" s="649" t="str">
        <f>IF(CB116="Low",BY116*$D$42,IF(CB116="Med",BY116*$D$43,IF(CB116="High",BY116*$D$44,"rango cal. out")))</f>
        <v>rango cal. out</v>
      </c>
      <c r="CD116" s="652">
        <f>((273.2+BV116)*$F$33/((273.2+$F$32)*BX116))</f>
        <v>0.99736484656657798</v>
      </c>
      <c r="CE116" s="653" t="e">
        <f>CC116/BZ116*CD116*EXP(-LN(2)/10990*($F$96-CA116))</f>
        <v>#VALUE!</v>
      </c>
      <c r="CF116" s="599" t="e">
        <f>CE116-AVERAGE(CM102:CM103)</f>
        <v>#VALUE!</v>
      </c>
      <c r="CG116" s="599" t="e">
        <f>ABS(#REF!*CF116*3600)</f>
        <v>#REF!</v>
      </c>
      <c r="CH116" s="657" t="e">
        <f>ABS($B$34*CF116*3600)</f>
        <v>#VALUE!</v>
      </c>
      <c r="CI116" s="600" t="e">
        <f>CH116*$C$87</f>
        <v>#VALUE!</v>
      </c>
      <c r="CJ116" s="599" t="e">
        <f>CH116*$F$78</f>
        <v>#VALUE!</v>
      </c>
      <c r="CK116" s="600" t="e">
        <f>CH116*$F$83</f>
        <v>#VALUE!</v>
      </c>
      <c r="CL116" s="599" t="e">
        <f>CH116*$F$80</f>
        <v>#VALUE!</v>
      </c>
      <c r="CM116" s="658" t="e">
        <f>CH116*$F$79</f>
        <v>#VALUE!</v>
      </c>
      <c r="CN116" s="2002">
        <v>19.8</v>
      </c>
      <c r="CO116" s="2003">
        <v>51</v>
      </c>
      <c r="CP116" s="2004">
        <v>1008.9</v>
      </c>
      <c r="CQ116" s="1998">
        <v>-6.9749999999999996E-9</v>
      </c>
      <c r="CR116" s="662"/>
      <c r="CS116" s="663">
        <v>44333</v>
      </c>
      <c r="CT116" s="656"/>
      <c r="CU116" s="649" t="str">
        <f>IF(CT116="Low",CQ116*$D$42,IF(CT116="Med",CQ116*$D$43,IF(CT116="High",CQ116*$D$44,"rango cal. out")))</f>
        <v>rango cal. out</v>
      </c>
      <c r="CV116" s="652">
        <f>((273.2+CN116)*$F$33/((273.2+$F$32)*CP116))</f>
        <v>0.99682691928019496</v>
      </c>
      <c r="CW116" s="653" t="e">
        <f>CU116/CR116*CV116*EXP(-LN(2)/10990*($F$96-CS116))</f>
        <v>#VALUE!</v>
      </c>
      <c r="CX116" s="599" t="e">
        <f>CW116-AVERAGE(DE102:DE103)</f>
        <v>#VALUE!</v>
      </c>
      <c r="CY116" s="599" t="e">
        <f>ABS(#REF!*CX116*3600)</f>
        <v>#REF!</v>
      </c>
      <c r="CZ116" s="657" t="e">
        <f>ABS($B$34*CX116*3600)</f>
        <v>#VALUE!</v>
      </c>
      <c r="DA116" s="600" t="e">
        <f>CZ116*$C$87</f>
        <v>#VALUE!</v>
      </c>
      <c r="DB116" s="599" t="e">
        <f>CZ116*$F$78</f>
        <v>#VALUE!</v>
      </c>
      <c r="DC116" s="600" t="e">
        <f>CZ116*$F$83</f>
        <v>#VALUE!</v>
      </c>
      <c r="DD116" s="599" t="e">
        <f>CZ116*$F$80</f>
        <v>#VALUE!</v>
      </c>
      <c r="DE116" s="658" t="e">
        <f>CZ116*$F$79</f>
        <v>#VALUE!</v>
      </c>
      <c r="DF116" s="664"/>
      <c r="DG116" s="660"/>
      <c r="DH116" s="661"/>
      <c r="DI116" s="651"/>
      <c r="DJ116" s="662"/>
      <c r="DK116" s="663"/>
      <c r="DL116" s="656"/>
      <c r="DM116" s="649" t="str">
        <f>IF(DL116="Low",DI116*$D$42,IF(DL116="Med",DI116*$D$43,IF(DL116="High",DI116*$D$44,"rango cal. out")))</f>
        <v>rango cal. out</v>
      </c>
      <c r="DN116" s="652" t="e">
        <f>((273.2+DF116)*$F$33/((273.2+$F$32)*DH116))</f>
        <v>#DIV/0!</v>
      </c>
      <c r="DO116" s="653" t="e">
        <f>DM116/DJ116*DN116*EXP(-LN(2)/10990*($F$96-DK116))</f>
        <v>#VALUE!</v>
      </c>
      <c r="DP116" s="599" t="e">
        <f>DO116-AVERAGE(DW102:DW103)</f>
        <v>#VALUE!</v>
      </c>
      <c r="DQ116" s="599" t="e">
        <f>ABS(#REF!*DP116*3600)</f>
        <v>#REF!</v>
      </c>
      <c r="DR116" s="657" t="e">
        <f>ABS($B$34*DP116*3600)</f>
        <v>#VALUE!</v>
      </c>
      <c r="DS116" s="600" t="e">
        <f>DR116*$C$87</f>
        <v>#VALUE!</v>
      </c>
      <c r="DT116" s="599" t="e">
        <f>DR116*$F$78</f>
        <v>#VALUE!</v>
      </c>
      <c r="DU116" s="600" t="e">
        <f>DR116*$F$83</f>
        <v>#VALUE!</v>
      </c>
      <c r="DV116" s="599" t="e">
        <f>DR116*$F$80</f>
        <v>#VALUE!</v>
      </c>
      <c r="DW116" s="658" t="e">
        <f>DR116*$F$79</f>
        <v>#VALUE!</v>
      </c>
      <c r="DX116" s="664"/>
      <c r="DY116" s="660"/>
      <c r="DZ116" s="659"/>
      <c r="EA116" s="665"/>
      <c r="EB116" s="662"/>
      <c r="EC116" s="663"/>
      <c r="ED116" s="656"/>
      <c r="EE116" s="649" t="str">
        <f>IF(ED116="Low",EA116*$D$42,IF(ED116="Med",EA116*$D$43,IF(ED116="High",EA116*$D$44,"rango cal. out")))</f>
        <v>rango cal. out</v>
      </c>
      <c r="EF116" s="652" t="e">
        <f>((273.2+DX116)*$F$33/((273.2+$F$32)*DZ116))</f>
        <v>#DIV/0!</v>
      </c>
      <c r="EG116" s="653" t="e">
        <f>EE116/EB116*EF116*EXP(-LN(2)/10990*($F$96-EC116))</f>
        <v>#VALUE!</v>
      </c>
      <c r="EH116" s="599" t="e">
        <f>EG116-AVERAGE(EO102:EO103)</f>
        <v>#VALUE!</v>
      </c>
      <c r="EI116" s="599" t="e">
        <f>ABS(#REF!*EH116*3600)</f>
        <v>#REF!</v>
      </c>
      <c r="EJ116" s="657" t="e">
        <f>ABS($B$34*EH116*3600)</f>
        <v>#VALUE!</v>
      </c>
      <c r="EK116" s="600" t="e">
        <f>EJ116*$C$87</f>
        <v>#VALUE!</v>
      </c>
      <c r="EL116" s="599" t="e">
        <f>EJ116*$F$78</f>
        <v>#VALUE!</v>
      </c>
      <c r="EM116" s="600" t="e">
        <f>EJ116*$F$83</f>
        <v>#VALUE!</v>
      </c>
      <c r="EN116" s="599" t="e">
        <f>EJ116*$F$80</f>
        <v>#VALUE!</v>
      </c>
      <c r="EO116" s="658" t="e">
        <f>EJ116*$F$79</f>
        <v>#VALUE!</v>
      </c>
      <c r="EP116" s="2002">
        <v>19.8</v>
      </c>
      <c r="EQ116" s="2003">
        <v>51</v>
      </c>
      <c r="ER116" s="2004">
        <v>1009.4</v>
      </c>
      <c r="ES116" s="1998">
        <v>-1.45E-11</v>
      </c>
      <c r="ET116" s="662"/>
      <c r="EU116" s="663">
        <v>44333</v>
      </c>
      <c r="EV116" s="656"/>
      <c r="EW116" s="649" t="str">
        <f>IF(EV116="Low",ES116*$D$42,IF(EV116="Med",ES116*$D$43,IF(EV116="High",ES116*$D$44,"rango cal. out")))</f>
        <v>rango cal. out</v>
      </c>
      <c r="EX116" s="652">
        <f>((273.2+EP116)*$F$33/((273.2+$F$32)*ER116))</f>
        <v>0.9963331472773812</v>
      </c>
      <c r="EY116" s="653" t="e">
        <f>EW116/ET116*EX116*EXP(-LN(2)/10990*($F$96-EU116))</f>
        <v>#VALUE!</v>
      </c>
      <c r="EZ116" s="599" t="e">
        <f>EY116-AVERAGE(FG102:FG103)</f>
        <v>#VALUE!</v>
      </c>
      <c r="FA116" s="599" t="e">
        <f>ABS(#REF!*EZ116*3600)</f>
        <v>#REF!</v>
      </c>
      <c r="FB116" s="657" t="e">
        <f>ABS($B$34*EZ116*3600)</f>
        <v>#VALUE!</v>
      </c>
      <c r="FC116" s="600" t="e">
        <f>FB116*$C$87</f>
        <v>#VALUE!</v>
      </c>
      <c r="FD116" s="599" t="e">
        <f>FB116*$F$78</f>
        <v>#VALUE!</v>
      </c>
      <c r="FE116" s="600" t="e">
        <f>FB116*$F$83</f>
        <v>#VALUE!</v>
      </c>
      <c r="FF116" s="599" t="e">
        <f>FB116*$F$80</f>
        <v>#VALUE!</v>
      </c>
      <c r="FG116" s="658" t="e">
        <f>FB116*$F$79</f>
        <v>#VALUE!</v>
      </c>
      <c r="FH116" s="664"/>
      <c r="FI116" s="660"/>
      <c r="FJ116" s="661"/>
      <c r="FK116" s="651"/>
      <c r="FL116" s="662"/>
      <c r="FM116" s="663"/>
      <c r="FN116" s="656"/>
      <c r="FO116" s="649" t="str">
        <f>IF(FN116="Low",FK116*$D$42,IF(FN116="Med",FK116*$D$43,IF(FN116="High",FK116*$D$44,"rango cal. out")))</f>
        <v>rango cal. out</v>
      </c>
      <c r="FP116" s="652" t="e">
        <f>((273.2+FH116)*$F$33/((273.2+$F$32)*FJ116))</f>
        <v>#DIV/0!</v>
      </c>
      <c r="FQ116" s="653" t="e">
        <f>FO116/FL116*FP116*EXP(-LN(2)/10990*($F$96-FM116))</f>
        <v>#VALUE!</v>
      </c>
      <c r="FR116" s="599" t="e">
        <f>FQ116-AVERAGE(FY102:FY103)</f>
        <v>#VALUE!</v>
      </c>
      <c r="FS116" s="599" t="e">
        <f>ABS(#REF!*FR116*3600)</f>
        <v>#REF!</v>
      </c>
      <c r="FT116" s="657" t="e">
        <f>ABS($B$34*FR116*3600)</f>
        <v>#VALUE!</v>
      </c>
      <c r="FU116" s="600" t="e">
        <f>FT116*$C$87</f>
        <v>#VALUE!</v>
      </c>
      <c r="FV116" s="599" t="e">
        <f>FT116*$F$78</f>
        <v>#VALUE!</v>
      </c>
      <c r="FW116" s="600" t="e">
        <f>FT116*$F$83</f>
        <v>#VALUE!</v>
      </c>
      <c r="FX116" s="599" t="e">
        <f>FT116*$F$80</f>
        <v>#VALUE!</v>
      </c>
      <c r="FY116" s="658" t="e">
        <f>FT116*$F$79</f>
        <v>#VALUE!</v>
      </c>
      <c r="FZ116" s="664"/>
      <c r="GA116" s="660"/>
      <c r="GB116" s="661"/>
      <c r="GC116" s="651"/>
      <c r="GD116" s="662"/>
      <c r="GE116" s="663"/>
      <c r="GF116" s="656"/>
      <c r="GG116" s="649" t="str">
        <f>IF(GF116="Low",GC116*$D$42,IF(GF116="Med",GC116*$D$43,IF(GF116="High",GC116*$D$44,"rango cal. out")))</f>
        <v>rango cal. out</v>
      </c>
      <c r="GH116" s="652" t="e">
        <f>((273.2+FZ116)*$F$33/((273.2+$F$32)*GB116))</f>
        <v>#DIV/0!</v>
      </c>
      <c r="GI116" s="653" t="e">
        <f>GG116/GD116*GH116*EXP(-LN(2)/10990*($F$96-GE116))</f>
        <v>#VALUE!</v>
      </c>
      <c r="GJ116" s="599" t="e">
        <f>GI116-AVERAGE(GQ102:GQ103)</f>
        <v>#VALUE!</v>
      </c>
      <c r="GK116" s="599" t="e">
        <f>ABS(#REF!*GJ116*3600)</f>
        <v>#REF!</v>
      </c>
      <c r="GL116" s="657" t="e">
        <f>ABS($B$34*GJ116*3600)</f>
        <v>#VALUE!</v>
      </c>
      <c r="GM116" s="600" t="e">
        <f>GL116*$C$87</f>
        <v>#VALUE!</v>
      </c>
      <c r="GN116" s="599" t="e">
        <f>GL116*$F$78</f>
        <v>#VALUE!</v>
      </c>
      <c r="GO116" s="600" t="e">
        <f>GL116*$F$83</f>
        <v>#VALUE!</v>
      </c>
      <c r="GP116" s="599" t="e">
        <f>GL116*$F$80</f>
        <v>#VALUE!</v>
      </c>
      <c r="GQ116" s="658" t="e">
        <f>GL116*$F$79</f>
        <v>#VALUE!</v>
      </c>
      <c r="GR116" s="664"/>
      <c r="GS116" s="660"/>
      <c r="GT116" s="659"/>
      <c r="GU116" s="665"/>
      <c r="GV116" s="662"/>
      <c r="GW116" s="663"/>
      <c r="GX116" s="656"/>
      <c r="GY116" s="649" t="str">
        <f>IF(GX116="Low",GU116*$D$42,IF(GX116="Med",GU116*$D$43,IF(GX116="High",GU116*$D$44,"rango cal. out")))</f>
        <v>rango cal. out</v>
      </c>
      <c r="GZ116" s="652" t="e">
        <f>((273.2+GR116)*$F$33/((273.2+$F$32)*GT116))</f>
        <v>#DIV/0!</v>
      </c>
      <c r="HA116" s="653" t="e">
        <f>GY116/GV116*GZ116*EXP(-LN(2)/10990*($F$96-GW116))</f>
        <v>#VALUE!</v>
      </c>
      <c r="HB116" s="599" t="e">
        <f>HA116-AVERAGE(HI102:HI103)</f>
        <v>#VALUE!</v>
      </c>
      <c r="HC116" s="599" t="e">
        <f>ABS(#REF!*HB116*3600)</f>
        <v>#REF!</v>
      </c>
      <c r="HD116" s="657" t="e">
        <f>ABS($B$34*HB116*3600)</f>
        <v>#VALUE!</v>
      </c>
      <c r="HE116" s="600" t="e">
        <f>HD116*$C$87</f>
        <v>#VALUE!</v>
      </c>
      <c r="HF116" s="599" t="e">
        <f>HD116*$F$78</f>
        <v>#VALUE!</v>
      </c>
      <c r="HG116" s="600" t="e">
        <f>HD116*$F$83</f>
        <v>#VALUE!</v>
      </c>
      <c r="HH116" s="599" t="e">
        <f>HD116*$F$80</f>
        <v>#VALUE!</v>
      </c>
      <c r="HI116" s="658" t="e">
        <f>HD116*$F$79</f>
        <v>#VALUE!</v>
      </c>
      <c r="HJ116" s="664"/>
      <c r="HK116" s="660"/>
      <c r="HL116" s="661"/>
      <c r="HM116" s="651"/>
      <c r="HN116" s="662"/>
      <c r="HO116" s="663"/>
      <c r="HP116" s="656"/>
      <c r="HQ116" s="649" t="str">
        <f>IF(HP116="Low",HM116*$D$42,IF(HP116="Med",HM116*$D$43,IF(HP116="High",HM116*$D$44,"rango cal. out")))</f>
        <v>rango cal. out</v>
      </c>
      <c r="HR116" s="652" t="e">
        <f>((273.2+HJ116)*$F$33/((273.2+$F$32)*HL116))</f>
        <v>#DIV/0!</v>
      </c>
      <c r="HS116" s="653" t="e">
        <f>HQ116/HN116*HR116*EXP(-LN(2)/10990*($F$96-HO116))</f>
        <v>#VALUE!</v>
      </c>
      <c r="HT116" s="599" t="e">
        <f>HS116-AVERAGE(IA102:IA103)</f>
        <v>#VALUE!</v>
      </c>
      <c r="HU116" s="599" t="e">
        <f>ABS(#REF!*HT116*3600)</f>
        <v>#REF!</v>
      </c>
      <c r="HV116" s="657" t="e">
        <f>ABS($B$34*HT116*3600)</f>
        <v>#VALUE!</v>
      </c>
      <c r="HW116" s="600" t="e">
        <f>HV116*$C$87</f>
        <v>#VALUE!</v>
      </c>
      <c r="HX116" s="599" t="e">
        <f>HV116*$F$78</f>
        <v>#VALUE!</v>
      </c>
      <c r="HY116" s="600" t="e">
        <f>HV116*$F$83</f>
        <v>#VALUE!</v>
      </c>
      <c r="HZ116" s="599" t="e">
        <f>HV116*$F$80</f>
        <v>#VALUE!</v>
      </c>
      <c r="IA116" s="658" t="e">
        <f>HV116*$F$79</f>
        <v>#VALUE!</v>
      </c>
      <c r="IB116" s="664"/>
      <c r="IC116" s="660"/>
      <c r="ID116" s="661"/>
      <c r="IE116" s="651"/>
      <c r="IF116" s="662"/>
      <c r="IG116" s="663"/>
      <c r="IH116" s="656"/>
      <c r="II116" s="649" t="str">
        <f>IF(IH116="Low",IE116*$D$42,IF(IH116="Med",IE116*$D$43,IF(IH116="High",IE116*$D$44,"rango cal. out")))</f>
        <v>rango cal. out</v>
      </c>
      <c r="IJ116" s="652" t="e">
        <f>((273.2+IB116)*$F$33/((273.2+$F$32)*ID116))</f>
        <v>#DIV/0!</v>
      </c>
      <c r="IK116" s="653" t="e">
        <f>II116/IF116*IJ116*EXP(-LN(2)/10990*($F$96-IG116))</f>
        <v>#VALUE!</v>
      </c>
      <c r="IL116" s="599" t="e">
        <f>IK116-AVERAGE(IS102:IS103)</f>
        <v>#VALUE!</v>
      </c>
      <c r="IM116" s="599" t="e">
        <f>ABS(#REF!*IL116*3600)</f>
        <v>#REF!</v>
      </c>
      <c r="IN116" s="657" t="e">
        <f>ABS($B$34*IL116*3600)</f>
        <v>#VALUE!</v>
      </c>
      <c r="IO116" s="600" t="e">
        <f>IN116*$C$87</f>
        <v>#VALUE!</v>
      </c>
      <c r="IP116" s="599" t="e">
        <f>IN116*$F$78</f>
        <v>#VALUE!</v>
      </c>
      <c r="IQ116" s="600" t="e">
        <f>IN116*$F$83</f>
        <v>#VALUE!</v>
      </c>
      <c r="IR116" s="599" t="e">
        <f>IN116*$F$80</f>
        <v>#VALUE!</v>
      </c>
      <c r="IS116" s="658" t="e">
        <f>IN116*$F$79</f>
        <v>#VALUE!</v>
      </c>
      <c r="IT116" s="664"/>
      <c r="IU116" s="660"/>
      <c r="IV116" s="661"/>
      <c r="IW116" s="651"/>
      <c r="IX116" s="662"/>
      <c r="IY116" s="663"/>
      <c r="IZ116" s="656"/>
      <c r="JA116" s="649" t="str">
        <f>IF(IZ116="Low",IW116*$D$42,IF(IZ116="Med",IW116*$D$43,IF(IZ116="High",IW116*$D$44,"rango cal. out")))</f>
        <v>rango cal. out</v>
      </c>
      <c r="JB116" s="652" t="e">
        <f>((273.2+IT116)*$F$33/((273.2+$F$32)*IV116))</f>
        <v>#DIV/0!</v>
      </c>
      <c r="JC116" s="653" t="e">
        <f>JA116/IX116*JB116*EXP(-LN(2)/10990*($F$96-IY116))</f>
        <v>#VALUE!</v>
      </c>
      <c r="JD116" s="599" t="e">
        <f>JC116-AVERAGE(JK102:JK103)</f>
        <v>#VALUE!</v>
      </c>
      <c r="JE116" s="599" t="e">
        <f>ABS(#REF!*JD116*3600)</f>
        <v>#REF!</v>
      </c>
      <c r="JF116" s="657" t="e">
        <f>ABS($B$34*JD116*3600)</f>
        <v>#VALUE!</v>
      </c>
      <c r="JG116" s="600" t="e">
        <f>JF116*$C$87</f>
        <v>#VALUE!</v>
      </c>
      <c r="JH116" s="599" t="e">
        <f>JF116*$F$78</f>
        <v>#VALUE!</v>
      </c>
      <c r="JI116" s="600" t="e">
        <f>JF116*$F$83</f>
        <v>#VALUE!</v>
      </c>
      <c r="JJ116" s="599" t="e">
        <f>JF116*$F$80</f>
        <v>#VALUE!</v>
      </c>
      <c r="JK116" s="658" t="e">
        <f>JF116*$F$79</f>
        <v>#VALUE!</v>
      </c>
      <c r="JL116" s="664"/>
      <c r="JM116" s="660"/>
      <c r="JN116" s="661"/>
      <c r="JO116" s="651"/>
      <c r="JP116" s="662"/>
      <c r="JQ116" s="663"/>
      <c r="JR116" s="656"/>
      <c r="JS116" s="649" t="str">
        <f>IF(JR116="Low",JO116*$D$42,IF(JR116="Med",JO116*$D$43,IF(JR116="High",JO116*$D$44,"rango cal. out")))</f>
        <v>rango cal. out</v>
      </c>
      <c r="JT116" s="652" t="e">
        <f>((273.2+JL116)*$F$33/((273.2+$F$32)*JN116))</f>
        <v>#DIV/0!</v>
      </c>
      <c r="JU116" s="653" t="e">
        <f>JS116/JP116*JT116*EXP(-LN(2)/10990*($F$96-JQ116))</f>
        <v>#VALUE!</v>
      </c>
      <c r="JV116" s="599" t="e">
        <f>JU116-AVERAGE(KC102:KC103)</f>
        <v>#VALUE!</v>
      </c>
      <c r="JW116" s="599" t="e">
        <f>ABS(#REF!*JV116*3600)</f>
        <v>#REF!</v>
      </c>
      <c r="JX116" s="657" t="e">
        <f>ABS($B$34*JV116*3600)</f>
        <v>#VALUE!</v>
      </c>
      <c r="JY116" s="600" t="e">
        <f>JX116*$C$87</f>
        <v>#VALUE!</v>
      </c>
      <c r="JZ116" s="599" t="e">
        <f>JX116*$F$78</f>
        <v>#VALUE!</v>
      </c>
      <c r="KA116" s="600" t="e">
        <f>JX116*$F$83</f>
        <v>#VALUE!</v>
      </c>
      <c r="KB116" s="599" t="e">
        <f>JX116*$F$80</f>
        <v>#VALUE!</v>
      </c>
      <c r="KC116" s="658" t="e">
        <f>JX116*$F$79</f>
        <v>#VALUE!</v>
      </c>
      <c r="KD116" s="664"/>
      <c r="KE116" s="660"/>
      <c r="KF116" s="661"/>
      <c r="KG116" s="651"/>
      <c r="KH116" s="662"/>
      <c r="KI116" s="663"/>
      <c r="KJ116" s="656"/>
      <c r="KK116" s="649" t="str">
        <f>IF(KJ116="Low",KG116*$D$42,IF(KJ116="Med",KG116*$D$43,IF(KJ116="High",KG116*$D$44,"rango cal. out")))</f>
        <v>rango cal. out</v>
      </c>
      <c r="KL116" s="652" t="e">
        <f>((273.2+KD116)*$F$33/((273.2+$F$32)*KF116))</f>
        <v>#DIV/0!</v>
      </c>
      <c r="KM116" s="653" t="e">
        <f>KK116/KH116*KL116*EXP(-LN(2)/10990*($F$96-KI116))</f>
        <v>#VALUE!</v>
      </c>
      <c r="KN116" s="599" t="e">
        <f>KM116-AVERAGE(KU102:KU103)</f>
        <v>#VALUE!</v>
      </c>
      <c r="KO116" s="599" t="e">
        <f>ABS(#REF!*KN116*3600)</f>
        <v>#REF!</v>
      </c>
      <c r="KP116" s="657" t="e">
        <f>ABS($B$34*KN116*3600)</f>
        <v>#VALUE!</v>
      </c>
      <c r="KQ116" s="600" t="e">
        <f>KP116*$C$87</f>
        <v>#VALUE!</v>
      </c>
      <c r="KR116" s="599" t="e">
        <f>KP116*$F$78</f>
        <v>#VALUE!</v>
      </c>
      <c r="KS116" s="600" t="e">
        <f>KP116*$F$83</f>
        <v>#VALUE!</v>
      </c>
      <c r="KT116" s="599" t="e">
        <f>KP116*$F$80</f>
        <v>#VALUE!</v>
      </c>
      <c r="KU116" s="658" t="e">
        <f>KP116*$F$79</f>
        <v>#VALUE!</v>
      </c>
      <c r="KV116" s="664"/>
      <c r="KW116" s="660"/>
      <c r="KX116" s="661"/>
      <c r="KY116" s="651"/>
      <c r="KZ116" s="662"/>
      <c r="LA116" s="663"/>
      <c r="LB116" s="656"/>
      <c r="LC116" s="649" t="str">
        <f>IF(LB116="Low",KY116*$D$42,IF(LB116="Med",KY116*$D$43,IF(LB116="High",KY116*$D$44,"rango cal. out")))</f>
        <v>rango cal. out</v>
      </c>
      <c r="LD116" s="652" t="e">
        <f>((273.2+KV116)*$F$33/((273.2+$F$32)*KX116))</f>
        <v>#DIV/0!</v>
      </c>
      <c r="LE116" s="653" t="e">
        <f>LC116/KZ116*LD116*EXP(-LN(2)/10990*($F$96-LA116))</f>
        <v>#VALUE!</v>
      </c>
      <c r="LF116" s="599" t="e">
        <f>LE116-AVERAGE(LM102:LM103)</f>
        <v>#VALUE!</v>
      </c>
      <c r="LG116" s="599" t="e">
        <f>ABS(#REF!*LF116*3600)</f>
        <v>#REF!</v>
      </c>
      <c r="LH116" s="657" t="e">
        <f>ABS($B$34*LF116*3600)</f>
        <v>#VALUE!</v>
      </c>
      <c r="LI116" s="600" t="e">
        <f>LH116*$C$87</f>
        <v>#VALUE!</v>
      </c>
      <c r="LJ116" s="599" t="e">
        <f>LH116*$F$78</f>
        <v>#VALUE!</v>
      </c>
      <c r="LK116" s="600" t="e">
        <f>LH116*$F$83</f>
        <v>#VALUE!</v>
      </c>
      <c r="LL116" s="599" t="e">
        <f>LH116*$F$80</f>
        <v>#VALUE!</v>
      </c>
      <c r="LM116" s="658" t="e">
        <f>LH116*$F$79</f>
        <v>#VALUE!</v>
      </c>
      <c r="LN116" s="664"/>
      <c r="LO116" s="660"/>
      <c r="LP116" s="661"/>
      <c r="LQ116" s="651"/>
      <c r="LR116" s="662"/>
      <c r="LS116" s="663"/>
      <c r="LT116" s="656"/>
      <c r="LU116" s="649" t="str">
        <f>IF(LT116="Low",LQ116*$D$42,IF(LT116="Med",LQ116*$D$43,IF(LT116="High",LQ116*$D$44,"rango cal. out")))</f>
        <v>rango cal. out</v>
      </c>
      <c r="LV116" s="652" t="e">
        <f>((273.2+LN116)*$F$33/((273.2+$F$32)*LP116))</f>
        <v>#DIV/0!</v>
      </c>
      <c r="LW116" s="653" t="e">
        <f>LU116/LR116*LV116*EXP(-LN(2)/10990*($F$96-LS116))</f>
        <v>#VALUE!</v>
      </c>
      <c r="LX116" s="599" t="e">
        <f>LW116-AVERAGE(ME102:ME103)</f>
        <v>#VALUE!</v>
      </c>
      <c r="LY116" s="599" t="e">
        <f>ABS(#REF!*LX116*3600)</f>
        <v>#REF!</v>
      </c>
      <c r="LZ116" s="657" t="e">
        <f>ABS($B$34*LX116*3600)</f>
        <v>#VALUE!</v>
      </c>
      <c r="MA116" s="600" t="e">
        <f>LZ116*$C$87</f>
        <v>#VALUE!</v>
      </c>
      <c r="MB116" s="599" t="e">
        <f>LZ116*$F$78</f>
        <v>#VALUE!</v>
      </c>
      <c r="MC116" s="600" t="e">
        <f>LZ116*$F$83</f>
        <v>#VALUE!</v>
      </c>
      <c r="MD116" s="599" t="e">
        <f>LZ116*$F$80</f>
        <v>#VALUE!</v>
      </c>
      <c r="ME116" s="658" t="e">
        <f>LZ116*$F$79</f>
        <v>#VALUE!</v>
      </c>
      <c r="MF116" s="664"/>
      <c r="MG116" s="660"/>
      <c r="MH116" s="661"/>
      <c r="MI116" s="651"/>
      <c r="MJ116" s="662"/>
      <c r="MK116" s="663"/>
      <c r="ML116" s="656"/>
      <c r="MM116" s="649" t="str">
        <f>IF(ML116="Low",MI116*$D$42,IF(ML116="Med",MI116*$D$43,IF(ML116="High",MI116*$D$44,"rango cal. out")))</f>
        <v>rango cal. out</v>
      </c>
      <c r="MN116" s="652" t="e">
        <f>((273.2+MF116)*$F$33/((273.2+$F$32)*MH116))</f>
        <v>#DIV/0!</v>
      </c>
      <c r="MO116" s="653" t="e">
        <f>MM116/MJ116*MN116*EXP(-LN(2)/10990*($F$96-MK116))</f>
        <v>#VALUE!</v>
      </c>
      <c r="MP116" s="599" t="e">
        <f>MO116-AVERAGE(MW102:MW103)</f>
        <v>#VALUE!</v>
      </c>
      <c r="MQ116" s="599" t="e">
        <f>ABS(#REF!*MP116*3600)</f>
        <v>#REF!</v>
      </c>
      <c r="MR116" s="657" t="e">
        <f>ABS($B$34*MP116*3600)</f>
        <v>#VALUE!</v>
      </c>
      <c r="MS116" s="600" t="e">
        <f>MR116*$C$87</f>
        <v>#VALUE!</v>
      </c>
      <c r="MT116" s="599" t="e">
        <f>MR116*$F$78</f>
        <v>#VALUE!</v>
      </c>
      <c r="MU116" s="600" t="e">
        <f>MR116*$F$83</f>
        <v>#VALUE!</v>
      </c>
      <c r="MV116" s="599" t="e">
        <f>MR116*$F$80</f>
        <v>#VALUE!</v>
      </c>
      <c r="MW116" s="658" t="e">
        <f>MR116*$F$79</f>
        <v>#VALUE!</v>
      </c>
      <c r="MX116" s="664"/>
      <c r="MY116" s="660"/>
      <c r="MZ116" s="666"/>
      <c r="NA116" s="651"/>
      <c r="NB116" s="667"/>
      <c r="NC116" s="663"/>
      <c r="ND116" s="656"/>
      <c r="NE116" s="649" t="str">
        <f>IF(ND116="Low",NA116*$D$42,IF(ND116="Med",NA116*$D$43,IF(ND116="High",NA116*$D$44,"rango cal. out")))</f>
        <v>rango cal. out</v>
      </c>
      <c r="NF116" s="652" t="e">
        <f>((273.2+MX116)*$F$33/((273.2+$F$32)*MZ116))</f>
        <v>#DIV/0!</v>
      </c>
      <c r="NG116" s="653" t="e">
        <f>NE116/NB116*NF116*EXP(-LN(2)/10990*($F$96-NC116))</f>
        <v>#VALUE!</v>
      </c>
      <c r="NH116" s="599" t="e">
        <f>NG116-AVERAGE(NO102:NO103)</f>
        <v>#VALUE!</v>
      </c>
      <c r="NI116" s="599" t="e">
        <f>ABS(#REF!*NH116*3600)</f>
        <v>#REF!</v>
      </c>
      <c r="NJ116" s="657" t="e">
        <f>ABS($B$34*NH116*3600)</f>
        <v>#VALUE!</v>
      </c>
      <c r="NK116" s="600" t="e">
        <f>NJ116*$C$87</f>
        <v>#VALUE!</v>
      </c>
      <c r="NL116" s="599" t="e">
        <f>NJ116*$F$78</f>
        <v>#VALUE!</v>
      </c>
      <c r="NM116" s="600" t="e">
        <f>NJ116*$F$83</f>
        <v>#VALUE!</v>
      </c>
      <c r="NN116" s="599" t="e">
        <f>NJ116*$F$80</f>
        <v>#VALUE!</v>
      </c>
      <c r="NO116" s="658" t="e">
        <f>NJ116*$F$79</f>
        <v>#VALUE!</v>
      </c>
      <c r="NP116" s="664"/>
      <c r="NQ116" s="660"/>
      <c r="NR116" s="661"/>
      <c r="NS116" s="651"/>
      <c r="NT116" s="662"/>
      <c r="NU116" s="663"/>
      <c r="NV116" s="656"/>
      <c r="NW116" s="649" t="str">
        <f>IF(NV116="Low",NS116*$D$42,IF(NV116="Med",NS116*$D$43,IF(NV116="High",NS116*$D$44,"rango cal. out")))</f>
        <v>rango cal. out</v>
      </c>
      <c r="NX116" s="652" t="e">
        <f>((273.2+NP116)*$F$33/((273.2+$F$32)*NR116))</f>
        <v>#DIV/0!</v>
      </c>
      <c r="NY116" s="653" t="e">
        <f>NW116/NT116*NX116*EXP(-LN(2)/10990*($F$96-NU116))</f>
        <v>#VALUE!</v>
      </c>
      <c r="NZ116" s="599" t="e">
        <f>NY116-AVERAGE(OG102:OG103)</f>
        <v>#VALUE!</v>
      </c>
      <c r="OA116" s="599" t="e">
        <f>ABS(#REF!*NZ116*3600)</f>
        <v>#REF!</v>
      </c>
      <c r="OB116" s="657" t="e">
        <f>ABS($B$34*NZ116*3600)</f>
        <v>#VALUE!</v>
      </c>
      <c r="OC116" s="600" t="e">
        <f>OB116*$C$87</f>
        <v>#VALUE!</v>
      </c>
      <c r="OD116" s="599" t="e">
        <f>OB116*$F$78</f>
        <v>#VALUE!</v>
      </c>
      <c r="OE116" s="600" t="e">
        <f>OB116*$F$83</f>
        <v>#VALUE!</v>
      </c>
      <c r="OF116" s="599" t="e">
        <f>OB116*$F$80</f>
        <v>#VALUE!</v>
      </c>
      <c r="OG116" s="658" t="e">
        <f>OB116*$F$79</f>
        <v>#VALUE!</v>
      </c>
      <c r="OH116" s="664"/>
      <c r="OI116" s="660"/>
      <c r="OJ116" s="661"/>
      <c r="OK116" s="651"/>
      <c r="OL116" s="662"/>
      <c r="OM116" s="663"/>
      <c r="ON116" s="656"/>
      <c r="OO116" s="649" t="str">
        <f>IF(ON116="Low",OK116*$D$42,IF(ON116="Med",OK116*$D$43,IF(ON116="High",OK116*$D$44,"rango cal. out")))</f>
        <v>rango cal. out</v>
      </c>
      <c r="OP116" s="652" t="e">
        <f>((273.2+OH116)*$F$33/((273.2+$F$32)*OJ116))</f>
        <v>#DIV/0!</v>
      </c>
      <c r="OQ116" s="653" t="e">
        <f>OO116/OL116*OP116*EXP(-LN(2)/10990*($F$96-OM116))</f>
        <v>#VALUE!</v>
      </c>
      <c r="OR116" s="599" t="e">
        <f>OQ116-AVERAGE(OY102:OY103)</f>
        <v>#VALUE!</v>
      </c>
      <c r="OS116" s="599" t="e">
        <f>ABS(#REF!*OR116*3600)</f>
        <v>#REF!</v>
      </c>
      <c r="OT116" s="657" t="e">
        <f>ABS($B$34*OR116*3600)</f>
        <v>#VALUE!</v>
      </c>
      <c r="OU116" s="600" t="e">
        <f>OT116*$C$87</f>
        <v>#VALUE!</v>
      </c>
      <c r="OV116" s="599" t="e">
        <f>OT116*$F$78</f>
        <v>#VALUE!</v>
      </c>
      <c r="OW116" s="600" t="e">
        <f>OT116*$F$83</f>
        <v>#VALUE!</v>
      </c>
      <c r="OX116" s="599" t="e">
        <f>OT116*$F$80</f>
        <v>#VALUE!</v>
      </c>
      <c r="OY116" s="658" t="e">
        <f>OT116*$F$79</f>
        <v>#VALUE!</v>
      </c>
      <c r="OZ116" s="664"/>
      <c r="PA116" s="660"/>
      <c r="PB116" s="661"/>
      <c r="PC116" s="651"/>
      <c r="PD116" s="662"/>
      <c r="PE116" s="663"/>
      <c r="PF116" s="656"/>
      <c r="PG116" s="649" t="str">
        <f>IF(PF116="Low",PC116*$D$42,IF(PF116="Med",PC116*$D$43,IF(PF116="High",PC116*$D$44,"rango cal. out")))</f>
        <v>rango cal. out</v>
      </c>
      <c r="PH116" s="652" t="e">
        <f>((273.2+OZ116)*$F$33/((273.2+$F$32)*PB116))</f>
        <v>#DIV/0!</v>
      </c>
      <c r="PI116" s="653" t="e">
        <f>PG116/PD116*PH116*EXP(-LN(2)/10990*($F$96-PE116))</f>
        <v>#VALUE!</v>
      </c>
      <c r="PJ116" s="599" t="e">
        <f>PI116-AVERAGE(PQ102:PQ103)</f>
        <v>#VALUE!</v>
      </c>
      <c r="PK116" s="599" t="e">
        <f>ABS(#REF!*PJ116*3600)</f>
        <v>#REF!</v>
      </c>
      <c r="PL116" s="657" t="e">
        <f>ABS($B$34*PJ116*3600)</f>
        <v>#VALUE!</v>
      </c>
      <c r="PM116" s="600" t="e">
        <f>PL116*$C$87</f>
        <v>#VALUE!</v>
      </c>
      <c r="PN116" s="599" t="e">
        <f>PL116*$F$78</f>
        <v>#VALUE!</v>
      </c>
      <c r="PO116" s="600" t="e">
        <f>PL116*$F$83</f>
        <v>#VALUE!</v>
      </c>
      <c r="PP116" s="599" t="e">
        <f>PL116*$F$80</f>
        <v>#VALUE!</v>
      </c>
      <c r="PQ116" s="658" t="e">
        <f>PL116*$F$79</f>
        <v>#VALUE!</v>
      </c>
      <c r="PR116" s="664"/>
      <c r="PS116" s="660"/>
      <c r="PT116" s="661"/>
      <c r="PU116" s="651"/>
      <c r="PV116" s="662"/>
      <c r="PW116" s="663"/>
      <c r="PX116" s="656"/>
      <c r="PY116" s="649" t="str">
        <f>IF(PX116="Low",PU116*$D$42,IF(PX116="Med",PU116*$D$43,IF(PX116="High",PU116*$D$44,"rango cal. out")))</f>
        <v>rango cal. out</v>
      </c>
      <c r="PZ116" s="652" t="e">
        <f>((273.2+PR116)*$F$33/((273.2+$F$32)*PT116))</f>
        <v>#DIV/0!</v>
      </c>
      <c r="QA116" s="653" t="e">
        <f>PY116/PV116*PZ116*EXP(-LN(2)/10990*($F$96-PW116))</f>
        <v>#VALUE!</v>
      </c>
      <c r="QB116" s="599" t="e">
        <f>QA116-AVERAGE(QI102:QI103)</f>
        <v>#VALUE!</v>
      </c>
      <c r="QC116" s="599" t="e">
        <f>ABS(#REF!*QB116*3600)</f>
        <v>#REF!</v>
      </c>
      <c r="QD116" s="657" t="e">
        <f>ABS($B$34*QB116*3600)</f>
        <v>#VALUE!</v>
      </c>
      <c r="QE116" s="600" t="e">
        <f>QD116*$C$87</f>
        <v>#VALUE!</v>
      </c>
      <c r="QF116" s="599" t="e">
        <f>QD116*$F$78</f>
        <v>#VALUE!</v>
      </c>
      <c r="QG116" s="600" t="e">
        <f>QD116*$F$83</f>
        <v>#VALUE!</v>
      </c>
      <c r="QH116" s="599" t="e">
        <f>QD116*$F$80</f>
        <v>#VALUE!</v>
      </c>
      <c r="QI116" s="658" t="e">
        <f>QD116*$F$79</f>
        <v>#VALUE!</v>
      </c>
      <c r="QJ116" s="664"/>
      <c r="QK116" s="660"/>
      <c r="QL116" s="661"/>
      <c r="QM116" s="651"/>
      <c r="QN116" s="662"/>
      <c r="QO116" s="663"/>
      <c r="QP116" s="656"/>
      <c r="QQ116" s="649" t="str">
        <f>IF(QP116="Low",QM116*$D$42,IF(QP116="Med",QM116*$D$43,IF(QP116="High",QM116*$D$44,"rango cal. out")))</f>
        <v>rango cal. out</v>
      </c>
      <c r="QR116" s="652" t="e">
        <f>((273.2+QJ116)*$F$33/((273.2+$F$32)*QL116))</f>
        <v>#DIV/0!</v>
      </c>
      <c r="QS116" s="653" t="e">
        <f>QQ116/QN116*QR116*EXP(-LN(2)/10990*($F$96-QO116))</f>
        <v>#VALUE!</v>
      </c>
      <c r="QT116" s="599" t="e">
        <f>QS116-AVERAGE(RA102:RA103)</f>
        <v>#VALUE!</v>
      </c>
      <c r="QU116" s="599" t="e">
        <f>ABS(#REF!*QT116*3600)</f>
        <v>#REF!</v>
      </c>
      <c r="QV116" s="657" t="e">
        <f>ABS($B$34*QT116*3600)</f>
        <v>#VALUE!</v>
      </c>
      <c r="QW116" s="600" t="e">
        <f>QV116*$C$87</f>
        <v>#VALUE!</v>
      </c>
      <c r="QX116" s="599" t="e">
        <f>QV116*$F$78</f>
        <v>#VALUE!</v>
      </c>
      <c r="QY116" s="600" t="e">
        <f>QV116*$F$83</f>
        <v>#VALUE!</v>
      </c>
      <c r="QZ116" s="599" t="e">
        <f>QV116*$F$80</f>
        <v>#VALUE!</v>
      </c>
      <c r="RA116" s="658" t="e">
        <f>QV116*$F$79</f>
        <v>#VALUE!</v>
      </c>
      <c r="RB116" s="664"/>
      <c r="RC116" s="660"/>
      <c r="RD116" s="661"/>
      <c r="RE116" s="651"/>
      <c r="RF116" s="667"/>
      <c r="RG116" s="663"/>
      <c r="RH116" s="656"/>
      <c r="RI116" s="649" t="str">
        <f>IF(RH116="Low",RE116*$D$42,IF(RH116="Med",RE116*$D$43,IF(RH116="High",RE116*$D$44,"rango cal. out")))</f>
        <v>rango cal. out</v>
      </c>
      <c r="RJ116" s="652" t="e">
        <f>((273.2+RB116)*$F$33/((273.2+$F$32)*RD116))</f>
        <v>#DIV/0!</v>
      </c>
      <c r="RK116" s="653" t="e">
        <f>RI116/RF116*RJ116*EXP(-LN(2)/10990*($F$96-RG116))</f>
        <v>#VALUE!</v>
      </c>
      <c r="RL116" s="599" t="e">
        <f>RK116-AVERAGE(RS102:RS103)</f>
        <v>#VALUE!</v>
      </c>
      <c r="RM116" s="599" t="e">
        <f>ABS(#REF!*RL116*3600)</f>
        <v>#REF!</v>
      </c>
      <c r="RN116" s="657" t="e">
        <f>ABS($B$34*RL116*3600)</f>
        <v>#VALUE!</v>
      </c>
      <c r="RO116" s="600" t="e">
        <f>RN116*$C$87</f>
        <v>#VALUE!</v>
      </c>
      <c r="RP116" s="599" t="e">
        <f>RN116*$F$78</f>
        <v>#VALUE!</v>
      </c>
      <c r="RQ116" s="600" t="e">
        <f>RN116*$F$83</f>
        <v>#VALUE!</v>
      </c>
      <c r="RR116" s="599" t="e">
        <f>RN116*$F$80</f>
        <v>#VALUE!</v>
      </c>
      <c r="RS116" s="658" t="e">
        <f>RN116*$F$79</f>
        <v>#VALUE!</v>
      </c>
      <c r="RT116" s="664"/>
      <c r="RU116" s="660"/>
      <c r="RV116" s="659"/>
      <c r="RW116" s="665"/>
      <c r="RX116" s="662"/>
      <c r="RY116" s="663"/>
      <c r="RZ116" s="656"/>
      <c r="SA116" s="649" t="str">
        <f>IF(RZ116="Low",RW116*$D$42,IF(RZ116="Med",RW116*$D$43,IF(RZ116="High",RW116*$D$44,"rango cal. out")))</f>
        <v>rango cal. out</v>
      </c>
      <c r="SB116" s="652" t="e">
        <f>((273.2+RT116)*$F$33/((273.2+$F$32)*RV116))</f>
        <v>#DIV/0!</v>
      </c>
      <c r="SC116" s="653" t="e">
        <f>SA116/RX116*SB116*EXP(-LN(2)/10990*($F$96-RY116))</f>
        <v>#VALUE!</v>
      </c>
      <c r="SD116" s="599" t="e">
        <f>SC116-AVERAGE(SK102:SK103)</f>
        <v>#VALUE!</v>
      </c>
      <c r="SE116" s="599" t="e">
        <f>ABS(#REF!*SD116*3600)</f>
        <v>#REF!</v>
      </c>
      <c r="SF116" s="657" t="e">
        <f>ABS($B$34*SD116*3600)</f>
        <v>#VALUE!</v>
      </c>
      <c r="SG116" s="600" t="e">
        <f>SF116*$C$87</f>
        <v>#VALUE!</v>
      </c>
      <c r="SH116" s="599" t="e">
        <f>SF116*$F$78</f>
        <v>#VALUE!</v>
      </c>
      <c r="SI116" s="600" t="e">
        <f>SF116*$F$83</f>
        <v>#VALUE!</v>
      </c>
      <c r="SJ116" s="599" t="e">
        <f>SF116*$F$80</f>
        <v>#VALUE!</v>
      </c>
      <c r="SK116" s="658" t="e">
        <f>SF116*$F$79</f>
        <v>#VALUE!</v>
      </c>
      <c r="SL116" s="664"/>
      <c r="SM116" s="660"/>
      <c r="SN116" s="661"/>
      <c r="SO116" s="651"/>
      <c r="SP116" s="662"/>
      <c r="SQ116" s="663"/>
      <c r="SR116" s="656"/>
      <c r="SS116" s="649" t="str">
        <f>IF(SR116="Low",SO116*$D$42,IF(SR116="Med",SO116*$D$43,IF(SR116="High",SO116*$D$44,"rango cal. out")))</f>
        <v>rango cal. out</v>
      </c>
      <c r="ST116" s="652" t="e">
        <f>((273.2+SL116)*$F$33/((273.2+$F$32)*SN116))</f>
        <v>#DIV/0!</v>
      </c>
      <c r="SU116" s="653" t="e">
        <f>SS116/SP116*ST116*EXP(-LN(2)/10990*($F$96-SQ116))</f>
        <v>#VALUE!</v>
      </c>
      <c r="SV116" s="599" t="e">
        <f>SU116-AVERAGE(TC102:TC103)</f>
        <v>#VALUE!</v>
      </c>
      <c r="SW116" s="599" t="e">
        <f>ABS(#REF!*SV116*3600)</f>
        <v>#REF!</v>
      </c>
      <c r="SX116" s="657" t="e">
        <f>ABS($B$34*SV116*3600)</f>
        <v>#VALUE!</v>
      </c>
      <c r="SY116" s="600" t="e">
        <f>SX116*$C$87</f>
        <v>#VALUE!</v>
      </c>
      <c r="SZ116" s="599" t="e">
        <f>SX116*$F$78</f>
        <v>#VALUE!</v>
      </c>
      <c r="TA116" s="600" t="e">
        <f>SX116*$F$83</f>
        <v>#VALUE!</v>
      </c>
      <c r="TB116" s="599" t="e">
        <f>SX116*$F$80</f>
        <v>#VALUE!</v>
      </c>
      <c r="TC116" s="658" t="e">
        <f>SX116*$F$79</f>
        <v>#VALUE!</v>
      </c>
      <c r="TD116" s="664"/>
      <c r="TE116" s="660"/>
      <c r="TF116" s="661"/>
      <c r="TG116" s="651"/>
      <c r="TH116" s="662"/>
      <c r="TI116" s="663"/>
      <c r="TJ116" s="656"/>
      <c r="TK116" s="649" t="str">
        <f>IF(TJ116="Low",TG116*$D$42,IF(TJ116="Med",TG116*$D$43,IF(TJ116="High",TG116*$D$44,"rango cal. out")))</f>
        <v>rango cal. out</v>
      </c>
      <c r="TL116" s="652" t="e">
        <f>((273.2+TD116)*$F$33/((273.2+$F$32)*TF116))</f>
        <v>#DIV/0!</v>
      </c>
      <c r="TM116" s="653" t="e">
        <f>TK116/TH116*TL116*EXP(-LN(2)/10990*($F$96-TI116))</f>
        <v>#VALUE!</v>
      </c>
      <c r="TN116" s="599" t="e">
        <f>TM116-AVERAGE(TU102:TU103)</f>
        <v>#VALUE!</v>
      </c>
      <c r="TO116" s="599" t="e">
        <f>ABS(#REF!*TN116*3600)</f>
        <v>#REF!</v>
      </c>
      <c r="TP116" s="657" t="e">
        <f>ABS($B$34*TN116*3600)</f>
        <v>#VALUE!</v>
      </c>
      <c r="TQ116" s="600" t="e">
        <f>TP116*$C$87</f>
        <v>#VALUE!</v>
      </c>
      <c r="TR116" s="599" t="e">
        <f>TP116*$F$78</f>
        <v>#VALUE!</v>
      </c>
      <c r="TS116" s="600" t="e">
        <f>TP116*$F$83</f>
        <v>#VALUE!</v>
      </c>
      <c r="TT116" s="599" t="e">
        <f>TP116*$F$80</f>
        <v>#VALUE!</v>
      </c>
      <c r="TU116" s="658" t="e">
        <f>TP116*$F$79</f>
        <v>#VALUE!</v>
      </c>
      <c r="TV116" s="664"/>
      <c r="TW116" s="660"/>
      <c r="TX116" s="661"/>
      <c r="TY116" s="651"/>
      <c r="TZ116" s="662"/>
      <c r="UA116" s="663"/>
      <c r="UB116" s="656"/>
      <c r="UC116" s="649" t="str">
        <f>IF(UB116="Low",TY116*$D$42,IF(UB116="Med",TY116*$D$43,IF(UB116="High",TY116*$D$44,"rango cal. out")))</f>
        <v>rango cal. out</v>
      </c>
      <c r="UD116" s="652" t="e">
        <f>((273.2+TV116)*$F$33/((273.2+$F$32)*TX116))</f>
        <v>#DIV/0!</v>
      </c>
      <c r="UE116" s="653" t="e">
        <f>UC116/TZ116*UD116*EXP(-LN(2)/10990*($F$96-UA116))</f>
        <v>#VALUE!</v>
      </c>
      <c r="UF116" s="599" t="e">
        <f>UE116-AVERAGE(UM102:UM103)</f>
        <v>#VALUE!</v>
      </c>
      <c r="UG116" s="599" t="e">
        <f>ABS(#REF!*UF116*3600)</f>
        <v>#REF!</v>
      </c>
      <c r="UH116" s="657" t="e">
        <f>ABS($B$34*UF116*3600)</f>
        <v>#VALUE!</v>
      </c>
      <c r="UI116" s="600" t="e">
        <f>UH116*$C$87</f>
        <v>#VALUE!</v>
      </c>
      <c r="UJ116" s="599" t="e">
        <f>UH116*$F$78</f>
        <v>#VALUE!</v>
      </c>
      <c r="UK116" s="600" t="e">
        <f>UH116*$F$83</f>
        <v>#VALUE!</v>
      </c>
      <c r="UL116" s="599" t="e">
        <f>UH116*$F$80</f>
        <v>#VALUE!</v>
      </c>
      <c r="UM116" s="658" t="e">
        <f>UH116*$F$79</f>
        <v>#VALUE!</v>
      </c>
      <c r="UN116" s="664"/>
      <c r="UO116" s="660"/>
      <c r="UP116" s="661"/>
      <c r="UQ116" s="651"/>
      <c r="UR116" s="662"/>
      <c r="US116" s="663"/>
      <c r="UT116" s="656"/>
      <c r="UU116" s="649" t="str">
        <f>IF(UT116="Low",UQ116*$D$42,IF(UT116="Med",UQ116*$D$43,IF(UT116="High",UQ116*$D$44,"rango cal. out")))</f>
        <v>rango cal. out</v>
      </c>
      <c r="UV116" s="652" t="e">
        <f>((273.2+UN116)*$F$33/((273.2+$F$32)*UP116))</f>
        <v>#DIV/0!</v>
      </c>
      <c r="UW116" s="653" t="e">
        <f>UU116/UR116*UV116*EXP(-LN(2)/10990*($F$96-US116))</f>
        <v>#VALUE!</v>
      </c>
      <c r="UX116" s="599" t="e">
        <f>UW116-AVERAGE(VE102:VE103)</f>
        <v>#VALUE!</v>
      </c>
      <c r="UY116" s="599" t="e">
        <f>ABS(#REF!*UX116*3600)</f>
        <v>#REF!</v>
      </c>
      <c r="UZ116" s="657" t="e">
        <f>ABS($B$34*UX116*3600)</f>
        <v>#VALUE!</v>
      </c>
      <c r="VA116" s="600" t="e">
        <f>UZ116*$C$87</f>
        <v>#VALUE!</v>
      </c>
      <c r="VB116" s="599" t="e">
        <f>UZ116*$F$78</f>
        <v>#VALUE!</v>
      </c>
      <c r="VC116" s="600" t="e">
        <f>UZ116*$F$83</f>
        <v>#VALUE!</v>
      </c>
      <c r="VD116" s="599" t="e">
        <f>UZ116*$F$80</f>
        <v>#VALUE!</v>
      </c>
      <c r="VE116" s="658" t="e">
        <f>UZ116*$F$79</f>
        <v>#VALUE!</v>
      </c>
    </row>
    <row r="117" spans="1:577" x14ac:dyDescent="0.25">
      <c r="A117" s="2219"/>
      <c r="B117" s="668">
        <v>20.3</v>
      </c>
      <c r="C117" s="673">
        <v>52</v>
      </c>
      <c r="D117" s="673">
        <v>1010</v>
      </c>
      <c r="E117" s="1999">
        <v>-1.927E-8</v>
      </c>
      <c r="F117" s="673">
        <v>60</v>
      </c>
      <c r="G117" s="663">
        <v>44334</v>
      </c>
      <c r="H117" s="650" t="s">
        <v>1042</v>
      </c>
      <c r="I117" s="671">
        <f>IF(H117="Low",E117*$D$42,IF(H117="Med",E117*$D$43,IF(H117="High",E117*$D$44,"rango cal. out")))</f>
        <v>-1.9289269999999998E-8</v>
      </c>
      <c r="J117" s="619">
        <f>((273.2+B117)*$F$33/((273.2+$F$32)*D117))</f>
        <v>0.99744048337760605</v>
      </c>
      <c r="K117" s="674">
        <f>I117/F117*J117*EXP(-LN(2)/10990*($F$96-G117))</f>
        <v>-3.1756547301885009E-10</v>
      </c>
      <c r="L117" s="599">
        <f>K117-AVERAGE(S102:S103)</f>
        <v>-3.1754166105147857E-10</v>
      </c>
      <c r="M117" s="672" t="e">
        <f>ABS(#REF!*L117*3600)</f>
        <v>#REF!</v>
      </c>
      <c r="N117" s="675">
        <f>ABS($B$34*L117*3600)</f>
        <v>2.8807379490590136E-2</v>
      </c>
      <c r="O117" s="614">
        <f>N117*$C$87</f>
        <v>2.8807379490590135</v>
      </c>
      <c r="P117" s="672">
        <f>N117*$F$78</f>
        <v>3.4568855388708158E-2</v>
      </c>
      <c r="Q117" s="600">
        <f>N117*$F$83</f>
        <v>3.4856929183614063E-2</v>
      </c>
      <c r="R117" s="672">
        <f>N117*$F$80</f>
        <v>3.4856929183614063E-2</v>
      </c>
      <c r="S117" s="676">
        <f>N117*$F$79</f>
        <v>3.6009224363237669E-2</v>
      </c>
      <c r="T117" s="677"/>
      <c r="U117" s="669"/>
      <c r="V117" s="670"/>
      <c r="W117" s="671"/>
      <c r="X117" s="678"/>
      <c r="Y117" s="650"/>
      <c r="Z117" s="650"/>
      <c r="AA117" s="671" t="str">
        <f>IF(Z117="Low",W117*$D$42,IF(Z117="Med",W117*$D$43,IF(Z117="High",W117*$D$44,"rango cal. out")))</f>
        <v>rango cal. out</v>
      </c>
      <c r="AB117" s="619" t="e">
        <f>((273.2+T117)*$F$33/((273.2+$F$32)*V117))</f>
        <v>#DIV/0!</v>
      </c>
      <c r="AC117" s="674" t="e">
        <f>AA117/X117*AB117*EXP(-LN(2)/10990*($F$96-Y117))</f>
        <v>#VALUE!</v>
      </c>
      <c r="AD117" s="599" t="e">
        <f>AC117-AVERAGE(#REF!)</f>
        <v>#VALUE!</v>
      </c>
      <c r="AE117" s="672" t="e">
        <f>ABS(#REF!*AD117*3600)</f>
        <v>#REF!</v>
      </c>
      <c r="AF117" s="675" t="e">
        <f>ABS($B$34*AD117*3600)</f>
        <v>#VALUE!</v>
      </c>
      <c r="AG117" s="614" t="e">
        <f>AF117*$C$87</f>
        <v>#VALUE!</v>
      </c>
      <c r="AH117" s="672" t="e">
        <f>AF117*$F$78</f>
        <v>#VALUE!</v>
      </c>
      <c r="AI117" s="600" t="e">
        <f>AF117*$F$83</f>
        <v>#VALUE!</v>
      </c>
      <c r="AJ117" s="672" t="e">
        <f>AF117*$F$80</f>
        <v>#VALUE!</v>
      </c>
      <c r="AK117" s="676" t="e">
        <f>AF117*$F$79</f>
        <v>#VALUE!</v>
      </c>
      <c r="AL117" s="668"/>
      <c r="AM117" s="669"/>
      <c r="AN117" s="670"/>
      <c r="AO117" s="671"/>
      <c r="AP117" s="678"/>
      <c r="AQ117" s="650"/>
      <c r="AR117" s="650"/>
      <c r="AS117" s="671" t="str">
        <f>IF(AR117="Low",AO117*$D$42,IF(AR117="Med",AO117*$D$43,IF(AR117="High",AO117*$D$44,"rango cal. out")))</f>
        <v>rango cal. out</v>
      </c>
      <c r="AT117" s="619" t="e">
        <f>((273.2+AL117)*$F$33/((273.2+$F$32)*AN117))</f>
        <v>#DIV/0!</v>
      </c>
      <c r="AU117" s="674" t="e">
        <f>AS117/AP117*AT117*EXP(-LN(2)/10990*($F$96-AQ117))</f>
        <v>#VALUE!</v>
      </c>
      <c r="AV117" s="599" t="e">
        <f>AU117-AVERAGE(BC102:BC103)</f>
        <v>#VALUE!</v>
      </c>
      <c r="AW117" s="672" t="e">
        <f>ABS(#REF!*AV117*3600)</f>
        <v>#REF!</v>
      </c>
      <c r="AX117" s="675" t="e">
        <f>ABS($B$34*AV117*3600)</f>
        <v>#VALUE!</v>
      </c>
      <c r="AY117" s="614" t="e">
        <f>AX117*$C$87</f>
        <v>#VALUE!</v>
      </c>
      <c r="AZ117" s="672" t="e">
        <f>AX117*$F$78</f>
        <v>#VALUE!</v>
      </c>
      <c r="BA117" s="600" t="e">
        <f>AX117*$F$83</f>
        <v>#VALUE!</v>
      </c>
      <c r="BB117" s="672" t="e">
        <f>AX117*$F$80</f>
        <v>#VALUE!</v>
      </c>
      <c r="BC117" s="676" t="e">
        <f>AX117*$F$79</f>
        <v>#VALUE!</v>
      </c>
      <c r="BD117" s="668"/>
      <c r="BE117" s="669"/>
      <c r="BF117" s="670"/>
      <c r="BG117" s="1998">
        <f>-0.000000002982</f>
        <v>-2.9819999999999998E-9</v>
      </c>
      <c r="BH117" s="678"/>
      <c r="BI117" s="663">
        <v>44333</v>
      </c>
      <c r="BJ117" s="650"/>
      <c r="BK117" s="671" t="str">
        <f>IF(BJ117="Low",BG117*$D$42,IF(BJ117="Med",BG117*$D$43,IF(BJ117="High",BG117*$D$44,"rango cal. out")))</f>
        <v>rango cal. out</v>
      </c>
      <c r="BL117" s="619" t="e">
        <f>((273.2+BD117)*$F$33/((273.2+$F$32)*BF117))</f>
        <v>#DIV/0!</v>
      </c>
      <c r="BM117" s="674" t="e">
        <f>BK117/BH117*BL117*EXP(-LN(2)/10990*($F$96-BI117))</f>
        <v>#VALUE!</v>
      </c>
      <c r="BN117" s="599" t="e">
        <f>BM117-AVERAGE(BU102:BU103)</f>
        <v>#VALUE!</v>
      </c>
      <c r="BO117" s="672" t="e">
        <f>ABS(#REF!*BN117*3600)</f>
        <v>#REF!</v>
      </c>
      <c r="BP117" s="675" t="e">
        <f>ABS($B$34*BN117*3600)</f>
        <v>#VALUE!</v>
      </c>
      <c r="BQ117" s="614" t="e">
        <f>BP117*$C$87</f>
        <v>#VALUE!</v>
      </c>
      <c r="BR117" s="672" t="e">
        <f>BP117*$F$78</f>
        <v>#VALUE!</v>
      </c>
      <c r="BS117" s="600" t="e">
        <f>BP117*$F$83</f>
        <v>#VALUE!</v>
      </c>
      <c r="BT117" s="672" t="e">
        <f>BP117*$F$80</f>
        <v>#VALUE!</v>
      </c>
      <c r="BU117" s="676" t="e">
        <f>BP117*$F$79</f>
        <v>#VALUE!</v>
      </c>
      <c r="BV117" s="668"/>
      <c r="BW117" s="669"/>
      <c r="BX117" s="670"/>
      <c r="BY117" s="1998">
        <v>-1.58E-10</v>
      </c>
      <c r="BZ117" s="678"/>
      <c r="CA117" s="663">
        <v>44333</v>
      </c>
      <c r="CB117" s="650"/>
      <c r="CC117" s="671" t="str">
        <f>IF(CB117="Low",BY117*$D$42,IF(CB117="Med",BY117*$D$43,IF(CB117="High",BY117*$D$44,"rango cal. out")))</f>
        <v>rango cal. out</v>
      </c>
      <c r="CD117" s="619" t="e">
        <f>((273.2+BV117)*$F$33/((273.2+$F$32)*BX117))</f>
        <v>#DIV/0!</v>
      </c>
      <c r="CE117" s="674" t="e">
        <f>CC117/BZ117*CD117*EXP(-LN(2)/10990*($F$96-CA117))</f>
        <v>#VALUE!</v>
      </c>
      <c r="CF117" s="599" t="e">
        <f>CE117-AVERAGE(CM102:CM103)</f>
        <v>#VALUE!</v>
      </c>
      <c r="CG117" s="672" t="e">
        <f>ABS(#REF!*CF117*3600)</f>
        <v>#REF!</v>
      </c>
      <c r="CH117" s="675" t="e">
        <f>ABS($B$34*CF117*3600)</f>
        <v>#VALUE!</v>
      </c>
      <c r="CI117" s="614" t="e">
        <f>CH117*$C$87</f>
        <v>#VALUE!</v>
      </c>
      <c r="CJ117" s="672" t="e">
        <f>CH117*$F$78</f>
        <v>#VALUE!</v>
      </c>
      <c r="CK117" s="600" t="e">
        <f>CH117*$F$83</f>
        <v>#VALUE!</v>
      </c>
      <c r="CL117" s="672" t="e">
        <f>CH117*$F$80</f>
        <v>#VALUE!</v>
      </c>
      <c r="CM117" s="676" t="e">
        <f>CH117*$F$79</f>
        <v>#VALUE!</v>
      </c>
      <c r="CN117" s="668"/>
      <c r="CO117" s="669"/>
      <c r="CP117" s="670"/>
      <c r="CQ117" s="1998">
        <v>-6.9779999999999997E-9</v>
      </c>
      <c r="CR117" s="678"/>
      <c r="CS117" s="663">
        <v>44333</v>
      </c>
      <c r="CT117" s="650"/>
      <c r="CU117" s="671" t="str">
        <f>IF(CT117="Low",CQ117*$D$42,IF(CT117="Med",CQ117*$D$43,IF(CT117="High",CQ117*$D$44,"rango cal. out")))</f>
        <v>rango cal. out</v>
      </c>
      <c r="CV117" s="619" t="e">
        <f>((273.2+CN117)*$F$33/((273.2+$F$32)*CP117))</f>
        <v>#DIV/0!</v>
      </c>
      <c r="CW117" s="674" t="e">
        <f>CU117/CR117*CV117*EXP(-LN(2)/10990*($F$96-CS117))</f>
        <v>#VALUE!</v>
      </c>
      <c r="CX117" s="599" t="e">
        <f>CW117-AVERAGE(DE102:DE103)</f>
        <v>#VALUE!</v>
      </c>
      <c r="CY117" s="672" t="e">
        <f>ABS(#REF!*CX117*3600)</f>
        <v>#REF!</v>
      </c>
      <c r="CZ117" s="675" t="e">
        <f>ABS($B$34*CX117*3600)</f>
        <v>#VALUE!</v>
      </c>
      <c r="DA117" s="614" t="e">
        <f>CZ117*$C$87</f>
        <v>#VALUE!</v>
      </c>
      <c r="DB117" s="672" t="e">
        <f>CZ117*$F$78</f>
        <v>#VALUE!</v>
      </c>
      <c r="DC117" s="600" t="e">
        <f>CZ117*$F$83</f>
        <v>#VALUE!</v>
      </c>
      <c r="DD117" s="672" t="e">
        <f>CZ117*$F$80</f>
        <v>#VALUE!</v>
      </c>
      <c r="DE117" s="676" t="e">
        <f>CZ117*$F$79</f>
        <v>#VALUE!</v>
      </c>
      <c r="DF117" s="668"/>
      <c r="DG117" s="669"/>
      <c r="DH117" s="670"/>
      <c r="DI117" s="671"/>
      <c r="DJ117" s="678"/>
      <c r="DK117" s="650"/>
      <c r="DL117" s="650"/>
      <c r="DM117" s="671" t="str">
        <f>IF(DL117="Low",DI117*$D$42,IF(DL117="Med",DI117*$D$43,IF(DL117="High",DI117*$D$44,"rango cal. out")))</f>
        <v>rango cal. out</v>
      </c>
      <c r="DN117" s="619" t="e">
        <f>((273.2+DF117)*$F$33/((273.2+$F$32)*DH117))</f>
        <v>#DIV/0!</v>
      </c>
      <c r="DO117" s="674" t="e">
        <f>DM117/DJ117*DN117*EXP(-LN(2)/10990*($F$96-DK117))</f>
        <v>#VALUE!</v>
      </c>
      <c r="DP117" s="599" t="e">
        <f>DO117-AVERAGE(DW102:DW103)</f>
        <v>#VALUE!</v>
      </c>
      <c r="DQ117" s="672" t="e">
        <f>ABS(#REF!*DP117*3600)</f>
        <v>#REF!</v>
      </c>
      <c r="DR117" s="675" t="e">
        <f>ABS($B$34*DP117*3600)</f>
        <v>#VALUE!</v>
      </c>
      <c r="DS117" s="614" t="e">
        <f>DR117*$C$87</f>
        <v>#VALUE!</v>
      </c>
      <c r="DT117" s="672" t="e">
        <f>DR117*$F$78</f>
        <v>#VALUE!</v>
      </c>
      <c r="DU117" s="600" t="e">
        <f>DR117*$F$83</f>
        <v>#VALUE!</v>
      </c>
      <c r="DV117" s="672" t="e">
        <f>DR117*$F$80</f>
        <v>#VALUE!</v>
      </c>
      <c r="DW117" s="676" t="e">
        <f>DR117*$F$79</f>
        <v>#VALUE!</v>
      </c>
      <c r="DX117" s="668"/>
      <c r="DY117" s="669"/>
      <c r="DZ117" s="677"/>
      <c r="EA117" s="679"/>
      <c r="EB117" s="678"/>
      <c r="EC117" s="650"/>
      <c r="ED117" s="650"/>
      <c r="EE117" s="671" t="str">
        <f>IF(ED117="Low",EA117*$D$42,IF(ED117="Med",EA117*$D$43,IF(ED117="High",EA117*$D$44,"rango cal. out")))</f>
        <v>rango cal. out</v>
      </c>
      <c r="EF117" s="619" t="e">
        <f>((273.2+DX117)*$F$33/((273.2+$F$32)*DZ117))</f>
        <v>#DIV/0!</v>
      </c>
      <c r="EG117" s="674" t="e">
        <f>EE117/EB117*EF117*EXP(-LN(2)/10990*($F$96-EC117))</f>
        <v>#VALUE!</v>
      </c>
      <c r="EH117" s="599" t="e">
        <f>EG117-AVERAGE(EO102:EO103)</f>
        <v>#VALUE!</v>
      </c>
      <c r="EI117" s="672" t="e">
        <f>ABS(#REF!*EH117*3600)</f>
        <v>#REF!</v>
      </c>
      <c r="EJ117" s="675" t="e">
        <f>ABS($B$34*EH117*3600)</f>
        <v>#VALUE!</v>
      </c>
      <c r="EK117" s="614" t="e">
        <f>EJ117*$C$87</f>
        <v>#VALUE!</v>
      </c>
      <c r="EL117" s="672" t="e">
        <f>EJ117*$F$78</f>
        <v>#VALUE!</v>
      </c>
      <c r="EM117" s="600" t="e">
        <f>EJ117*$F$83</f>
        <v>#VALUE!</v>
      </c>
      <c r="EN117" s="672" t="e">
        <f>EJ117*$F$80</f>
        <v>#VALUE!</v>
      </c>
      <c r="EO117" s="676" t="e">
        <f>EJ117*$F$79</f>
        <v>#VALUE!</v>
      </c>
      <c r="EP117" s="668"/>
      <c r="EQ117" s="669"/>
      <c r="ER117" s="670"/>
      <c r="ES117" s="1998">
        <v>-1.4E-11</v>
      </c>
      <c r="ET117" s="678"/>
      <c r="EU117" s="663">
        <v>44333</v>
      </c>
      <c r="EV117" s="650"/>
      <c r="EW117" s="671" t="str">
        <f>IF(EV117="Low",ES117*$D$42,IF(EV117="Med",ES117*$D$43,IF(EV117="High",ES117*$D$44,"rango cal. out")))</f>
        <v>rango cal. out</v>
      </c>
      <c r="EX117" s="619" t="e">
        <f>((273.2+EP117)*$F$33/((273.2+$F$32)*ER117))</f>
        <v>#DIV/0!</v>
      </c>
      <c r="EY117" s="674" t="e">
        <f>EW117/ET117*EX117*EXP(-LN(2)/10990*($F$96-EU117))</f>
        <v>#VALUE!</v>
      </c>
      <c r="EZ117" s="599" t="e">
        <f>EY117-AVERAGE(FG102:FG103)</f>
        <v>#VALUE!</v>
      </c>
      <c r="FA117" s="672" t="e">
        <f>ABS(#REF!*EZ117*3600)</f>
        <v>#REF!</v>
      </c>
      <c r="FB117" s="675" t="e">
        <f>ABS($B$34*EZ117*3600)</f>
        <v>#VALUE!</v>
      </c>
      <c r="FC117" s="614" t="e">
        <f>FB117*$C$87</f>
        <v>#VALUE!</v>
      </c>
      <c r="FD117" s="672" t="e">
        <f>FB117*$F$78</f>
        <v>#VALUE!</v>
      </c>
      <c r="FE117" s="600" t="e">
        <f>FB117*$F$83</f>
        <v>#VALUE!</v>
      </c>
      <c r="FF117" s="672" t="e">
        <f>FB117*$F$80</f>
        <v>#VALUE!</v>
      </c>
      <c r="FG117" s="676" t="e">
        <f>FB117*$F$79</f>
        <v>#VALUE!</v>
      </c>
      <c r="FH117" s="668"/>
      <c r="FI117" s="669"/>
      <c r="FJ117" s="670"/>
      <c r="FK117" s="671"/>
      <c r="FL117" s="678"/>
      <c r="FM117" s="650"/>
      <c r="FN117" s="650"/>
      <c r="FO117" s="671" t="str">
        <f>IF(FN117="Low",FK117*$D$42,IF(FN117="Med",FK117*$D$43,IF(FN117="High",FK117*$D$44,"rango cal. out")))</f>
        <v>rango cal. out</v>
      </c>
      <c r="FP117" s="619" t="e">
        <f>((273.2+FH117)*$F$33/((273.2+$F$32)*FJ117))</f>
        <v>#DIV/0!</v>
      </c>
      <c r="FQ117" s="674" t="e">
        <f>FO117/FL117*FP117*EXP(-LN(2)/10990*($F$96-FM117))</f>
        <v>#VALUE!</v>
      </c>
      <c r="FR117" s="599" t="e">
        <f>FQ117-AVERAGE(FY102:FY103)</f>
        <v>#VALUE!</v>
      </c>
      <c r="FS117" s="672" t="e">
        <f>ABS(#REF!*FR117*3600)</f>
        <v>#REF!</v>
      </c>
      <c r="FT117" s="675" t="e">
        <f>ABS($B$34*FR117*3600)</f>
        <v>#VALUE!</v>
      </c>
      <c r="FU117" s="614" t="e">
        <f>FT117*$C$87</f>
        <v>#VALUE!</v>
      </c>
      <c r="FV117" s="672" t="e">
        <f>FT117*$F$78</f>
        <v>#VALUE!</v>
      </c>
      <c r="FW117" s="600" t="e">
        <f>FT117*$F$83</f>
        <v>#VALUE!</v>
      </c>
      <c r="FX117" s="672" t="e">
        <f>FT117*$F$80</f>
        <v>#VALUE!</v>
      </c>
      <c r="FY117" s="676" t="e">
        <f>FT117*$F$79</f>
        <v>#VALUE!</v>
      </c>
      <c r="FZ117" s="668"/>
      <c r="GA117" s="669"/>
      <c r="GB117" s="670"/>
      <c r="GC117" s="671"/>
      <c r="GD117" s="678"/>
      <c r="GE117" s="650"/>
      <c r="GF117" s="650"/>
      <c r="GG117" s="671" t="str">
        <f>IF(GF117="Low",GC117*$D$42,IF(GF117="Med",GC117*$D$43,IF(GF117="High",GC117*$D$44,"rango cal. out")))</f>
        <v>rango cal. out</v>
      </c>
      <c r="GH117" s="619" t="e">
        <f>((273.2+FZ117)*$F$33/((273.2+$F$32)*GB117))</f>
        <v>#DIV/0!</v>
      </c>
      <c r="GI117" s="674" t="e">
        <f>GG117/GD117*GH117*EXP(-LN(2)/10990*($F$96-GE117))</f>
        <v>#VALUE!</v>
      </c>
      <c r="GJ117" s="599" t="e">
        <f>GI117-AVERAGE(GQ102:GQ103)</f>
        <v>#VALUE!</v>
      </c>
      <c r="GK117" s="672" t="e">
        <f>ABS(#REF!*GJ117*3600)</f>
        <v>#REF!</v>
      </c>
      <c r="GL117" s="675" t="e">
        <f>ABS($B$34*GJ117*3600)</f>
        <v>#VALUE!</v>
      </c>
      <c r="GM117" s="614" t="e">
        <f>GL117*$C$87</f>
        <v>#VALUE!</v>
      </c>
      <c r="GN117" s="672" t="e">
        <f>GL117*$F$78</f>
        <v>#VALUE!</v>
      </c>
      <c r="GO117" s="600" t="e">
        <f>GL117*$F$83</f>
        <v>#VALUE!</v>
      </c>
      <c r="GP117" s="672" t="e">
        <f>GL117*$F$80</f>
        <v>#VALUE!</v>
      </c>
      <c r="GQ117" s="676" t="e">
        <f>GL117*$F$79</f>
        <v>#VALUE!</v>
      </c>
      <c r="GR117" s="668"/>
      <c r="GS117" s="669"/>
      <c r="GT117" s="677"/>
      <c r="GU117" s="679"/>
      <c r="GV117" s="678"/>
      <c r="GW117" s="650"/>
      <c r="GX117" s="650"/>
      <c r="GY117" s="671" t="str">
        <f>IF(GX117="Low",GU117*$D$42,IF(GX117="Med",GU117*$D$43,IF(GX117="High",GU117*$D$44,"rango cal. out")))</f>
        <v>rango cal. out</v>
      </c>
      <c r="GZ117" s="619" t="e">
        <f>((273.2+GR117)*$F$33/((273.2+$F$32)*GT117))</f>
        <v>#DIV/0!</v>
      </c>
      <c r="HA117" s="674" t="e">
        <f>GY117/GV117*GZ117*EXP(-LN(2)/10990*($F$96-GW117))</f>
        <v>#VALUE!</v>
      </c>
      <c r="HB117" s="599" t="e">
        <f>HA117-AVERAGE(HI102:HI103)</f>
        <v>#VALUE!</v>
      </c>
      <c r="HC117" s="672" t="e">
        <f>ABS(#REF!*HB117*3600)</f>
        <v>#REF!</v>
      </c>
      <c r="HD117" s="675" t="e">
        <f>ABS($B$34*HB117*3600)</f>
        <v>#VALUE!</v>
      </c>
      <c r="HE117" s="614" t="e">
        <f>HD117*$C$87</f>
        <v>#VALUE!</v>
      </c>
      <c r="HF117" s="672" t="e">
        <f>HD117*$F$78</f>
        <v>#VALUE!</v>
      </c>
      <c r="HG117" s="600" t="e">
        <f>HD117*$F$83</f>
        <v>#VALUE!</v>
      </c>
      <c r="HH117" s="672" t="e">
        <f>HD117*$F$80</f>
        <v>#VALUE!</v>
      </c>
      <c r="HI117" s="676" t="e">
        <f>HD117*$F$79</f>
        <v>#VALUE!</v>
      </c>
      <c r="HJ117" s="668"/>
      <c r="HK117" s="669"/>
      <c r="HL117" s="670"/>
      <c r="HM117" s="671"/>
      <c r="HN117" s="678"/>
      <c r="HO117" s="650"/>
      <c r="HP117" s="650"/>
      <c r="HQ117" s="671" t="str">
        <f>IF(HP117="Low",HM117*$D$42,IF(HP117="Med",HM117*$D$43,IF(HP117="High",HM117*$D$44,"rango cal. out")))</f>
        <v>rango cal. out</v>
      </c>
      <c r="HR117" s="619" t="e">
        <f>((273.2+HJ117)*$F$33/((273.2+$F$32)*HL117))</f>
        <v>#DIV/0!</v>
      </c>
      <c r="HS117" s="674" t="e">
        <f>HQ117/HN117*HR117*EXP(-LN(2)/10990*($F$96-HO117))</f>
        <v>#VALUE!</v>
      </c>
      <c r="HT117" s="599" t="e">
        <f>HS117-AVERAGE(IA102:IA103)</f>
        <v>#VALUE!</v>
      </c>
      <c r="HU117" s="672" t="e">
        <f>ABS(#REF!*HT117*3600)</f>
        <v>#REF!</v>
      </c>
      <c r="HV117" s="675" t="e">
        <f>ABS($B$34*HT117*3600)</f>
        <v>#VALUE!</v>
      </c>
      <c r="HW117" s="614" t="e">
        <f>HV117*$C$87</f>
        <v>#VALUE!</v>
      </c>
      <c r="HX117" s="672" t="e">
        <f>HV117*$F$78</f>
        <v>#VALUE!</v>
      </c>
      <c r="HY117" s="600" t="e">
        <f>HV117*$F$83</f>
        <v>#VALUE!</v>
      </c>
      <c r="HZ117" s="672" t="e">
        <f>HV117*$F$80</f>
        <v>#VALUE!</v>
      </c>
      <c r="IA117" s="676" t="e">
        <f>HV117*$F$79</f>
        <v>#VALUE!</v>
      </c>
      <c r="IB117" s="668"/>
      <c r="IC117" s="669"/>
      <c r="ID117" s="670"/>
      <c r="IE117" s="671"/>
      <c r="IF117" s="678"/>
      <c r="IG117" s="650"/>
      <c r="IH117" s="650"/>
      <c r="II117" s="671" t="str">
        <f>IF(IH117="Low",IE117*$D$42,IF(IH117="Med",IE117*$D$43,IF(IH117="High",IE117*$D$44,"rango cal. out")))</f>
        <v>rango cal. out</v>
      </c>
      <c r="IJ117" s="619" t="e">
        <f>((273.2+IB117)*$F$33/((273.2+$F$32)*ID117))</f>
        <v>#DIV/0!</v>
      </c>
      <c r="IK117" s="674" t="e">
        <f>II117/IF117*IJ117*EXP(-LN(2)/10990*($F$96-IG117))</f>
        <v>#VALUE!</v>
      </c>
      <c r="IL117" s="599" t="e">
        <f>IK117-AVERAGE(IS102:IS103)</f>
        <v>#VALUE!</v>
      </c>
      <c r="IM117" s="672" t="e">
        <f>ABS(#REF!*IL117*3600)</f>
        <v>#REF!</v>
      </c>
      <c r="IN117" s="675" t="e">
        <f>ABS($B$34*IL117*3600)</f>
        <v>#VALUE!</v>
      </c>
      <c r="IO117" s="614" t="e">
        <f>IN117*$C$87</f>
        <v>#VALUE!</v>
      </c>
      <c r="IP117" s="672" t="e">
        <f>IN117*$F$78</f>
        <v>#VALUE!</v>
      </c>
      <c r="IQ117" s="600" t="e">
        <f>IN117*$F$83</f>
        <v>#VALUE!</v>
      </c>
      <c r="IR117" s="672" t="e">
        <f>IN117*$F$80</f>
        <v>#VALUE!</v>
      </c>
      <c r="IS117" s="676" t="e">
        <f>IN117*$F$79</f>
        <v>#VALUE!</v>
      </c>
      <c r="IT117" s="668"/>
      <c r="IU117" s="669"/>
      <c r="IV117" s="670"/>
      <c r="IW117" s="671"/>
      <c r="IX117" s="678"/>
      <c r="IY117" s="650"/>
      <c r="IZ117" s="650"/>
      <c r="JA117" s="671" t="str">
        <f>IF(IZ117="Low",IW117*$D$42,IF(IZ117="Med",IW117*$D$43,IF(IZ117="High",IW117*$D$44,"rango cal. out")))</f>
        <v>rango cal. out</v>
      </c>
      <c r="JB117" s="619" t="e">
        <f>((273.2+IT117)*$F$33/((273.2+$F$32)*IV117))</f>
        <v>#DIV/0!</v>
      </c>
      <c r="JC117" s="674" t="e">
        <f>JA117/IX117*JB117*EXP(-LN(2)/10990*($F$96-IY117))</f>
        <v>#VALUE!</v>
      </c>
      <c r="JD117" s="599" t="e">
        <f>JC117-AVERAGE(JK102:JK103)</f>
        <v>#VALUE!</v>
      </c>
      <c r="JE117" s="672" t="e">
        <f>ABS(#REF!*JD117*3600)</f>
        <v>#REF!</v>
      </c>
      <c r="JF117" s="675" t="e">
        <f>ABS($B$34*JD117*3600)</f>
        <v>#VALUE!</v>
      </c>
      <c r="JG117" s="614" t="e">
        <f>JF117*$C$87</f>
        <v>#VALUE!</v>
      </c>
      <c r="JH117" s="672" t="e">
        <f>JF117*$F$78</f>
        <v>#VALUE!</v>
      </c>
      <c r="JI117" s="600" t="e">
        <f>JF117*$F$83</f>
        <v>#VALUE!</v>
      </c>
      <c r="JJ117" s="672" t="e">
        <f>JF117*$F$80</f>
        <v>#VALUE!</v>
      </c>
      <c r="JK117" s="676" t="e">
        <f>JF117*$F$79</f>
        <v>#VALUE!</v>
      </c>
      <c r="JL117" s="668"/>
      <c r="JM117" s="669"/>
      <c r="JN117" s="670"/>
      <c r="JO117" s="671"/>
      <c r="JP117" s="678"/>
      <c r="JQ117" s="650"/>
      <c r="JR117" s="650"/>
      <c r="JS117" s="671" t="str">
        <f>IF(JR117="Low",JO117*$D$42,IF(JR117="Med",JO117*$D$43,IF(JR117="High",JO117*$D$44,"rango cal. out")))</f>
        <v>rango cal. out</v>
      </c>
      <c r="JT117" s="619" t="e">
        <f>((273.2+JL117)*$F$33/((273.2+$F$32)*JN117))</f>
        <v>#DIV/0!</v>
      </c>
      <c r="JU117" s="674" t="e">
        <f>JS117/JP117*JT117*EXP(-LN(2)/10990*($F$96-JQ117))</f>
        <v>#VALUE!</v>
      </c>
      <c r="JV117" s="599" t="e">
        <f>JU117-AVERAGE(KC102:KC103)</f>
        <v>#VALUE!</v>
      </c>
      <c r="JW117" s="672" t="e">
        <f>ABS(#REF!*JV117*3600)</f>
        <v>#REF!</v>
      </c>
      <c r="JX117" s="675" t="e">
        <f>ABS($B$34*JV117*3600)</f>
        <v>#VALUE!</v>
      </c>
      <c r="JY117" s="614" t="e">
        <f>JX117*$C$87</f>
        <v>#VALUE!</v>
      </c>
      <c r="JZ117" s="672" t="e">
        <f>JX117*$F$78</f>
        <v>#VALUE!</v>
      </c>
      <c r="KA117" s="600" t="e">
        <f>JX117*$F$83</f>
        <v>#VALUE!</v>
      </c>
      <c r="KB117" s="672" t="e">
        <f>JX117*$F$80</f>
        <v>#VALUE!</v>
      </c>
      <c r="KC117" s="676" t="e">
        <f>JX117*$F$79</f>
        <v>#VALUE!</v>
      </c>
      <c r="KD117" s="668"/>
      <c r="KE117" s="669"/>
      <c r="KF117" s="670"/>
      <c r="KG117" s="671"/>
      <c r="KH117" s="678"/>
      <c r="KI117" s="650"/>
      <c r="KJ117" s="650"/>
      <c r="KK117" s="671" t="str">
        <f>IF(KJ117="Low",KG117*$D$42,IF(KJ117="Med",KG117*$D$43,IF(KJ117="High",KG117*$D$44,"rango cal. out")))</f>
        <v>rango cal. out</v>
      </c>
      <c r="KL117" s="619" t="e">
        <f>((273.2+KD117)*$F$33/((273.2+$F$32)*KF117))</f>
        <v>#DIV/0!</v>
      </c>
      <c r="KM117" s="674" t="e">
        <f>KK117/KH117*KL117*EXP(-LN(2)/10990*($F$96-KI117))</f>
        <v>#VALUE!</v>
      </c>
      <c r="KN117" s="599" t="e">
        <f>KM117-AVERAGE(KU102:KU103)</f>
        <v>#VALUE!</v>
      </c>
      <c r="KO117" s="672" t="e">
        <f>ABS(#REF!*KN117*3600)</f>
        <v>#REF!</v>
      </c>
      <c r="KP117" s="675" t="e">
        <f>ABS($B$34*KN117*3600)</f>
        <v>#VALUE!</v>
      </c>
      <c r="KQ117" s="614" t="e">
        <f>KP117*$C$87</f>
        <v>#VALUE!</v>
      </c>
      <c r="KR117" s="672" t="e">
        <f>KP117*$F$78</f>
        <v>#VALUE!</v>
      </c>
      <c r="KS117" s="600" t="e">
        <f>KP117*$F$83</f>
        <v>#VALUE!</v>
      </c>
      <c r="KT117" s="672" t="e">
        <f>KP117*$F$80</f>
        <v>#VALUE!</v>
      </c>
      <c r="KU117" s="676" t="e">
        <f>KP117*$F$79</f>
        <v>#VALUE!</v>
      </c>
      <c r="KV117" s="668"/>
      <c r="KW117" s="669"/>
      <c r="KX117" s="670"/>
      <c r="KY117" s="671"/>
      <c r="KZ117" s="678"/>
      <c r="LA117" s="650"/>
      <c r="LB117" s="650"/>
      <c r="LC117" s="671" t="str">
        <f>IF(LB117="Low",KY117*$D$42,IF(LB117="Med",KY117*$D$43,IF(LB117="High",KY117*$D$44,"rango cal. out")))</f>
        <v>rango cal. out</v>
      </c>
      <c r="LD117" s="619" t="e">
        <f>((273.2+KV117)*$F$33/((273.2+$F$32)*KX117))</f>
        <v>#DIV/0!</v>
      </c>
      <c r="LE117" s="674" t="e">
        <f>LC117/KZ117*LD117*EXP(-LN(2)/10990*($F$96-LA117))</f>
        <v>#VALUE!</v>
      </c>
      <c r="LF117" s="599" t="e">
        <f>LE117-AVERAGE(LM102:LM103)</f>
        <v>#VALUE!</v>
      </c>
      <c r="LG117" s="672" t="e">
        <f>ABS(#REF!*LF117*3600)</f>
        <v>#REF!</v>
      </c>
      <c r="LH117" s="675" t="e">
        <f>ABS($B$34*LF117*3600)</f>
        <v>#VALUE!</v>
      </c>
      <c r="LI117" s="614" t="e">
        <f>LH117*$C$87</f>
        <v>#VALUE!</v>
      </c>
      <c r="LJ117" s="672" t="e">
        <f>LH117*$F$78</f>
        <v>#VALUE!</v>
      </c>
      <c r="LK117" s="600" t="e">
        <f>LH117*$F$83</f>
        <v>#VALUE!</v>
      </c>
      <c r="LL117" s="672" t="e">
        <f>LH117*$F$80</f>
        <v>#VALUE!</v>
      </c>
      <c r="LM117" s="676" t="e">
        <f>LH117*$F$79</f>
        <v>#VALUE!</v>
      </c>
      <c r="LN117" s="668"/>
      <c r="LO117" s="669"/>
      <c r="LP117" s="670"/>
      <c r="LQ117" s="671"/>
      <c r="LR117" s="678"/>
      <c r="LS117" s="650"/>
      <c r="LT117" s="650"/>
      <c r="LU117" s="671" t="str">
        <f>IF(LT117="Low",LQ117*$D$42,IF(LT117="Med",LQ117*$D$43,IF(LT117="High",LQ117*$D$44,"rango cal. out")))</f>
        <v>rango cal. out</v>
      </c>
      <c r="LV117" s="619" t="e">
        <f>((273.2+LN117)*$F$33/((273.2+$F$32)*LP117))</f>
        <v>#DIV/0!</v>
      </c>
      <c r="LW117" s="674" t="e">
        <f>LU117/LR117*LV117*EXP(-LN(2)/10990*($F$96-LS117))</f>
        <v>#VALUE!</v>
      </c>
      <c r="LX117" s="599" t="e">
        <f>LW117-AVERAGE(ME102:ME103)</f>
        <v>#VALUE!</v>
      </c>
      <c r="LY117" s="672" t="e">
        <f>ABS(#REF!*LX117*3600)</f>
        <v>#REF!</v>
      </c>
      <c r="LZ117" s="675" t="e">
        <f>ABS($B$34*LX117*3600)</f>
        <v>#VALUE!</v>
      </c>
      <c r="MA117" s="614" t="e">
        <f>LZ117*$C$87</f>
        <v>#VALUE!</v>
      </c>
      <c r="MB117" s="672" t="e">
        <f>LZ117*$F$78</f>
        <v>#VALUE!</v>
      </c>
      <c r="MC117" s="600" t="e">
        <f>LZ117*$F$83</f>
        <v>#VALUE!</v>
      </c>
      <c r="MD117" s="672" t="e">
        <f>LZ117*$F$80</f>
        <v>#VALUE!</v>
      </c>
      <c r="ME117" s="676" t="e">
        <f>LZ117*$F$79</f>
        <v>#VALUE!</v>
      </c>
      <c r="MF117" s="668"/>
      <c r="MG117" s="669"/>
      <c r="MH117" s="670"/>
      <c r="MI117" s="671"/>
      <c r="MJ117" s="678"/>
      <c r="MK117" s="650"/>
      <c r="ML117" s="650"/>
      <c r="MM117" s="671" t="str">
        <f>IF(ML117="Low",MI117*$D$42,IF(ML117="Med",MI117*$D$43,IF(ML117="High",MI117*$D$44,"rango cal. out")))</f>
        <v>rango cal. out</v>
      </c>
      <c r="MN117" s="619" t="e">
        <f>((273.2+MF117)*$F$33/((273.2+$F$32)*MH117))</f>
        <v>#DIV/0!</v>
      </c>
      <c r="MO117" s="674" t="e">
        <f>MM117/MJ117*MN117*EXP(-LN(2)/10990*($F$96-MK117))</f>
        <v>#VALUE!</v>
      </c>
      <c r="MP117" s="599" t="e">
        <f>MO117-AVERAGE(MW102:MW103)</f>
        <v>#VALUE!</v>
      </c>
      <c r="MQ117" s="672" t="e">
        <f>ABS(#REF!*MP117*3600)</f>
        <v>#REF!</v>
      </c>
      <c r="MR117" s="675" t="e">
        <f>ABS($B$34*MP117*3600)</f>
        <v>#VALUE!</v>
      </c>
      <c r="MS117" s="614" t="e">
        <f>MR117*$C$87</f>
        <v>#VALUE!</v>
      </c>
      <c r="MT117" s="672" t="e">
        <f>MR117*$F$78</f>
        <v>#VALUE!</v>
      </c>
      <c r="MU117" s="600" t="e">
        <f>MR117*$F$83</f>
        <v>#VALUE!</v>
      </c>
      <c r="MV117" s="672" t="e">
        <f>MR117*$F$80</f>
        <v>#VALUE!</v>
      </c>
      <c r="MW117" s="676" t="e">
        <f>MR117*$F$79</f>
        <v>#VALUE!</v>
      </c>
      <c r="MX117" s="668"/>
      <c r="MY117" s="669"/>
      <c r="MZ117" s="680"/>
      <c r="NA117" s="671"/>
      <c r="NB117" s="673"/>
      <c r="NC117" s="650"/>
      <c r="ND117" s="650"/>
      <c r="NE117" s="671" t="str">
        <f>IF(ND117="Low",NA117*$D$42,IF(ND117="Med",NA117*$D$43,IF(ND117="High",NA117*$D$44,"rango cal. out")))</f>
        <v>rango cal. out</v>
      </c>
      <c r="NF117" s="619" t="e">
        <f>((273.2+MX117)*$F$33/((273.2+$F$32)*MZ117))</f>
        <v>#DIV/0!</v>
      </c>
      <c r="NG117" s="674" t="e">
        <f>NE117/NB117*NF117*EXP(-LN(2)/10990*($F$96-NC117))</f>
        <v>#VALUE!</v>
      </c>
      <c r="NH117" s="599" t="e">
        <f>NG117-AVERAGE(NO102:NO103)</f>
        <v>#VALUE!</v>
      </c>
      <c r="NI117" s="672" t="e">
        <f>ABS(#REF!*NH117*3600)</f>
        <v>#REF!</v>
      </c>
      <c r="NJ117" s="675" t="e">
        <f>ABS($B$34*NH117*3600)</f>
        <v>#VALUE!</v>
      </c>
      <c r="NK117" s="614" t="e">
        <f>NJ117*$C$87</f>
        <v>#VALUE!</v>
      </c>
      <c r="NL117" s="672" t="e">
        <f>NJ117*$F$78</f>
        <v>#VALUE!</v>
      </c>
      <c r="NM117" s="600" t="e">
        <f>NJ117*$F$83</f>
        <v>#VALUE!</v>
      </c>
      <c r="NN117" s="672" t="e">
        <f>NJ117*$F$80</f>
        <v>#VALUE!</v>
      </c>
      <c r="NO117" s="676" t="e">
        <f>NJ117*$F$79</f>
        <v>#VALUE!</v>
      </c>
      <c r="NP117" s="668"/>
      <c r="NQ117" s="669"/>
      <c r="NR117" s="670"/>
      <c r="NS117" s="671"/>
      <c r="NT117" s="678"/>
      <c r="NU117" s="650"/>
      <c r="NV117" s="650"/>
      <c r="NW117" s="671" t="str">
        <f>IF(NV117="Low",NS117*$D$42,IF(NV117="Med",NS117*$D$43,IF(NV117="High",NS117*$D$44,"rango cal. out")))</f>
        <v>rango cal. out</v>
      </c>
      <c r="NX117" s="619" t="e">
        <f>((273.2+NP117)*$F$33/((273.2+$F$32)*NR117))</f>
        <v>#DIV/0!</v>
      </c>
      <c r="NY117" s="674" t="e">
        <f>NW117/NT117*NX117*EXP(-LN(2)/10990*($F$96-NU117))</f>
        <v>#VALUE!</v>
      </c>
      <c r="NZ117" s="599" t="e">
        <f>NY117-AVERAGE(OG102:OG103)</f>
        <v>#VALUE!</v>
      </c>
      <c r="OA117" s="672" t="e">
        <f>ABS(#REF!*NZ117*3600)</f>
        <v>#REF!</v>
      </c>
      <c r="OB117" s="675" t="e">
        <f>ABS($B$34*NZ117*3600)</f>
        <v>#VALUE!</v>
      </c>
      <c r="OC117" s="614" t="e">
        <f>OB117*$C$87</f>
        <v>#VALUE!</v>
      </c>
      <c r="OD117" s="672" t="e">
        <f>OB117*$F$78</f>
        <v>#VALUE!</v>
      </c>
      <c r="OE117" s="600" t="e">
        <f>OB117*$F$83</f>
        <v>#VALUE!</v>
      </c>
      <c r="OF117" s="672" t="e">
        <f>OB117*$F$80</f>
        <v>#VALUE!</v>
      </c>
      <c r="OG117" s="676" t="e">
        <f>OB117*$F$79</f>
        <v>#VALUE!</v>
      </c>
      <c r="OH117" s="668"/>
      <c r="OI117" s="669"/>
      <c r="OJ117" s="670"/>
      <c r="OK117" s="671"/>
      <c r="OL117" s="678"/>
      <c r="OM117" s="650"/>
      <c r="ON117" s="650"/>
      <c r="OO117" s="671" t="str">
        <f>IF(ON117="Low",OK117*$D$42,IF(ON117="Med",OK117*$D$43,IF(ON117="High",OK117*$D$44,"rango cal. out")))</f>
        <v>rango cal. out</v>
      </c>
      <c r="OP117" s="619" t="e">
        <f>((273.2+OH117)*$F$33/((273.2+$F$32)*OJ117))</f>
        <v>#DIV/0!</v>
      </c>
      <c r="OQ117" s="674" t="e">
        <f>OO117/OL117*OP117*EXP(-LN(2)/10990*($F$96-OM117))</f>
        <v>#VALUE!</v>
      </c>
      <c r="OR117" s="599" t="e">
        <f>OQ117-AVERAGE(OY102:OY103)</f>
        <v>#VALUE!</v>
      </c>
      <c r="OS117" s="672" t="e">
        <f>ABS(#REF!*OR117*3600)</f>
        <v>#REF!</v>
      </c>
      <c r="OT117" s="675" t="e">
        <f>ABS($B$34*OR117*3600)</f>
        <v>#VALUE!</v>
      </c>
      <c r="OU117" s="614" t="e">
        <f>OT117*$C$87</f>
        <v>#VALUE!</v>
      </c>
      <c r="OV117" s="672" t="e">
        <f>OT117*$F$78</f>
        <v>#VALUE!</v>
      </c>
      <c r="OW117" s="600" t="e">
        <f>OT117*$F$83</f>
        <v>#VALUE!</v>
      </c>
      <c r="OX117" s="672" t="e">
        <f>OT117*$F$80</f>
        <v>#VALUE!</v>
      </c>
      <c r="OY117" s="676" t="e">
        <f>OT117*$F$79</f>
        <v>#VALUE!</v>
      </c>
      <c r="OZ117" s="668"/>
      <c r="PA117" s="669"/>
      <c r="PB117" s="670"/>
      <c r="PC117" s="671"/>
      <c r="PD117" s="678"/>
      <c r="PE117" s="650"/>
      <c r="PF117" s="650"/>
      <c r="PG117" s="671" t="str">
        <f>IF(PF117="Low",PC117*$D$42,IF(PF117="Med",PC117*$D$43,IF(PF117="High",PC117*$D$44,"rango cal. out")))</f>
        <v>rango cal. out</v>
      </c>
      <c r="PH117" s="619" t="e">
        <f>((273.2+OZ117)*$F$33/((273.2+$F$32)*PB117))</f>
        <v>#DIV/0!</v>
      </c>
      <c r="PI117" s="674" t="e">
        <f>PG117/PD117*PH117*EXP(-LN(2)/10990*($F$96-PE117))</f>
        <v>#VALUE!</v>
      </c>
      <c r="PJ117" s="599" t="e">
        <f>PI117-AVERAGE(PQ102:PQ103)</f>
        <v>#VALUE!</v>
      </c>
      <c r="PK117" s="672" t="e">
        <f>ABS(#REF!*PJ117*3600)</f>
        <v>#REF!</v>
      </c>
      <c r="PL117" s="675" t="e">
        <f>ABS($B$34*PJ117*3600)</f>
        <v>#VALUE!</v>
      </c>
      <c r="PM117" s="614" t="e">
        <f>PL117*$C$87</f>
        <v>#VALUE!</v>
      </c>
      <c r="PN117" s="672" t="e">
        <f>PL117*$F$78</f>
        <v>#VALUE!</v>
      </c>
      <c r="PO117" s="600" t="e">
        <f>PL117*$F$83</f>
        <v>#VALUE!</v>
      </c>
      <c r="PP117" s="672" t="e">
        <f>PL117*$F$80</f>
        <v>#VALUE!</v>
      </c>
      <c r="PQ117" s="676" t="e">
        <f>PL117*$F$79</f>
        <v>#VALUE!</v>
      </c>
      <c r="PR117" s="668"/>
      <c r="PS117" s="669"/>
      <c r="PT117" s="670"/>
      <c r="PU117" s="671"/>
      <c r="PV117" s="678"/>
      <c r="PW117" s="650"/>
      <c r="PX117" s="650"/>
      <c r="PY117" s="671" t="str">
        <f>IF(PX117="Low",PU117*$D$42,IF(PX117="Med",PU117*$D$43,IF(PX117="High",PU117*$D$44,"rango cal. out")))</f>
        <v>rango cal. out</v>
      </c>
      <c r="PZ117" s="619" t="e">
        <f>((273.2+PR117)*$F$33/((273.2+$F$32)*PT117))</f>
        <v>#DIV/0!</v>
      </c>
      <c r="QA117" s="674" t="e">
        <f>PY117/PV117*PZ117*EXP(-LN(2)/10990*($F$96-PW117))</f>
        <v>#VALUE!</v>
      </c>
      <c r="QB117" s="599" t="e">
        <f>QA117-AVERAGE(QI102:QI103)</f>
        <v>#VALUE!</v>
      </c>
      <c r="QC117" s="672" t="e">
        <f>ABS(#REF!*QB117*3600)</f>
        <v>#REF!</v>
      </c>
      <c r="QD117" s="675" t="e">
        <f>ABS($B$34*QB117*3600)</f>
        <v>#VALUE!</v>
      </c>
      <c r="QE117" s="614" t="e">
        <f>QD117*$C$87</f>
        <v>#VALUE!</v>
      </c>
      <c r="QF117" s="672" t="e">
        <f>QD117*$F$78</f>
        <v>#VALUE!</v>
      </c>
      <c r="QG117" s="600" t="e">
        <f>QD117*$F$83</f>
        <v>#VALUE!</v>
      </c>
      <c r="QH117" s="672" t="e">
        <f>QD117*$F$80</f>
        <v>#VALUE!</v>
      </c>
      <c r="QI117" s="676" t="e">
        <f>QD117*$F$79</f>
        <v>#VALUE!</v>
      </c>
      <c r="QJ117" s="668"/>
      <c r="QK117" s="669"/>
      <c r="QL117" s="670"/>
      <c r="QM117" s="671"/>
      <c r="QN117" s="678"/>
      <c r="QO117" s="650"/>
      <c r="QP117" s="650"/>
      <c r="QQ117" s="671" t="str">
        <f>IF(QP117="Low",QM117*$D$42,IF(QP117="Med",QM117*$D$43,IF(QP117="High",QM117*$D$44,"rango cal. out")))</f>
        <v>rango cal. out</v>
      </c>
      <c r="QR117" s="619" t="e">
        <f>((273.2+QJ117)*$F$33/((273.2+$F$32)*QL117))</f>
        <v>#DIV/0!</v>
      </c>
      <c r="QS117" s="674" t="e">
        <f>QQ117/QN117*QR117*EXP(-LN(2)/10990*($F$96-QO117))</f>
        <v>#VALUE!</v>
      </c>
      <c r="QT117" s="599" t="e">
        <f>QS117-AVERAGE(RA102:RA103)</f>
        <v>#VALUE!</v>
      </c>
      <c r="QU117" s="672" t="e">
        <f>ABS(#REF!*QT117*3600)</f>
        <v>#REF!</v>
      </c>
      <c r="QV117" s="675" t="e">
        <f>ABS($B$34*QT117*3600)</f>
        <v>#VALUE!</v>
      </c>
      <c r="QW117" s="614" t="e">
        <f>QV117*$C$87</f>
        <v>#VALUE!</v>
      </c>
      <c r="QX117" s="672" t="e">
        <f>QV117*$F$78</f>
        <v>#VALUE!</v>
      </c>
      <c r="QY117" s="600" t="e">
        <f>QV117*$F$83</f>
        <v>#VALUE!</v>
      </c>
      <c r="QZ117" s="672" t="e">
        <f>QV117*$F$80</f>
        <v>#VALUE!</v>
      </c>
      <c r="RA117" s="676" t="e">
        <f>QV117*$F$79</f>
        <v>#VALUE!</v>
      </c>
      <c r="RB117" s="668"/>
      <c r="RC117" s="669"/>
      <c r="RD117" s="670"/>
      <c r="RE117" s="671"/>
      <c r="RF117" s="673"/>
      <c r="RG117" s="650"/>
      <c r="RH117" s="650"/>
      <c r="RI117" s="671" t="str">
        <f>IF(RH117="Low",RE117*$D$42,IF(RH117="Med",RE117*$D$43,IF(RH117="High",RE117*$D$44,"rango cal. out")))</f>
        <v>rango cal. out</v>
      </c>
      <c r="RJ117" s="619" t="e">
        <f>((273.2+RB117)*$F$33/((273.2+$F$32)*RD117))</f>
        <v>#DIV/0!</v>
      </c>
      <c r="RK117" s="674" t="e">
        <f>RI117/RF117*RJ117*EXP(-LN(2)/10990*($F$96-RG117))</f>
        <v>#VALUE!</v>
      </c>
      <c r="RL117" s="599" t="e">
        <f>RK117-AVERAGE(RS102:RS103)</f>
        <v>#VALUE!</v>
      </c>
      <c r="RM117" s="672" t="e">
        <f>ABS(#REF!*RL117*3600)</f>
        <v>#REF!</v>
      </c>
      <c r="RN117" s="675" t="e">
        <f>ABS($B$34*RL117*3600)</f>
        <v>#VALUE!</v>
      </c>
      <c r="RO117" s="614" t="e">
        <f>RN117*$C$87</f>
        <v>#VALUE!</v>
      </c>
      <c r="RP117" s="672" t="e">
        <f>RN117*$F$78</f>
        <v>#VALUE!</v>
      </c>
      <c r="RQ117" s="600" t="e">
        <f>RN117*$F$83</f>
        <v>#VALUE!</v>
      </c>
      <c r="RR117" s="672" t="e">
        <f>RN117*$F$80</f>
        <v>#VALUE!</v>
      </c>
      <c r="RS117" s="676" t="e">
        <f>RN117*$F$79</f>
        <v>#VALUE!</v>
      </c>
      <c r="RT117" s="668"/>
      <c r="RU117" s="669"/>
      <c r="RV117" s="677"/>
      <c r="RW117" s="679"/>
      <c r="RX117" s="678"/>
      <c r="RY117" s="650"/>
      <c r="RZ117" s="650"/>
      <c r="SA117" s="671" t="str">
        <f>IF(RZ117="Low",RW117*$D$42,IF(RZ117="Med",RW117*$D$43,IF(RZ117="High",RW117*$D$44,"rango cal. out")))</f>
        <v>rango cal. out</v>
      </c>
      <c r="SB117" s="619" t="e">
        <f>((273.2+RT117)*$F$33/((273.2+$F$32)*RV117))</f>
        <v>#DIV/0!</v>
      </c>
      <c r="SC117" s="674" t="e">
        <f>SA117/RX117*SB117*EXP(-LN(2)/10990*($F$96-RY117))</f>
        <v>#VALUE!</v>
      </c>
      <c r="SD117" s="599" t="e">
        <f>SC117-AVERAGE(SK102:SK103)</f>
        <v>#VALUE!</v>
      </c>
      <c r="SE117" s="672" t="e">
        <f>ABS(#REF!*SD117*3600)</f>
        <v>#REF!</v>
      </c>
      <c r="SF117" s="675" t="e">
        <f>ABS($B$34*SD117*3600)</f>
        <v>#VALUE!</v>
      </c>
      <c r="SG117" s="614" t="e">
        <f>SF117*$C$87</f>
        <v>#VALUE!</v>
      </c>
      <c r="SH117" s="672" t="e">
        <f>SF117*$F$78</f>
        <v>#VALUE!</v>
      </c>
      <c r="SI117" s="600" t="e">
        <f>SF117*$F$83</f>
        <v>#VALUE!</v>
      </c>
      <c r="SJ117" s="672" t="e">
        <f>SF117*$F$80</f>
        <v>#VALUE!</v>
      </c>
      <c r="SK117" s="676" t="e">
        <f>SF117*$F$79</f>
        <v>#VALUE!</v>
      </c>
      <c r="SL117" s="668"/>
      <c r="SM117" s="669"/>
      <c r="SN117" s="670"/>
      <c r="SO117" s="671"/>
      <c r="SP117" s="678"/>
      <c r="SQ117" s="650"/>
      <c r="SR117" s="650"/>
      <c r="SS117" s="671" t="str">
        <f>IF(SR117="Low",SO117*$D$42,IF(SR117="Med",SO117*$D$43,IF(SR117="High",SO117*$D$44,"rango cal. out")))</f>
        <v>rango cal. out</v>
      </c>
      <c r="ST117" s="619" t="e">
        <f>((273.2+SL117)*$F$33/((273.2+$F$32)*SN117))</f>
        <v>#DIV/0!</v>
      </c>
      <c r="SU117" s="674" t="e">
        <f>SS117/SP117*ST117*EXP(-LN(2)/10990*($F$96-SQ117))</f>
        <v>#VALUE!</v>
      </c>
      <c r="SV117" s="599" t="e">
        <f>SU117-AVERAGE(TC102:TC103)</f>
        <v>#VALUE!</v>
      </c>
      <c r="SW117" s="672" t="e">
        <f>ABS(#REF!*SV117*3600)</f>
        <v>#REF!</v>
      </c>
      <c r="SX117" s="675" t="e">
        <f>ABS($B$34*SV117*3600)</f>
        <v>#VALUE!</v>
      </c>
      <c r="SY117" s="614" t="e">
        <f>SX117*$C$87</f>
        <v>#VALUE!</v>
      </c>
      <c r="SZ117" s="672" t="e">
        <f>SX117*$F$78</f>
        <v>#VALUE!</v>
      </c>
      <c r="TA117" s="600" t="e">
        <f>SX117*$F$83</f>
        <v>#VALUE!</v>
      </c>
      <c r="TB117" s="672" t="e">
        <f>SX117*$F$80</f>
        <v>#VALUE!</v>
      </c>
      <c r="TC117" s="676" t="e">
        <f>SX117*$F$79</f>
        <v>#VALUE!</v>
      </c>
      <c r="TD117" s="668"/>
      <c r="TE117" s="669"/>
      <c r="TF117" s="670"/>
      <c r="TG117" s="671"/>
      <c r="TH117" s="678"/>
      <c r="TI117" s="650"/>
      <c r="TJ117" s="650"/>
      <c r="TK117" s="671" t="str">
        <f>IF(TJ117="Low",TG117*$D$42,IF(TJ117="Med",TG117*$D$43,IF(TJ117="High",TG117*$D$44,"rango cal. out")))</f>
        <v>rango cal. out</v>
      </c>
      <c r="TL117" s="619" t="e">
        <f>((273.2+TD117)*$F$33/((273.2+$F$32)*TF117))</f>
        <v>#DIV/0!</v>
      </c>
      <c r="TM117" s="674" t="e">
        <f>TK117/TH117*TL117*EXP(-LN(2)/10990*($F$96-TI117))</f>
        <v>#VALUE!</v>
      </c>
      <c r="TN117" s="599" t="e">
        <f>TM117-AVERAGE(TU102:TU103)</f>
        <v>#VALUE!</v>
      </c>
      <c r="TO117" s="672" t="e">
        <f>ABS(#REF!*TN117*3600)</f>
        <v>#REF!</v>
      </c>
      <c r="TP117" s="675" t="e">
        <f>ABS($B$34*TN117*3600)</f>
        <v>#VALUE!</v>
      </c>
      <c r="TQ117" s="614" t="e">
        <f>TP117*$C$87</f>
        <v>#VALUE!</v>
      </c>
      <c r="TR117" s="672" t="e">
        <f>TP117*$F$78</f>
        <v>#VALUE!</v>
      </c>
      <c r="TS117" s="600" t="e">
        <f>TP117*$F$83</f>
        <v>#VALUE!</v>
      </c>
      <c r="TT117" s="672" t="e">
        <f>TP117*$F$80</f>
        <v>#VALUE!</v>
      </c>
      <c r="TU117" s="676" t="e">
        <f>TP117*$F$79</f>
        <v>#VALUE!</v>
      </c>
      <c r="TV117" s="668"/>
      <c r="TW117" s="669"/>
      <c r="TX117" s="670"/>
      <c r="TY117" s="671"/>
      <c r="TZ117" s="678"/>
      <c r="UA117" s="650"/>
      <c r="UB117" s="650"/>
      <c r="UC117" s="671" t="str">
        <f>IF(UB117="Low",TY117*$D$42,IF(UB117="Med",TY117*$D$43,IF(UB117="High",TY117*$D$44,"rango cal. out")))</f>
        <v>rango cal. out</v>
      </c>
      <c r="UD117" s="619" t="e">
        <f>((273.2+TV117)*$F$33/((273.2+$F$32)*TX117))</f>
        <v>#DIV/0!</v>
      </c>
      <c r="UE117" s="674" t="e">
        <f>UC117/TZ117*UD117*EXP(-LN(2)/10990*($F$96-UA117))</f>
        <v>#VALUE!</v>
      </c>
      <c r="UF117" s="599" t="e">
        <f>UE117-AVERAGE(UM102:UM103)</f>
        <v>#VALUE!</v>
      </c>
      <c r="UG117" s="672" t="e">
        <f>ABS(#REF!*UF117*3600)</f>
        <v>#REF!</v>
      </c>
      <c r="UH117" s="675" t="e">
        <f>ABS($B$34*UF117*3600)</f>
        <v>#VALUE!</v>
      </c>
      <c r="UI117" s="614" t="e">
        <f>UH117*$C$87</f>
        <v>#VALUE!</v>
      </c>
      <c r="UJ117" s="672" t="e">
        <f>UH117*$F$78</f>
        <v>#VALUE!</v>
      </c>
      <c r="UK117" s="600" t="e">
        <f>UH117*$F$83</f>
        <v>#VALUE!</v>
      </c>
      <c r="UL117" s="672" t="e">
        <f>UH117*$F$80</f>
        <v>#VALUE!</v>
      </c>
      <c r="UM117" s="676" t="e">
        <f>UH117*$F$79</f>
        <v>#VALUE!</v>
      </c>
      <c r="UN117" s="668"/>
      <c r="UO117" s="669"/>
      <c r="UP117" s="670"/>
      <c r="UQ117" s="671"/>
      <c r="UR117" s="678"/>
      <c r="US117" s="650"/>
      <c r="UT117" s="650"/>
      <c r="UU117" s="671" t="str">
        <f>IF(UT117="Low",UQ117*$D$42,IF(UT117="Med",UQ117*$D$43,IF(UT117="High",UQ117*$D$44,"rango cal. out")))</f>
        <v>rango cal. out</v>
      </c>
      <c r="UV117" s="619" t="e">
        <f>((273.2+UN117)*$F$33/((273.2+$F$32)*UP117))</f>
        <v>#DIV/0!</v>
      </c>
      <c r="UW117" s="674" t="e">
        <f>UU117/UR117*UV117*EXP(-LN(2)/10990*($F$96-US117))</f>
        <v>#VALUE!</v>
      </c>
      <c r="UX117" s="599" t="e">
        <f>UW117-AVERAGE(VE102:VE103)</f>
        <v>#VALUE!</v>
      </c>
      <c r="UY117" s="672" t="e">
        <f>ABS(#REF!*UX117*3600)</f>
        <v>#REF!</v>
      </c>
      <c r="UZ117" s="675" t="e">
        <f>ABS($B$34*UX117*3600)</f>
        <v>#VALUE!</v>
      </c>
      <c r="VA117" s="614" t="e">
        <f>UZ117*$C$87</f>
        <v>#VALUE!</v>
      </c>
      <c r="VB117" s="672" t="e">
        <f>UZ117*$F$78</f>
        <v>#VALUE!</v>
      </c>
      <c r="VC117" s="600" t="e">
        <f>UZ117*$F$83</f>
        <v>#VALUE!</v>
      </c>
      <c r="VD117" s="672" t="e">
        <f>UZ117*$F$80</f>
        <v>#VALUE!</v>
      </c>
      <c r="VE117" s="676" t="e">
        <f>UZ117*$F$79</f>
        <v>#VALUE!</v>
      </c>
    </row>
    <row r="118" spans="1:577" x14ac:dyDescent="0.25">
      <c r="A118" s="2219"/>
      <c r="B118" s="668">
        <v>20.100000000000001</v>
      </c>
      <c r="C118" s="673">
        <v>53</v>
      </c>
      <c r="D118" s="673">
        <v>1010</v>
      </c>
      <c r="E118" s="1999">
        <v>-1.927E-8</v>
      </c>
      <c r="F118" s="673">
        <v>60</v>
      </c>
      <c r="G118" s="663">
        <v>44334</v>
      </c>
      <c r="H118" s="663" t="s">
        <v>1042</v>
      </c>
      <c r="I118" s="671">
        <f>IF(H118="Low",E118*$D$42,IF(H118="Med",E118*$D$43,IF(H118="High",E118*$D$44,"rango cal. out")))</f>
        <v>-1.9289269999999998E-8</v>
      </c>
      <c r="J118" s="619">
        <f>((273.2+B118)*$F$33/((273.2+$F$32)*D118))</f>
        <v>0.99676079650648008</v>
      </c>
      <c r="K118" s="674">
        <f>I118/F118*J118*EXP(-LN(2)/10990*($F$96-G118))</f>
        <v>-3.1734907405938243E-10</v>
      </c>
      <c r="L118" s="599">
        <f>K118-AVERAGE(S102:S103)</f>
        <v>-3.1732526209201091E-10</v>
      </c>
      <c r="M118" s="672" t="e">
        <f>ABS(#REF!*L118*3600)</f>
        <v>#REF!</v>
      </c>
      <c r="N118" s="675">
        <f>ABS($B$34*L118*3600)</f>
        <v>2.8787747776987234E-2</v>
      </c>
      <c r="O118" s="672">
        <f>N118*$C$87</f>
        <v>2.8787747776987236</v>
      </c>
      <c r="P118" s="672">
        <f>N118*$F$78</f>
        <v>3.4545297332384678E-2</v>
      </c>
      <c r="Q118" s="600">
        <f>N118*$F$83</f>
        <v>3.4833174810154549E-2</v>
      </c>
      <c r="R118" s="672">
        <f>N118*$F$80</f>
        <v>3.4833174810154549E-2</v>
      </c>
      <c r="S118" s="676">
        <f>N118*$F$79</f>
        <v>3.5984684721234041E-2</v>
      </c>
      <c r="T118" s="677"/>
      <c r="U118" s="669"/>
      <c r="V118" s="670"/>
      <c r="W118" s="671"/>
      <c r="X118" s="678"/>
      <c r="Y118" s="650"/>
      <c r="Z118" s="663"/>
      <c r="AA118" s="671" t="str">
        <f>IF(Z118="Low",W118*$D$42,IF(Z118="Med",W118*$D$43,IF(Z118="High",W118*$D$44,"rango cal. out")))</f>
        <v>rango cal. out</v>
      </c>
      <c r="AB118" s="619" t="e">
        <f>((273.2+T118)*$F$33/((273.2+$F$32)*V118))</f>
        <v>#DIV/0!</v>
      </c>
      <c r="AC118" s="674" t="e">
        <f>AA118/X118*AB118*EXP(-LN(2)/10990*($F$96-Y118))</f>
        <v>#VALUE!</v>
      </c>
      <c r="AD118" s="599" t="e">
        <f>AC118-AVERAGE(#REF!)</f>
        <v>#VALUE!</v>
      </c>
      <c r="AE118" s="672" t="e">
        <f>ABS(#REF!*AD118*3600)</f>
        <v>#REF!</v>
      </c>
      <c r="AF118" s="675" t="e">
        <f>ABS($B$34*AD118*3600)</f>
        <v>#VALUE!</v>
      </c>
      <c r="AG118" s="672" t="e">
        <f>AF118*$C$87</f>
        <v>#VALUE!</v>
      </c>
      <c r="AH118" s="672" t="e">
        <f>AF118*$F$78</f>
        <v>#VALUE!</v>
      </c>
      <c r="AI118" s="599" t="e">
        <f>AF118*$F$83</f>
        <v>#VALUE!</v>
      </c>
      <c r="AJ118" s="672" t="e">
        <f>AF118*$F$80</f>
        <v>#VALUE!</v>
      </c>
      <c r="AK118" s="676" t="e">
        <f>AF118*$F$79</f>
        <v>#VALUE!</v>
      </c>
      <c r="AL118" s="668"/>
      <c r="AM118" s="669"/>
      <c r="AN118" s="670"/>
      <c r="AO118" s="671"/>
      <c r="AP118" s="678"/>
      <c r="AQ118" s="650"/>
      <c r="AR118" s="663"/>
      <c r="AS118" s="671" t="str">
        <f>IF(AR118="Low",AO118*$D$42,IF(AR118="Med",AO118*$D$43,IF(AR118="High",AO118*$D$44,"rango cal. out")))</f>
        <v>rango cal. out</v>
      </c>
      <c r="AT118" s="619" t="e">
        <f>((273.2+AL118)*$F$33/((273.2+$F$32)*AN118))</f>
        <v>#DIV/0!</v>
      </c>
      <c r="AU118" s="674" t="e">
        <f>AS118/AP118*AT118*EXP(-LN(2)/10990*($F$96-AQ118))</f>
        <v>#VALUE!</v>
      </c>
      <c r="AV118" s="599" t="e">
        <f>AU118-AVERAGE(BC102:BC103)</f>
        <v>#VALUE!</v>
      </c>
      <c r="AW118" s="672" t="e">
        <f>ABS(#REF!*AV118*3600)</f>
        <v>#REF!</v>
      </c>
      <c r="AX118" s="675" t="e">
        <f>ABS($B$34*AV118*3600)</f>
        <v>#VALUE!</v>
      </c>
      <c r="AY118" s="672" t="e">
        <f>AX118*$C$87</f>
        <v>#VALUE!</v>
      </c>
      <c r="AZ118" s="672" t="e">
        <f>AX118*$F$78</f>
        <v>#VALUE!</v>
      </c>
      <c r="BA118" s="599" t="e">
        <f>AX118*$F$83</f>
        <v>#VALUE!</v>
      </c>
      <c r="BB118" s="672" t="e">
        <f>AX118*$F$80</f>
        <v>#VALUE!</v>
      </c>
      <c r="BC118" s="676" t="e">
        <f>AX118*$F$79</f>
        <v>#VALUE!</v>
      </c>
      <c r="BD118" s="668"/>
      <c r="BE118" s="669"/>
      <c r="BF118" s="670"/>
      <c r="BG118" s="1998">
        <f t="shared" ref="BG118:BG120" si="218">-0.000000002982</f>
        <v>-2.9819999999999998E-9</v>
      </c>
      <c r="BH118" s="678"/>
      <c r="BI118" s="663">
        <v>44333</v>
      </c>
      <c r="BJ118" s="663"/>
      <c r="BK118" s="671" t="str">
        <f>IF(BJ118="Low",BG118*$D$42,IF(BJ118="Med",BG118*$D$43,IF(BJ118="High",BG118*$D$44,"rango cal. out")))</f>
        <v>rango cal. out</v>
      </c>
      <c r="BL118" s="619" t="e">
        <f>((273.2+BD118)*$F$33/((273.2+$F$32)*BF118))</f>
        <v>#DIV/0!</v>
      </c>
      <c r="BM118" s="674" t="e">
        <f>BK118/BH118*BL118*EXP(-LN(2)/10990*($F$96-BI118))</f>
        <v>#VALUE!</v>
      </c>
      <c r="BN118" s="599" t="e">
        <f>BM118-AVERAGE(BU102:BU103)</f>
        <v>#VALUE!</v>
      </c>
      <c r="BO118" s="672" t="e">
        <f>ABS(#REF!*BN118*3600)</f>
        <v>#REF!</v>
      </c>
      <c r="BP118" s="675" t="e">
        <f>ABS($B$34*BN118*3600)</f>
        <v>#VALUE!</v>
      </c>
      <c r="BQ118" s="672" t="e">
        <f>BP118*$C$87</f>
        <v>#VALUE!</v>
      </c>
      <c r="BR118" s="672" t="e">
        <f>BP118*$F$78</f>
        <v>#VALUE!</v>
      </c>
      <c r="BS118" s="599" t="e">
        <f>BP118*$F$83</f>
        <v>#VALUE!</v>
      </c>
      <c r="BT118" s="672" t="e">
        <f>BP118*$F$80</f>
        <v>#VALUE!</v>
      </c>
      <c r="BU118" s="676" t="e">
        <f>BP118*$F$79</f>
        <v>#VALUE!</v>
      </c>
      <c r="BV118" s="668"/>
      <c r="BW118" s="669"/>
      <c r="BX118" s="670"/>
      <c r="BY118" s="1998">
        <v>-1.585E-10</v>
      </c>
      <c r="BZ118" s="678"/>
      <c r="CA118" s="663">
        <v>44333</v>
      </c>
      <c r="CB118" s="663"/>
      <c r="CC118" s="671" t="str">
        <f>IF(CB118="Low",BY118*$D$42,IF(CB118="Med",BY118*$D$43,IF(CB118="High",BY118*$D$44,"rango cal. out")))</f>
        <v>rango cal. out</v>
      </c>
      <c r="CD118" s="619" t="e">
        <f>((273.2+BV118)*$F$33/((273.2+$F$32)*BX118))</f>
        <v>#DIV/0!</v>
      </c>
      <c r="CE118" s="674" t="e">
        <f>CC118/BZ118*CD118*EXP(-LN(2)/10990*($F$96-CA118))</f>
        <v>#VALUE!</v>
      </c>
      <c r="CF118" s="599" t="e">
        <f>CE118-AVERAGE(CM102:CM103)</f>
        <v>#VALUE!</v>
      </c>
      <c r="CG118" s="672" t="e">
        <f>ABS(#REF!*CF118*3600)</f>
        <v>#REF!</v>
      </c>
      <c r="CH118" s="675" t="e">
        <f>ABS($B$34*CF118*3600)</f>
        <v>#VALUE!</v>
      </c>
      <c r="CI118" s="672" t="e">
        <f>CH118*$C$87</f>
        <v>#VALUE!</v>
      </c>
      <c r="CJ118" s="672" t="e">
        <f>CH118*$F$78</f>
        <v>#VALUE!</v>
      </c>
      <c r="CK118" s="599" t="e">
        <f>CH118*$F$83</f>
        <v>#VALUE!</v>
      </c>
      <c r="CL118" s="672" t="e">
        <f>CH118*$F$80</f>
        <v>#VALUE!</v>
      </c>
      <c r="CM118" s="676" t="e">
        <f>CH118*$F$79</f>
        <v>#VALUE!</v>
      </c>
      <c r="CN118" s="668"/>
      <c r="CO118" s="669"/>
      <c r="CP118" s="670"/>
      <c r="CQ118" s="1998">
        <v>-6.9759999999999999E-9</v>
      </c>
      <c r="CR118" s="678"/>
      <c r="CS118" s="663">
        <v>44333</v>
      </c>
      <c r="CT118" s="663"/>
      <c r="CU118" s="671" t="str">
        <f>IF(CT118="Low",CQ118*$D$42,IF(CT118="Med",CQ118*$D$43,IF(CT118="High",CQ118*$D$44,"rango cal. out")))</f>
        <v>rango cal. out</v>
      </c>
      <c r="CV118" s="619" t="e">
        <f>((273.2+CN118)*$F$33/((273.2+$F$32)*CP118))</f>
        <v>#DIV/0!</v>
      </c>
      <c r="CW118" s="674" t="e">
        <f>CU118/CR118*CV118*EXP(-LN(2)/10990*($F$96-CS118))</f>
        <v>#VALUE!</v>
      </c>
      <c r="CX118" s="599" t="e">
        <f>CW118-AVERAGE(DE102:DE103)</f>
        <v>#VALUE!</v>
      </c>
      <c r="CY118" s="672" t="e">
        <f>ABS(#REF!*CX118*3600)</f>
        <v>#REF!</v>
      </c>
      <c r="CZ118" s="675" t="e">
        <f>ABS($B$34*CX118*3600)</f>
        <v>#VALUE!</v>
      </c>
      <c r="DA118" s="672" t="e">
        <f>CZ118*$C$87</f>
        <v>#VALUE!</v>
      </c>
      <c r="DB118" s="672" t="e">
        <f>CZ118*$F$78</f>
        <v>#VALUE!</v>
      </c>
      <c r="DC118" s="599" t="e">
        <f>CZ118*$F$83</f>
        <v>#VALUE!</v>
      </c>
      <c r="DD118" s="672" t="e">
        <f>CZ118*$F$80</f>
        <v>#VALUE!</v>
      </c>
      <c r="DE118" s="676" t="e">
        <f>CZ118*$F$79</f>
        <v>#VALUE!</v>
      </c>
      <c r="DF118" s="668"/>
      <c r="DG118" s="669"/>
      <c r="DH118" s="670"/>
      <c r="DI118" s="671"/>
      <c r="DJ118" s="678"/>
      <c r="DK118" s="650"/>
      <c r="DL118" s="663"/>
      <c r="DM118" s="671" t="str">
        <f>IF(DL118="Low",DI118*$D$42,IF(DL118="Med",DI118*$D$43,IF(DL118="High",DI118*$D$44,"rango cal. out")))</f>
        <v>rango cal. out</v>
      </c>
      <c r="DN118" s="619" t="e">
        <f>((273.2+DF118)*$F$33/((273.2+$F$32)*DH118))</f>
        <v>#DIV/0!</v>
      </c>
      <c r="DO118" s="674" t="e">
        <f>DM118/DJ118*DN118*EXP(-LN(2)/10990*($F$96-DK118))</f>
        <v>#VALUE!</v>
      </c>
      <c r="DP118" s="599" t="e">
        <f>DO118-AVERAGE(DW102:DW103)</f>
        <v>#VALUE!</v>
      </c>
      <c r="DQ118" s="672" t="e">
        <f>ABS(#REF!*DP118*3600)</f>
        <v>#REF!</v>
      </c>
      <c r="DR118" s="675" t="e">
        <f>ABS($B$34*DP118*3600)</f>
        <v>#VALUE!</v>
      </c>
      <c r="DS118" s="672" t="e">
        <f>DR118*$C$87</f>
        <v>#VALUE!</v>
      </c>
      <c r="DT118" s="672" t="e">
        <f>DR118*$F$78</f>
        <v>#VALUE!</v>
      </c>
      <c r="DU118" s="599" t="e">
        <f>DR118*$F$83</f>
        <v>#VALUE!</v>
      </c>
      <c r="DV118" s="672" t="e">
        <f>DR118*$F$80</f>
        <v>#VALUE!</v>
      </c>
      <c r="DW118" s="676" t="e">
        <f>DR118*$F$79</f>
        <v>#VALUE!</v>
      </c>
      <c r="DX118" s="668"/>
      <c r="DY118" s="669"/>
      <c r="DZ118" s="677"/>
      <c r="EA118" s="679"/>
      <c r="EB118" s="678"/>
      <c r="EC118" s="650"/>
      <c r="ED118" s="663"/>
      <c r="EE118" s="671" t="str">
        <f>IF(ED118="Low",EA118*$D$42,IF(ED118="Med",EA118*$D$43,IF(ED118="High",EA118*$D$44,"rango cal. out")))</f>
        <v>rango cal. out</v>
      </c>
      <c r="EF118" s="619" t="e">
        <f>((273.2+DX118)*$F$33/((273.2+$F$32)*DZ118))</f>
        <v>#DIV/0!</v>
      </c>
      <c r="EG118" s="674" t="e">
        <f>EE118/EB118*EF118*EXP(-LN(2)/10990*($F$96-EC118))</f>
        <v>#VALUE!</v>
      </c>
      <c r="EH118" s="599" t="e">
        <f>EG118-AVERAGE(EO102:EO103)</f>
        <v>#VALUE!</v>
      </c>
      <c r="EI118" s="672" t="e">
        <f>ABS(#REF!*EH118*3600)</f>
        <v>#REF!</v>
      </c>
      <c r="EJ118" s="675" t="e">
        <f>ABS($B$34*EH118*3600)</f>
        <v>#VALUE!</v>
      </c>
      <c r="EK118" s="672" t="e">
        <f>EJ118*$C$87</f>
        <v>#VALUE!</v>
      </c>
      <c r="EL118" s="672" t="e">
        <f>EJ118*$F$78</f>
        <v>#VALUE!</v>
      </c>
      <c r="EM118" s="599" t="e">
        <f>EJ118*$F$83</f>
        <v>#VALUE!</v>
      </c>
      <c r="EN118" s="672" t="e">
        <f>EJ118*$F$80</f>
        <v>#VALUE!</v>
      </c>
      <c r="EO118" s="676" t="e">
        <f>EJ118*$F$79</f>
        <v>#VALUE!</v>
      </c>
      <c r="EP118" s="668"/>
      <c r="EQ118" s="669"/>
      <c r="ER118" s="670"/>
      <c r="ES118" s="1998">
        <v>-1.5E-11</v>
      </c>
      <c r="ET118" s="678"/>
      <c r="EU118" s="663">
        <v>44333</v>
      </c>
      <c r="EV118" s="663"/>
      <c r="EW118" s="671" t="str">
        <f>IF(EV118="Low",ES118*$D$42,IF(EV118="Med",ES118*$D$43,IF(EV118="High",ES118*$D$44,"rango cal. out")))</f>
        <v>rango cal. out</v>
      </c>
      <c r="EX118" s="619" t="e">
        <f>((273.2+EP118)*$F$33/((273.2+$F$32)*ER118))</f>
        <v>#DIV/0!</v>
      </c>
      <c r="EY118" s="674" t="e">
        <f>EW118/ET118*EX118*EXP(-LN(2)/10990*($F$96-EU118))</f>
        <v>#VALUE!</v>
      </c>
      <c r="EZ118" s="599" t="e">
        <f>EY118-AVERAGE(FG102:FG103)</f>
        <v>#VALUE!</v>
      </c>
      <c r="FA118" s="672" t="e">
        <f>ABS(#REF!*EZ118*3600)</f>
        <v>#REF!</v>
      </c>
      <c r="FB118" s="675" t="e">
        <f>ABS($B$34*EZ118*3600)</f>
        <v>#VALUE!</v>
      </c>
      <c r="FC118" s="672" t="e">
        <f>FB118*$C$87</f>
        <v>#VALUE!</v>
      </c>
      <c r="FD118" s="672" t="e">
        <f>FB118*$F$78</f>
        <v>#VALUE!</v>
      </c>
      <c r="FE118" s="599" t="e">
        <f>FB118*$F$83</f>
        <v>#VALUE!</v>
      </c>
      <c r="FF118" s="672" t="e">
        <f>FB118*$F$80</f>
        <v>#VALUE!</v>
      </c>
      <c r="FG118" s="676" t="e">
        <f>FB118*$F$79</f>
        <v>#VALUE!</v>
      </c>
      <c r="FH118" s="668"/>
      <c r="FI118" s="669"/>
      <c r="FJ118" s="670"/>
      <c r="FK118" s="671"/>
      <c r="FL118" s="678"/>
      <c r="FM118" s="650"/>
      <c r="FN118" s="663"/>
      <c r="FO118" s="671" t="str">
        <f>IF(FN118="Low",FK118*$D$42,IF(FN118="Med",FK118*$D$43,IF(FN118="High",FK118*$D$44,"rango cal. out")))</f>
        <v>rango cal. out</v>
      </c>
      <c r="FP118" s="619" t="e">
        <f>((273.2+FH118)*$F$33/((273.2+$F$32)*FJ118))</f>
        <v>#DIV/0!</v>
      </c>
      <c r="FQ118" s="674" t="e">
        <f>FO118/FL118*FP118*EXP(-LN(2)/10990*($F$96-FM118))</f>
        <v>#VALUE!</v>
      </c>
      <c r="FR118" s="599" t="e">
        <f>FQ118-AVERAGE(FY102:FY103)</f>
        <v>#VALUE!</v>
      </c>
      <c r="FS118" s="672" t="e">
        <f>ABS(#REF!*FR118*3600)</f>
        <v>#REF!</v>
      </c>
      <c r="FT118" s="675" t="e">
        <f>ABS($B$34*FR118*3600)</f>
        <v>#VALUE!</v>
      </c>
      <c r="FU118" s="672" t="e">
        <f>FT118*$C$87</f>
        <v>#VALUE!</v>
      </c>
      <c r="FV118" s="672" t="e">
        <f>FT118*$F$78</f>
        <v>#VALUE!</v>
      </c>
      <c r="FW118" s="599" t="e">
        <f>FT118*$F$83</f>
        <v>#VALUE!</v>
      </c>
      <c r="FX118" s="672" t="e">
        <f>FT118*$F$80</f>
        <v>#VALUE!</v>
      </c>
      <c r="FY118" s="676" t="e">
        <f>FT118*$F$79</f>
        <v>#VALUE!</v>
      </c>
      <c r="FZ118" s="668"/>
      <c r="GA118" s="669"/>
      <c r="GB118" s="670"/>
      <c r="GC118" s="671"/>
      <c r="GD118" s="678"/>
      <c r="GE118" s="650"/>
      <c r="GF118" s="663"/>
      <c r="GG118" s="671" t="str">
        <f>IF(GF118="Low",GC118*$D$42,IF(GF118="Med",GC118*$D$43,IF(GF118="High",GC118*$D$44,"rango cal. out")))</f>
        <v>rango cal. out</v>
      </c>
      <c r="GH118" s="619" t="e">
        <f>((273.2+FZ118)*$F$33/((273.2+$F$32)*GB118))</f>
        <v>#DIV/0!</v>
      </c>
      <c r="GI118" s="674" t="e">
        <f>GG118/GD118*GH118*EXP(-LN(2)/10990*($F$96-GE118))</f>
        <v>#VALUE!</v>
      </c>
      <c r="GJ118" s="599" t="e">
        <f>GI118-AVERAGE(GQ102:GQ103)</f>
        <v>#VALUE!</v>
      </c>
      <c r="GK118" s="672" t="e">
        <f>ABS(#REF!*GJ118*3600)</f>
        <v>#REF!</v>
      </c>
      <c r="GL118" s="675" t="e">
        <f>ABS($B$34*GJ118*3600)</f>
        <v>#VALUE!</v>
      </c>
      <c r="GM118" s="672" t="e">
        <f>GL118*$C$87</f>
        <v>#VALUE!</v>
      </c>
      <c r="GN118" s="672" t="e">
        <f>GL118*$F$78</f>
        <v>#VALUE!</v>
      </c>
      <c r="GO118" s="599" t="e">
        <f>GL118*$F$83</f>
        <v>#VALUE!</v>
      </c>
      <c r="GP118" s="672" t="e">
        <f>GL118*$F$80</f>
        <v>#VALUE!</v>
      </c>
      <c r="GQ118" s="676" t="e">
        <f>GL118*$F$79</f>
        <v>#VALUE!</v>
      </c>
      <c r="GR118" s="668"/>
      <c r="GS118" s="669"/>
      <c r="GT118" s="677"/>
      <c r="GU118" s="679"/>
      <c r="GV118" s="678"/>
      <c r="GW118" s="650"/>
      <c r="GX118" s="663"/>
      <c r="GY118" s="671" t="str">
        <f>IF(GX118="Low",GU118*$D$42,IF(GX118="Med",GU118*$D$43,IF(GX118="High",GU118*$D$44,"rango cal. out")))</f>
        <v>rango cal. out</v>
      </c>
      <c r="GZ118" s="619" t="e">
        <f>((273.2+GR118)*$F$33/((273.2+$F$32)*GT118))</f>
        <v>#DIV/0!</v>
      </c>
      <c r="HA118" s="674" t="e">
        <f>GY118/GV118*GZ118*EXP(-LN(2)/10990*($F$96-GW118))</f>
        <v>#VALUE!</v>
      </c>
      <c r="HB118" s="599" t="e">
        <f>HA118-AVERAGE(HI102:HI103)</f>
        <v>#VALUE!</v>
      </c>
      <c r="HC118" s="672" t="e">
        <f>ABS(#REF!*HB118*3600)</f>
        <v>#REF!</v>
      </c>
      <c r="HD118" s="675" t="e">
        <f>ABS($B$34*HB118*3600)</f>
        <v>#VALUE!</v>
      </c>
      <c r="HE118" s="672" t="e">
        <f>HD118*$C$87</f>
        <v>#VALUE!</v>
      </c>
      <c r="HF118" s="672" t="e">
        <f>HD118*$F$78</f>
        <v>#VALUE!</v>
      </c>
      <c r="HG118" s="599" t="e">
        <f>HD118*$F$83</f>
        <v>#VALUE!</v>
      </c>
      <c r="HH118" s="672" t="e">
        <f>HD118*$F$80</f>
        <v>#VALUE!</v>
      </c>
      <c r="HI118" s="676" t="e">
        <f>HD118*$F$79</f>
        <v>#VALUE!</v>
      </c>
      <c r="HJ118" s="668"/>
      <c r="HK118" s="669"/>
      <c r="HL118" s="670"/>
      <c r="HM118" s="671"/>
      <c r="HN118" s="678"/>
      <c r="HO118" s="650"/>
      <c r="HP118" s="663"/>
      <c r="HQ118" s="671" t="str">
        <f>IF(HP118="Low",HM118*$D$42,IF(HP118="Med",HM118*$D$43,IF(HP118="High",HM118*$D$44,"rango cal. out")))</f>
        <v>rango cal. out</v>
      </c>
      <c r="HR118" s="619" t="e">
        <f>((273.2+HJ118)*$F$33/((273.2+$F$32)*HL118))</f>
        <v>#DIV/0!</v>
      </c>
      <c r="HS118" s="674" t="e">
        <f>HQ118/HN118*HR118*EXP(-LN(2)/10990*($F$96-HO118))</f>
        <v>#VALUE!</v>
      </c>
      <c r="HT118" s="599" t="e">
        <f>HS118-AVERAGE(IA102:IA103)</f>
        <v>#VALUE!</v>
      </c>
      <c r="HU118" s="672" t="e">
        <f>ABS(#REF!*HT118*3600)</f>
        <v>#REF!</v>
      </c>
      <c r="HV118" s="675" t="e">
        <f>ABS($B$34*HT118*3600)</f>
        <v>#VALUE!</v>
      </c>
      <c r="HW118" s="672" t="e">
        <f>HV118*$C$87</f>
        <v>#VALUE!</v>
      </c>
      <c r="HX118" s="672" t="e">
        <f>HV118*$F$78</f>
        <v>#VALUE!</v>
      </c>
      <c r="HY118" s="599" t="e">
        <f>HV118*$F$83</f>
        <v>#VALUE!</v>
      </c>
      <c r="HZ118" s="672" t="e">
        <f>HV118*$F$80</f>
        <v>#VALUE!</v>
      </c>
      <c r="IA118" s="676" t="e">
        <f>HV118*$F$79</f>
        <v>#VALUE!</v>
      </c>
      <c r="IB118" s="668"/>
      <c r="IC118" s="669"/>
      <c r="ID118" s="670"/>
      <c r="IE118" s="671"/>
      <c r="IF118" s="678"/>
      <c r="IG118" s="650"/>
      <c r="IH118" s="663"/>
      <c r="II118" s="671" t="str">
        <f>IF(IH118="Low",IE118*$D$42,IF(IH118="Med",IE118*$D$43,IF(IH118="High",IE118*$D$44,"rango cal. out")))</f>
        <v>rango cal. out</v>
      </c>
      <c r="IJ118" s="619" t="e">
        <f>((273.2+IB118)*$F$33/((273.2+$F$32)*ID118))</f>
        <v>#DIV/0!</v>
      </c>
      <c r="IK118" s="674" t="e">
        <f>II118/IF118*IJ118*EXP(-LN(2)/10990*($F$96-IG118))</f>
        <v>#VALUE!</v>
      </c>
      <c r="IL118" s="599" t="e">
        <f>IK118-AVERAGE(IS102:IS103)</f>
        <v>#VALUE!</v>
      </c>
      <c r="IM118" s="672" t="e">
        <f>ABS(#REF!*IL118*3600)</f>
        <v>#REF!</v>
      </c>
      <c r="IN118" s="675" t="e">
        <f>ABS($B$34*IL118*3600)</f>
        <v>#VALUE!</v>
      </c>
      <c r="IO118" s="672" t="e">
        <f>IN118*$C$87</f>
        <v>#VALUE!</v>
      </c>
      <c r="IP118" s="672" t="e">
        <f>IN118*$F$78</f>
        <v>#VALUE!</v>
      </c>
      <c r="IQ118" s="599" t="e">
        <f>IN118*$F$83</f>
        <v>#VALUE!</v>
      </c>
      <c r="IR118" s="672" t="e">
        <f>IN118*$F$80</f>
        <v>#VALUE!</v>
      </c>
      <c r="IS118" s="676" t="e">
        <f>IN118*$F$79</f>
        <v>#VALUE!</v>
      </c>
      <c r="IT118" s="668"/>
      <c r="IU118" s="669"/>
      <c r="IV118" s="670"/>
      <c r="IW118" s="671"/>
      <c r="IX118" s="678"/>
      <c r="IY118" s="650"/>
      <c r="IZ118" s="663"/>
      <c r="JA118" s="671" t="str">
        <f>IF(IZ118="Low",IW118*$D$42,IF(IZ118="Med",IW118*$D$43,IF(IZ118="High",IW118*$D$44,"rango cal. out")))</f>
        <v>rango cal. out</v>
      </c>
      <c r="JB118" s="619" t="e">
        <f>((273.2+IT118)*$F$33/((273.2+$F$32)*IV118))</f>
        <v>#DIV/0!</v>
      </c>
      <c r="JC118" s="674" t="e">
        <f>JA118/IX118*JB118*EXP(-LN(2)/10990*($F$96-IY118))</f>
        <v>#VALUE!</v>
      </c>
      <c r="JD118" s="599" t="e">
        <f>JC118-AVERAGE(JK102:JK103)</f>
        <v>#VALUE!</v>
      </c>
      <c r="JE118" s="672" t="e">
        <f>ABS(#REF!*JD118*3600)</f>
        <v>#REF!</v>
      </c>
      <c r="JF118" s="675" t="e">
        <f>ABS($B$34*JD118*3600)</f>
        <v>#VALUE!</v>
      </c>
      <c r="JG118" s="672" t="e">
        <f>JF118*$C$87</f>
        <v>#VALUE!</v>
      </c>
      <c r="JH118" s="672" t="e">
        <f>JF118*$F$78</f>
        <v>#VALUE!</v>
      </c>
      <c r="JI118" s="599" t="e">
        <f>JF118*$F$83</f>
        <v>#VALUE!</v>
      </c>
      <c r="JJ118" s="672" t="e">
        <f>JF118*$F$80</f>
        <v>#VALUE!</v>
      </c>
      <c r="JK118" s="676" t="e">
        <f>JF118*$F$79</f>
        <v>#VALUE!</v>
      </c>
      <c r="JL118" s="668"/>
      <c r="JM118" s="669"/>
      <c r="JN118" s="670"/>
      <c r="JO118" s="671"/>
      <c r="JP118" s="678"/>
      <c r="JQ118" s="650"/>
      <c r="JR118" s="663"/>
      <c r="JS118" s="671" t="str">
        <f>IF(JR118="Low",JO118*$D$42,IF(JR118="Med",JO118*$D$43,IF(JR118="High",JO118*$D$44,"rango cal. out")))</f>
        <v>rango cal. out</v>
      </c>
      <c r="JT118" s="619" t="e">
        <f>((273.2+JL118)*$F$33/((273.2+$F$32)*JN118))</f>
        <v>#DIV/0!</v>
      </c>
      <c r="JU118" s="674" t="e">
        <f>JS118/JP118*JT118*EXP(-LN(2)/10990*($F$96-JQ118))</f>
        <v>#VALUE!</v>
      </c>
      <c r="JV118" s="599" t="e">
        <f>JU118-AVERAGE(KC102:KC103)</f>
        <v>#VALUE!</v>
      </c>
      <c r="JW118" s="672" t="e">
        <f>ABS(#REF!*JV118*3600)</f>
        <v>#REF!</v>
      </c>
      <c r="JX118" s="675" t="e">
        <f>ABS($B$34*JV118*3600)</f>
        <v>#VALUE!</v>
      </c>
      <c r="JY118" s="672" t="e">
        <f>JX118*$C$87</f>
        <v>#VALUE!</v>
      </c>
      <c r="JZ118" s="672" t="e">
        <f>JX118*$F$78</f>
        <v>#VALUE!</v>
      </c>
      <c r="KA118" s="599" t="e">
        <f>JX118*$F$83</f>
        <v>#VALUE!</v>
      </c>
      <c r="KB118" s="672" t="e">
        <f>JX118*$F$80</f>
        <v>#VALUE!</v>
      </c>
      <c r="KC118" s="676" t="e">
        <f>JX118*$F$79</f>
        <v>#VALUE!</v>
      </c>
      <c r="KD118" s="668"/>
      <c r="KE118" s="669"/>
      <c r="KF118" s="670"/>
      <c r="KG118" s="671"/>
      <c r="KH118" s="678"/>
      <c r="KI118" s="650"/>
      <c r="KJ118" s="663"/>
      <c r="KK118" s="671" t="str">
        <f>IF(KJ118="Low",KG118*$D$42,IF(KJ118="Med",KG118*$D$43,IF(KJ118="High",KG118*$D$44,"rango cal. out")))</f>
        <v>rango cal. out</v>
      </c>
      <c r="KL118" s="619" t="e">
        <f>((273.2+KD118)*$F$33/((273.2+$F$32)*KF118))</f>
        <v>#DIV/0!</v>
      </c>
      <c r="KM118" s="674" t="e">
        <f>KK118/KH118*KL118*EXP(-LN(2)/10990*($F$96-KI118))</f>
        <v>#VALUE!</v>
      </c>
      <c r="KN118" s="599" t="e">
        <f>KM118-AVERAGE(KU102:KU103)</f>
        <v>#VALUE!</v>
      </c>
      <c r="KO118" s="672" t="e">
        <f>ABS(#REF!*KN118*3600)</f>
        <v>#REF!</v>
      </c>
      <c r="KP118" s="675" t="e">
        <f>ABS($B$34*KN118*3600)</f>
        <v>#VALUE!</v>
      </c>
      <c r="KQ118" s="672" t="e">
        <f>KP118*$C$87</f>
        <v>#VALUE!</v>
      </c>
      <c r="KR118" s="672" t="e">
        <f>KP118*$F$78</f>
        <v>#VALUE!</v>
      </c>
      <c r="KS118" s="599" t="e">
        <f>KP118*$F$83</f>
        <v>#VALUE!</v>
      </c>
      <c r="KT118" s="672" t="e">
        <f>KP118*$F$80</f>
        <v>#VALUE!</v>
      </c>
      <c r="KU118" s="676" t="e">
        <f>KP118*$F$79</f>
        <v>#VALUE!</v>
      </c>
      <c r="KV118" s="668"/>
      <c r="KW118" s="669"/>
      <c r="KX118" s="670"/>
      <c r="KY118" s="671"/>
      <c r="KZ118" s="678"/>
      <c r="LA118" s="650"/>
      <c r="LB118" s="663"/>
      <c r="LC118" s="671" t="str">
        <f>IF(LB118="Low",KY118*$D$42,IF(LB118="Med",KY118*$D$43,IF(LB118="High",KY118*$D$44,"rango cal. out")))</f>
        <v>rango cal. out</v>
      </c>
      <c r="LD118" s="619" t="e">
        <f>((273.2+KV118)*$F$33/((273.2+$F$32)*KX118))</f>
        <v>#DIV/0!</v>
      </c>
      <c r="LE118" s="674" t="e">
        <f>LC118/KZ118*LD118*EXP(-LN(2)/10990*($F$96-LA118))</f>
        <v>#VALUE!</v>
      </c>
      <c r="LF118" s="599" t="e">
        <f>LE118-AVERAGE(LM102:LM103)</f>
        <v>#VALUE!</v>
      </c>
      <c r="LG118" s="672" t="e">
        <f>ABS(#REF!*LF118*3600)</f>
        <v>#REF!</v>
      </c>
      <c r="LH118" s="675" t="e">
        <f>ABS($B$34*LF118*3600)</f>
        <v>#VALUE!</v>
      </c>
      <c r="LI118" s="672" t="e">
        <f>LH118*$C$87</f>
        <v>#VALUE!</v>
      </c>
      <c r="LJ118" s="672" t="e">
        <f>LH118*$F$78</f>
        <v>#VALUE!</v>
      </c>
      <c r="LK118" s="599" t="e">
        <f>LH118*$F$83</f>
        <v>#VALUE!</v>
      </c>
      <c r="LL118" s="672" t="e">
        <f>LH118*$F$80</f>
        <v>#VALUE!</v>
      </c>
      <c r="LM118" s="676" t="e">
        <f>LH118*$F$79</f>
        <v>#VALUE!</v>
      </c>
      <c r="LN118" s="668"/>
      <c r="LO118" s="669"/>
      <c r="LP118" s="670"/>
      <c r="LQ118" s="671"/>
      <c r="LR118" s="678"/>
      <c r="LS118" s="650"/>
      <c r="LT118" s="663"/>
      <c r="LU118" s="671" t="str">
        <f>IF(LT118="Low",LQ118*$D$42,IF(LT118="Med",LQ118*$D$43,IF(LT118="High",LQ118*$D$44,"rango cal. out")))</f>
        <v>rango cal. out</v>
      </c>
      <c r="LV118" s="619" t="e">
        <f>((273.2+LN118)*$F$33/((273.2+$F$32)*LP118))</f>
        <v>#DIV/0!</v>
      </c>
      <c r="LW118" s="674" t="e">
        <f>LU118/LR118*LV118*EXP(-LN(2)/10990*($F$96-LS118))</f>
        <v>#VALUE!</v>
      </c>
      <c r="LX118" s="599" t="e">
        <f>LW118-AVERAGE(ME102:ME103)</f>
        <v>#VALUE!</v>
      </c>
      <c r="LY118" s="672" t="e">
        <f>ABS(#REF!*LX118*3600)</f>
        <v>#REF!</v>
      </c>
      <c r="LZ118" s="675" t="e">
        <f>ABS($B$34*LX118*3600)</f>
        <v>#VALUE!</v>
      </c>
      <c r="MA118" s="672" t="e">
        <f>LZ118*$C$87</f>
        <v>#VALUE!</v>
      </c>
      <c r="MB118" s="672" t="e">
        <f>LZ118*$F$78</f>
        <v>#VALUE!</v>
      </c>
      <c r="MC118" s="599" t="e">
        <f>LZ118*$F$83</f>
        <v>#VALUE!</v>
      </c>
      <c r="MD118" s="672" t="e">
        <f>LZ118*$F$80</f>
        <v>#VALUE!</v>
      </c>
      <c r="ME118" s="676" t="e">
        <f>LZ118*$F$79</f>
        <v>#VALUE!</v>
      </c>
      <c r="MF118" s="668"/>
      <c r="MG118" s="669"/>
      <c r="MH118" s="670"/>
      <c r="MI118" s="671"/>
      <c r="MJ118" s="678"/>
      <c r="MK118" s="650"/>
      <c r="ML118" s="663"/>
      <c r="MM118" s="671" t="str">
        <f>IF(ML118="Low",MI118*$D$42,IF(ML118="Med",MI118*$D$43,IF(ML118="High",MI118*$D$44,"rango cal. out")))</f>
        <v>rango cal. out</v>
      </c>
      <c r="MN118" s="619" t="e">
        <f>((273.2+MF118)*$F$33/((273.2+$F$32)*MH118))</f>
        <v>#DIV/0!</v>
      </c>
      <c r="MO118" s="674" t="e">
        <f>MM118/MJ118*MN118*EXP(-LN(2)/10990*($F$96-MK118))</f>
        <v>#VALUE!</v>
      </c>
      <c r="MP118" s="599" t="e">
        <f>MO118-AVERAGE(MW102:MW103)</f>
        <v>#VALUE!</v>
      </c>
      <c r="MQ118" s="672" t="e">
        <f>ABS(#REF!*MP118*3600)</f>
        <v>#REF!</v>
      </c>
      <c r="MR118" s="675" t="e">
        <f>ABS($B$34*MP118*3600)</f>
        <v>#VALUE!</v>
      </c>
      <c r="MS118" s="672" t="e">
        <f>MR118*$C$87</f>
        <v>#VALUE!</v>
      </c>
      <c r="MT118" s="672" t="e">
        <f>MR118*$F$78</f>
        <v>#VALUE!</v>
      </c>
      <c r="MU118" s="599" t="e">
        <f>MR118*$F$83</f>
        <v>#VALUE!</v>
      </c>
      <c r="MV118" s="672" t="e">
        <f>MR118*$F$80</f>
        <v>#VALUE!</v>
      </c>
      <c r="MW118" s="676" t="e">
        <f>MR118*$F$79</f>
        <v>#VALUE!</v>
      </c>
      <c r="MX118" s="668"/>
      <c r="MY118" s="669"/>
      <c r="MZ118" s="680"/>
      <c r="NA118" s="671"/>
      <c r="NB118" s="673"/>
      <c r="NC118" s="650"/>
      <c r="ND118" s="663"/>
      <c r="NE118" s="671" t="str">
        <f>IF(ND118="Low",NA118*$D$42,IF(ND118="Med",NA118*$D$43,IF(ND118="High",NA118*$D$44,"rango cal. out")))</f>
        <v>rango cal. out</v>
      </c>
      <c r="NF118" s="619" t="e">
        <f>((273.2+MX118)*$F$33/((273.2+$F$32)*MZ118))</f>
        <v>#DIV/0!</v>
      </c>
      <c r="NG118" s="674" t="e">
        <f>NE118/NB118*NF118*EXP(-LN(2)/10990*($F$96-NC118))</f>
        <v>#VALUE!</v>
      </c>
      <c r="NH118" s="599" t="e">
        <f>NG118-AVERAGE(NO102:NO103)</f>
        <v>#VALUE!</v>
      </c>
      <c r="NI118" s="672" t="e">
        <f>ABS(#REF!*NH118*3600)</f>
        <v>#REF!</v>
      </c>
      <c r="NJ118" s="675" t="e">
        <f>ABS($B$34*NH118*3600)</f>
        <v>#VALUE!</v>
      </c>
      <c r="NK118" s="672" t="e">
        <f>NJ118*$C$87</f>
        <v>#VALUE!</v>
      </c>
      <c r="NL118" s="672" t="e">
        <f>NJ118*$F$78</f>
        <v>#VALUE!</v>
      </c>
      <c r="NM118" s="599" t="e">
        <f>NJ118*$F$83</f>
        <v>#VALUE!</v>
      </c>
      <c r="NN118" s="672" t="e">
        <f>NJ118*$F$80</f>
        <v>#VALUE!</v>
      </c>
      <c r="NO118" s="676" t="e">
        <f>NJ118*$F$79</f>
        <v>#VALUE!</v>
      </c>
      <c r="NP118" s="668"/>
      <c r="NQ118" s="669"/>
      <c r="NR118" s="670"/>
      <c r="NS118" s="671"/>
      <c r="NT118" s="678"/>
      <c r="NU118" s="650"/>
      <c r="NV118" s="663"/>
      <c r="NW118" s="671" t="str">
        <f>IF(NV118="Low",NS118*$D$42,IF(NV118="Med",NS118*$D$43,IF(NV118="High",NS118*$D$44,"rango cal. out")))</f>
        <v>rango cal. out</v>
      </c>
      <c r="NX118" s="619" t="e">
        <f>((273.2+NP118)*$F$33/((273.2+$F$32)*NR118))</f>
        <v>#DIV/0!</v>
      </c>
      <c r="NY118" s="674" t="e">
        <f>NW118/NT118*NX118*EXP(-LN(2)/10990*($F$96-NU118))</f>
        <v>#VALUE!</v>
      </c>
      <c r="NZ118" s="599" t="e">
        <f>NY118-AVERAGE(OG102:OG103)</f>
        <v>#VALUE!</v>
      </c>
      <c r="OA118" s="672" t="e">
        <f>ABS(#REF!*NZ118*3600)</f>
        <v>#REF!</v>
      </c>
      <c r="OB118" s="675" t="e">
        <f>ABS($B$34*NZ118*3600)</f>
        <v>#VALUE!</v>
      </c>
      <c r="OC118" s="672" t="e">
        <f>OB118*$C$87</f>
        <v>#VALUE!</v>
      </c>
      <c r="OD118" s="672" t="e">
        <f>OB118*$F$78</f>
        <v>#VALUE!</v>
      </c>
      <c r="OE118" s="599" t="e">
        <f>OB118*$F$83</f>
        <v>#VALUE!</v>
      </c>
      <c r="OF118" s="672" t="e">
        <f>OB118*$F$80</f>
        <v>#VALUE!</v>
      </c>
      <c r="OG118" s="676" t="e">
        <f>OB118*$F$79</f>
        <v>#VALUE!</v>
      </c>
      <c r="OH118" s="668"/>
      <c r="OI118" s="669"/>
      <c r="OJ118" s="670"/>
      <c r="OK118" s="671"/>
      <c r="OL118" s="678"/>
      <c r="OM118" s="650"/>
      <c r="ON118" s="663"/>
      <c r="OO118" s="671" t="str">
        <f>IF(ON118="Low",OK118*$D$42,IF(ON118="Med",OK118*$D$43,IF(ON118="High",OK118*$D$44,"rango cal. out")))</f>
        <v>rango cal. out</v>
      </c>
      <c r="OP118" s="619" t="e">
        <f>((273.2+OH118)*$F$33/((273.2+$F$32)*OJ118))</f>
        <v>#DIV/0!</v>
      </c>
      <c r="OQ118" s="674" t="e">
        <f>OO118/OL118*OP118*EXP(-LN(2)/10990*($F$96-OM118))</f>
        <v>#VALUE!</v>
      </c>
      <c r="OR118" s="599" t="e">
        <f>OQ118-AVERAGE(OY102:OY103)</f>
        <v>#VALUE!</v>
      </c>
      <c r="OS118" s="672" t="e">
        <f>ABS(#REF!*OR118*3600)</f>
        <v>#REF!</v>
      </c>
      <c r="OT118" s="675" t="e">
        <f>ABS($B$34*OR118*3600)</f>
        <v>#VALUE!</v>
      </c>
      <c r="OU118" s="672" t="e">
        <f>OT118*$C$87</f>
        <v>#VALUE!</v>
      </c>
      <c r="OV118" s="672" t="e">
        <f>OT118*$F$78</f>
        <v>#VALUE!</v>
      </c>
      <c r="OW118" s="599" t="e">
        <f>OT118*$F$83</f>
        <v>#VALUE!</v>
      </c>
      <c r="OX118" s="672" t="e">
        <f>OT118*$F$80</f>
        <v>#VALUE!</v>
      </c>
      <c r="OY118" s="676" t="e">
        <f>OT118*$F$79</f>
        <v>#VALUE!</v>
      </c>
      <c r="OZ118" s="668"/>
      <c r="PA118" s="669"/>
      <c r="PB118" s="670"/>
      <c r="PC118" s="671"/>
      <c r="PD118" s="678"/>
      <c r="PE118" s="650"/>
      <c r="PF118" s="663"/>
      <c r="PG118" s="671" t="str">
        <f>IF(PF118="Low",PC118*$D$42,IF(PF118="Med",PC118*$D$43,IF(PF118="High",PC118*$D$44,"rango cal. out")))</f>
        <v>rango cal. out</v>
      </c>
      <c r="PH118" s="619" t="e">
        <f>((273.2+OZ118)*$F$33/((273.2+$F$32)*PB118))</f>
        <v>#DIV/0!</v>
      </c>
      <c r="PI118" s="674" t="e">
        <f>PG118/PD118*PH118*EXP(-LN(2)/10990*($F$96-PE118))</f>
        <v>#VALUE!</v>
      </c>
      <c r="PJ118" s="599" t="e">
        <f>PI118-AVERAGE(PQ102:PQ103)</f>
        <v>#VALUE!</v>
      </c>
      <c r="PK118" s="672" t="e">
        <f>ABS(#REF!*PJ118*3600)</f>
        <v>#REF!</v>
      </c>
      <c r="PL118" s="675" t="e">
        <f>ABS($B$34*PJ118*3600)</f>
        <v>#VALUE!</v>
      </c>
      <c r="PM118" s="672" t="e">
        <f>PL118*$C$87</f>
        <v>#VALUE!</v>
      </c>
      <c r="PN118" s="672" t="e">
        <f>PL118*$F$78</f>
        <v>#VALUE!</v>
      </c>
      <c r="PO118" s="599" t="e">
        <f>PL118*$F$83</f>
        <v>#VALUE!</v>
      </c>
      <c r="PP118" s="672" t="e">
        <f>PL118*$F$80</f>
        <v>#VALUE!</v>
      </c>
      <c r="PQ118" s="676" t="e">
        <f>PL118*$F$79</f>
        <v>#VALUE!</v>
      </c>
      <c r="PR118" s="668"/>
      <c r="PS118" s="669"/>
      <c r="PT118" s="670"/>
      <c r="PU118" s="671"/>
      <c r="PV118" s="678"/>
      <c r="PW118" s="650"/>
      <c r="PX118" s="663"/>
      <c r="PY118" s="671" t="str">
        <f>IF(PX118="Low",PU118*$D$42,IF(PX118="Med",PU118*$D$43,IF(PX118="High",PU118*$D$44,"rango cal. out")))</f>
        <v>rango cal. out</v>
      </c>
      <c r="PZ118" s="619" t="e">
        <f>((273.2+PR118)*$F$33/((273.2+$F$32)*PT118))</f>
        <v>#DIV/0!</v>
      </c>
      <c r="QA118" s="674" t="e">
        <f>PY118/PV118*PZ118*EXP(-LN(2)/10990*($F$96-PW118))</f>
        <v>#VALUE!</v>
      </c>
      <c r="QB118" s="599" t="e">
        <f>QA118-AVERAGE(QI102:QI103)</f>
        <v>#VALUE!</v>
      </c>
      <c r="QC118" s="672" t="e">
        <f>ABS(#REF!*QB118*3600)</f>
        <v>#REF!</v>
      </c>
      <c r="QD118" s="675" t="e">
        <f>ABS($B$34*QB118*3600)</f>
        <v>#VALUE!</v>
      </c>
      <c r="QE118" s="672" t="e">
        <f>QD118*$C$87</f>
        <v>#VALUE!</v>
      </c>
      <c r="QF118" s="672" t="e">
        <f>QD118*$F$78</f>
        <v>#VALUE!</v>
      </c>
      <c r="QG118" s="599" t="e">
        <f>QD118*$F$83</f>
        <v>#VALUE!</v>
      </c>
      <c r="QH118" s="672" t="e">
        <f>QD118*$F$80</f>
        <v>#VALUE!</v>
      </c>
      <c r="QI118" s="676" t="e">
        <f>QD118*$F$79</f>
        <v>#VALUE!</v>
      </c>
      <c r="QJ118" s="668"/>
      <c r="QK118" s="669"/>
      <c r="QL118" s="670"/>
      <c r="QM118" s="671"/>
      <c r="QN118" s="678"/>
      <c r="QO118" s="650"/>
      <c r="QP118" s="663"/>
      <c r="QQ118" s="671" t="str">
        <f>IF(QP118="Low",QM118*$D$42,IF(QP118="Med",QM118*$D$43,IF(QP118="High",QM118*$D$44,"rango cal. out")))</f>
        <v>rango cal. out</v>
      </c>
      <c r="QR118" s="619" t="e">
        <f>((273.2+QJ118)*$F$33/((273.2+$F$32)*QL118))</f>
        <v>#DIV/0!</v>
      </c>
      <c r="QS118" s="674" t="e">
        <f>QQ118/QN118*QR118*EXP(-LN(2)/10990*($F$96-QO118))</f>
        <v>#VALUE!</v>
      </c>
      <c r="QT118" s="599" t="e">
        <f>QS118-AVERAGE(RA102:RA103)</f>
        <v>#VALUE!</v>
      </c>
      <c r="QU118" s="672" t="e">
        <f>ABS(#REF!*QT118*3600)</f>
        <v>#REF!</v>
      </c>
      <c r="QV118" s="675" t="e">
        <f>ABS($B$34*QT118*3600)</f>
        <v>#VALUE!</v>
      </c>
      <c r="QW118" s="672" t="e">
        <f>QV118*$C$87</f>
        <v>#VALUE!</v>
      </c>
      <c r="QX118" s="672" t="e">
        <f>QV118*$F$78</f>
        <v>#VALUE!</v>
      </c>
      <c r="QY118" s="599" t="e">
        <f>QV118*$F$83</f>
        <v>#VALUE!</v>
      </c>
      <c r="QZ118" s="672" t="e">
        <f>QV118*$F$80</f>
        <v>#VALUE!</v>
      </c>
      <c r="RA118" s="676" t="e">
        <f>QV118*$F$79</f>
        <v>#VALUE!</v>
      </c>
      <c r="RB118" s="668"/>
      <c r="RC118" s="669"/>
      <c r="RD118" s="670"/>
      <c r="RE118" s="671"/>
      <c r="RF118" s="673"/>
      <c r="RG118" s="650"/>
      <c r="RH118" s="663"/>
      <c r="RI118" s="671" t="str">
        <f>IF(RH118="Low",RE118*$D$42,IF(RH118="Med",RE118*$D$43,IF(RH118="High",RE118*$D$44,"rango cal. out")))</f>
        <v>rango cal. out</v>
      </c>
      <c r="RJ118" s="619" t="e">
        <f>((273.2+RB118)*$F$33/((273.2+$F$32)*RD118))</f>
        <v>#DIV/0!</v>
      </c>
      <c r="RK118" s="674" t="e">
        <f>RI118/RF118*RJ118*EXP(-LN(2)/10990*($F$96-RG118))</f>
        <v>#VALUE!</v>
      </c>
      <c r="RL118" s="599" t="e">
        <f>RK118-AVERAGE(RS102:RS103)</f>
        <v>#VALUE!</v>
      </c>
      <c r="RM118" s="672" t="e">
        <f>ABS(#REF!*RL118*3600)</f>
        <v>#REF!</v>
      </c>
      <c r="RN118" s="675" t="e">
        <f>ABS($B$34*RL118*3600)</f>
        <v>#VALUE!</v>
      </c>
      <c r="RO118" s="672" t="e">
        <f>RN118*$C$87</f>
        <v>#VALUE!</v>
      </c>
      <c r="RP118" s="672" t="e">
        <f>RN118*$F$78</f>
        <v>#VALUE!</v>
      </c>
      <c r="RQ118" s="599" t="e">
        <f>RN118*$F$83</f>
        <v>#VALUE!</v>
      </c>
      <c r="RR118" s="672" t="e">
        <f>RN118*$F$80</f>
        <v>#VALUE!</v>
      </c>
      <c r="RS118" s="676" t="e">
        <f>RN118*$F$79</f>
        <v>#VALUE!</v>
      </c>
      <c r="RT118" s="668"/>
      <c r="RU118" s="669"/>
      <c r="RV118" s="677"/>
      <c r="RW118" s="679"/>
      <c r="RX118" s="678"/>
      <c r="RY118" s="650"/>
      <c r="RZ118" s="663"/>
      <c r="SA118" s="671" t="str">
        <f>IF(RZ118="Low",RW118*$D$42,IF(RZ118="Med",RW118*$D$43,IF(RZ118="High",RW118*$D$44,"rango cal. out")))</f>
        <v>rango cal. out</v>
      </c>
      <c r="SB118" s="619" t="e">
        <f>((273.2+RT118)*$F$33/((273.2+$F$32)*RV118))</f>
        <v>#DIV/0!</v>
      </c>
      <c r="SC118" s="674" t="e">
        <f>SA118/RX118*SB118*EXP(-LN(2)/10990*($F$96-RY118))</f>
        <v>#VALUE!</v>
      </c>
      <c r="SD118" s="599" t="e">
        <f>SC118-AVERAGE(SK102:SK103)</f>
        <v>#VALUE!</v>
      </c>
      <c r="SE118" s="672" t="e">
        <f>ABS(#REF!*SD118*3600)</f>
        <v>#REF!</v>
      </c>
      <c r="SF118" s="675" t="e">
        <f>ABS($B$34*SD118*3600)</f>
        <v>#VALUE!</v>
      </c>
      <c r="SG118" s="672" t="e">
        <f>SF118*$C$87</f>
        <v>#VALUE!</v>
      </c>
      <c r="SH118" s="672" t="e">
        <f>SF118*$F$78</f>
        <v>#VALUE!</v>
      </c>
      <c r="SI118" s="599" t="e">
        <f>SF118*$F$83</f>
        <v>#VALUE!</v>
      </c>
      <c r="SJ118" s="672" t="e">
        <f>SF118*$F$80</f>
        <v>#VALUE!</v>
      </c>
      <c r="SK118" s="676" t="e">
        <f>SF118*$F$79</f>
        <v>#VALUE!</v>
      </c>
      <c r="SL118" s="668"/>
      <c r="SM118" s="669"/>
      <c r="SN118" s="670"/>
      <c r="SO118" s="671"/>
      <c r="SP118" s="678"/>
      <c r="SQ118" s="650"/>
      <c r="SR118" s="663"/>
      <c r="SS118" s="671" t="str">
        <f>IF(SR118="Low",SO118*$D$42,IF(SR118="Med",SO118*$D$43,IF(SR118="High",SO118*$D$44,"rango cal. out")))</f>
        <v>rango cal. out</v>
      </c>
      <c r="ST118" s="619" t="e">
        <f>((273.2+SL118)*$F$33/((273.2+$F$32)*SN118))</f>
        <v>#DIV/0!</v>
      </c>
      <c r="SU118" s="674" t="e">
        <f>SS118/SP118*ST118*EXP(-LN(2)/10990*($F$96-SQ118))</f>
        <v>#VALUE!</v>
      </c>
      <c r="SV118" s="599" t="e">
        <f>SU118-AVERAGE(TC102:TC103)</f>
        <v>#VALUE!</v>
      </c>
      <c r="SW118" s="672" t="e">
        <f>ABS(#REF!*SV118*3600)</f>
        <v>#REF!</v>
      </c>
      <c r="SX118" s="675" t="e">
        <f>ABS($B$34*SV118*3600)</f>
        <v>#VALUE!</v>
      </c>
      <c r="SY118" s="672" t="e">
        <f>SX118*$C$87</f>
        <v>#VALUE!</v>
      </c>
      <c r="SZ118" s="672" t="e">
        <f>SX118*$F$78</f>
        <v>#VALUE!</v>
      </c>
      <c r="TA118" s="599" t="e">
        <f>SX118*$F$83</f>
        <v>#VALUE!</v>
      </c>
      <c r="TB118" s="672" t="e">
        <f>SX118*$F$80</f>
        <v>#VALUE!</v>
      </c>
      <c r="TC118" s="676" t="e">
        <f>SX118*$F$79</f>
        <v>#VALUE!</v>
      </c>
      <c r="TD118" s="668"/>
      <c r="TE118" s="669"/>
      <c r="TF118" s="670"/>
      <c r="TG118" s="671"/>
      <c r="TH118" s="678"/>
      <c r="TI118" s="650"/>
      <c r="TJ118" s="663"/>
      <c r="TK118" s="671" t="str">
        <f>IF(TJ118="Low",TG118*$D$42,IF(TJ118="Med",TG118*$D$43,IF(TJ118="High",TG118*$D$44,"rango cal. out")))</f>
        <v>rango cal. out</v>
      </c>
      <c r="TL118" s="619" t="e">
        <f>((273.2+TD118)*$F$33/((273.2+$F$32)*TF118))</f>
        <v>#DIV/0!</v>
      </c>
      <c r="TM118" s="674" t="e">
        <f>TK118/TH118*TL118*EXP(-LN(2)/10990*($F$96-TI118))</f>
        <v>#VALUE!</v>
      </c>
      <c r="TN118" s="599" t="e">
        <f>TM118-AVERAGE(TU102:TU103)</f>
        <v>#VALUE!</v>
      </c>
      <c r="TO118" s="672" t="e">
        <f>ABS(#REF!*TN118*3600)</f>
        <v>#REF!</v>
      </c>
      <c r="TP118" s="675" t="e">
        <f>ABS($B$34*TN118*3600)</f>
        <v>#VALUE!</v>
      </c>
      <c r="TQ118" s="672" t="e">
        <f>TP118*$C$87</f>
        <v>#VALUE!</v>
      </c>
      <c r="TR118" s="672" t="e">
        <f>TP118*$F$78</f>
        <v>#VALUE!</v>
      </c>
      <c r="TS118" s="599" t="e">
        <f>TP118*$F$83</f>
        <v>#VALUE!</v>
      </c>
      <c r="TT118" s="672" t="e">
        <f>TP118*$F$80</f>
        <v>#VALUE!</v>
      </c>
      <c r="TU118" s="676" t="e">
        <f>TP118*$F$79</f>
        <v>#VALUE!</v>
      </c>
      <c r="TV118" s="668"/>
      <c r="TW118" s="669"/>
      <c r="TX118" s="670"/>
      <c r="TY118" s="671"/>
      <c r="TZ118" s="678"/>
      <c r="UA118" s="650"/>
      <c r="UB118" s="663"/>
      <c r="UC118" s="671" t="str">
        <f>IF(UB118="Low",TY118*$D$42,IF(UB118="Med",TY118*$D$43,IF(UB118="High",TY118*$D$44,"rango cal. out")))</f>
        <v>rango cal. out</v>
      </c>
      <c r="UD118" s="619" t="e">
        <f>((273.2+TV118)*$F$33/((273.2+$F$32)*TX118))</f>
        <v>#DIV/0!</v>
      </c>
      <c r="UE118" s="674" t="e">
        <f>UC118/TZ118*UD118*EXP(-LN(2)/10990*($F$96-UA118))</f>
        <v>#VALUE!</v>
      </c>
      <c r="UF118" s="599" t="e">
        <f>UE118-AVERAGE(UM102:UM103)</f>
        <v>#VALUE!</v>
      </c>
      <c r="UG118" s="672" t="e">
        <f>ABS(#REF!*UF118*3600)</f>
        <v>#REF!</v>
      </c>
      <c r="UH118" s="675" t="e">
        <f>ABS($B$34*UF118*3600)</f>
        <v>#VALUE!</v>
      </c>
      <c r="UI118" s="672" t="e">
        <f>UH118*$C$87</f>
        <v>#VALUE!</v>
      </c>
      <c r="UJ118" s="672" t="e">
        <f>UH118*$F$78</f>
        <v>#VALUE!</v>
      </c>
      <c r="UK118" s="599" t="e">
        <f>UH118*$F$83</f>
        <v>#VALUE!</v>
      </c>
      <c r="UL118" s="672" t="e">
        <f>UH118*$F$80</f>
        <v>#VALUE!</v>
      </c>
      <c r="UM118" s="676" t="e">
        <f>UH118*$F$79</f>
        <v>#VALUE!</v>
      </c>
      <c r="UN118" s="668"/>
      <c r="UO118" s="669"/>
      <c r="UP118" s="670"/>
      <c r="UQ118" s="671"/>
      <c r="UR118" s="678"/>
      <c r="US118" s="650"/>
      <c r="UT118" s="663"/>
      <c r="UU118" s="671" t="str">
        <f>IF(UT118="Low",UQ118*$D$42,IF(UT118="Med",UQ118*$D$43,IF(UT118="High",UQ118*$D$44,"rango cal. out")))</f>
        <v>rango cal. out</v>
      </c>
      <c r="UV118" s="619" t="e">
        <f>((273.2+UN118)*$F$33/((273.2+$F$32)*UP118))</f>
        <v>#DIV/0!</v>
      </c>
      <c r="UW118" s="674" t="e">
        <f>UU118/UR118*UV118*EXP(-LN(2)/10990*($F$96-US118))</f>
        <v>#VALUE!</v>
      </c>
      <c r="UX118" s="599" t="e">
        <f>UW118-AVERAGE(VE102:VE103)</f>
        <v>#VALUE!</v>
      </c>
      <c r="UY118" s="672" t="e">
        <f>ABS(#REF!*UX118*3600)</f>
        <v>#REF!</v>
      </c>
      <c r="UZ118" s="675" t="e">
        <f>ABS($B$34*UX118*3600)</f>
        <v>#VALUE!</v>
      </c>
      <c r="VA118" s="672" t="e">
        <f>UZ118*$C$87</f>
        <v>#VALUE!</v>
      </c>
      <c r="VB118" s="672" t="e">
        <f>UZ118*$F$78</f>
        <v>#VALUE!</v>
      </c>
      <c r="VC118" s="599" t="e">
        <f>UZ118*$F$83</f>
        <v>#VALUE!</v>
      </c>
      <c r="VD118" s="672" t="e">
        <f>UZ118*$F$80</f>
        <v>#VALUE!</v>
      </c>
      <c r="VE118" s="676" t="e">
        <f>UZ118*$F$79</f>
        <v>#VALUE!</v>
      </c>
    </row>
    <row r="119" spans="1:577" x14ac:dyDescent="0.25">
      <c r="A119" s="2219"/>
      <c r="B119" s="668">
        <v>20.2</v>
      </c>
      <c r="C119" s="673">
        <v>54</v>
      </c>
      <c r="D119" s="673">
        <v>1010</v>
      </c>
      <c r="E119" s="1999">
        <v>-1.927E-8</v>
      </c>
      <c r="F119" s="673">
        <v>60</v>
      </c>
      <c r="G119" s="663">
        <v>44334</v>
      </c>
      <c r="H119" s="650" t="s">
        <v>1042</v>
      </c>
      <c r="I119" s="671">
        <f>IF(H119="Low",E119*$D$42,IF(H119="Med",E119*$D$43,IF(H119="High",E119*$D$44,"rango cal. out")))</f>
        <v>-1.9289269999999998E-8</v>
      </c>
      <c r="J119" s="619">
        <f>((273.2+B119)*$F$33/((273.2+$F$32)*D119))</f>
        <v>0.9971006399420429</v>
      </c>
      <c r="K119" s="674">
        <f>I119/F119*J119*EXP(-LN(2)/10990*($F$96-G119))</f>
        <v>-3.1745727353911618E-10</v>
      </c>
      <c r="L119" s="599">
        <f>K119-AVERAGE(S102:S103)</f>
        <v>-3.1743346157174466E-10</v>
      </c>
      <c r="M119" s="672" t="e">
        <f>ABS(#REF!*L119*3600)</f>
        <v>#REF!</v>
      </c>
      <c r="N119" s="675">
        <f>ABS($B$34*L119*3600)</f>
        <v>2.8797563633788676E-2</v>
      </c>
      <c r="O119" s="614">
        <f>N119*$C$87</f>
        <v>2.8797563633788674</v>
      </c>
      <c r="P119" s="672">
        <f>N119*$F$78</f>
        <v>3.4557076360546411E-2</v>
      </c>
      <c r="Q119" s="600">
        <f>N119*$F$83</f>
        <v>3.4845051996884299E-2</v>
      </c>
      <c r="R119" s="672">
        <f>N119*$F$80</f>
        <v>3.4845051996884299E-2</v>
      </c>
      <c r="S119" s="676">
        <f>N119*$F$79</f>
        <v>3.5996954542235844E-2</v>
      </c>
      <c r="T119" s="677"/>
      <c r="U119" s="669"/>
      <c r="V119" s="670"/>
      <c r="W119" s="671"/>
      <c r="X119" s="678"/>
      <c r="Y119" s="650"/>
      <c r="Z119" s="650"/>
      <c r="AA119" s="671" t="str">
        <f>IF(Z119="Low",W119*$D$42,IF(Z119="Med",W119*$D$43,IF(Z119="High",W119*$D$44,"rango cal. out")))</f>
        <v>rango cal. out</v>
      </c>
      <c r="AB119" s="619" t="e">
        <f>((273.2+T119)*$F$33/((273.2+$F$32)*V119))</f>
        <v>#DIV/0!</v>
      </c>
      <c r="AC119" s="674" t="e">
        <f>AA119/X119*AB119*EXP(-LN(2)/10990*($F$96-Y119))</f>
        <v>#VALUE!</v>
      </c>
      <c r="AD119" s="599" t="e">
        <f>AC119-AVERAGE(#REF!)</f>
        <v>#VALUE!</v>
      </c>
      <c r="AE119" s="672" t="e">
        <f>ABS(#REF!*AD119*3600)</f>
        <v>#REF!</v>
      </c>
      <c r="AF119" s="675" t="e">
        <f>ABS($B$34*AD119*3600)</f>
        <v>#VALUE!</v>
      </c>
      <c r="AG119" s="614" t="e">
        <f>AF119*$C$87</f>
        <v>#VALUE!</v>
      </c>
      <c r="AH119" s="672" t="e">
        <f>AF119*$F$78</f>
        <v>#VALUE!</v>
      </c>
      <c r="AI119" s="600" t="e">
        <f>AF119*$F$83</f>
        <v>#VALUE!</v>
      </c>
      <c r="AJ119" s="672" t="e">
        <f>AF119*$F$80</f>
        <v>#VALUE!</v>
      </c>
      <c r="AK119" s="676" t="e">
        <f>AF119*$F$79</f>
        <v>#VALUE!</v>
      </c>
      <c r="AL119" s="668"/>
      <c r="AM119" s="669"/>
      <c r="AN119" s="670"/>
      <c r="AO119" s="671"/>
      <c r="AP119" s="678"/>
      <c r="AQ119" s="650"/>
      <c r="AR119" s="650"/>
      <c r="AS119" s="671" t="str">
        <f>IF(AR119="Low",AO119*$D$42,IF(AR119="Med",AO119*$D$43,IF(AR119="High",AO119*$D$44,"rango cal. out")))</f>
        <v>rango cal. out</v>
      </c>
      <c r="AT119" s="619" t="e">
        <f>((273.2+AL119)*$F$33/((273.2+$F$32)*AN119))</f>
        <v>#DIV/0!</v>
      </c>
      <c r="AU119" s="674" t="e">
        <f>AS119/AP119*AT119*EXP(-LN(2)/10990*($F$96-AQ119))</f>
        <v>#VALUE!</v>
      </c>
      <c r="AV119" s="599" t="e">
        <f>AU119-AVERAGE(BC102:BC103)</f>
        <v>#VALUE!</v>
      </c>
      <c r="AW119" s="672" t="e">
        <f>ABS(#REF!*AV119*3600)</f>
        <v>#REF!</v>
      </c>
      <c r="AX119" s="675" t="e">
        <f>ABS($B$34*AV119*3600)</f>
        <v>#VALUE!</v>
      </c>
      <c r="AY119" s="614" t="e">
        <f>AX119*$C$87</f>
        <v>#VALUE!</v>
      </c>
      <c r="AZ119" s="672" t="e">
        <f>AX119*$F$78</f>
        <v>#VALUE!</v>
      </c>
      <c r="BA119" s="600" t="e">
        <f>AX119*$F$83</f>
        <v>#VALUE!</v>
      </c>
      <c r="BB119" s="672" t="e">
        <f>AX119*$F$80</f>
        <v>#VALUE!</v>
      </c>
      <c r="BC119" s="676" t="e">
        <f>AX119*$F$79</f>
        <v>#VALUE!</v>
      </c>
      <c r="BD119" s="668"/>
      <c r="BE119" s="669"/>
      <c r="BF119" s="670"/>
      <c r="BG119" s="1998">
        <f t="shared" si="218"/>
        <v>-2.9819999999999998E-9</v>
      </c>
      <c r="BH119" s="678"/>
      <c r="BI119" s="663">
        <v>44333</v>
      </c>
      <c r="BJ119" s="650"/>
      <c r="BK119" s="671" t="str">
        <f>IF(BJ119="Low",BG119*$D$42,IF(BJ119="Med",BG119*$D$43,IF(BJ119="High",BG119*$D$44,"rango cal. out")))</f>
        <v>rango cal. out</v>
      </c>
      <c r="BL119" s="619" t="e">
        <f>((273.2+BD119)*$F$33/((273.2+$F$32)*BF119))</f>
        <v>#DIV/0!</v>
      </c>
      <c r="BM119" s="674" t="e">
        <f>BK119/BH119*BL119*EXP(-LN(2)/10990*($F$96-BI119))</f>
        <v>#VALUE!</v>
      </c>
      <c r="BN119" s="599" t="e">
        <f>BM119-AVERAGE(BU102:BU103)</f>
        <v>#VALUE!</v>
      </c>
      <c r="BO119" s="672" t="e">
        <f>ABS(#REF!*BN119*3600)</f>
        <v>#REF!</v>
      </c>
      <c r="BP119" s="675" t="e">
        <f>ABS($B$34*BN119*3600)</f>
        <v>#VALUE!</v>
      </c>
      <c r="BQ119" s="614" t="e">
        <f>BP119*$C$87</f>
        <v>#VALUE!</v>
      </c>
      <c r="BR119" s="672" t="e">
        <f>BP119*$F$78</f>
        <v>#VALUE!</v>
      </c>
      <c r="BS119" s="600" t="e">
        <f>BP119*$F$83</f>
        <v>#VALUE!</v>
      </c>
      <c r="BT119" s="672" t="e">
        <f>BP119*$F$80</f>
        <v>#VALUE!</v>
      </c>
      <c r="BU119" s="676" t="e">
        <f>BP119*$F$79</f>
        <v>#VALUE!</v>
      </c>
      <c r="BV119" s="668"/>
      <c r="BW119" s="669"/>
      <c r="BX119" s="670"/>
      <c r="BY119" s="1998">
        <v>-1.58E-10</v>
      </c>
      <c r="BZ119" s="678"/>
      <c r="CA119" s="663">
        <v>44333</v>
      </c>
      <c r="CB119" s="650"/>
      <c r="CC119" s="671" t="str">
        <f>IF(CB119="Low",BY119*$D$42,IF(CB119="Med",BY119*$D$43,IF(CB119="High",BY119*$D$44,"rango cal. out")))</f>
        <v>rango cal. out</v>
      </c>
      <c r="CD119" s="619" t="e">
        <f>((273.2+BV119)*$F$33/((273.2+$F$32)*BX119))</f>
        <v>#DIV/0!</v>
      </c>
      <c r="CE119" s="674" t="e">
        <f>CC119/BZ119*CD119*EXP(-LN(2)/10990*($F$96-CA119))</f>
        <v>#VALUE!</v>
      </c>
      <c r="CF119" s="599" t="e">
        <f>CE119-AVERAGE(CM102:CM103)</f>
        <v>#VALUE!</v>
      </c>
      <c r="CG119" s="672" t="e">
        <f>ABS(#REF!*CF119*3600)</f>
        <v>#REF!</v>
      </c>
      <c r="CH119" s="675" t="e">
        <f>ABS($B$34*CF119*3600)</f>
        <v>#VALUE!</v>
      </c>
      <c r="CI119" s="614" t="e">
        <f>CH119*$C$87</f>
        <v>#VALUE!</v>
      </c>
      <c r="CJ119" s="672" t="e">
        <f>CH119*$F$78</f>
        <v>#VALUE!</v>
      </c>
      <c r="CK119" s="600" t="e">
        <f>CH119*$F$83</f>
        <v>#VALUE!</v>
      </c>
      <c r="CL119" s="672" t="e">
        <f>CH119*$F$80</f>
        <v>#VALUE!</v>
      </c>
      <c r="CM119" s="676" t="e">
        <f>CH119*$F$79</f>
        <v>#VALUE!</v>
      </c>
      <c r="CN119" s="668"/>
      <c r="CO119" s="669"/>
      <c r="CP119" s="670"/>
      <c r="CQ119" s="1998">
        <v>-6.9779999999999997E-9</v>
      </c>
      <c r="CR119" s="678"/>
      <c r="CS119" s="663">
        <v>44333</v>
      </c>
      <c r="CT119" s="650"/>
      <c r="CU119" s="671" t="str">
        <f>IF(CT119="Low",CQ119*$D$42,IF(CT119="Med",CQ119*$D$43,IF(CT119="High",CQ119*$D$44,"rango cal. out")))</f>
        <v>rango cal. out</v>
      </c>
      <c r="CV119" s="619" t="e">
        <f>((273.2+CN119)*$F$33/((273.2+$F$32)*CP119))</f>
        <v>#DIV/0!</v>
      </c>
      <c r="CW119" s="674" t="e">
        <f>CU119/CR119*CV119*EXP(-LN(2)/10990*($F$96-CS119))</f>
        <v>#VALUE!</v>
      </c>
      <c r="CX119" s="599" t="e">
        <f>CW119-AVERAGE(DE102:DE103)</f>
        <v>#VALUE!</v>
      </c>
      <c r="CY119" s="672" t="e">
        <f>ABS(#REF!*CX119*3600)</f>
        <v>#REF!</v>
      </c>
      <c r="CZ119" s="675" t="e">
        <f>ABS($B$34*CX119*3600)</f>
        <v>#VALUE!</v>
      </c>
      <c r="DA119" s="614" t="e">
        <f>CZ119*$C$87</f>
        <v>#VALUE!</v>
      </c>
      <c r="DB119" s="672" t="e">
        <f>CZ119*$F$78</f>
        <v>#VALUE!</v>
      </c>
      <c r="DC119" s="600" t="e">
        <f>CZ119*$F$83</f>
        <v>#VALUE!</v>
      </c>
      <c r="DD119" s="672" t="e">
        <f>CZ119*$F$80</f>
        <v>#VALUE!</v>
      </c>
      <c r="DE119" s="676" t="e">
        <f>CZ119*$F$79</f>
        <v>#VALUE!</v>
      </c>
      <c r="DF119" s="668"/>
      <c r="DG119" s="669"/>
      <c r="DH119" s="670"/>
      <c r="DI119" s="671"/>
      <c r="DJ119" s="678"/>
      <c r="DK119" s="650"/>
      <c r="DL119" s="650"/>
      <c r="DM119" s="671" t="str">
        <f>IF(DL119="Low",DI119*$D$42,IF(DL119="Med",DI119*$D$43,IF(DL119="High",DI119*$D$44,"rango cal. out")))</f>
        <v>rango cal. out</v>
      </c>
      <c r="DN119" s="619" t="e">
        <f>((273.2+DF119)*$F$33/((273.2+$F$32)*DH119))</f>
        <v>#DIV/0!</v>
      </c>
      <c r="DO119" s="674" t="e">
        <f>DM119/DJ119*DN119*EXP(-LN(2)/10990*($F$96-DK119))</f>
        <v>#VALUE!</v>
      </c>
      <c r="DP119" s="599" t="e">
        <f>DO119-AVERAGE(DW102:DW103)</f>
        <v>#VALUE!</v>
      </c>
      <c r="DQ119" s="672" t="e">
        <f>ABS(#REF!*DP119*3600)</f>
        <v>#REF!</v>
      </c>
      <c r="DR119" s="675" t="e">
        <f>ABS($B$34*DP119*3600)</f>
        <v>#VALUE!</v>
      </c>
      <c r="DS119" s="614" t="e">
        <f>DR119*$C$87</f>
        <v>#VALUE!</v>
      </c>
      <c r="DT119" s="672" t="e">
        <f>DR119*$F$78</f>
        <v>#VALUE!</v>
      </c>
      <c r="DU119" s="600" t="e">
        <f>DR119*$F$83</f>
        <v>#VALUE!</v>
      </c>
      <c r="DV119" s="672" t="e">
        <f>DR119*$F$80</f>
        <v>#VALUE!</v>
      </c>
      <c r="DW119" s="676" t="e">
        <f>DR119*$F$79</f>
        <v>#VALUE!</v>
      </c>
      <c r="DX119" s="668"/>
      <c r="DY119" s="669"/>
      <c r="DZ119" s="677"/>
      <c r="EA119" s="679"/>
      <c r="EB119" s="678"/>
      <c r="EC119" s="650"/>
      <c r="ED119" s="650"/>
      <c r="EE119" s="671" t="str">
        <f>IF(ED119="Low",EA119*$D$42,IF(ED119="Med",EA119*$D$43,IF(ED119="High",EA119*$D$44,"rango cal. out")))</f>
        <v>rango cal. out</v>
      </c>
      <c r="EF119" s="619" t="e">
        <f>((273.2+DX119)*$F$33/((273.2+$F$32)*DZ119))</f>
        <v>#DIV/0!</v>
      </c>
      <c r="EG119" s="674" t="e">
        <f>EE119/EB119*EF119*EXP(-LN(2)/10990*($F$96-EC119))</f>
        <v>#VALUE!</v>
      </c>
      <c r="EH119" s="599" t="e">
        <f>EG119-AVERAGE(EO102:EO103)</f>
        <v>#VALUE!</v>
      </c>
      <c r="EI119" s="672" t="e">
        <f>ABS(#REF!*EH119*3600)</f>
        <v>#REF!</v>
      </c>
      <c r="EJ119" s="675" t="e">
        <f>ABS($B$34*EH119*3600)</f>
        <v>#VALUE!</v>
      </c>
      <c r="EK119" s="614" t="e">
        <f>EJ119*$C$87</f>
        <v>#VALUE!</v>
      </c>
      <c r="EL119" s="672" t="e">
        <f>EJ119*$F$78</f>
        <v>#VALUE!</v>
      </c>
      <c r="EM119" s="600" t="e">
        <f>EJ119*$F$83</f>
        <v>#VALUE!</v>
      </c>
      <c r="EN119" s="672" t="e">
        <f>EJ119*$F$80</f>
        <v>#VALUE!</v>
      </c>
      <c r="EO119" s="676" t="e">
        <f>EJ119*$F$79</f>
        <v>#VALUE!</v>
      </c>
      <c r="EP119" s="668"/>
      <c r="EQ119" s="669"/>
      <c r="ER119" s="670"/>
      <c r="ES119" s="1998">
        <v>-1.5E-11</v>
      </c>
      <c r="ET119" s="678"/>
      <c r="EU119" s="663">
        <v>44333</v>
      </c>
      <c r="EV119" s="650"/>
      <c r="EW119" s="671" t="str">
        <f>IF(EV119="Low",ES119*$D$42,IF(EV119="Med",ES119*$D$43,IF(EV119="High",ES119*$D$44,"rango cal. out")))</f>
        <v>rango cal. out</v>
      </c>
      <c r="EX119" s="619" t="e">
        <f>((273.2+EP119)*$F$33/((273.2+$F$32)*ER119))</f>
        <v>#DIV/0!</v>
      </c>
      <c r="EY119" s="674" t="e">
        <f>EW119/ET119*EX119*EXP(-LN(2)/10990*($F$96-EU119))</f>
        <v>#VALUE!</v>
      </c>
      <c r="EZ119" s="599" t="e">
        <f>EY119-AVERAGE(FG102:FG103)</f>
        <v>#VALUE!</v>
      </c>
      <c r="FA119" s="672" t="e">
        <f>ABS(#REF!*EZ119*3600)</f>
        <v>#REF!</v>
      </c>
      <c r="FB119" s="675" t="e">
        <f>ABS($B$34*EZ119*3600)</f>
        <v>#VALUE!</v>
      </c>
      <c r="FC119" s="614" t="e">
        <f>FB119*$C$87</f>
        <v>#VALUE!</v>
      </c>
      <c r="FD119" s="672" t="e">
        <f>FB119*$F$78</f>
        <v>#VALUE!</v>
      </c>
      <c r="FE119" s="600" t="e">
        <f>FB119*$F$83</f>
        <v>#VALUE!</v>
      </c>
      <c r="FF119" s="672" t="e">
        <f>FB119*$F$80</f>
        <v>#VALUE!</v>
      </c>
      <c r="FG119" s="676" t="e">
        <f>FB119*$F$79</f>
        <v>#VALUE!</v>
      </c>
      <c r="FH119" s="668"/>
      <c r="FI119" s="669"/>
      <c r="FJ119" s="670"/>
      <c r="FK119" s="671"/>
      <c r="FL119" s="678"/>
      <c r="FM119" s="650"/>
      <c r="FN119" s="650"/>
      <c r="FO119" s="671" t="str">
        <f>IF(FN119="Low",FK119*$D$42,IF(FN119="Med",FK119*$D$43,IF(FN119="High",FK119*$D$44,"rango cal. out")))</f>
        <v>rango cal. out</v>
      </c>
      <c r="FP119" s="619" t="e">
        <f>((273.2+FH119)*$F$33/((273.2+$F$32)*FJ119))</f>
        <v>#DIV/0!</v>
      </c>
      <c r="FQ119" s="674" t="e">
        <f>FO119/FL119*FP119*EXP(-LN(2)/10990*($F$96-FM119))</f>
        <v>#VALUE!</v>
      </c>
      <c r="FR119" s="599" t="e">
        <f>FQ119-AVERAGE(FY102:FY103)</f>
        <v>#VALUE!</v>
      </c>
      <c r="FS119" s="672" t="e">
        <f>ABS(#REF!*FR119*3600)</f>
        <v>#REF!</v>
      </c>
      <c r="FT119" s="675" t="e">
        <f>ABS($B$34*FR119*3600)</f>
        <v>#VALUE!</v>
      </c>
      <c r="FU119" s="614" t="e">
        <f>FT119*$C$87</f>
        <v>#VALUE!</v>
      </c>
      <c r="FV119" s="672" t="e">
        <f>FT119*$F$78</f>
        <v>#VALUE!</v>
      </c>
      <c r="FW119" s="600" t="e">
        <f>FT119*$F$83</f>
        <v>#VALUE!</v>
      </c>
      <c r="FX119" s="672" t="e">
        <f>FT119*$F$80</f>
        <v>#VALUE!</v>
      </c>
      <c r="FY119" s="676" t="e">
        <f>FT119*$F$79</f>
        <v>#VALUE!</v>
      </c>
      <c r="FZ119" s="668"/>
      <c r="GA119" s="669"/>
      <c r="GB119" s="670"/>
      <c r="GC119" s="671"/>
      <c r="GD119" s="678"/>
      <c r="GE119" s="650"/>
      <c r="GF119" s="650"/>
      <c r="GG119" s="671" t="str">
        <f>IF(GF119="Low",GC119*$D$42,IF(GF119="Med",GC119*$D$43,IF(GF119="High",GC119*$D$44,"rango cal. out")))</f>
        <v>rango cal. out</v>
      </c>
      <c r="GH119" s="619" t="e">
        <f>((273.2+FZ119)*$F$33/((273.2+$F$32)*GB119))</f>
        <v>#DIV/0!</v>
      </c>
      <c r="GI119" s="674" t="e">
        <f>GG119/GD119*GH119*EXP(-LN(2)/10990*($F$96-GE119))</f>
        <v>#VALUE!</v>
      </c>
      <c r="GJ119" s="599" t="e">
        <f>GI119-AVERAGE(GQ102:GQ103)</f>
        <v>#VALUE!</v>
      </c>
      <c r="GK119" s="672" t="e">
        <f>ABS(#REF!*GJ119*3600)</f>
        <v>#REF!</v>
      </c>
      <c r="GL119" s="675" t="e">
        <f>ABS($B$34*GJ119*3600)</f>
        <v>#VALUE!</v>
      </c>
      <c r="GM119" s="614" t="e">
        <f>GL119*$C$87</f>
        <v>#VALUE!</v>
      </c>
      <c r="GN119" s="672" t="e">
        <f>GL119*$F$78</f>
        <v>#VALUE!</v>
      </c>
      <c r="GO119" s="600" t="e">
        <f>GL119*$F$83</f>
        <v>#VALUE!</v>
      </c>
      <c r="GP119" s="672" t="e">
        <f>GL119*$F$80</f>
        <v>#VALUE!</v>
      </c>
      <c r="GQ119" s="676" t="e">
        <f>GL119*$F$79</f>
        <v>#VALUE!</v>
      </c>
      <c r="GR119" s="668"/>
      <c r="GS119" s="669"/>
      <c r="GT119" s="677"/>
      <c r="GU119" s="679"/>
      <c r="GV119" s="678"/>
      <c r="GW119" s="650"/>
      <c r="GX119" s="650"/>
      <c r="GY119" s="671" t="str">
        <f>IF(GX119="Low",GU119*$D$42,IF(GX119="Med",GU119*$D$43,IF(GX119="High",GU119*$D$44,"rango cal. out")))</f>
        <v>rango cal. out</v>
      </c>
      <c r="GZ119" s="619" t="e">
        <f>((273.2+GR119)*$F$33/((273.2+$F$32)*GT119))</f>
        <v>#DIV/0!</v>
      </c>
      <c r="HA119" s="674" t="e">
        <f>GY119/GV119*GZ119*EXP(-LN(2)/10990*($F$96-GW119))</f>
        <v>#VALUE!</v>
      </c>
      <c r="HB119" s="599" t="e">
        <f>HA119-AVERAGE(HI102:HI103)</f>
        <v>#VALUE!</v>
      </c>
      <c r="HC119" s="672" t="e">
        <f>ABS(#REF!*HB119*3600)</f>
        <v>#REF!</v>
      </c>
      <c r="HD119" s="675" t="e">
        <f>ABS($B$34*HB119*3600)</f>
        <v>#VALUE!</v>
      </c>
      <c r="HE119" s="614" t="e">
        <f>HD119*$C$87</f>
        <v>#VALUE!</v>
      </c>
      <c r="HF119" s="672" t="e">
        <f>HD119*$F$78</f>
        <v>#VALUE!</v>
      </c>
      <c r="HG119" s="600" t="e">
        <f>HD119*$F$83</f>
        <v>#VALUE!</v>
      </c>
      <c r="HH119" s="672" t="e">
        <f>HD119*$F$80</f>
        <v>#VALUE!</v>
      </c>
      <c r="HI119" s="676" t="e">
        <f>HD119*$F$79</f>
        <v>#VALUE!</v>
      </c>
      <c r="HJ119" s="668"/>
      <c r="HK119" s="669"/>
      <c r="HL119" s="670"/>
      <c r="HM119" s="671"/>
      <c r="HN119" s="678"/>
      <c r="HO119" s="650"/>
      <c r="HP119" s="650"/>
      <c r="HQ119" s="671" t="str">
        <f>IF(HP119="Low",HM119*$D$42,IF(HP119="Med",HM119*$D$43,IF(HP119="High",HM119*$D$44,"rango cal. out")))</f>
        <v>rango cal. out</v>
      </c>
      <c r="HR119" s="619" t="e">
        <f>((273.2+HJ119)*$F$33/((273.2+$F$32)*HL119))</f>
        <v>#DIV/0!</v>
      </c>
      <c r="HS119" s="674" t="e">
        <f>HQ119/HN119*HR119*EXP(-LN(2)/10990*($F$96-HO119))</f>
        <v>#VALUE!</v>
      </c>
      <c r="HT119" s="599" t="e">
        <f>HS119-AVERAGE(IA102:IA103)</f>
        <v>#VALUE!</v>
      </c>
      <c r="HU119" s="672" t="e">
        <f>ABS(#REF!*HT119*3600)</f>
        <v>#REF!</v>
      </c>
      <c r="HV119" s="675" t="e">
        <f>ABS($B$34*HT119*3600)</f>
        <v>#VALUE!</v>
      </c>
      <c r="HW119" s="614" t="e">
        <f>HV119*$C$87</f>
        <v>#VALUE!</v>
      </c>
      <c r="HX119" s="672" t="e">
        <f>HV119*$F$78</f>
        <v>#VALUE!</v>
      </c>
      <c r="HY119" s="600" t="e">
        <f>HV119*$F$83</f>
        <v>#VALUE!</v>
      </c>
      <c r="HZ119" s="672" t="e">
        <f>HV119*$F$80</f>
        <v>#VALUE!</v>
      </c>
      <c r="IA119" s="676" t="e">
        <f>HV119*$F$79</f>
        <v>#VALUE!</v>
      </c>
      <c r="IB119" s="668"/>
      <c r="IC119" s="669"/>
      <c r="ID119" s="670"/>
      <c r="IE119" s="671"/>
      <c r="IF119" s="678"/>
      <c r="IG119" s="650"/>
      <c r="IH119" s="650"/>
      <c r="II119" s="671" t="str">
        <f>IF(IH119="Low",IE119*$D$42,IF(IH119="Med",IE119*$D$43,IF(IH119="High",IE119*$D$44,"rango cal. out")))</f>
        <v>rango cal. out</v>
      </c>
      <c r="IJ119" s="619" t="e">
        <f>((273.2+IB119)*$F$33/((273.2+$F$32)*ID119))</f>
        <v>#DIV/0!</v>
      </c>
      <c r="IK119" s="674" t="e">
        <f>II119/IF119*IJ119*EXP(-LN(2)/10990*($F$96-IG119))</f>
        <v>#VALUE!</v>
      </c>
      <c r="IL119" s="599" t="e">
        <f>IK119-AVERAGE(IS102:IS103)</f>
        <v>#VALUE!</v>
      </c>
      <c r="IM119" s="672" t="e">
        <f>ABS(#REF!*IL119*3600)</f>
        <v>#REF!</v>
      </c>
      <c r="IN119" s="675" t="e">
        <f>ABS($B$34*IL119*3600)</f>
        <v>#VALUE!</v>
      </c>
      <c r="IO119" s="614" t="e">
        <f>IN119*$C$87</f>
        <v>#VALUE!</v>
      </c>
      <c r="IP119" s="672" t="e">
        <f>IN119*$F$78</f>
        <v>#VALUE!</v>
      </c>
      <c r="IQ119" s="600" t="e">
        <f>IN119*$F$83</f>
        <v>#VALUE!</v>
      </c>
      <c r="IR119" s="672" t="e">
        <f>IN119*$F$80</f>
        <v>#VALUE!</v>
      </c>
      <c r="IS119" s="676" t="e">
        <f>IN119*$F$79</f>
        <v>#VALUE!</v>
      </c>
      <c r="IT119" s="668"/>
      <c r="IU119" s="669"/>
      <c r="IV119" s="670"/>
      <c r="IW119" s="671"/>
      <c r="IX119" s="678"/>
      <c r="IY119" s="650"/>
      <c r="IZ119" s="650"/>
      <c r="JA119" s="671" t="str">
        <f>IF(IZ119="Low",IW119*$D$42,IF(IZ119="Med",IW119*$D$43,IF(IZ119="High",IW119*$D$44,"rango cal. out")))</f>
        <v>rango cal. out</v>
      </c>
      <c r="JB119" s="619" t="e">
        <f>((273.2+IT119)*$F$33/((273.2+$F$32)*IV119))</f>
        <v>#DIV/0!</v>
      </c>
      <c r="JC119" s="674" t="e">
        <f>JA119/IX119*JB119*EXP(-LN(2)/10990*($F$96-IY119))</f>
        <v>#VALUE!</v>
      </c>
      <c r="JD119" s="599" t="e">
        <f>JC119-AVERAGE(JK102:JK103)</f>
        <v>#VALUE!</v>
      </c>
      <c r="JE119" s="672" t="e">
        <f>ABS(#REF!*JD119*3600)</f>
        <v>#REF!</v>
      </c>
      <c r="JF119" s="675" t="e">
        <f>ABS($B$34*JD119*3600)</f>
        <v>#VALUE!</v>
      </c>
      <c r="JG119" s="614" t="e">
        <f>JF119*$C$87</f>
        <v>#VALUE!</v>
      </c>
      <c r="JH119" s="672" t="e">
        <f>JF119*$F$78</f>
        <v>#VALUE!</v>
      </c>
      <c r="JI119" s="600" t="e">
        <f>JF119*$F$83</f>
        <v>#VALUE!</v>
      </c>
      <c r="JJ119" s="672" t="e">
        <f>JF119*$F$80</f>
        <v>#VALUE!</v>
      </c>
      <c r="JK119" s="676" t="e">
        <f>JF119*$F$79</f>
        <v>#VALUE!</v>
      </c>
      <c r="JL119" s="668"/>
      <c r="JM119" s="669"/>
      <c r="JN119" s="670"/>
      <c r="JO119" s="671"/>
      <c r="JP119" s="678"/>
      <c r="JQ119" s="650"/>
      <c r="JR119" s="650"/>
      <c r="JS119" s="671" t="str">
        <f>IF(JR119="Low",JO119*$D$42,IF(JR119="Med",JO119*$D$43,IF(JR119="High",JO119*$D$44,"rango cal. out")))</f>
        <v>rango cal. out</v>
      </c>
      <c r="JT119" s="619" t="e">
        <f>((273.2+JL119)*$F$33/((273.2+$F$32)*JN119))</f>
        <v>#DIV/0!</v>
      </c>
      <c r="JU119" s="674" t="e">
        <f>JS119/JP119*JT119*EXP(-LN(2)/10990*($F$96-JQ119))</f>
        <v>#VALUE!</v>
      </c>
      <c r="JV119" s="599" t="e">
        <f>JU119-AVERAGE(KC102:KC103)</f>
        <v>#VALUE!</v>
      </c>
      <c r="JW119" s="672" t="e">
        <f>ABS(#REF!*JV119*3600)</f>
        <v>#REF!</v>
      </c>
      <c r="JX119" s="675" t="e">
        <f>ABS($B$34*JV119*3600)</f>
        <v>#VALUE!</v>
      </c>
      <c r="JY119" s="614" t="e">
        <f>JX119*$C$87</f>
        <v>#VALUE!</v>
      </c>
      <c r="JZ119" s="672" t="e">
        <f>JX119*$F$78</f>
        <v>#VALUE!</v>
      </c>
      <c r="KA119" s="600" t="e">
        <f>JX119*$F$83</f>
        <v>#VALUE!</v>
      </c>
      <c r="KB119" s="672" t="e">
        <f>JX119*$F$80</f>
        <v>#VALUE!</v>
      </c>
      <c r="KC119" s="676" t="e">
        <f>JX119*$F$79</f>
        <v>#VALUE!</v>
      </c>
      <c r="KD119" s="668"/>
      <c r="KE119" s="669"/>
      <c r="KF119" s="670"/>
      <c r="KG119" s="671"/>
      <c r="KH119" s="678"/>
      <c r="KI119" s="650"/>
      <c r="KJ119" s="650"/>
      <c r="KK119" s="671" t="str">
        <f>IF(KJ119="Low",KG119*$D$42,IF(KJ119="Med",KG119*$D$43,IF(KJ119="High",KG119*$D$44,"rango cal. out")))</f>
        <v>rango cal. out</v>
      </c>
      <c r="KL119" s="619" t="e">
        <f>((273.2+KD119)*$F$33/((273.2+$F$32)*KF119))</f>
        <v>#DIV/0!</v>
      </c>
      <c r="KM119" s="674" t="e">
        <f>KK119/KH119*KL119*EXP(-LN(2)/10990*($F$96-KI119))</f>
        <v>#VALUE!</v>
      </c>
      <c r="KN119" s="599" t="e">
        <f>KM119-AVERAGE(KU102:KU103)</f>
        <v>#VALUE!</v>
      </c>
      <c r="KO119" s="672" t="e">
        <f>ABS(#REF!*KN119*3600)</f>
        <v>#REF!</v>
      </c>
      <c r="KP119" s="675" t="e">
        <f>ABS($B$34*KN119*3600)</f>
        <v>#VALUE!</v>
      </c>
      <c r="KQ119" s="614" t="e">
        <f>KP119*$C$87</f>
        <v>#VALUE!</v>
      </c>
      <c r="KR119" s="672" t="e">
        <f>KP119*$F$78</f>
        <v>#VALUE!</v>
      </c>
      <c r="KS119" s="600" t="e">
        <f>KP119*$F$83</f>
        <v>#VALUE!</v>
      </c>
      <c r="KT119" s="672" t="e">
        <f>KP119*$F$80</f>
        <v>#VALUE!</v>
      </c>
      <c r="KU119" s="676" t="e">
        <f>KP119*$F$79</f>
        <v>#VALUE!</v>
      </c>
      <c r="KV119" s="668"/>
      <c r="KW119" s="669"/>
      <c r="KX119" s="670"/>
      <c r="KY119" s="671"/>
      <c r="KZ119" s="678"/>
      <c r="LA119" s="650"/>
      <c r="LB119" s="650"/>
      <c r="LC119" s="671" t="str">
        <f>IF(LB119="Low",KY119*$D$42,IF(LB119="Med",KY119*$D$43,IF(LB119="High",KY119*$D$44,"rango cal. out")))</f>
        <v>rango cal. out</v>
      </c>
      <c r="LD119" s="619" t="e">
        <f>((273.2+KV119)*$F$33/((273.2+$F$32)*KX119))</f>
        <v>#DIV/0!</v>
      </c>
      <c r="LE119" s="674" t="e">
        <f>LC119/KZ119*LD119*EXP(-LN(2)/10990*($F$96-LA119))</f>
        <v>#VALUE!</v>
      </c>
      <c r="LF119" s="599" t="e">
        <f>LE119-AVERAGE(LM102:LM103)</f>
        <v>#VALUE!</v>
      </c>
      <c r="LG119" s="672" t="e">
        <f>ABS(#REF!*LF119*3600)</f>
        <v>#REF!</v>
      </c>
      <c r="LH119" s="675" t="e">
        <f>ABS($B$34*LF119*3600)</f>
        <v>#VALUE!</v>
      </c>
      <c r="LI119" s="614" t="e">
        <f>LH119*$C$87</f>
        <v>#VALUE!</v>
      </c>
      <c r="LJ119" s="672" t="e">
        <f>LH119*$F$78</f>
        <v>#VALUE!</v>
      </c>
      <c r="LK119" s="600" t="e">
        <f>LH119*$F$83</f>
        <v>#VALUE!</v>
      </c>
      <c r="LL119" s="672" t="e">
        <f>LH119*$F$80</f>
        <v>#VALUE!</v>
      </c>
      <c r="LM119" s="676" t="e">
        <f>LH119*$F$79</f>
        <v>#VALUE!</v>
      </c>
      <c r="LN119" s="668"/>
      <c r="LO119" s="669"/>
      <c r="LP119" s="670"/>
      <c r="LQ119" s="671"/>
      <c r="LR119" s="678"/>
      <c r="LS119" s="650"/>
      <c r="LT119" s="650"/>
      <c r="LU119" s="671" t="str">
        <f>IF(LT119="Low",LQ119*$D$42,IF(LT119="Med",LQ119*$D$43,IF(LT119="High",LQ119*$D$44,"rango cal. out")))</f>
        <v>rango cal. out</v>
      </c>
      <c r="LV119" s="619" t="e">
        <f>((273.2+LN119)*$F$33/((273.2+$F$32)*LP119))</f>
        <v>#DIV/0!</v>
      </c>
      <c r="LW119" s="674" t="e">
        <f>LU119/LR119*LV119*EXP(-LN(2)/10990*($F$96-LS119))</f>
        <v>#VALUE!</v>
      </c>
      <c r="LX119" s="599" t="e">
        <f>LW119-AVERAGE(ME102:ME103)</f>
        <v>#VALUE!</v>
      </c>
      <c r="LY119" s="672" t="e">
        <f>ABS(#REF!*LX119*3600)</f>
        <v>#REF!</v>
      </c>
      <c r="LZ119" s="675" t="e">
        <f>ABS($B$34*LX119*3600)</f>
        <v>#VALUE!</v>
      </c>
      <c r="MA119" s="614" t="e">
        <f>LZ119*$C$87</f>
        <v>#VALUE!</v>
      </c>
      <c r="MB119" s="672" t="e">
        <f>LZ119*$F$78</f>
        <v>#VALUE!</v>
      </c>
      <c r="MC119" s="600" t="e">
        <f>LZ119*$F$83</f>
        <v>#VALUE!</v>
      </c>
      <c r="MD119" s="672" t="e">
        <f>LZ119*$F$80</f>
        <v>#VALUE!</v>
      </c>
      <c r="ME119" s="676" t="e">
        <f>LZ119*$F$79</f>
        <v>#VALUE!</v>
      </c>
      <c r="MF119" s="668"/>
      <c r="MG119" s="669"/>
      <c r="MH119" s="670"/>
      <c r="MI119" s="671"/>
      <c r="MJ119" s="678"/>
      <c r="MK119" s="650"/>
      <c r="ML119" s="650"/>
      <c r="MM119" s="671" t="str">
        <f>IF(ML119="Low",MI119*$D$42,IF(ML119="Med",MI119*$D$43,IF(ML119="High",MI119*$D$44,"rango cal. out")))</f>
        <v>rango cal. out</v>
      </c>
      <c r="MN119" s="619" t="e">
        <f>((273.2+MF119)*$F$33/((273.2+$F$32)*MH119))</f>
        <v>#DIV/0!</v>
      </c>
      <c r="MO119" s="674" t="e">
        <f>MM119/MJ119*MN119*EXP(-LN(2)/10990*($F$96-MK119))</f>
        <v>#VALUE!</v>
      </c>
      <c r="MP119" s="599" t="e">
        <f>MO119-AVERAGE(MW102:MW103)</f>
        <v>#VALUE!</v>
      </c>
      <c r="MQ119" s="672" t="e">
        <f>ABS(#REF!*MP119*3600)</f>
        <v>#REF!</v>
      </c>
      <c r="MR119" s="675" t="e">
        <f>ABS($B$34*MP119*3600)</f>
        <v>#VALUE!</v>
      </c>
      <c r="MS119" s="614" t="e">
        <f>MR119*$C$87</f>
        <v>#VALUE!</v>
      </c>
      <c r="MT119" s="672" t="e">
        <f>MR119*$F$78</f>
        <v>#VALUE!</v>
      </c>
      <c r="MU119" s="600" t="e">
        <f>MR119*$F$83</f>
        <v>#VALUE!</v>
      </c>
      <c r="MV119" s="672" t="e">
        <f>MR119*$F$80</f>
        <v>#VALUE!</v>
      </c>
      <c r="MW119" s="676" t="e">
        <f>MR119*$F$79</f>
        <v>#VALUE!</v>
      </c>
      <c r="MX119" s="668"/>
      <c r="MY119" s="669"/>
      <c r="MZ119" s="680"/>
      <c r="NA119" s="671"/>
      <c r="NB119" s="673"/>
      <c r="NC119" s="650"/>
      <c r="ND119" s="650"/>
      <c r="NE119" s="671" t="str">
        <f>IF(ND119="Low",NA119*$D$42,IF(ND119="Med",NA119*$D$43,IF(ND119="High",NA119*$D$44,"rango cal. out")))</f>
        <v>rango cal. out</v>
      </c>
      <c r="NF119" s="619" t="e">
        <f>((273.2+MX119)*$F$33/((273.2+$F$32)*MZ119))</f>
        <v>#DIV/0!</v>
      </c>
      <c r="NG119" s="674" t="e">
        <f>NE119/NB119*NF119*EXP(-LN(2)/10990*($F$96-NC119))</f>
        <v>#VALUE!</v>
      </c>
      <c r="NH119" s="599" t="e">
        <f>NG119-AVERAGE(NO102:NO103)</f>
        <v>#VALUE!</v>
      </c>
      <c r="NI119" s="672" t="e">
        <f>ABS(#REF!*NH119*3600)</f>
        <v>#REF!</v>
      </c>
      <c r="NJ119" s="675" t="e">
        <f>ABS($B$34*NH119*3600)</f>
        <v>#VALUE!</v>
      </c>
      <c r="NK119" s="614" t="e">
        <f>NJ119*$C$87</f>
        <v>#VALUE!</v>
      </c>
      <c r="NL119" s="672" t="e">
        <f>NJ119*$F$78</f>
        <v>#VALUE!</v>
      </c>
      <c r="NM119" s="600" t="e">
        <f>NJ119*$F$83</f>
        <v>#VALUE!</v>
      </c>
      <c r="NN119" s="672" t="e">
        <f>NJ119*$F$80</f>
        <v>#VALUE!</v>
      </c>
      <c r="NO119" s="676" t="e">
        <f>NJ119*$F$79</f>
        <v>#VALUE!</v>
      </c>
      <c r="NP119" s="668"/>
      <c r="NQ119" s="669"/>
      <c r="NR119" s="670"/>
      <c r="NS119" s="671"/>
      <c r="NT119" s="678"/>
      <c r="NU119" s="650"/>
      <c r="NV119" s="650"/>
      <c r="NW119" s="671" t="str">
        <f>IF(NV119="Low",NS119*$D$42,IF(NV119="Med",NS119*$D$43,IF(NV119="High",NS119*$D$44,"rango cal. out")))</f>
        <v>rango cal. out</v>
      </c>
      <c r="NX119" s="619" t="e">
        <f>((273.2+NP119)*$F$33/((273.2+$F$32)*NR119))</f>
        <v>#DIV/0!</v>
      </c>
      <c r="NY119" s="674" t="e">
        <f>NW119/NT119*NX119*EXP(-LN(2)/10990*($F$96-NU119))</f>
        <v>#VALUE!</v>
      </c>
      <c r="NZ119" s="599" t="e">
        <f>NY119-AVERAGE(OG102:OG103)</f>
        <v>#VALUE!</v>
      </c>
      <c r="OA119" s="672" t="e">
        <f>ABS(#REF!*NZ119*3600)</f>
        <v>#REF!</v>
      </c>
      <c r="OB119" s="675" t="e">
        <f>ABS($B$34*NZ119*3600)</f>
        <v>#VALUE!</v>
      </c>
      <c r="OC119" s="614" t="e">
        <f>OB119*$C$87</f>
        <v>#VALUE!</v>
      </c>
      <c r="OD119" s="672" t="e">
        <f>OB119*$F$78</f>
        <v>#VALUE!</v>
      </c>
      <c r="OE119" s="600" t="e">
        <f>OB119*$F$83</f>
        <v>#VALUE!</v>
      </c>
      <c r="OF119" s="672" t="e">
        <f>OB119*$F$80</f>
        <v>#VALUE!</v>
      </c>
      <c r="OG119" s="676" t="e">
        <f>OB119*$F$79</f>
        <v>#VALUE!</v>
      </c>
      <c r="OH119" s="668"/>
      <c r="OI119" s="669"/>
      <c r="OJ119" s="670"/>
      <c r="OK119" s="671"/>
      <c r="OL119" s="678"/>
      <c r="OM119" s="650"/>
      <c r="ON119" s="650"/>
      <c r="OO119" s="671" t="str">
        <f>IF(ON119="Low",OK119*$D$42,IF(ON119="Med",OK119*$D$43,IF(ON119="High",OK119*$D$44,"rango cal. out")))</f>
        <v>rango cal. out</v>
      </c>
      <c r="OP119" s="619" t="e">
        <f>((273.2+OH119)*$F$33/((273.2+$F$32)*OJ119))</f>
        <v>#DIV/0!</v>
      </c>
      <c r="OQ119" s="674" t="e">
        <f>OO119/OL119*OP119*EXP(-LN(2)/10990*($F$96-OM119))</f>
        <v>#VALUE!</v>
      </c>
      <c r="OR119" s="599" t="e">
        <f>OQ119-AVERAGE(OY102:OY103)</f>
        <v>#VALUE!</v>
      </c>
      <c r="OS119" s="672" t="e">
        <f>ABS(#REF!*OR119*3600)</f>
        <v>#REF!</v>
      </c>
      <c r="OT119" s="675" t="e">
        <f>ABS($B$34*OR119*3600)</f>
        <v>#VALUE!</v>
      </c>
      <c r="OU119" s="614" t="e">
        <f>OT119*$C$87</f>
        <v>#VALUE!</v>
      </c>
      <c r="OV119" s="672" t="e">
        <f>OT119*$F$78</f>
        <v>#VALUE!</v>
      </c>
      <c r="OW119" s="600" t="e">
        <f>OT119*$F$83</f>
        <v>#VALUE!</v>
      </c>
      <c r="OX119" s="672" t="e">
        <f>OT119*$F$80</f>
        <v>#VALUE!</v>
      </c>
      <c r="OY119" s="676" t="e">
        <f>OT119*$F$79</f>
        <v>#VALUE!</v>
      </c>
      <c r="OZ119" s="668"/>
      <c r="PA119" s="669"/>
      <c r="PB119" s="670"/>
      <c r="PC119" s="671"/>
      <c r="PD119" s="678"/>
      <c r="PE119" s="650"/>
      <c r="PF119" s="650"/>
      <c r="PG119" s="671" t="str">
        <f>IF(PF119="Low",PC119*$D$42,IF(PF119="Med",PC119*$D$43,IF(PF119="High",PC119*$D$44,"rango cal. out")))</f>
        <v>rango cal. out</v>
      </c>
      <c r="PH119" s="619" t="e">
        <f>((273.2+OZ119)*$F$33/((273.2+$F$32)*PB119))</f>
        <v>#DIV/0!</v>
      </c>
      <c r="PI119" s="674" t="e">
        <f>PG119/PD119*PH119*EXP(-LN(2)/10990*($F$96-PE119))</f>
        <v>#VALUE!</v>
      </c>
      <c r="PJ119" s="599" t="e">
        <f>PI119-AVERAGE(PQ102:PQ103)</f>
        <v>#VALUE!</v>
      </c>
      <c r="PK119" s="672" t="e">
        <f>ABS(#REF!*PJ119*3600)</f>
        <v>#REF!</v>
      </c>
      <c r="PL119" s="675" t="e">
        <f>ABS($B$34*PJ119*3600)</f>
        <v>#VALUE!</v>
      </c>
      <c r="PM119" s="614" t="e">
        <f>PL119*$C$87</f>
        <v>#VALUE!</v>
      </c>
      <c r="PN119" s="672" t="e">
        <f>PL119*$F$78</f>
        <v>#VALUE!</v>
      </c>
      <c r="PO119" s="600" t="e">
        <f>PL119*$F$83</f>
        <v>#VALUE!</v>
      </c>
      <c r="PP119" s="672" t="e">
        <f>PL119*$F$80</f>
        <v>#VALUE!</v>
      </c>
      <c r="PQ119" s="676" t="e">
        <f>PL119*$F$79</f>
        <v>#VALUE!</v>
      </c>
      <c r="PR119" s="668"/>
      <c r="PS119" s="669"/>
      <c r="PT119" s="670"/>
      <c r="PU119" s="671"/>
      <c r="PV119" s="678"/>
      <c r="PW119" s="650"/>
      <c r="PX119" s="650"/>
      <c r="PY119" s="671" t="str">
        <f>IF(PX119="Low",PU119*$D$42,IF(PX119="Med",PU119*$D$43,IF(PX119="High",PU119*$D$44,"rango cal. out")))</f>
        <v>rango cal. out</v>
      </c>
      <c r="PZ119" s="619" t="e">
        <f>((273.2+PR119)*$F$33/((273.2+$F$32)*PT119))</f>
        <v>#DIV/0!</v>
      </c>
      <c r="QA119" s="674" t="e">
        <f>PY119/PV119*PZ119*EXP(-LN(2)/10990*($F$96-PW119))</f>
        <v>#VALUE!</v>
      </c>
      <c r="QB119" s="599" t="e">
        <f>QA119-AVERAGE(QI102:QI103)</f>
        <v>#VALUE!</v>
      </c>
      <c r="QC119" s="672" t="e">
        <f>ABS(#REF!*QB119*3600)</f>
        <v>#REF!</v>
      </c>
      <c r="QD119" s="675" t="e">
        <f>ABS($B$34*QB119*3600)</f>
        <v>#VALUE!</v>
      </c>
      <c r="QE119" s="614" t="e">
        <f>QD119*$C$87</f>
        <v>#VALUE!</v>
      </c>
      <c r="QF119" s="672" t="e">
        <f>QD119*$F$78</f>
        <v>#VALUE!</v>
      </c>
      <c r="QG119" s="600" t="e">
        <f>QD119*$F$83</f>
        <v>#VALUE!</v>
      </c>
      <c r="QH119" s="672" t="e">
        <f>QD119*$F$80</f>
        <v>#VALUE!</v>
      </c>
      <c r="QI119" s="676" t="e">
        <f>QD119*$F$79</f>
        <v>#VALUE!</v>
      </c>
      <c r="QJ119" s="668"/>
      <c r="QK119" s="669"/>
      <c r="QL119" s="670"/>
      <c r="QM119" s="671"/>
      <c r="QN119" s="678"/>
      <c r="QO119" s="650"/>
      <c r="QP119" s="650"/>
      <c r="QQ119" s="671" t="str">
        <f>IF(QP119="Low",QM119*$D$42,IF(QP119="Med",QM119*$D$43,IF(QP119="High",QM119*$D$44,"rango cal. out")))</f>
        <v>rango cal. out</v>
      </c>
      <c r="QR119" s="619" t="e">
        <f>((273.2+QJ119)*$F$33/((273.2+$F$32)*QL119))</f>
        <v>#DIV/0!</v>
      </c>
      <c r="QS119" s="674" t="e">
        <f>QQ119/QN119*QR119*EXP(-LN(2)/10990*($F$96-QO119))</f>
        <v>#VALUE!</v>
      </c>
      <c r="QT119" s="599" t="e">
        <f>QS119-AVERAGE(RA102:RA103)</f>
        <v>#VALUE!</v>
      </c>
      <c r="QU119" s="672" t="e">
        <f>ABS(#REF!*QT119*3600)</f>
        <v>#REF!</v>
      </c>
      <c r="QV119" s="675" t="e">
        <f>ABS($B$34*QT119*3600)</f>
        <v>#VALUE!</v>
      </c>
      <c r="QW119" s="614" t="e">
        <f>QV119*$C$87</f>
        <v>#VALUE!</v>
      </c>
      <c r="QX119" s="672" t="e">
        <f>QV119*$F$78</f>
        <v>#VALUE!</v>
      </c>
      <c r="QY119" s="600" t="e">
        <f>QV119*$F$83</f>
        <v>#VALUE!</v>
      </c>
      <c r="QZ119" s="672" t="e">
        <f>QV119*$F$80</f>
        <v>#VALUE!</v>
      </c>
      <c r="RA119" s="676" t="e">
        <f>QV119*$F$79</f>
        <v>#VALUE!</v>
      </c>
      <c r="RB119" s="668"/>
      <c r="RC119" s="669"/>
      <c r="RD119" s="670"/>
      <c r="RE119" s="671"/>
      <c r="RF119" s="673"/>
      <c r="RG119" s="650"/>
      <c r="RH119" s="650"/>
      <c r="RI119" s="671" t="str">
        <f>IF(RH119="Low",RE119*$D$42,IF(RH119="Med",RE119*$D$43,IF(RH119="High",RE119*$D$44,"rango cal. out")))</f>
        <v>rango cal. out</v>
      </c>
      <c r="RJ119" s="619" t="e">
        <f>((273.2+RB119)*$F$33/((273.2+$F$32)*RD119))</f>
        <v>#DIV/0!</v>
      </c>
      <c r="RK119" s="674" t="e">
        <f>RI119/RF119*RJ119*EXP(-LN(2)/10990*($F$96-RG119))</f>
        <v>#VALUE!</v>
      </c>
      <c r="RL119" s="599" t="e">
        <f>RK119-AVERAGE(RS102:RS103)</f>
        <v>#VALUE!</v>
      </c>
      <c r="RM119" s="672" t="e">
        <f>ABS(#REF!*RL119*3600)</f>
        <v>#REF!</v>
      </c>
      <c r="RN119" s="675" t="e">
        <f>ABS($B$34*RL119*3600)</f>
        <v>#VALUE!</v>
      </c>
      <c r="RO119" s="614" t="e">
        <f>RN119*$C$87</f>
        <v>#VALUE!</v>
      </c>
      <c r="RP119" s="672" t="e">
        <f>RN119*$F$78</f>
        <v>#VALUE!</v>
      </c>
      <c r="RQ119" s="600" t="e">
        <f>RN119*$F$83</f>
        <v>#VALUE!</v>
      </c>
      <c r="RR119" s="672" t="e">
        <f>RN119*$F$80</f>
        <v>#VALUE!</v>
      </c>
      <c r="RS119" s="676" t="e">
        <f>RN119*$F$79</f>
        <v>#VALUE!</v>
      </c>
      <c r="RT119" s="668"/>
      <c r="RU119" s="669"/>
      <c r="RV119" s="677"/>
      <c r="RW119" s="679"/>
      <c r="RX119" s="678"/>
      <c r="RY119" s="650"/>
      <c r="RZ119" s="650"/>
      <c r="SA119" s="671" t="str">
        <f>IF(RZ119="Low",RW119*$D$42,IF(RZ119="Med",RW119*$D$43,IF(RZ119="High",RW119*$D$44,"rango cal. out")))</f>
        <v>rango cal. out</v>
      </c>
      <c r="SB119" s="619" t="e">
        <f>((273.2+RT119)*$F$33/((273.2+$F$32)*RV119))</f>
        <v>#DIV/0!</v>
      </c>
      <c r="SC119" s="674" t="e">
        <f>SA119/RX119*SB119*EXP(-LN(2)/10990*($F$96-RY119))</f>
        <v>#VALUE!</v>
      </c>
      <c r="SD119" s="599" t="e">
        <f>SC119-AVERAGE(SK102:SK103)</f>
        <v>#VALUE!</v>
      </c>
      <c r="SE119" s="672" t="e">
        <f>ABS(#REF!*SD119*3600)</f>
        <v>#REF!</v>
      </c>
      <c r="SF119" s="675" t="e">
        <f>ABS($B$34*SD119*3600)</f>
        <v>#VALUE!</v>
      </c>
      <c r="SG119" s="614" t="e">
        <f>SF119*$C$87</f>
        <v>#VALUE!</v>
      </c>
      <c r="SH119" s="672" t="e">
        <f>SF119*$F$78</f>
        <v>#VALUE!</v>
      </c>
      <c r="SI119" s="600" t="e">
        <f>SF119*$F$83</f>
        <v>#VALUE!</v>
      </c>
      <c r="SJ119" s="672" t="e">
        <f>SF119*$F$80</f>
        <v>#VALUE!</v>
      </c>
      <c r="SK119" s="676" t="e">
        <f>SF119*$F$79</f>
        <v>#VALUE!</v>
      </c>
      <c r="SL119" s="668"/>
      <c r="SM119" s="669"/>
      <c r="SN119" s="670"/>
      <c r="SO119" s="671"/>
      <c r="SP119" s="678"/>
      <c r="SQ119" s="650"/>
      <c r="SR119" s="650"/>
      <c r="SS119" s="671" t="str">
        <f>IF(SR119="Low",SO119*$D$42,IF(SR119="Med",SO119*$D$43,IF(SR119="High",SO119*$D$44,"rango cal. out")))</f>
        <v>rango cal. out</v>
      </c>
      <c r="ST119" s="619" t="e">
        <f>((273.2+SL119)*$F$33/((273.2+$F$32)*SN119))</f>
        <v>#DIV/0!</v>
      </c>
      <c r="SU119" s="674" t="e">
        <f>SS119/SP119*ST119*EXP(-LN(2)/10990*($F$96-SQ119))</f>
        <v>#VALUE!</v>
      </c>
      <c r="SV119" s="599" t="e">
        <f>SU119-AVERAGE(TC102:TC103)</f>
        <v>#VALUE!</v>
      </c>
      <c r="SW119" s="672" t="e">
        <f>ABS(#REF!*SV119*3600)</f>
        <v>#REF!</v>
      </c>
      <c r="SX119" s="675" t="e">
        <f>ABS($B$34*SV119*3600)</f>
        <v>#VALUE!</v>
      </c>
      <c r="SY119" s="614" t="e">
        <f>SX119*$C$87</f>
        <v>#VALUE!</v>
      </c>
      <c r="SZ119" s="672" t="e">
        <f>SX119*$F$78</f>
        <v>#VALUE!</v>
      </c>
      <c r="TA119" s="600" t="e">
        <f>SX119*$F$83</f>
        <v>#VALUE!</v>
      </c>
      <c r="TB119" s="672" t="e">
        <f>SX119*$F$80</f>
        <v>#VALUE!</v>
      </c>
      <c r="TC119" s="676" t="e">
        <f>SX119*$F$79</f>
        <v>#VALUE!</v>
      </c>
      <c r="TD119" s="668"/>
      <c r="TE119" s="669"/>
      <c r="TF119" s="670"/>
      <c r="TG119" s="671"/>
      <c r="TH119" s="678"/>
      <c r="TI119" s="650"/>
      <c r="TJ119" s="650"/>
      <c r="TK119" s="671" t="str">
        <f>IF(TJ119="Low",TG119*$D$42,IF(TJ119="Med",TG119*$D$43,IF(TJ119="High",TG119*$D$44,"rango cal. out")))</f>
        <v>rango cal. out</v>
      </c>
      <c r="TL119" s="619" t="e">
        <f>((273.2+TD119)*$F$33/((273.2+$F$32)*TF119))</f>
        <v>#DIV/0!</v>
      </c>
      <c r="TM119" s="674" t="e">
        <f>TK119/TH119*TL119*EXP(-LN(2)/10990*($F$96-TI119))</f>
        <v>#VALUE!</v>
      </c>
      <c r="TN119" s="599" t="e">
        <f>TM119-AVERAGE(TU102:TU103)</f>
        <v>#VALUE!</v>
      </c>
      <c r="TO119" s="672" t="e">
        <f>ABS(#REF!*TN119*3600)</f>
        <v>#REF!</v>
      </c>
      <c r="TP119" s="675" t="e">
        <f>ABS($B$34*TN119*3600)</f>
        <v>#VALUE!</v>
      </c>
      <c r="TQ119" s="614" t="e">
        <f>TP119*$C$87</f>
        <v>#VALUE!</v>
      </c>
      <c r="TR119" s="672" t="e">
        <f>TP119*$F$78</f>
        <v>#VALUE!</v>
      </c>
      <c r="TS119" s="600" t="e">
        <f>TP119*$F$83</f>
        <v>#VALUE!</v>
      </c>
      <c r="TT119" s="672" t="e">
        <f>TP119*$F$80</f>
        <v>#VALUE!</v>
      </c>
      <c r="TU119" s="676" t="e">
        <f>TP119*$F$79</f>
        <v>#VALUE!</v>
      </c>
      <c r="TV119" s="668"/>
      <c r="TW119" s="669"/>
      <c r="TX119" s="670"/>
      <c r="TY119" s="671"/>
      <c r="TZ119" s="678"/>
      <c r="UA119" s="650"/>
      <c r="UB119" s="650"/>
      <c r="UC119" s="671" t="str">
        <f>IF(UB119="Low",TY119*$D$42,IF(UB119="Med",TY119*$D$43,IF(UB119="High",TY119*$D$44,"rango cal. out")))</f>
        <v>rango cal. out</v>
      </c>
      <c r="UD119" s="619" t="e">
        <f>((273.2+TV119)*$F$33/((273.2+$F$32)*TX119))</f>
        <v>#DIV/0!</v>
      </c>
      <c r="UE119" s="674" t="e">
        <f>UC119/TZ119*UD119*EXP(-LN(2)/10990*($F$96-UA119))</f>
        <v>#VALUE!</v>
      </c>
      <c r="UF119" s="599" t="e">
        <f>UE119-AVERAGE(UM102:UM103)</f>
        <v>#VALUE!</v>
      </c>
      <c r="UG119" s="672" t="e">
        <f>ABS(#REF!*UF119*3600)</f>
        <v>#REF!</v>
      </c>
      <c r="UH119" s="675" t="e">
        <f>ABS($B$34*UF119*3600)</f>
        <v>#VALUE!</v>
      </c>
      <c r="UI119" s="614" t="e">
        <f>UH119*$C$87</f>
        <v>#VALUE!</v>
      </c>
      <c r="UJ119" s="672" t="e">
        <f>UH119*$F$78</f>
        <v>#VALUE!</v>
      </c>
      <c r="UK119" s="600" t="e">
        <f>UH119*$F$83</f>
        <v>#VALUE!</v>
      </c>
      <c r="UL119" s="672" t="e">
        <f>UH119*$F$80</f>
        <v>#VALUE!</v>
      </c>
      <c r="UM119" s="676" t="e">
        <f>UH119*$F$79</f>
        <v>#VALUE!</v>
      </c>
      <c r="UN119" s="668"/>
      <c r="UO119" s="669"/>
      <c r="UP119" s="670"/>
      <c r="UQ119" s="671"/>
      <c r="UR119" s="678"/>
      <c r="US119" s="650"/>
      <c r="UT119" s="650"/>
      <c r="UU119" s="671" t="str">
        <f>IF(UT119="Low",UQ119*$D$42,IF(UT119="Med",UQ119*$D$43,IF(UT119="High",UQ119*$D$44,"rango cal. out")))</f>
        <v>rango cal. out</v>
      </c>
      <c r="UV119" s="619" t="e">
        <f>((273.2+UN119)*$F$33/((273.2+$F$32)*UP119))</f>
        <v>#DIV/0!</v>
      </c>
      <c r="UW119" s="674" t="e">
        <f>UU119/UR119*UV119*EXP(-LN(2)/10990*($F$96-US119))</f>
        <v>#VALUE!</v>
      </c>
      <c r="UX119" s="599" t="e">
        <f>UW119-AVERAGE(VE102:VE103)</f>
        <v>#VALUE!</v>
      </c>
      <c r="UY119" s="672" t="e">
        <f>ABS(#REF!*UX119*3600)</f>
        <v>#REF!</v>
      </c>
      <c r="UZ119" s="675" t="e">
        <f>ABS($B$34*UX119*3600)</f>
        <v>#VALUE!</v>
      </c>
      <c r="VA119" s="614" t="e">
        <f>UZ119*$C$87</f>
        <v>#VALUE!</v>
      </c>
      <c r="VB119" s="672" t="e">
        <f>UZ119*$F$78</f>
        <v>#VALUE!</v>
      </c>
      <c r="VC119" s="600" t="e">
        <f>UZ119*$F$83</f>
        <v>#VALUE!</v>
      </c>
      <c r="VD119" s="672" t="e">
        <f>UZ119*$F$80</f>
        <v>#VALUE!</v>
      </c>
      <c r="VE119" s="676" t="e">
        <f>UZ119*$F$79</f>
        <v>#VALUE!</v>
      </c>
    </row>
    <row r="120" spans="1:577" x14ac:dyDescent="0.25">
      <c r="A120" s="2220"/>
      <c r="B120" s="2013">
        <v>20.5</v>
      </c>
      <c r="C120" s="2014">
        <v>53</v>
      </c>
      <c r="D120" s="2014">
        <v>1010</v>
      </c>
      <c r="E120" s="2011">
        <v>-1.927E-8</v>
      </c>
      <c r="F120" s="673">
        <v>60</v>
      </c>
      <c r="G120" s="663">
        <v>44334</v>
      </c>
      <c r="H120" s="650" t="s">
        <v>1042</v>
      </c>
      <c r="I120" s="651">
        <f>IF(H120="Low",E120*$D$42,IF(H120="Med",E120*$D$43,IF(H120="High",E120*$D$44,"rango cal. out")))</f>
        <v>-1.9289269999999998E-8</v>
      </c>
      <c r="J120" s="619">
        <f>((273.2+B120)*$F$33/((273.2+$F$32)*D120))</f>
        <v>0.99812017024873212</v>
      </c>
      <c r="K120" s="674">
        <f>I120/F120*J120*EXP(-LN(2)/10990*($F$96-G120))</f>
        <v>-3.1778187197831774E-10</v>
      </c>
      <c r="L120" s="599">
        <f>K120-AVERAGE(S102:S103)</f>
        <v>-3.1775806001094622E-10</v>
      </c>
      <c r="M120" s="599" t="e">
        <f>ABS(#REF!*L120*3600)</f>
        <v>#REF!</v>
      </c>
      <c r="N120" s="657">
        <f>ABS($B$34*L120*3600)</f>
        <v>2.8827011204193041E-2</v>
      </c>
      <c r="O120" s="614">
        <f>N120*$C$87</f>
        <v>2.8827011204193043</v>
      </c>
      <c r="P120" s="672">
        <f>N120*$F$78</f>
        <v>3.4592413445031646E-2</v>
      </c>
      <c r="Q120" s="600">
        <f>N120*$F$83</f>
        <v>3.4880683557073577E-2</v>
      </c>
      <c r="R120" s="672">
        <f>N120*$F$80</f>
        <v>3.4880683557073577E-2</v>
      </c>
      <c r="S120" s="676">
        <f>N120*$F$79</f>
        <v>3.6033764005241303E-2</v>
      </c>
      <c r="T120" s="677"/>
      <c r="U120" s="669"/>
      <c r="V120" s="670"/>
      <c r="W120" s="671"/>
      <c r="X120" s="678"/>
      <c r="Y120" s="663"/>
      <c r="Z120" s="650"/>
      <c r="AA120" s="651" t="str">
        <f>IF(Z120="Low",W120*$D$42,IF(Z120="Med",W120*$D$43,IF(Z120="High",W120*$D$44,"rango cal. out")))</f>
        <v>rango cal. out</v>
      </c>
      <c r="AB120" s="619" t="e">
        <f>((273.2+T120)*$F$33/((273.2+$F$32)*V120))</f>
        <v>#DIV/0!</v>
      </c>
      <c r="AC120" s="674" t="e">
        <f>AA120/X120*AB120*EXP(-LN(2)/10990*($F$96-Y120))</f>
        <v>#VALUE!</v>
      </c>
      <c r="AD120" s="599" t="e">
        <f>AC120-AVERAGE(#REF!)</f>
        <v>#VALUE!</v>
      </c>
      <c r="AE120" s="599" t="e">
        <f>ABS(#REF!*AD120*3600)</f>
        <v>#REF!</v>
      </c>
      <c r="AF120" s="657" t="e">
        <f>ABS($B$34*AD120*3600)</f>
        <v>#VALUE!</v>
      </c>
      <c r="AG120" s="614" t="e">
        <f>AF120*$C$87</f>
        <v>#VALUE!</v>
      </c>
      <c r="AH120" s="672" t="e">
        <f>AF120*$F$78</f>
        <v>#VALUE!</v>
      </c>
      <c r="AI120" s="600" t="e">
        <f>AF120*$F$83</f>
        <v>#VALUE!</v>
      </c>
      <c r="AJ120" s="672" t="e">
        <f>AF120*$F$80</f>
        <v>#VALUE!</v>
      </c>
      <c r="AK120" s="676" t="e">
        <f>AF120*$F$79</f>
        <v>#VALUE!</v>
      </c>
      <c r="AL120" s="668"/>
      <c r="AM120" s="669"/>
      <c r="AN120" s="670"/>
      <c r="AO120" s="671"/>
      <c r="AP120" s="678"/>
      <c r="AQ120" s="663"/>
      <c r="AR120" s="650"/>
      <c r="AS120" s="651" t="str">
        <f>IF(AR120="Low",AO120*$D$42,IF(AR120="Med",AO120*$D$43,IF(AR120="High",AO120*$D$44,"rango cal. out")))</f>
        <v>rango cal. out</v>
      </c>
      <c r="AT120" s="619" t="e">
        <f>((273.2+AL120)*$F$33/((273.2+$F$32)*AN120))</f>
        <v>#DIV/0!</v>
      </c>
      <c r="AU120" s="674" t="e">
        <f>AS120/AP120*AT120*EXP(-LN(2)/10990*($F$96-AQ120))</f>
        <v>#VALUE!</v>
      </c>
      <c r="AV120" s="599" t="e">
        <f>AU120-AVERAGE(BC102:BC103)</f>
        <v>#VALUE!</v>
      </c>
      <c r="AW120" s="599" t="e">
        <f>ABS(#REF!*AV120*3600)</f>
        <v>#REF!</v>
      </c>
      <c r="AX120" s="657" t="e">
        <f>ABS($B$34*AV120*3600)</f>
        <v>#VALUE!</v>
      </c>
      <c r="AY120" s="614" t="e">
        <f>AX120*$C$87</f>
        <v>#VALUE!</v>
      </c>
      <c r="AZ120" s="672" t="e">
        <f>AX120*$F$78</f>
        <v>#VALUE!</v>
      </c>
      <c r="BA120" s="600" t="e">
        <f>AX120*$F$83</f>
        <v>#VALUE!</v>
      </c>
      <c r="BB120" s="672" t="e">
        <f>AX120*$F$80</f>
        <v>#VALUE!</v>
      </c>
      <c r="BC120" s="676" t="e">
        <f>AX120*$F$79</f>
        <v>#VALUE!</v>
      </c>
      <c r="BD120" s="668"/>
      <c r="BE120" s="669"/>
      <c r="BF120" s="670"/>
      <c r="BG120" s="1998">
        <f t="shared" si="218"/>
        <v>-2.9819999999999998E-9</v>
      </c>
      <c r="BH120" s="678"/>
      <c r="BI120" s="663">
        <v>44333</v>
      </c>
      <c r="BJ120" s="650"/>
      <c r="BK120" s="651" t="str">
        <f>IF(BJ120="Low",BG120*$D$42,IF(BJ120="Med",BG120*$D$43,IF(BJ120="High",BG120*$D$44,"rango cal. out")))</f>
        <v>rango cal. out</v>
      </c>
      <c r="BL120" s="619" t="e">
        <f>((273.2+BD120)*$F$33/((273.2+$F$32)*BF120))</f>
        <v>#DIV/0!</v>
      </c>
      <c r="BM120" s="74" t="s">
        <v>1079</v>
      </c>
      <c r="BN120" s="599" t="e">
        <f>BM120-AVERAGE(BU102:BU103)</f>
        <v>#VALUE!</v>
      </c>
      <c r="BO120" s="599" t="e">
        <f>ABS(#REF!*BN120*3600)</f>
        <v>#REF!</v>
      </c>
      <c r="BP120" s="657" t="e">
        <f>ABS($B$34*BN120*3600)</f>
        <v>#VALUE!</v>
      </c>
      <c r="BQ120" s="614" t="e">
        <f>BP120*$C$87</f>
        <v>#VALUE!</v>
      </c>
      <c r="BR120" s="672" t="e">
        <f>BP120*$F$78</f>
        <v>#VALUE!</v>
      </c>
      <c r="BS120" s="600" t="e">
        <f>BP120*$F$83</f>
        <v>#VALUE!</v>
      </c>
      <c r="BT120" s="672" t="e">
        <f>BP120*$F$80</f>
        <v>#VALUE!</v>
      </c>
      <c r="BU120" s="676" t="e">
        <f>BP120*$F$79</f>
        <v>#VALUE!</v>
      </c>
      <c r="BV120" s="668"/>
      <c r="BW120" s="669"/>
      <c r="BX120" s="670"/>
      <c r="BY120" s="1998">
        <v>-1.58E-10</v>
      </c>
      <c r="BZ120" s="678"/>
      <c r="CA120" s="663">
        <v>44333</v>
      </c>
      <c r="CB120" s="650"/>
      <c r="CC120" s="651" t="str">
        <f>IF(CB120="Low",BY120*$D$42,IF(CB120="Med",BY120*$D$43,IF(CB120="High",BY120*$D$44,"rango cal. out")))</f>
        <v>rango cal. out</v>
      </c>
      <c r="CD120" s="619" t="e">
        <f>((273.2+BV120)*$F$33/((273.2+$F$32)*BX120))</f>
        <v>#DIV/0!</v>
      </c>
      <c r="CE120" s="674" t="e">
        <f>CC120/BZ120*CD120*EXP(-LN(2)/10990*($F$96-CA120))</f>
        <v>#VALUE!</v>
      </c>
      <c r="CF120" s="599" t="e">
        <f>CE120-AVERAGE(CM102:CM103)</f>
        <v>#VALUE!</v>
      </c>
      <c r="CG120" s="599" t="e">
        <f>ABS(#REF!*CF120*3600)</f>
        <v>#REF!</v>
      </c>
      <c r="CH120" s="657" t="e">
        <f>ABS($B$34*CF120*3600)</f>
        <v>#VALUE!</v>
      </c>
      <c r="CI120" s="614" t="e">
        <f>CH120*$C$87</f>
        <v>#VALUE!</v>
      </c>
      <c r="CJ120" s="672" t="e">
        <f>CH120*$F$78</f>
        <v>#VALUE!</v>
      </c>
      <c r="CK120" s="600" t="e">
        <f>CH120*$F$83</f>
        <v>#VALUE!</v>
      </c>
      <c r="CL120" s="672" t="e">
        <f>CH120*$F$80</f>
        <v>#VALUE!</v>
      </c>
      <c r="CM120" s="676" t="e">
        <f>CH120*$F$79</f>
        <v>#VALUE!</v>
      </c>
      <c r="CN120" s="668"/>
      <c r="CO120" s="669"/>
      <c r="CP120" s="670"/>
      <c r="CQ120" s="1998">
        <v>-6.9749999999999996E-9</v>
      </c>
      <c r="CR120" s="678"/>
      <c r="CS120" s="663">
        <v>44333</v>
      </c>
      <c r="CT120" s="650"/>
      <c r="CU120" s="651" t="str">
        <f>IF(CT120="Low",CQ120*$D$42,IF(CT120="Med",CQ120*$D$43,IF(CT120="High",CQ120*$D$44,"rango cal. out")))</f>
        <v>rango cal. out</v>
      </c>
      <c r="CV120" s="619" t="e">
        <f>((273.2+CN120)*$F$33/((273.2+$F$32)*CP120))</f>
        <v>#DIV/0!</v>
      </c>
      <c r="CW120" s="674" t="e">
        <f>CU120/CR120*CV120*EXP(-LN(2)/10990*($F$96-CS120))</f>
        <v>#VALUE!</v>
      </c>
      <c r="CX120" s="599" t="e">
        <f>CW120-AVERAGE(DE102:DE103)</f>
        <v>#VALUE!</v>
      </c>
      <c r="CY120" s="599" t="e">
        <f>ABS(#REF!*CX120*3600)</f>
        <v>#REF!</v>
      </c>
      <c r="CZ120" s="657" t="e">
        <f>ABS($B$34*CX120*3600)</f>
        <v>#VALUE!</v>
      </c>
      <c r="DA120" s="614" t="e">
        <f>CZ120*$C$87</f>
        <v>#VALUE!</v>
      </c>
      <c r="DB120" s="672" t="e">
        <f>CZ120*$F$78</f>
        <v>#VALUE!</v>
      </c>
      <c r="DC120" s="600" t="e">
        <f>CZ120*$F$83</f>
        <v>#VALUE!</v>
      </c>
      <c r="DD120" s="672" t="e">
        <f>CZ120*$F$80</f>
        <v>#VALUE!</v>
      </c>
      <c r="DE120" s="676" t="e">
        <f>CZ120*$F$79</f>
        <v>#VALUE!</v>
      </c>
      <c r="DF120" s="668"/>
      <c r="DG120" s="669"/>
      <c r="DH120" s="670"/>
      <c r="DI120" s="671"/>
      <c r="DJ120" s="678"/>
      <c r="DK120" s="663"/>
      <c r="DL120" s="650"/>
      <c r="DM120" s="651" t="str">
        <f>IF(DL120="Low",DI120*$D$42,IF(DL120="Med",DI120*$D$43,IF(DL120="High",DI120*$D$44,"rango cal. out")))</f>
        <v>rango cal. out</v>
      </c>
      <c r="DN120" s="619" t="e">
        <f>((273.2+DF120)*$F$33/((273.2+$F$32)*DH120))</f>
        <v>#DIV/0!</v>
      </c>
      <c r="DO120" s="674" t="e">
        <f>DM120/DJ120*DN120*EXP(-LN(2)/10990*($F$96-DK120))</f>
        <v>#VALUE!</v>
      </c>
      <c r="DP120" s="599" t="e">
        <f>DO120-AVERAGE(DW102:DW103)</f>
        <v>#VALUE!</v>
      </c>
      <c r="DQ120" s="599" t="e">
        <f>ABS(#REF!*DP120*3600)</f>
        <v>#REF!</v>
      </c>
      <c r="DR120" s="657" t="e">
        <f>ABS($B$34*DP120*3600)</f>
        <v>#VALUE!</v>
      </c>
      <c r="DS120" s="614" t="e">
        <f>DR120*$C$87</f>
        <v>#VALUE!</v>
      </c>
      <c r="DT120" s="672" t="e">
        <f>DR120*$F$78</f>
        <v>#VALUE!</v>
      </c>
      <c r="DU120" s="600" t="e">
        <f>DR120*$F$83</f>
        <v>#VALUE!</v>
      </c>
      <c r="DV120" s="672" t="e">
        <f>DR120*$F$80</f>
        <v>#VALUE!</v>
      </c>
      <c r="DW120" s="676" t="e">
        <f>DR120*$F$79</f>
        <v>#VALUE!</v>
      </c>
      <c r="DX120" s="668"/>
      <c r="DY120" s="669"/>
      <c r="DZ120" s="677"/>
      <c r="EA120" s="679"/>
      <c r="EB120" s="678"/>
      <c r="EC120" s="663"/>
      <c r="ED120" s="650"/>
      <c r="EE120" s="651" t="str">
        <f>IF(ED120="Low",EA120*$D$42,IF(ED120="Med",EA120*$D$43,IF(ED120="High",EA120*$D$44,"rango cal. out")))</f>
        <v>rango cal. out</v>
      </c>
      <c r="EF120" s="619" t="e">
        <f>((273.2+DX120)*$F$33/((273.2+$F$32)*DZ120))</f>
        <v>#DIV/0!</v>
      </c>
      <c r="EG120" s="674" t="e">
        <f>EE120/EB120*EF120*EXP(-LN(2)/10990*($F$96-EC120))</f>
        <v>#VALUE!</v>
      </c>
      <c r="EH120" s="599" t="e">
        <f>EG120-AVERAGE(EO102:EO103)</f>
        <v>#VALUE!</v>
      </c>
      <c r="EI120" s="599" t="e">
        <f>ABS(#REF!*EH120*3600)</f>
        <v>#REF!</v>
      </c>
      <c r="EJ120" s="657" t="e">
        <f>ABS($B$34*EH120*3600)</f>
        <v>#VALUE!</v>
      </c>
      <c r="EK120" s="614" t="e">
        <f>EJ120*$C$87</f>
        <v>#VALUE!</v>
      </c>
      <c r="EL120" s="672" t="e">
        <f>EJ120*$F$78</f>
        <v>#VALUE!</v>
      </c>
      <c r="EM120" s="600" t="e">
        <f>EJ120*$F$83</f>
        <v>#VALUE!</v>
      </c>
      <c r="EN120" s="672" t="e">
        <f>EJ120*$F$80</f>
        <v>#VALUE!</v>
      </c>
      <c r="EO120" s="676" t="e">
        <f>EJ120*$F$79</f>
        <v>#VALUE!</v>
      </c>
      <c r="EP120" s="668"/>
      <c r="EQ120" s="669"/>
      <c r="ER120" s="670"/>
      <c r="ES120" s="1998">
        <v>-1.45E-11</v>
      </c>
      <c r="ET120" s="678"/>
      <c r="EU120" s="663">
        <v>44333</v>
      </c>
      <c r="EV120" s="650"/>
      <c r="EW120" s="651" t="str">
        <f>IF(EV120="Low",ES120*$D$42,IF(EV120="Med",ES120*$D$43,IF(EV120="High",ES120*$D$44,"rango cal. out")))</f>
        <v>rango cal. out</v>
      </c>
      <c r="EX120" s="619" t="e">
        <f>((273.2+EP120)*$F$33/((273.2+$F$32)*ER120))</f>
        <v>#DIV/0!</v>
      </c>
      <c r="EY120" s="674" t="e">
        <f>EW120/ET120*EX120*EXP(-LN(2)/10990*($F$96-EU120))</f>
        <v>#VALUE!</v>
      </c>
      <c r="EZ120" s="599" t="e">
        <f>EY120-AVERAGE(FG102:FG103)</f>
        <v>#VALUE!</v>
      </c>
      <c r="FA120" s="599" t="e">
        <f>ABS(#REF!*EZ120*3600)</f>
        <v>#REF!</v>
      </c>
      <c r="FB120" s="657" t="e">
        <f>ABS($B$34*EZ120*3600)</f>
        <v>#VALUE!</v>
      </c>
      <c r="FC120" s="614" t="e">
        <f>FB120*$C$87</f>
        <v>#VALUE!</v>
      </c>
      <c r="FD120" s="672" t="e">
        <f>FB120*$F$78</f>
        <v>#VALUE!</v>
      </c>
      <c r="FE120" s="600" t="e">
        <f>FB120*$F$83</f>
        <v>#VALUE!</v>
      </c>
      <c r="FF120" s="672" t="e">
        <f>FB120*$F$80</f>
        <v>#VALUE!</v>
      </c>
      <c r="FG120" s="676" t="e">
        <f>FB120*$F$79</f>
        <v>#VALUE!</v>
      </c>
      <c r="FH120" s="668"/>
      <c r="FI120" s="669"/>
      <c r="FJ120" s="670"/>
      <c r="FK120" s="671"/>
      <c r="FL120" s="678"/>
      <c r="FM120" s="663"/>
      <c r="FN120" s="650"/>
      <c r="FO120" s="651" t="str">
        <f>IF(FN120="Low",FK120*$D$42,IF(FN120="Med",FK120*$D$43,IF(FN120="High",FK120*$D$44,"rango cal. out")))</f>
        <v>rango cal. out</v>
      </c>
      <c r="FP120" s="619" t="e">
        <f>((273.2+FH120)*$F$33/((273.2+$F$32)*FJ120))</f>
        <v>#DIV/0!</v>
      </c>
      <c r="FQ120" s="674" t="e">
        <f>FO120/FL120*FP120*EXP(-LN(2)/10990*($F$96-FM120))</f>
        <v>#VALUE!</v>
      </c>
      <c r="FR120" s="599" t="e">
        <f>FQ120-AVERAGE(FY102:FY103)</f>
        <v>#VALUE!</v>
      </c>
      <c r="FS120" s="599" t="e">
        <f>ABS(#REF!*FR120*3600)</f>
        <v>#REF!</v>
      </c>
      <c r="FT120" s="657" t="e">
        <f>ABS($B$34*FR120*3600)</f>
        <v>#VALUE!</v>
      </c>
      <c r="FU120" s="614" t="e">
        <f>FT120*$C$87</f>
        <v>#VALUE!</v>
      </c>
      <c r="FV120" s="672" t="e">
        <f>FT120*$F$78</f>
        <v>#VALUE!</v>
      </c>
      <c r="FW120" s="600" t="e">
        <f>FT120*$F$83</f>
        <v>#VALUE!</v>
      </c>
      <c r="FX120" s="672" t="e">
        <f>FT120*$F$80</f>
        <v>#VALUE!</v>
      </c>
      <c r="FY120" s="676" t="e">
        <f>FT120*$F$79</f>
        <v>#VALUE!</v>
      </c>
      <c r="FZ120" s="668"/>
      <c r="GA120" s="669"/>
      <c r="GB120" s="670"/>
      <c r="GC120" s="671"/>
      <c r="GD120" s="678"/>
      <c r="GE120" s="663"/>
      <c r="GF120" s="650"/>
      <c r="GG120" s="651" t="str">
        <f>IF(GF120="Low",GC120*$D$42,IF(GF120="Med",GC120*$D$43,IF(GF120="High",GC120*$D$44,"rango cal. out")))</f>
        <v>rango cal. out</v>
      </c>
      <c r="GH120" s="619" t="e">
        <f>((273.2+FZ120)*$F$33/((273.2+$F$32)*GB120))</f>
        <v>#DIV/0!</v>
      </c>
      <c r="GI120" s="674" t="e">
        <f>GG120/GD120*GH120*EXP(-LN(2)/10990*($F$96-GE120))</f>
        <v>#VALUE!</v>
      </c>
      <c r="GJ120" s="599" t="e">
        <f>GI120-AVERAGE(GQ102:GQ103)</f>
        <v>#VALUE!</v>
      </c>
      <c r="GK120" s="599" t="e">
        <f>ABS(#REF!*GJ120*3600)</f>
        <v>#REF!</v>
      </c>
      <c r="GL120" s="657" t="e">
        <f>ABS($B$34*GJ120*3600)</f>
        <v>#VALUE!</v>
      </c>
      <c r="GM120" s="614" t="e">
        <f>GL120*$C$87</f>
        <v>#VALUE!</v>
      </c>
      <c r="GN120" s="672" t="e">
        <f>GL120*$F$78</f>
        <v>#VALUE!</v>
      </c>
      <c r="GO120" s="600" t="e">
        <f>GL120*$F$83</f>
        <v>#VALUE!</v>
      </c>
      <c r="GP120" s="672" t="e">
        <f>GL120*$F$80</f>
        <v>#VALUE!</v>
      </c>
      <c r="GQ120" s="676" t="e">
        <f>GL120*$F$79</f>
        <v>#VALUE!</v>
      </c>
      <c r="GR120" s="668"/>
      <c r="GS120" s="669"/>
      <c r="GT120" s="677"/>
      <c r="GU120" s="679"/>
      <c r="GV120" s="678"/>
      <c r="GW120" s="663"/>
      <c r="GX120" s="650"/>
      <c r="GY120" s="651" t="str">
        <f>IF(GX120="Low",GU120*$D$42,IF(GX120="Med",GU120*$D$43,IF(GX120="High",GU120*$D$44,"rango cal. out")))</f>
        <v>rango cal. out</v>
      </c>
      <c r="GZ120" s="619" t="e">
        <f>((273.2+GR120)*$F$33/((273.2+$F$32)*GT120))</f>
        <v>#DIV/0!</v>
      </c>
      <c r="HA120" s="674" t="e">
        <f>GY120/GV120*GZ120*EXP(-LN(2)/10990*($F$96-GW120))</f>
        <v>#VALUE!</v>
      </c>
      <c r="HB120" s="599" t="e">
        <f>HA120-AVERAGE(HI102:HI103)</f>
        <v>#VALUE!</v>
      </c>
      <c r="HC120" s="599" t="e">
        <f>ABS(#REF!*HB120*3600)</f>
        <v>#REF!</v>
      </c>
      <c r="HD120" s="657" t="e">
        <f>ABS($B$34*HB120*3600)</f>
        <v>#VALUE!</v>
      </c>
      <c r="HE120" s="614" t="e">
        <f>HD120*$C$87</f>
        <v>#VALUE!</v>
      </c>
      <c r="HF120" s="672" t="e">
        <f>HD120*$F$78</f>
        <v>#VALUE!</v>
      </c>
      <c r="HG120" s="600" t="e">
        <f>HD120*$F$83</f>
        <v>#VALUE!</v>
      </c>
      <c r="HH120" s="672" t="e">
        <f>HD120*$F$80</f>
        <v>#VALUE!</v>
      </c>
      <c r="HI120" s="676" t="e">
        <f>HD120*$F$79</f>
        <v>#VALUE!</v>
      </c>
      <c r="HJ120" s="668"/>
      <c r="HK120" s="669"/>
      <c r="HL120" s="670"/>
      <c r="HM120" s="671"/>
      <c r="HN120" s="678"/>
      <c r="HO120" s="663"/>
      <c r="HP120" s="650"/>
      <c r="HQ120" s="651" t="str">
        <f>IF(HP120="Low",HM120*$D$42,IF(HP120="Med",HM120*$D$43,IF(HP120="High",HM120*$D$44,"rango cal. out")))</f>
        <v>rango cal. out</v>
      </c>
      <c r="HR120" s="619" t="e">
        <f>((273.2+HJ120)*$F$33/((273.2+$F$32)*HL120))</f>
        <v>#DIV/0!</v>
      </c>
      <c r="HS120" s="674" t="e">
        <f>HQ120/HN120*HR120*EXP(-LN(2)/10990*($F$96-HO120))</f>
        <v>#VALUE!</v>
      </c>
      <c r="HT120" s="599" t="e">
        <f>HS120-AVERAGE(IA102:IA103)</f>
        <v>#VALUE!</v>
      </c>
      <c r="HU120" s="599" t="e">
        <f>ABS(#REF!*HT120*3600)</f>
        <v>#REF!</v>
      </c>
      <c r="HV120" s="657" t="e">
        <f>ABS($B$34*HT120*3600)</f>
        <v>#VALUE!</v>
      </c>
      <c r="HW120" s="614" t="e">
        <f>HV120*$C$87</f>
        <v>#VALUE!</v>
      </c>
      <c r="HX120" s="672" t="e">
        <f>HV120*$F$78</f>
        <v>#VALUE!</v>
      </c>
      <c r="HY120" s="600" t="e">
        <f>HV120*$F$83</f>
        <v>#VALUE!</v>
      </c>
      <c r="HZ120" s="672" t="e">
        <f>HV120*$F$80</f>
        <v>#VALUE!</v>
      </c>
      <c r="IA120" s="676" t="e">
        <f>HV120*$F$79</f>
        <v>#VALUE!</v>
      </c>
      <c r="IB120" s="668"/>
      <c r="IC120" s="669"/>
      <c r="ID120" s="670"/>
      <c r="IE120" s="671"/>
      <c r="IF120" s="678"/>
      <c r="IG120" s="663"/>
      <c r="IH120" s="650"/>
      <c r="II120" s="651" t="str">
        <f>IF(IH120="Low",IE120*$D$42,IF(IH120="Med",IE120*$D$43,IF(IH120="High",IE120*$D$44,"rango cal. out")))</f>
        <v>rango cal. out</v>
      </c>
      <c r="IJ120" s="619" t="e">
        <f>((273.2+IB120)*$F$33/((273.2+$F$32)*ID120))</f>
        <v>#DIV/0!</v>
      </c>
      <c r="IK120" s="674" t="e">
        <f>II120/IF120*IJ120*EXP(-LN(2)/10990*($F$96-IG120))</f>
        <v>#VALUE!</v>
      </c>
      <c r="IL120" s="599" t="e">
        <f>IK120-AVERAGE(IS102:IS103)</f>
        <v>#VALUE!</v>
      </c>
      <c r="IM120" s="599" t="e">
        <f>ABS(#REF!*IL120*3600)</f>
        <v>#REF!</v>
      </c>
      <c r="IN120" s="657" t="e">
        <f>ABS($B$34*IL120*3600)</f>
        <v>#VALUE!</v>
      </c>
      <c r="IO120" s="614" t="e">
        <f>IN120*$C$87</f>
        <v>#VALUE!</v>
      </c>
      <c r="IP120" s="672" t="e">
        <f>IN120*$F$78</f>
        <v>#VALUE!</v>
      </c>
      <c r="IQ120" s="600" t="e">
        <f>IN120*$F$83</f>
        <v>#VALUE!</v>
      </c>
      <c r="IR120" s="672" t="e">
        <f>IN120*$F$80</f>
        <v>#VALUE!</v>
      </c>
      <c r="IS120" s="676" t="e">
        <f>IN120*$F$79</f>
        <v>#VALUE!</v>
      </c>
      <c r="IT120" s="668"/>
      <c r="IU120" s="669"/>
      <c r="IV120" s="670"/>
      <c r="IW120" s="671"/>
      <c r="IX120" s="678"/>
      <c r="IY120" s="663"/>
      <c r="IZ120" s="650"/>
      <c r="JA120" s="651" t="str">
        <f>IF(IZ120="Low",IW120*$D$42,IF(IZ120="Med",IW120*$D$43,IF(IZ120="High",IW120*$D$44,"rango cal. out")))</f>
        <v>rango cal. out</v>
      </c>
      <c r="JB120" s="619" t="e">
        <f>((273.2+IT120)*$F$33/((273.2+$F$32)*IV120))</f>
        <v>#DIV/0!</v>
      </c>
      <c r="JC120" s="674" t="e">
        <f>JA120/IX120*JB120*EXP(-LN(2)/10990*($F$96-IY120))</f>
        <v>#VALUE!</v>
      </c>
      <c r="JD120" s="599" t="e">
        <f>JC120-AVERAGE(JK102:JK103)</f>
        <v>#VALUE!</v>
      </c>
      <c r="JE120" s="599" t="e">
        <f>ABS(#REF!*JD120*3600)</f>
        <v>#REF!</v>
      </c>
      <c r="JF120" s="657" t="e">
        <f>ABS($B$34*JD120*3600)</f>
        <v>#VALUE!</v>
      </c>
      <c r="JG120" s="614" t="e">
        <f>JF120*$C$87</f>
        <v>#VALUE!</v>
      </c>
      <c r="JH120" s="672" t="e">
        <f>JF120*$F$78</f>
        <v>#VALUE!</v>
      </c>
      <c r="JI120" s="600" t="e">
        <f>JF120*$F$83</f>
        <v>#VALUE!</v>
      </c>
      <c r="JJ120" s="672" t="e">
        <f>JF120*$F$80</f>
        <v>#VALUE!</v>
      </c>
      <c r="JK120" s="676" t="e">
        <f>JF120*$F$79</f>
        <v>#VALUE!</v>
      </c>
      <c r="JL120" s="668"/>
      <c r="JM120" s="669"/>
      <c r="JN120" s="670"/>
      <c r="JO120" s="671"/>
      <c r="JP120" s="678"/>
      <c r="JQ120" s="663"/>
      <c r="JR120" s="650"/>
      <c r="JS120" s="651" t="str">
        <f>IF(JR120="Low",JO120*$D$42,IF(JR120="Med",JO120*$D$43,IF(JR120="High",JO120*$D$44,"rango cal. out")))</f>
        <v>rango cal. out</v>
      </c>
      <c r="JT120" s="619" t="e">
        <f>((273.2+JL120)*$F$33/((273.2+$F$32)*JN120))</f>
        <v>#DIV/0!</v>
      </c>
      <c r="JU120" s="674" t="e">
        <f>JS120/JP120*JT120*EXP(-LN(2)/10990*($F$96-JQ120))</f>
        <v>#VALUE!</v>
      </c>
      <c r="JV120" s="599" t="e">
        <f>JU120-AVERAGE(KC102:KC103)</f>
        <v>#VALUE!</v>
      </c>
      <c r="JW120" s="599" t="e">
        <f>ABS(#REF!*JV120*3600)</f>
        <v>#REF!</v>
      </c>
      <c r="JX120" s="657" t="e">
        <f>ABS($B$34*JV120*3600)</f>
        <v>#VALUE!</v>
      </c>
      <c r="JY120" s="614" t="e">
        <f>JX120*$C$87</f>
        <v>#VALUE!</v>
      </c>
      <c r="JZ120" s="672" t="e">
        <f>JX120*$F$78</f>
        <v>#VALUE!</v>
      </c>
      <c r="KA120" s="600" t="e">
        <f>JX120*$F$83</f>
        <v>#VALUE!</v>
      </c>
      <c r="KB120" s="672" t="e">
        <f>JX120*$F$80</f>
        <v>#VALUE!</v>
      </c>
      <c r="KC120" s="676" t="e">
        <f>JX120*$F$79</f>
        <v>#VALUE!</v>
      </c>
      <c r="KD120" s="668"/>
      <c r="KE120" s="669"/>
      <c r="KF120" s="670"/>
      <c r="KG120" s="671"/>
      <c r="KH120" s="678"/>
      <c r="KI120" s="663"/>
      <c r="KJ120" s="650"/>
      <c r="KK120" s="651" t="str">
        <f>IF(KJ120="Low",KG120*$D$42,IF(KJ120="Med",KG120*$D$43,IF(KJ120="High",KG120*$D$44,"rango cal. out")))</f>
        <v>rango cal. out</v>
      </c>
      <c r="KL120" s="619" t="e">
        <f>((273.2+KD120)*$F$33/((273.2+$F$32)*KF120))</f>
        <v>#DIV/0!</v>
      </c>
      <c r="KM120" s="674" t="e">
        <f>KK120/KH120*KL120*EXP(-LN(2)/10990*($F$96-KI120))</f>
        <v>#VALUE!</v>
      </c>
      <c r="KN120" s="599" t="e">
        <f>KM120-AVERAGE(KU102:KU103)</f>
        <v>#VALUE!</v>
      </c>
      <c r="KO120" s="599" t="e">
        <f>ABS(#REF!*KN120*3600)</f>
        <v>#REF!</v>
      </c>
      <c r="KP120" s="657" t="e">
        <f>ABS($B$34*KN120*3600)</f>
        <v>#VALUE!</v>
      </c>
      <c r="KQ120" s="614" t="e">
        <f>KP120*$C$87</f>
        <v>#VALUE!</v>
      </c>
      <c r="KR120" s="672" t="e">
        <f>KP120*$F$78</f>
        <v>#VALUE!</v>
      </c>
      <c r="KS120" s="600" t="e">
        <f>KP120*$F$83</f>
        <v>#VALUE!</v>
      </c>
      <c r="KT120" s="672" t="e">
        <f>KP120*$F$80</f>
        <v>#VALUE!</v>
      </c>
      <c r="KU120" s="676" t="e">
        <f>KP120*$F$79</f>
        <v>#VALUE!</v>
      </c>
      <c r="KV120" s="668"/>
      <c r="KW120" s="669"/>
      <c r="KX120" s="670"/>
      <c r="KY120" s="671"/>
      <c r="KZ120" s="678"/>
      <c r="LA120" s="663"/>
      <c r="LB120" s="650"/>
      <c r="LC120" s="651" t="str">
        <f>IF(LB120="Low",KY120*$D$42,IF(LB120="Med",KY120*$D$43,IF(LB120="High",KY120*$D$44,"rango cal. out")))</f>
        <v>rango cal. out</v>
      </c>
      <c r="LD120" s="619" t="e">
        <f>((273.2+KV120)*$F$33/((273.2+$F$32)*KX120))</f>
        <v>#DIV/0!</v>
      </c>
      <c r="LE120" s="674" t="e">
        <f>LC120/KZ120*LD120*EXP(-LN(2)/10990*($F$96-LA120))</f>
        <v>#VALUE!</v>
      </c>
      <c r="LF120" s="599" t="e">
        <f>LE120-AVERAGE(LM102:LM103)</f>
        <v>#VALUE!</v>
      </c>
      <c r="LG120" s="599" t="e">
        <f>ABS(#REF!*LF120*3600)</f>
        <v>#REF!</v>
      </c>
      <c r="LH120" s="657" t="e">
        <f>ABS($B$34*LF120*3600)</f>
        <v>#VALUE!</v>
      </c>
      <c r="LI120" s="614" t="e">
        <f>LH120*$C$87</f>
        <v>#VALUE!</v>
      </c>
      <c r="LJ120" s="672" t="e">
        <f>LH120*$F$78</f>
        <v>#VALUE!</v>
      </c>
      <c r="LK120" s="600" t="e">
        <f>LH120*$F$83</f>
        <v>#VALUE!</v>
      </c>
      <c r="LL120" s="672" t="e">
        <f>LH120*$F$80</f>
        <v>#VALUE!</v>
      </c>
      <c r="LM120" s="676" t="e">
        <f>LH120*$F$79</f>
        <v>#VALUE!</v>
      </c>
      <c r="LN120" s="668"/>
      <c r="LO120" s="669"/>
      <c r="LP120" s="670"/>
      <c r="LQ120" s="671"/>
      <c r="LR120" s="678"/>
      <c r="LS120" s="663"/>
      <c r="LT120" s="650"/>
      <c r="LU120" s="651" t="str">
        <f>IF(LT120="Low",LQ120*$D$42,IF(LT120="Med",LQ120*$D$43,IF(LT120="High",LQ120*$D$44,"rango cal. out")))</f>
        <v>rango cal. out</v>
      </c>
      <c r="LV120" s="619" t="e">
        <f>((273.2+LN120)*$F$33/((273.2+$F$32)*LP120))</f>
        <v>#DIV/0!</v>
      </c>
      <c r="LW120" s="674" t="e">
        <f>LU120/LR120*LV120*EXP(-LN(2)/10990*($F$96-LS120))</f>
        <v>#VALUE!</v>
      </c>
      <c r="LX120" s="599" t="e">
        <f>LW120-AVERAGE(ME102:ME103)</f>
        <v>#VALUE!</v>
      </c>
      <c r="LY120" s="599" t="e">
        <f>ABS(#REF!*LX120*3600)</f>
        <v>#REF!</v>
      </c>
      <c r="LZ120" s="657" t="e">
        <f>ABS($B$34*LX120*3600)</f>
        <v>#VALUE!</v>
      </c>
      <c r="MA120" s="614" t="e">
        <f>LZ120*$C$87</f>
        <v>#VALUE!</v>
      </c>
      <c r="MB120" s="672" t="e">
        <f>LZ120*$F$78</f>
        <v>#VALUE!</v>
      </c>
      <c r="MC120" s="600" t="e">
        <f>LZ120*$F$83</f>
        <v>#VALUE!</v>
      </c>
      <c r="MD120" s="672" t="e">
        <f>LZ120*$F$80</f>
        <v>#VALUE!</v>
      </c>
      <c r="ME120" s="676" t="e">
        <f>LZ120*$F$79</f>
        <v>#VALUE!</v>
      </c>
      <c r="MF120" s="668"/>
      <c r="MG120" s="669"/>
      <c r="MH120" s="670"/>
      <c r="MI120" s="671"/>
      <c r="MJ120" s="678"/>
      <c r="MK120" s="663"/>
      <c r="ML120" s="650"/>
      <c r="MM120" s="651" t="str">
        <f>IF(ML120="Low",MI120*$D$42,IF(ML120="Med",MI120*$D$43,IF(ML120="High",MI120*$D$44,"rango cal. out")))</f>
        <v>rango cal. out</v>
      </c>
      <c r="MN120" s="619" t="e">
        <f>((273.2+MF120)*$F$33/((273.2+$F$32)*MH120))</f>
        <v>#DIV/0!</v>
      </c>
      <c r="MO120" s="674" t="e">
        <f>MM120/MJ120*MN120*EXP(-LN(2)/10990*($F$96-MK120))</f>
        <v>#VALUE!</v>
      </c>
      <c r="MP120" s="599" t="e">
        <f>MO120-AVERAGE(MW102:MW103)</f>
        <v>#VALUE!</v>
      </c>
      <c r="MQ120" s="599" t="e">
        <f>ABS(#REF!*MP120*3600)</f>
        <v>#REF!</v>
      </c>
      <c r="MR120" s="657" t="e">
        <f>ABS($B$34*MP120*3600)</f>
        <v>#VALUE!</v>
      </c>
      <c r="MS120" s="614" t="e">
        <f>MR120*$C$87</f>
        <v>#VALUE!</v>
      </c>
      <c r="MT120" s="672" t="e">
        <f>MR120*$F$78</f>
        <v>#VALUE!</v>
      </c>
      <c r="MU120" s="600" t="e">
        <f>MR120*$F$83</f>
        <v>#VALUE!</v>
      </c>
      <c r="MV120" s="672" t="e">
        <f>MR120*$F$80</f>
        <v>#VALUE!</v>
      </c>
      <c r="MW120" s="676" t="e">
        <f>MR120*$F$79</f>
        <v>#VALUE!</v>
      </c>
      <c r="MX120" s="668"/>
      <c r="MY120" s="669"/>
      <c r="MZ120" s="680"/>
      <c r="NA120" s="671"/>
      <c r="NB120" s="673"/>
      <c r="NC120" s="663"/>
      <c r="ND120" s="650"/>
      <c r="NE120" s="651" t="str">
        <f>IF(ND120="Low",NA120*$D$42,IF(ND120="Med",NA120*$D$43,IF(ND120="High",NA120*$D$44,"rango cal. out")))</f>
        <v>rango cal. out</v>
      </c>
      <c r="NF120" s="619" t="e">
        <f>((273.2+MX120)*$F$33/((273.2+$F$32)*MZ120))</f>
        <v>#DIV/0!</v>
      </c>
      <c r="NG120" s="674" t="e">
        <f>NE120/NB120*NF120*EXP(-LN(2)/10990*($F$96-NC120))</f>
        <v>#VALUE!</v>
      </c>
      <c r="NH120" s="599" t="e">
        <f>NG120-AVERAGE(NO102:NO103)</f>
        <v>#VALUE!</v>
      </c>
      <c r="NI120" s="599" t="e">
        <f>ABS(#REF!*NH120*3600)</f>
        <v>#REF!</v>
      </c>
      <c r="NJ120" s="657" t="e">
        <f>ABS($B$34*NH120*3600)</f>
        <v>#VALUE!</v>
      </c>
      <c r="NK120" s="614" t="e">
        <f>NJ120*$C$87</f>
        <v>#VALUE!</v>
      </c>
      <c r="NL120" s="672" t="e">
        <f>NJ120*$F$78</f>
        <v>#VALUE!</v>
      </c>
      <c r="NM120" s="600" t="e">
        <f>NJ120*$F$83</f>
        <v>#VALUE!</v>
      </c>
      <c r="NN120" s="672" t="e">
        <f>NJ120*$F$80</f>
        <v>#VALUE!</v>
      </c>
      <c r="NO120" s="676" t="e">
        <f>NJ120*$F$79</f>
        <v>#VALUE!</v>
      </c>
      <c r="NP120" s="668"/>
      <c r="NQ120" s="669"/>
      <c r="NR120" s="670"/>
      <c r="NS120" s="671"/>
      <c r="NT120" s="678"/>
      <c r="NU120" s="663"/>
      <c r="NV120" s="650"/>
      <c r="NW120" s="651" t="str">
        <f>IF(NV120="Low",NS120*$D$42,IF(NV120="Med",NS120*$D$43,IF(NV120="High",NS120*$D$44,"rango cal. out")))</f>
        <v>rango cal. out</v>
      </c>
      <c r="NX120" s="619" t="e">
        <f>((273.2+NP120)*$F$33/((273.2+$F$32)*NR120))</f>
        <v>#DIV/0!</v>
      </c>
      <c r="NY120" s="674" t="e">
        <f>NW120/NT120*NX120*EXP(-LN(2)/10990*($F$96-NU120))</f>
        <v>#VALUE!</v>
      </c>
      <c r="NZ120" s="599" t="e">
        <f>NY120-AVERAGE(OG102:OG103)</f>
        <v>#VALUE!</v>
      </c>
      <c r="OA120" s="599" t="e">
        <f>ABS(#REF!*NZ120*3600)</f>
        <v>#REF!</v>
      </c>
      <c r="OB120" s="657" t="e">
        <f>ABS($B$34*NZ120*3600)</f>
        <v>#VALUE!</v>
      </c>
      <c r="OC120" s="614" t="e">
        <f>OB120*$C$87</f>
        <v>#VALUE!</v>
      </c>
      <c r="OD120" s="672" t="e">
        <f>OB120*$F$78</f>
        <v>#VALUE!</v>
      </c>
      <c r="OE120" s="600" t="e">
        <f>OB120*$F$83</f>
        <v>#VALUE!</v>
      </c>
      <c r="OF120" s="672" t="e">
        <f>OB120*$F$80</f>
        <v>#VALUE!</v>
      </c>
      <c r="OG120" s="676" t="e">
        <f>OB120*$F$79</f>
        <v>#VALUE!</v>
      </c>
      <c r="OH120" s="668"/>
      <c r="OI120" s="669"/>
      <c r="OJ120" s="670"/>
      <c r="OK120" s="671"/>
      <c r="OL120" s="678"/>
      <c r="OM120" s="663"/>
      <c r="ON120" s="650"/>
      <c r="OO120" s="651" t="str">
        <f>IF(ON120="Low",OK120*$D$42,IF(ON120="Med",OK120*$D$43,IF(ON120="High",OK120*$D$44,"rango cal. out")))</f>
        <v>rango cal. out</v>
      </c>
      <c r="OP120" s="619" t="e">
        <f>((273.2+OH120)*$F$33/((273.2+$F$32)*OJ120))</f>
        <v>#DIV/0!</v>
      </c>
      <c r="OQ120" s="674" t="e">
        <f>OO120/OL120*OP120*EXP(-LN(2)/10990*($F$96-OM120))</f>
        <v>#VALUE!</v>
      </c>
      <c r="OR120" s="599" t="e">
        <f>OQ120-AVERAGE(OY102:OY103)</f>
        <v>#VALUE!</v>
      </c>
      <c r="OS120" s="599" t="e">
        <f>ABS(#REF!*OR120*3600)</f>
        <v>#REF!</v>
      </c>
      <c r="OT120" s="657" t="e">
        <f>ABS($B$34*OR120*3600)</f>
        <v>#VALUE!</v>
      </c>
      <c r="OU120" s="614" t="e">
        <f>OT120*$C$87</f>
        <v>#VALUE!</v>
      </c>
      <c r="OV120" s="672" t="e">
        <f>OT120*$F$78</f>
        <v>#VALUE!</v>
      </c>
      <c r="OW120" s="600" t="e">
        <f>OT120*$F$83</f>
        <v>#VALUE!</v>
      </c>
      <c r="OX120" s="672" t="e">
        <f>OT120*$F$80</f>
        <v>#VALUE!</v>
      </c>
      <c r="OY120" s="676" t="e">
        <f>OT120*$F$79</f>
        <v>#VALUE!</v>
      </c>
      <c r="OZ120" s="668"/>
      <c r="PA120" s="669"/>
      <c r="PB120" s="670"/>
      <c r="PC120" s="671"/>
      <c r="PD120" s="678"/>
      <c r="PE120" s="663"/>
      <c r="PF120" s="650"/>
      <c r="PG120" s="651" t="str">
        <f>IF(PF120="Low",PC120*$D$42,IF(PF120="Med",PC120*$D$43,IF(PF120="High",PC120*$D$44,"rango cal. out")))</f>
        <v>rango cal. out</v>
      </c>
      <c r="PH120" s="619" t="e">
        <f>((273.2+OZ120)*$F$33/((273.2+$F$32)*PB120))</f>
        <v>#DIV/0!</v>
      </c>
      <c r="PI120" s="674" t="e">
        <f>PG120/PD120*PH120*EXP(-LN(2)/10990*($F$96-PE120))</f>
        <v>#VALUE!</v>
      </c>
      <c r="PJ120" s="599" t="e">
        <f>PI120-AVERAGE(PQ102:PQ103)</f>
        <v>#VALUE!</v>
      </c>
      <c r="PK120" s="599" t="e">
        <f>ABS(#REF!*PJ120*3600)</f>
        <v>#REF!</v>
      </c>
      <c r="PL120" s="657" t="e">
        <f>ABS($B$34*PJ120*3600)</f>
        <v>#VALUE!</v>
      </c>
      <c r="PM120" s="614" t="e">
        <f>PL120*$C$87</f>
        <v>#VALUE!</v>
      </c>
      <c r="PN120" s="672" t="e">
        <f>PL120*$F$78</f>
        <v>#VALUE!</v>
      </c>
      <c r="PO120" s="600" t="e">
        <f>PL120*$F$83</f>
        <v>#VALUE!</v>
      </c>
      <c r="PP120" s="672" t="e">
        <f>PL120*$F$80</f>
        <v>#VALUE!</v>
      </c>
      <c r="PQ120" s="676" t="e">
        <f>PL120*$F$79</f>
        <v>#VALUE!</v>
      </c>
      <c r="PR120" s="668"/>
      <c r="PS120" s="669"/>
      <c r="PT120" s="670"/>
      <c r="PU120" s="671"/>
      <c r="PV120" s="678"/>
      <c r="PW120" s="663"/>
      <c r="PX120" s="650"/>
      <c r="PY120" s="651" t="str">
        <f>IF(PX120="Low",PU120*$D$42,IF(PX120="Med",PU120*$D$43,IF(PX120="High",PU120*$D$44,"rango cal. out")))</f>
        <v>rango cal. out</v>
      </c>
      <c r="PZ120" s="619" t="e">
        <f>((273.2+PR120)*$F$33/((273.2+$F$32)*PT120))</f>
        <v>#DIV/0!</v>
      </c>
      <c r="QA120" s="674" t="e">
        <f>PY120/PV120*PZ120*EXP(-LN(2)/10990*($F$96-PW120))</f>
        <v>#VALUE!</v>
      </c>
      <c r="QB120" s="599" t="e">
        <f>QA120-AVERAGE(QI102:QI103)</f>
        <v>#VALUE!</v>
      </c>
      <c r="QC120" s="599" t="e">
        <f>ABS(#REF!*QB120*3600)</f>
        <v>#REF!</v>
      </c>
      <c r="QD120" s="657" t="e">
        <f>ABS($B$34*QB120*3600)</f>
        <v>#VALUE!</v>
      </c>
      <c r="QE120" s="614" t="e">
        <f>QD120*$C$87</f>
        <v>#VALUE!</v>
      </c>
      <c r="QF120" s="672" t="e">
        <f>QD120*$F$78</f>
        <v>#VALUE!</v>
      </c>
      <c r="QG120" s="600" t="e">
        <f>QD120*$F$83</f>
        <v>#VALUE!</v>
      </c>
      <c r="QH120" s="672" t="e">
        <f>QD120*$F$80</f>
        <v>#VALUE!</v>
      </c>
      <c r="QI120" s="676" t="e">
        <f>QD120*$F$79</f>
        <v>#VALUE!</v>
      </c>
      <c r="QJ120" s="668"/>
      <c r="QK120" s="669"/>
      <c r="QL120" s="670"/>
      <c r="QM120" s="671"/>
      <c r="QN120" s="678"/>
      <c r="QO120" s="663"/>
      <c r="QP120" s="650"/>
      <c r="QQ120" s="651" t="str">
        <f>IF(QP120="Low",QM120*$D$42,IF(QP120="Med",QM120*$D$43,IF(QP120="High",QM120*$D$44,"rango cal. out")))</f>
        <v>rango cal. out</v>
      </c>
      <c r="QR120" s="619" t="e">
        <f>((273.2+QJ120)*$F$33/((273.2+$F$32)*QL120))</f>
        <v>#DIV/0!</v>
      </c>
      <c r="QS120" s="674" t="e">
        <f>QQ120/QN120*QR120*EXP(-LN(2)/10990*($F$96-QO120))</f>
        <v>#VALUE!</v>
      </c>
      <c r="QT120" s="599" t="e">
        <f>QS120-AVERAGE(RA102:RA103)</f>
        <v>#VALUE!</v>
      </c>
      <c r="QU120" s="599" t="e">
        <f>ABS(#REF!*QT120*3600)</f>
        <v>#REF!</v>
      </c>
      <c r="QV120" s="657" t="e">
        <f>ABS($B$34*QT120*3600)</f>
        <v>#VALUE!</v>
      </c>
      <c r="QW120" s="614" t="e">
        <f>QV120*$C$87</f>
        <v>#VALUE!</v>
      </c>
      <c r="QX120" s="672" t="e">
        <f>QV120*$F$78</f>
        <v>#VALUE!</v>
      </c>
      <c r="QY120" s="600" t="e">
        <f>QV120*$F$83</f>
        <v>#VALUE!</v>
      </c>
      <c r="QZ120" s="672" t="e">
        <f>QV120*$F$80</f>
        <v>#VALUE!</v>
      </c>
      <c r="RA120" s="676" t="e">
        <f>QV120*$F$79</f>
        <v>#VALUE!</v>
      </c>
      <c r="RB120" s="668"/>
      <c r="RC120" s="669"/>
      <c r="RD120" s="670"/>
      <c r="RE120" s="671"/>
      <c r="RF120" s="673"/>
      <c r="RG120" s="663"/>
      <c r="RH120" s="650"/>
      <c r="RI120" s="651" t="str">
        <f>IF(RH120="Low",RE120*$D$42,IF(RH120="Med",RE120*$D$43,IF(RH120="High",RE120*$D$44,"rango cal. out")))</f>
        <v>rango cal. out</v>
      </c>
      <c r="RJ120" s="619" t="e">
        <f>((273.2+RB120)*$F$33/((273.2+$F$32)*RD120))</f>
        <v>#DIV/0!</v>
      </c>
      <c r="RK120" s="674" t="e">
        <f>RI120/RF120*RJ120*EXP(-LN(2)/10990*($F$96-RG120))</f>
        <v>#VALUE!</v>
      </c>
      <c r="RL120" s="599" t="e">
        <f>RK120-AVERAGE(RS102:RS103)</f>
        <v>#VALUE!</v>
      </c>
      <c r="RM120" s="599" t="e">
        <f>ABS(#REF!*RL120*3600)</f>
        <v>#REF!</v>
      </c>
      <c r="RN120" s="657" t="e">
        <f>ABS($B$34*RL120*3600)</f>
        <v>#VALUE!</v>
      </c>
      <c r="RO120" s="614" t="e">
        <f>RN120*$C$87</f>
        <v>#VALUE!</v>
      </c>
      <c r="RP120" s="672" t="e">
        <f>RN120*$F$78</f>
        <v>#VALUE!</v>
      </c>
      <c r="RQ120" s="600" t="e">
        <f>RN120*$F$83</f>
        <v>#VALUE!</v>
      </c>
      <c r="RR120" s="672" t="e">
        <f>RN120*$F$80</f>
        <v>#VALUE!</v>
      </c>
      <c r="RS120" s="676" t="e">
        <f>RN120*$F$79</f>
        <v>#VALUE!</v>
      </c>
      <c r="RT120" s="668"/>
      <c r="RU120" s="669"/>
      <c r="RV120" s="677"/>
      <c r="RW120" s="679"/>
      <c r="RX120" s="678"/>
      <c r="RY120" s="663"/>
      <c r="RZ120" s="650"/>
      <c r="SA120" s="651" t="str">
        <f>IF(RZ120="Low",RW120*$D$42,IF(RZ120="Med",RW120*$D$43,IF(RZ120="High",RW120*$D$44,"rango cal. out")))</f>
        <v>rango cal. out</v>
      </c>
      <c r="SB120" s="619" t="e">
        <f>((273.2+RT120)*$F$33/((273.2+$F$32)*RV120))</f>
        <v>#DIV/0!</v>
      </c>
      <c r="SC120" s="674" t="e">
        <f>SA120/RX120*SB120*EXP(-LN(2)/10990*($F$96-RY120))</f>
        <v>#VALUE!</v>
      </c>
      <c r="SD120" s="599" t="e">
        <f>SC120-AVERAGE(SK102:SK103)</f>
        <v>#VALUE!</v>
      </c>
      <c r="SE120" s="599" t="e">
        <f>ABS(#REF!*SD120*3600)</f>
        <v>#REF!</v>
      </c>
      <c r="SF120" s="657" t="e">
        <f>ABS($B$34*SD120*3600)</f>
        <v>#VALUE!</v>
      </c>
      <c r="SG120" s="614" t="e">
        <f>SF120*$C$87</f>
        <v>#VALUE!</v>
      </c>
      <c r="SH120" s="672" t="e">
        <f>SF120*$F$78</f>
        <v>#VALUE!</v>
      </c>
      <c r="SI120" s="600" t="e">
        <f>SF120*$F$83</f>
        <v>#VALUE!</v>
      </c>
      <c r="SJ120" s="672" t="e">
        <f>SF120*$F$80</f>
        <v>#VALUE!</v>
      </c>
      <c r="SK120" s="676" t="e">
        <f>SF120*$F$79</f>
        <v>#VALUE!</v>
      </c>
      <c r="SL120" s="668"/>
      <c r="SM120" s="669"/>
      <c r="SN120" s="670"/>
      <c r="SO120" s="671"/>
      <c r="SP120" s="678"/>
      <c r="SQ120" s="663"/>
      <c r="SR120" s="650"/>
      <c r="SS120" s="651" t="str">
        <f>IF(SR120="Low",SO120*$D$42,IF(SR120="Med",SO120*$D$43,IF(SR120="High",SO120*$D$44,"rango cal. out")))</f>
        <v>rango cal. out</v>
      </c>
      <c r="ST120" s="619" t="e">
        <f>((273.2+SL120)*$F$33/((273.2+$F$32)*SN120))</f>
        <v>#DIV/0!</v>
      </c>
      <c r="SU120" s="674" t="e">
        <f>SS120/SP120*ST120*EXP(-LN(2)/10990*($F$96-SQ120))</f>
        <v>#VALUE!</v>
      </c>
      <c r="SV120" s="599" t="e">
        <f>SU120-AVERAGE(TC102:TC103)</f>
        <v>#VALUE!</v>
      </c>
      <c r="SW120" s="599" t="e">
        <f>ABS(#REF!*SV120*3600)</f>
        <v>#REF!</v>
      </c>
      <c r="SX120" s="657" t="e">
        <f>ABS($B$34*SV120*3600)</f>
        <v>#VALUE!</v>
      </c>
      <c r="SY120" s="614" t="e">
        <f>SX120*$C$87</f>
        <v>#VALUE!</v>
      </c>
      <c r="SZ120" s="672" t="e">
        <f>SX120*$F$78</f>
        <v>#VALUE!</v>
      </c>
      <c r="TA120" s="600" t="e">
        <f>SX120*$F$83</f>
        <v>#VALUE!</v>
      </c>
      <c r="TB120" s="672" t="e">
        <f>SX120*$F$80</f>
        <v>#VALUE!</v>
      </c>
      <c r="TC120" s="676" t="e">
        <f>SX120*$F$79</f>
        <v>#VALUE!</v>
      </c>
      <c r="TD120" s="668"/>
      <c r="TE120" s="669"/>
      <c r="TF120" s="670"/>
      <c r="TG120" s="671"/>
      <c r="TH120" s="678"/>
      <c r="TI120" s="663"/>
      <c r="TJ120" s="650"/>
      <c r="TK120" s="651" t="str">
        <f>IF(TJ120="Low",TG120*$D$42,IF(TJ120="Med",TG120*$D$43,IF(TJ120="High",TG120*$D$44,"rango cal. out")))</f>
        <v>rango cal. out</v>
      </c>
      <c r="TL120" s="619" t="e">
        <f>((273.2+TD120)*$F$33/((273.2+$F$32)*TF120))</f>
        <v>#DIV/0!</v>
      </c>
      <c r="TM120" s="674" t="e">
        <f>TK120/TH120*TL120*EXP(-LN(2)/10990*($F$96-TI120))</f>
        <v>#VALUE!</v>
      </c>
      <c r="TN120" s="599" t="e">
        <f>TM120-AVERAGE(TU102:TU103)</f>
        <v>#VALUE!</v>
      </c>
      <c r="TO120" s="599" t="e">
        <f>ABS(#REF!*TN120*3600)</f>
        <v>#REF!</v>
      </c>
      <c r="TP120" s="657" t="e">
        <f>ABS($B$34*TN120*3600)</f>
        <v>#VALUE!</v>
      </c>
      <c r="TQ120" s="614" t="e">
        <f>TP120*$C$87</f>
        <v>#VALUE!</v>
      </c>
      <c r="TR120" s="672" t="e">
        <f>TP120*$F$78</f>
        <v>#VALUE!</v>
      </c>
      <c r="TS120" s="600" t="e">
        <f>TP120*$F$83</f>
        <v>#VALUE!</v>
      </c>
      <c r="TT120" s="672" t="e">
        <f>TP120*$F$80</f>
        <v>#VALUE!</v>
      </c>
      <c r="TU120" s="676" t="e">
        <f>TP120*$F$79</f>
        <v>#VALUE!</v>
      </c>
      <c r="TV120" s="668"/>
      <c r="TW120" s="669"/>
      <c r="TX120" s="670"/>
      <c r="TY120" s="671"/>
      <c r="TZ120" s="678"/>
      <c r="UA120" s="663"/>
      <c r="UB120" s="650"/>
      <c r="UC120" s="651" t="str">
        <f>IF(UB120="Low",TY120*$D$42,IF(UB120="Med",TY120*$D$43,IF(UB120="High",TY120*$D$44,"rango cal. out")))</f>
        <v>rango cal. out</v>
      </c>
      <c r="UD120" s="619" t="e">
        <f>((273.2+TV120)*$F$33/((273.2+$F$32)*TX120))</f>
        <v>#DIV/0!</v>
      </c>
      <c r="UE120" s="674" t="e">
        <f>UC120/TZ120*UD120*EXP(-LN(2)/10990*($F$96-UA120))</f>
        <v>#VALUE!</v>
      </c>
      <c r="UF120" s="599" t="e">
        <f>UE120-AVERAGE(UM102:UM103)</f>
        <v>#VALUE!</v>
      </c>
      <c r="UG120" s="599" t="e">
        <f>ABS(#REF!*UF120*3600)</f>
        <v>#REF!</v>
      </c>
      <c r="UH120" s="657" t="e">
        <f>ABS($B$34*UF120*3600)</f>
        <v>#VALUE!</v>
      </c>
      <c r="UI120" s="614" t="e">
        <f>UH120*$C$87</f>
        <v>#VALUE!</v>
      </c>
      <c r="UJ120" s="672" t="e">
        <f>UH120*$F$78</f>
        <v>#VALUE!</v>
      </c>
      <c r="UK120" s="600" t="e">
        <f>UH120*$F$83</f>
        <v>#VALUE!</v>
      </c>
      <c r="UL120" s="672" t="e">
        <f>UH120*$F$80</f>
        <v>#VALUE!</v>
      </c>
      <c r="UM120" s="676" t="e">
        <f>UH120*$F$79</f>
        <v>#VALUE!</v>
      </c>
      <c r="UN120" s="668"/>
      <c r="UO120" s="669"/>
      <c r="UP120" s="670"/>
      <c r="UQ120" s="671"/>
      <c r="UR120" s="678"/>
      <c r="US120" s="663"/>
      <c r="UT120" s="650"/>
      <c r="UU120" s="651" t="str">
        <f>IF(UT120="Low",UQ120*$D$42,IF(UT120="Med",UQ120*$D$43,IF(UT120="High",UQ120*$D$44,"rango cal. out")))</f>
        <v>rango cal. out</v>
      </c>
      <c r="UV120" s="619" t="e">
        <f>((273.2+UN120)*$F$33/((273.2+$F$32)*UP120))</f>
        <v>#DIV/0!</v>
      </c>
      <c r="UW120" s="674" t="e">
        <f>UU120/UR120*UV120*EXP(-LN(2)/10990*($F$96-US120))</f>
        <v>#VALUE!</v>
      </c>
      <c r="UX120" s="599" t="e">
        <f>UW120-AVERAGE(VE102:VE103)</f>
        <v>#VALUE!</v>
      </c>
      <c r="UY120" s="599" t="e">
        <f>ABS(#REF!*UX120*3600)</f>
        <v>#REF!</v>
      </c>
      <c r="UZ120" s="657" t="e">
        <f>ABS($B$34*UX120*3600)</f>
        <v>#VALUE!</v>
      </c>
      <c r="VA120" s="614" t="e">
        <f>UZ120*$C$87</f>
        <v>#VALUE!</v>
      </c>
      <c r="VB120" s="672" t="e">
        <f>UZ120*$F$78</f>
        <v>#VALUE!</v>
      </c>
      <c r="VC120" s="600" t="e">
        <f>UZ120*$F$83</f>
        <v>#VALUE!</v>
      </c>
      <c r="VD120" s="672" t="e">
        <f>UZ120*$F$80</f>
        <v>#VALUE!</v>
      </c>
      <c r="VE120" s="676" t="e">
        <f>UZ120*$F$79</f>
        <v>#VALUE!</v>
      </c>
    </row>
    <row r="121" spans="1:577" x14ac:dyDescent="0.25">
      <c r="A121" s="681" t="s">
        <v>61</v>
      </c>
      <c r="B121" s="709">
        <f t="shared" ref="B121:F121" si="219">AVERAGE(B116:B120)</f>
        <v>20.18</v>
      </c>
      <c r="C121" s="710">
        <f t="shared" si="219"/>
        <v>52.8</v>
      </c>
      <c r="D121" s="710">
        <f t="shared" si="219"/>
        <v>1009.82</v>
      </c>
      <c r="E121" s="672">
        <f t="shared" si="219"/>
        <v>-1.927E-8</v>
      </c>
      <c r="F121" s="710">
        <f t="shared" si="219"/>
        <v>60</v>
      </c>
      <c r="G121" s="685" t="s">
        <v>93</v>
      </c>
      <c r="H121" s="90" t="s">
        <v>93</v>
      </c>
      <c r="I121" s="599">
        <f t="shared" ref="I121" si="220">AVERAGE(I116:I120)</f>
        <v>-1.9289269999999998E-8</v>
      </c>
      <c r="J121" s="619">
        <f t="shared" ref="J121:X121" si="221">AVERAGE(J116:J120)</f>
        <v>0.99721028836712544</v>
      </c>
      <c r="K121" s="675">
        <f t="shared" si="221"/>
        <v>-3.1749218344557917E-10</v>
      </c>
      <c r="L121" s="672">
        <f t="shared" si="221"/>
        <v>-3.1746837147820765E-10</v>
      </c>
      <c r="M121" s="687" t="e">
        <f t="shared" si="221"/>
        <v>#REF!</v>
      </c>
      <c r="N121" s="686">
        <f t="shared" si="221"/>
        <v>2.8800730660503E-2</v>
      </c>
      <c r="O121" s="687">
        <f t="shared" si="221"/>
        <v>2.8800730660502998</v>
      </c>
      <c r="P121" s="2122">
        <f t="shared" si="221"/>
        <v>3.4560876792603598E-2</v>
      </c>
      <c r="Q121" s="687">
        <f t="shared" si="221"/>
        <v>3.4848884099208624E-2</v>
      </c>
      <c r="R121" s="687">
        <f t="shared" si="221"/>
        <v>3.4848884099208624E-2</v>
      </c>
      <c r="S121" s="690">
        <f t="shared" si="221"/>
        <v>3.6000913325628749E-2</v>
      </c>
      <c r="T121" s="691" t="e">
        <f t="shared" si="221"/>
        <v>#DIV/0!</v>
      </c>
      <c r="U121" s="683" t="e">
        <f t="shared" si="221"/>
        <v>#DIV/0!</v>
      </c>
      <c r="V121" s="684" t="e">
        <f t="shared" si="221"/>
        <v>#DIV/0!</v>
      </c>
      <c r="W121" s="599" t="e">
        <f t="shared" si="221"/>
        <v>#DIV/0!</v>
      </c>
      <c r="X121" s="685" t="e">
        <f t="shared" si="221"/>
        <v>#DIV/0!</v>
      </c>
      <c r="Y121" s="685" t="s">
        <v>93</v>
      </c>
      <c r="Z121" s="90" t="s">
        <v>93</v>
      </c>
      <c r="AA121" s="599" t="e">
        <f t="shared" ref="AA121" si="222">AVERAGE(AA116:AA120)</f>
        <v>#DIV/0!</v>
      </c>
      <c r="AB121" s="619" t="e">
        <f t="shared" ref="AB121:AP121" si="223">AVERAGE(AB116:AB120)</f>
        <v>#DIV/0!</v>
      </c>
      <c r="AC121" s="675" t="e">
        <f t="shared" si="223"/>
        <v>#VALUE!</v>
      </c>
      <c r="AD121" s="672" t="e">
        <f t="shared" si="223"/>
        <v>#VALUE!</v>
      </c>
      <c r="AE121" s="687" t="e">
        <f t="shared" si="223"/>
        <v>#REF!</v>
      </c>
      <c r="AF121" s="686" t="e">
        <f t="shared" si="223"/>
        <v>#VALUE!</v>
      </c>
      <c r="AG121" s="687" t="e">
        <f t="shared" si="223"/>
        <v>#VALUE!</v>
      </c>
      <c r="AH121" s="687" t="e">
        <f t="shared" si="223"/>
        <v>#VALUE!</v>
      </c>
      <c r="AI121" s="687" t="e">
        <f t="shared" si="223"/>
        <v>#VALUE!</v>
      </c>
      <c r="AJ121" s="687" t="e">
        <f t="shared" si="223"/>
        <v>#VALUE!</v>
      </c>
      <c r="AK121" s="690" t="e">
        <f t="shared" si="223"/>
        <v>#VALUE!</v>
      </c>
      <c r="AL121" s="682" t="e">
        <f t="shared" si="223"/>
        <v>#DIV/0!</v>
      </c>
      <c r="AM121" s="683" t="e">
        <f t="shared" si="223"/>
        <v>#DIV/0!</v>
      </c>
      <c r="AN121" s="684" t="e">
        <f t="shared" si="223"/>
        <v>#DIV/0!</v>
      </c>
      <c r="AO121" s="599" t="e">
        <f t="shared" si="223"/>
        <v>#DIV/0!</v>
      </c>
      <c r="AP121" s="685" t="e">
        <f t="shared" si="223"/>
        <v>#DIV/0!</v>
      </c>
      <c r="AQ121" s="685" t="s">
        <v>93</v>
      </c>
      <c r="AR121" s="90" t="s">
        <v>93</v>
      </c>
      <c r="AS121" s="599" t="e">
        <f t="shared" ref="AS121" si="224">AVERAGE(AS116:AS120)</f>
        <v>#DIV/0!</v>
      </c>
      <c r="AT121" s="619" t="e">
        <f t="shared" ref="AT121:BH121" si="225">AVERAGE(AT116:AT120)</f>
        <v>#DIV/0!</v>
      </c>
      <c r="AU121" s="675" t="e">
        <f t="shared" si="225"/>
        <v>#VALUE!</v>
      </c>
      <c r="AV121" s="672" t="e">
        <f t="shared" si="225"/>
        <v>#VALUE!</v>
      </c>
      <c r="AW121" s="687" t="e">
        <f t="shared" si="225"/>
        <v>#REF!</v>
      </c>
      <c r="AX121" s="686" t="e">
        <f t="shared" si="225"/>
        <v>#VALUE!</v>
      </c>
      <c r="AY121" s="687" t="e">
        <f t="shared" si="225"/>
        <v>#VALUE!</v>
      </c>
      <c r="AZ121" s="687" t="e">
        <f t="shared" si="225"/>
        <v>#VALUE!</v>
      </c>
      <c r="BA121" s="687" t="e">
        <f t="shared" si="225"/>
        <v>#VALUE!</v>
      </c>
      <c r="BB121" s="687" t="e">
        <f t="shared" si="225"/>
        <v>#VALUE!</v>
      </c>
      <c r="BC121" s="690" t="e">
        <f t="shared" si="225"/>
        <v>#VALUE!</v>
      </c>
      <c r="BD121" s="682" t="e">
        <f t="shared" si="225"/>
        <v>#DIV/0!</v>
      </c>
      <c r="BE121" s="683" t="e">
        <f t="shared" si="225"/>
        <v>#DIV/0!</v>
      </c>
      <c r="BF121" s="684" t="e">
        <f t="shared" si="225"/>
        <v>#DIV/0!</v>
      </c>
      <c r="BG121" s="2000">
        <f t="shared" si="225"/>
        <v>-2.9816000000000001E-9</v>
      </c>
      <c r="BH121" s="685" t="e">
        <f t="shared" si="225"/>
        <v>#DIV/0!</v>
      </c>
      <c r="BI121" s="685" t="s">
        <v>93</v>
      </c>
      <c r="BJ121" s="90" t="s">
        <v>93</v>
      </c>
      <c r="BK121" s="599" t="e">
        <f t="shared" ref="BK121" si="226">AVERAGE(BK116:BK120)</f>
        <v>#DIV/0!</v>
      </c>
      <c r="BL121" s="619" t="e">
        <f t="shared" ref="BL121:BZ121" si="227">AVERAGE(BL116:BL120)</f>
        <v>#DIV/0!</v>
      </c>
      <c r="BM121" s="675" t="e">
        <f t="shared" si="227"/>
        <v>#VALUE!</v>
      </c>
      <c r="BN121" s="672" t="e">
        <f t="shared" si="227"/>
        <v>#VALUE!</v>
      </c>
      <c r="BO121" s="687" t="e">
        <f t="shared" si="227"/>
        <v>#REF!</v>
      </c>
      <c r="BP121" s="686" t="e">
        <f t="shared" si="227"/>
        <v>#VALUE!</v>
      </c>
      <c r="BQ121" s="687" t="e">
        <f t="shared" si="227"/>
        <v>#VALUE!</v>
      </c>
      <c r="BR121" s="687" t="e">
        <f t="shared" si="227"/>
        <v>#VALUE!</v>
      </c>
      <c r="BS121" s="687" t="e">
        <f t="shared" si="227"/>
        <v>#VALUE!</v>
      </c>
      <c r="BT121" s="687" t="e">
        <f t="shared" si="227"/>
        <v>#VALUE!</v>
      </c>
      <c r="BU121" s="690" t="e">
        <f t="shared" si="227"/>
        <v>#VALUE!</v>
      </c>
      <c r="BV121" s="682">
        <f t="shared" si="227"/>
        <v>19.899999999999999</v>
      </c>
      <c r="BW121" s="683">
        <f t="shared" si="227"/>
        <v>51</v>
      </c>
      <c r="BX121" s="684">
        <f t="shared" si="227"/>
        <v>1008.7</v>
      </c>
      <c r="BY121" s="599">
        <f t="shared" si="227"/>
        <v>-1.5809999999999998E-10</v>
      </c>
      <c r="BZ121" s="685" t="e">
        <f t="shared" si="227"/>
        <v>#DIV/0!</v>
      </c>
      <c r="CA121" s="685" t="s">
        <v>93</v>
      </c>
      <c r="CB121" s="90" t="s">
        <v>93</v>
      </c>
      <c r="CC121" s="599" t="e">
        <f t="shared" ref="CC121" si="228">AVERAGE(CC116:CC120)</f>
        <v>#DIV/0!</v>
      </c>
      <c r="CD121" s="619" t="e">
        <f t="shared" ref="CD121:CR121" si="229">AVERAGE(CD116:CD120)</f>
        <v>#DIV/0!</v>
      </c>
      <c r="CE121" s="675" t="e">
        <f t="shared" si="229"/>
        <v>#VALUE!</v>
      </c>
      <c r="CF121" s="672" t="e">
        <f t="shared" si="229"/>
        <v>#VALUE!</v>
      </c>
      <c r="CG121" s="687" t="e">
        <f t="shared" si="229"/>
        <v>#REF!</v>
      </c>
      <c r="CH121" s="686" t="e">
        <f t="shared" si="229"/>
        <v>#VALUE!</v>
      </c>
      <c r="CI121" s="687" t="e">
        <f t="shared" si="229"/>
        <v>#VALUE!</v>
      </c>
      <c r="CJ121" s="687" t="e">
        <f t="shared" si="229"/>
        <v>#VALUE!</v>
      </c>
      <c r="CK121" s="687" t="e">
        <f t="shared" si="229"/>
        <v>#VALUE!</v>
      </c>
      <c r="CL121" s="687" t="e">
        <f t="shared" si="229"/>
        <v>#VALUE!</v>
      </c>
      <c r="CM121" s="690" t="e">
        <f t="shared" si="229"/>
        <v>#VALUE!</v>
      </c>
      <c r="CN121" s="682">
        <f t="shared" si="229"/>
        <v>19.8</v>
      </c>
      <c r="CO121" s="683">
        <f t="shared" si="229"/>
        <v>51</v>
      </c>
      <c r="CP121" s="684">
        <f t="shared" si="229"/>
        <v>1008.9</v>
      </c>
      <c r="CQ121" s="599">
        <f t="shared" si="229"/>
        <v>-6.9764E-9</v>
      </c>
      <c r="CR121" s="685" t="e">
        <f t="shared" si="229"/>
        <v>#DIV/0!</v>
      </c>
      <c r="CS121" s="685" t="s">
        <v>93</v>
      </c>
      <c r="CT121" s="90" t="s">
        <v>93</v>
      </c>
      <c r="CU121" s="599" t="e">
        <f t="shared" ref="CU121" si="230">AVERAGE(CU116:CU120)</f>
        <v>#DIV/0!</v>
      </c>
      <c r="CV121" s="619" t="e">
        <f t="shared" ref="CV121:DJ121" si="231">AVERAGE(CV116:CV120)</f>
        <v>#DIV/0!</v>
      </c>
      <c r="CW121" s="675" t="e">
        <f t="shared" si="231"/>
        <v>#VALUE!</v>
      </c>
      <c r="CX121" s="672" t="e">
        <f t="shared" si="231"/>
        <v>#VALUE!</v>
      </c>
      <c r="CY121" s="687" t="e">
        <f t="shared" si="231"/>
        <v>#REF!</v>
      </c>
      <c r="CZ121" s="686" t="e">
        <f t="shared" si="231"/>
        <v>#VALUE!</v>
      </c>
      <c r="DA121" s="687" t="e">
        <f t="shared" si="231"/>
        <v>#VALUE!</v>
      </c>
      <c r="DB121" s="687" t="e">
        <f t="shared" si="231"/>
        <v>#VALUE!</v>
      </c>
      <c r="DC121" s="687" t="e">
        <f t="shared" si="231"/>
        <v>#VALUE!</v>
      </c>
      <c r="DD121" s="687" t="e">
        <f t="shared" si="231"/>
        <v>#VALUE!</v>
      </c>
      <c r="DE121" s="690" t="e">
        <f t="shared" si="231"/>
        <v>#VALUE!</v>
      </c>
      <c r="DF121" s="682" t="e">
        <f t="shared" si="231"/>
        <v>#DIV/0!</v>
      </c>
      <c r="DG121" s="683" t="e">
        <f t="shared" si="231"/>
        <v>#DIV/0!</v>
      </c>
      <c r="DH121" s="684" t="e">
        <f t="shared" si="231"/>
        <v>#DIV/0!</v>
      </c>
      <c r="DI121" s="599" t="e">
        <f t="shared" si="231"/>
        <v>#DIV/0!</v>
      </c>
      <c r="DJ121" s="685" t="e">
        <f t="shared" si="231"/>
        <v>#DIV/0!</v>
      </c>
      <c r="DK121" s="685" t="s">
        <v>93</v>
      </c>
      <c r="DL121" s="90" t="s">
        <v>93</v>
      </c>
      <c r="DM121" s="599" t="e">
        <f t="shared" ref="DM121" si="232">AVERAGE(DM116:DM120)</f>
        <v>#DIV/0!</v>
      </c>
      <c r="DN121" s="619" t="e">
        <f t="shared" ref="DN121:EB121" si="233">AVERAGE(DN116:DN120)</f>
        <v>#DIV/0!</v>
      </c>
      <c r="DO121" s="675" t="e">
        <f t="shared" si="233"/>
        <v>#VALUE!</v>
      </c>
      <c r="DP121" s="672" t="e">
        <f t="shared" si="233"/>
        <v>#VALUE!</v>
      </c>
      <c r="DQ121" s="687" t="e">
        <f t="shared" si="233"/>
        <v>#REF!</v>
      </c>
      <c r="DR121" s="686" t="e">
        <f t="shared" si="233"/>
        <v>#VALUE!</v>
      </c>
      <c r="DS121" s="687" t="e">
        <f t="shared" si="233"/>
        <v>#VALUE!</v>
      </c>
      <c r="DT121" s="687" t="e">
        <f t="shared" si="233"/>
        <v>#VALUE!</v>
      </c>
      <c r="DU121" s="687" t="e">
        <f t="shared" si="233"/>
        <v>#VALUE!</v>
      </c>
      <c r="DV121" s="687" t="e">
        <f t="shared" si="233"/>
        <v>#VALUE!</v>
      </c>
      <c r="DW121" s="690" t="e">
        <f t="shared" si="233"/>
        <v>#VALUE!</v>
      </c>
      <c r="DX121" s="682" t="e">
        <f t="shared" si="233"/>
        <v>#DIV/0!</v>
      </c>
      <c r="DY121" s="683" t="e">
        <f t="shared" si="233"/>
        <v>#DIV/0!</v>
      </c>
      <c r="DZ121" s="684" t="e">
        <f t="shared" si="233"/>
        <v>#DIV/0!</v>
      </c>
      <c r="EA121" s="653" t="e">
        <f t="shared" si="233"/>
        <v>#DIV/0!</v>
      </c>
      <c r="EB121" s="685" t="e">
        <f t="shared" si="233"/>
        <v>#DIV/0!</v>
      </c>
      <c r="EC121" s="685" t="s">
        <v>93</v>
      </c>
      <c r="ED121" s="90" t="s">
        <v>93</v>
      </c>
      <c r="EE121" s="599" t="e">
        <f t="shared" ref="EE121" si="234">AVERAGE(EE116:EE120)</f>
        <v>#DIV/0!</v>
      </c>
      <c r="EF121" s="619" t="e">
        <f t="shared" ref="EF121:ET121" si="235">AVERAGE(EF116:EF120)</f>
        <v>#DIV/0!</v>
      </c>
      <c r="EG121" s="675" t="e">
        <f t="shared" si="235"/>
        <v>#VALUE!</v>
      </c>
      <c r="EH121" s="672" t="e">
        <f t="shared" si="235"/>
        <v>#VALUE!</v>
      </c>
      <c r="EI121" s="687" t="e">
        <f t="shared" si="235"/>
        <v>#REF!</v>
      </c>
      <c r="EJ121" s="686" t="e">
        <f t="shared" si="235"/>
        <v>#VALUE!</v>
      </c>
      <c r="EK121" s="687" t="e">
        <f t="shared" si="235"/>
        <v>#VALUE!</v>
      </c>
      <c r="EL121" s="687" t="e">
        <f t="shared" si="235"/>
        <v>#VALUE!</v>
      </c>
      <c r="EM121" s="687" t="e">
        <f t="shared" si="235"/>
        <v>#VALUE!</v>
      </c>
      <c r="EN121" s="687" t="e">
        <f t="shared" si="235"/>
        <v>#VALUE!</v>
      </c>
      <c r="EO121" s="690" t="e">
        <f t="shared" si="235"/>
        <v>#VALUE!</v>
      </c>
      <c r="EP121" s="682">
        <f t="shared" si="235"/>
        <v>19.8</v>
      </c>
      <c r="EQ121" s="683">
        <f t="shared" si="235"/>
        <v>51</v>
      </c>
      <c r="ER121" s="684">
        <f t="shared" si="235"/>
        <v>1009.4</v>
      </c>
      <c r="ES121" s="599">
        <f t="shared" si="235"/>
        <v>-1.46E-11</v>
      </c>
      <c r="ET121" s="685" t="e">
        <f t="shared" si="235"/>
        <v>#DIV/0!</v>
      </c>
      <c r="EU121" s="685" t="s">
        <v>93</v>
      </c>
      <c r="EV121" s="90" t="s">
        <v>93</v>
      </c>
      <c r="EW121" s="599" t="e">
        <f t="shared" ref="EW121" si="236">AVERAGE(EW116:EW120)</f>
        <v>#DIV/0!</v>
      </c>
      <c r="EX121" s="619" t="e">
        <f t="shared" ref="EX121:FL121" si="237">AVERAGE(EX116:EX120)</f>
        <v>#DIV/0!</v>
      </c>
      <c r="EY121" s="675" t="e">
        <f t="shared" si="237"/>
        <v>#VALUE!</v>
      </c>
      <c r="EZ121" s="672" t="e">
        <f t="shared" si="237"/>
        <v>#VALUE!</v>
      </c>
      <c r="FA121" s="687" t="e">
        <f t="shared" si="237"/>
        <v>#REF!</v>
      </c>
      <c r="FB121" s="686" t="e">
        <f t="shared" si="237"/>
        <v>#VALUE!</v>
      </c>
      <c r="FC121" s="687" t="e">
        <f t="shared" si="237"/>
        <v>#VALUE!</v>
      </c>
      <c r="FD121" s="687" t="e">
        <f t="shared" si="237"/>
        <v>#VALUE!</v>
      </c>
      <c r="FE121" s="687" t="e">
        <f t="shared" si="237"/>
        <v>#VALUE!</v>
      </c>
      <c r="FF121" s="687" t="e">
        <f t="shared" si="237"/>
        <v>#VALUE!</v>
      </c>
      <c r="FG121" s="690" t="e">
        <f t="shared" si="237"/>
        <v>#VALUE!</v>
      </c>
      <c r="FH121" s="682" t="e">
        <f t="shared" si="237"/>
        <v>#DIV/0!</v>
      </c>
      <c r="FI121" s="683" t="e">
        <f t="shared" si="237"/>
        <v>#DIV/0!</v>
      </c>
      <c r="FJ121" s="684" t="e">
        <f t="shared" si="237"/>
        <v>#DIV/0!</v>
      </c>
      <c r="FK121" s="599" t="e">
        <f t="shared" si="237"/>
        <v>#DIV/0!</v>
      </c>
      <c r="FL121" s="685" t="e">
        <f t="shared" si="237"/>
        <v>#DIV/0!</v>
      </c>
      <c r="FM121" s="685" t="s">
        <v>93</v>
      </c>
      <c r="FN121" s="90" t="s">
        <v>93</v>
      </c>
      <c r="FO121" s="599" t="e">
        <f t="shared" ref="FO121" si="238">AVERAGE(FO116:FO120)</f>
        <v>#DIV/0!</v>
      </c>
      <c r="FP121" s="619" t="e">
        <f t="shared" ref="FP121:GD121" si="239">AVERAGE(FP116:FP120)</f>
        <v>#DIV/0!</v>
      </c>
      <c r="FQ121" s="675" t="e">
        <f t="shared" si="239"/>
        <v>#VALUE!</v>
      </c>
      <c r="FR121" s="672" t="e">
        <f t="shared" si="239"/>
        <v>#VALUE!</v>
      </c>
      <c r="FS121" s="687" t="e">
        <f t="shared" si="239"/>
        <v>#REF!</v>
      </c>
      <c r="FT121" s="686" t="e">
        <f t="shared" si="239"/>
        <v>#VALUE!</v>
      </c>
      <c r="FU121" s="687" t="e">
        <f t="shared" si="239"/>
        <v>#VALUE!</v>
      </c>
      <c r="FV121" s="687" t="e">
        <f t="shared" si="239"/>
        <v>#VALUE!</v>
      </c>
      <c r="FW121" s="687" t="e">
        <f t="shared" si="239"/>
        <v>#VALUE!</v>
      </c>
      <c r="FX121" s="687" t="e">
        <f t="shared" si="239"/>
        <v>#VALUE!</v>
      </c>
      <c r="FY121" s="690" t="e">
        <f t="shared" si="239"/>
        <v>#VALUE!</v>
      </c>
      <c r="FZ121" s="682" t="e">
        <f t="shared" si="239"/>
        <v>#DIV/0!</v>
      </c>
      <c r="GA121" s="683" t="e">
        <f t="shared" si="239"/>
        <v>#DIV/0!</v>
      </c>
      <c r="GB121" s="684" t="e">
        <f t="shared" si="239"/>
        <v>#DIV/0!</v>
      </c>
      <c r="GC121" s="599" t="e">
        <f t="shared" si="239"/>
        <v>#DIV/0!</v>
      </c>
      <c r="GD121" s="685" t="e">
        <f t="shared" si="239"/>
        <v>#DIV/0!</v>
      </c>
      <c r="GE121" s="685" t="s">
        <v>93</v>
      </c>
      <c r="GF121" s="90" t="s">
        <v>93</v>
      </c>
      <c r="GG121" s="599" t="e">
        <f t="shared" ref="GG121" si="240">AVERAGE(GG116:GG120)</f>
        <v>#DIV/0!</v>
      </c>
      <c r="GH121" s="619" t="e">
        <f t="shared" ref="GH121:GV121" si="241">AVERAGE(GH116:GH120)</f>
        <v>#DIV/0!</v>
      </c>
      <c r="GI121" s="675" t="e">
        <f t="shared" si="241"/>
        <v>#VALUE!</v>
      </c>
      <c r="GJ121" s="672" t="e">
        <f t="shared" si="241"/>
        <v>#VALUE!</v>
      </c>
      <c r="GK121" s="687" t="e">
        <f t="shared" si="241"/>
        <v>#REF!</v>
      </c>
      <c r="GL121" s="686" t="e">
        <f t="shared" si="241"/>
        <v>#VALUE!</v>
      </c>
      <c r="GM121" s="687" t="e">
        <f t="shared" si="241"/>
        <v>#VALUE!</v>
      </c>
      <c r="GN121" s="687" t="e">
        <f t="shared" si="241"/>
        <v>#VALUE!</v>
      </c>
      <c r="GO121" s="687" t="e">
        <f t="shared" si="241"/>
        <v>#VALUE!</v>
      </c>
      <c r="GP121" s="687" t="e">
        <f t="shared" si="241"/>
        <v>#VALUE!</v>
      </c>
      <c r="GQ121" s="690" t="e">
        <f t="shared" si="241"/>
        <v>#VALUE!</v>
      </c>
      <c r="GR121" s="682" t="e">
        <f t="shared" si="241"/>
        <v>#DIV/0!</v>
      </c>
      <c r="GS121" s="683" t="e">
        <f t="shared" si="241"/>
        <v>#DIV/0!</v>
      </c>
      <c r="GT121" s="684" t="e">
        <f t="shared" si="241"/>
        <v>#DIV/0!</v>
      </c>
      <c r="GU121" s="653" t="e">
        <f t="shared" si="241"/>
        <v>#DIV/0!</v>
      </c>
      <c r="GV121" s="685" t="e">
        <f t="shared" si="241"/>
        <v>#DIV/0!</v>
      </c>
      <c r="GW121" s="685" t="s">
        <v>93</v>
      </c>
      <c r="GX121" s="90" t="s">
        <v>93</v>
      </c>
      <c r="GY121" s="599" t="e">
        <f t="shared" ref="GY121" si="242">AVERAGE(GY116:GY120)</f>
        <v>#DIV/0!</v>
      </c>
      <c r="GZ121" s="619" t="e">
        <f t="shared" ref="GZ121:HN121" si="243">AVERAGE(GZ116:GZ120)</f>
        <v>#DIV/0!</v>
      </c>
      <c r="HA121" s="675" t="e">
        <f t="shared" si="243"/>
        <v>#VALUE!</v>
      </c>
      <c r="HB121" s="672" t="e">
        <f t="shared" si="243"/>
        <v>#VALUE!</v>
      </c>
      <c r="HC121" s="687" t="e">
        <f t="shared" si="243"/>
        <v>#REF!</v>
      </c>
      <c r="HD121" s="686" t="e">
        <f t="shared" si="243"/>
        <v>#VALUE!</v>
      </c>
      <c r="HE121" s="687" t="e">
        <f t="shared" si="243"/>
        <v>#VALUE!</v>
      </c>
      <c r="HF121" s="687" t="e">
        <f t="shared" si="243"/>
        <v>#VALUE!</v>
      </c>
      <c r="HG121" s="687" t="e">
        <f t="shared" si="243"/>
        <v>#VALUE!</v>
      </c>
      <c r="HH121" s="687" t="e">
        <f t="shared" si="243"/>
        <v>#VALUE!</v>
      </c>
      <c r="HI121" s="690" t="e">
        <f t="shared" si="243"/>
        <v>#VALUE!</v>
      </c>
      <c r="HJ121" s="682" t="e">
        <f t="shared" si="243"/>
        <v>#DIV/0!</v>
      </c>
      <c r="HK121" s="683" t="e">
        <f t="shared" si="243"/>
        <v>#DIV/0!</v>
      </c>
      <c r="HL121" s="684" t="e">
        <f t="shared" si="243"/>
        <v>#DIV/0!</v>
      </c>
      <c r="HM121" s="599" t="e">
        <f t="shared" si="243"/>
        <v>#DIV/0!</v>
      </c>
      <c r="HN121" s="685" t="e">
        <f t="shared" si="243"/>
        <v>#DIV/0!</v>
      </c>
      <c r="HO121" s="685" t="s">
        <v>93</v>
      </c>
      <c r="HP121" s="90" t="s">
        <v>93</v>
      </c>
      <c r="HQ121" s="599" t="e">
        <f t="shared" ref="HQ121" si="244">AVERAGE(HQ116:HQ120)</f>
        <v>#DIV/0!</v>
      </c>
      <c r="HR121" s="619" t="e">
        <f t="shared" ref="HR121:IF121" si="245">AVERAGE(HR116:HR120)</f>
        <v>#DIV/0!</v>
      </c>
      <c r="HS121" s="675" t="e">
        <f t="shared" si="245"/>
        <v>#VALUE!</v>
      </c>
      <c r="HT121" s="672" t="e">
        <f t="shared" si="245"/>
        <v>#VALUE!</v>
      </c>
      <c r="HU121" s="687" t="e">
        <f t="shared" si="245"/>
        <v>#REF!</v>
      </c>
      <c r="HV121" s="686" t="e">
        <f t="shared" si="245"/>
        <v>#VALUE!</v>
      </c>
      <c r="HW121" s="687" t="e">
        <f t="shared" si="245"/>
        <v>#VALUE!</v>
      </c>
      <c r="HX121" s="687" t="e">
        <f t="shared" si="245"/>
        <v>#VALUE!</v>
      </c>
      <c r="HY121" s="687" t="e">
        <f t="shared" si="245"/>
        <v>#VALUE!</v>
      </c>
      <c r="HZ121" s="687" t="e">
        <f t="shared" si="245"/>
        <v>#VALUE!</v>
      </c>
      <c r="IA121" s="690" t="e">
        <f t="shared" si="245"/>
        <v>#VALUE!</v>
      </c>
      <c r="IB121" s="682" t="e">
        <f t="shared" si="245"/>
        <v>#DIV/0!</v>
      </c>
      <c r="IC121" s="683" t="e">
        <f t="shared" si="245"/>
        <v>#DIV/0!</v>
      </c>
      <c r="ID121" s="684" t="e">
        <f t="shared" si="245"/>
        <v>#DIV/0!</v>
      </c>
      <c r="IE121" s="599" t="e">
        <f t="shared" si="245"/>
        <v>#DIV/0!</v>
      </c>
      <c r="IF121" s="685" t="e">
        <f t="shared" si="245"/>
        <v>#DIV/0!</v>
      </c>
      <c r="IG121" s="685" t="s">
        <v>93</v>
      </c>
      <c r="IH121" s="90" t="s">
        <v>93</v>
      </c>
      <c r="II121" s="599" t="e">
        <f t="shared" ref="II121" si="246">AVERAGE(II116:II120)</f>
        <v>#DIV/0!</v>
      </c>
      <c r="IJ121" s="619" t="e">
        <f t="shared" ref="IJ121:IX121" si="247">AVERAGE(IJ116:IJ120)</f>
        <v>#DIV/0!</v>
      </c>
      <c r="IK121" s="675" t="e">
        <f t="shared" si="247"/>
        <v>#VALUE!</v>
      </c>
      <c r="IL121" s="672" t="e">
        <f t="shared" si="247"/>
        <v>#VALUE!</v>
      </c>
      <c r="IM121" s="687" t="e">
        <f t="shared" si="247"/>
        <v>#REF!</v>
      </c>
      <c r="IN121" s="686" t="e">
        <f t="shared" si="247"/>
        <v>#VALUE!</v>
      </c>
      <c r="IO121" s="687" t="e">
        <f t="shared" si="247"/>
        <v>#VALUE!</v>
      </c>
      <c r="IP121" s="687" t="e">
        <f t="shared" si="247"/>
        <v>#VALUE!</v>
      </c>
      <c r="IQ121" s="687" t="e">
        <f t="shared" si="247"/>
        <v>#VALUE!</v>
      </c>
      <c r="IR121" s="687" t="e">
        <f t="shared" si="247"/>
        <v>#VALUE!</v>
      </c>
      <c r="IS121" s="690" t="e">
        <f t="shared" si="247"/>
        <v>#VALUE!</v>
      </c>
      <c r="IT121" s="682" t="e">
        <f t="shared" si="247"/>
        <v>#DIV/0!</v>
      </c>
      <c r="IU121" s="683" t="e">
        <f t="shared" si="247"/>
        <v>#DIV/0!</v>
      </c>
      <c r="IV121" s="684" t="e">
        <f t="shared" si="247"/>
        <v>#DIV/0!</v>
      </c>
      <c r="IW121" s="599" t="e">
        <f t="shared" si="247"/>
        <v>#DIV/0!</v>
      </c>
      <c r="IX121" s="685" t="e">
        <f t="shared" si="247"/>
        <v>#DIV/0!</v>
      </c>
      <c r="IY121" s="685" t="s">
        <v>93</v>
      </c>
      <c r="IZ121" s="90" t="s">
        <v>93</v>
      </c>
      <c r="JA121" s="599" t="e">
        <f t="shared" ref="JA121" si="248">AVERAGE(JA116:JA120)</f>
        <v>#DIV/0!</v>
      </c>
      <c r="JB121" s="619" t="e">
        <f t="shared" ref="JB121:JP121" si="249">AVERAGE(JB116:JB120)</f>
        <v>#DIV/0!</v>
      </c>
      <c r="JC121" s="675" t="e">
        <f t="shared" si="249"/>
        <v>#VALUE!</v>
      </c>
      <c r="JD121" s="672" t="e">
        <f t="shared" si="249"/>
        <v>#VALUE!</v>
      </c>
      <c r="JE121" s="687" t="e">
        <f t="shared" si="249"/>
        <v>#REF!</v>
      </c>
      <c r="JF121" s="686" t="e">
        <f t="shared" si="249"/>
        <v>#VALUE!</v>
      </c>
      <c r="JG121" s="687" t="e">
        <f t="shared" si="249"/>
        <v>#VALUE!</v>
      </c>
      <c r="JH121" s="687" t="e">
        <f t="shared" si="249"/>
        <v>#VALUE!</v>
      </c>
      <c r="JI121" s="687" t="e">
        <f t="shared" si="249"/>
        <v>#VALUE!</v>
      </c>
      <c r="JJ121" s="687" t="e">
        <f t="shared" si="249"/>
        <v>#VALUE!</v>
      </c>
      <c r="JK121" s="690" t="e">
        <f t="shared" si="249"/>
        <v>#VALUE!</v>
      </c>
      <c r="JL121" s="682" t="e">
        <f t="shared" si="249"/>
        <v>#DIV/0!</v>
      </c>
      <c r="JM121" s="683" t="e">
        <f t="shared" si="249"/>
        <v>#DIV/0!</v>
      </c>
      <c r="JN121" s="684" t="e">
        <f t="shared" si="249"/>
        <v>#DIV/0!</v>
      </c>
      <c r="JO121" s="599" t="e">
        <f t="shared" si="249"/>
        <v>#DIV/0!</v>
      </c>
      <c r="JP121" s="685" t="e">
        <f t="shared" si="249"/>
        <v>#DIV/0!</v>
      </c>
      <c r="JQ121" s="685" t="s">
        <v>93</v>
      </c>
      <c r="JR121" s="90" t="s">
        <v>93</v>
      </c>
      <c r="JS121" s="599" t="e">
        <f t="shared" ref="JS121" si="250">AVERAGE(JS116:JS120)</f>
        <v>#DIV/0!</v>
      </c>
      <c r="JT121" s="619" t="e">
        <f t="shared" ref="JT121:KH121" si="251">AVERAGE(JT116:JT120)</f>
        <v>#DIV/0!</v>
      </c>
      <c r="JU121" s="675" t="e">
        <f t="shared" si="251"/>
        <v>#VALUE!</v>
      </c>
      <c r="JV121" s="672" t="e">
        <f t="shared" si="251"/>
        <v>#VALUE!</v>
      </c>
      <c r="JW121" s="687" t="e">
        <f t="shared" si="251"/>
        <v>#REF!</v>
      </c>
      <c r="JX121" s="686" t="e">
        <f t="shared" si="251"/>
        <v>#VALUE!</v>
      </c>
      <c r="JY121" s="687" t="e">
        <f t="shared" si="251"/>
        <v>#VALUE!</v>
      </c>
      <c r="JZ121" s="687" t="e">
        <f t="shared" si="251"/>
        <v>#VALUE!</v>
      </c>
      <c r="KA121" s="687" t="e">
        <f t="shared" si="251"/>
        <v>#VALUE!</v>
      </c>
      <c r="KB121" s="687" t="e">
        <f t="shared" si="251"/>
        <v>#VALUE!</v>
      </c>
      <c r="KC121" s="690" t="e">
        <f t="shared" si="251"/>
        <v>#VALUE!</v>
      </c>
      <c r="KD121" s="682" t="e">
        <f t="shared" si="251"/>
        <v>#DIV/0!</v>
      </c>
      <c r="KE121" s="683" t="e">
        <f t="shared" si="251"/>
        <v>#DIV/0!</v>
      </c>
      <c r="KF121" s="684" t="e">
        <f t="shared" si="251"/>
        <v>#DIV/0!</v>
      </c>
      <c r="KG121" s="599" t="e">
        <f t="shared" si="251"/>
        <v>#DIV/0!</v>
      </c>
      <c r="KH121" s="685" t="e">
        <f t="shared" si="251"/>
        <v>#DIV/0!</v>
      </c>
      <c r="KI121" s="685" t="s">
        <v>93</v>
      </c>
      <c r="KJ121" s="90" t="s">
        <v>93</v>
      </c>
      <c r="KK121" s="599" t="e">
        <f t="shared" ref="KK121" si="252">AVERAGE(KK116:KK120)</f>
        <v>#DIV/0!</v>
      </c>
      <c r="KL121" s="619" t="e">
        <f t="shared" ref="KL121:KZ121" si="253">AVERAGE(KL116:KL120)</f>
        <v>#DIV/0!</v>
      </c>
      <c r="KM121" s="675" t="e">
        <f t="shared" si="253"/>
        <v>#VALUE!</v>
      </c>
      <c r="KN121" s="672" t="e">
        <f t="shared" si="253"/>
        <v>#VALUE!</v>
      </c>
      <c r="KO121" s="687" t="e">
        <f t="shared" si="253"/>
        <v>#REF!</v>
      </c>
      <c r="KP121" s="686" t="e">
        <f t="shared" si="253"/>
        <v>#VALUE!</v>
      </c>
      <c r="KQ121" s="687" t="e">
        <f t="shared" si="253"/>
        <v>#VALUE!</v>
      </c>
      <c r="KR121" s="687" t="e">
        <f t="shared" si="253"/>
        <v>#VALUE!</v>
      </c>
      <c r="KS121" s="687" t="e">
        <f t="shared" si="253"/>
        <v>#VALUE!</v>
      </c>
      <c r="KT121" s="687" t="e">
        <f t="shared" si="253"/>
        <v>#VALUE!</v>
      </c>
      <c r="KU121" s="690" t="e">
        <f t="shared" si="253"/>
        <v>#VALUE!</v>
      </c>
      <c r="KV121" s="682" t="e">
        <f t="shared" si="253"/>
        <v>#DIV/0!</v>
      </c>
      <c r="KW121" s="683" t="e">
        <f t="shared" si="253"/>
        <v>#DIV/0!</v>
      </c>
      <c r="KX121" s="684" t="e">
        <f t="shared" si="253"/>
        <v>#DIV/0!</v>
      </c>
      <c r="KY121" s="599" t="e">
        <f t="shared" si="253"/>
        <v>#DIV/0!</v>
      </c>
      <c r="KZ121" s="685" t="e">
        <f t="shared" si="253"/>
        <v>#DIV/0!</v>
      </c>
      <c r="LA121" s="685" t="s">
        <v>93</v>
      </c>
      <c r="LB121" s="90" t="s">
        <v>93</v>
      </c>
      <c r="LC121" s="599" t="e">
        <f t="shared" ref="LC121" si="254">AVERAGE(LC116:LC120)</f>
        <v>#DIV/0!</v>
      </c>
      <c r="LD121" s="619" t="e">
        <f t="shared" ref="LD121:LR121" si="255">AVERAGE(LD116:LD120)</f>
        <v>#DIV/0!</v>
      </c>
      <c r="LE121" s="675" t="e">
        <f t="shared" si="255"/>
        <v>#VALUE!</v>
      </c>
      <c r="LF121" s="672" t="e">
        <f t="shared" si="255"/>
        <v>#VALUE!</v>
      </c>
      <c r="LG121" s="687" t="e">
        <f t="shared" si="255"/>
        <v>#REF!</v>
      </c>
      <c r="LH121" s="686" t="e">
        <f t="shared" si="255"/>
        <v>#VALUE!</v>
      </c>
      <c r="LI121" s="687" t="e">
        <f t="shared" si="255"/>
        <v>#VALUE!</v>
      </c>
      <c r="LJ121" s="687" t="e">
        <f t="shared" si="255"/>
        <v>#VALUE!</v>
      </c>
      <c r="LK121" s="687" t="e">
        <f t="shared" si="255"/>
        <v>#VALUE!</v>
      </c>
      <c r="LL121" s="687" t="e">
        <f t="shared" si="255"/>
        <v>#VALUE!</v>
      </c>
      <c r="LM121" s="690" t="e">
        <f t="shared" si="255"/>
        <v>#VALUE!</v>
      </c>
      <c r="LN121" s="682" t="e">
        <f t="shared" si="255"/>
        <v>#DIV/0!</v>
      </c>
      <c r="LO121" s="683" t="e">
        <f t="shared" si="255"/>
        <v>#DIV/0!</v>
      </c>
      <c r="LP121" s="684" t="e">
        <f t="shared" si="255"/>
        <v>#DIV/0!</v>
      </c>
      <c r="LQ121" s="599" t="e">
        <f t="shared" si="255"/>
        <v>#DIV/0!</v>
      </c>
      <c r="LR121" s="685" t="e">
        <f t="shared" si="255"/>
        <v>#DIV/0!</v>
      </c>
      <c r="LS121" s="685" t="s">
        <v>93</v>
      </c>
      <c r="LT121" s="90" t="s">
        <v>93</v>
      </c>
      <c r="LU121" s="599" t="e">
        <f t="shared" ref="LU121" si="256">AVERAGE(LU116:LU120)</f>
        <v>#DIV/0!</v>
      </c>
      <c r="LV121" s="619" t="e">
        <f t="shared" ref="LV121:MJ121" si="257">AVERAGE(LV116:LV120)</f>
        <v>#DIV/0!</v>
      </c>
      <c r="LW121" s="675" t="e">
        <f t="shared" si="257"/>
        <v>#VALUE!</v>
      </c>
      <c r="LX121" s="672" t="e">
        <f t="shared" si="257"/>
        <v>#VALUE!</v>
      </c>
      <c r="LY121" s="687" t="e">
        <f t="shared" si="257"/>
        <v>#REF!</v>
      </c>
      <c r="LZ121" s="686" t="e">
        <f t="shared" si="257"/>
        <v>#VALUE!</v>
      </c>
      <c r="MA121" s="687" t="e">
        <f t="shared" si="257"/>
        <v>#VALUE!</v>
      </c>
      <c r="MB121" s="687" t="e">
        <f t="shared" si="257"/>
        <v>#VALUE!</v>
      </c>
      <c r="MC121" s="687" t="e">
        <f t="shared" si="257"/>
        <v>#VALUE!</v>
      </c>
      <c r="MD121" s="687" t="e">
        <f t="shared" si="257"/>
        <v>#VALUE!</v>
      </c>
      <c r="ME121" s="690" t="e">
        <f t="shared" si="257"/>
        <v>#VALUE!</v>
      </c>
      <c r="MF121" s="682" t="e">
        <f t="shared" si="257"/>
        <v>#DIV/0!</v>
      </c>
      <c r="MG121" s="683" t="e">
        <f t="shared" si="257"/>
        <v>#DIV/0!</v>
      </c>
      <c r="MH121" s="684" t="e">
        <f t="shared" si="257"/>
        <v>#DIV/0!</v>
      </c>
      <c r="MI121" s="599" t="e">
        <f t="shared" si="257"/>
        <v>#DIV/0!</v>
      </c>
      <c r="MJ121" s="685" t="e">
        <f t="shared" si="257"/>
        <v>#DIV/0!</v>
      </c>
      <c r="MK121" s="685" t="s">
        <v>93</v>
      </c>
      <c r="ML121" s="90" t="s">
        <v>93</v>
      </c>
      <c r="MM121" s="599" t="e">
        <f t="shared" ref="MM121" si="258">AVERAGE(MM116:MM120)</f>
        <v>#DIV/0!</v>
      </c>
      <c r="MN121" s="619" t="e">
        <f t="shared" ref="MN121:NB121" si="259">AVERAGE(MN116:MN120)</f>
        <v>#DIV/0!</v>
      </c>
      <c r="MO121" s="675" t="e">
        <f t="shared" si="259"/>
        <v>#VALUE!</v>
      </c>
      <c r="MP121" s="672" t="e">
        <f t="shared" si="259"/>
        <v>#VALUE!</v>
      </c>
      <c r="MQ121" s="687" t="e">
        <f t="shared" si="259"/>
        <v>#REF!</v>
      </c>
      <c r="MR121" s="686" t="e">
        <f t="shared" si="259"/>
        <v>#VALUE!</v>
      </c>
      <c r="MS121" s="687" t="e">
        <f t="shared" si="259"/>
        <v>#VALUE!</v>
      </c>
      <c r="MT121" s="687" t="e">
        <f t="shared" si="259"/>
        <v>#VALUE!</v>
      </c>
      <c r="MU121" s="687" t="e">
        <f t="shared" si="259"/>
        <v>#VALUE!</v>
      </c>
      <c r="MV121" s="687" t="e">
        <f t="shared" si="259"/>
        <v>#VALUE!</v>
      </c>
      <c r="MW121" s="690" t="e">
        <f t="shared" si="259"/>
        <v>#VALUE!</v>
      </c>
      <c r="MX121" s="682" t="e">
        <f t="shared" si="259"/>
        <v>#DIV/0!</v>
      </c>
      <c r="MY121" s="683" t="e">
        <f t="shared" si="259"/>
        <v>#DIV/0!</v>
      </c>
      <c r="MZ121" s="693" t="e">
        <f t="shared" si="259"/>
        <v>#DIV/0!</v>
      </c>
      <c r="NA121" s="599" t="e">
        <f t="shared" si="259"/>
        <v>#DIV/0!</v>
      </c>
      <c r="NB121" s="694" t="e">
        <f t="shared" si="259"/>
        <v>#DIV/0!</v>
      </c>
      <c r="NC121" s="685" t="s">
        <v>93</v>
      </c>
      <c r="ND121" s="90" t="s">
        <v>93</v>
      </c>
      <c r="NE121" s="599" t="e">
        <f t="shared" ref="NE121" si="260">AVERAGE(NE116:NE120)</f>
        <v>#DIV/0!</v>
      </c>
      <c r="NF121" s="619" t="e">
        <f t="shared" ref="NF121:NT121" si="261">AVERAGE(NF116:NF120)</f>
        <v>#DIV/0!</v>
      </c>
      <c r="NG121" s="675" t="e">
        <f t="shared" si="261"/>
        <v>#VALUE!</v>
      </c>
      <c r="NH121" s="672" t="e">
        <f t="shared" si="261"/>
        <v>#VALUE!</v>
      </c>
      <c r="NI121" s="687" t="e">
        <f t="shared" si="261"/>
        <v>#REF!</v>
      </c>
      <c r="NJ121" s="686" t="e">
        <f t="shared" si="261"/>
        <v>#VALUE!</v>
      </c>
      <c r="NK121" s="687" t="e">
        <f t="shared" si="261"/>
        <v>#VALUE!</v>
      </c>
      <c r="NL121" s="687" t="e">
        <f t="shared" si="261"/>
        <v>#VALUE!</v>
      </c>
      <c r="NM121" s="687" t="e">
        <f t="shared" si="261"/>
        <v>#VALUE!</v>
      </c>
      <c r="NN121" s="687" t="e">
        <f t="shared" si="261"/>
        <v>#VALUE!</v>
      </c>
      <c r="NO121" s="690" t="e">
        <f t="shared" si="261"/>
        <v>#VALUE!</v>
      </c>
      <c r="NP121" s="682" t="e">
        <f t="shared" si="261"/>
        <v>#DIV/0!</v>
      </c>
      <c r="NQ121" s="683" t="e">
        <f t="shared" si="261"/>
        <v>#DIV/0!</v>
      </c>
      <c r="NR121" s="684" t="e">
        <f t="shared" si="261"/>
        <v>#DIV/0!</v>
      </c>
      <c r="NS121" s="599" t="e">
        <f t="shared" si="261"/>
        <v>#DIV/0!</v>
      </c>
      <c r="NT121" s="685" t="e">
        <f t="shared" si="261"/>
        <v>#DIV/0!</v>
      </c>
      <c r="NU121" s="685" t="s">
        <v>93</v>
      </c>
      <c r="NV121" s="90" t="s">
        <v>93</v>
      </c>
      <c r="NW121" s="599" t="e">
        <f t="shared" ref="NW121" si="262">AVERAGE(NW116:NW120)</f>
        <v>#DIV/0!</v>
      </c>
      <c r="NX121" s="619" t="e">
        <f t="shared" ref="NX121:OL121" si="263">AVERAGE(NX116:NX120)</f>
        <v>#DIV/0!</v>
      </c>
      <c r="NY121" s="675" t="e">
        <f t="shared" si="263"/>
        <v>#VALUE!</v>
      </c>
      <c r="NZ121" s="672" t="e">
        <f t="shared" si="263"/>
        <v>#VALUE!</v>
      </c>
      <c r="OA121" s="687" t="e">
        <f t="shared" si="263"/>
        <v>#REF!</v>
      </c>
      <c r="OB121" s="686" t="e">
        <f t="shared" si="263"/>
        <v>#VALUE!</v>
      </c>
      <c r="OC121" s="687" t="e">
        <f t="shared" si="263"/>
        <v>#VALUE!</v>
      </c>
      <c r="OD121" s="687" t="e">
        <f t="shared" si="263"/>
        <v>#VALUE!</v>
      </c>
      <c r="OE121" s="687" t="e">
        <f t="shared" si="263"/>
        <v>#VALUE!</v>
      </c>
      <c r="OF121" s="687" t="e">
        <f t="shared" si="263"/>
        <v>#VALUE!</v>
      </c>
      <c r="OG121" s="690" t="e">
        <f t="shared" si="263"/>
        <v>#VALUE!</v>
      </c>
      <c r="OH121" s="682" t="e">
        <f t="shared" si="263"/>
        <v>#DIV/0!</v>
      </c>
      <c r="OI121" s="683" t="e">
        <f t="shared" si="263"/>
        <v>#DIV/0!</v>
      </c>
      <c r="OJ121" s="684" t="e">
        <f t="shared" si="263"/>
        <v>#DIV/0!</v>
      </c>
      <c r="OK121" s="599" t="e">
        <f t="shared" si="263"/>
        <v>#DIV/0!</v>
      </c>
      <c r="OL121" s="685" t="e">
        <f t="shared" si="263"/>
        <v>#DIV/0!</v>
      </c>
      <c r="OM121" s="685" t="s">
        <v>93</v>
      </c>
      <c r="ON121" s="90" t="s">
        <v>93</v>
      </c>
      <c r="OO121" s="599" t="e">
        <f t="shared" ref="OO121" si="264">AVERAGE(OO116:OO120)</f>
        <v>#DIV/0!</v>
      </c>
      <c r="OP121" s="619" t="e">
        <f t="shared" ref="OP121:PD121" si="265">AVERAGE(OP116:OP120)</f>
        <v>#DIV/0!</v>
      </c>
      <c r="OQ121" s="675" t="e">
        <f t="shared" si="265"/>
        <v>#VALUE!</v>
      </c>
      <c r="OR121" s="672" t="e">
        <f t="shared" si="265"/>
        <v>#VALUE!</v>
      </c>
      <c r="OS121" s="687" t="e">
        <f t="shared" si="265"/>
        <v>#REF!</v>
      </c>
      <c r="OT121" s="686" t="e">
        <f t="shared" si="265"/>
        <v>#VALUE!</v>
      </c>
      <c r="OU121" s="687" t="e">
        <f t="shared" si="265"/>
        <v>#VALUE!</v>
      </c>
      <c r="OV121" s="687" t="e">
        <f t="shared" si="265"/>
        <v>#VALUE!</v>
      </c>
      <c r="OW121" s="687" t="e">
        <f t="shared" si="265"/>
        <v>#VALUE!</v>
      </c>
      <c r="OX121" s="687" t="e">
        <f t="shared" si="265"/>
        <v>#VALUE!</v>
      </c>
      <c r="OY121" s="690" t="e">
        <f t="shared" si="265"/>
        <v>#VALUE!</v>
      </c>
      <c r="OZ121" s="682" t="e">
        <f t="shared" si="265"/>
        <v>#DIV/0!</v>
      </c>
      <c r="PA121" s="683" t="e">
        <f t="shared" si="265"/>
        <v>#DIV/0!</v>
      </c>
      <c r="PB121" s="684" t="e">
        <f t="shared" si="265"/>
        <v>#DIV/0!</v>
      </c>
      <c r="PC121" s="599" t="e">
        <f t="shared" si="265"/>
        <v>#DIV/0!</v>
      </c>
      <c r="PD121" s="685" t="e">
        <f t="shared" si="265"/>
        <v>#DIV/0!</v>
      </c>
      <c r="PE121" s="685" t="s">
        <v>93</v>
      </c>
      <c r="PF121" s="90" t="s">
        <v>93</v>
      </c>
      <c r="PG121" s="599" t="e">
        <f t="shared" ref="PG121" si="266">AVERAGE(PG116:PG120)</f>
        <v>#DIV/0!</v>
      </c>
      <c r="PH121" s="619" t="e">
        <f t="shared" ref="PH121:PV121" si="267">AVERAGE(PH116:PH120)</f>
        <v>#DIV/0!</v>
      </c>
      <c r="PI121" s="675" t="e">
        <f t="shared" si="267"/>
        <v>#VALUE!</v>
      </c>
      <c r="PJ121" s="672" t="e">
        <f t="shared" si="267"/>
        <v>#VALUE!</v>
      </c>
      <c r="PK121" s="687" t="e">
        <f t="shared" si="267"/>
        <v>#REF!</v>
      </c>
      <c r="PL121" s="686" t="e">
        <f t="shared" si="267"/>
        <v>#VALUE!</v>
      </c>
      <c r="PM121" s="687" t="e">
        <f t="shared" si="267"/>
        <v>#VALUE!</v>
      </c>
      <c r="PN121" s="687" t="e">
        <f t="shared" si="267"/>
        <v>#VALUE!</v>
      </c>
      <c r="PO121" s="687" t="e">
        <f t="shared" si="267"/>
        <v>#VALUE!</v>
      </c>
      <c r="PP121" s="687" t="e">
        <f t="shared" si="267"/>
        <v>#VALUE!</v>
      </c>
      <c r="PQ121" s="690" t="e">
        <f t="shared" si="267"/>
        <v>#VALUE!</v>
      </c>
      <c r="PR121" s="682" t="e">
        <f t="shared" si="267"/>
        <v>#DIV/0!</v>
      </c>
      <c r="PS121" s="683" t="e">
        <f t="shared" si="267"/>
        <v>#DIV/0!</v>
      </c>
      <c r="PT121" s="684" t="e">
        <f t="shared" si="267"/>
        <v>#DIV/0!</v>
      </c>
      <c r="PU121" s="599" t="e">
        <f t="shared" si="267"/>
        <v>#DIV/0!</v>
      </c>
      <c r="PV121" s="685" t="e">
        <f t="shared" si="267"/>
        <v>#DIV/0!</v>
      </c>
      <c r="PW121" s="685" t="s">
        <v>93</v>
      </c>
      <c r="PX121" s="90" t="s">
        <v>93</v>
      </c>
      <c r="PY121" s="599" t="e">
        <f t="shared" ref="PY121" si="268">AVERAGE(PY116:PY120)</f>
        <v>#DIV/0!</v>
      </c>
      <c r="PZ121" s="619" t="e">
        <f t="shared" ref="PZ121:QN121" si="269">AVERAGE(PZ116:PZ120)</f>
        <v>#DIV/0!</v>
      </c>
      <c r="QA121" s="675" t="e">
        <f t="shared" si="269"/>
        <v>#VALUE!</v>
      </c>
      <c r="QB121" s="672" t="e">
        <f t="shared" si="269"/>
        <v>#VALUE!</v>
      </c>
      <c r="QC121" s="687" t="e">
        <f t="shared" si="269"/>
        <v>#REF!</v>
      </c>
      <c r="QD121" s="686" t="e">
        <f t="shared" si="269"/>
        <v>#VALUE!</v>
      </c>
      <c r="QE121" s="687" t="e">
        <f t="shared" si="269"/>
        <v>#VALUE!</v>
      </c>
      <c r="QF121" s="687" t="e">
        <f t="shared" si="269"/>
        <v>#VALUE!</v>
      </c>
      <c r="QG121" s="687" t="e">
        <f t="shared" si="269"/>
        <v>#VALUE!</v>
      </c>
      <c r="QH121" s="687" t="e">
        <f t="shared" si="269"/>
        <v>#VALUE!</v>
      </c>
      <c r="QI121" s="690" t="e">
        <f t="shared" si="269"/>
        <v>#VALUE!</v>
      </c>
      <c r="QJ121" s="682" t="e">
        <f t="shared" si="269"/>
        <v>#DIV/0!</v>
      </c>
      <c r="QK121" s="683" t="e">
        <f t="shared" si="269"/>
        <v>#DIV/0!</v>
      </c>
      <c r="QL121" s="684" t="e">
        <f t="shared" si="269"/>
        <v>#DIV/0!</v>
      </c>
      <c r="QM121" s="599" t="e">
        <f t="shared" si="269"/>
        <v>#DIV/0!</v>
      </c>
      <c r="QN121" s="685" t="e">
        <f t="shared" si="269"/>
        <v>#DIV/0!</v>
      </c>
      <c r="QO121" s="685" t="s">
        <v>93</v>
      </c>
      <c r="QP121" s="90" t="s">
        <v>93</v>
      </c>
      <c r="QQ121" s="599" t="e">
        <f t="shared" ref="QQ121" si="270">AVERAGE(QQ116:QQ120)</f>
        <v>#DIV/0!</v>
      </c>
      <c r="QR121" s="619" t="e">
        <f t="shared" ref="QR121:RF121" si="271">AVERAGE(QR116:QR120)</f>
        <v>#DIV/0!</v>
      </c>
      <c r="QS121" s="675" t="e">
        <f t="shared" si="271"/>
        <v>#VALUE!</v>
      </c>
      <c r="QT121" s="672" t="e">
        <f t="shared" si="271"/>
        <v>#VALUE!</v>
      </c>
      <c r="QU121" s="687" t="e">
        <f t="shared" si="271"/>
        <v>#REF!</v>
      </c>
      <c r="QV121" s="686" t="e">
        <f t="shared" si="271"/>
        <v>#VALUE!</v>
      </c>
      <c r="QW121" s="687" t="e">
        <f t="shared" si="271"/>
        <v>#VALUE!</v>
      </c>
      <c r="QX121" s="687" t="e">
        <f t="shared" si="271"/>
        <v>#VALUE!</v>
      </c>
      <c r="QY121" s="687" t="e">
        <f t="shared" si="271"/>
        <v>#VALUE!</v>
      </c>
      <c r="QZ121" s="687" t="e">
        <f t="shared" si="271"/>
        <v>#VALUE!</v>
      </c>
      <c r="RA121" s="690" t="e">
        <f t="shared" si="271"/>
        <v>#VALUE!</v>
      </c>
      <c r="RB121" s="682" t="e">
        <f t="shared" si="271"/>
        <v>#DIV/0!</v>
      </c>
      <c r="RC121" s="683" t="e">
        <f t="shared" si="271"/>
        <v>#DIV/0!</v>
      </c>
      <c r="RD121" s="684" t="e">
        <f t="shared" si="271"/>
        <v>#DIV/0!</v>
      </c>
      <c r="RE121" s="599" t="e">
        <f t="shared" si="271"/>
        <v>#DIV/0!</v>
      </c>
      <c r="RF121" s="694" t="e">
        <f t="shared" si="271"/>
        <v>#DIV/0!</v>
      </c>
      <c r="RG121" s="685" t="s">
        <v>93</v>
      </c>
      <c r="RH121" s="90" t="s">
        <v>93</v>
      </c>
      <c r="RI121" s="599" t="e">
        <f t="shared" ref="RI121" si="272">AVERAGE(RI116:RI120)</f>
        <v>#DIV/0!</v>
      </c>
      <c r="RJ121" s="619" t="e">
        <f t="shared" ref="RJ121:RX121" si="273">AVERAGE(RJ116:RJ120)</f>
        <v>#DIV/0!</v>
      </c>
      <c r="RK121" s="675" t="e">
        <f t="shared" si="273"/>
        <v>#VALUE!</v>
      </c>
      <c r="RL121" s="672" t="e">
        <f t="shared" si="273"/>
        <v>#VALUE!</v>
      </c>
      <c r="RM121" s="687" t="e">
        <f t="shared" si="273"/>
        <v>#REF!</v>
      </c>
      <c r="RN121" s="686" t="e">
        <f t="shared" si="273"/>
        <v>#VALUE!</v>
      </c>
      <c r="RO121" s="687" t="e">
        <f t="shared" si="273"/>
        <v>#VALUE!</v>
      </c>
      <c r="RP121" s="687" t="e">
        <f t="shared" si="273"/>
        <v>#VALUE!</v>
      </c>
      <c r="RQ121" s="687" t="e">
        <f t="shared" si="273"/>
        <v>#VALUE!</v>
      </c>
      <c r="RR121" s="687" t="e">
        <f t="shared" si="273"/>
        <v>#VALUE!</v>
      </c>
      <c r="RS121" s="690" t="e">
        <f t="shared" si="273"/>
        <v>#VALUE!</v>
      </c>
      <c r="RT121" s="682" t="e">
        <f t="shared" si="273"/>
        <v>#DIV/0!</v>
      </c>
      <c r="RU121" s="683" t="e">
        <f t="shared" si="273"/>
        <v>#DIV/0!</v>
      </c>
      <c r="RV121" s="684" t="e">
        <f t="shared" si="273"/>
        <v>#DIV/0!</v>
      </c>
      <c r="RW121" s="672" t="e">
        <f t="shared" si="273"/>
        <v>#DIV/0!</v>
      </c>
      <c r="RX121" s="685" t="e">
        <f t="shared" si="273"/>
        <v>#DIV/0!</v>
      </c>
      <c r="RY121" s="685" t="s">
        <v>93</v>
      </c>
      <c r="RZ121" s="90" t="s">
        <v>93</v>
      </c>
      <c r="SA121" s="599" t="e">
        <f t="shared" ref="SA121" si="274">AVERAGE(SA116:SA120)</f>
        <v>#DIV/0!</v>
      </c>
      <c r="SB121" s="619" t="e">
        <f t="shared" ref="SB121:SP121" si="275">AVERAGE(SB116:SB120)</f>
        <v>#DIV/0!</v>
      </c>
      <c r="SC121" s="675" t="e">
        <f t="shared" si="275"/>
        <v>#VALUE!</v>
      </c>
      <c r="SD121" s="672" t="e">
        <f t="shared" si="275"/>
        <v>#VALUE!</v>
      </c>
      <c r="SE121" s="687" t="e">
        <f t="shared" si="275"/>
        <v>#REF!</v>
      </c>
      <c r="SF121" s="686" t="e">
        <f t="shared" si="275"/>
        <v>#VALUE!</v>
      </c>
      <c r="SG121" s="687" t="e">
        <f t="shared" si="275"/>
        <v>#VALUE!</v>
      </c>
      <c r="SH121" s="687" t="e">
        <f t="shared" si="275"/>
        <v>#VALUE!</v>
      </c>
      <c r="SI121" s="687" t="e">
        <f t="shared" si="275"/>
        <v>#VALUE!</v>
      </c>
      <c r="SJ121" s="687" t="e">
        <f t="shared" si="275"/>
        <v>#VALUE!</v>
      </c>
      <c r="SK121" s="690" t="e">
        <f t="shared" si="275"/>
        <v>#VALUE!</v>
      </c>
      <c r="SL121" s="682" t="e">
        <f t="shared" si="275"/>
        <v>#DIV/0!</v>
      </c>
      <c r="SM121" s="683" t="e">
        <f t="shared" si="275"/>
        <v>#DIV/0!</v>
      </c>
      <c r="SN121" s="684" t="e">
        <f t="shared" si="275"/>
        <v>#DIV/0!</v>
      </c>
      <c r="SO121" s="599" t="e">
        <f t="shared" si="275"/>
        <v>#DIV/0!</v>
      </c>
      <c r="SP121" s="685" t="e">
        <f t="shared" si="275"/>
        <v>#DIV/0!</v>
      </c>
      <c r="SQ121" s="685" t="s">
        <v>93</v>
      </c>
      <c r="SR121" s="90" t="s">
        <v>93</v>
      </c>
      <c r="SS121" s="599" t="e">
        <f t="shared" ref="SS121" si="276">AVERAGE(SS116:SS120)</f>
        <v>#DIV/0!</v>
      </c>
      <c r="ST121" s="619" t="e">
        <f t="shared" ref="ST121:TH121" si="277">AVERAGE(ST116:ST120)</f>
        <v>#DIV/0!</v>
      </c>
      <c r="SU121" s="675" t="e">
        <f t="shared" si="277"/>
        <v>#VALUE!</v>
      </c>
      <c r="SV121" s="672" t="e">
        <f t="shared" si="277"/>
        <v>#VALUE!</v>
      </c>
      <c r="SW121" s="687" t="e">
        <f t="shared" si="277"/>
        <v>#REF!</v>
      </c>
      <c r="SX121" s="686" t="e">
        <f t="shared" si="277"/>
        <v>#VALUE!</v>
      </c>
      <c r="SY121" s="687" t="e">
        <f t="shared" si="277"/>
        <v>#VALUE!</v>
      </c>
      <c r="SZ121" s="687" t="e">
        <f t="shared" si="277"/>
        <v>#VALUE!</v>
      </c>
      <c r="TA121" s="687" t="e">
        <f t="shared" si="277"/>
        <v>#VALUE!</v>
      </c>
      <c r="TB121" s="687" t="e">
        <f t="shared" si="277"/>
        <v>#VALUE!</v>
      </c>
      <c r="TC121" s="690" t="e">
        <f t="shared" si="277"/>
        <v>#VALUE!</v>
      </c>
      <c r="TD121" s="682" t="e">
        <f t="shared" si="277"/>
        <v>#DIV/0!</v>
      </c>
      <c r="TE121" s="683" t="e">
        <f t="shared" si="277"/>
        <v>#DIV/0!</v>
      </c>
      <c r="TF121" s="684" t="e">
        <f t="shared" si="277"/>
        <v>#DIV/0!</v>
      </c>
      <c r="TG121" s="599" t="e">
        <f t="shared" si="277"/>
        <v>#DIV/0!</v>
      </c>
      <c r="TH121" s="685" t="e">
        <f t="shared" si="277"/>
        <v>#DIV/0!</v>
      </c>
      <c r="TI121" s="685" t="s">
        <v>93</v>
      </c>
      <c r="TJ121" s="90" t="s">
        <v>93</v>
      </c>
      <c r="TK121" s="599" t="e">
        <f t="shared" ref="TK121" si="278">AVERAGE(TK116:TK120)</f>
        <v>#DIV/0!</v>
      </c>
      <c r="TL121" s="619" t="e">
        <f t="shared" ref="TL121:TZ121" si="279">AVERAGE(TL116:TL120)</f>
        <v>#DIV/0!</v>
      </c>
      <c r="TM121" s="675" t="e">
        <f t="shared" si="279"/>
        <v>#VALUE!</v>
      </c>
      <c r="TN121" s="672" t="e">
        <f t="shared" si="279"/>
        <v>#VALUE!</v>
      </c>
      <c r="TO121" s="687" t="e">
        <f t="shared" si="279"/>
        <v>#REF!</v>
      </c>
      <c r="TP121" s="686" t="e">
        <f t="shared" si="279"/>
        <v>#VALUE!</v>
      </c>
      <c r="TQ121" s="687" t="e">
        <f t="shared" si="279"/>
        <v>#VALUE!</v>
      </c>
      <c r="TR121" s="687" t="e">
        <f t="shared" si="279"/>
        <v>#VALUE!</v>
      </c>
      <c r="TS121" s="687" t="e">
        <f t="shared" si="279"/>
        <v>#VALUE!</v>
      </c>
      <c r="TT121" s="687" t="e">
        <f t="shared" si="279"/>
        <v>#VALUE!</v>
      </c>
      <c r="TU121" s="690" t="e">
        <f t="shared" si="279"/>
        <v>#VALUE!</v>
      </c>
      <c r="TV121" s="682" t="e">
        <f t="shared" si="279"/>
        <v>#DIV/0!</v>
      </c>
      <c r="TW121" s="683" t="e">
        <f t="shared" si="279"/>
        <v>#DIV/0!</v>
      </c>
      <c r="TX121" s="684" t="e">
        <f t="shared" si="279"/>
        <v>#DIV/0!</v>
      </c>
      <c r="TY121" s="599" t="e">
        <f t="shared" si="279"/>
        <v>#DIV/0!</v>
      </c>
      <c r="TZ121" s="685" t="e">
        <f t="shared" si="279"/>
        <v>#DIV/0!</v>
      </c>
      <c r="UA121" s="685" t="s">
        <v>93</v>
      </c>
      <c r="UB121" s="90" t="s">
        <v>93</v>
      </c>
      <c r="UC121" s="599" t="e">
        <f t="shared" ref="UC121" si="280">AVERAGE(UC116:UC120)</f>
        <v>#DIV/0!</v>
      </c>
      <c r="UD121" s="619" t="e">
        <f t="shared" ref="UD121:UR121" si="281">AVERAGE(UD116:UD120)</f>
        <v>#DIV/0!</v>
      </c>
      <c r="UE121" s="675" t="e">
        <f t="shared" si="281"/>
        <v>#VALUE!</v>
      </c>
      <c r="UF121" s="672" t="e">
        <f t="shared" si="281"/>
        <v>#VALUE!</v>
      </c>
      <c r="UG121" s="687" t="e">
        <f t="shared" si="281"/>
        <v>#REF!</v>
      </c>
      <c r="UH121" s="686" t="e">
        <f t="shared" si="281"/>
        <v>#VALUE!</v>
      </c>
      <c r="UI121" s="687" t="e">
        <f t="shared" si="281"/>
        <v>#VALUE!</v>
      </c>
      <c r="UJ121" s="687" t="e">
        <f t="shared" si="281"/>
        <v>#VALUE!</v>
      </c>
      <c r="UK121" s="687" t="e">
        <f t="shared" si="281"/>
        <v>#VALUE!</v>
      </c>
      <c r="UL121" s="687" t="e">
        <f t="shared" si="281"/>
        <v>#VALUE!</v>
      </c>
      <c r="UM121" s="690" t="e">
        <f t="shared" si="281"/>
        <v>#VALUE!</v>
      </c>
      <c r="UN121" s="682" t="e">
        <f t="shared" si="281"/>
        <v>#DIV/0!</v>
      </c>
      <c r="UO121" s="683" t="e">
        <f t="shared" si="281"/>
        <v>#DIV/0!</v>
      </c>
      <c r="UP121" s="684" t="e">
        <f t="shared" si="281"/>
        <v>#DIV/0!</v>
      </c>
      <c r="UQ121" s="599" t="e">
        <f t="shared" si="281"/>
        <v>#DIV/0!</v>
      </c>
      <c r="UR121" s="685" t="e">
        <f t="shared" si="281"/>
        <v>#DIV/0!</v>
      </c>
      <c r="US121" s="685" t="s">
        <v>93</v>
      </c>
      <c r="UT121" s="90" t="s">
        <v>93</v>
      </c>
      <c r="UU121" s="599" t="e">
        <f t="shared" ref="UU121" si="282">AVERAGE(UU116:UU120)</f>
        <v>#DIV/0!</v>
      </c>
      <c r="UV121" s="619" t="e">
        <f t="shared" ref="UV121:VE121" si="283">AVERAGE(UV116:UV120)</f>
        <v>#DIV/0!</v>
      </c>
      <c r="UW121" s="675" t="e">
        <f t="shared" si="283"/>
        <v>#VALUE!</v>
      </c>
      <c r="UX121" s="672" t="e">
        <f t="shared" si="283"/>
        <v>#VALUE!</v>
      </c>
      <c r="UY121" s="687" t="e">
        <f t="shared" si="283"/>
        <v>#REF!</v>
      </c>
      <c r="UZ121" s="686" t="e">
        <f t="shared" si="283"/>
        <v>#VALUE!</v>
      </c>
      <c r="VA121" s="687" t="e">
        <f t="shared" si="283"/>
        <v>#VALUE!</v>
      </c>
      <c r="VB121" s="687" t="e">
        <f t="shared" si="283"/>
        <v>#VALUE!</v>
      </c>
      <c r="VC121" s="687" t="e">
        <f t="shared" si="283"/>
        <v>#VALUE!</v>
      </c>
      <c r="VD121" s="687" t="e">
        <f t="shared" si="283"/>
        <v>#VALUE!</v>
      </c>
      <c r="VE121" s="690" t="e">
        <f t="shared" si="283"/>
        <v>#VALUE!</v>
      </c>
    </row>
    <row r="122" spans="1:577" x14ac:dyDescent="0.25">
      <c r="A122" s="681" t="s">
        <v>62</v>
      </c>
      <c r="B122" s="688">
        <f t="shared" ref="B122:F122" si="284">STDEVA(B116:B120)</f>
        <v>0.25884358211089542</v>
      </c>
      <c r="C122" s="619">
        <f t="shared" si="284"/>
        <v>0.83666002653407556</v>
      </c>
      <c r="D122" s="619">
        <f t="shared" si="284"/>
        <v>0.40249223594995198</v>
      </c>
      <c r="E122" s="672">
        <f t="shared" si="284"/>
        <v>0</v>
      </c>
      <c r="F122" s="619">
        <f t="shared" si="284"/>
        <v>0</v>
      </c>
      <c r="G122" s="652" t="s">
        <v>93</v>
      </c>
      <c r="H122" s="40" t="s">
        <v>93</v>
      </c>
      <c r="I122" s="599">
        <f>STDEVA(I116:I120)</f>
        <v>0</v>
      </c>
      <c r="J122" s="652">
        <f t="shared" ref="J122:X122" si="285">STDEVA(J116:J120)</f>
        <v>5.9842038564972332E-4</v>
      </c>
      <c r="K122" s="675">
        <f t="shared" si="285"/>
        <v>1.905253055194331E-13</v>
      </c>
      <c r="L122" s="672">
        <f t="shared" si="285"/>
        <v>1.905253055194331E-13</v>
      </c>
      <c r="M122" s="672" t="e">
        <f t="shared" si="285"/>
        <v>#REF!</v>
      </c>
      <c r="N122" s="675">
        <f t="shared" si="285"/>
        <v>1.7284455716722224E-5</v>
      </c>
      <c r="O122" s="672">
        <f t="shared" si="285"/>
        <v>1.72844557167227E-3</v>
      </c>
      <c r="P122" s="672">
        <f t="shared" si="285"/>
        <v>2.0741346860065396E-5</v>
      </c>
      <c r="Q122" s="672">
        <f>STDEVA(Q116:Q120)</f>
        <v>2.0914191417234477E-5</v>
      </c>
      <c r="R122" s="672">
        <f t="shared" si="285"/>
        <v>2.0914191417234477E-5</v>
      </c>
      <c r="S122" s="676">
        <f t="shared" si="285"/>
        <v>2.1605569645903416E-5</v>
      </c>
      <c r="T122" s="691" t="e">
        <f t="shared" si="285"/>
        <v>#DIV/0!</v>
      </c>
      <c r="U122" s="691" t="e">
        <f t="shared" si="285"/>
        <v>#DIV/0!</v>
      </c>
      <c r="V122" s="695" t="e">
        <f t="shared" si="285"/>
        <v>#DIV/0!</v>
      </c>
      <c r="W122" s="599" t="e">
        <f t="shared" si="285"/>
        <v>#DIV/0!</v>
      </c>
      <c r="X122" s="652" t="e">
        <f t="shared" si="285"/>
        <v>#DIV/0!</v>
      </c>
      <c r="Y122" s="652" t="s">
        <v>93</v>
      </c>
      <c r="Z122" s="40" t="s">
        <v>93</v>
      </c>
      <c r="AA122" s="599">
        <f>STDEVA(AA116:AA120)</f>
        <v>0</v>
      </c>
      <c r="AB122" s="652" t="e">
        <f t="shared" ref="AB122:AP122" si="286">STDEVA(AB116:AB120)</f>
        <v>#DIV/0!</v>
      </c>
      <c r="AC122" s="675" t="e">
        <f t="shared" si="286"/>
        <v>#VALUE!</v>
      </c>
      <c r="AD122" s="672" t="e">
        <f t="shared" si="286"/>
        <v>#VALUE!</v>
      </c>
      <c r="AE122" s="672" t="e">
        <f t="shared" si="286"/>
        <v>#REF!</v>
      </c>
      <c r="AF122" s="675" t="e">
        <f t="shared" si="286"/>
        <v>#VALUE!</v>
      </c>
      <c r="AG122" s="672" t="e">
        <f t="shared" si="286"/>
        <v>#VALUE!</v>
      </c>
      <c r="AH122" s="672" t="e">
        <f t="shared" si="286"/>
        <v>#VALUE!</v>
      </c>
      <c r="AI122" s="672" t="e">
        <f>STDEVA(AI116:AI120)</f>
        <v>#VALUE!</v>
      </c>
      <c r="AJ122" s="672" t="e">
        <f t="shared" si="286"/>
        <v>#VALUE!</v>
      </c>
      <c r="AK122" s="676" t="e">
        <f t="shared" si="286"/>
        <v>#VALUE!</v>
      </c>
      <c r="AL122" s="682" t="e">
        <f t="shared" si="286"/>
        <v>#DIV/0!</v>
      </c>
      <c r="AM122" s="691" t="e">
        <f t="shared" si="286"/>
        <v>#DIV/0!</v>
      </c>
      <c r="AN122" s="695" t="e">
        <f t="shared" si="286"/>
        <v>#DIV/0!</v>
      </c>
      <c r="AO122" s="599" t="e">
        <f t="shared" si="286"/>
        <v>#DIV/0!</v>
      </c>
      <c r="AP122" s="652" t="e">
        <f t="shared" si="286"/>
        <v>#DIV/0!</v>
      </c>
      <c r="AQ122" s="652" t="s">
        <v>93</v>
      </c>
      <c r="AR122" s="40" t="s">
        <v>93</v>
      </c>
      <c r="AS122" s="599">
        <f>STDEVA(AS116:AS120)</f>
        <v>0</v>
      </c>
      <c r="AT122" s="652" t="e">
        <f t="shared" ref="AT122:BH122" si="287">STDEVA(AT116:AT120)</f>
        <v>#DIV/0!</v>
      </c>
      <c r="AU122" s="675" t="e">
        <f t="shared" si="287"/>
        <v>#VALUE!</v>
      </c>
      <c r="AV122" s="672" t="e">
        <f t="shared" si="287"/>
        <v>#VALUE!</v>
      </c>
      <c r="AW122" s="672" t="e">
        <f t="shared" si="287"/>
        <v>#REF!</v>
      </c>
      <c r="AX122" s="675" t="e">
        <f t="shared" si="287"/>
        <v>#VALUE!</v>
      </c>
      <c r="AY122" s="672" t="e">
        <f t="shared" si="287"/>
        <v>#VALUE!</v>
      </c>
      <c r="AZ122" s="672" t="e">
        <f t="shared" si="287"/>
        <v>#VALUE!</v>
      </c>
      <c r="BA122" s="672" t="e">
        <f>STDEVA(BA116:BA120)</f>
        <v>#VALUE!</v>
      </c>
      <c r="BB122" s="672" t="e">
        <f t="shared" si="287"/>
        <v>#VALUE!</v>
      </c>
      <c r="BC122" s="676" t="e">
        <f t="shared" si="287"/>
        <v>#VALUE!</v>
      </c>
      <c r="BD122" s="682" t="e">
        <f t="shared" si="287"/>
        <v>#DIV/0!</v>
      </c>
      <c r="BE122" s="691" t="e">
        <f t="shared" si="287"/>
        <v>#DIV/0!</v>
      </c>
      <c r="BF122" s="695" t="e">
        <f t="shared" si="287"/>
        <v>#DIV/0!</v>
      </c>
      <c r="BG122" s="599">
        <f t="shared" si="287"/>
        <v>8.9442719099982041E-13</v>
      </c>
      <c r="BH122" s="652" t="e">
        <f t="shared" si="287"/>
        <v>#DIV/0!</v>
      </c>
      <c r="BI122" s="652" t="s">
        <v>93</v>
      </c>
      <c r="BJ122" s="40" t="s">
        <v>93</v>
      </c>
      <c r="BK122" s="599">
        <f>STDEVA(BK116:BK120)</f>
        <v>0</v>
      </c>
      <c r="BL122" s="652" t="e">
        <f t="shared" ref="BL122:BZ122" si="288">STDEVA(BL116:BL120)</f>
        <v>#DIV/0!</v>
      </c>
      <c r="BM122" s="675" t="e">
        <f t="shared" si="288"/>
        <v>#VALUE!</v>
      </c>
      <c r="BN122" s="672" t="e">
        <f t="shared" si="288"/>
        <v>#VALUE!</v>
      </c>
      <c r="BO122" s="672" t="e">
        <f t="shared" si="288"/>
        <v>#REF!</v>
      </c>
      <c r="BP122" s="675" t="e">
        <f t="shared" si="288"/>
        <v>#VALUE!</v>
      </c>
      <c r="BQ122" s="672" t="e">
        <f t="shared" si="288"/>
        <v>#VALUE!</v>
      </c>
      <c r="BR122" s="672" t="e">
        <f t="shared" si="288"/>
        <v>#VALUE!</v>
      </c>
      <c r="BS122" s="672" t="e">
        <f>STDEVA(BS116:BS120)</f>
        <v>#VALUE!</v>
      </c>
      <c r="BT122" s="672" t="e">
        <f t="shared" si="288"/>
        <v>#VALUE!</v>
      </c>
      <c r="BU122" s="676" t="e">
        <f t="shared" si="288"/>
        <v>#VALUE!</v>
      </c>
      <c r="BV122" s="682" t="e">
        <f t="shared" si="288"/>
        <v>#DIV/0!</v>
      </c>
      <c r="BW122" s="691" t="e">
        <f t="shared" si="288"/>
        <v>#DIV/0!</v>
      </c>
      <c r="BX122" s="695" t="e">
        <f t="shared" si="288"/>
        <v>#DIV/0!</v>
      </c>
      <c r="BY122" s="599">
        <f t="shared" si="288"/>
        <v>2.236067977499782E-13</v>
      </c>
      <c r="BZ122" s="652" t="e">
        <f t="shared" si="288"/>
        <v>#DIV/0!</v>
      </c>
      <c r="CA122" s="652" t="s">
        <v>93</v>
      </c>
      <c r="CB122" s="40" t="s">
        <v>93</v>
      </c>
      <c r="CC122" s="599">
        <f>STDEVA(CC116:CC120)</f>
        <v>0</v>
      </c>
      <c r="CD122" s="652" t="e">
        <f t="shared" ref="CD122:CR122" si="289">STDEVA(CD116:CD120)</f>
        <v>#DIV/0!</v>
      </c>
      <c r="CE122" s="675" t="e">
        <f t="shared" si="289"/>
        <v>#VALUE!</v>
      </c>
      <c r="CF122" s="672" t="e">
        <f t="shared" si="289"/>
        <v>#VALUE!</v>
      </c>
      <c r="CG122" s="672" t="e">
        <f t="shared" si="289"/>
        <v>#REF!</v>
      </c>
      <c r="CH122" s="675" t="e">
        <f t="shared" si="289"/>
        <v>#VALUE!</v>
      </c>
      <c r="CI122" s="672" t="e">
        <f t="shared" si="289"/>
        <v>#VALUE!</v>
      </c>
      <c r="CJ122" s="672" t="e">
        <f t="shared" si="289"/>
        <v>#VALUE!</v>
      </c>
      <c r="CK122" s="672" t="e">
        <f>STDEVA(CK116:CK120)</f>
        <v>#VALUE!</v>
      </c>
      <c r="CL122" s="672" t="e">
        <f t="shared" si="289"/>
        <v>#VALUE!</v>
      </c>
      <c r="CM122" s="676" t="e">
        <f t="shared" si="289"/>
        <v>#VALUE!</v>
      </c>
      <c r="CN122" s="682" t="e">
        <f t="shared" si="289"/>
        <v>#DIV/0!</v>
      </c>
      <c r="CO122" s="691" t="e">
        <f t="shared" si="289"/>
        <v>#DIV/0!</v>
      </c>
      <c r="CP122" s="695" t="e">
        <f t="shared" si="289"/>
        <v>#DIV/0!</v>
      </c>
      <c r="CQ122" s="599">
        <f t="shared" si="289"/>
        <v>1.5165750888103389E-12</v>
      </c>
      <c r="CR122" s="652" t="e">
        <f t="shared" si="289"/>
        <v>#DIV/0!</v>
      </c>
      <c r="CS122" s="652" t="s">
        <v>93</v>
      </c>
      <c r="CT122" s="40" t="s">
        <v>93</v>
      </c>
      <c r="CU122" s="599">
        <f>STDEVA(CU116:CU120)</f>
        <v>0</v>
      </c>
      <c r="CV122" s="652" t="e">
        <f t="shared" ref="CV122:DJ122" si="290">STDEVA(CV116:CV120)</f>
        <v>#DIV/0!</v>
      </c>
      <c r="CW122" s="675" t="e">
        <f t="shared" si="290"/>
        <v>#VALUE!</v>
      </c>
      <c r="CX122" s="672" t="e">
        <f t="shared" si="290"/>
        <v>#VALUE!</v>
      </c>
      <c r="CY122" s="672" t="e">
        <f t="shared" si="290"/>
        <v>#REF!</v>
      </c>
      <c r="CZ122" s="675" t="e">
        <f t="shared" si="290"/>
        <v>#VALUE!</v>
      </c>
      <c r="DA122" s="672" t="e">
        <f t="shared" si="290"/>
        <v>#VALUE!</v>
      </c>
      <c r="DB122" s="672" t="e">
        <f t="shared" si="290"/>
        <v>#VALUE!</v>
      </c>
      <c r="DC122" s="672" t="e">
        <f>STDEVA(DC116:DC120)</f>
        <v>#VALUE!</v>
      </c>
      <c r="DD122" s="672" t="e">
        <f t="shared" si="290"/>
        <v>#VALUE!</v>
      </c>
      <c r="DE122" s="676" t="e">
        <f t="shared" si="290"/>
        <v>#VALUE!</v>
      </c>
      <c r="DF122" s="682" t="e">
        <f t="shared" si="290"/>
        <v>#DIV/0!</v>
      </c>
      <c r="DG122" s="691" t="e">
        <f t="shared" si="290"/>
        <v>#DIV/0!</v>
      </c>
      <c r="DH122" s="695" t="e">
        <f t="shared" si="290"/>
        <v>#DIV/0!</v>
      </c>
      <c r="DI122" s="599" t="e">
        <f t="shared" si="290"/>
        <v>#DIV/0!</v>
      </c>
      <c r="DJ122" s="652" t="e">
        <f t="shared" si="290"/>
        <v>#DIV/0!</v>
      </c>
      <c r="DK122" s="652" t="s">
        <v>93</v>
      </c>
      <c r="DL122" s="40" t="s">
        <v>93</v>
      </c>
      <c r="DM122" s="599">
        <f>STDEVA(DM116:DM120)</f>
        <v>0</v>
      </c>
      <c r="DN122" s="652" t="e">
        <f t="shared" ref="DN122:EB122" si="291">STDEVA(DN116:DN120)</f>
        <v>#DIV/0!</v>
      </c>
      <c r="DO122" s="675" t="e">
        <f t="shared" si="291"/>
        <v>#VALUE!</v>
      </c>
      <c r="DP122" s="672" t="e">
        <f t="shared" si="291"/>
        <v>#VALUE!</v>
      </c>
      <c r="DQ122" s="672" t="e">
        <f t="shared" si="291"/>
        <v>#REF!</v>
      </c>
      <c r="DR122" s="675" t="e">
        <f t="shared" si="291"/>
        <v>#VALUE!</v>
      </c>
      <c r="DS122" s="672" t="e">
        <f t="shared" si="291"/>
        <v>#VALUE!</v>
      </c>
      <c r="DT122" s="672" t="e">
        <f t="shared" si="291"/>
        <v>#VALUE!</v>
      </c>
      <c r="DU122" s="672" t="e">
        <f>STDEVA(DU116:DU120)</f>
        <v>#VALUE!</v>
      </c>
      <c r="DV122" s="672" t="e">
        <f t="shared" si="291"/>
        <v>#VALUE!</v>
      </c>
      <c r="DW122" s="676" t="e">
        <f t="shared" si="291"/>
        <v>#VALUE!</v>
      </c>
      <c r="DX122" s="682" t="e">
        <f t="shared" si="291"/>
        <v>#DIV/0!</v>
      </c>
      <c r="DY122" s="691" t="e">
        <f t="shared" si="291"/>
        <v>#DIV/0!</v>
      </c>
      <c r="DZ122" s="695" t="e">
        <f t="shared" si="291"/>
        <v>#DIV/0!</v>
      </c>
      <c r="EA122" s="653" t="e">
        <f t="shared" si="291"/>
        <v>#DIV/0!</v>
      </c>
      <c r="EB122" s="652" t="e">
        <f t="shared" si="291"/>
        <v>#DIV/0!</v>
      </c>
      <c r="EC122" s="652" t="s">
        <v>93</v>
      </c>
      <c r="ED122" s="40" t="s">
        <v>93</v>
      </c>
      <c r="EE122" s="599">
        <f>STDEVA(EE116:EE120)</f>
        <v>0</v>
      </c>
      <c r="EF122" s="652" t="e">
        <f t="shared" ref="EF122:ET122" si="292">STDEVA(EF116:EF120)</f>
        <v>#DIV/0!</v>
      </c>
      <c r="EG122" s="675" t="e">
        <f t="shared" si="292"/>
        <v>#VALUE!</v>
      </c>
      <c r="EH122" s="672" t="e">
        <f t="shared" si="292"/>
        <v>#VALUE!</v>
      </c>
      <c r="EI122" s="672" t="e">
        <f t="shared" si="292"/>
        <v>#REF!</v>
      </c>
      <c r="EJ122" s="675" t="e">
        <f t="shared" si="292"/>
        <v>#VALUE!</v>
      </c>
      <c r="EK122" s="672" t="e">
        <f t="shared" si="292"/>
        <v>#VALUE!</v>
      </c>
      <c r="EL122" s="672" t="e">
        <f t="shared" si="292"/>
        <v>#VALUE!</v>
      </c>
      <c r="EM122" s="672" t="e">
        <f>STDEVA(EM116:EM120)</f>
        <v>#VALUE!</v>
      </c>
      <c r="EN122" s="672" t="e">
        <f t="shared" si="292"/>
        <v>#VALUE!</v>
      </c>
      <c r="EO122" s="676" t="e">
        <f t="shared" si="292"/>
        <v>#VALUE!</v>
      </c>
      <c r="EP122" s="682" t="e">
        <f t="shared" si="292"/>
        <v>#DIV/0!</v>
      </c>
      <c r="EQ122" s="691" t="e">
        <f t="shared" si="292"/>
        <v>#DIV/0!</v>
      </c>
      <c r="ER122" s="695" t="e">
        <f t="shared" si="292"/>
        <v>#DIV/0!</v>
      </c>
      <c r="ES122" s="599">
        <f t="shared" si="292"/>
        <v>4.1833001326703766E-13</v>
      </c>
      <c r="ET122" s="652" t="e">
        <f t="shared" si="292"/>
        <v>#DIV/0!</v>
      </c>
      <c r="EU122" s="652" t="s">
        <v>93</v>
      </c>
      <c r="EV122" s="40" t="s">
        <v>93</v>
      </c>
      <c r="EW122" s="599">
        <f>STDEVA(EW116:EW120)</f>
        <v>0</v>
      </c>
      <c r="EX122" s="652" t="e">
        <f t="shared" ref="EX122:FL122" si="293">STDEVA(EX116:EX120)</f>
        <v>#DIV/0!</v>
      </c>
      <c r="EY122" s="675" t="e">
        <f t="shared" si="293"/>
        <v>#VALUE!</v>
      </c>
      <c r="EZ122" s="672" t="e">
        <f t="shared" si="293"/>
        <v>#VALUE!</v>
      </c>
      <c r="FA122" s="672" t="e">
        <f t="shared" si="293"/>
        <v>#REF!</v>
      </c>
      <c r="FB122" s="675" t="e">
        <f t="shared" si="293"/>
        <v>#VALUE!</v>
      </c>
      <c r="FC122" s="672" t="e">
        <f t="shared" si="293"/>
        <v>#VALUE!</v>
      </c>
      <c r="FD122" s="672" t="e">
        <f t="shared" si="293"/>
        <v>#VALUE!</v>
      </c>
      <c r="FE122" s="672" t="e">
        <f>STDEVA(FE116:FE120)</f>
        <v>#VALUE!</v>
      </c>
      <c r="FF122" s="672" t="e">
        <f t="shared" si="293"/>
        <v>#VALUE!</v>
      </c>
      <c r="FG122" s="676" t="e">
        <f t="shared" si="293"/>
        <v>#VALUE!</v>
      </c>
      <c r="FH122" s="682" t="e">
        <f t="shared" si="293"/>
        <v>#DIV/0!</v>
      </c>
      <c r="FI122" s="691" t="e">
        <f t="shared" si="293"/>
        <v>#DIV/0!</v>
      </c>
      <c r="FJ122" s="695" t="e">
        <f t="shared" si="293"/>
        <v>#DIV/0!</v>
      </c>
      <c r="FK122" s="599" t="e">
        <f t="shared" si="293"/>
        <v>#DIV/0!</v>
      </c>
      <c r="FL122" s="652" t="e">
        <f t="shared" si="293"/>
        <v>#DIV/0!</v>
      </c>
      <c r="FM122" s="652" t="s">
        <v>93</v>
      </c>
      <c r="FN122" s="40" t="s">
        <v>93</v>
      </c>
      <c r="FO122" s="599">
        <f>STDEVA(FO116:FO120)</f>
        <v>0</v>
      </c>
      <c r="FP122" s="652" t="e">
        <f t="shared" ref="FP122:GD122" si="294">STDEVA(FP116:FP120)</f>
        <v>#DIV/0!</v>
      </c>
      <c r="FQ122" s="675" t="e">
        <f t="shared" si="294"/>
        <v>#VALUE!</v>
      </c>
      <c r="FR122" s="672" t="e">
        <f t="shared" si="294"/>
        <v>#VALUE!</v>
      </c>
      <c r="FS122" s="672" t="e">
        <f t="shared" si="294"/>
        <v>#REF!</v>
      </c>
      <c r="FT122" s="675" t="e">
        <f t="shared" si="294"/>
        <v>#VALUE!</v>
      </c>
      <c r="FU122" s="672" t="e">
        <f t="shared" si="294"/>
        <v>#VALUE!</v>
      </c>
      <c r="FV122" s="672" t="e">
        <f t="shared" si="294"/>
        <v>#VALUE!</v>
      </c>
      <c r="FW122" s="672" t="e">
        <f>STDEVA(FW116:FW120)</f>
        <v>#VALUE!</v>
      </c>
      <c r="FX122" s="672" t="e">
        <f t="shared" si="294"/>
        <v>#VALUE!</v>
      </c>
      <c r="FY122" s="676" t="e">
        <f t="shared" si="294"/>
        <v>#VALUE!</v>
      </c>
      <c r="FZ122" s="682" t="e">
        <f t="shared" si="294"/>
        <v>#DIV/0!</v>
      </c>
      <c r="GA122" s="691" t="e">
        <f t="shared" si="294"/>
        <v>#DIV/0!</v>
      </c>
      <c r="GB122" s="695" t="e">
        <f t="shared" si="294"/>
        <v>#DIV/0!</v>
      </c>
      <c r="GC122" s="599" t="e">
        <f t="shared" si="294"/>
        <v>#DIV/0!</v>
      </c>
      <c r="GD122" s="652" t="e">
        <f t="shared" si="294"/>
        <v>#DIV/0!</v>
      </c>
      <c r="GE122" s="652" t="s">
        <v>93</v>
      </c>
      <c r="GF122" s="40" t="s">
        <v>93</v>
      </c>
      <c r="GG122" s="599">
        <f>STDEVA(GG116:GG120)</f>
        <v>0</v>
      </c>
      <c r="GH122" s="652" t="e">
        <f t="shared" ref="GH122:GV122" si="295">STDEVA(GH116:GH120)</f>
        <v>#DIV/0!</v>
      </c>
      <c r="GI122" s="675" t="e">
        <f t="shared" si="295"/>
        <v>#VALUE!</v>
      </c>
      <c r="GJ122" s="672" t="e">
        <f t="shared" si="295"/>
        <v>#VALUE!</v>
      </c>
      <c r="GK122" s="672" t="e">
        <f t="shared" si="295"/>
        <v>#REF!</v>
      </c>
      <c r="GL122" s="675" t="e">
        <f t="shared" si="295"/>
        <v>#VALUE!</v>
      </c>
      <c r="GM122" s="672" t="e">
        <f t="shared" si="295"/>
        <v>#VALUE!</v>
      </c>
      <c r="GN122" s="672" t="e">
        <f t="shared" si="295"/>
        <v>#VALUE!</v>
      </c>
      <c r="GO122" s="672" t="e">
        <f>STDEVA(GO116:GO120)</f>
        <v>#VALUE!</v>
      </c>
      <c r="GP122" s="672" t="e">
        <f t="shared" si="295"/>
        <v>#VALUE!</v>
      </c>
      <c r="GQ122" s="676" t="e">
        <f t="shared" si="295"/>
        <v>#VALUE!</v>
      </c>
      <c r="GR122" s="682" t="e">
        <f t="shared" si="295"/>
        <v>#DIV/0!</v>
      </c>
      <c r="GS122" s="691" t="e">
        <f t="shared" si="295"/>
        <v>#DIV/0!</v>
      </c>
      <c r="GT122" s="695" t="e">
        <f t="shared" si="295"/>
        <v>#DIV/0!</v>
      </c>
      <c r="GU122" s="653" t="e">
        <f t="shared" si="295"/>
        <v>#DIV/0!</v>
      </c>
      <c r="GV122" s="652" t="e">
        <f t="shared" si="295"/>
        <v>#DIV/0!</v>
      </c>
      <c r="GW122" s="652" t="s">
        <v>93</v>
      </c>
      <c r="GX122" s="40" t="s">
        <v>93</v>
      </c>
      <c r="GY122" s="599">
        <f>STDEVA(GY116:GY120)</f>
        <v>0</v>
      </c>
      <c r="GZ122" s="652" t="e">
        <f t="shared" ref="GZ122:HN122" si="296">STDEVA(GZ116:GZ120)</f>
        <v>#DIV/0!</v>
      </c>
      <c r="HA122" s="675" t="e">
        <f t="shared" si="296"/>
        <v>#VALUE!</v>
      </c>
      <c r="HB122" s="672" t="e">
        <f t="shared" si="296"/>
        <v>#VALUE!</v>
      </c>
      <c r="HC122" s="672" t="e">
        <f t="shared" si="296"/>
        <v>#REF!</v>
      </c>
      <c r="HD122" s="675" t="e">
        <f t="shared" si="296"/>
        <v>#VALUE!</v>
      </c>
      <c r="HE122" s="672" t="e">
        <f t="shared" si="296"/>
        <v>#VALUE!</v>
      </c>
      <c r="HF122" s="672" t="e">
        <f t="shared" si="296"/>
        <v>#VALUE!</v>
      </c>
      <c r="HG122" s="672" t="e">
        <f>STDEVA(HG116:HG120)</f>
        <v>#VALUE!</v>
      </c>
      <c r="HH122" s="672" t="e">
        <f t="shared" si="296"/>
        <v>#VALUE!</v>
      </c>
      <c r="HI122" s="676" t="e">
        <f t="shared" si="296"/>
        <v>#VALUE!</v>
      </c>
      <c r="HJ122" s="682" t="e">
        <f t="shared" si="296"/>
        <v>#DIV/0!</v>
      </c>
      <c r="HK122" s="691" t="e">
        <f t="shared" si="296"/>
        <v>#DIV/0!</v>
      </c>
      <c r="HL122" s="695" t="e">
        <f t="shared" si="296"/>
        <v>#DIV/0!</v>
      </c>
      <c r="HM122" s="599" t="e">
        <f t="shared" si="296"/>
        <v>#DIV/0!</v>
      </c>
      <c r="HN122" s="652" t="e">
        <f t="shared" si="296"/>
        <v>#DIV/0!</v>
      </c>
      <c r="HO122" s="652" t="s">
        <v>93</v>
      </c>
      <c r="HP122" s="40" t="s">
        <v>93</v>
      </c>
      <c r="HQ122" s="599">
        <f>STDEVA(HQ116:HQ120)</f>
        <v>0</v>
      </c>
      <c r="HR122" s="652" t="e">
        <f t="shared" ref="HR122:IF122" si="297">STDEVA(HR116:HR120)</f>
        <v>#DIV/0!</v>
      </c>
      <c r="HS122" s="675" t="e">
        <f t="shared" si="297"/>
        <v>#VALUE!</v>
      </c>
      <c r="HT122" s="672" t="e">
        <f t="shared" si="297"/>
        <v>#VALUE!</v>
      </c>
      <c r="HU122" s="672" t="e">
        <f t="shared" si="297"/>
        <v>#REF!</v>
      </c>
      <c r="HV122" s="675" t="e">
        <f t="shared" si="297"/>
        <v>#VALUE!</v>
      </c>
      <c r="HW122" s="672" t="e">
        <f t="shared" si="297"/>
        <v>#VALUE!</v>
      </c>
      <c r="HX122" s="672" t="e">
        <f t="shared" si="297"/>
        <v>#VALUE!</v>
      </c>
      <c r="HY122" s="672" t="e">
        <f>STDEVA(HY116:HY120)</f>
        <v>#VALUE!</v>
      </c>
      <c r="HZ122" s="672" t="e">
        <f t="shared" si="297"/>
        <v>#VALUE!</v>
      </c>
      <c r="IA122" s="676" t="e">
        <f t="shared" si="297"/>
        <v>#VALUE!</v>
      </c>
      <c r="IB122" s="682" t="e">
        <f t="shared" si="297"/>
        <v>#DIV/0!</v>
      </c>
      <c r="IC122" s="691" t="e">
        <f t="shared" si="297"/>
        <v>#DIV/0!</v>
      </c>
      <c r="ID122" s="695" t="e">
        <f t="shared" si="297"/>
        <v>#DIV/0!</v>
      </c>
      <c r="IE122" s="599" t="e">
        <f t="shared" si="297"/>
        <v>#DIV/0!</v>
      </c>
      <c r="IF122" s="652" t="e">
        <f t="shared" si="297"/>
        <v>#DIV/0!</v>
      </c>
      <c r="IG122" s="652" t="s">
        <v>93</v>
      </c>
      <c r="IH122" s="40" t="s">
        <v>93</v>
      </c>
      <c r="II122" s="599">
        <f>STDEVA(II116:II120)</f>
        <v>0</v>
      </c>
      <c r="IJ122" s="652" t="e">
        <f t="shared" ref="IJ122:IX122" si="298">STDEVA(IJ116:IJ120)</f>
        <v>#DIV/0!</v>
      </c>
      <c r="IK122" s="675" t="e">
        <f t="shared" si="298"/>
        <v>#VALUE!</v>
      </c>
      <c r="IL122" s="672" t="e">
        <f t="shared" si="298"/>
        <v>#VALUE!</v>
      </c>
      <c r="IM122" s="672" t="e">
        <f t="shared" si="298"/>
        <v>#REF!</v>
      </c>
      <c r="IN122" s="675" t="e">
        <f t="shared" si="298"/>
        <v>#VALUE!</v>
      </c>
      <c r="IO122" s="672" t="e">
        <f t="shared" si="298"/>
        <v>#VALUE!</v>
      </c>
      <c r="IP122" s="672" t="e">
        <f t="shared" si="298"/>
        <v>#VALUE!</v>
      </c>
      <c r="IQ122" s="672" t="e">
        <f>STDEVA(IQ116:IQ120)</f>
        <v>#VALUE!</v>
      </c>
      <c r="IR122" s="672" t="e">
        <f t="shared" si="298"/>
        <v>#VALUE!</v>
      </c>
      <c r="IS122" s="676" t="e">
        <f t="shared" si="298"/>
        <v>#VALUE!</v>
      </c>
      <c r="IT122" s="682" t="e">
        <f t="shared" si="298"/>
        <v>#DIV/0!</v>
      </c>
      <c r="IU122" s="691" t="e">
        <f t="shared" si="298"/>
        <v>#DIV/0!</v>
      </c>
      <c r="IV122" s="695" t="e">
        <f t="shared" si="298"/>
        <v>#DIV/0!</v>
      </c>
      <c r="IW122" s="599" t="e">
        <f t="shared" si="298"/>
        <v>#DIV/0!</v>
      </c>
      <c r="IX122" s="652" t="e">
        <f t="shared" si="298"/>
        <v>#DIV/0!</v>
      </c>
      <c r="IY122" s="652" t="s">
        <v>93</v>
      </c>
      <c r="IZ122" s="40" t="s">
        <v>93</v>
      </c>
      <c r="JA122" s="599">
        <f>STDEVA(JA116:JA120)</f>
        <v>0</v>
      </c>
      <c r="JB122" s="652" t="e">
        <f t="shared" ref="JB122:JP122" si="299">STDEVA(JB116:JB120)</f>
        <v>#DIV/0!</v>
      </c>
      <c r="JC122" s="675" t="e">
        <f t="shared" si="299"/>
        <v>#VALUE!</v>
      </c>
      <c r="JD122" s="672" t="e">
        <f t="shared" si="299"/>
        <v>#VALUE!</v>
      </c>
      <c r="JE122" s="672" t="e">
        <f t="shared" si="299"/>
        <v>#REF!</v>
      </c>
      <c r="JF122" s="675" t="e">
        <f t="shared" si="299"/>
        <v>#VALUE!</v>
      </c>
      <c r="JG122" s="672" t="e">
        <f t="shared" si="299"/>
        <v>#VALUE!</v>
      </c>
      <c r="JH122" s="672" t="e">
        <f t="shared" si="299"/>
        <v>#VALUE!</v>
      </c>
      <c r="JI122" s="672" t="e">
        <f>STDEVA(JI116:JI120)</f>
        <v>#VALUE!</v>
      </c>
      <c r="JJ122" s="672" t="e">
        <f t="shared" si="299"/>
        <v>#VALUE!</v>
      </c>
      <c r="JK122" s="676" t="e">
        <f t="shared" si="299"/>
        <v>#VALUE!</v>
      </c>
      <c r="JL122" s="682" t="e">
        <f t="shared" si="299"/>
        <v>#DIV/0!</v>
      </c>
      <c r="JM122" s="691" t="e">
        <f t="shared" si="299"/>
        <v>#DIV/0!</v>
      </c>
      <c r="JN122" s="695" t="e">
        <f t="shared" si="299"/>
        <v>#DIV/0!</v>
      </c>
      <c r="JO122" s="599" t="e">
        <f t="shared" si="299"/>
        <v>#DIV/0!</v>
      </c>
      <c r="JP122" s="652" t="e">
        <f t="shared" si="299"/>
        <v>#DIV/0!</v>
      </c>
      <c r="JQ122" s="652" t="s">
        <v>93</v>
      </c>
      <c r="JR122" s="40" t="s">
        <v>93</v>
      </c>
      <c r="JS122" s="599">
        <f>STDEVA(JS116:JS120)</f>
        <v>0</v>
      </c>
      <c r="JT122" s="652" t="e">
        <f t="shared" ref="JT122:KH122" si="300">STDEVA(JT116:JT120)</f>
        <v>#DIV/0!</v>
      </c>
      <c r="JU122" s="675" t="e">
        <f t="shared" si="300"/>
        <v>#VALUE!</v>
      </c>
      <c r="JV122" s="672" t="e">
        <f t="shared" si="300"/>
        <v>#VALUE!</v>
      </c>
      <c r="JW122" s="672" t="e">
        <f t="shared" si="300"/>
        <v>#REF!</v>
      </c>
      <c r="JX122" s="675" t="e">
        <f t="shared" si="300"/>
        <v>#VALUE!</v>
      </c>
      <c r="JY122" s="672" t="e">
        <f t="shared" si="300"/>
        <v>#VALUE!</v>
      </c>
      <c r="JZ122" s="672" t="e">
        <f t="shared" si="300"/>
        <v>#VALUE!</v>
      </c>
      <c r="KA122" s="672" t="e">
        <f>STDEVA(KA116:KA120)</f>
        <v>#VALUE!</v>
      </c>
      <c r="KB122" s="672" t="e">
        <f t="shared" si="300"/>
        <v>#VALUE!</v>
      </c>
      <c r="KC122" s="676" t="e">
        <f t="shared" si="300"/>
        <v>#VALUE!</v>
      </c>
      <c r="KD122" s="682" t="e">
        <f t="shared" si="300"/>
        <v>#DIV/0!</v>
      </c>
      <c r="KE122" s="691" t="e">
        <f t="shared" si="300"/>
        <v>#DIV/0!</v>
      </c>
      <c r="KF122" s="695" t="e">
        <f t="shared" si="300"/>
        <v>#DIV/0!</v>
      </c>
      <c r="KG122" s="599" t="e">
        <f t="shared" si="300"/>
        <v>#DIV/0!</v>
      </c>
      <c r="KH122" s="652" t="e">
        <f t="shared" si="300"/>
        <v>#DIV/0!</v>
      </c>
      <c r="KI122" s="652" t="s">
        <v>93</v>
      </c>
      <c r="KJ122" s="40" t="s">
        <v>93</v>
      </c>
      <c r="KK122" s="599">
        <f>STDEVA(KK116:KK120)</f>
        <v>0</v>
      </c>
      <c r="KL122" s="652" t="e">
        <f t="shared" ref="KL122:KZ122" si="301">STDEVA(KL116:KL120)</f>
        <v>#DIV/0!</v>
      </c>
      <c r="KM122" s="675" t="e">
        <f t="shared" si="301"/>
        <v>#VALUE!</v>
      </c>
      <c r="KN122" s="672" t="e">
        <f t="shared" si="301"/>
        <v>#VALUE!</v>
      </c>
      <c r="KO122" s="672" t="e">
        <f t="shared" si="301"/>
        <v>#REF!</v>
      </c>
      <c r="KP122" s="675" t="e">
        <f t="shared" si="301"/>
        <v>#VALUE!</v>
      </c>
      <c r="KQ122" s="672" t="e">
        <f t="shared" si="301"/>
        <v>#VALUE!</v>
      </c>
      <c r="KR122" s="672" t="e">
        <f t="shared" si="301"/>
        <v>#VALUE!</v>
      </c>
      <c r="KS122" s="672" t="e">
        <f>STDEVA(KS116:KS120)</f>
        <v>#VALUE!</v>
      </c>
      <c r="KT122" s="672" t="e">
        <f t="shared" si="301"/>
        <v>#VALUE!</v>
      </c>
      <c r="KU122" s="676" t="e">
        <f t="shared" si="301"/>
        <v>#VALUE!</v>
      </c>
      <c r="KV122" s="682" t="e">
        <f t="shared" si="301"/>
        <v>#DIV/0!</v>
      </c>
      <c r="KW122" s="691" t="e">
        <f t="shared" si="301"/>
        <v>#DIV/0!</v>
      </c>
      <c r="KX122" s="695" t="e">
        <f t="shared" si="301"/>
        <v>#DIV/0!</v>
      </c>
      <c r="KY122" s="599" t="e">
        <f t="shared" si="301"/>
        <v>#DIV/0!</v>
      </c>
      <c r="KZ122" s="652" t="e">
        <f t="shared" si="301"/>
        <v>#DIV/0!</v>
      </c>
      <c r="LA122" s="652" t="s">
        <v>93</v>
      </c>
      <c r="LB122" s="40" t="s">
        <v>93</v>
      </c>
      <c r="LC122" s="599">
        <f>STDEVA(LC116:LC120)</f>
        <v>0</v>
      </c>
      <c r="LD122" s="652" t="e">
        <f t="shared" ref="LD122:LR122" si="302">STDEVA(LD116:LD120)</f>
        <v>#DIV/0!</v>
      </c>
      <c r="LE122" s="675" t="e">
        <f t="shared" si="302"/>
        <v>#VALUE!</v>
      </c>
      <c r="LF122" s="672" t="e">
        <f t="shared" si="302"/>
        <v>#VALUE!</v>
      </c>
      <c r="LG122" s="672" t="e">
        <f t="shared" si="302"/>
        <v>#REF!</v>
      </c>
      <c r="LH122" s="675" t="e">
        <f t="shared" si="302"/>
        <v>#VALUE!</v>
      </c>
      <c r="LI122" s="672" t="e">
        <f t="shared" si="302"/>
        <v>#VALUE!</v>
      </c>
      <c r="LJ122" s="672" t="e">
        <f t="shared" si="302"/>
        <v>#VALUE!</v>
      </c>
      <c r="LK122" s="672" t="e">
        <f>STDEVA(LK116:LK120)</f>
        <v>#VALUE!</v>
      </c>
      <c r="LL122" s="672" t="e">
        <f t="shared" si="302"/>
        <v>#VALUE!</v>
      </c>
      <c r="LM122" s="676" t="e">
        <f t="shared" si="302"/>
        <v>#VALUE!</v>
      </c>
      <c r="LN122" s="682" t="e">
        <f t="shared" si="302"/>
        <v>#DIV/0!</v>
      </c>
      <c r="LO122" s="691" t="e">
        <f t="shared" si="302"/>
        <v>#DIV/0!</v>
      </c>
      <c r="LP122" s="695" t="e">
        <f t="shared" si="302"/>
        <v>#DIV/0!</v>
      </c>
      <c r="LQ122" s="599" t="e">
        <f t="shared" si="302"/>
        <v>#DIV/0!</v>
      </c>
      <c r="LR122" s="652" t="e">
        <f t="shared" si="302"/>
        <v>#DIV/0!</v>
      </c>
      <c r="LS122" s="652" t="s">
        <v>93</v>
      </c>
      <c r="LT122" s="40" t="s">
        <v>93</v>
      </c>
      <c r="LU122" s="599">
        <f>STDEVA(LU116:LU120)</f>
        <v>0</v>
      </c>
      <c r="LV122" s="652" t="e">
        <f t="shared" ref="LV122:MJ122" si="303">STDEVA(LV116:LV120)</f>
        <v>#DIV/0!</v>
      </c>
      <c r="LW122" s="675" t="e">
        <f t="shared" si="303"/>
        <v>#VALUE!</v>
      </c>
      <c r="LX122" s="672" t="e">
        <f t="shared" si="303"/>
        <v>#VALUE!</v>
      </c>
      <c r="LY122" s="672" t="e">
        <f t="shared" si="303"/>
        <v>#REF!</v>
      </c>
      <c r="LZ122" s="675" t="e">
        <f t="shared" si="303"/>
        <v>#VALUE!</v>
      </c>
      <c r="MA122" s="672" t="e">
        <f t="shared" si="303"/>
        <v>#VALUE!</v>
      </c>
      <c r="MB122" s="672" t="e">
        <f t="shared" si="303"/>
        <v>#VALUE!</v>
      </c>
      <c r="MC122" s="672" t="e">
        <f>STDEVA(MC116:MC120)</f>
        <v>#VALUE!</v>
      </c>
      <c r="MD122" s="672" t="e">
        <f t="shared" si="303"/>
        <v>#VALUE!</v>
      </c>
      <c r="ME122" s="676" t="e">
        <f t="shared" si="303"/>
        <v>#VALUE!</v>
      </c>
      <c r="MF122" s="682" t="e">
        <f t="shared" si="303"/>
        <v>#DIV/0!</v>
      </c>
      <c r="MG122" s="691" t="e">
        <f t="shared" si="303"/>
        <v>#DIV/0!</v>
      </c>
      <c r="MH122" s="695" t="e">
        <f t="shared" si="303"/>
        <v>#DIV/0!</v>
      </c>
      <c r="MI122" s="599" t="e">
        <f t="shared" si="303"/>
        <v>#DIV/0!</v>
      </c>
      <c r="MJ122" s="652" t="e">
        <f t="shared" si="303"/>
        <v>#DIV/0!</v>
      </c>
      <c r="MK122" s="652" t="s">
        <v>93</v>
      </c>
      <c r="ML122" s="40" t="s">
        <v>93</v>
      </c>
      <c r="MM122" s="599">
        <f>STDEVA(MM116:MM120)</f>
        <v>0</v>
      </c>
      <c r="MN122" s="652" t="e">
        <f t="shared" ref="MN122:NB122" si="304">STDEVA(MN116:MN120)</f>
        <v>#DIV/0!</v>
      </c>
      <c r="MO122" s="675" t="e">
        <f t="shared" si="304"/>
        <v>#VALUE!</v>
      </c>
      <c r="MP122" s="672" t="e">
        <f t="shared" si="304"/>
        <v>#VALUE!</v>
      </c>
      <c r="MQ122" s="672" t="e">
        <f t="shared" si="304"/>
        <v>#REF!</v>
      </c>
      <c r="MR122" s="675" t="e">
        <f t="shared" si="304"/>
        <v>#VALUE!</v>
      </c>
      <c r="MS122" s="672" t="e">
        <f t="shared" si="304"/>
        <v>#VALUE!</v>
      </c>
      <c r="MT122" s="672" t="e">
        <f t="shared" si="304"/>
        <v>#VALUE!</v>
      </c>
      <c r="MU122" s="672" t="e">
        <f>STDEVA(MU116:MU120)</f>
        <v>#VALUE!</v>
      </c>
      <c r="MV122" s="672" t="e">
        <f t="shared" si="304"/>
        <v>#VALUE!</v>
      </c>
      <c r="MW122" s="676" t="e">
        <f t="shared" si="304"/>
        <v>#VALUE!</v>
      </c>
      <c r="MX122" s="682" t="e">
        <f t="shared" si="304"/>
        <v>#DIV/0!</v>
      </c>
      <c r="MY122" s="691" t="e">
        <f t="shared" si="304"/>
        <v>#DIV/0!</v>
      </c>
      <c r="MZ122" s="695" t="e">
        <f t="shared" si="304"/>
        <v>#DIV/0!</v>
      </c>
      <c r="NA122" s="599" t="e">
        <f t="shared" si="304"/>
        <v>#DIV/0!</v>
      </c>
      <c r="NB122" s="652" t="e">
        <f t="shared" si="304"/>
        <v>#DIV/0!</v>
      </c>
      <c r="NC122" s="652" t="s">
        <v>93</v>
      </c>
      <c r="ND122" s="40" t="s">
        <v>93</v>
      </c>
      <c r="NE122" s="599">
        <f>STDEVA(NE116:NE120)</f>
        <v>0</v>
      </c>
      <c r="NF122" s="652" t="e">
        <f t="shared" ref="NF122:NT122" si="305">STDEVA(NF116:NF120)</f>
        <v>#DIV/0!</v>
      </c>
      <c r="NG122" s="675" t="e">
        <f t="shared" si="305"/>
        <v>#VALUE!</v>
      </c>
      <c r="NH122" s="672" t="e">
        <f t="shared" si="305"/>
        <v>#VALUE!</v>
      </c>
      <c r="NI122" s="672" t="e">
        <f t="shared" si="305"/>
        <v>#REF!</v>
      </c>
      <c r="NJ122" s="675" t="e">
        <f t="shared" si="305"/>
        <v>#VALUE!</v>
      </c>
      <c r="NK122" s="672" t="e">
        <f t="shared" si="305"/>
        <v>#VALUE!</v>
      </c>
      <c r="NL122" s="672" t="e">
        <f t="shared" si="305"/>
        <v>#VALUE!</v>
      </c>
      <c r="NM122" s="672" t="e">
        <f>STDEVA(NM116:NM120)</f>
        <v>#VALUE!</v>
      </c>
      <c r="NN122" s="672" t="e">
        <f t="shared" si="305"/>
        <v>#VALUE!</v>
      </c>
      <c r="NO122" s="676" t="e">
        <f t="shared" si="305"/>
        <v>#VALUE!</v>
      </c>
      <c r="NP122" s="682" t="e">
        <f t="shared" si="305"/>
        <v>#DIV/0!</v>
      </c>
      <c r="NQ122" s="691" t="e">
        <f t="shared" si="305"/>
        <v>#DIV/0!</v>
      </c>
      <c r="NR122" s="695" t="e">
        <f t="shared" si="305"/>
        <v>#DIV/0!</v>
      </c>
      <c r="NS122" s="599" t="e">
        <f t="shared" si="305"/>
        <v>#DIV/0!</v>
      </c>
      <c r="NT122" s="652" t="e">
        <f t="shared" si="305"/>
        <v>#DIV/0!</v>
      </c>
      <c r="NU122" s="652" t="s">
        <v>93</v>
      </c>
      <c r="NV122" s="40" t="s">
        <v>93</v>
      </c>
      <c r="NW122" s="599">
        <f>STDEVA(NW116:NW120)</f>
        <v>0</v>
      </c>
      <c r="NX122" s="652" t="e">
        <f t="shared" ref="NX122:OL122" si="306">STDEVA(NX116:NX120)</f>
        <v>#DIV/0!</v>
      </c>
      <c r="NY122" s="675" t="e">
        <f t="shared" si="306"/>
        <v>#VALUE!</v>
      </c>
      <c r="NZ122" s="672" t="e">
        <f t="shared" si="306"/>
        <v>#VALUE!</v>
      </c>
      <c r="OA122" s="672" t="e">
        <f t="shared" si="306"/>
        <v>#REF!</v>
      </c>
      <c r="OB122" s="675" t="e">
        <f t="shared" si="306"/>
        <v>#VALUE!</v>
      </c>
      <c r="OC122" s="672" t="e">
        <f t="shared" si="306"/>
        <v>#VALUE!</v>
      </c>
      <c r="OD122" s="672" t="e">
        <f t="shared" si="306"/>
        <v>#VALUE!</v>
      </c>
      <c r="OE122" s="672" t="e">
        <f>STDEVA(OE116:OE120)</f>
        <v>#VALUE!</v>
      </c>
      <c r="OF122" s="672" t="e">
        <f t="shared" si="306"/>
        <v>#VALUE!</v>
      </c>
      <c r="OG122" s="676" t="e">
        <f t="shared" si="306"/>
        <v>#VALUE!</v>
      </c>
      <c r="OH122" s="682" t="e">
        <f t="shared" si="306"/>
        <v>#DIV/0!</v>
      </c>
      <c r="OI122" s="691" t="e">
        <f t="shared" si="306"/>
        <v>#DIV/0!</v>
      </c>
      <c r="OJ122" s="695" t="e">
        <f t="shared" si="306"/>
        <v>#DIV/0!</v>
      </c>
      <c r="OK122" s="599" t="e">
        <f t="shared" si="306"/>
        <v>#DIV/0!</v>
      </c>
      <c r="OL122" s="652" t="e">
        <f t="shared" si="306"/>
        <v>#DIV/0!</v>
      </c>
      <c r="OM122" s="652" t="s">
        <v>93</v>
      </c>
      <c r="ON122" s="40" t="s">
        <v>93</v>
      </c>
      <c r="OO122" s="599">
        <f>STDEVA(OO116:OO120)</f>
        <v>0</v>
      </c>
      <c r="OP122" s="652" t="e">
        <f t="shared" ref="OP122:PD122" si="307">STDEVA(OP116:OP120)</f>
        <v>#DIV/0!</v>
      </c>
      <c r="OQ122" s="675" t="e">
        <f t="shared" si="307"/>
        <v>#VALUE!</v>
      </c>
      <c r="OR122" s="672" t="e">
        <f t="shared" si="307"/>
        <v>#VALUE!</v>
      </c>
      <c r="OS122" s="672" t="e">
        <f t="shared" si="307"/>
        <v>#REF!</v>
      </c>
      <c r="OT122" s="675" t="e">
        <f t="shared" si="307"/>
        <v>#VALUE!</v>
      </c>
      <c r="OU122" s="672" t="e">
        <f t="shared" si="307"/>
        <v>#VALUE!</v>
      </c>
      <c r="OV122" s="672" t="e">
        <f t="shared" si="307"/>
        <v>#VALUE!</v>
      </c>
      <c r="OW122" s="672" t="e">
        <f>STDEVA(OW116:OW120)</f>
        <v>#VALUE!</v>
      </c>
      <c r="OX122" s="672" t="e">
        <f t="shared" si="307"/>
        <v>#VALUE!</v>
      </c>
      <c r="OY122" s="676" t="e">
        <f t="shared" si="307"/>
        <v>#VALUE!</v>
      </c>
      <c r="OZ122" s="682" t="e">
        <f t="shared" si="307"/>
        <v>#DIV/0!</v>
      </c>
      <c r="PA122" s="691" t="e">
        <f t="shared" si="307"/>
        <v>#DIV/0!</v>
      </c>
      <c r="PB122" s="695" t="e">
        <f t="shared" si="307"/>
        <v>#DIV/0!</v>
      </c>
      <c r="PC122" s="599" t="e">
        <f t="shared" si="307"/>
        <v>#DIV/0!</v>
      </c>
      <c r="PD122" s="652" t="e">
        <f t="shared" si="307"/>
        <v>#DIV/0!</v>
      </c>
      <c r="PE122" s="652" t="s">
        <v>93</v>
      </c>
      <c r="PF122" s="40" t="s">
        <v>93</v>
      </c>
      <c r="PG122" s="599">
        <f>STDEVA(PG116:PG120)</f>
        <v>0</v>
      </c>
      <c r="PH122" s="652" t="e">
        <f t="shared" ref="PH122:PV122" si="308">STDEVA(PH116:PH120)</f>
        <v>#DIV/0!</v>
      </c>
      <c r="PI122" s="675" t="e">
        <f t="shared" si="308"/>
        <v>#VALUE!</v>
      </c>
      <c r="PJ122" s="672" t="e">
        <f t="shared" si="308"/>
        <v>#VALUE!</v>
      </c>
      <c r="PK122" s="672" t="e">
        <f t="shared" si="308"/>
        <v>#REF!</v>
      </c>
      <c r="PL122" s="675" t="e">
        <f t="shared" si="308"/>
        <v>#VALUE!</v>
      </c>
      <c r="PM122" s="672" t="e">
        <f t="shared" si="308"/>
        <v>#VALUE!</v>
      </c>
      <c r="PN122" s="672" t="e">
        <f t="shared" si="308"/>
        <v>#VALUE!</v>
      </c>
      <c r="PO122" s="672" t="e">
        <f>STDEVA(PO116:PO120)</f>
        <v>#VALUE!</v>
      </c>
      <c r="PP122" s="672" t="e">
        <f t="shared" si="308"/>
        <v>#VALUE!</v>
      </c>
      <c r="PQ122" s="676" t="e">
        <f t="shared" si="308"/>
        <v>#VALUE!</v>
      </c>
      <c r="PR122" s="682" t="e">
        <f t="shared" si="308"/>
        <v>#DIV/0!</v>
      </c>
      <c r="PS122" s="691" t="e">
        <f t="shared" si="308"/>
        <v>#DIV/0!</v>
      </c>
      <c r="PT122" s="695" t="e">
        <f t="shared" si="308"/>
        <v>#DIV/0!</v>
      </c>
      <c r="PU122" s="599" t="e">
        <f t="shared" si="308"/>
        <v>#DIV/0!</v>
      </c>
      <c r="PV122" s="652" t="e">
        <f t="shared" si="308"/>
        <v>#DIV/0!</v>
      </c>
      <c r="PW122" s="652" t="s">
        <v>93</v>
      </c>
      <c r="PX122" s="40" t="s">
        <v>93</v>
      </c>
      <c r="PY122" s="599">
        <f>STDEVA(PY116:PY120)</f>
        <v>0</v>
      </c>
      <c r="PZ122" s="652" t="e">
        <f t="shared" ref="PZ122:QN122" si="309">STDEVA(PZ116:PZ120)</f>
        <v>#DIV/0!</v>
      </c>
      <c r="QA122" s="675" t="e">
        <f t="shared" si="309"/>
        <v>#VALUE!</v>
      </c>
      <c r="QB122" s="672" t="e">
        <f t="shared" si="309"/>
        <v>#VALUE!</v>
      </c>
      <c r="QC122" s="672" t="e">
        <f t="shared" si="309"/>
        <v>#REF!</v>
      </c>
      <c r="QD122" s="675" t="e">
        <f t="shared" si="309"/>
        <v>#VALUE!</v>
      </c>
      <c r="QE122" s="672" t="e">
        <f t="shared" si="309"/>
        <v>#VALUE!</v>
      </c>
      <c r="QF122" s="672" t="e">
        <f t="shared" si="309"/>
        <v>#VALUE!</v>
      </c>
      <c r="QG122" s="672" t="e">
        <f>STDEVA(QG116:QG120)</f>
        <v>#VALUE!</v>
      </c>
      <c r="QH122" s="672" t="e">
        <f t="shared" si="309"/>
        <v>#VALUE!</v>
      </c>
      <c r="QI122" s="676" t="e">
        <f t="shared" si="309"/>
        <v>#VALUE!</v>
      </c>
      <c r="QJ122" s="682" t="e">
        <f t="shared" si="309"/>
        <v>#DIV/0!</v>
      </c>
      <c r="QK122" s="691" t="e">
        <f t="shared" si="309"/>
        <v>#DIV/0!</v>
      </c>
      <c r="QL122" s="695" t="e">
        <f t="shared" si="309"/>
        <v>#DIV/0!</v>
      </c>
      <c r="QM122" s="599" t="e">
        <f t="shared" si="309"/>
        <v>#DIV/0!</v>
      </c>
      <c r="QN122" s="652" t="e">
        <f t="shared" si="309"/>
        <v>#DIV/0!</v>
      </c>
      <c r="QO122" s="652" t="s">
        <v>93</v>
      </c>
      <c r="QP122" s="40" t="s">
        <v>93</v>
      </c>
      <c r="QQ122" s="599">
        <f>STDEVA(QQ116:QQ120)</f>
        <v>0</v>
      </c>
      <c r="QR122" s="652" t="e">
        <f t="shared" ref="QR122:RF122" si="310">STDEVA(QR116:QR120)</f>
        <v>#DIV/0!</v>
      </c>
      <c r="QS122" s="675" t="e">
        <f t="shared" si="310"/>
        <v>#VALUE!</v>
      </c>
      <c r="QT122" s="672" t="e">
        <f t="shared" si="310"/>
        <v>#VALUE!</v>
      </c>
      <c r="QU122" s="672" t="e">
        <f t="shared" si="310"/>
        <v>#REF!</v>
      </c>
      <c r="QV122" s="675" t="e">
        <f t="shared" si="310"/>
        <v>#VALUE!</v>
      </c>
      <c r="QW122" s="672" t="e">
        <f t="shared" si="310"/>
        <v>#VALUE!</v>
      </c>
      <c r="QX122" s="672" t="e">
        <f t="shared" si="310"/>
        <v>#VALUE!</v>
      </c>
      <c r="QY122" s="672" t="e">
        <f>STDEVA(QY116:QY120)</f>
        <v>#VALUE!</v>
      </c>
      <c r="QZ122" s="672" t="e">
        <f t="shared" si="310"/>
        <v>#VALUE!</v>
      </c>
      <c r="RA122" s="676" t="e">
        <f t="shared" si="310"/>
        <v>#VALUE!</v>
      </c>
      <c r="RB122" s="682" t="e">
        <f t="shared" si="310"/>
        <v>#DIV/0!</v>
      </c>
      <c r="RC122" s="691" t="e">
        <f t="shared" si="310"/>
        <v>#DIV/0!</v>
      </c>
      <c r="RD122" s="695" t="e">
        <f t="shared" si="310"/>
        <v>#DIV/0!</v>
      </c>
      <c r="RE122" s="599" t="e">
        <f t="shared" si="310"/>
        <v>#DIV/0!</v>
      </c>
      <c r="RF122" s="652" t="e">
        <f t="shared" si="310"/>
        <v>#DIV/0!</v>
      </c>
      <c r="RG122" s="652" t="s">
        <v>93</v>
      </c>
      <c r="RH122" s="40" t="s">
        <v>93</v>
      </c>
      <c r="RI122" s="599">
        <f>STDEVA(RI116:RI120)</f>
        <v>0</v>
      </c>
      <c r="RJ122" s="652" t="e">
        <f t="shared" ref="RJ122:RX122" si="311">STDEVA(RJ116:RJ120)</f>
        <v>#DIV/0!</v>
      </c>
      <c r="RK122" s="675" t="e">
        <f t="shared" si="311"/>
        <v>#VALUE!</v>
      </c>
      <c r="RL122" s="672" t="e">
        <f t="shared" si="311"/>
        <v>#VALUE!</v>
      </c>
      <c r="RM122" s="672" t="e">
        <f t="shared" si="311"/>
        <v>#REF!</v>
      </c>
      <c r="RN122" s="675" t="e">
        <f t="shared" si="311"/>
        <v>#VALUE!</v>
      </c>
      <c r="RO122" s="672" t="e">
        <f t="shared" si="311"/>
        <v>#VALUE!</v>
      </c>
      <c r="RP122" s="672" t="e">
        <f t="shared" si="311"/>
        <v>#VALUE!</v>
      </c>
      <c r="RQ122" s="672" t="e">
        <f>STDEVA(RQ116:RQ120)</f>
        <v>#VALUE!</v>
      </c>
      <c r="RR122" s="672" t="e">
        <f t="shared" si="311"/>
        <v>#VALUE!</v>
      </c>
      <c r="RS122" s="676" t="e">
        <f t="shared" si="311"/>
        <v>#VALUE!</v>
      </c>
      <c r="RT122" s="682" t="e">
        <f t="shared" si="311"/>
        <v>#DIV/0!</v>
      </c>
      <c r="RU122" s="691" t="e">
        <f t="shared" si="311"/>
        <v>#DIV/0!</v>
      </c>
      <c r="RV122" s="695" t="e">
        <f t="shared" si="311"/>
        <v>#DIV/0!</v>
      </c>
      <c r="RW122" s="599" t="e">
        <f t="shared" si="311"/>
        <v>#DIV/0!</v>
      </c>
      <c r="RX122" s="652" t="e">
        <f t="shared" si="311"/>
        <v>#DIV/0!</v>
      </c>
      <c r="RY122" s="652" t="s">
        <v>93</v>
      </c>
      <c r="RZ122" s="40" t="s">
        <v>93</v>
      </c>
      <c r="SA122" s="599">
        <f>STDEVA(SA116:SA120)</f>
        <v>0</v>
      </c>
      <c r="SB122" s="652" t="e">
        <f t="shared" ref="SB122:SP122" si="312">STDEVA(SB116:SB120)</f>
        <v>#DIV/0!</v>
      </c>
      <c r="SC122" s="675" t="e">
        <f t="shared" si="312"/>
        <v>#VALUE!</v>
      </c>
      <c r="SD122" s="672" t="e">
        <f t="shared" si="312"/>
        <v>#VALUE!</v>
      </c>
      <c r="SE122" s="672" t="e">
        <f t="shared" si="312"/>
        <v>#REF!</v>
      </c>
      <c r="SF122" s="675" t="e">
        <f t="shared" si="312"/>
        <v>#VALUE!</v>
      </c>
      <c r="SG122" s="672" t="e">
        <f t="shared" si="312"/>
        <v>#VALUE!</v>
      </c>
      <c r="SH122" s="672" t="e">
        <f t="shared" si="312"/>
        <v>#VALUE!</v>
      </c>
      <c r="SI122" s="672" t="e">
        <f>STDEVA(SI116:SI120)</f>
        <v>#VALUE!</v>
      </c>
      <c r="SJ122" s="672" t="e">
        <f t="shared" si="312"/>
        <v>#VALUE!</v>
      </c>
      <c r="SK122" s="676" t="e">
        <f t="shared" si="312"/>
        <v>#VALUE!</v>
      </c>
      <c r="SL122" s="682" t="e">
        <f t="shared" si="312"/>
        <v>#DIV/0!</v>
      </c>
      <c r="SM122" s="691" t="e">
        <f t="shared" si="312"/>
        <v>#DIV/0!</v>
      </c>
      <c r="SN122" s="695" t="e">
        <f t="shared" si="312"/>
        <v>#DIV/0!</v>
      </c>
      <c r="SO122" s="599" t="e">
        <f t="shared" si="312"/>
        <v>#DIV/0!</v>
      </c>
      <c r="SP122" s="652" t="e">
        <f t="shared" si="312"/>
        <v>#DIV/0!</v>
      </c>
      <c r="SQ122" s="652" t="s">
        <v>93</v>
      </c>
      <c r="SR122" s="40" t="s">
        <v>93</v>
      </c>
      <c r="SS122" s="599">
        <f>STDEVA(SS116:SS120)</f>
        <v>0</v>
      </c>
      <c r="ST122" s="652" t="e">
        <f t="shared" ref="ST122:TH122" si="313">STDEVA(ST116:ST120)</f>
        <v>#DIV/0!</v>
      </c>
      <c r="SU122" s="675" t="e">
        <f t="shared" si="313"/>
        <v>#VALUE!</v>
      </c>
      <c r="SV122" s="672" t="e">
        <f t="shared" si="313"/>
        <v>#VALUE!</v>
      </c>
      <c r="SW122" s="672" t="e">
        <f t="shared" si="313"/>
        <v>#REF!</v>
      </c>
      <c r="SX122" s="675" t="e">
        <f t="shared" si="313"/>
        <v>#VALUE!</v>
      </c>
      <c r="SY122" s="672" t="e">
        <f t="shared" si="313"/>
        <v>#VALUE!</v>
      </c>
      <c r="SZ122" s="672" t="e">
        <f t="shared" si="313"/>
        <v>#VALUE!</v>
      </c>
      <c r="TA122" s="672" t="e">
        <f>STDEVA(TA116:TA120)</f>
        <v>#VALUE!</v>
      </c>
      <c r="TB122" s="672" t="e">
        <f t="shared" si="313"/>
        <v>#VALUE!</v>
      </c>
      <c r="TC122" s="676" t="e">
        <f t="shared" si="313"/>
        <v>#VALUE!</v>
      </c>
      <c r="TD122" s="682" t="e">
        <f t="shared" si="313"/>
        <v>#DIV/0!</v>
      </c>
      <c r="TE122" s="691" t="e">
        <f t="shared" si="313"/>
        <v>#DIV/0!</v>
      </c>
      <c r="TF122" s="695" t="e">
        <f t="shared" si="313"/>
        <v>#DIV/0!</v>
      </c>
      <c r="TG122" s="599" t="e">
        <f t="shared" si="313"/>
        <v>#DIV/0!</v>
      </c>
      <c r="TH122" s="652" t="e">
        <f t="shared" si="313"/>
        <v>#DIV/0!</v>
      </c>
      <c r="TI122" s="652" t="s">
        <v>93</v>
      </c>
      <c r="TJ122" s="40" t="s">
        <v>93</v>
      </c>
      <c r="TK122" s="599">
        <f>STDEVA(TK116:TK120)</f>
        <v>0</v>
      </c>
      <c r="TL122" s="652" t="e">
        <f t="shared" ref="TL122:TZ122" si="314">STDEVA(TL116:TL120)</f>
        <v>#DIV/0!</v>
      </c>
      <c r="TM122" s="675" t="e">
        <f t="shared" si="314"/>
        <v>#VALUE!</v>
      </c>
      <c r="TN122" s="672" t="e">
        <f t="shared" si="314"/>
        <v>#VALUE!</v>
      </c>
      <c r="TO122" s="672" t="e">
        <f t="shared" si="314"/>
        <v>#REF!</v>
      </c>
      <c r="TP122" s="675" t="e">
        <f t="shared" si="314"/>
        <v>#VALUE!</v>
      </c>
      <c r="TQ122" s="672" t="e">
        <f t="shared" si="314"/>
        <v>#VALUE!</v>
      </c>
      <c r="TR122" s="672" t="e">
        <f t="shared" si="314"/>
        <v>#VALUE!</v>
      </c>
      <c r="TS122" s="672" t="e">
        <f>STDEVA(TS116:TS120)</f>
        <v>#VALUE!</v>
      </c>
      <c r="TT122" s="672" t="e">
        <f t="shared" si="314"/>
        <v>#VALUE!</v>
      </c>
      <c r="TU122" s="676" t="e">
        <f t="shared" si="314"/>
        <v>#VALUE!</v>
      </c>
      <c r="TV122" s="682" t="e">
        <f t="shared" si="314"/>
        <v>#DIV/0!</v>
      </c>
      <c r="TW122" s="691" t="e">
        <f t="shared" si="314"/>
        <v>#DIV/0!</v>
      </c>
      <c r="TX122" s="695" t="e">
        <f t="shared" si="314"/>
        <v>#DIV/0!</v>
      </c>
      <c r="TY122" s="599" t="e">
        <f t="shared" si="314"/>
        <v>#DIV/0!</v>
      </c>
      <c r="TZ122" s="652" t="e">
        <f t="shared" si="314"/>
        <v>#DIV/0!</v>
      </c>
      <c r="UA122" s="652" t="s">
        <v>93</v>
      </c>
      <c r="UB122" s="40" t="s">
        <v>93</v>
      </c>
      <c r="UC122" s="599">
        <f>STDEVA(UC116:UC120)</f>
        <v>0</v>
      </c>
      <c r="UD122" s="652" t="e">
        <f t="shared" ref="UD122:UR122" si="315">STDEVA(UD116:UD120)</f>
        <v>#DIV/0!</v>
      </c>
      <c r="UE122" s="675" t="e">
        <f t="shared" si="315"/>
        <v>#VALUE!</v>
      </c>
      <c r="UF122" s="672" t="e">
        <f t="shared" si="315"/>
        <v>#VALUE!</v>
      </c>
      <c r="UG122" s="672" t="e">
        <f t="shared" si="315"/>
        <v>#REF!</v>
      </c>
      <c r="UH122" s="675" t="e">
        <f t="shared" si="315"/>
        <v>#VALUE!</v>
      </c>
      <c r="UI122" s="672" t="e">
        <f t="shared" si="315"/>
        <v>#VALUE!</v>
      </c>
      <c r="UJ122" s="672" t="e">
        <f t="shared" si="315"/>
        <v>#VALUE!</v>
      </c>
      <c r="UK122" s="672" t="e">
        <f>STDEVA(UK116:UK120)</f>
        <v>#VALUE!</v>
      </c>
      <c r="UL122" s="672" t="e">
        <f t="shared" si="315"/>
        <v>#VALUE!</v>
      </c>
      <c r="UM122" s="676" t="e">
        <f t="shared" si="315"/>
        <v>#VALUE!</v>
      </c>
      <c r="UN122" s="682" t="e">
        <f t="shared" si="315"/>
        <v>#DIV/0!</v>
      </c>
      <c r="UO122" s="691" t="e">
        <f t="shared" si="315"/>
        <v>#DIV/0!</v>
      </c>
      <c r="UP122" s="695" t="e">
        <f t="shared" si="315"/>
        <v>#DIV/0!</v>
      </c>
      <c r="UQ122" s="599" t="e">
        <f t="shared" si="315"/>
        <v>#DIV/0!</v>
      </c>
      <c r="UR122" s="652" t="e">
        <f t="shared" si="315"/>
        <v>#DIV/0!</v>
      </c>
      <c r="US122" s="652" t="s">
        <v>93</v>
      </c>
      <c r="UT122" s="40" t="s">
        <v>93</v>
      </c>
      <c r="UU122" s="599">
        <f>STDEVA(UU116:UU120)</f>
        <v>0</v>
      </c>
      <c r="UV122" s="652" t="e">
        <f t="shared" ref="UV122:VE122" si="316">STDEVA(UV116:UV120)</f>
        <v>#DIV/0!</v>
      </c>
      <c r="UW122" s="675" t="e">
        <f t="shared" si="316"/>
        <v>#VALUE!</v>
      </c>
      <c r="UX122" s="672" t="e">
        <f t="shared" si="316"/>
        <v>#VALUE!</v>
      </c>
      <c r="UY122" s="672" t="e">
        <f t="shared" si="316"/>
        <v>#REF!</v>
      </c>
      <c r="UZ122" s="675" t="e">
        <f t="shared" si="316"/>
        <v>#VALUE!</v>
      </c>
      <c r="VA122" s="672" t="e">
        <f t="shared" si="316"/>
        <v>#VALUE!</v>
      </c>
      <c r="VB122" s="672" t="e">
        <f t="shared" si="316"/>
        <v>#VALUE!</v>
      </c>
      <c r="VC122" s="672" t="e">
        <f>STDEVA(VC116:VC120)</f>
        <v>#VALUE!</v>
      </c>
      <c r="VD122" s="672" t="e">
        <f t="shared" si="316"/>
        <v>#VALUE!</v>
      </c>
      <c r="VE122" s="676" t="e">
        <f t="shared" si="316"/>
        <v>#VALUE!</v>
      </c>
    </row>
    <row r="123" spans="1:577" x14ac:dyDescent="0.25">
      <c r="A123" s="1537" t="s">
        <v>63</v>
      </c>
      <c r="B123" s="688">
        <f t="shared" ref="B123:F123" si="317">B122/B121*100</f>
        <v>1.2826738459410081</v>
      </c>
      <c r="C123" s="619">
        <f t="shared" si="317"/>
        <v>1.5845833835872645</v>
      </c>
      <c r="D123" s="619">
        <f t="shared" si="317"/>
        <v>3.985781980451486E-2</v>
      </c>
      <c r="E123" s="672">
        <f t="shared" si="317"/>
        <v>0</v>
      </c>
      <c r="F123" s="619">
        <f t="shared" si="317"/>
        <v>0</v>
      </c>
      <c r="G123" s="619" t="s">
        <v>93</v>
      </c>
      <c r="H123" s="38" t="s">
        <v>93</v>
      </c>
      <c r="I123" s="672">
        <f t="shared" ref="I123:X123" si="318">I122/I121*100</f>
        <v>0</v>
      </c>
      <c r="J123" s="619">
        <f t="shared" si="318"/>
        <v>6.0009447619077651E-2</v>
      </c>
      <c r="K123" s="675">
        <f t="shared" si="318"/>
        <v>-6.0009447619075243E-2</v>
      </c>
      <c r="L123" s="672">
        <f t="shared" si="318"/>
        <v>-6.0013948675360106E-2</v>
      </c>
      <c r="M123" s="672" t="e">
        <f t="shared" si="318"/>
        <v>#REF!</v>
      </c>
      <c r="N123" s="675">
        <f t="shared" si="318"/>
        <v>6.001394867535751E-2</v>
      </c>
      <c r="O123" s="672">
        <f t="shared" si="318"/>
        <v>6.0013948675359162E-2</v>
      </c>
      <c r="P123" s="672">
        <f t="shared" si="318"/>
        <v>6.0013948675353826E-2</v>
      </c>
      <c r="Q123" s="672">
        <f t="shared" si="318"/>
        <v>6.0013948675359204E-2</v>
      </c>
      <c r="R123" s="672">
        <f t="shared" si="318"/>
        <v>6.0013948675359204E-2</v>
      </c>
      <c r="S123" s="676">
        <f t="shared" si="318"/>
        <v>6.001394867535928E-2</v>
      </c>
      <c r="T123" s="1538" t="e">
        <f t="shared" si="318"/>
        <v>#DIV/0!</v>
      </c>
      <c r="U123" s="1538" t="e">
        <f t="shared" si="318"/>
        <v>#DIV/0!</v>
      </c>
      <c r="V123" s="1539" t="e">
        <f t="shared" si="318"/>
        <v>#DIV/0!</v>
      </c>
      <c r="W123" s="672" t="e">
        <f t="shared" si="318"/>
        <v>#DIV/0!</v>
      </c>
      <c r="X123" s="619" t="e">
        <f t="shared" si="318"/>
        <v>#DIV/0!</v>
      </c>
      <c r="Y123" s="619" t="s">
        <v>93</v>
      </c>
      <c r="Z123" s="38" t="s">
        <v>93</v>
      </c>
      <c r="AA123" s="672" t="e">
        <f t="shared" ref="AA123" si="319">AA122/AA121*100</f>
        <v>#DIV/0!</v>
      </c>
      <c r="AB123" s="619" t="e">
        <f t="shared" ref="AB123:AK123" si="320">AB122/AB121*100</f>
        <v>#DIV/0!</v>
      </c>
      <c r="AC123" s="675" t="e">
        <f t="shared" si="320"/>
        <v>#VALUE!</v>
      </c>
      <c r="AD123" s="672" t="e">
        <f t="shared" si="320"/>
        <v>#VALUE!</v>
      </c>
      <c r="AE123" s="672" t="e">
        <f t="shared" si="320"/>
        <v>#REF!</v>
      </c>
      <c r="AF123" s="675" t="e">
        <f t="shared" si="320"/>
        <v>#VALUE!</v>
      </c>
      <c r="AG123" s="672" t="e">
        <f t="shared" si="320"/>
        <v>#VALUE!</v>
      </c>
      <c r="AH123" s="672" t="e">
        <f t="shared" si="320"/>
        <v>#VALUE!</v>
      </c>
      <c r="AI123" s="672" t="e">
        <f t="shared" si="320"/>
        <v>#VALUE!</v>
      </c>
      <c r="AJ123" s="672" t="e">
        <f t="shared" si="320"/>
        <v>#VALUE!</v>
      </c>
      <c r="AK123" s="676" t="e">
        <f t="shared" si="320"/>
        <v>#VALUE!</v>
      </c>
      <c r="AL123" s="688"/>
      <c r="AM123" s="1538"/>
      <c r="AN123" s="1539"/>
      <c r="AO123" s="672"/>
      <c r="AP123" s="619"/>
      <c r="AQ123" s="619"/>
      <c r="AR123" s="38" t="s">
        <v>93</v>
      </c>
      <c r="AS123" s="672" t="e">
        <f t="shared" ref="AS123" si="321">AS122/AS121*100</f>
        <v>#DIV/0!</v>
      </c>
      <c r="AT123" s="619" t="e">
        <f t="shared" ref="AT123:BH123" si="322">AT122/AT121*100</f>
        <v>#DIV/0!</v>
      </c>
      <c r="AU123" s="675" t="e">
        <f t="shared" si="322"/>
        <v>#VALUE!</v>
      </c>
      <c r="AV123" s="672" t="e">
        <f t="shared" si="322"/>
        <v>#VALUE!</v>
      </c>
      <c r="AW123" s="672" t="e">
        <f t="shared" si="322"/>
        <v>#REF!</v>
      </c>
      <c r="AX123" s="675" t="e">
        <f t="shared" si="322"/>
        <v>#VALUE!</v>
      </c>
      <c r="AY123" s="672" t="e">
        <f t="shared" si="322"/>
        <v>#VALUE!</v>
      </c>
      <c r="AZ123" s="672" t="e">
        <f t="shared" si="322"/>
        <v>#VALUE!</v>
      </c>
      <c r="BA123" s="672" t="e">
        <f t="shared" si="322"/>
        <v>#VALUE!</v>
      </c>
      <c r="BB123" s="672" t="e">
        <f t="shared" si="322"/>
        <v>#VALUE!</v>
      </c>
      <c r="BC123" s="676" t="e">
        <f t="shared" si="322"/>
        <v>#VALUE!</v>
      </c>
      <c r="BD123" s="688" t="e">
        <f t="shared" si="322"/>
        <v>#DIV/0!</v>
      </c>
      <c r="BE123" s="1538" t="e">
        <f t="shared" si="322"/>
        <v>#DIV/0!</v>
      </c>
      <c r="BF123" s="1539" t="e">
        <f t="shared" si="322"/>
        <v>#DIV/0!</v>
      </c>
      <c r="BG123" s="672">
        <f t="shared" si="322"/>
        <v>-2.9998228836860086E-2</v>
      </c>
      <c r="BH123" s="619" t="e">
        <f t="shared" si="322"/>
        <v>#DIV/0!</v>
      </c>
      <c r="BI123" s="619" t="s">
        <v>93</v>
      </c>
      <c r="BJ123" s="38" t="s">
        <v>93</v>
      </c>
      <c r="BK123" s="672" t="e">
        <f t="shared" ref="BK123" si="323">BK122/BK121*100</f>
        <v>#DIV/0!</v>
      </c>
      <c r="BL123" s="619" t="e">
        <f t="shared" ref="BL123:BZ123" si="324">BL122/BL121*100</f>
        <v>#DIV/0!</v>
      </c>
      <c r="BM123" s="675" t="e">
        <f t="shared" si="324"/>
        <v>#VALUE!</v>
      </c>
      <c r="BN123" s="672" t="e">
        <f t="shared" si="324"/>
        <v>#VALUE!</v>
      </c>
      <c r="BO123" s="672" t="e">
        <f t="shared" si="324"/>
        <v>#REF!</v>
      </c>
      <c r="BP123" s="675" t="e">
        <f t="shared" si="324"/>
        <v>#VALUE!</v>
      </c>
      <c r="BQ123" s="672" t="e">
        <f t="shared" si="324"/>
        <v>#VALUE!</v>
      </c>
      <c r="BR123" s="672" t="e">
        <f t="shared" si="324"/>
        <v>#VALUE!</v>
      </c>
      <c r="BS123" s="672" t="e">
        <f t="shared" si="324"/>
        <v>#VALUE!</v>
      </c>
      <c r="BT123" s="672" t="e">
        <f t="shared" si="324"/>
        <v>#VALUE!</v>
      </c>
      <c r="BU123" s="676" t="e">
        <f t="shared" si="324"/>
        <v>#VALUE!</v>
      </c>
      <c r="BV123" s="688" t="e">
        <f t="shared" si="324"/>
        <v>#DIV/0!</v>
      </c>
      <c r="BW123" s="1538" t="e">
        <f t="shared" si="324"/>
        <v>#DIV/0!</v>
      </c>
      <c r="BX123" s="1539" t="e">
        <f t="shared" si="324"/>
        <v>#DIV/0!</v>
      </c>
      <c r="BY123" s="672">
        <f t="shared" si="324"/>
        <v>-0.14143377466791793</v>
      </c>
      <c r="BZ123" s="619" t="e">
        <f t="shared" si="324"/>
        <v>#DIV/0!</v>
      </c>
      <c r="CA123" s="619" t="s">
        <v>93</v>
      </c>
      <c r="CB123" s="38" t="s">
        <v>93</v>
      </c>
      <c r="CC123" s="672" t="e">
        <f t="shared" ref="CC123" si="325">CC122/CC121*100</f>
        <v>#DIV/0!</v>
      </c>
      <c r="CD123" s="619" t="e">
        <f t="shared" ref="CD123:CR123" si="326">CD122/CD121*100</f>
        <v>#DIV/0!</v>
      </c>
      <c r="CE123" s="675" t="e">
        <f t="shared" si="326"/>
        <v>#VALUE!</v>
      </c>
      <c r="CF123" s="672" t="e">
        <f t="shared" si="326"/>
        <v>#VALUE!</v>
      </c>
      <c r="CG123" s="672" t="e">
        <f t="shared" si="326"/>
        <v>#REF!</v>
      </c>
      <c r="CH123" s="675" t="e">
        <f t="shared" si="326"/>
        <v>#VALUE!</v>
      </c>
      <c r="CI123" s="672" t="e">
        <f t="shared" si="326"/>
        <v>#VALUE!</v>
      </c>
      <c r="CJ123" s="672" t="e">
        <f t="shared" si="326"/>
        <v>#VALUE!</v>
      </c>
      <c r="CK123" s="672" t="e">
        <f t="shared" si="326"/>
        <v>#VALUE!</v>
      </c>
      <c r="CL123" s="672" t="e">
        <f t="shared" si="326"/>
        <v>#VALUE!</v>
      </c>
      <c r="CM123" s="676" t="e">
        <f t="shared" si="326"/>
        <v>#VALUE!</v>
      </c>
      <c r="CN123" s="688" t="e">
        <f t="shared" si="326"/>
        <v>#DIV/0!</v>
      </c>
      <c r="CO123" s="1538" t="e">
        <f t="shared" si="326"/>
        <v>#DIV/0!</v>
      </c>
      <c r="CP123" s="1539" t="e">
        <f t="shared" si="326"/>
        <v>#DIV/0!</v>
      </c>
      <c r="CQ123" s="672">
        <f t="shared" si="326"/>
        <v>-2.1738648712951364E-2</v>
      </c>
      <c r="CR123" s="619" t="e">
        <f t="shared" si="326"/>
        <v>#DIV/0!</v>
      </c>
      <c r="CS123" s="619" t="s">
        <v>93</v>
      </c>
      <c r="CT123" s="38" t="s">
        <v>93</v>
      </c>
      <c r="CU123" s="672" t="e">
        <f t="shared" ref="CU123" si="327">CU122/CU121*100</f>
        <v>#DIV/0!</v>
      </c>
      <c r="CV123" s="619" t="e">
        <f t="shared" ref="CV123:DJ123" si="328">CV122/CV121*100</f>
        <v>#DIV/0!</v>
      </c>
      <c r="CW123" s="675" t="e">
        <f t="shared" si="328"/>
        <v>#VALUE!</v>
      </c>
      <c r="CX123" s="672" t="e">
        <f t="shared" si="328"/>
        <v>#VALUE!</v>
      </c>
      <c r="CY123" s="672" t="e">
        <f t="shared" si="328"/>
        <v>#REF!</v>
      </c>
      <c r="CZ123" s="675" t="e">
        <f t="shared" si="328"/>
        <v>#VALUE!</v>
      </c>
      <c r="DA123" s="672" t="e">
        <f t="shared" si="328"/>
        <v>#VALUE!</v>
      </c>
      <c r="DB123" s="672" t="e">
        <f t="shared" si="328"/>
        <v>#VALUE!</v>
      </c>
      <c r="DC123" s="672" t="e">
        <f t="shared" si="328"/>
        <v>#VALUE!</v>
      </c>
      <c r="DD123" s="672" t="e">
        <f t="shared" si="328"/>
        <v>#VALUE!</v>
      </c>
      <c r="DE123" s="676" t="e">
        <f t="shared" si="328"/>
        <v>#VALUE!</v>
      </c>
      <c r="DF123" s="688" t="e">
        <f t="shared" si="328"/>
        <v>#DIV/0!</v>
      </c>
      <c r="DG123" s="1538" t="e">
        <f t="shared" si="328"/>
        <v>#DIV/0!</v>
      </c>
      <c r="DH123" s="1539" t="e">
        <f t="shared" si="328"/>
        <v>#DIV/0!</v>
      </c>
      <c r="DI123" s="672" t="e">
        <f t="shared" si="328"/>
        <v>#DIV/0!</v>
      </c>
      <c r="DJ123" s="619" t="e">
        <f t="shared" si="328"/>
        <v>#DIV/0!</v>
      </c>
      <c r="DK123" s="619" t="s">
        <v>93</v>
      </c>
      <c r="DL123" s="38" t="s">
        <v>93</v>
      </c>
      <c r="DM123" s="672" t="e">
        <f t="shared" ref="DM123" si="329">DM122/DM121*100</f>
        <v>#DIV/0!</v>
      </c>
      <c r="DN123" s="619" t="e">
        <f t="shared" ref="DN123:EB123" si="330">DN122/DN121*100</f>
        <v>#DIV/0!</v>
      </c>
      <c r="DO123" s="675" t="e">
        <f t="shared" si="330"/>
        <v>#VALUE!</v>
      </c>
      <c r="DP123" s="672" t="e">
        <f t="shared" si="330"/>
        <v>#VALUE!</v>
      </c>
      <c r="DQ123" s="672" t="e">
        <f t="shared" si="330"/>
        <v>#REF!</v>
      </c>
      <c r="DR123" s="675" t="e">
        <f t="shared" si="330"/>
        <v>#VALUE!</v>
      </c>
      <c r="DS123" s="672" t="e">
        <f t="shared" si="330"/>
        <v>#VALUE!</v>
      </c>
      <c r="DT123" s="672" t="e">
        <f t="shared" si="330"/>
        <v>#VALUE!</v>
      </c>
      <c r="DU123" s="672" t="e">
        <f t="shared" si="330"/>
        <v>#VALUE!</v>
      </c>
      <c r="DV123" s="672" t="e">
        <f t="shared" si="330"/>
        <v>#VALUE!</v>
      </c>
      <c r="DW123" s="676" t="e">
        <f t="shared" si="330"/>
        <v>#VALUE!</v>
      </c>
      <c r="DX123" s="688" t="e">
        <f t="shared" si="330"/>
        <v>#DIV/0!</v>
      </c>
      <c r="DY123" s="1538" t="e">
        <f t="shared" si="330"/>
        <v>#DIV/0!</v>
      </c>
      <c r="DZ123" s="1539" t="e">
        <f t="shared" si="330"/>
        <v>#DIV/0!</v>
      </c>
      <c r="EA123" s="674" t="e">
        <f t="shared" si="330"/>
        <v>#DIV/0!</v>
      </c>
      <c r="EB123" s="619" t="e">
        <f t="shared" si="330"/>
        <v>#DIV/0!</v>
      </c>
      <c r="EC123" s="619" t="s">
        <v>93</v>
      </c>
      <c r="ED123" s="38" t="s">
        <v>93</v>
      </c>
      <c r="EE123" s="672" t="e">
        <f t="shared" ref="EE123" si="331">EE122/EE121*100</f>
        <v>#DIV/0!</v>
      </c>
      <c r="EF123" s="619" t="e">
        <f t="shared" ref="EF123:ET123" si="332">EF122/EF121*100</f>
        <v>#DIV/0!</v>
      </c>
      <c r="EG123" s="675" t="e">
        <f t="shared" si="332"/>
        <v>#VALUE!</v>
      </c>
      <c r="EH123" s="672" t="e">
        <f t="shared" si="332"/>
        <v>#VALUE!</v>
      </c>
      <c r="EI123" s="672" t="e">
        <f t="shared" si="332"/>
        <v>#REF!</v>
      </c>
      <c r="EJ123" s="675" t="e">
        <f t="shared" si="332"/>
        <v>#VALUE!</v>
      </c>
      <c r="EK123" s="672" t="e">
        <f t="shared" si="332"/>
        <v>#VALUE!</v>
      </c>
      <c r="EL123" s="672" t="e">
        <f t="shared" si="332"/>
        <v>#VALUE!</v>
      </c>
      <c r="EM123" s="672" t="e">
        <f t="shared" si="332"/>
        <v>#VALUE!</v>
      </c>
      <c r="EN123" s="672" t="e">
        <f t="shared" si="332"/>
        <v>#VALUE!</v>
      </c>
      <c r="EO123" s="676" t="e">
        <f t="shared" si="332"/>
        <v>#VALUE!</v>
      </c>
      <c r="EP123" s="688" t="e">
        <f t="shared" si="332"/>
        <v>#DIV/0!</v>
      </c>
      <c r="EQ123" s="1538" t="e">
        <f t="shared" si="332"/>
        <v>#DIV/0!</v>
      </c>
      <c r="ER123" s="1539" t="e">
        <f t="shared" si="332"/>
        <v>#DIV/0!</v>
      </c>
      <c r="ES123" s="672">
        <f t="shared" si="332"/>
        <v>-2.8652740634728606</v>
      </c>
      <c r="ET123" s="619" t="e">
        <f t="shared" si="332"/>
        <v>#DIV/0!</v>
      </c>
      <c r="EU123" s="619" t="s">
        <v>93</v>
      </c>
      <c r="EV123" s="38" t="s">
        <v>93</v>
      </c>
      <c r="EW123" s="672" t="e">
        <f t="shared" ref="EW123" si="333">EW122/EW121*100</f>
        <v>#DIV/0!</v>
      </c>
      <c r="EX123" s="619" t="e">
        <f t="shared" ref="EX123:FL123" si="334">EX122/EX121*100</f>
        <v>#DIV/0!</v>
      </c>
      <c r="EY123" s="675" t="e">
        <f t="shared" si="334"/>
        <v>#VALUE!</v>
      </c>
      <c r="EZ123" s="672" t="e">
        <f t="shared" si="334"/>
        <v>#VALUE!</v>
      </c>
      <c r="FA123" s="672" t="e">
        <f t="shared" si="334"/>
        <v>#REF!</v>
      </c>
      <c r="FB123" s="675" t="e">
        <f t="shared" si="334"/>
        <v>#VALUE!</v>
      </c>
      <c r="FC123" s="672" t="e">
        <f t="shared" si="334"/>
        <v>#VALUE!</v>
      </c>
      <c r="FD123" s="672" t="e">
        <f t="shared" si="334"/>
        <v>#VALUE!</v>
      </c>
      <c r="FE123" s="672" t="e">
        <f t="shared" si="334"/>
        <v>#VALUE!</v>
      </c>
      <c r="FF123" s="672" t="e">
        <f t="shared" si="334"/>
        <v>#VALUE!</v>
      </c>
      <c r="FG123" s="676" t="e">
        <f t="shared" si="334"/>
        <v>#VALUE!</v>
      </c>
      <c r="FH123" s="688" t="e">
        <f t="shared" si="334"/>
        <v>#DIV/0!</v>
      </c>
      <c r="FI123" s="1538" t="e">
        <f t="shared" si="334"/>
        <v>#DIV/0!</v>
      </c>
      <c r="FJ123" s="1539" t="e">
        <f t="shared" si="334"/>
        <v>#DIV/0!</v>
      </c>
      <c r="FK123" s="672" t="e">
        <f t="shared" si="334"/>
        <v>#DIV/0!</v>
      </c>
      <c r="FL123" s="619" t="e">
        <f t="shared" si="334"/>
        <v>#DIV/0!</v>
      </c>
      <c r="FM123" s="619" t="s">
        <v>93</v>
      </c>
      <c r="FN123" s="38" t="s">
        <v>93</v>
      </c>
      <c r="FO123" s="672" t="e">
        <f t="shared" ref="FO123" si="335">FO122/FO121*100</f>
        <v>#DIV/0!</v>
      </c>
      <c r="FP123" s="619" t="e">
        <f t="shared" ref="FP123:GD123" si="336">FP122/FP121*100</f>
        <v>#DIV/0!</v>
      </c>
      <c r="FQ123" s="675" t="e">
        <f t="shared" si="336"/>
        <v>#VALUE!</v>
      </c>
      <c r="FR123" s="672" t="e">
        <f t="shared" si="336"/>
        <v>#VALUE!</v>
      </c>
      <c r="FS123" s="672" t="e">
        <f t="shared" si="336"/>
        <v>#REF!</v>
      </c>
      <c r="FT123" s="675" t="e">
        <f t="shared" si="336"/>
        <v>#VALUE!</v>
      </c>
      <c r="FU123" s="672" t="e">
        <f t="shared" si="336"/>
        <v>#VALUE!</v>
      </c>
      <c r="FV123" s="672" t="e">
        <f t="shared" si="336"/>
        <v>#VALUE!</v>
      </c>
      <c r="FW123" s="672" t="e">
        <f t="shared" si="336"/>
        <v>#VALUE!</v>
      </c>
      <c r="FX123" s="672" t="e">
        <f t="shared" si="336"/>
        <v>#VALUE!</v>
      </c>
      <c r="FY123" s="676" t="e">
        <f t="shared" si="336"/>
        <v>#VALUE!</v>
      </c>
      <c r="FZ123" s="688" t="e">
        <f t="shared" si="336"/>
        <v>#DIV/0!</v>
      </c>
      <c r="GA123" s="1538" t="e">
        <f t="shared" si="336"/>
        <v>#DIV/0!</v>
      </c>
      <c r="GB123" s="1539" t="e">
        <f t="shared" si="336"/>
        <v>#DIV/0!</v>
      </c>
      <c r="GC123" s="672" t="e">
        <f t="shared" si="336"/>
        <v>#DIV/0!</v>
      </c>
      <c r="GD123" s="619" t="e">
        <f t="shared" si="336"/>
        <v>#DIV/0!</v>
      </c>
      <c r="GE123" s="619" t="s">
        <v>93</v>
      </c>
      <c r="GF123" s="38" t="s">
        <v>93</v>
      </c>
      <c r="GG123" s="672" t="e">
        <f t="shared" ref="GG123" si="337">GG122/GG121*100</f>
        <v>#DIV/0!</v>
      </c>
      <c r="GH123" s="619" t="e">
        <f t="shared" ref="GH123:GV123" si="338">GH122/GH121*100</f>
        <v>#DIV/0!</v>
      </c>
      <c r="GI123" s="675" t="e">
        <f t="shared" si="338"/>
        <v>#VALUE!</v>
      </c>
      <c r="GJ123" s="672" t="e">
        <f t="shared" si="338"/>
        <v>#VALUE!</v>
      </c>
      <c r="GK123" s="672" t="e">
        <f t="shared" si="338"/>
        <v>#REF!</v>
      </c>
      <c r="GL123" s="675" t="e">
        <f t="shared" si="338"/>
        <v>#VALUE!</v>
      </c>
      <c r="GM123" s="672" t="e">
        <f t="shared" si="338"/>
        <v>#VALUE!</v>
      </c>
      <c r="GN123" s="672" t="e">
        <f t="shared" si="338"/>
        <v>#VALUE!</v>
      </c>
      <c r="GO123" s="672" t="e">
        <f t="shared" si="338"/>
        <v>#VALUE!</v>
      </c>
      <c r="GP123" s="672" t="e">
        <f t="shared" si="338"/>
        <v>#VALUE!</v>
      </c>
      <c r="GQ123" s="676" t="e">
        <f t="shared" si="338"/>
        <v>#VALUE!</v>
      </c>
      <c r="GR123" s="688" t="e">
        <f t="shared" si="338"/>
        <v>#DIV/0!</v>
      </c>
      <c r="GS123" s="1538" t="e">
        <f t="shared" si="338"/>
        <v>#DIV/0!</v>
      </c>
      <c r="GT123" s="1539" t="e">
        <f t="shared" si="338"/>
        <v>#DIV/0!</v>
      </c>
      <c r="GU123" s="674" t="e">
        <f t="shared" si="338"/>
        <v>#DIV/0!</v>
      </c>
      <c r="GV123" s="619" t="e">
        <f t="shared" si="338"/>
        <v>#DIV/0!</v>
      </c>
      <c r="GW123" s="619" t="s">
        <v>93</v>
      </c>
      <c r="GX123" s="38" t="s">
        <v>93</v>
      </c>
      <c r="GY123" s="672" t="e">
        <f t="shared" ref="GY123" si="339">GY122/GY121*100</f>
        <v>#DIV/0!</v>
      </c>
      <c r="GZ123" s="619" t="e">
        <f t="shared" ref="GZ123:HN123" si="340">GZ122/GZ121*100</f>
        <v>#DIV/0!</v>
      </c>
      <c r="HA123" s="675" t="e">
        <f t="shared" si="340"/>
        <v>#VALUE!</v>
      </c>
      <c r="HB123" s="672" t="e">
        <f t="shared" si="340"/>
        <v>#VALUE!</v>
      </c>
      <c r="HC123" s="672" t="e">
        <f t="shared" si="340"/>
        <v>#REF!</v>
      </c>
      <c r="HD123" s="675" t="e">
        <f t="shared" si="340"/>
        <v>#VALUE!</v>
      </c>
      <c r="HE123" s="672" t="e">
        <f t="shared" si="340"/>
        <v>#VALUE!</v>
      </c>
      <c r="HF123" s="672" t="e">
        <f t="shared" si="340"/>
        <v>#VALUE!</v>
      </c>
      <c r="HG123" s="672" t="e">
        <f t="shared" si="340"/>
        <v>#VALUE!</v>
      </c>
      <c r="HH123" s="672" t="e">
        <f t="shared" si="340"/>
        <v>#VALUE!</v>
      </c>
      <c r="HI123" s="676" t="e">
        <f t="shared" si="340"/>
        <v>#VALUE!</v>
      </c>
      <c r="HJ123" s="688" t="e">
        <f t="shared" si="340"/>
        <v>#DIV/0!</v>
      </c>
      <c r="HK123" s="1538" t="e">
        <f t="shared" si="340"/>
        <v>#DIV/0!</v>
      </c>
      <c r="HL123" s="1539" t="e">
        <f t="shared" si="340"/>
        <v>#DIV/0!</v>
      </c>
      <c r="HM123" s="672" t="e">
        <f t="shared" si="340"/>
        <v>#DIV/0!</v>
      </c>
      <c r="HN123" s="619" t="e">
        <f t="shared" si="340"/>
        <v>#DIV/0!</v>
      </c>
      <c r="HO123" s="619" t="s">
        <v>93</v>
      </c>
      <c r="HP123" s="38" t="s">
        <v>93</v>
      </c>
      <c r="HQ123" s="672" t="e">
        <f t="shared" ref="HQ123" si="341">HQ122/HQ121*100</f>
        <v>#DIV/0!</v>
      </c>
      <c r="HR123" s="619" t="e">
        <f t="shared" ref="HR123:IF123" si="342">HR122/HR121*100</f>
        <v>#DIV/0!</v>
      </c>
      <c r="HS123" s="675" t="e">
        <f t="shared" si="342"/>
        <v>#VALUE!</v>
      </c>
      <c r="HT123" s="672" t="e">
        <f t="shared" si="342"/>
        <v>#VALUE!</v>
      </c>
      <c r="HU123" s="672" t="e">
        <f t="shared" si="342"/>
        <v>#REF!</v>
      </c>
      <c r="HV123" s="675" t="e">
        <f t="shared" si="342"/>
        <v>#VALUE!</v>
      </c>
      <c r="HW123" s="672" t="e">
        <f t="shared" si="342"/>
        <v>#VALUE!</v>
      </c>
      <c r="HX123" s="672" t="e">
        <f t="shared" si="342"/>
        <v>#VALUE!</v>
      </c>
      <c r="HY123" s="672" t="e">
        <f t="shared" si="342"/>
        <v>#VALUE!</v>
      </c>
      <c r="HZ123" s="672" t="e">
        <f t="shared" si="342"/>
        <v>#VALUE!</v>
      </c>
      <c r="IA123" s="676" t="e">
        <f t="shared" si="342"/>
        <v>#VALUE!</v>
      </c>
      <c r="IB123" s="688" t="e">
        <f t="shared" si="342"/>
        <v>#DIV/0!</v>
      </c>
      <c r="IC123" s="1538" t="e">
        <f t="shared" si="342"/>
        <v>#DIV/0!</v>
      </c>
      <c r="ID123" s="1539" t="e">
        <f t="shared" si="342"/>
        <v>#DIV/0!</v>
      </c>
      <c r="IE123" s="672" t="e">
        <f t="shared" si="342"/>
        <v>#DIV/0!</v>
      </c>
      <c r="IF123" s="619" t="e">
        <f t="shared" si="342"/>
        <v>#DIV/0!</v>
      </c>
      <c r="IG123" s="619" t="s">
        <v>93</v>
      </c>
      <c r="IH123" s="38" t="s">
        <v>93</v>
      </c>
      <c r="II123" s="672" t="e">
        <f t="shared" ref="II123" si="343">II122/II121*100</f>
        <v>#DIV/0!</v>
      </c>
      <c r="IJ123" s="619" t="e">
        <f t="shared" ref="IJ123:IX123" si="344">IJ122/IJ121*100</f>
        <v>#DIV/0!</v>
      </c>
      <c r="IK123" s="675" t="e">
        <f t="shared" si="344"/>
        <v>#VALUE!</v>
      </c>
      <c r="IL123" s="672" t="e">
        <f t="shared" si="344"/>
        <v>#VALUE!</v>
      </c>
      <c r="IM123" s="672" t="e">
        <f t="shared" si="344"/>
        <v>#REF!</v>
      </c>
      <c r="IN123" s="675" t="e">
        <f t="shared" si="344"/>
        <v>#VALUE!</v>
      </c>
      <c r="IO123" s="672" t="e">
        <f t="shared" si="344"/>
        <v>#VALUE!</v>
      </c>
      <c r="IP123" s="672" t="e">
        <f t="shared" si="344"/>
        <v>#VALUE!</v>
      </c>
      <c r="IQ123" s="672" t="e">
        <f t="shared" si="344"/>
        <v>#VALUE!</v>
      </c>
      <c r="IR123" s="672" t="e">
        <f t="shared" si="344"/>
        <v>#VALUE!</v>
      </c>
      <c r="IS123" s="676" t="e">
        <f t="shared" si="344"/>
        <v>#VALUE!</v>
      </c>
      <c r="IT123" s="688" t="e">
        <f t="shared" si="344"/>
        <v>#DIV/0!</v>
      </c>
      <c r="IU123" s="1538" t="e">
        <f t="shared" si="344"/>
        <v>#DIV/0!</v>
      </c>
      <c r="IV123" s="1539" t="e">
        <f t="shared" si="344"/>
        <v>#DIV/0!</v>
      </c>
      <c r="IW123" s="672" t="e">
        <f t="shared" si="344"/>
        <v>#DIV/0!</v>
      </c>
      <c r="IX123" s="619" t="e">
        <f t="shared" si="344"/>
        <v>#DIV/0!</v>
      </c>
      <c r="IY123" s="619" t="s">
        <v>93</v>
      </c>
      <c r="IZ123" s="38" t="s">
        <v>93</v>
      </c>
      <c r="JA123" s="672" t="e">
        <f t="shared" ref="JA123" si="345">JA122/JA121*100</f>
        <v>#DIV/0!</v>
      </c>
      <c r="JB123" s="619" t="e">
        <f t="shared" ref="JB123:JP123" si="346">JB122/JB121*100</f>
        <v>#DIV/0!</v>
      </c>
      <c r="JC123" s="675" t="e">
        <f t="shared" si="346"/>
        <v>#VALUE!</v>
      </c>
      <c r="JD123" s="672" t="e">
        <f t="shared" si="346"/>
        <v>#VALUE!</v>
      </c>
      <c r="JE123" s="672" t="e">
        <f t="shared" si="346"/>
        <v>#REF!</v>
      </c>
      <c r="JF123" s="675" t="e">
        <f t="shared" si="346"/>
        <v>#VALUE!</v>
      </c>
      <c r="JG123" s="672" t="e">
        <f t="shared" si="346"/>
        <v>#VALUE!</v>
      </c>
      <c r="JH123" s="672" t="e">
        <f t="shared" si="346"/>
        <v>#VALUE!</v>
      </c>
      <c r="JI123" s="672" t="e">
        <f t="shared" si="346"/>
        <v>#VALUE!</v>
      </c>
      <c r="JJ123" s="672" t="e">
        <f t="shared" si="346"/>
        <v>#VALUE!</v>
      </c>
      <c r="JK123" s="676" t="e">
        <f t="shared" si="346"/>
        <v>#VALUE!</v>
      </c>
      <c r="JL123" s="688" t="e">
        <f t="shared" si="346"/>
        <v>#DIV/0!</v>
      </c>
      <c r="JM123" s="1538" t="e">
        <f t="shared" si="346"/>
        <v>#DIV/0!</v>
      </c>
      <c r="JN123" s="1539" t="e">
        <f t="shared" si="346"/>
        <v>#DIV/0!</v>
      </c>
      <c r="JO123" s="672" t="e">
        <f t="shared" si="346"/>
        <v>#DIV/0!</v>
      </c>
      <c r="JP123" s="619" t="e">
        <f t="shared" si="346"/>
        <v>#DIV/0!</v>
      </c>
      <c r="JQ123" s="619" t="s">
        <v>93</v>
      </c>
      <c r="JR123" s="38" t="s">
        <v>93</v>
      </c>
      <c r="JS123" s="672" t="e">
        <f t="shared" ref="JS123" si="347">JS122/JS121*100</f>
        <v>#DIV/0!</v>
      </c>
      <c r="JT123" s="619" t="e">
        <f t="shared" ref="JT123:KH123" si="348">JT122/JT121*100</f>
        <v>#DIV/0!</v>
      </c>
      <c r="JU123" s="675" t="e">
        <f t="shared" si="348"/>
        <v>#VALUE!</v>
      </c>
      <c r="JV123" s="672" t="e">
        <f t="shared" si="348"/>
        <v>#VALUE!</v>
      </c>
      <c r="JW123" s="672" t="e">
        <f t="shared" si="348"/>
        <v>#REF!</v>
      </c>
      <c r="JX123" s="675" t="e">
        <f t="shared" si="348"/>
        <v>#VALUE!</v>
      </c>
      <c r="JY123" s="672" t="e">
        <f t="shared" si="348"/>
        <v>#VALUE!</v>
      </c>
      <c r="JZ123" s="672" t="e">
        <f t="shared" si="348"/>
        <v>#VALUE!</v>
      </c>
      <c r="KA123" s="672" t="e">
        <f t="shared" si="348"/>
        <v>#VALUE!</v>
      </c>
      <c r="KB123" s="672" t="e">
        <f t="shared" si="348"/>
        <v>#VALUE!</v>
      </c>
      <c r="KC123" s="676" t="e">
        <f t="shared" si="348"/>
        <v>#VALUE!</v>
      </c>
      <c r="KD123" s="688" t="e">
        <f t="shared" si="348"/>
        <v>#DIV/0!</v>
      </c>
      <c r="KE123" s="1538" t="e">
        <f t="shared" si="348"/>
        <v>#DIV/0!</v>
      </c>
      <c r="KF123" s="1539" t="e">
        <f t="shared" si="348"/>
        <v>#DIV/0!</v>
      </c>
      <c r="KG123" s="672" t="e">
        <f t="shared" si="348"/>
        <v>#DIV/0!</v>
      </c>
      <c r="KH123" s="619" t="e">
        <f t="shared" si="348"/>
        <v>#DIV/0!</v>
      </c>
      <c r="KI123" s="619" t="s">
        <v>93</v>
      </c>
      <c r="KJ123" s="38" t="s">
        <v>93</v>
      </c>
      <c r="KK123" s="672" t="e">
        <f t="shared" ref="KK123" si="349">KK122/KK121*100</f>
        <v>#DIV/0!</v>
      </c>
      <c r="KL123" s="619" t="e">
        <f t="shared" ref="KL123:KZ123" si="350">KL122/KL121*100</f>
        <v>#DIV/0!</v>
      </c>
      <c r="KM123" s="675" t="e">
        <f t="shared" si="350"/>
        <v>#VALUE!</v>
      </c>
      <c r="KN123" s="672" t="e">
        <f t="shared" si="350"/>
        <v>#VALUE!</v>
      </c>
      <c r="KO123" s="672" t="e">
        <f t="shared" si="350"/>
        <v>#REF!</v>
      </c>
      <c r="KP123" s="675" t="e">
        <f t="shared" si="350"/>
        <v>#VALUE!</v>
      </c>
      <c r="KQ123" s="672" t="e">
        <f t="shared" si="350"/>
        <v>#VALUE!</v>
      </c>
      <c r="KR123" s="672" t="e">
        <f t="shared" si="350"/>
        <v>#VALUE!</v>
      </c>
      <c r="KS123" s="672" t="e">
        <f t="shared" si="350"/>
        <v>#VALUE!</v>
      </c>
      <c r="KT123" s="672" t="e">
        <f t="shared" si="350"/>
        <v>#VALUE!</v>
      </c>
      <c r="KU123" s="676" t="e">
        <f t="shared" si="350"/>
        <v>#VALUE!</v>
      </c>
      <c r="KV123" s="688" t="e">
        <f t="shared" si="350"/>
        <v>#DIV/0!</v>
      </c>
      <c r="KW123" s="1538" t="e">
        <f t="shared" si="350"/>
        <v>#DIV/0!</v>
      </c>
      <c r="KX123" s="1539" t="e">
        <f t="shared" si="350"/>
        <v>#DIV/0!</v>
      </c>
      <c r="KY123" s="672" t="e">
        <f t="shared" si="350"/>
        <v>#DIV/0!</v>
      </c>
      <c r="KZ123" s="619" t="e">
        <f t="shared" si="350"/>
        <v>#DIV/0!</v>
      </c>
      <c r="LA123" s="619" t="s">
        <v>93</v>
      </c>
      <c r="LB123" s="38" t="s">
        <v>93</v>
      </c>
      <c r="LC123" s="672" t="e">
        <f t="shared" ref="LC123" si="351">LC122/LC121*100</f>
        <v>#DIV/0!</v>
      </c>
      <c r="LD123" s="619" t="e">
        <f t="shared" ref="LD123:LR123" si="352">LD122/LD121*100</f>
        <v>#DIV/0!</v>
      </c>
      <c r="LE123" s="675" t="e">
        <f t="shared" si="352"/>
        <v>#VALUE!</v>
      </c>
      <c r="LF123" s="672" t="e">
        <f t="shared" si="352"/>
        <v>#VALUE!</v>
      </c>
      <c r="LG123" s="672" t="e">
        <f t="shared" si="352"/>
        <v>#REF!</v>
      </c>
      <c r="LH123" s="675" t="e">
        <f t="shared" si="352"/>
        <v>#VALUE!</v>
      </c>
      <c r="LI123" s="672" t="e">
        <f t="shared" si="352"/>
        <v>#VALUE!</v>
      </c>
      <c r="LJ123" s="672" t="e">
        <f t="shared" si="352"/>
        <v>#VALUE!</v>
      </c>
      <c r="LK123" s="672" t="e">
        <f t="shared" si="352"/>
        <v>#VALUE!</v>
      </c>
      <c r="LL123" s="672" t="e">
        <f t="shared" si="352"/>
        <v>#VALUE!</v>
      </c>
      <c r="LM123" s="676" t="e">
        <f t="shared" si="352"/>
        <v>#VALUE!</v>
      </c>
      <c r="LN123" s="688" t="e">
        <f t="shared" si="352"/>
        <v>#DIV/0!</v>
      </c>
      <c r="LO123" s="1538" t="e">
        <f t="shared" si="352"/>
        <v>#DIV/0!</v>
      </c>
      <c r="LP123" s="1539" t="e">
        <f t="shared" si="352"/>
        <v>#DIV/0!</v>
      </c>
      <c r="LQ123" s="672" t="e">
        <f t="shared" si="352"/>
        <v>#DIV/0!</v>
      </c>
      <c r="LR123" s="619" t="e">
        <f t="shared" si="352"/>
        <v>#DIV/0!</v>
      </c>
      <c r="LS123" s="619" t="s">
        <v>93</v>
      </c>
      <c r="LT123" s="38" t="s">
        <v>93</v>
      </c>
      <c r="LU123" s="672" t="e">
        <f t="shared" ref="LU123" si="353">LU122/LU121*100</f>
        <v>#DIV/0!</v>
      </c>
      <c r="LV123" s="619" t="e">
        <f t="shared" ref="LV123:MJ123" si="354">LV122/LV121*100</f>
        <v>#DIV/0!</v>
      </c>
      <c r="LW123" s="675" t="e">
        <f t="shared" si="354"/>
        <v>#VALUE!</v>
      </c>
      <c r="LX123" s="672" t="e">
        <f t="shared" si="354"/>
        <v>#VALUE!</v>
      </c>
      <c r="LY123" s="672" t="e">
        <f t="shared" si="354"/>
        <v>#REF!</v>
      </c>
      <c r="LZ123" s="675" t="e">
        <f t="shared" si="354"/>
        <v>#VALUE!</v>
      </c>
      <c r="MA123" s="672" t="e">
        <f t="shared" si="354"/>
        <v>#VALUE!</v>
      </c>
      <c r="MB123" s="672" t="e">
        <f t="shared" si="354"/>
        <v>#VALUE!</v>
      </c>
      <c r="MC123" s="672" t="e">
        <f t="shared" si="354"/>
        <v>#VALUE!</v>
      </c>
      <c r="MD123" s="672" t="e">
        <f t="shared" si="354"/>
        <v>#VALUE!</v>
      </c>
      <c r="ME123" s="676" t="e">
        <f t="shared" si="354"/>
        <v>#VALUE!</v>
      </c>
      <c r="MF123" s="688" t="e">
        <f t="shared" si="354"/>
        <v>#DIV/0!</v>
      </c>
      <c r="MG123" s="1538" t="e">
        <f t="shared" si="354"/>
        <v>#DIV/0!</v>
      </c>
      <c r="MH123" s="1539" t="e">
        <f t="shared" si="354"/>
        <v>#DIV/0!</v>
      </c>
      <c r="MI123" s="672" t="e">
        <f t="shared" si="354"/>
        <v>#DIV/0!</v>
      </c>
      <c r="MJ123" s="619" t="e">
        <f t="shared" si="354"/>
        <v>#DIV/0!</v>
      </c>
      <c r="MK123" s="619" t="s">
        <v>93</v>
      </c>
      <c r="ML123" s="38" t="s">
        <v>93</v>
      </c>
      <c r="MM123" s="672" t="e">
        <f t="shared" ref="MM123" si="355">MM122/MM121*100</f>
        <v>#DIV/0!</v>
      </c>
      <c r="MN123" s="619" t="e">
        <f t="shared" ref="MN123:NB123" si="356">MN122/MN121*100</f>
        <v>#DIV/0!</v>
      </c>
      <c r="MO123" s="675" t="e">
        <f t="shared" si="356"/>
        <v>#VALUE!</v>
      </c>
      <c r="MP123" s="672" t="e">
        <f t="shared" si="356"/>
        <v>#VALUE!</v>
      </c>
      <c r="MQ123" s="672" t="e">
        <f t="shared" si="356"/>
        <v>#REF!</v>
      </c>
      <c r="MR123" s="675" t="e">
        <f t="shared" si="356"/>
        <v>#VALUE!</v>
      </c>
      <c r="MS123" s="672" t="e">
        <f t="shared" si="356"/>
        <v>#VALUE!</v>
      </c>
      <c r="MT123" s="672" t="e">
        <f t="shared" si="356"/>
        <v>#VALUE!</v>
      </c>
      <c r="MU123" s="672" t="e">
        <f t="shared" si="356"/>
        <v>#VALUE!</v>
      </c>
      <c r="MV123" s="672" t="e">
        <f t="shared" si="356"/>
        <v>#VALUE!</v>
      </c>
      <c r="MW123" s="676" t="e">
        <f t="shared" si="356"/>
        <v>#VALUE!</v>
      </c>
      <c r="MX123" s="688" t="e">
        <f t="shared" si="356"/>
        <v>#DIV/0!</v>
      </c>
      <c r="MY123" s="1538" t="e">
        <f t="shared" si="356"/>
        <v>#DIV/0!</v>
      </c>
      <c r="MZ123" s="1539" t="e">
        <f t="shared" si="356"/>
        <v>#DIV/0!</v>
      </c>
      <c r="NA123" s="672" t="e">
        <f t="shared" si="356"/>
        <v>#DIV/0!</v>
      </c>
      <c r="NB123" s="619" t="e">
        <f t="shared" si="356"/>
        <v>#DIV/0!</v>
      </c>
      <c r="NC123" s="619" t="s">
        <v>93</v>
      </c>
      <c r="ND123" s="38" t="s">
        <v>93</v>
      </c>
      <c r="NE123" s="672" t="e">
        <f t="shared" ref="NE123" si="357">NE122/NE121*100</f>
        <v>#DIV/0!</v>
      </c>
      <c r="NF123" s="619" t="e">
        <f t="shared" ref="NF123:NT123" si="358">NF122/NF121*100</f>
        <v>#DIV/0!</v>
      </c>
      <c r="NG123" s="675" t="e">
        <f t="shared" si="358"/>
        <v>#VALUE!</v>
      </c>
      <c r="NH123" s="672" t="e">
        <f t="shared" si="358"/>
        <v>#VALUE!</v>
      </c>
      <c r="NI123" s="672" t="e">
        <f t="shared" si="358"/>
        <v>#REF!</v>
      </c>
      <c r="NJ123" s="675" t="e">
        <f t="shared" si="358"/>
        <v>#VALUE!</v>
      </c>
      <c r="NK123" s="672" t="e">
        <f t="shared" si="358"/>
        <v>#VALUE!</v>
      </c>
      <c r="NL123" s="672" t="e">
        <f t="shared" si="358"/>
        <v>#VALUE!</v>
      </c>
      <c r="NM123" s="672" t="e">
        <f t="shared" si="358"/>
        <v>#VALUE!</v>
      </c>
      <c r="NN123" s="672" t="e">
        <f t="shared" si="358"/>
        <v>#VALUE!</v>
      </c>
      <c r="NO123" s="676" t="e">
        <f t="shared" si="358"/>
        <v>#VALUE!</v>
      </c>
      <c r="NP123" s="688" t="e">
        <f t="shared" si="358"/>
        <v>#DIV/0!</v>
      </c>
      <c r="NQ123" s="1538" t="e">
        <f t="shared" si="358"/>
        <v>#DIV/0!</v>
      </c>
      <c r="NR123" s="1539" t="e">
        <f t="shared" si="358"/>
        <v>#DIV/0!</v>
      </c>
      <c r="NS123" s="672" t="e">
        <f t="shared" si="358"/>
        <v>#DIV/0!</v>
      </c>
      <c r="NT123" s="619" t="e">
        <f t="shared" si="358"/>
        <v>#DIV/0!</v>
      </c>
      <c r="NU123" s="619" t="s">
        <v>93</v>
      </c>
      <c r="NV123" s="38" t="s">
        <v>93</v>
      </c>
      <c r="NW123" s="672" t="e">
        <f t="shared" ref="NW123" si="359">NW122/NW121*100</f>
        <v>#DIV/0!</v>
      </c>
      <c r="NX123" s="619" t="e">
        <f t="shared" ref="NX123:OL123" si="360">NX122/NX121*100</f>
        <v>#DIV/0!</v>
      </c>
      <c r="NY123" s="675" t="e">
        <f t="shared" si="360"/>
        <v>#VALUE!</v>
      </c>
      <c r="NZ123" s="672" t="e">
        <f t="shared" si="360"/>
        <v>#VALUE!</v>
      </c>
      <c r="OA123" s="672" t="e">
        <f t="shared" si="360"/>
        <v>#REF!</v>
      </c>
      <c r="OB123" s="675" t="e">
        <f t="shared" si="360"/>
        <v>#VALUE!</v>
      </c>
      <c r="OC123" s="672" t="e">
        <f t="shared" si="360"/>
        <v>#VALUE!</v>
      </c>
      <c r="OD123" s="672" t="e">
        <f t="shared" si="360"/>
        <v>#VALUE!</v>
      </c>
      <c r="OE123" s="672" t="e">
        <f t="shared" si="360"/>
        <v>#VALUE!</v>
      </c>
      <c r="OF123" s="672" t="e">
        <f t="shared" si="360"/>
        <v>#VALUE!</v>
      </c>
      <c r="OG123" s="676" t="e">
        <f t="shared" si="360"/>
        <v>#VALUE!</v>
      </c>
      <c r="OH123" s="688" t="e">
        <f t="shared" si="360"/>
        <v>#DIV/0!</v>
      </c>
      <c r="OI123" s="1538" t="e">
        <f t="shared" si="360"/>
        <v>#DIV/0!</v>
      </c>
      <c r="OJ123" s="1539" t="e">
        <f t="shared" si="360"/>
        <v>#DIV/0!</v>
      </c>
      <c r="OK123" s="672" t="e">
        <f t="shared" si="360"/>
        <v>#DIV/0!</v>
      </c>
      <c r="OL123" s="619" t="e">
        <f t="shared" si="360"/>
        <v>#DIV/0!</v>
      </c>
      <c r="OM123" s="619" t="s">
        <v>93</v>
      </c>
      <c r="ON123" s="38" t="s">
        <v>93</v>
      </c>
      <c r="OO123" s="672" t="e">
        <f t="shared" ref="OO123" si="361">OO122/OO121*100</f>
        <v>#DIV/0!</v>
      </c>
      <c r="OP123" s="619" t="e">
        <f t="shared" ref="OP123:PD123" si="362">OP122/OP121*100</f>
        <v>#DIV/0!</v>
      </c>
      <c r="OQ123" s="675" t="e">
        <f t="shared" si="362"/>
        <v>#VALUE!</v>
      </c>
      <c r="OR123" s="672" t="e">
        <f t="shared" si="362"/>
        <v>#VALUE!</v>
      </c>
      <c r="OS123" s="672" t="e">
        <f t="shared" si="362"/>
        <v>#REF!</v>
      </c>
      <c r="OT123" s="675" t="e">
        <f t="shared" si="362"/>
        <v>#VALUE!</v>
      </c>
      <c r="OU123" s="672" t="e">
        <f t="shared" si="362"/>
        <v>#VALUE!</v>
      </c>
      <c r="OV123" s="672" t="e">
        <f t="shared" si="362"/>
        <v>#VALUE!</v>
      </c>
      <c r="OW123" s="672" t="e">
        <f t="shared" si="362"/>
        <v>#VALUE!</v>
      </c>
      <c r="OX123" s="672" t="e">
        <f t="shared" si="362"/>
        <v>#VALUE!</v>
      </c>
      <c r="OY123" s="676" t="e">
        <f t="shared" si="362"/>
        <v>#VALUE!</v>
      </c>
      <c r="OZ123" s="688" t="e">
        <f t="shared" si="362"/>
        <v>#DIV/0!</v>
      </c>
      <c r="PA123" s="1538" t="e">
        <f t="shared" si="362"/>
        <v>#DIV/0!</v>
      </c>
      <c r="PB123" s="1539" t="e">
        <f t="shared" si="362"/>
        <v>#DIV/0!</v>
      </c>
      <c r="PC123" s="672" t="e">
        <f t="shared" si="362"/>
        <v>#DIV/0!</v>
      </c>
      <c r="PD123" s="619" t="e">
        <f t="shared" si="362"/>
        <v>#DIV/0!</v>
      </c>
      <c r="PE123" s="619" t="s">
        <v>93</v>
      </c>
      <c r="PF123" s="38" t="s">
        <v>93</v>
      </c>
      <c r="PG123" s="672" t="e">
        <f t="shared" ref="PG123" si="363">PG122/PG121*100</f>
        <v>#DIV/0!</v>
      </c>
      <c r="PH123" s="619" t="e">
        <f t="shared" ref="PH123:PV123" si="364">PH122/PH121*100</f>
        <v>#DIV/0!</v>
      </c>
      <c r="PI123" s="675" t="e">
        <f t="shared" si="364"/>
        <v>#VALUE!</v>
      </c>
      <c r="PJ123" s="672" t="e">
        <f t="shared" si="364"/>
        <v>#VALUE!</v>
      </c>
      <c r="PK123" s="672" t="e">
        <f t="shared" si="364"/>
        <v>#REF!</v>
      </c>
      <c r="PL123" s="675" t="e">
        <f t="shared" si="364"/>
        <v>#VALUE!</v>
      </c>
      <c r="PM123" s="672" t="e">
        <f t="shared" si="364"/>
        <v>#VALUE!</v>
      </c>
      <c r="PN123" s="672" t="e">
        <f t="shared" si="364"/>
        <v>#VALUE!</v>
      </c>
      <c r="PO123" s="672" t="e">
        <f t="shared" si="364"/>
        <v>#VALUE!</v>
      </c>
      <c r="PP123" s="672" t="e">
        <f t="shared" si="364"/>
        <v>#VALUE!</v>
      </c>
      <c r="PQ123" s="676" t="e">
        <f t="shared" si="364"/>
        <v>#VALUE!</v>
      </c>
      <c r="PR123" s="688" t="e">
        <f t="shared" si="364"/>
        <v>#DIV/0!</v>
      </c>
      <c r="PS123" s="1538" t="e">
        <f t="shared" si="364"/>
        <v>#DIV/0!</v>
      </c>
      <c r="PT123" s="1539" t="e">
        <f t="shared" si="364"/>
        <v>#DIV/0!</v>
      </c>
      <c r="PU123" s="672" t="e">
        <f t="shared" si="364"/>
        <v>#DIV/0!</v>
      </c>
      <c r="PV123" s="619" t="e">
        <f t="shared" si="364"/>
        <v>#DIV/0!</v>
      </c>
      <c r="PW123" s="619" t="s">
        <v>93</v>
      </c>
      <c r="PX123" s="38" t="s">
        <v>93</v>
      </c>
      <c r="PY123" s="672" t="e">
        <f t="shared" ref="PY123" si="365">PY122/PY121*100</f>
        <v>#DIV/0!</v>
      </c>
      <c r="PZ123" s="619" t="e">
        <f t="shared" ref="PZ123:QN123" si="366">PZ122/PZ121*100</f>
        <v>#DIV/0!</v>
      </c>
      <c r="QA123" s="675" t="e">
        <f t="shared" si="366"/>
        <v>#VALUE!</v>
      </c>
      <c r="QB123" s="672" t="e">
        <f t="shared" si="366"/>
        <v>#VALUE!</v>
      </c>
      <c r="QC123" s="672" t="e">
        <f t="shared" si="366"/>
        <v>#REF!</v>
      </c>
      <c r="QD123" s="675" t="e">
        <f t="shared" si="366"/>
        <v>#VALUE!</v>
      </c>
      <c r="QE123" s="672" t="e">
        <f t="shared" si="366"/>
        <v>#VALUE!</v>
      </c>
      <c r="QF123" s="672" t="e">
        <f t="shared" si="366"/>
        <v>#VALUE!</v>
      </c>
      <c r="QG123" s="672" t="e">
        <f t="shared" si="366"/>
        <v>#VALUE!</v>
      </c>
      <c r="QH123" s="672" t="e">
        <f t="shared" si="366"/>
        <v>#VALUE!</v>
      </c>
      <c r="QI123" s="676" t="e">
        <f t="shared" si="366"/>
        <v>#VALUE!</v>
      </c>
      <c r="QJ123" s="688" t="e">
        <f t="shared" si="366"/>
        <v>#DIV/0!</v>
      </c>
      <c r="QK123" s="1538" t="e">
        <f t="shared" si="366"/>
        <v>#DIV/0!</v>
      </c>
      <c r="QL123" s="1539" t="e">
        <f t="shared" si="366"/>
        <v>#DIV/0!</v>
      </c>
      <c r="QM123" s="672" t="e">
        <f t="shared" si="366"/>
        <v>#DIV/0!</v>
      </c>
      <c r="QN123" s="619" t="e">
        <f t="shared" si="366"/>
        <v>#DIV/0!</v>
      </c>
      <c r="QO123" s="619" t="s">
        <v>93</v>
      </c>
      <c r="QP123" s="38" t="s">
        <v>93</v>
      </c>
      <c r="QQ123" s="672" t="e">
        <f t="shared" ref="QQ123" si="367">QQ122/QQ121*100</f>
        <v>#DIV/0!</v>
      </c>
      <c r="QR123" s="619" t="e">
        <f t="shared" ref="QR123:RF123" si="368">QR122/QR121*100</f>
        <v>#DIV/0!</v>
      </c>
      <c r="QS123" s="675" t="e">
        <f t="shared" si="368"/>
        <v>#VALUE!</v>
      </c>
      <c r="QT123" s="672" t="e">
        <f t="shared" si="368"/>
        <v>#VALUE!</v>
      </c>
      <c r="QU123" s="672" t="e">
        <f t="shared" si="368"/>
        <v>#REF!</v>
      </c>
      <c r="QV123" s="675" t="e">
        <f t="shared" si="368"/>
        <v>#VALUE!</v>
      </c>
      <c r="QW123" s="672" t="e">
        <f t="shared" si="368"/>
        <v>#VALUE!</v>
      </c>
      <c r="QX123" s="672" t="e">
        <f t="shared" si="368"/>
        <v>#VALUE!</v>
      </c>
      <c r="QY123" s="672" t="e">
        <f t="shared" si="368"/>
        <v>#VALUE!</v>
      </c>
      <c r="QZ123" s="672" t="e">
        <f t="shared" si="368"/>
        <v>#VALUE!</v>
      </c>
      <c r="RA123" s="676" t="e">
        <f t="shared" si="368"/>
        <v>#VALUE!</v>
      </c>
      <c r="RB123" s="688" t="e">
        <f t="shared" si="368"/>
        <v>#DIV/0!</v>
      </c>
      <c r="RC123" s="1538" t="e">
        <f t="shared" si="368"/>
        <v>#DIV/0!</v>
      </c>
      <c r="RD123" s="1539" t="e">
        <f t="shared" si="368"/>
        <v>#DIV/0!</v>
      </c>
      <c r="RE123" s="672" t="e">
        <f t="shared" si="368"/>
        <v>#DIV/0!</v>
      </c>
      <c r="RF123" s="619" t="e">
        <f t="shared" si="368"/>
        <v>#DIV/0!</v>
      </c>
      <c r="RG123" s="619" t="s">
        <v>93</v>
      </c>
      <c r="RH123" s="38" t="s">
        <v>93</v>
      </c>
      <c r="RI123" s="672" t="e">
        <f t="shared" ref="RI123" si="369">RI122/RI121*100</f>
        <v>#DIV/0!</v>
      </c>
      <c r="RJ123" s="619" t="e">
        <f t="shared" ref="RJ123:RX123" si="370">RJ122/RJ121*100</f>
        <v>#DIV/0!</v>
      </c>
      <c r="RK123" s="675" t="e">
        <f t="shared" si="370"/>
        <v>#VALUE!</v>
      </c>
      <c r="RL123" s="672" t="e">
        <f t="shared" si="370"/>
        <v>#VALUE!</v>
      </c>
      <c r="RM123" s="672" t="e">
        <f t="shared" si="370"/>
        <v>#REF!</v>
      </c>
      <c r="RN123" s="675" t="e">
        <f t="shared" si="370"/>
        <v>#VALUE!</v>
      </c>
      <c r="RO123" s="672" t="e">
        <f t="shared" si="370"/>
        <v>#VALUE!</v>
      </c>
      <c r="RP123" s="672" t="e">
        <f t="shared" si="370"/>
        <v>#VALUE!</v>
      </c>
      <c r="RQ123" s="672" t="e">
        <f t="shared" si="370"/>
        <v>#VALUE!</v>
      </c>
      <c r="RR123" s="672" t="e">
        <f t="shared" si="370"/>
        <v>#VALUE!</v>
      </c>
      <c r="RS123" s="676" t="e">
        <f t="shared" si="370"/>
        <v>#VALUE!</v>
      </c>
      <c r="RT123" s="688" t="e">
        <f t="shared" si="370"/>
        <v>#DIV/0!</v>
      </c>
      <c r="RU123" s="1538" t="e">
        <f t="shared" si="370"/>
        <v>#DIV/0!</v>
      </c>
      <c r="RV123" s="1539" t="e">
        <f t="shared" si="370"/>
        <v>#DIV/0!</v>
      </c>
      <c r="RW123" s="672" t="e">
        <f t="shared" si="370"/>
        <v>#DIV/0!</v>
      </c>
      <c r="RX123" s="619" t="e">
        <f t="shared" si="370"/>
        <v>#DIV/0!</v>
      </c>
      <c r="RY123" s="619" t="s">
        <v>93</v>
      </c>
      <c r="RZ123" s="38" t="s">
        <v>93</v>
      </c>
      <c r="SA123" s="672" t="e">
        <f t="shared" ref="SA123" si="371">SA122/SA121*100</f>
        <v>#DIV/0!</v>
      </c>
      <c r="SB123" s="619" t="e">
        <f t="shared" ref="SB123:SP123" si="372">SB122/SB121*100</f>
        <v>#DIV/0!</v>
      </c>
      <c r="SC123" s="675" t="e">
        <f t="shared" si="372"/>
        <v>#VALUE!</v>
      </c>
      <c r="SD123" s="672" t="e">
        <f t="shared" si="372"/>
        <v>#VALUE!</v>
      </c>
      <c r="SE123" s="672" t="e">
        <f t="shared" si="372"/>
        <v>#REF!</v>
      </c>
      <c r="SF123" s="675" t="e">
        <f t="shared" si="372"/>
        <v>#VALUE!</v>
      </c>
      <c r="SG123" s="672" t="e">
        <f t="shared" si="372"/>
        <v>#VALUE!</v>
      </c>
      <c r="SH123" s="672" t="e">
        <f t="shared" si="372"/>
        <v>#VALUE!</v>
      </c>
      <c r="SI123" s="672" t="e">
        <f t="shared" si="372"/>
        <v>#VALUE!</v>
      </c>
      <c r="SJ123" s="672" t="e">
        <f t="shared" si="372"/>
        <v>#VALUE!</v>
      </c>
      <c r="SK123" s="676" t="e">
        <f t="shared" si="372"/>
        <v>#VALUE!</v>
      </c>
      <c r="SL123" s="688" t="e">
        <f t="shared" si="372"/>
        <v>#DIV/0!</v>
      </c>
      <c r="SM123" s="1538" t="e">
        <f t="shared" si="372"/>
        <v>#DIV/0!</v>
      </c>
      <c r="SN123" s="1539" t="e">
        <f t="shared" si="372"/>
        <v>#DIV/0!</v>
      </c>
      <c r="SO123" s="672" t="e">
        <f t="shared" si="372"/>
        <v>#DIV/0!</v>
      </c>
      <c r="SP123" s="619" t="e">
        <f t="shared" si="372"/>
        <v>#DIV/0!</v>
      </c>
      <c r="SQ123" s="619" t="s">
        <v>93</v>
      </c>
      <c r="SR123" s="38" t="s">
        <v>93</v>
      </c>
      <c r="SS123" s="672" t="e">
        <f t="shared" ref="SS123" si="373">SS122/SS121*100</f>
        <v>#DIV/0!</v>
      </c>
      <c r="ST123" s="619" t="e">
        <f t="shared" ref="ST123:TH123" si="374">ST122/ST121*100</f>
        <v>#DIV/0!</v>
      </c>
      <c r="SU123" s="675" t="e">
        <f t="shared" si="374"/>
        <v>#VALUE!</v>
      </c>
      <c r="SV123" s="672" t="e">
        <f t="shared" si="374"/>
        <v>#VALUE!</v>
      </c>
      <c r="SW123" s="672" t="e">
        <f t="shared" si="374"/>
        <v>#REF!</v>
      </c>
      <c r="SX123" s="675" t="e">
        <f t="shared" si="374"/>
        <v>#VALUE!</v>
      </c>
      <c r="SY123" s="672" t="e">
        <f t="shared" si="374"/>
        <v>#VALUE!</v>
      </c>
      <c r="SZ123" s="672" t="e">
        <f t="shared" si="374"/>
        <v>#VALUE!</v>
      </c>
      <c r="TA123" s="672" t="e">
        <f t="shared" si="374"/>
        <v>#VALUE!</v>
      </c>
      <c r="TB123" s="672" t="e">
        <f t="shared" si="374"/>
        <v>#VALUE!</v>
      </c>
      <c r="TC123" s="676" t="e">
        <f t="shared" si="374"/>
        <v>#VALUE!</v>
      </c>
      <c r="TD123" s="688" t="e">
        <f t="shared" si="374"/>
        <v>#DIV/0!</v>
      </c>
      <c r="TE123" s="1538" t="e">
        <f t="shared" si="374"/>
        <v>#DIV/0!</v>
      </c>
      <c r="TF123" s="1539" t="e">
        <f t="shared" si="374"/>
        <v>#DIV/0!</v>
      </c>
      <c r="TG123" s="672" t="e">
        <f t="shared" si="374"/>
        <v>#DIV/0!</v>
      </c>
      <c r="TH123" s="619" t="e">
        <f t="shared" si="374"/>
        <v>#DIV/0!</v>
      </c>
      <c r="TI123" s="619" t="s">
        <v>93</v>
      </c>
      <c r="TJ123" s="38" t="s">
        <v>93</v>
      </c>
      <c r="TK123" s="672" t="e">
        <f t="shared" ref="TK123" si="375">TK122/TK121*100</f>
        <v>#DIV/0!</v>
      </c>
      <c r="TL123" s="619" t="e">
        <f t="shared" ref="TL123:TZ123" si="376">TL122/TL121*100</f>
        <v>#DIV/0!</v>
      </c>
      <c r="TM123" s="675" t="e">
        <f t="shared" si="376"/>
        <v>#VALUE!</v>
      </c>
      <c r="TN123" s="672" t="e">
        <f t="shared" si="376"/>
        <v>#VALUE!</v>
      </c>
      <c r="TO123" s="672" t="e">
        <f t="shared" si="376"/>
        <v>#REF!</v>
      </c>
      <c r="TP123" s="675" t="e">
        <f t="shared" si="376"/>
        <v>#VALUE!</v>
      </c>
      <c r="TQ123" s="672" t="e">
        <f t="shared" si="376"/>
        <v>#VALUE!</v>
      </c>
      <c r="TR123" s="672" t="e">
        <f t="shared" si="376"/>
        <v>#VALUE!</v>
      </c>
      <c r="TS123" s="672" t="e">
        <f t="shared" si="376"/>
        <v>#VALUE!</v>
      </c>
      <c r="TT123" s="672" t="e">
        <f t="shared" si="376"/>
        <v>#VALUE!</v>
      </c>
      <c r="TU123" s="676" t="e">
        <f t="shared" si="376"/>
        <v>#VALUE!</v>
      </c>
      <c r="TV123" s="688" t="e">
        <f t="shared" si="376"/>
        <v>#DIV/0!</v>
      </c>
      <c r="TW123" s="1538" t="e">
        <f t="shared" si="376"/>
        <v>#DIV/0!</v>
      </c>
      <c r="TX123" s="1539" t="e">
        <f t="shared" si="376"/>
        <v>#DIV/0!</v>
      </c>
      <c r="TY123" s="672" t="e">
        <f t="shared" si="376"/>
        <v>#DIV/0!</v>
      </c>
      <c r="TZ123" s="619" t="e">
        <f t="shared" si="376"/>
        <v>#DIV/0!</v>
      </c>
      <c r="UA123" s="619" t="s">
        <v>93</v>
      </c>
      <c r="UB123" s="38" t="s">
        <v>93</v>
      </c>
      <c r="UC123" s="672" t="e">
        <f t="shared" ref="UC123" si="377">UC122/UC121*100</f>
        <v>#DIV/0!</v>
      </c>
      <c r="UD123" s="619" t="e">
        <f t="shared" ref="UD123:UR123" si="378">UD122/UD121*100</f>
        <v>#DIV/0!</v>
      </c>
      <c r="UE123" s="675" t="e">
        <f t="shared" si="378"/>
        <v>#VALUE!</v>
      </c>
      <c r="UF123" s="672" t="e">
        <f t="shared" si="378"/>
        <v>#VALUE!</v>
      </c>
      <c r="UG123" s="672" t="e">
        <f t="shared" si="378"/>
        <v>#REF!</v>
      </c>
      <c r="UH123" s="675" t="e">
        <f t="shared" si="378"/>
        <v>#VALUE!</v>
      </c>
      <c r="UI123" s="672" t="e">
        <f t="shared" si="378"/>
        <v>#VALUE!</v>
      </c>
      <c r="UJ123" s="672" t="e">
        <f t="shared" si="378"/>
        <v>#VALUE!</v>
      </c>
      <c r="UK123" s="672" t="e">
        <f t="shared" si="378"/>
        <v>#VALUE!</v>
      </c>
      <c r="UL123" s="672" t="e">
        <f t="shared" si="378"/>
        <v>#VALUE!</v>
      </c>
      <c r="UM123" s="676" t="e">
        <f t="shared" si="378"/>
        <v>#VALUE!</v>
      </c>
      <c r="UN123" s="688" t="e">
        <f t="shared" si="378"/>
        <v>#DIV/0!</v>
      </c>
      <c r="UO123" s="1538" t="e">
        <f t="shared" si="378"/>
        <v>#DIV/0!</v>
      </c>
      <c r="UP123" s="1539" t="e">
        <f t="shared" si="378"/>
        <v>#DIV/0!</v>
      </c>
      <c r="UQ123" s="672" t="e">
        <f t="shared" si="378"/>
        <v>#DIV/0!</v>
      </c>
      <c r="UR123" s="619" t="e">
        <f t="shared" si="378"/>
        <v>#DIV/0!</v>
      </c>
      <c r="US123" s="619" t="s">
        <v>93</v>
      </c>
      <c r="UT123" s="38" t="s">
        <v>93</v>
      </c>
      <c r="UU123" s="672" t="e">
        <f t="shared" ref="UU123" si="379">UU122/UU121*100</f>
        <v>#DIV/0!</v>
      </c>
      <c r="UV123" s="619" t="e">
        <f t="shared" ref="UV123:VE123" si="380">UV122/UV121*100</f>
        <v>#DIV/0!</v>
      </c>
      <c r="UW123" s="675" t="e">
        <f t="shared" si="380"/>
        <v>#VALUE!</v>
      </c>
      <c r="UX123" s="672" t="e">
        <f t="shared" si="380"/>
        <v>#VALUE!</v>
      </c>
      <c r="UY123" s="672" t="e">
        <f t="shared" si="380"/>
        <v>#REF!</v>
      </c>
      <c r="UZ123" s="675" t="e">
        <f t="shared" si="380"/>
        <v>#VALUE!</v>
      </c>
      <c r="VA123" s="672" t="e">
        <f t="shared" si="380"/>
        <v>#VALUE!</v>
      </c>
      <c r="VB123" s="672" t="e">
        <f t="shared" si="380"/>
        <v>#VALUE!</v>
      </c>
      <c r="VC123" s="672" t="e">
        <f t="shared" si="380"/>
        <v>#VALUE!</v>
      </c>
      <c r="VD123" s="672" t="e">
        <f t="shared" si="380"/>
        <v>#VALUE!</v>
      </c>
      <c r="VE123" s="676" t="e">
        <f t="shared" si="380"/>
        <v>#VALUE!</v>
      </c>
    </row>
    <row r="124" spans="1:577" ht="15.75" thickBot="1" x14ac:dyDescent="0.3">
      <c r="A124" s="1541" t="s">
        <v>1059</v>
      </c>
      <c r="B124" s="699"/>
      <c r="C124" s="700"/>
      <c r="D124" s="700"/>
      <c r="E124" s="604"/>
      <c r="F124" s="700"/>
      <c r="G124" s="700"/>
      <c r="H124" s="700"/>
      <c r="I124" s="604"/>
      <c r="J124" s="700"/>
      <c r="K124" s="698"/>
      <c r="L124" s="604"/>
      <c r="M124" s="604"/>
      <c r="N124" s="697"/>
      <c r="O124" s="604"/>
      <c r="P124" s="19"/>
      <c r="Q124" s="19"/>
      <c r="R124" s="19"/>
      <c r="S124" s="607"/>
      <c r="T124" s="1535"/>
      <c r="U124" s="1535"/>
      <c r="V124" s="1536"/>
      <c r="W124" s="604"/>
      <c r="X124" s="700"/>
      <c r="Y124" s="700"/>
      <c r="Z124" s="700"/>
      <c r="AA124" s="604"/>
      <c r="AB124" s="700"/>
      <c r="AC124" s="698"/>
      <c r="AD124" s="604"/>
      <c r="AE124" s="604"/>
      <c r="AF124" s="697"/>
      <c r="AG124" s="604"/>
      <c r="AH124" s="604"/>
      <c r="AI124" s="604"/>
      <c r="AJ124" s="604"/>
      <c r="AK124" s="607"/>
      <c r="AL124" s="1535"/>
      <c r="AM124" s="1535"/>
      <c r="AN124" s="1536"/>
      <c r="AO124" s="604"/>
      <c r="AP124" s="700"/>
      <c r="AQ124" s="700"/>
      <c r="AR124" s="700"/>
      <c r="AS124" s="604"/>
      <c r="AT124" s="700"/>
      <c r="AU124" s="698"/>
      <c r="AV124" s="604"/>
      <c r="AW124" s="604"/>
      <c r="AX124" s="697"/>
      <c r="AY124" s="604"/>
      <c r="AZ124" s="604"/>
      <c r="BA124" s="604"/>
      <c r="BB124" s="604"/>
      <c r="BC124" s="607"/>
      <c r="BD124" s="699"/>
      <c r="BE124" s="1535"/>
      <c r="BF124" s="1536"/>
      <c r="BG124" s="604"/>
      <c r="BH124" s="700"/>
      <c r="BI124" s="700"/>
      <c r="BJ124" s="700"/>
      <c r="BK124" s="604"/>
      <c r="BL124" s="700"/>
      <c r="BM124" s="698"/>
      <c r="BN124" s="604"/>
      <c r="BO124" s="604"/>
      <c r="BP124" s="697"/>
      <c r="BQ124" s="604"/>
      <c r="BR124" s="604"/>
      <c r="BS124" s="604"/>
      <c r="BT124" s="604"/>
      <c r="BU124" s="607"/>
      <c r="BV124" s="699"/>
      <c r="BW124" s="1535"/>
      <c r="BX124" s="1536"/>
      <c r="BY124" s="604"/>
      <c r="BZ124" s="700"/>
      <c r="CA124" s="700"/>
      <c r="CB124" s="700"/>
      <c r="CC124" s="604"/>
      <c r="CD124" s="700"/>
      <c r="CE124" s="698"/>
      <c r="CF124" s="604"/>
      <c r="CG124" s="604"/>
      <c r="CH124" s="697"/>
      <c r="CI124" s="604"/>
      <c r="CJ124" s="604"/>
      <c r="CK124" s="604"/>
      <c r="CL124" s="604"/>
      <c r="CM124" s="607"/>
      <c r="CN124" s="699"/>
      <c r="CO124" s="1535"/>
      <c r="CP124" s="1536"/>
      <c r="CQ124" s="604"/>
      <c r="CR124" s="700"/>
      <c r="CS124" s="700"/>
      <c r="CT124" s="700"/>
      <c r="CU124" s="604"/>
      <c r="CV124" s="700"/>
      <c r="CW124" s="698"/>
      <c r="CX124" s="604"/>
      <c r="CY124" s="604"/>
      <c r="CZ124" s="697"/>
      <c r="DA124" s="604"/>
      <c r="DB124" s="604"/>
      <c r="DC124" s="604"/>
      <c r="DD124" s="604"/>
      <c r="DE124" s="607"/>
      <c r="DF124" s="699"/>
      <c r="DG124" s="1535"/>
      <c r="DH124" s="1536"/>
      <c r="DI124" s="604"/>
      <c r="DJ124" s="700"/>
      <c r="DK124" s="700"/>
      <c r="DL124" s="700"/>
      <c r="DM124" s="604"/>
      <c r="DN124" s="700"/>
      <c r="DO124" s="698"/>
      <c r="DP124" s="604"/>
      <c r="DQ124" s="604"/>
      <c r="DR124" s="697"/>
      <c r="DS124" s="604"/>
      <c r="DT124" s="604"/>
      <c r="DU124" s="604"/>
      <c r="DV124" s="604"/>
      <c r="DW124" s="607"/>
      <c r="DX124" s="699"/>
      <c r="DY124" s="1535"/>
      <c r="DZ124" s="1536"/>
      <c r="EA124" s="698"/>
      <c r="EB124" s="700"/>
      <c r="EC124" s="700"/>
      <c r="ED124" s="700"/>
      <c r="EE124" s="604"/>
      <c r="EF124" s="700"/>
      <c r="EG124" s="698"/>
      <c r="EH124" s="604"/>
      <c r="EI124" s="604"/>
      <c r="EJ124" s="697"/>
      <c r="EK124" s="604"/>
      <c r="EL124" s="604"/>
      <c r="EM124" s="604"/>
      <c r="EN124" s="604"/>
      <c r="EO124" s="607"/>
      <c r="EP124" s="699"/>
      <c r="EQ124" s="1535"/>
      <c r="ER124" s="1536"/>
      <c r="ES124" s="604"/>
      <c r="ET124" s="700"/>
      <c r="EU124" s="700"/>
      <c r="EV124" s="700"/>
      <c r="EW124" s="604"/>
      <c r="EX124" s="700"/>
      <c r="EY124" s="698"/>
      <c r="EZ124" s="604"/>
      <c r="FA124" s="604"/>
      <c r="FB124" s="697"/>
      <c r="FC124" s="604"/>
      <c r="FD124" s="604"/>
      <c r="FE124" s="604"/>
      <c r="FF124" s="604"/>
      <c r="FG124" s="607"/>
      <c r="FH124" s="699"/>
      <c r="FI124" s="1535"/>
      <c r="FJ124" s="1536"/>
      <c r="FK124" s="604"/>
      <c r="FL124" s="700"/>
      <c r="FM124" s="700"/>
      <c r="FN124" s="700"/>
      <c r="FO124" s="604"/>
      <c r="FP124" s="700"/>
      <c r="FQ124" s="698"/>
      <c r="FR124" s="604"/>
      <c r="FS124" s="604"/>
      <c r="FT124" s="697"/>
      <c r="FU124" s="604"/>
      <c r="FV124" s="604"/>
      <c r="FW124" s="604"/>
      <c r="FX124" s="604"/>
      <c r="FY124" s="607"/>
      <c r="FZ124" s="699"/>
      <c r="GA124" s="1535"/>
      <c r="GB124" s="1536"/>
      <c r="GC124" s="604"/>
      <c r="GD124" s="700"/>
      <c r="GE124" s="700"/>
      <c r="GF124" s="700"/>
      <c r="GG124" s="604"/>
      <c r="GH124" s="700"/>
      <c r="GI124" s="698"/>
      <c r="GJ124" s="604"/>
      <c r="GK124" s="604"/>
      <c r="GL124" s="697"/>
      <c r="GM124" s="604"/>
      <c r="GN124" s="604"/>
      <c r="GO124" s="604"/>
      <c r="GP124" s="604"/>
      <c r="GQ124" s="607"/>
      <c r="GR124" s="699"/>
      <c r="GS124" s="1535"/>
      <c r="GT124" s="1536"/>
      <c r="GU124" s="698"/>
      <c r="GV124" s="700"/>
      <c r="GW124" s="700"/>
      <c r="GX124" s="700"/>
      <c r="GY124" s="604"/>
      <c r="GZ124" s="700"/>
      <c r="HA124" s="698"/>
      <c r="HB124" s="604"/>
      <c r="HC124" s="604"/>
      <c r="HD124" s="697"/>
      <c r="HE124" s="604"/>
      <c r="HF124" s="604"/>
      <c r="HG124" s="604"/>
      <c r="HH124" s="604"/>
      <c r="HI124" s="607"/>
      <c r="HJ124" s="699"/>
      <c r="HK124" s="1535"/>
      <c r="HL124" s="1536"/>
      <c r="HM124" s="604"/>
      <c r="HN124" s="700"/>
      <c r="HO124" s="700"/>
      <c r="HP124" s="700"/>
      <c r="HQ124" s="604"/>
      <c r="HR124" s="700"/>
      <c r="HS124" s="698"/>
      <c r="HT124" s="604"/>
      <c r="HU124" s="604"/>
      <c r="HV124" s="697"/>
      <c r="HW124" s="604"/>
      <c r="HX124" s="604"/>
      <c r="HY124" s="604"/>
      <c r="HZ124" s="604"/>
      <c r="IA124" s="607"/>
      <c r="IB124" s="699"/>
      <c r="IC124" s="1535"/>
      <c r="ID124" s="1536"/>
      <c r="IE124" s="604"/>
      <c r="IF124" s="700"/>
      <c r="IG124" s="700"/>
      <c r="IH124" s="700"/>
      <c r="II124" s="604"/>
      <c r="IJ124" s="700"/>
      <c r="IK124" s="698"/>
      <c r="IL124" s="604"/>
      <c r="IM124" s="604"/>
      <c r="IN124" s="697"/>
      <c r="IO124" s="604"/>
      <c r="IP124" s="604"/>
      <c r="IQ124" s="604"/>
      <c r="IR124" s="604"/>
      <c r="IS124" s="607"/>
      <c r="IT124" s="699"/>
      <c r="IU124" s="1535"/>
      <c r="IV124" s="1536"/>
      <c r="IW124" s="604"/>
      <c r="IX124" s="700"/>
      <c r="IY124" s="700"/>
      <c r="IZ124" s="700"/>
      <c r="JA124" s="604"/>
      <c r="JB124" s="700"/>
      <c r="JC124" s="698"/>
      <c r="JD124" s="604"/>
      <c r="JE124" s="604"/>
      <c r="JF124" s="697"/>
      <c r="JG124" s="604"/>
      <c r="JH124" s="604"/>
      <c r="JI124" s="604"/>
      <c r="JJ124" s="604"/>
      <c r="JK124" s="607"/>
      <c r="JL124" s="699"/>
      <c r="JM124" s="1535"/>
      <c r="JN124" s="1536"/>
      <c r="JO124" s="604"/>
      <c r="JP124" s="700"/>
      <c r="JQ124" s="700"/>
      <c r="JR124" s="700"/>
      <c r="JS124" s="604"/>
      <c r="JT124" s="700"/>
      <c r="JU124" s="698"/>
      <c r="JV124" s="604"/>
      <c r="JW124" s="604"/>
      <c r="JX124" s="697"/>
      <c r="JY124" s="604"/>
      <c r="JZ124" s="604"/>
      <c r="KA124" s="604"/>
      <c r="KB124" s="604"/>
      <c r="KC124" s="607"/>
      <c r="KD124" s="699"/>
      <c r="KE124" s="1535"/>
      <c r="KF124" s="1536"/>
      <c r="KG124" s="604"/>
      <c r="KH124" s="700"/>
      <c r="KI124" s="700"/>
      <c r="KJ124" s="700"/>
      <c r="KK124" s="604"/>
      <c r="KL124" s="700"/>
      <c r="KM124" s="698"/>
      <c r="KN124" s="604"/>
      <c r="KO124" s="604"/>
      <c r="KP124" s="697"/>
      <c r="KQ124" s="604"/>
      <c r="KR124" s="604"/>
      <c r="KS124" s="604"/>
      <c r="KT124" s="604"/>
      <c r="KU124" s="607"/>
      <c r="KV124" s="699"/>
      <c r="KW124" s="1535"/>
      <c r="KX124" s="1536"/>
      <c r="KY124" s="604"/>
      <c r="KZ124" s="700"/>
      <c r="LA124" s="700"/>
      <c r="LB124" s="700"/>
      <c r="LC124" s="604"/>
      <c r="LD124" s="700"/>
      <c r="LE124" s="698"/>
      <c r="LF124" s="604"/>
      <c r="LG124" s="604"/>
      <c r="LH124" s="697"/>
      <c r="LI124" s="604"/>
      <c r="LJ124" s="604"/>
      <c r="LK124" s="604"/>
      <c r="LL124" s="604"/>
      <c r="LM124" s="607"/>
      <c r="LN124" s="699"/>
      <c r="LO124" s="1535"/>
      <c r="LP124" s="1536"/>
      <c r="LQ124" s="604"/>
      <c r="LR124" s="700"/>
      <c r="LS124" s="700"/>
      <c r="LT124" s="700"/>
      <c r="LU124" s="604"/>
      <c r="LV124" s="700"/>
      <c r="LW124" s="698"/>
      <c r="LX124" s="604"/>
      <c r="LY124" s="604"/>
      <c r="LZ124" s="697"/>
      <c r="MA124" s="604"/>
      <c r="MB124" s="604"/>
      <c r="MC124" s="604"/>
      <c r="MD124" s="604"/>
      <c r="ME124" s="607"/>
      <c r="MF124" s="699"/>
      <c r="MG124" s="1535"/>
      <c r="MH124" s="1536"/>
      <c r="MI124" s="604"/>
      <c r="MJ124" s="700"/>
      <c r="MK124" s="700"/>
      <c r="ML124" s="700"/>
      <c r="MM124" s="604"/>
      <c r="MN124" s="700"/>
      <c r="MO124" s="698"/>
      <c r="MP124" s="604"/>
      <c r="MQ124" s="604"/>
      <c r="MR124" s="697"/>
      <c r="MS124" s="604"/>
      <c r="MT124" s="604"/>
      <c r="MU124" s="604"/>
      <c r="MV124" s="604"/>
      <c r="MW124" s="607"/>
      <c r="MX124" s="699"/>
      <c r="MY124" s="1535"/>
      <c r="MZ124" s="1536"/>
      <c r="NA124" s="604"/>
      <c r="NB124" s="700"/>
      <c r="NC124" s="700"/>
      <c r="ND124" s="700"/>
      <c r="NE124" s="604"/>
      <c r="NF124" s="700"/>
      <c r="NG124" s="698"/>
      <c r="NH124" s="604"/>
      <c r="NI124" s="604"/>
      <c r="NJ124" s="697"/>
      <c r="NK124" s="604"/>
      <c r="NL124" s="604"/>
      <c r="NM124" s="604"/>
      <c r="NN124" s="604"/>
      <c r="NO124" s="607"/>
      <c r="NP124" s="699"/>
      <c r="NQ124" s="1535"/>
      <c r="NR124" s="1536"/>
      <c r="NS124" s="604"/>
      <c r="NT124" s="700"/>
      <c r="NU124" s="700"/>
      <c r="NV124" s="700"/>
      <c r="NW124" s="604"/>
      <c r="NX124" s="700"/>
      <c r="NY124" s="698"/>
      <c r="NZ124" s="604"/>
      <c r="OA124" s="604"/>
      <c r="OB124" s="697"/>
      <c r="OC124" s="604"/>
      <c r="OD124" s="604"/>
      <c r="OE124" s="604"/>
      <c r="OF124" s="604"/>
      <c r="OG124" s="607"/>
      <c r="OH124" s="699"/>
      <c r="OI124" s="1535"/>
      <c r="OJ124" s="1536"/>
      <c r="OK124" s="604"/>
      <c r="OL124" s="700"/>
      <c r="OM124" s="700"/>
      <c r="ON124" s="700"/>
      <c r="OO124" s="604"/>
      <c r="OP124" s="700"/>
      <c r="OQ124" s="698"/>
      <c r="OR124" s="604"/>
      <c r="OS124" s="604"/>
      <c r="OT124" s="697"/>
      <c r="OU124" s="604"/>
      <c r="OV124" s="604"/>
      <c r="OW124" s="604"/>
      <c r="OX124" s="604"/>
      <c r="OY124" s="607"/>
      <c r="OZ124" s="699"/>
      <c r="PA124" s="1535"/>
      <c r="PB124" s="1536"/>
      <c r="PC124" s="604"/>
      <c r="PD124" s="700"/>
      <c r="PE124" s="700"/>
      <c r="PF124" s="700"/>
      <c r="PG124" s="604"/>
      <c r="PH124" s="700"/>
      <c r="PI124" s="698"/>
      <c r="PJ124" s="604"/>
      <c r="PK124" s="604"/>
      <c r="PL124" s="697"/>
      <c r="PM124" s="604"/>
      <c r="PN124" s="604"/>
      <c r="PO124" s="604"/>
      <c r="PP124" s="604"/>
      <c r="PQ124" s="607"/>
      <c r="PR124" s="699"/>
      <c r="PS124" s="1535"/>
      <c r="PT124" s="1536"/>
      <c r="PU124" s="604"/>
      <c r="PV124" s="700"/>
      <c r="PW124" s="700"/>
      <c r="PX124" s="700"/>
      <c r="PY124" s="604"/>
      <c r="PZ124" s="700"/>
      <c r="QA124" s="698"/>
      <c r="QB124" s="604"/>
      <c r="QC124" s="604"/>
      <c r="QD124" s="697"/>
      <c r="QE124" s="604"/>
      <c r="QF124" s="604"/>
      <c r="QG124" s="604"/>
      <c r="QH124" s="604"/>
      <c r="QI124" s="607"/>
      <c r="QJ124" s="699"/>
      <c r="QK124" s="1535"/>
      <c r="QL124" s="1536"/>
      <c r="QM124" s="604"/>
      <c r="QN124" s="700"/>
      <c r="QO124" s="700"/>
      <c r="QP124" s="700"/>
      <c r="QQ124" s="604"/>
      <c r="QR124" s="700"/>
      <c r="QS124" s="698"/>
      <c r="QT124" s="604"/>
      <c r="QU124" s="604"/>
      <c r="QV124" s="697"/>
      <c r="QW124" s="604"/>
      <c r="QX124" s="604"/>
      <c r="QY124" s="604"/>
      <c r="QZ124" s="604"/>
      <c r="RA124" s="607"/>
      <c r="RB124" s="699"/>
      <c r="RC124" s="1535"/>
      <c r="RD124" s="1536"/>
      <c r="RE124" s="604"/>
      <c r="RF124" s="700"/>
      <c r="RG124" s="700"/>
      <c r="RH124" s="700"/>
      <c r="RI124" s="604"/>
      <c r="RJ124" s="700"/>
      <c r="RK124" s="698"/>
      <c r="RL124" s="604"/>
      <c r="RM124" s="604"/>
      <c r="RN124" s="697"/>
      <c r="RO124" s="604"/>
      <c r="RP124" s="604"/>
      <c r="RQ124" s="604"/>
      <c r="RR124" s="604"/>
      <c r="RS124" s="607"/>
      <c r="RT124" s="699"/>
      <c r="RU124" s="1535"/>
      <c r="RV124" s="1536"/>
      <c r="RW124" s="698"/>
      <c r="RX124" s="700"/>
      <c r="RY124" s="700"/>
      <c r="RZ124" s="700"/>
      <c r="SA124" s="604"/>
      <c r="SB124" s="700"/>
      <c r="SC124" s="698"/>
      <c r="SD124" s="604"/>
      <c r="SE124" s="604"/>
      <c r="SF124" s="697"/>
      <c r="SG124" s="604"/>
      <c r="SH124" s="604"/>
      <c r="SI124" s="604"/>
      <c r="SJ124" s="604"/>
      <c r="SK124" s="607"/>
      <c r="SL124" s="699"/>
      <c r="SM124" s="1535"/>
      <c r="SN124" s="1536"/>
      <c r="SO124" s="604"/>
      <c r="SP124" s="700"/>
      <c r="SQ124" s="700"/>
      <c r="SR124" s="700"/>
      <c r="SS124" s="604"/>
      <c r="ST124" s="700"/>
      <c r="SU124" s="698"/>
      <c r="SV124" s="604"/>
      <c r="SW124" s="604"/>
      <c r="SX124" s="697"/>
      <c r="SY124" s="604"/>
      <c r="SZ124" s="604"/>
      <c r="TA124" s="604"/>
      <c r="TB124" s="604"/>
      <c r="TC124" s="607"/>
      <c r="TD124" s="699"/>
      <c r="TE124" s="1535"/>
      <c r="TF124" s="1536"/>
      <c r="TG124" s="604"/>
      <c r="TH124" s="700"/>
      <c r="TI124" s="700"/>
      <c r="TJ124" s="700"/>
      <c r="TK124" s="604"/>
      <c r="TL124" s="700"/>
      <c r="TM124" s="698"/>
      <c r="TN124" s="604"/>
      <c r="TO124" s="604"/>
      <c r="TP124" s="697"/>
      <c r="TQ124" s="604"/>
      <c r="TR124" s="604"/>
      <c r="TS124" s="604"/>
      <c r="TT124" s="604"/>
      <c r="TU124" s="607"/>
      <c r="TV124" s="699"/>
      <c r="TW124" s="1535"/>
      <c r="TX124" s="1536"/>
      <c r="TY124" s="604"/>
      <c r="TZ124" s="700"/>
      <c r="UA124" s="700"/>
      <c r="UB124" s="700"/>
      <c r="UC124" s="604"/>
      <c r="UD124" s="700"/>
      <c r="UE124" s="698"/>
      <c r="UF124" s="604"/>
      <c r="UG124" s="604"/>
      <c r="UH124" s="697"/>
      <c r="UI124" s="604"/>
      <c r="UJ124" s="604"/>
      <c r="UK124" s="604"/>
      <c r="UL124" s="604"/>
      <c r="UM124" s="607"/>
      <c r="UN124" s="699"/>
      <c r="UO124" s="1535"/>
      <c r="UP124" s="1536"/>
      <c r="UQ124" s="604"/>
      <c r="UR124" s="700"/>
      <c r="US124" s="700"/>
      <c r="UT124" s="700"/>
      <c r="UU124" s="604"/>
      <c r="UV124" s="700"/>
      <c r="UW124" s="698"/>
      <c r="UX124" s="604"/>
      <c r="UY124" s="604"/>
      <c r="UZ124" s="697"/>
      <c r="VA124" s="604"/>
      <c r="VB124" s="604"/>
      <c r="VC124" s="604"/>
      <c r="VD124" s="604"/>
      <c r="VE124" s="607"/>
    </row>
    <row r="125" spans="1:577" x14ac:dyDescent="0.25">
      <c r="A125" s="2218">
        <v>150</v>
      </c>
      <c r="B125" s="2008">
        <v>19.899999999999999</v>
      </c>
      <c r="C125" s="2009">
        <v>52</v>
      </c>
      <c r="D125" s="2012">
        <v>1009.6</v>
      </c>
      <c r="E125" s="2010">
        <v>-8.7169999999999996E-9</v>
      </c>
      <c r="F125" s="667">
        <v>60</v>
      </c>
      <c r="G125" s="663">
        <v>44334</v>
      </c>
      <c r="H125" s="656" t="s">
        <v>1042</v>
      </c>
      <c r="I125" s="649">
        <f>IF(H125="Low",E125*$D$42,IF(H125="Med",E125*$D$43,IF(H125="High",E125*$D$44,"rango cal. out")))</f>
        <v>-8.725716999999999E-9</v>
      </c>
      <c r="J125" s="652">
        <f>((273.2+B125)*$F$33/((273.2+$F$32)*D125))</f>
        <v>0.99647575349812523</v>
      </c>
      <c r="K125" s="653">
        <f>I125/F125*J125*EXP(-LN(2)/10990*($F$96-G125))</f>
        <v>-1.4351534989756948E-10</v>
      </c>
      <c r="L125" s="599">
        <f>K125-AVERAGE(S102:S103)</f>
        <v>-1.4349153793019799E-10</v>
      </c>
      <c r="M125" s="599" t="e">
        <f>ABS(#REF!*L125*3600)</f>
        <v>#REF!</v>
      </c>
      <c r="N125" s="657">
        <f>ABS($B$34*L125*3600)</f>
        <v>1.301755232102756E-2</v>
      </c>
      <c r="O125" s="600">
        <f>N125*$C$87</f>
        <v>1.3017552321027561</v>
      </c>
      <c r="P125" s="599">
        <f>N125*$F$78</f>
        <v>1.5621062785233071E-2</v>
      </c>
      <c r="Q125" s="600">
        <f>N125*$F$83</f>
        <v>1.5751238308443348E-2</v>
      </c>
      <c r="R125" s="599">
        <f>N125*$F$80</f>
        <v>1.5751238308443348E-2</v>
      </c>
      <c r="S125" s="658">
        <f>N125*$F$79</f>
        <v>1.6271940401284449E-2</v>
      </c>
      <c r="T125" s="659"/>
      <c r="U125" s="660"/>
      <c r="V125" s="661"/>
      <c r="W125" s="651"/>
      <c r="X125" s="662"/>
      <c r="Y125" s="663"/>
      <c r="Z125" s="656"/>
      <c r="AA125" s="649" t="str">
        <f>IF(Z125="Low",W125*$D$42,IF(Z125="Med",W125*$D$43,IF(Z125="High",W125*$D$44,"rango cal. out")))</f>
        <v>rango cal. out</v>
      </c>
      <c r="AB125" s="652" t="e">
        <f>((273.2+T125)*$F$33/((273.2+$F$32)*V125))</f>
        <v>#DIV/0!</v>
      </c>
      <c r="AC125" s="653" t="e">
        <f>AA125/X125*AB125*EXP(-LN(2)/10990*($F$96-Y125))</f>
        <v>#VALUE!</v>
      </c>
      <c r="AD125" s="599" t="e">
        <f>AC125-AVERAGE(#REF!)</f>
        <v>#VALUE!</v>
      </c>
      <c r="AE125" s="599" t="e">
        <f>ABS(#REF!*AD125*3600)</f>
        <v>#REF!</v>
      </c>
      <c r="AF125" s="657" t="e">
        <f>ABS($B$34*AD125*3600)</f>
        <v>#VALUE!</v>
      </c>
      <c r="AG125" s="600" t="e">
        <f>AF125*$C$87</f>
        <v>#VALUE!</v>
      </c>
      <c r="AH125" s="599" t="e">
        <f>AF125*$F$78</f>
        <v>#VALUE!</v>
      </c>
      <c r="AI125" s="600" t="e">
        <f>AF125*$F$83</f>
        <v>#VALUE!</v>
      </c>
      <c r="AJ125" s="599" t="e">
        <f>AF125*$F$80</f>
        <v>#VALUE!</v>
      </c>
      <c r="AK125" s="658" t="e">
        <f>AF125*$F$79</f>
        <v>#VALUE!</v>
      </c>
      <c r="AL125" s="659"/>
      <c r="AM125" s="660"/>
      <c r="AN125" s="661"/>
      <c r="AO125" s="651"/>
      <c r="AP125" s="662"/>
      <c r="AQ125" s="663"/>
      <c r="AR125" s="656"/>
      <c r="AS125" s="649" t="str">
        <f>IF(AR125="Low",AO125*$D$42,IF(AR125="Med",AO125*$D$43,IF(AR125="High",AO125*$D$44,"rango cal. out")))</f>
        <v>rango cal. out</v>
      </c>
      <c r="AT125" s="652" t="e">
        <f>((273.2+AL125)*$F$33/((273.2+$F$32)*AN125))</f>
        <v>#DIV/0!</v>
      </c>
      <c r="AU125" s="653" t="e">
        <f>AS125/AP125*AT125*EXP(-LN(2)/10990*($F$96-AQ125))</f>
        <v>#VALUE!</v>
      </c>
      <c r="AV125" s="599" t="e">
        <f>AU125-AVERAGE(BC102:BC103)</f>
        <v>#VALUE!</v>
      </c>
      <c r="AW125" s="599" t="e">
        <f>ABS(#REF!*AV125*3600)</f>
        <v>#REF!</v>
      </c>
      <c r="AX125" s="657" t="e">
        <f>ABS($B$34*AV125*3600)</f>
        <v>#VALUE!</v>
      </c>
      <c r="AY125" s="600" t="e">
        <f>AX125*$C$87</f>
        <v>#VALUE!</v>
      </c>
      <c r="AZ125" s="599" t="e">
        <f>AX125*$F$78</f>
        <v>#VALUE!</v>
      </c>
      <c r="BA125" s="600" t="e">
        <f>AX125*$F$83</f>
        <v>#VALUE!</v>
      </c>
      <c r="BB125" s="599" t="e">
        <f>AX125*$F$80</f>
        <v>#VALUE!</v>
      </c>
      <c r="BC125" s="658" t="e">
        <f>AX125*$F$79</f>
        <v>#VALUE!</v>
      </c>
      <c r="BD125" s="2008">
        <v>19.8</v>
      </c>
      <c r="BE125" s="2016">
        <v>51</v>
      </c>
      <c r="BF125" s="2017">
        <v>1009.6</v>
      </c>
      <c r="BG125" s="2010">
        <v>-1.38E-9</v>
      </c>
      <c r="BH125" s="667">
        <v>60</v>
      </c>
      <c r="BI125" s="663">
        <v>44333</v>
      </c>
      <c r="BJ125" s="656" t="s">
        <v>268</v>
      </c>
      <c r="BK125" s="649">
        <f>IF(BJ125="Low",BG125*$D$42,IF(BJ125="Med",BG125*$D$43,IF(BJ125="High",BG125*$D$44,"rango cal. out")))</f>
        <v>-1.3841399999999999E-9</v>
      </c>
      <c r="BL125" s="652">
        <f>((273.2+BD125)*$F$33/((273.2+$F$32)*BF125))</f>
        <v>0.99613577541777798</v>
      </c>
      <c r="BM125" s="653">
        <f>BK125/BH125*BL125*EXP(-LN(2)/10990*($F$96-BI125))</f>
        <v>-2.2756300537915876E-11</v>
      </c>
      <c r="BN125" s="599">
        <f>BM125-AVERAGE(BU102:BU103)</f>
        <v>-2.2754955353807478E-11</v>
      </c>
      <c r="BO125" s="599" t="e">
        <f>ABS(#REF!*BN125*3600)</f>
        <v>#REF!</v>
      </c>
      <c r="BP125" s="657">
        <f>ABS($B$34*BN125*3600)</f>
        <v>2.0643295496974145E-3</v>
      </c>
      <c r="BQ125" s="600">
        <f>BP125*$C$87</f>
        <v>0.20643295496974146</v>
      </c>
      <c r="BR125" s="599">
        <f>BP125*$F$78</f>
        <v>2.4771954596368973E-3</v>
      </c>
      <c r="BS125" s="600">
        <f>BP125*$F$83</f>
        <v>2.4978387551338713E-3</v>
      </c>
      <c r="BT125" s="599">
        <f>BP125*$F$80</f>
        <v>2.4978387551338713E-3</v>
      </c>
      <c r="BU125" s="658">
        <f>BP125*$F$79</f>
        <v>2.5804119371217681E-3</v>
      </c>
      <c r="BV125" s="2008">
        <v>19.8</v>
      </c>
      <c r="BW125" s="2016">
        <v>51</v>
      </c>
      <c r="BX125" s="2017">
        <v>1009.7</v>
      </c>
      <c r="BY125" s="2010">
        <v>-6.5500000000000006E-11</v>
      </c>
      <c r="BZ125" s="667">
        <v>60</v>
      </c>
      <c r="CA125" s="663">
        <v>44334</v>
      </c>
      <c r="CB125" s="656" t="s">
        <v>268</v>
      </c>
      <c r="CC125" s="649">
        <f>IF(CB125="Low",BY125*$D$42,IF(CB125="Med",BY125*$D$43,IF(CB125="High",BY125*$D$44,"rango cal. out")))</f>
        <v>-6.5696499999999999E-11</v>
      </c>
      <c r="CD125" s="652">
        <f>((273.2+BV125)*$F$33/((273.2+$F$32)*BX125))</f>
        <v>0.99603711880933798</v>
      </c>
      <c r="CE125" s="653">
        <f>CC125/BZ125*CD125*EXP(-LN(2)/10990*($F$96-CA125))</f>
        <v>-1.0800609176312862E-12</v>
      </c>
      <c r="CF125" s="599">
        <f>CE125-AVERAGE(CM102:CM103)</f>
        <v>-1.0782594223961444E-12</v>
      </c>
      <c r="CG125" s="599" t="e">
        <f>ABS(#REF!*CF125*3600)</f>
        <v>#REF!</v>
      </c>
      <c r="CH125" s="657">
        <f>ABS($B$34*CF125*3600)</f>
        <v>9.7819694799778224E-5</v>
      </c>
      <c r="CI125" s="600">
        <f>CH125*$C$87</f>
        <v>9.7819694799778228E-3</v>
      </c>
      <c r="CJ125" s="599">
        <f>CH125*$F$78</f>
        <v>1.1738363375973386E-4</v>
      </c>
      <c r="CK125" s="600">
        <f>CH125*$F$83</f>
        <v>1.1836183070773165E-4</v>
      </c>
      <c r="CL125" s="599">
        <f>CH125*$F$80</f>
        <v>1.1836183070773165E-4</v>
      </c>
      <c r="CM125" s="658">
        <f>CH125*$F$79</f>
        <v>1.2227461849972278E-4</v>
      </c>
      <c r="CN125" s="2008">
        <v>19.8</v>
      </c>
      <c r="CO125" s="2016">
        <v>51</v>
      </c>
      <c r="CP125" s="2017">
        <v>1009.7</v>
      </c>
      <c r="CQ125" s="2010">
        <v>-3.209E-9</v>
      </c>
      <c r="CR125" s="667">
        <v>60</v>
      </c>
      <c r="CS125" s="663">
        <v>44334</v>
      </c>
      <c r="CT125" s="656" t="s">
        <v>268</v>
      </c>
      <c r="CU125" s="649">
        <f>IF(CT125="Low",CQ125*$D$42,IF(CT125="Med",CQ125*$D$43,IF(CT125="High",CQ125*$D$44,"rango cal. out")))</f>
        <v>-3.2186269999999995E-9</v>
      </c>
      <c r="CV125" s="652">
        <f>((273.2+CN125)*$F$33/((273.2+$F$32)*CP125))</f>
        <v>0.99603711880933798</v>
      </c>
      <c r="CW125" s="653">
        <f>CU125/CR125*CV125*EXP(-LN(2)/10990*($F$96-CS125))</f>
        <v>-5.2914740224103769E-11</v>
      </c>
      <c r="CX125" s="599">
        <f>CW125-AVERAGE(DE102:DE103)</f>
        <v>-5.2903452537398347E-11</v>
      </c>
      <c r="CY125" s="599" t="e">
        <f>ABS(#REF!*CX125*3600)</f>
        <v>#REF!</v>
      </c>
      <c r="CZ125" s="657">
        <f>ABS($B$34*CX125*3600)</f>
        <v>4.7994012141927781E-3</v>
      </c>
      <c r="DA125" s="600">
        <f>CZ125*$C$87</f>
        <v>0.47994012141927783</v>
      </c>
      <c r="DB125" s="599">
        <f>CZ125*$F$78</f>
        <v>5.7592814570313336E-3</v>
      </c>
      <c r="DC125" s="600">
        <f>CZ125*$F$83</f>
        <v>5.8072754691732616E-3</v>
      </c>
      <c r="DD125" s="599">
        <f>CZ125*$F$80</f>
        <v>5.8072754691732616E-3</v>
      </c>
      <c r="DE125" s="658">
        <f>CZ125*$F$79</f>
        <v>5.9992515177409722E-3</v>
      </c>
      <c r="DF125" s="664"/>
      <c r="DG125" s="660"/>
      <c r="DH125" s="661"/>
      <c r="DI125" s="651"/>
      <c r="DJ125" s="662"/>
      <c r="DK125" s="663"/>
      <c r="DL125" s="656" t="s">
        <v>268</v>
      </c>
      <c r="DM125" s="649">
        <f>IF(DL125="Low",DI125*$D$42,IF(DL125="Med",DI125*$D$43,IF(DL125="High",DI125*$D$44,"rango cal. out")))</f>
        <v>0</v>
      </c>
      <c r="DN125" s="652" t="e">
        <f>((273.2+DF125)*$F$33/((273.2+$F$32)*DH125))</f>
        <v>#DIV/0!</v>
      </c>
      <c r="DO125" s="653" t="e">
        <f>DM125/DJ125*DN125*EXP(-LN(2)/10990*($F$96-DK125))</f>
        <v>#DIV/0!</v>
      </c>
      <c r="DP125" s="599" t="e">
        <f>DO125-AVERAGE(DW102:DW103)</f>
        <v>#DIV/0!</v>
      </c>
      <c r="DQ125" s="599" t="e">
        <f>ABS(#REF!*DP125*3600)</f>
        <v>#REF!</v>
      </c>
      <c r="DR125" s="657" t="e">
        <f>ABS($B$34*DP125*3600)</f>
        <v>#DIV/0!</v>
      </c>
      <c r="DS125" s="600" t="e">
        <f>DR125*$C$87</f>
        <v>#DIV/0!</v>
      </c>
      <c r="DT125" s="599" t="e">
        <f>DR125*$F$78</f>
        <v>#DIV/0!</v>
      </c>
      <c r="DU125" s="600" t="e">
        <f>DR125*$F$83</f>
        <v>#DIV/0!</v>
      </c>
      <c r="DV125" s="599" t="e">
        <f>DR125*$F$80</f>
        <v>#DIV/0!</v>
      </c>
      <c r="DW125" s="658" t="e">
        <f>DR125*$F$79</f>
        <v>#DIV/0!</v>
      </c>
      <c r="DX125" s="664"/>
      <c r="DY125" s="660"/>
      <c r="DZ125" s="659"/>
      <c r="EA125" s="665"/>
      <c r="EB125" s="662"/>
      <c r="EC125" s="663"/>
      <c r="ED125" s="656"/>
      <c r="EE125" s="649" t="str">
        <f>IF(ED125="Low",EA125*$D$42,IF(ED125="Med",EA125*$D$43,IF(ED125="High",EA125*$D$44,"rango cal. out")))</f>
        <v>rango cal. out</v>
      </c>
      <c r="EF125" s="652" t="e">
        <f>((273.2+DX125)*$F$33/((273.2+$F$32)*DZ125))</f>
        <v>#DIV/0!</v>
      </c>
      <c r="EG125" s="653" t="e">
        <f>EE125/EB125*EF125*EXP(-LN(2)/10990*($F$96-EC125))</f>
        <v>#VALUE!</v>
      </c>
      <c r="EH125" s="599" t="e">
        <f>EG125-AVERAGE(EO102:EO103)</f>
        <v>#VALUE!</v>
      </c>
      <c r="EI125" s="599" t="e">
        <f>ABS(#REF!*EH125*3600)</f>
        <v>#REF!</v>
      </c>
      <c r="EJ125" s="657" t="e">
        <f>ABS($B$34*EH125*3600)</f>
        <v>#VALUE!</v>
      </c>
      <c r="EK125" s="600" t="e">
        <f>EJ125*$C$87</f>
        <v>#VALUE!</v>
      </c>
      <c r="EL125" s="599" t="e">
        <f>EJ125*$F$78</f>
        <v>#VALUE!</v>
      </c>
      <c r="EM125" s="600" t="e">
        <f>EJ125*$F$83</f>
        <v>#VALUE!</v>
      </c>
      <c r="EN125" s="599" t="e">
        <f>EJ125*$F$80</f>
        <v>#VALUE!</v>
      </c>
      <c r="EO125" s="658" t="e">
        <f>EJ125*$F$79</f>
        <v>#VALUE!</v>
      </c>
      <c r="EP125" s="2008">
        <v>19.8</v>
      </c>
      <c r="EQ125" s="2016">
        <v>51</v>
      </c>
      <c r="ER125" s="2017">
        <v>1009.8</v>
      </c>
      <c r="ES125" s="2010">
        <v>-9.9999999999999994E-12</v>
      </c>
      <c r="ET125" s="667">
        <v>60</v>
      </c>
      <c r="EU125" s="663">
        <v>44334</v>
      </c>
      <c r="EV125" s="656" t="s">
        <v>268</v>
      </c>
      <c r="EW125" s="649">
        <f>IF(EV125="Low",ES125*$D$42,IF(EV125="Med",ES125*$D$43,IF(EV125="High",ES125*$D$44,"rango cal. out")))</f>
        <v>-1.0029999999999998E-11</v>
      </c>
      <c r="EX125" s="652">
        <f>((273.2+EP125)*$F$33/((273.2+$F$32)*ER125))</f>
        <v>0.99593848174072963</v>
      </c>
      <c r="EY125" s="653">
        <f>EW125/ET125*EX125*EXP(-LN(2)/10990*($F$96-EU125))</f>
        <v>-1.6487846713389088E-13</v>
      </c>
      <c r="EZ125" s="599">
        <f>EY125-AVERAGE(FG102:FG103)</f>
        <v>-1.6595903094349061E-13</v>
      </c>
      <c r="FA125" s="599" t="e">
        <f>ABS(#REF!*EZ125*3600)</f>
        <v>#REF!</v>
      </c>
      <c r="FB125" s="657">
        <f>ABS($B$34*EZ125*3600)</f>
        <v>1.5055803287193469E-5</v>
      </c>
      <c r="FC125" s="600">
        <f>FB125*$C$87</f>
        <v>1.505580328719347E-3</v>
      </c>
      <c r="FD125" s="599">
        <f>FB125*$F$78</f>
        <v>1.8066963944632163E-5</v>
      </c>
      <c r="FE125" s="600">
        <f>FB125*$F$83</f>
        <v>1.8217521977504096E-5</v>
      </c>
      <c r="FF125" s="599">
        <f>FB125*$F$80</f>
        <v>1.8217521977504096E-5</v>
      </c>
      <c r="FG125" s="658">
        <f>FB125*$F$79</f>
        <v>1.8819754108991836E-5</v>
      </c>
      <c r="FH125" s="664"/>
      <c r="FI125" s="660"/>
      <c r="FJ125" s="661"/>
      <c r="FK125" s="651"/>
      <c r="FL125" s="662"/>
      <c r="FM125" s="663"/>
      <c r="FN125" s="656"/>
      <c r="FO125" s="649" t="str">
        <f>IF(FN125="Low",FK125*$D$42,IF(FN125="Med",FK125*$D$43,IF(FN125="High",FK125*$D$44,"rango cal. out")))</f>
        <v>rango cal. out</v>
      </c>
      <c r="FP125" s="652" t="e">
        <f>((273.2+FH125)*$F$33/((273.2+$F$32)*FJ125))</f>
        <v>#DIV/0!</v>
      </c>
      <c r="FQ125" s="653" t="e">
        <f>FO125/FL125*FP125*EXP(-LN(2)/10990*($F$96-FM125))</f>
        <v>#VALUE!</v>
      </c>
      <c r="FR125" s="599" t="e">
        <f>FQ125-AVERAGE(FY102:FY103)</f>
        <v>#VALUE!</v>
      </c>
      <c r="FS125" s="599" t="e">
        <f>ABS(#REF!*FR125*3600)</f>
        <v>#REF!</v>
      </c>
      <c r="FT125" s="657" t="e">
        <f>ABS($B$34*FR125*3600)</f>
        <v>#VALUE!</v>
      </c>
      <c r="FU125" s="600" t="e">
        <f>FT125*$C$87</f>
        <v>#VALUE!</v>
      </c>
      <c r="FV125" s="599" t="e">
        <f>FT125*$F$78</f>
        <v>#VALUE!</v>
      </c>
      <c r="FW125" s="600" t="e">
        <f>FT125*$F$83</f>
        <v>#VALUE!</v>
      </c>
      <c r="FX125" s="599" t="e">
        <f>FT125*$F$80</f>
        <v>#VALUE!</v>
      </c>
      <c r="FY125" s="658" t="e">
        <f>FT125*$F$79</f>
        <v>#VALUE!</v>
      </c>
      <c r="FZ125" s="664"/>
      <c r="GA125" s="660"/>
      <c r="GB125" s="661"/>
      <c r="GC125" s="651"/>
      <c r="GD125" s="662"/>
      <c r="GE125" s="663"/>
      <c r="GF125" s="656"/>
      <c r="GG125" s="649" t="str">
        <f>IF(GF125="Low",GC125*$D$42,IF(GF125="Med",GC125*$D$43,IF(GF125="High",GC125*$D$44,"rango cal. out")))</f>
        <v>rango cal. out</v>
      </c>
      <c r="GH125" s="652" t="e">
        <f>((273.2+FZ125)*$F$33/((273.2+$F$32)*GB125))</f>
        <v>#DIV/0!</v>
      </c>
      <c r="GI125" s="653" t="e">
        <f>GG125/GD125*GH125*EXP(-LN(2)/10990*($F$96-GE125))</f>
        <v>#VALUE!</v>
      </c>
      <c r="GJ125" s="599" t="e">
        <f>GI125-AVERAGE(GQ102:GQ103)</f>
        <v>#VALUE!</v>
      </c>
      <c r="GK125" s="599" t="e">
        <f>ABS(#REF!*GJ125*3600)</f>
        <v>#REF!</v>
      </c>
      <c r="GL125" s="657" t="e">
        <f>ABS($B$34*GJ125*3600)</f>
        <v>#VALUE!</v>
      </c>
      <c r="GM125" s="600" t="e">
        <f>GL125*$C$87</f>
        <v>#VALUE!</v>
      </c>
      <c r="GN125" s="599" t="e">
        <f>GL125*$F$78</f>
        <v>#VALUE!</v>
      </c>
      <c r="GO125" s="600" t="e">
        <f>GL125*$F$83</f>
        <v>#VALUE!</v>
      </c>
      <c r="GP125" s="599" t="e">
        <f>GL125*$F$80</f>
        <v>#VALUE!</v>
      </c>
      <c r="GQ125" s="658" t="e">
        <f>GL125*$F$79</f>
        <v>#VALUE!</v>
      </c>
      <c r="GR125" s="664"/>
      <c r="GS125" s="660"/>
      <c r="GT125" s="659"/>
      <c r="GU125" s="665"/>
      <c r="GV125" s="662"/>
      <c r="GW125" s="663"/>
      <c r="GX125" s="656"/>
      <c r="GY125" s="649" t="str">
        <f>IF(GX125="Low",GU125*$D$42,IF(GX125="Med",GU125*$D$43,IF(GX125="High",GU125*$D$44,"rango cal. out")))</f>
        <v>rango cal. out</v>
      </c>
      <c r="GZ125" s="652" t="e">
        <f>((273.2+GR125)*$F$33/((273.2+$F$32)*GT125))</f>
        <v>#DIV/0!</v>
      </c>
      <c r="HA125" s="653" t="e">
        <f>GY125/GV125*GZ125*EXP(-LN(2)/10990*($F$96-GW125))</f>
        <v>#VALUE!</v>
      </c>
      <c r="HB125" s="599" t="e">
        <f>HA125-AVERAGE(HI102:HI103)</f>
        <v>#VALUE!</v>
      </c>
      <c r="HC125" s="599" t="e">
        <f>ABS(#REF!*HB125*3600)</f>
        <v>#REF!</v>
      </c>
      <c r="HD125" s="657" t="e">
        <f>ABS($B$34*HB125*3600)</f>
        <v>#VALUE!</v>
      </c>
      <c r="HE125" s="600" t="e">
        <f>HD125*$C$87</f>
        <v>#VALUE!</v>
      </c>
      <c r="HF125" s="599" t="e">
        <f>HD125*$F$78</f>
        <v>#VALUE!</v>
      </c>
      <c r="HG125" s="600" t="e">
        <f>HD125*$F$83</f>
        <v>#VALUE!</v>
      </c>
      <c r="HH125" s="599" t="e">
        <f>HD125*$F$80</f>
        <v>#VALUE!</v>
      </c>
      <c r="HI125" s="658" t="e">
        <f>HD125*$F$79</f>
        <v>#VALUE!</v>
      </c>
      <c r="HJ125" s="664"/>
      <c r="HK125" s="660"/>
      <c r="HL125" s="661"/>
      <c r="HM125" s="651"/>
      <c r="HN125" s="662"/>
      <c r="HO125" s="663"/>
      <c r="HP125" s="656"/>
      <c r="HQ125" s="649" t="str">
        <f>IF(HP125="Low",HM125*$D$42,IF(HP125="Med",HM125*$D$43,IF(HP125="High",HM125*$D$44,"rango cal. out")))</f>
        <v>rango cal. out</v>
      </c>
      <c r="HR125" s="652" t="e">
        <f>((273.2+HJ125)*$F$33/((273.2+$F$32)*HL125))</f>
        <v>#DIV/0!</v>
      </c>
      <c r="HS125" s="653" t="e">
        <f>HQ125/HN125*HR125*EXP(-LN(2)/10990*($F$96-HO125))</f>
        <v>#VALUE!</v>
      </c>
      <c r="HT125" s="599" t="e">
        <f>HS125-AVERAGE(IA102:IA103)</f>
        <v>#VALUE!</v>
      </c>
      <c r="HU125" s="599" t="e">
        <f>ABS(#REF!*HT125*3600)</f>
        <v>#REF!</v>
      </c>
      <c r="HV125" s="657" t="e">
        <f>ABS($B$34*HT125*3600)</f>
        <v>#VALUE!</v>
      </c>
      <c r="HW125" s="600" t="e">
        <f>HV125*$C$87</f>
        <v>#VALUE!</v>
      </c>
      <c r="HX125" s="599" t="e">
        <f>HV125*$F$78</f>
        <v>#VALUE!</v>
      </c>
      <c r="HY125" s="600" t="e">
        <f>HV125*$F$83</f>
        <v>#VALUE!</v>
      </c>
      <c r="HZ125" s="599" t="e">
        <f>HV125*$F$80</f>
        <v>#VALUE!</v>
      </c>
      <c r="IA125" s="658" t="e">
        <f>HV125*$F$79</f>
        <v>#VALUE!</v>
      </c>
      <c r="IB125" s="664"/>
      <c r="IC125" s="660"/>
      <c r="ID125" s="661"/>
      <c r="IE125" s="651"/>
      <c r="IF125" s="662"/>
      <c r="IG125" s="663"/>
      <c r="IH125" s="656"/>
      <c r="II125" s="649" t="str">
        <f>IF(IH125="Low",IE125*$D$42,IF(IH125="Med",IE125*$D$43,IF(IH125="High",IE125*$D$44,"rango cal. out")))</f>
        <v>rango cal. out</v>
      </c>
      <c r="IJ125" s="652" t="e">
        <f>((273.2+IB125)*$F$33/((273.2+$F$32)*ID125))</f>
        <v>#DIV/0!</v>
      </c>
      <c r="IK125" s="653" t="e">
        <f>II125/IF125*IJ125*EXP(-LN(2)/10990*($F$96-IG125))</f>
        <v>#VALUE!</v>
      </c>
      <c r="IL125" s="599" t="e">
        <f>IK125-AVERAGE(IS102:IS103)</f>
        <v>#VALUE!</v>
      </c>
      <c r="IM125" s="599" t="e">
        <f>ABS(#REF!*IL125*3600)</f>
        <v>#REF!</v>
      </c>
      <c r="IN125" s="657" t="e">
        <f>ABS($B$34*IL125*3600)</f>
        <v>#VALUE!</v>
      </c>
      <c r="IO125" s="600" t="e">
        <f>IN125*$C$87</f>
        <v>#VALUE!</v>
      </c>
      <c r="IP125" s="599" t="e">
        <f>IN125*$F$78</f>
        <v>#VALUE!</v>
      </c>
      <c r="IQ125" s="600" t="e">
        <f>IN125*$F$83</f>
        <v>#VALUE!</v>
      </c>
      <c r="IR125" s="599" t="e">
        <f>IN125*$F$80</f>
        <v>#VALUE!</v>
      </c>
      <c r="IS125" s="658" t="e">
        <f>IN125*$F$79</f>
        <v>#VALUE!</v>
      </c>
      <c r="IT125" s="664"/>
      <c r="IU125" s="660"/>
      <c r="IV125" s="661"/>
      <c r="IW125" s="651"/>
      <c r="IX125" s="662"/>
      <c r="IY125" s="663"/>
      <c r="IZ125" s="656"/>
      <c r="JA125" s="649" t="str">
        <f>IF(IZ125="Low",IW125*$D$42,IF(IZ125="Med",IW125*$D$43,IF(IZ125="High",IW125*$D$44,"rango cal. out")))</f>
        <v>rango cal. out</v>
      </c>
      <c r="JB125" s="652" t="e">
        <f>((273.2+IT125)*$F$33/((273.2+$F$32)*IV125))</f>
        <v>#DIV/0!</v>
      </c>
      <c r="JC125" s="653" t="e">
        <f>JA125/IX125*JB125*EXP(-LN(2)/10990*($F$96-IY125))</f>
        <v>#VALUE!</v>
      </c>
      <c r="JD125" s="599" t="e">
        <f>JC125-AVERAGE(JK102:JK103)</f>
        <v>#VALUE!</v>
      </c>
      <c r="JE125" s="599" t="e">
        <f>ABS(#REF!*JD125*3600)</f>
        <v>#REF!</v>
      </c>
      <c r="JF125" s="657" t="e">
        <f>ABS($B$34*JD125*3600)</f>
        <v>#VALUE!</v>
      </c>
      <c r="JG125" s="600" t="e">
        <f>JF125*$C$87</f>
        <v>#VALUE!</v>
      </c>
      <c r="JH125" s="599" t="e">
        <f>JF125*$F$78</f>
        <v>#VALUE!</v>
      </c>
      <c r="JI125" s="600" t="e">
        <f>JF125*$F$83</f>
        <v>#VALUE!</v>
      </c>
      <c r="JJ125" s="599" t="e">
        <f>JF125*$F$80</f>
        <v>#VALUE!</v>
      </c>
      <c r="JK125" s="658" t="e">
        <f>JF125*$F$79</f>
        <v>#VALUE!</v>
      </c>
      <c r="JL125" s="664"/>
      <c r="JM125" s="660"/>
      <c r="JN125" s="661"/>
      <c r="JO125" s="651"/>
      <c r="JP125" s="662"/>
      <c r="JQ125" s="663"/>
      <c r="JR125" s="656"/>
      <c r="JS125" s="649" t="str">
        <f>IF(JR125="Low",JO125*$D$42,IF(JR125="Med",JO125*$D$43,IF(JR125="High",JO125*$D$44,"rango cal. out")))</f>
        <v>rango cal. out</v>
      </c>
      <c r="JT125" s="652" t="e">
        <f>((273.2+JL125)*$F$33/((273.2+$F$32)*JN125))</f>
        <v>#DIV/0!</v>
      </c>
      <c r="JU125" s="653" t="e">
        <f>JS125/JP125*JT125*EXP(-LN(2)/10990*($F$96-JQ125))</f>
        <v>#VALUE!</v>
      </c>
      <c r="JV125" s="599" t="e">
        <f>JU125-AVERAGE(KC102:KC103)</f>
        <v>#VALUE!</v>
      </c>
      <c r="JW125" s="599" t="e">
        <f>ABS(#REF!*JV125*3600)</f>
        <v>#REF!</v>
      </c>
      <c r="JX125" s="657" t="e">
        <f>ABS($B$34*JV125*3600)</f>
        <v>#VALUE!</v>
      </c>
      <c r="JY125" s="600" t="e">
        <f>JX125*$C$87</f>
        <v>#VALUE!</v>
      </c>
      <c r="JZ125" s="599" t="e">
        <f>JX125*$F$78</f>
        <v>#VALUE!</v>
      </c>
      <c r="KA125" s="600" t="e">
        <f>JX125*$F$83</f>
        <v>#VALUE!</v>
      </c>
      <c r="KB125" s="599" t="e">
        <f>JX125*$F$80</f>
        <v>#VALUE!</v>
      </c>
      <c r="KC125" s="658" t="e">
        <f>JX125*$F$79</f>
        <v>#VALUE!</v>
      </c>
      <c r="KD125" s="664"/>
      <c r="KE125" s="660"/>
      <c r="KF125" s="661"/>
      <c r="KG125" s="651"/>
      <c r="KH125" s="662"/>
      <c r="KI125" s="663"/>
      <c r="KJ125" s="656"/>
      <c r="KK125" s="649" t="str">
        <f>IF(KJ125="Low",KG125*$D$42,IF(KJ125="Med",KG125*$D$43,IF(KJ125="High",KG125*$D$44,"rango cal. out")))</f>
        <v>rango cal. out</v>
      </c>
      <c r="KL125" s="652" t="e">
        <f>((273.2+KD125)*$F$33/((273.2+$F$32)*KF125))</f>
        <v>#DIV/0!</v>
      </c>
      <c r="KM125" s="653" t="e">
        <f>KK125/KH125*KL125*EXP(-LN(2)/10990*($F$96-KI125))</f>
        <v>#VALUE!</v>
      </c>
      <c r="KN125" s="599" t="e">
        <f>KM125-AVERAGE(KU102:KU103)</f>
        <v>#VALUE!</v>
      </c>
      <c r="KO125" s="599" t="e">
        <f>ABS(#REF!*KN125*3600)</f>
        <v>#REF!</v>
      </c>
      <c r="KP125" s="657" t="e">
        <f>ABS($B$34*KN125*3600)</f>
        <v>#VALUE!</v>
      </c>
      <c r="KQ125" s="600" t="e">
        <f>KP125*$C$87</f>
        <v>#VALUE!</v>
      </c>
      <c r="KR125" s="599" t="e">
        <f>KP125*$F$78</f>
        <v>#VALUE!</v>
      </c>
      <c r="KS125" s="600" t="e">
        <f>KP125*$F$83</f>
        <v>#VALUE!</v>
      </c>
      <c r="KT125" s="599" t="e">
        <f>KP125*$F$80</f>
        <v>#VALUE!</v>
      </c>
      <c r="KU125" s="658" t="e">
        <f>KP125*$F$79</f>
        <v>#VALUE!</v>
      </c>
      <c r="KV125" s="664"/>
      <c r="KW125" s="660"/>
      <c r="KX125" s="661"/>
      <c r="KY125" s="651"/>
      <c r="KZ125" s="662"/>
      <c r="LA125" s="663"/>
      <c r="LB125" s="656"/>
      <c r="LC125" s="649" t="str">
        <f>IF(LB125="Low",KY125*$D$42,IF(LB125="Med",KY125*$D$43,IF(LB125="High",KY125*$D$44,"rango cal. out")))</f>
        <v>rango cal. out</v>
      </c>
      <c r="LD125" s="652" t="e">
        <f>((273.2+KV125)*$F$33/((273.2+$F$32)*KX125))</f>
        <v>#DIV/0!</v>
      </c>
      <c r="LE125" s="653" t="e">
        <f>LC125/KZ125*LD125*EXP(-LN(2)/10990*($F$96-LA125))</f>
        <v>#VALUE!</v>
      </c>
      <c r="LF125" s="599" t="e">
        <f>LE125-AVERAGE(LM102:LM103)</f>
        <v>#VALUE!</v>
      </c>
      <c r="LG125" s="599" t="e">
        <f>ABS(#REF!*LF125*3600)</f>
        <v>#REF!</v>
      </c>
      <c r="LH125" s="657" t="e">
        <f>ABS($B$34*LF125*3600)</f>
        <v>#VALUE!</v>
      </c>
      <c r="LI125" s="600" t="e">
        <f>LH125*$C$87</f>
        <v>#VALUE!</v>
      </c>
      <c r="LJ125" s="599" t="e">
        <f>LH125*$F$78</f>
        <v>#VALUE!</v>
      </c>
      <c r="LK125" s="600" t="e">
        <f>LH125*$F$83</f>
        <v>#VALUE!</v>
      </c>
      <c r="LL125" s="599" t="e">
        <f>LH125*$F$80</f>
        <v>#VALUE!</v>
      </c>
      <c r="LM125" s="658" t="e">
        <f>LH125*$F$79</f>
        <v>#VALUE!</v>
      </c>
      <c r="LN125" s="664"/>
      <c r="LO125" s="660"/>
      <c r="LP125" s="661"/>
      <c r="LQ125" s="651"/>
      <c r="LR125" s="662"/>
      <c r="LS125" s="663"/>
      <c r="LT125" s="656"/>
      <c r="LU125" s="649" t="str">
        <f>IF(LT125="Low",LQ125*$D$42,IF(LT125="Med",LQ125*$D$43,IF(LT125="High",LQ125*$D$44,"rango cal. out")))</f>
        <v>rango cal. out</v>
      </c>
      <c r="LV125" s="652" t="e">
        <f>((273.2+LN125)*$F$33/((273.2+$F$32)*LP125))</f>
        <v>#DIV/0!</v>
      </c>
      <c r="LW125" s="653" t="e">
        <f>LU125/LR125*LV125*EXP(-LN(2)/10990*($F$96-LS125))</f>
        <v>#VALUE!</v>
      </c>
      <c r="LX125" s="599" t="e">
        <f>LW125-AVERAGE(ME102:ME103)</f>
        <v>#VALUE!</v>
      </c>
      <c r="LY125" s="599" t="e">
        <f>ABS(#REF!*LX125*3600)</f>
        <v>#REF!</v>
      </c>
      <c r="LZ125" s="657" t="e">
        <f>ABS($B$34*LX125*3600)</f>
        <v>#VALUE!</v>
      </c>
      <c r="MA125" s="600" t="e">
        <f>LZ125*$C$87</f>
        <v>#VALUE!</v>
      </c>
      <c r="MB125" s="599" t="e">
        <f>LZ125*$F$78</f>
        <v>#VALUE!</v>
      </c>
      <c r="MC125" s="600" t="e">
        <f>LZ125*$F$83</f>
        <v>#VALUE!</v>
      </c>
      <c r="MD125" s="599" t="e">
        <f>LZ125*$F$80</f>
        <v>#VALUE!</v>
      </c>
      <c r="ME125" s="658" t="e">
        <f>LZ125*$F$79</f>
        <v>#VALUE!</v>
      </c>
      <c r="MF125" s="664"/>
      <c r="MG125" s="660"/>
      <c r="MH125" s="661"/>
      <c r="MI125" s="651"/>
      <c r="MJ125" s="662"/>
      <c r="MK125" s="663"/>
      <c r="ML125" s="656"/>
      <c r="MM125" s="649" t="str">
        <f>IF(ML125="Low",MI125*$D$42,IF(ML125="Med",MI125*$D$43,IF(ML125="High",MI125*$D$44,"rango cal. out")))</f>
        <v>rango cal. out</v>
      </c>
      <c r="MN125" s="652" t="e">
        <f>((273.2+MF125)*$F$33/((273.2+$F$32)*MH125))</f>
        <v>#DIV/0!</v>
      </c>
      <c r="MO125" s="653" t="e">
        <f>MM125/MJ125*MN125*EXP(-LN(2)/10990*($F$96-MK125))</f>
        <v>#VALUE!</v>
      </c>
      <c r="MP125" s="599" t="e">
        <f>MO125-AVERAGE(MW102:MW103)</f>
        <v>#VALUE!</v>
      </c>
      <c r="MQ125" s="599" t="e">
        <f>ABS(#REF!*MP125*3600)</f>
        <v>#REF!</v>
      </c>
      <c r="MR125" s="657" t="e">
        <f>ABS($B$34*MP125*3600)</f>
        <v>#VALUE!</v>
      </c>
      <c r="MS125" s="600" t="e">
        <f>MR125*$C$87</f>
        <v>#VALUE!</v>
      </c>
      <c r="MT125" s="599" t="e">
        <f>MR125*$F$78</f>
        <v>#VALUE!</v>
      </c>
      <c r="MU125" s="600" t="e">
        <f>MR125*$F$83</f>
        <v>#VALUE!</v>
      </c>
      <c r="MV125" s="599" t="e">
        <f>MR125*$F$80</f>
        <v>#VALUE!</v>
      </c>
      <c r="MW125" s="658" t="e">
        <f>MR125*$F$79</f>
        <v>#VALUE!</v>
      </c>
      <c r="MX125" s="664"/>
      <c r="MY125" s="660"/>
      <c r="MZ125" s="666"/>
      <c r="NA125" s="651"/>
      <c r="NB125" s="667"/>
      <c r="NC125" s="663"/>
      <c r="ND125" s="656"/>
      <c r="NE125" s="649" t="str">
        <f>IF(ND125="Low",NA125*$D$42,IF(ND125="Med",NA125*$D$43,IF(ND125="High",NA125*$D$44,"rango cal. out")))</f>
        <v>rango cal. out</v>
      </c>
      <c r="NF125" s="652" t="e">
        <f>((273.2+MX125)*$F$33/((273.2+$F$32)*MZ125))</f>
        <v>#DIV/0!</v>
      </c>
      <c r="NG125" s="653" t="e">
        <f>NE125/NB125*NF125*EXP(-LN(2)/10990*($F$96-NC125))</f>
        <v>#VALUE!</v>
      </c>
      <c r="NH125" s="599" t="e">
        <f>NG125-AVERAGE(NO102:NO103)</f>
        <v>#VALUE!</v>
      </c>
      <c r="NI125" s="599" t="e">
        <f>ABS(#REF!*NH125*3600)</f>
        <v>#REF!</v>
      </c>
      <c r="NJ125" s="657" t="e">
        <f>ABS($B$34*NH125*3600)</f>
        <v>#VALUE!</v>
      </c>
      <c r="NK125" s="600" t="e">
        <f>NJ125*$C$87</f>
        <v>#VALUE!</v>
      </c>
      <c r="NL125" s="599" t="e">
        <f>NJ125*$F$78</f>
        <v>#VALUE!</v>
      </c>
      <c r="NM125" s="600" t="e">
        <f>NJ125*$F$83</f>
        <v>#VALUE!</v>
      </c>
      <c r="NN125" s="599" t="e">
        <f>NJ125*$F$80</f>
        <v>#VALUE!</v>
      </c>
      <c r="NO125" s="658" t="e">
        <f>NJ125*$F$79</f>
        <v>#VALUE!</v>
      </c>
      <c r="NP125" s="2008">
        <v>20.5</v>
      </c>
      <c r="NQ125" s="2016">
        <v>53</v>
      </c>
      <c r="NR125" s="2020">
        <v>1007</v>
      </c>
      <c r="NS125" s="2010">
        <v>-1.06E-10</v>
      </c>
      <c r="NT125" s="662">
        <v>60</v>
      </c>
      <c r="NU125" s="663">
        <v>44334</v>
      </c>
      <c r="NV125" s="656" t="s">
        <v>268</v>
      </c>
      <c r="NW125" s="649">
        <f>IF(NV125="Low",NS125*$D$42,IF(NV125="Med",NS125*$D$43,IF(NV125="High",NS125*$D$44,"rango cal. out")))</f>
        <v>-1.0631799999999998E-10</v>
      </c>
      <c r="NX125" s="652">
        <f>((273.2+NP125)*$F$33/((273.2+$F$32)*NR125))</f>
        <v>1.001093715939642</v>
      </c>
      <c r="NY125" s="653">
        <f>NW125/NT125*NX125*EXP(-LN(2)/10990*($F$96-NU125))</f>
        <v>-1.7567583579679012E-12</v>
      </c>
      <c r="NZ125" s="599">
        <f>NY125-AVERAGE(OG102:OG103)</f>
        <v>-1.7575105190398597E-12</v>
      </c>
      <c r="OA125" s="599" t="e">
        <f>ABS(#REF!*NZ125*3600)</f>
        <v>#REF!</v>
      </c>
      <c r="OB125" s="657">
        <f>ABS($B$34*NZ125*3600)</f>
        <v>1.5944135428729605E-4</v>
      </c>
      <c r="OC125" s="600">
        <f>OB125*$C$87</f>
        <v>1.5944135428729606E-2</v>
      </c>
      <c r="OD125" s="599">
        <f>OB125*$F$78</f>
        <v>1.9132962514475525E-4</v>
      </c>
      <c r="OE125" s="600">
        <f>OB125*$F$83</f>
        <v>1.9292403868762821E-4</v>
      </c>
      <c r="OF125" s="599">
        <f>OB125*$F$80</f>
        <v>1.9292403868762821E-4</v>
      </c>
      <c r="OG125" s="658">
        <f>OB125*$F$79</f>
        <v>1.9930169285912007E-4</v>
      </c>
      <c r="OH125" s="664"/>
      <c r="OI125" s="660"/>
      <c r="OJ125" s="661"/>
      <c r="OK125" s="651"/>
      <c r="OL125" s="662"/>
      <c r="OM125" s="663"/>
      <c r="ON125" s="656"/>
      <c r="OO125" s="649" t="str">
        <f>IF(ON125="Low",OK125*$D$42,IF(ON125="Med",OK125*$D$43,IF(ON125="High",OK125*$D$44,"rango cal. out")))</f>
        <v>rango cal. out</v>
      </c>
      <c r="OP125" s="652" t="e">
        <f>((273.2+OH125)*$F$33/((273.2+$F$32)*OJ125))</f>
        <v>#DIV/0!</v>
      </c>
      <c r="OQ125" s="653" t="e">
        <f>OO125/OL125*OP125*EXP(-LN(2)/10990*($F$96-OM125))</f>
        <v>#VALUE!</v>
      </c>
      <c r="OR125" s="599" t="e">
        <f>OQ125-AVERAGE(OY102:OY103)</f>
        <v>#VALUE!</v>
      </c>
      <c r="OS125" s="599" t="e">
        <f>ABS(#REF!*OR125*3600)</f>
        <v>#REF!</v>
      </c>
      <c r="OT125" s="657" t="e">
        <f>ABS($B$34*OR125*3600)</f>
        <v>#VALUE!</v>
      </c>
      <c r="OU125" s="600" t="e">
        <f>OT125*$C$87</f>
        <v>#VALUE!</v>
      </c>
      <c r="OV125" s="599" t="e">
        <f>OT125*$F$78</f>
        <v>#VALUE!</v>
      </c>
      <c r="OW125" s="600" t="e">
        <f>OT125*$F$83</f>
        <v>#VALUE!</v>
      </c>
      <c r="OX125" s="599" t="e">
        <f>OT125*$F$80</f>
        <v>#VALUE!</v>
      </c>
      <c r="OY125" s="658" t="e">
        <f>OT125*$F$79</f>
        <v>#VALUE!</v>
      </c>
      <c r="OZ125" s="2008">
        <v>19.899999999999999</v>
      </c>
      <c r="PA125" s="2016">
        <v>52</v>
      </c>
      <c r="PB125" s="2020">
        <v>1009.6</v>
      </c>
      <c r="PC125" s="2010">
        <v>-2.3450000000000002E-10</v>
      </c>
      <c r="PD125" s="667">
        <v>60</v>
      </c>
      <c r="PE125" s="663">
        <v>44334</v>
      </c>
      <c r="PF125" s="656" t="s">
        <v>268</v>
      </c>
      <c r="PG125" s="649">
        <f>IF(PF125="Low",PC125*$D$42,IF(PF125="Med",PC125*$D$43,IF(PF125="High",PC125*$D$44,"rango cal. out")))</f>
        <v>-2.352035E-10</v>
      </c>
      <c r="PH125" s="652">
        <f>((273.2+OZ125)*$F$33/((273.2+$F$32)*PB125))</f>
        <v>0.99647575349812523</v>
      </c>
      <c r="PI125" s="653">
        <f>PG125/PD125*PH125*EXP(-LN(2)/10990*($F$96-PE125))</f>
        <v>-3.8684858332711221E-12</v>
      </c>
      <c r="PJ125" s="599">
        <f>PI125-AVERAGE(PQ102:PQ103)</f>
        <v>-3.8668126231746818E-12</v>
      </c>
      <c r="PK125" s="599" t="e">
        <f>ABS(#REF!*PJ125*3600)</f>
        <v>#REF!</v>
      </c>
      <c r="PL125" s="657">
        <f>ABS($B$34*PJ125*3600)</f>
        <v>3.5079724117440713E-4</v>
      </c>
      <c r="PM125" s="600">
        <f>PL125*$C$87</f>
        <v>3.507972411744071E-2</v>
      </c>
      <c r="PN125" s="599">
        <f>PL125*$F$78</f>
        <v>4.2095668940928855E-4</v>
      </c>
      <c r="PO125" s="600">
        <f>PL125*$F$83</f>
        <v>4.244646618210326E-4</v>
      </c>
      <c r="PP125" s="599">
        <f>PL125*$F$80</f>
        <v>4.244646618210326E-4</v>
      </c>
      <c r="PQ125" s="658">
        <f>PL125*$F$79</f>
        <v>4.3849655146800892E-4</v>
      </c>
      <c r="PR125" s="664"/>
      <c r="PS125" s="660"/>
      <c r="PT125" s="661"/>
      <c r="PU125" s="651"/>
      <c r="PV125" s="662"/>
      <c r="PW125" s="663"/>
      <c r="PX125" s="656"/>
      <c r="PY125" s="649" t="str">
        <f>IF(PX125="Low",PU125*$D$42,IF(PX125="Med",PU125*$D$43,IF(PX125="High",PU125*$D$44,"rango cal. out")))</f>
        <v>rango cal. out</v>
      </c>
      <c r="PZ125" s="652" t="e">
        <f>((273.2+PR125)*$F$33/((273.2+$F$32)*PT125))</f>
        <v>#DIV/0!</v>
      </c>
      <c r="QA125" s="653" t="e">
        <f>PY125/PV125*PZ125*EXP(-LN(2)/10990*($F$96-PW125))</f>
        <v>#VALUE!</v>
      </c>
      <c r="QB125" s="599" t="e">
        <f>QA125-AVERAGE(QI102:QI103)</f>
        <v>#VALUE!</v>
      </c>
      <c r="QC125" s="599" t="e">
        <f>ABS(#REF!*QB125*3600)</f>
        <v>#REF!</v>
      </c>
      <c r="QD125" s="657" t="e">
        <f>ABS($B$34*QB125*3600)</f>
        <v>#VALUE!</v>
      </c>
      <c r="QE125" s="600" t="e">
        <f>QD125*$C$87</f>
        <v>#VALUE!</v>
      </c>
      <c r="QF125" s="599" t="e">
        <f>QD125*$F$78</f>
        <v>#VALUE!</v>
      </c>
      <c r="QG125" s="600" t="e">
        <f>QD125*$F$83</f>
        <v>#VALUE!</v>
      </c>
      <c r="QH125" s="599" t="e">
        <f>QD125*$F$80</f>
        <v>#VALUE!</v>
      </c>
      <c r="QI125" s="658" t="e">
        <f>QD125*$F$79</f>
        <v>#VALUE!</v>
      </c>
      <c r="QJ125" s="664"/>
      <c r="QK125" s="660"/>
      <c r="QL125" s="661"/>
      <c r="QM125" s="651"/>
      <c r="QN125" s="662"/>
      <c r="QO125" s="663"/>
      <c r="QP125" s="656"/>
      <c r="QQ125" s="649" t="str">
        <f>IF(QP125="Low",QM125*$D$42,IF(QP125="Med",QM125*$D$43,IF(QP125="High",QM125*$D$44,"rango cal. out")))</f>
        <v>rango cal. out</v>
      </c>
      <c r="QR125" s="652" t="e">
        <f>((273.2+QJ125)*$F$33/((273.2+$F$32)*QL125))</f>
        <v>#DIV/0!</v>
      </c>
      <c r="QS125" s="653" t="e">
        <f>QQ125/QN125*QR125*EXP(-LN(2)/10990*($F$96-QO125))</f>
        <v>#VALUE!</v>
      </c>
      <c r="QT125" s="599" t="e">
        <f>QS125-AVERAGE(RA102:RA103)</f>
        <v>#VALUE!</v>
      </c>
      <c r="QU125" s="599" t="e">
        <f>ABS(#REF!*QT125*3600)</f>
        <v>#REF!</v>
      </c>
      <c r="QV125" s="657" t="e">
        <f>ABS($B$34*QT125*3600)</f>
        <v>#VALUE!</v>
      </c>
      <c r="QW125" s="600" t="e">
        <f>QV125*$C$87</f>
        <v>#VALUE!</v>
      </c>
      <c r="QX125" s="599" t="e">
        <f>QV125*$F$78</f>
        <v>#VALUE!</v>
      </c>
      <c r="QY125" s="600" t="e">
        <f>QV125*$F$83</f>
        <v>#VALUE!</v>
      </c>
      <c r="QZ125" s="599" t="e">
        <f>QV125*$F$80</f>
        <v>#VALUE!</v>
      </c>
      <c r="RA125" s="658" t="e">
        <f>QV125*$F$79</f>
        <v>#VALUE!</v>
      </c>
      <c r="RB125" s="664"/>
      <c r="RC125" s="660"/>
      <c r="RD125" s="666"/>
      <c r="RE125" s="651"/>
      <c r="RF125" s="667"/>
      <c r="RG125" s="663"/>
      <c r="RH125" s="656"/>
      <c r="RI125" s="649" t="str">
        <f>IF(RH125="Low",RE125*$D$42,IF(RH125="Med",RE125*$D$43,IF(RH125="High",RE125*$D$44,"rango cal. out")))</f>
        <v>rango cal. out</v>
      </c>
      <c r="RJ125" s="652" t="e">
        <f>((273.2+RB125)*$F$33/((273.2+$F$32)*RD125))</f>
        <v>#DIV/0!</v>
      </c>
      <c r="RK125" s="653" t="e">
        <f>RI125/RF125*RJ125*EXP(-LN(2)/10990*($F$96-RG125))</f>
        <v>#VALUE!</v>
      </c>
      <c r="RL125" s="599" t="e">
        <f>RK125-AVERAGE(RS102:RS103)</f>
        <v>#VALUE!</v>
      </c>
      <c r="RM125" s="599" t="e">
        <f>ABS(#REF!*RL125*3600)</f>
        <v>#REF!</v>
      </c>
      <c r="RN125" s="657" t="e">
        <f>ABS($B$34*RL125*3600)</f>
        <v>#VALUE!</v>
      </c>
      <c r="RO125" s="600" t="e">
        <f>RN125*$C$87</f>
        <v>#VALUE!</v>
      </c>
      <c r="RP125" s="599" t="e">
        <f>RN125*$F$78</f>
        <v>#VALUE!</v>
      </c>
      <c r="RQ125" s="600" t="e">
        <f>RN125*$F$83</f>
        <v>#VALUE!</v>
      </c>
      <c r="RR125" s="599" t="e">
        <f>RN125*$F$80</f>
        <v>#VALUE!</v>
      </c>
      <c r="RS125" s="658" t="e">
        <f>RN125*$F$79</f>
        <v>#VALUE!</v>
      </c>
      <c r="RT125" s="664"/>
      <c r="RU125" s="660"/>
      <c r="RV125" s="659"/>
      <c r="RW125" s="665"/>
      <c r="RX125" s="667"/>
      <c r="RY125" s="663"/>
      <c r="RZ125" s="656"/>
      <c r="SA125" s="649" t="str">
        <f>IF(RZ125="Low",RW125*$D$42,IF(RZ125="Med",RW125*$D$43,IF(RZ125="High",RW125*$D$44,"rango cal. out")))</f>
        <v>rango cal. out</v>
      </c>
      <c r="SB125" s="652" t="e">
        <f>((273.2+RT125)*$F$33/((273.2+$F$32)*RV125))</f>
        <v>#DIV/0!</v>
      </c>
      <c r="SC125" s="653" t="e">
        <f>SA125/RX125*SB125*EXP(-LN(2)/10990*($F$96-RY125))</f>
        <v>#VALUE!</v>
      </c>
      <c r="SD125" s="599" t="e">
        <f>SC125-AVERAGE(SK102:SK103)</f>
        <v>#VALUE!</v>
      </c>
      <c r="SE125" s="599" t="e">
        <f>ABS(#REF!*SD125*3600)</f>
        <v>#REF!</v>
      </c>
      <c r="SF125" s="657" t="e">
        <f>ABS($B$34*SD125*3600)</f>
        <v>#VALUE!</v>
      </c>
      <c r="SG125" s="600" t="e">
        <f>SF125*$C$87</f>
        <v>#VALUE!</v>
      </c>
      <c r="SH125" s="599" t="e">
        <f>SF125*$F$78</f>
        <v>#VALUE!</v>
      </c>
      <c r="SI125" s="600" t="e">
        <f>SF125*$F$83</f>
        <v>#VALUE!</v>
      </c>
      <c r="SJ125" s="599" t="e">
        <f>SF125*$F$80</f>
        <v>#VALUE!</v>
      </c>
      <c r="SK125" s="658" t="e">
        <f>SF125*$F$79</f>
        <v>#VALUE!</v>
      </c>
      <c r="SL125" s="2008">
        <v>19.899999999999999</v>
      </c>
      <c r="SM125" s="2016">
        <v>53</v>
      </c>
      <c r="SN125" s="2020">
        <v>1009.1</v>
      </c>
      <c r="SO125" s="2010">
        <v>-1.6500000000000001E-11</v>
      </c>
      <c r="SP125" s="2024">
        <v>60</v>
      </c>
      <c r="SQ125" s="663">
        <v>44334</v>
      </c>
      <c r="SR125" s="656" t="s">
        <v>268</v>
      </c>
      <c r="SS125" s="649">
        <f>IF(SR125="Low",SO125*$D$42,IF(SR125="Med",SO125*$D$43,IF(SR125="High",SO125*$D$44,"rango cal. out")))</f>
        <v>-1.6549499999999999E-11</v>
      </c>
      <c r="ST125" s="652">
        <f>((273.2+SL125)*$F$33/((273.2+$F$32)*SN125))</f>
        <v>0.99696949829720261</v>
      </c>
      <c r="SU125" s="653">
        <f>SS125/SP125*ST125*EXP(-LN(2)/10990*($F$96-SQ125))</f>
        <v>-2.7233110213037332E-13</v>
      </c>
      <c r="SV125" s="599">
        <f>SU125-AVERAGE(TC102:TC103)</f>
        <v>-2.7039842935634103E-13</v>
      </c>
      <c r="SW125" s="599" t="e">
        <f>ABS(#REF!*SV125*3600)</f>
        <v>#REF!</v>
      </c>
      <c r="SX125" s="657">
        <f>ABS($B$34*SV125*3600)</f>
        <v>2.4530545511207258E-5</v>
      </c>
      <c r="SY125" s="600">
        <f>SX125*$C$87</f>
        <v>2.453054551120726E-3</v>
      </c>
      <c r="SZ125" s="599">
        <f>SX125*$F$78</f>
        <v>2.9436654613448707E-5</v>
      </c>
      <c r="TA125" s="600">
        <f>SX125*$F$83</f>
        <v>2.9681960068560783E-5</v>
      </c>
      <c r="TB125" s="599">
        <f>SX125*$F$80</f>
        <v>2.9681960068560783E-5</v>
      </c>
      <c r="TC125" s="658">
        <f>SX125*$F$79</f>
        <v>3.066318188900907E-5</v>
      </c>
      <c r="TD125" s="2008">
        <v>19.899999999999999</v>
      </c>
      <c r="TE125" s="2016">
        <v>52</v>
      </c>
      <c r="TF125" s="2020">
        <v>1009.2</v>
      </c>
      <c r="TG125" s="2010">
        <v>-5.3249999999999997E-10</v>
      </c>
      <c r="TH125" s="667">
        <v>60</v>
      </c>
      <c r="TI125" s="663">
        <v>44334</v>
      </c>
      <c r="TJ125" s="656" t="s">
        <v>268</v>
      </c>
      <c r="TK125" s="649">
        <f>IF(TJ125="Low",TG125*$D$42,IF(TJ125="Med",TG125*$D$43,IF(TJ125="High",TG125*$D$44,"rango cal. out")))</f>
        <v>-5.3409749999999987E-10</v>
      </c>
      <c r="TL125" s="652">
        <f>((273.2+TD125)*$F$33/((273.2+$F$32)*TF125))</f>
        <v>0.99687071019788653</v>
      </c>
      <c r="TM125" s="653">
        <f>TK125/TH125*TL125*EXP(-LN(2)/10990*($F$96-TI125))</f>
        <v>-8.7879965122432405E-12</v>
      </c>
      <c r="TN125" s="599">
        <f>TM125-AVERAGE(TU102:TU103)</f>
        <v>-8.7876300690560359E-12</v>
      </c>
      <c r="TO125" s="599" t="e">
        <f>ABS(#REF!*TN125*3600)</f>
        <v>#REF!</v>
      </c>
      <c r="TP125" s="657">
        <f>ABS($B$34*TN125*3600)</f>
        <v>7.9721379986476357E-4</v>
      </c>
      <c r="TQ125" s="600">
        <f>TP125*$C$87</f>
        <v>7.9721379986476354E-2</v>
      </c>
      <c r="TR125" s="599">
        <f>TP125*$F$78</f>
        <v>9.5665655983771629E-4</v>
      </c>
      <c r="TS125" s="600">
        <f>TP125*$F$83</f>
        <v>9.6462869783636392E-4</v>
      </c>
      <c r="TT125" s="599">
        <f>TP125*$F$80</f>
        <v>9.6462869783636392E-4</v>
      </c>
      <c r="TU125" s="658">
        <f>TP125*$F$79</f>
        <v>9.9651724983095447E-4</v>
      </c>
      <c r="TV125" s="664"/>
      <c r="TW125" s="660"/>
      <c r="TX125" s="661"/>
      <c r="TY125" s="651"/>
      <c r="TZ125" s="662"/>
      <c r="UA125" s="663"/>
      <c r="UB125" s="656"/>
      <c r="UC125" s="649" t="str">
        <f>IF(UB125="Low",TY125*$D$42,IF(UB125="Med",TY125*$D$43,IF(UB125="High",TY125*$D$44,"rango cal. out")))</f>
        <v>rango cal. out</v>
      </c>
      <c r="UD125" s="652" t="e">
        <f>((273.2+TV125)*$F$33/((273.2+$F$32)*TX125))</f>
        <v>#DIV/0!</v>
      </c>
      <c r="UE125" s="653" t="e">
        <f>UC125/TZ125*UD125*EXP(-LN(2)/10990*($F$96-UA125))</f>
        <v>#VALUE!</v>
      </c>
      <c r="UF125" s="599" t="e">
        <f>UE125-AVERAGE(UM102:UM103)</f>
        <v>#VALUE!</v>
      </c>
      <c r="UG125" s="599" t="e">
        <f>ABS(#REF!*UF125*3600)</f>
        <v>#REF!</v>
      </c>
      <c r="UH125" s="657" t="e">
        <f>ABS($B$34*UF125*3600)</f>
        <v>#VALUE!</v>
      </c>
      <c r="UI125" s="600" t="e">
        <f>UH125*$C$87</f>
        <v>#VALUE!</v>
      </c>
      <c r="UJ125" s="599" t="e">
        <f>UH125*$F$78</f>
        <v>#VALUE!</v>
      </c>
      <c r="UK125" s="600" t="e">
        <f>UH125*$F$83</f>
        <v>#VALUE!</v>
      </c>
      <c r="UL125" s="599" t="e">
        <f>UH125*$F$80</f>
        <v>#VALUE!</v>
      </c>
      <c r="UM125" s="658" t="e">
        <f>UH125*$F$79</f>
        <v>#VALUE!</v>
      </c>
      <c r="UN125" s="2008">
        <v>19.899999999999999</v>
      </c>
      <c r="UO125" s="2016">
        <v>53</v>
      </c>
      <c r="UP125" s="2020">
        <v>1009.1</v>
      </c>
      <c r="UQ125" s="2010">
        <v>-3.1000000000000003E-11</v>
      </c>
      <c r="UR125" s="667">
        <v>60</v>
      </c>
      <c r="US125" s="663">
        <v>44334</v>
      </c>
      <c r="UT125" s="656" t="s">
        <v>268</v>
      </c>
      <c r="UU125" s="649">
        <f>IF(UT125="Low",UQ125*$D$42,IF(UT125="Med",UQ125*$D$43,IF(UT125="High",UQ125*$D$44,"rango cal. out")))</f>
        <v>-3.1092999999999999E-11</v>
      </c>
      <c r="UV125" s="652">
        <f>((273.2+UN125)*$F$33/((273.2+$F$32)*UP125))</f>
        <v>0.99696949829720261</v>
      </c>
      <c r="UW125" s="653">
        <f>UU125/UR125*UV125*EXP(-LN(2)/10990*($F$96-US125))</f>
        <v>-5.1165237369948922E-13</v>
      </c>
      <c r="UX125" s="599">
        <f>UW125-AVERAGE(VE102:VE103)</f>
        <v>-5.1148990061722448E-13</v>
      </c>
      <c r="UY125" s="599" t="e">
        <f>ABS(#REF!*UX125*3600)</f>
        <v>#REF!</v>
      </c>
      <c r="UZ125" s="657">
        <f>ABS($B$34*UX125*3600)</f>
        <v>4.6402363783994607E-5</v>
      </c>
      <c r="VA125" s="600">
        <f>UZ125*$C$87</f>
        <v>4.6402363783994609E-3</v>
      </c>
      <c r="VB125" s="599">
        <f>UZ125*$F$78</f>
        <v>5.5682836540793525E-5</v>
      </c>
      <c r="VC125" s="600">
        <f>UZ125*$F$83</f>
        <v>5.6146860178633475E-5</v>
      </c>
      <c r="VD125" s="599">
        <f>UZ125*$F$80</f>
        <v>5.6146860178633475E-5</v>
      </c>
      <c r="VE125" s="658">
        <f>UZ125*$F$79</f>
        <v>5.8002954729993256E-5</v>
      </c>
    </row>
    <row r="126" spans="1:577" x14ac:dyDescent="0.25">
      <c r="A126" s="2219"/>
      <c r="B126" s="668">
        <v>20.399999999999999</v>
      </c>
      <c r="C126" s="673">
        <v>52</v>
      </c>
      <c r="D126" s="678">
        <v>1010</v>
      </c>
      <c r="E126" s="2011">
        <v>-8.7199999999999997E-9</v>
      </c>
      <c r="F126" s="673">
        <v>60</v>
      </c>
      <c r="G126" s="663">
        <v>44334</v>
      </c>
      <c r="H126" s="650" t="s">
        <v>1042</v>
      </c>
      <c r="I126" s="671">
        <f>IF(H126="Low",E126*$D$42,IF(H126="Med",E126*$D$43,IF(H126="High",E126*$D$44,"rango cal. out")))</f>
        <v>-8.7287199999999984E-9</v>
      </c>
      <c r="J126" s="619">
        <f>((273.2+B126)*$F$33/((273.2+$F$32)*D126))</f>
        <v>0.99778032681316897</v>
      </c>
      <c r="K126" s="674">
        <f>I126/F126*J126*EXP(-LN(2)/10990*($F$96-G126))</f>
        <v>-1.4375269456085372E-10</v>
      </c>
      <c r="L126" s="599">
        <f>K126-AVERAGE(S102:S103)</f>
        <v>-1.4372888259348223E-10</v>
      </c>
      <c r="M126" s="672" t="e">
        <f>ABS(#REF!*L126*3600)</f>
        <v>#REF!</v>
      </c>
      <c r="N126" s="675">
        <f>ABS($B$34*L126*3600)</f>
        <v>1.3039084228880707E-2</v>
      </c>
      <c r="O126" s="614">
        <f>N126*$C$87</f>
        <v>1.3039084228880706</v>
      </c>
      <c r="P126" s="672">
        <f>N126*$F$78</f>
        <v>1.5646901074656848E-2</v>
      </c>
      <c r="Q126" s="600">
        <f>N126*$F$83</f>
        <v>1.5777291916945654E-2</v>
      </c>
      <c r="R126" s="672">
        <f>N126*$F$80</f>
        <v>1.5777291916945654E-2</v>
      </c>
      <c r="S126" s="676">
        <f>N126*$F$79</f>
        <v>1.6298855286100884E-2</v>
      </c>
      <c r="T126" s="677"/>
      <c r="U126" s="669"/>
      <c r="V126" s="670"/>
      <c r="W126" s="671"/>
      <c r="X126" s="678"/>
      <c r="Y126" s="650"/>
      <c r="Z126" s="650"/>
      <c r="AA126" s="671" t="str">
        <f>IF(Z126="Low",W126*$D$42,IF(Z126="Med",W126*$D$43,IF(Z126="High",W126*$D$44,"rango cal. out")))</f>
        <v>rango cal. out</v>
      </c>
      <c r="AB126" s="619" t="e">
        <f>((273.2+T126)*$F$33/((273.2+$F$32)*V126))</f>
        <v>#DIV/0!</v>
      </c>
      <c r="AC126" s="674" t="e">
        <f>AA126/X126*AB126*EXP(-LN(2)/10990*($F$96-Y126))</f>
        <v>#VALUE!</v>
      </c>
      <c r="AD126" s="599" t="e">
        <f>AC126-AVERAGE(#REF!)</f>
        <v>#VALUE!</v>
      </c>
      <c r="AE126" s="672" t="e">
        <f>ABS(#REF!*AD126*3600)</f>
        <v>#REF!</v>
      </c>
      <c r="AF126" s="675" t="e">
        <f>ABS($B$34*AD126*3600)</f>
        <v>#VALUE!</v>
      </c>
      <c r="AG126" s="614" t="e">
        <f>AF126*$C$87</f>
        <v>#VALUE!</v>
      </c>
      <c r="AH126" s="672" t="e">
        <f>AF126*$F$78</f>
        <v>#VALUE!</v>
      </c>
      <c r="AI126" s="600" t="e">
        <f>AF126*$F$83</f>
        <v>#VALUE!</v>
      </c>
      <c r="AJ126" s="672" t="e">
        <f>AF126*$F$80</f>
        <v>#VALUE!</v>
      </c>
      <c r="AK126" s="676" t="e">
        <f>AF126*$F$79</f>
        <v>#VALUE!</v>
      </c>
      <c r="AL126" s="677"/>
      <c r="AM126" s="669"/>
      <c r="AN126" s="670"/>
      <c r="AO126" s="671"/>
      <c r="AP126" s="678"/>
      <c r="AQ126" s="650"/>
      <c r="AR126" s="650"/>
      <c r="AS126" s="671" t="str">
        <f>IF(AR126="Low",AO126*$D$42,IF(AR126="Med",AO126*$D$43,IF(AR126="High",AO126*$D$44,"rango cal. out")))</f>
        <v>rango cal. out</v>
      </c>
      <c r="AT126" s="619" t="e">
        <f>((273.2+AL126)*$F$33/((273.2+$F$32)*AN126))</f>
        <v>#DIV/0!</v>
      </c>
      <c r="AU126" s="674" t="e">
        <f>AS126/AP126*AT126*EXP(-LN(2)/10990*($F$96-AQ126))</f>
        <v>#VALUE!</v>
      </c>
      <c r="AV126" s="599" t="e">
        <f>AU126-AVERAGE(BC102:BC103)</f>
        <v>#VALUE!</v>
      </c>
      <c r="AW126" s="672" t="e">
        <f>ABS(#REF!*AV126*3600)</f>
        <v>#REF!</v>
      </c>
      <c r="AX126" s="675" t="e">
        <f>ABS($B$34*AV126*3600)</f>
        <v>#VALUE!</v>
      </c>
      <c r="AY126" s="614" t="e">
        <f>AX126*$C$87</f>
        <v>#VALUE!</v>
      </c>
      <c r="AZ126" s="672" t="e">
        <f>AX126*$F$78</f>
        <v>#VALUE!</v>
      </c>
      <c r="BA126" s="600" t="e">
        <f>AX126*$F$83</f>
        <v>#VALUE!</v>
      </c>
      <c r="BB126" s="672" t="e">
        <f>AX126*$F$80</f>
        <v>#VALUE!</v>
      </c>
      <c r="BC126" s="676" t="e">
        <f>AX126*$F$79</f>
        <v>#VALUE!</v>
      </c>
      <c r="BD126" s="668">
        <v>20.7</v>
      </c>
      <c r="BE126" s="669">
        <v>50</v>
      </c>
      <c r="BF126" s="670">
        <v>1008</v>
      </c>
      <c r="BG126" s="2010">
        <v>-1.38E-9</v>
      </c>
      <c r="BH126" s="673">
        <v>60</v>
      </c>
      <c r="BI126" s="663">
        <v>44333</v>
      </c>
      <c r="BJ126" s="650" t="s">
        <v>268</v>
      </c>
      <c r="BK126" s="671">
        <f>IF(BJ126="Low",BG126*$D$42,IF(BJ126="Med",BG126*$D$43,IF(BJ126="High",BG126*$D$44,"rango cal. out")))</f>
        <v>-1.3841399999999999E-9</v>
      </c>
      <c r="BL126" s="619">
        <f>((273.2+BD126)*$F$33/((273.2+$F$32)*BF126))</f>
        <v>1.000781602868112</v>
      </c>
      <c r="BM126" s="674">
        <f>BK126/BH126*BL126*EXP(-LN(2)/10990*($F$96-BI126))</f>
        <v>-2.2862432501365101E-11</v>
      </c>
      <c r="BN126" s="599">
        <f>BM126-AVERAGE(BU102:BU103)</f>
        <v>-2.2861087317256703E-11</v>
      </c>
      <c r="BO126" s="672" t="e">
        <f>ABS(#REF!*BN126*3600)</f>
        <v>#REF!</v>
      </c>
      <c r="BP126" s="675">
        <f>ABS($B$34*BN126*3600)</f>
        <v>2.0739578414215279E-3</v>
      </c>
      <c r="BQ126" s="614">
        <f>BP126*$C$87</f>
        <v>0.20739578414215279</v>
      </c>
      <c r="BR126" s="672">
        <f>BP126*$F$78</f>
        <v>2.4887494097058332E-3</v>
      </c>
      <c r="BS126" s="600">
        <f>BP126*$F$83</f>
        <v>2.5094889881200487E-3</v>
      </c>
      <c r="BT126" s="672">
        <f>BP126*$F$80</f>
        <v>2.5094889881200487E-3</v>
      </c>
      <c r="BU126" s="676">
        <f>BP126*$F$79</f>
        <v>2.5924473017769098E-3</v>
      </c>
      <c r="BV126" s="668">
        <v>20.3</v>
      </c>
      <c r="BW126" s="669">
        <v>50</v>
      </c>
      <c r="BX126" s="670">
        <v>1007</v>
      </c>
      <c r="BY126" s="2011">
        <v>-6.6500000000000003E-11</v>
      </c>
      <c r="BZ126" s="673">
        <v>60</v>
      </c>
      <c r="CA126" s="663">
        <v>44334</v>
      </c>
      <c r="CB126" s="650" t="s">
        <v>268</v>
      </c>
      <c r="CC126" s="671">
        <f>IF(CB126="Low",BY126*$D$42,IF(CB126="Med",BY126*$D$43,IF(CB126="High",BY126*$D$44,"rango cal. out")))</f>
        <v>-6.6699499999999995E-11</v>
      </c>
      <c r="CD126" s="619">
        <f>((273.2+BV126)*$F$33/((273.2+$F$32)*BX126))</f>
        <v>1.0004120041821074</v>
      </c>
      <c r="CE126" s="674">
        <f>CC126/BZ126*CD126*EXP(-LN(2)/10990*($F$96-CA126))</f>
        <v>-1.101366766281471E-12</v>
      </c>
      <c r="CF126" s="599">
        <f>CE126-AVERAGE(CM102:CM103)</f>
        <v>-1.0995652710463293E-12</v>
      </c>
      <c r="CG126" s="672" t="e">
        <f>ABS(#REF!*CF126*3600)</f>
        <v>#REF!</v>
      </c>
      <c r="CH126" s="675">
        <f>ABS($B$34*CF126*3600)</f>
        <v>9.9752561389322998E-5</v>
      </c>
      <c r="CI126" s="614">
        <f>CH126*$C$87</f>
        <v>9.9752561389322997E-3</v>
      </c>
      <c r="CJ126" s="672">
        <f>CH126*$F$78</f>
        <v>1.1970307366718759E-4</v>
      </c>
      <c r="CK126" s="600">
        <f>CH126*$F$83</f>
        <v>1.2070059928108082E-4</v>
      </c>
      <c r="CL126" s="672">
        <f>CH126*$F$80</f>
        <v>1.2070059928108082E-4</v>
      </c>
      <c r="CM126" s="676">
        <f>CH126*$F$79</f>
        <v>1.2469070173665376E-4</v>
      </c>
      <c r="CN126" s="668">
        <v>20.3</v>
      </c>
      <c r="CO126" s="669">
        <v>52</v>
      </c>
      <c r="CP126" s="680">
        <v>1007</v>
      </c>
      <c r="CQ126" s="2011">
        <v>-3.2099999999999999E-9</v>
      </c>
      <c r="CR126" s="673">
        <v>60</v>
      </c>
      <c r="CS126" s="663">
        <v>44334</v>
      </c>
      <c r="CT126" s="650" t="s">
        <v>268</v>
      </c>
      <c r="CU126" s="671">
        <f>IF(CT126="Low",CQ126*$D$42,IF(CT126="Med",CQ126*$D$43,IF(CT126="High",CQ126*$D$44,"rango cal. out")))</f>
        <v>-3.2196299999999996E-9</v>
      </c>
      <c r="CV126" s="619">
        <f>((273.2+CN126)*$F$33/((273.2+$F$32)*CP126))</f>
        <v>1.0004120041821074</v>
      </c>
      <c r="CW126" s="674">
        <f>CU126/CR126*CV126*EXP(-LN(2)/10990*($F$96-CS126))</f>
        <v>-5.3163719094188292E-11</v>
      </c>
      <c r="CX126" s="599">
        <f>CW126-AVERAGE(DE102:DE103)</f>
        <v>-5.315243140748287E-11</v>
      </c>
      <c r="CY126" s="672" t="e">
        <f>ABS(#REF!*CX126*3600)</f>
        <v>#REF!</v>
      </c>
      <c r="CZ126" s="675">
        <f>ABS($B$34*CX126*3600)</f>
        <v>4.8219885772868461E-3</v>
      </c>
      <c r="DA126" s="614">
        <f>CZ126*$C$87</f>
        <v>0.48219885772868459</v>
      </c>
      <c r="DB126" s="672">
        <f>CZ126*$F$78</f>
        <v>5.7863862927442153E-3</v>
      </c>
      <c r="DC126" s="600">
        <f>CZ126*$F$83</f>
        <v>5.8346061785170839E-3</v>
      </c>
      <c r="DD126" s="672">
        <f>CZ126*$F$80</f>
        <v>5.8346061785170839E-3</v>
      </c>
      <c r="DE126" s="676">
        <f>CZ126*$F$79</f>
        <v>6.0274857216085576E-3</v>
      </c>
      <c r="DF126" s="668"/>
      <c r="DG126" s="669"/>
      <c r="DH126" s="670"/>
      <c r="DI126" s="671"/>
      <c r="DJ126" s="678"/>
      <c r="DK126" s="650"/>
      <c r="DL126" s="650" t="s">
        <v>268</v>
      </c>
      <c r="DM126" s="671">
        <f>IF(DL126="Low",DI126*$D$42,IF(DL126="Med",DI126*$D$43,IF(DL126="High",DI126*$D$44,"rango cal. out")))</f>
        <v>0</v>
      </c>
      <c r="DN126" s="619" t="e">
        <f>((273.2+DF126)*$F$33/((273.2+$F$32)*DH126))</f>
        <v>#DIV/0!</v>
      </c>
      <c r="DO126" s="674" t="e">
        <f>DM126/DJ126*DN126*EXP(-LN(2)/10990*($F$96-DK126))</f>
        <v>#DIV/0!</v>
      </c>
      <c r="DP126" s="599" t="e">
        <f>DO126-AVERAGE(DW102:DW103)</f>
        <v>#DIV/0!</v>
      </c>
      <c r="DQ126" s="672" t="e">
        <f>ABS(#REF!*DP126*3600)</f>
        <v>#REF!</v>
      </c>
      <c r="DR126" s="675" t="e">
        <f>ABS($B$34*DP126*3600)</f>
        <v>#DIV/0!</v>
      </c>
      <c r="DS126" s="614" t="e">
        <f>DR126*$C$87</f>
        <v>#DIV/0!</v>
      </c>
      <c r="DT126" s="672" t="e">
        <f>DR126*$F$78</f>
        <v>#DIV/0!</v>
      </c>
      <c r="DU126" s="600" t="e">
        <f>DR126*$F$83</f>
        <v>#DIV/0!</v>
      </c>
      <c r="DV126" s="672" t="e">
        <f>DR126*$F$80</f>
        <v>#DIV/0!</v>
      </c>
      <c r="DW126" s="676" t="e">
        <f>DR126*$F$79</f>
        <v>#DIV/0!</v>
      </c>
      <c r="DX126" s="668"/>
      <c r="DY126" s="669"/>
      <c r="DZ126" s="677"/>
      <c r="EA126" s="679"/>
      <c r="EB126" s="678"/>
      <c r="EC126" s="650"/>
      <c r="ED126" s="650"/>
      <c r="EE126" s="671" t="str">
        <f>IF(ED126="Low",EA126*$D$42,IF(ED126="Med",EA126*$D$43,IF(ED126="High",EA126*$D$44,"rango cal. out")))</f>
        <v>rango cal. out</v>
      </c>
      <c r="EF126" s="619" t="e">
        <f>((273.2+DX126)*$F$33/((273.2+$F$32)*DZ126))</f>
        <v>#DIV/0!</v>
      </c>
      <c r="EG126" s="674" t="e">
        <f>EE126/EB126*EF126*EXP(-LN(2)/10990*($F$96-EC126))</f>
        <v>#VALUE!</v>
      </c>
      <c r="EH126" s="599" t="e">
        <f>EG126-AVERAGE(EO102:EO103)</f>
        <v>#VALUE!</v>
      </c>
      <c r="EI126" s="672" t="e">
        <f>ABS(#REF!*EH126*3600)</f>
        <v>#REF!</v>
      </c>
      <c r="EJ126" s="675" t="e">
        <f>ABS($B$34*EH126*3600)</f>
        <v>#VALUE!</v>
      </c>
      <c r="EK126" s="614" t="e">
        <f>EJ126*$C$87</f>
        <v>#VALUE!</v>
      </c>
      <c r="EL126" s="672" t="e">
        <f>EJ126*$F$78</f>
        <v>#VALUE!</v>
      </c>
      <c r="EM126" s="600" t="e">
        <f>EJ126*$F$83</f>
        <v>#VALUE!</v>
      </c>
      <c r="EN126" s="672" t="e">
        <f>EJ126*$F$80</f>
        <v>#VALUE!</v>
      </c>
      <c r="EO126" s="676" t="e">
        <f>EJ126*$F$79</f>
        <v>#VALUE!</v>
      </c>
      <c r="EP126" s="668">
        <v>20.7</v>
      </c>
      <c r="EQ126" s="669">
        <v>51</v>
      </c>
      <c r="ER126" s="670">
        <v>1007</v>
      </c>
      <c r="ES126" s="2011">
        <v>-1.2000000000000001E-11</v>
      </c>
      <c r="ET126" s="673">
        <v>60</v>
      </c>
      <c r="EU126" s="663">
        <v>44334</v>
      </c>
      <c r="EV126" s="650" t="s">
        <v>268</v>
      </c>
      <c r="EW126" s="671">
        <f>IF(EV126="Low",ES126*$D$42,IF(EV126="Med",ES126*$D$43,IF(EV126="High",ES126*$D$44,"rango cal. out")))</f>
        <v>-1.2035999999999999E-11</v>
      </c>
      <c r="EX126" s="619">
        <f>((273.2+EP126)*$F$33/((273.2+$F$32)*ER126))</f>
        <v>1.0017754276971766</v>
      </c>
      <c r="EY126" s="674">
        <f>EW126/ET126*EX126*EXP(-LN(2)/10990*($F$96-EU126))</f>
        <v>-1.9901373423276205E-13</v>
      </c>
      <c r="EZ126" s="599">
        <f>EY126-AVERAGE(FG102:FG103)</f>
        <v>-2.0009429804236178E-13</v>
      </c>
      <c r="FA126" s="672" t="e">
        <f>ABS(#REF!*EZ126*3600)</f>
        <v>#REF!</v>
      </c>
      <c r="FB126" s="675">
        <f>ABS($B$34*EZ126*3600)</f>
        <v>1.815255471840306E-5</v>
      </c>
      <c r="FC126" s="614">
        <f>FB126*$C$87</f>
        <v>1.815255471840306E-3</v>
      </c>
      <c r="FD126" s="672">
        <f>FB126*$F$78</f>
        <v>2.1783065662083672E-5</v>
      </c>
      <c r="FE126" s="600">
        <f>FB126*$F$83</f>
        <v>2.1964591209267701E-5</v>
      </c>
      <c r="FF126" s="672">
        <f>FB126*$F$80</f>
        <v>2.1964591209267701E-5</v>
      </c>
      <c r="FG126" s="676">
        <f>FB126*$F$79</f>
        <v>2.2690693398003825E-5</v>
      </c>
      <c r="FH126" s="668"/>
      <c r="FI126" s="669"/>
      <c r="FJ126" s="670"/>
      <c r="FK126" s="671"/>
      <c r="FL126" s="678"/>
      <c r="FM126" s="650"/>
      <c r="FN126" s="650"/>
      <c r="FO126" s="671" t="str">
        <f>IF(FN126="Low",FK126*$D$42,IF(FN126="Med",FK126*$D$43,IF(FN126="High",FK126*$D$44,"rango cal. out")))</f>
        <v>rango cal. out</v>
      </c>
      <c r="FP126" s="619" t="e">
        <f>((273.2+FH126)*$F$33/((273.2+$F$32)*FJ126))</f>
        <v>#DIV/0!</v>
      </c>
      <c r="FQ126" s="674" t="e">
        <f>FO126/FL126*FP126*EXP(-LN(2)/10990*($F$96-FM126))</f>
        <v>#VALUE!</v>
      </c>
      <c r="FR126" s="599" t="e">
        <f>FQ126-AVERAGE(FY102:FY103)</f>
        <v>#VALUE!</v>
      </c>
      <c r="FS126" s="672" t="e">
        <f>ABS(#REF!*FR126*3600)</f>
        <v>#REF!</v>
      </c>
      <c r="FT126" s="675" t="e">
        <f>ABS($B$34*FR126*3600)</f>
        <v>#VALUE!</v>
      </c>
      <c r="FU126" s="614" t="e">
        <f>FT126*$C$87</f>
        <v>#VALUE!</v>
      </c>
      <c r="FV126" s="672" t="e">
        <f>FT126*$F$78</f>
        <v>#VALUE!</v>
      </c>
      <c r="FW126" s="600" t="e">
        <f>FT126*$F$83</f>
        <v>#VALUE!</v>
      </c>
      <c r="FX126" s="672" t="e">
        <f>FT126*$F$80</f>
        <v>#VALUE!</v>
      </c>
      <c r="FY126" s="676" t="e">
        <f>FT126*$F$79</f>
        <v>#VALUE!</v>
      </c>
      <c r="FZ126" s="668"/>
      <c r="GA126" s="669"/>
      <c r="GB126" s="670"/>
      <c r="GC126" s="671"/>
      <c r="GD126" s="678"/>
      <c r="GE126" s="650"/>
      <c r="GF126" s="650"/>
      <c r="GG126" s="671" t="str">
        <f>IF(GF126="Low",GC126*$D$42,IF(GF126="Med",GC126*$D$43,IF(GF126="High",GC126*$D$44,"rango cal. out")))</f>
        <v>rango cal. out</v>
      </c>
      <c r="GH126" s="619" t="e">
        <f>((273.2+FZ126)*$F$33/((273.2+$F$32)*GB126))</f>
        <v>#DIV/0!</v>
      </c>
      <c r="GI126" s="674" t="e">
        <f>GG126/GD126*GH126*EXP(-LN(2)/10990*($F$96-GE126))</f>
        <v>#VALUE!</v>
      </c>
      <c r="GJ126" s="599" t="e">
        <f>GI126-AVERAGE(GQ102:GQ103)</f>
        <v>#VALUE!</v>
      </c>
      <c r="GK126" s="672" t="e">
        <f>ABS(#REF!*GJ126*3600)</f>
        <v>#REF!</v>
      </c>
      <c r="GL126" s="675" t="e">
        <f>ABS($B$34*GJ126*3600)</f>
        <v>#VALUE!</v>
      </c>
      <c r="GM126" s="614" t="e">
        <f>GL126*$C$87</f>
        <v>#VALUE!</v>
      </c>
      <c r="GN126" s="672" t="e">
        <f>GL126*$F$78</f>
        <v>#VALUE!</v>
      </c>
      <c r="GO126" s="600" t="e">
        <f>GL126*$F$83</f>
        <v>#VALUE!</v>
      </c>
      <c r="GP126" s="672" t="e">
        <f>GL126*$F$80</f>
        <v>#VALUE!</v>
      </c>
      <c r="GQ126" s="676" t="e">
        <f>GL126*$F$79</f>
        <v>#VALUE!</v>
      </c>
      <c r="GR126" s="668"/>
      <c r="GS126" s="669"/>
      <c r="GT126" s="677"/>
      <c r="GU126" s="679"/>
      <c r="GV126" s="678"/>
      <c r="GW126" s="650"/>
      <c r="GX126" s="650"/>
      <c r="GY126" s="671" t="str">
        <f>IF(GX126="Low",GU126*$D$42,IF(GX126="Med",GU126*$D$43,IF(GX126="High",GU126*$D$44,"rango cal. out")))</f>
        <v>rango cal. out</v>
      </c>
      <c r="GZ126" s="619" t="e">
        <f>((273.2+GR126)*$F$33/((273.2+$F$32)*GT126))</f>
        <v>#DIV/0!</v>
      </c>
      <c r="HA126" s="674" t="e">
        <f>GY126/GV126*GZ126*EXP(-LN(2)/10990*($F$96-GW126))</f>
        <v>#VALUE!</v>
      </c>
      <c r="HB126" s="599" t="e">
        <f>HA126-AVERAGE(HI102:HI103)</f>
        <v>#VALUE!</v>
      </c>
      <c r="HC126" s="672" t="e">
        <f>ABS(#REF!*HB126*3600)</f>
        <v>#REF!</v>
      </c>
      <c r="HD126" s="675" t="e">
        <f>ABS($B$34*HB126*3600)</f>
        <v>#VALUE!</v>
      </c>
      <c r="HE126" s="614" t="e">
        <f>HD126*$C$87</f>
        <v>#VALUE!</v>
      </c>
      <c r="HF126" s="672" t="e">
        <f>HD126*$F$78</f>
        <v>#VALUE!</v>
      </c>
      <c r="HG126" s="600" t="e">
        <f>HD126*$F$83</f>
        <v>#VALUE!</v>
      </c>
      <c r="HH126" s="672" t="e">
        <f>HD126*$F$80</f>
        <v>#VALUE!</v>
      </c>
      <c r="HI126" s="676" t="e">
        <f>HD126*$F$79</f>
        <v>#VALUE!</v>
      </c>
      <c r="HJ126" s="668"/>
      <c r="HK126" s="669"/>
      <c r="HL126" s="670"/>
      <c r="HM126" s="671"/>
      <c r="HN126" s="678"/>
      <c r="HO126" s="650"/>
      <c r="HP126" s="650"/>
      <c r="HQ126" s="671" t="str">
        <f>IF(HP126="Low",HM126*$D$42,IF(HP126="Med",HM126*$D$43,IF(HP126="High",HM126*$D$44,"rango cal. out")))</f>
        <v>rango cal. out</v>
      </c>
      <c r="HR126" s="619" t="e">
        <f>((273.2+HJ126)*$F$33/((273.2+$F$32)*HL126))</f>
        <v>#DIV/0!</v>
      </c>
      <c r="HS126" s="674" t="e">
        <f>HQ126/HN126*HR126*EXP(-LN(2)/10990*($F$96-HO126))</f>
        <v>#VALUE!</v>
      </c>
      <c r="HT126" s="599" t="e">
        <f>HS126-AVERAGE(IA102:IA103)</f>
        <v>#VALUE!</v>
      </c>
      <c r="HU126" s="672" t="e">
        <f>ABS(#REF!*HT126*3600)</f>
        <v>#REF!</v>
      </c>
      <c r="HV126" s="675" t="e">
        <f>ABS($B$34*HT126*3600)</f>
        <v>#VALUE!</v>
      </c>
      <c r="HW126" s="614" t="e">
        <f>HV126*$C$87</f>
        <v>#VALUE!</v>
      </c>
      <c r="HX126" s="672" t="e">
        <f>HV126*$F$78</f>
        <v>#VALUE!</v>
      </c>
      <c r="HY126" s="600" t="e">
        <f>HV126*$F$83</f>
        <v>#VALUE!</v>
      </c>
      <c r="HZ126" s="672" t="e">
        <f>HV126*$F$80</f>
        <v>#VALUE!</v>
      </c>
      <c r="IA126" s="676" t="e">
        <f>HV126*$F$79</f>
        <v>#VALUE!</v>
      </c>
      <c r="IB126" s="668"/>
      <c r="IC126" s="669"/>
      <c r="ID126" s="670"/>
      <c r="IE126" s="671"/>
      <c r="IF126" s="678"/>
      <c r="IG126" s="650"/>
      <c r="IH126" s="650"/>
      <c r="II126" s="671" t="str">
        <f>IF(IH126="Low",IE126*$D$42,IF(IH126="Med",IE126*$D$43,IF(IH126="High",IE126*$D$44,"rango cal. out")))</f>
        <v>rango cal. out</v>
      </c>
      <c r="IJ126" s="619" t="e">
        <f>((273.2+IB126)*$F$33/((273.2+$F$32)*ID126))</f>
        <v>#DIV/0!</v>
      </c>
      <c r="IK126" s="674" t="e">
        <f>II126/IF126*IJ126*EXP(-LN(2)/10990*($F$96-IG126))</f>
        <v>#VALUE!</v>
      </c>
      <c r="IL126" s="599" t="e">
        <f>IK126-AVERAGE(IS102:IS103)</f>
        <v>#VALUE!</v>
      </c>
      <c r="IM126" s="672" t="e">
        <f>ABS(#REF!*IL126*3600)</f>
        <v>#REF!</v>
      </c>
      <c r="IN126" s="675" t="e">
        <f>ABS($B$34*IL126*3600)</f>
        <v>#VALUE!</v>
      </c>
      <c r="IO126" s="614" t="e">
        <f>IN126*$C$87</f>
        <v>#VALUE!</v>
      </c>
      <c r="IP126" s="672" t="e">
        <f>IN126*$F$78</f>
        <v>#VALUE!</v>
      </c>
      <c r="IQ126" s="600" t="e">
        <f>IN126*$F$83</f>
        <v>#VALUE!</v>
      </c>
      <c r="IR126" s="672" t="e">
        <f>IN126*$F$80</f>
        <v>#VALUE!</v>
      </c>
      <c r="IS126" s="676" t="e">
        <f>IN126*$F$79</f>
        <v>#VALUE!</v>
      </c>
      <c r="IT126" s="668"/>
      <c r="IU126" s="669"/>
      <c r="IV126" s="670"/>
      <c r="IW126" s="671"/>
      <c r="IX126" s="678"/>
      <c r="IY126" s="650"/>
      <c r="IZ126" s="650"/>
      <c r="JA126" s="671" t="str">
        <f>IF(IZ126="Low",IW126*$D$42,IF(IZ126="Med",IW126*$D$43,IF(IZ126="High",IW126*$D$44,"rango cal. out")))</f>
        <v>rango cal. out</v>
      </c>
      <c r="JB126" s="619" t="e">
        <f>((273.2+IT126)*$F$33/((273.2+$F$32)*IV126))</f>
        <v>#DIV/0!</v>
      </c>
      <c r="JC126" s="674" t="e">
        <f>JA126/IX126*JB126*EXP(-LN(2)/10990*($F$96-IY126))</f>
        <v>#VALUE!</v>
      </c>
      <c r="JD126" s="599" t="e">
        <f>JC126-AVERAGE(JK102:JK103)</f>
        <v>#VALUE!</v>
      </c>
      <c r="JE126" s="672" t="e">
        <f>ABS(#REF!*JD126*3600)</f>
        <v>#REF!</v>
      </c>
      <c r="JF126" s="675" t="e">
        <f>ABS($B$34*JD126*3600)</f>
        <v>#VALUE!</v>
      </c>
      <c r="JG126" s="614" t="e">
        <f>JF126*$C$87</f>
        <v>#VALUE!</v>
      </c>
      <c r="JH126" s="672" t="e">
        <f>JF126*$F$78</f>
        <v>#VALUE!</v>
      </c>
      <c r="JI126" s="600" t="e">
        <f>JF126*$F$83</f>
        <v>#VALUE!</v>
      </c>
      <c r="JJ126" s="672" t="e">
        <f>JF126*$F$80</f>
        <v>#VALUE!</v>
      </c>
      <c r="JK126" s="676" t="e">
        <f>JF126*$F$79</f>
        <v>#VALUE!</v>
      </c>
      <c r="JL126" s="668"/>
      <c r="JM126" s="669"/>
      <c r="JN126" s="670"/>
      <c r="JO126" s="671"/>
      <c r="JP126" s="678"/>
      <c r="JQ126" s="650"/>
      <c r="JR126" s="650"/>
      <c r="JS126" s="671" t="str">
        <f>IF(JR126="Low",JO126*$D$42,IF(JR126="Med",JO126*$D$43,IF(JR126="High",JO126*$D$44,"rango cal. out")))</f>
        <v>rango cal. out</v>
      </c>
      <c r="JT126" s="619" t="e">
        <f>((273.2+JL126)*$F$33/((273.2+$F$32)*JN126))</f>
        <v>#DIV/0!</v>
      </c>
      <c r="JU126" s="674" t="e">
        <f>JS126/JP126*JT126*EXP(-LN(2)/10990*($F$96-JQ126))</f>
        <v>#VALUE!</v>
      </c>
      <c r="JV126" s="599" t="e">
        <f>JU126-AVERAGE(KC102:KC103)</f>
        <v>#VALUE!</v>
      </c>
      <c r="JW126" s="672" t="e">
        <f>ABS(#REF!*JV126*3600)</f>
        <v>#REF!</v>
      </c>
      <c r="JX126" s="675" t="e">
        <f>ABS($B$34*JV126*3600)</f>
        <v>#VALUE!</v>
      </c>
      <c r="JY126" s="614" t="e">
        <f>JX126*$C$87</f>
        <v>#VALUE!</v>
      </c>
      <c r="JZ126" s="672" t="e">
        <f>JX126*$F$78</f>
        <v>#VALUE!</v>
      </c>
      <c r="KA126" s="600" t="e">
        <f>JX126*$F$83</f>
        <v>#VALUE!</v>
      </c>
      <c r="KB126" s="672" t="e">
        <f>JX126*$F$80</f>
        <v>#VALUE!</v>
      </c>
      <c r="KC126" s="676" t="e">
        <f>JX126*$F$79</f>
        <v>#VALUE!</v>
      </c>
      <c r="KD126" s="668"/>
      <c r="KE126" s="669"/>
      <c r="KF126" s="670"/>
      <c r="KG126" s="671"/>
      <c r="KH126" s="678"/>
      <c r="KI126" s="650"/>
      <c r="KJ126" s="650"/>
      <c r="KK126" s="671" t="str">
        <f>IF(KJ126="Low",KG126*$D$42,IF(KJ126="Med",KG126*$D$43,IF(KJ126="High",KG126*$D$44,"rango cal. out")))</f>
        <v>rango cal. out</v>
      </c>
      <c r="KL126" s="619" t="e">
        <f>((273.2+KD126)*$F$33/((273.2+$F$32)*KF126))</f>
        <v>#DIV/0!</v>
      </c>
      <c r="KM126" s="674" t="e">
        <f>KK126/KH126*KL126*EXP(-LN(2)/10990*($F$96-KI126))</f>
        <v>#VALUE!</v>
      </c>
      <c r="KN126" s="599" t="e">
        <f>KM126-AVERAGE(KU102:KU103)</f>
        <v>#VALUE!</v>
      </c>
      <c r="KO126" s="672" t="e">
        <f>ABS(#REF!*KN126*3600)</f>
        <v>#REF!</v>
      </c>
      <c r="KP126" s="675" t="e">
        <f>ABS($B$34*KN126*3600)</f>
        <v>#VALUE!</v>
      </c>
      <c r="KQ126" s="614" t="e">
        <f>KP126*$C$87</f>
        <v>#VALUE!</v>
      </c>
      <c r="KR126" s="672" t="e">
        <f>KP126*$F$78</f>
        <v>#VALUE!</v>
      </c>
      <c r="KS126" s="600" t="e">
        <f>KP126*$F$83</f>
        <v>#VALUE!</v>
      </c>
      <c r="KT126" s="672" t="e">
        <f>KP126*$F$80</f>
        <v>#VALUE!</v>
      </c>
      <c r="KU126" s="676" t="e">
        <f>KP126*$F$79</f>
        <v>#VALUE!</v>
      </c>
      <c r="KV126" s="668"/>
      <c r="KW126" s="669"/>
      <c r="KX126" s="670"/>
      <c r="KY126" s="671"/>
      <c r="KZ126" s="678"/>
      <c r="LA126" s="650"/>
      <c r="LB126" s="650"/>
      <c r="LC126" s="671" t="str">
        <f>IF(LB126="Low",KY126*$D$42,IF(LB126="Med",KY126*$D$43,IF(LB126="High",KY126*$D$44,"rango cal. out")))</f>
        <v>rango cal. out</v>
      </c>
      <c r="LD126" s="619" t="e">
        <f>((273.2+KV126)*$F$33/((273.2+$F$32)*KX126))</f>
        <v>#DIV/0!</v>
      </c>
      <c r="LE126" s="674" t="e">
        <f>LC126/KZ126*LD126*EXP(-LN(2)/10990*($F$96-LA126))</f>
        <v>#VALUE!</v>
      </c>
      <c r="LF126" s="599" t="e">
        <f>LE126-AVERAGE(LM102:LM103)</f>
        <v>#VALUE!</v>
      </c>
      <c r="LG126" s="672" t="e">
        <f>ABS(#REF!*LF126*3600)</f>
        <v>#REF!</v>
      </c>
      <c r="LH126" s="675" t="e">
        <f>ABS($B$34*LF126*3600)</f>
        <v>#VALUE!</v>
      </c>
      <c r="LI126" s="614" t="e">
        <f>LH126*$C$87</f>
        <v>#VALUE!</v>
      </c>
      <c r="LJ126" s="672" t="e">
        <f>LH126*$F$78</f>
        <v>#VALUE!</v>
      </c>
      <c r="LK126" s="600" t="e">
        <f>LH126*$F$83</f>
        <v>#VALUE!</v>
      </c>
      <c r="LL126" s="672" t="e">
        <f>LH126*$F$80</f>
        <v>#VALUE!</v>
      </c>
      <c r="LM126" s="676" t="e">
        <f>LH126*$F$79</f>
        <v>#VALUE!</v>
      </c>
      <c r="LN126" s="668"/>
      <c r="LO126" s="669"/>
      <c r="LP126" s="670"/>
      <c r="LQ126" s="671"/>
      <c r="LR126" s="678"/>
      <c r="LS126" s="650"/>
      <c r="LT126" s="650"/>
      <c r="LU126" s="671" t="str">
        <f>IF(LT126="Low",LQ126*$D$42,IF(LT126="Med",LQ126*$D$43,IF(LT126="High",LQ126*$D$44,"rango cal. out")))</f>
        <v>rango cal. out</v>
      </c>
      <c r="LV126" s="619" t="e">
        <f>((273.2+LN126)*$F$33/((273.2+$F$32)*LP126))</f>
        <v>#DIV/0!</v>
      </c>
      <c r="LW126" s="674" t="e">
        <f>LU126/LR126*LV126*EXP(-LN(2)/10990*($F$96-LS126))</f>
        <v>#VALUE!</v>
      </c>
      <c r="LX126" s="599" t="e">
        <f>LW126-AVERAGE(ME102:ME103)</f>
        <v>#VALUE!</v>
      </c>
      <c r="LY126" s="672" t="e">
        <f>ABS(#REF!*LX126*3600)</f>
        <v>#REF!</v>
      </c>
      <c r="LZ126" s="675" t="e">
        <f>ABS($B$34*LX126*3600)</f>
        <v>#VALUE!</v>
      </c>
      <c r="MA126" s="614" t="e">
        <f>LZ126*$C$87</f>
        <v>#VALUE!</v>
      </c>
      <c r="MB126" s="672" t="e">
        <f>LZ126*$F$78</f>
        <v>#VALUE!</v>
      </c>
      <c r="MC126" s="600" t="e">
        <f>LZ126*$F$83</f>
        <v>#VALUE!</v>
      </c>
      <c r="MD126" s="672" t="e">
        <f>LZ126*$F$80</f>
        <v>#VALUE!</v>
      </c>
      <c r="ME126" s="676" t="e">
        <f>LZ126*$F$79</f>
        <v>#VALUE!</v>
      </c>
      <c r="MF126" s="668"/>
      <c r="MG126" s="669"/>
      <c r="MH126" s="670"/>
      <c r="MI126" s="671"/>
      <c r="MJ126" s="678"/>
      <c r="MK126" s="650"/>
      <c r="ML126" s="650"/>
      <c r="MM126" s="671" t="str">
        <f>IF(ML126="Low",MI126*$D$42,IF(ML126="Med",MI126*$D$43,IF(ML126="High",MI126*$D$44,"rango cal. out")))</f>
        <v>rango cal. out</v>
      </c>
      <c r="MN126" s="619" t="e">
        <f>((273.2+MF126)*$F$33/((273.2+$F$32)*MH126))</f>
        <v>#DIV/0!</v>
      </c>
      <c r="MO126" s="674" t="e">
        <f>MM126/MJ126*MN126*EXP(-LN(2)/10990*($F$96-MK126))</f>
        <v>#VALUE!</v>
      </c>
      <c r="MP126" s="599" t="e">
        <f>MO126-AVERAGE(MW102:MW103)</f>
        <v>#VALUE!</v>
      </c>
      <c r="MQ126" s="672" t="e">
        <f>ABS(#REF!*MP126*3600)</f>
        <v>#REF!</v>
      </c>
      <c r="MR126" s="675" t="e">
        <f>ABS($B$34*MP126*3600)</f>
        <v>#VALUE!</v>
      </c>
      <c r="MS126" s="614" t="e">
        <f>MR126*$C$87</f>
        <v>#VALUE!</v>
      </c>
      <c r="MT126" s="672" t="e">
        <f>MR126*$F$78</f>
        <v>#VALUE!</v>
      </c>
      <c r="MU126" s="600" t="e">
        <f>MR126*$F$83</f>
        <v>#VALUE!</v>
      </c>
      <c r="MV126" s="672" t="e">
        <f>MR126*$F$80</f>
        <v>#VALUE!</v>
      </c>
      <c r="MW126" s="676" t="e">
        <f>MR126*$F$79</f>
        <v>#VALUE!</v>
      </c>
      <c r="MX126" s="668"/>
      <c r="MY126" s="669"/>
      <c r="MZ126" s="680"/>
      <c r="NA126" s="671"/>
      <c r="NB126" s="673"/>
      <c r="NC126" s="650"/>
      <c r="ND126" s="650"/>
      <c r="NE126" s="671" t="str">
        <f>IF(ND126="Low",NA126*$D$42,IF(ND126="Med",NA126*$D$43,IF(ND126="High",NA126*$D$44,"rango cal. out")))</f>
        <v>rango cal. out</v>
      </c>
      <c r="NF126" s="619" t="e">
        <f>((273.2+MX126)*$F$33/((273.2+$F$32)*MZ126))</f>
        <v>#DIV/0!</v>
      </c>
      <c r="NG126" s="674" t="e">
        <f>NE126/NB126*NF126*EXP(-LN(2)/10990*($F$96-NC126))</f>
        <v>#VALUE!</v>
      </c>
      <c r="NH126" s="599" t="e">
        <f>NG126-AVERAGE(NO102:NO103)</f>
        <v>#VALUE!</v>
      </c>
      <c r="NI126" s="672" t="e">
        <f>ABS(#REF!*NH126*3600)</f>
        <v>#REF!</v>
      </c>
      <c r="NJ126" s="675" t="e">
        <f>ABS($B$34*NH126*3600)</f>
        <v>#VALUE!</v>
      </c>
      <c r="NK126" s="614" t="e">
        <f>NJ126*$C$87</f>
        <v>#VALUE!</v>
      </c>
      <c r="NL126" s="672" t="e">
        <f>NJ126*$F$78</f>
        <v>#VALUE!</v>
      </c>
      <c r="NM126" s="600" t="e">
        <f>NJ126*$F$83</f>
        <v>#VALUE!</v>
      </c>
      <c r="NN126" s="672" t="e">
        <f>NJ126*$F$80</f>
        <v>#VALUE!</v>
      </c>
      <c r="NO126" s="676" t="e">
        <f>NJ126*$F$79</f>
        <v>#VALUE!</v>
      </c>
      <c r="NP126" s="668">
        <v>20.7</v>
      </c>
      <c r="NQ126" s="669">
        <v>52</v>
      </c>
      <c r="NR126" s="680">
        <v>1007</v>
      </c>
      <c r="NS126" s="2011">
        <v>-1.06E-10</v>
      </c>
      <c r="NT126" s="678">
        <v>60</v>
      </c>
      <c r="NU126" s="663">
        <v>44334</v>
      </c>
      <c r="NV126" s="650" t="s">
        <v>268</v>
      </c>
      <c r="NW126" s="671">
        <f>IF(NV126="Low",NS126*$D$42,IF(NV126="Med",NS126*$D$43,IF(NV126="High",NS126*$D$44,"rango cal. out")))</f>
        <v>-1.0631799999999998E-10</v>
      </c>
      <c r="NX126" s="619">
        <f>((273.2+NP126)*$F$33/((273.2+$F$32)*NR126))</f>
        <v>1.0017754276971766</v>
      </c>
      <c r="NY126" s="674">
        <f>NW126/NT126*NX126*EXP(-LN(2)/10990*($F$96-NU126))</f>
        <v>-1.7579546523893979E-12</v>
      </c>
      <c r="NZ126" s="599">
        <f>NY126-AVERAGE(OG102:OG103)</f>
        <v>-1.7587068134613564E-12</v>
      </c>
      <c r="OA126" s="672" t="e">
        <f>ABS(#REF!*NZ126*3600)</f>
        <v>#REF!</v>
      </c>
      <c r="OB126" s="675">
        <f>ABS($B$34*NZ126*3600)</f>
        <v>1.5954988211721428E-4</v>
      </c>
      <c r="OC126" s="614">
        <f>OB126*$C$87</f>
        <v>1.5954988211721428E-2</v>
      </c>
      <c r="OD126" s="672">
        <f>OB126*$F$78</f>
        <v>1.9145985854065713E-4</v>
      </c>
      <c r="OE126" s="600">
        <f>OB126*$F$83</f>
        <v>1.9305535736182926E-4</v>
      </c>
      <c r="OF126" s="672">
        <f>OB126*$F$80</f>
        <v>1.9305535736182926E-4</v>
      </c>
      <c r="OG126" s="676">
        <f>OB126*$F$79</f>
        <v>1.9943735264651784E-4</v>
      </c>
      <c r="OH126" s="668"/>
      <c r="OI126" s="669"/>
      <c r="OJ126" s="670"/>
      <c r="OK126" s="671"/>
      <c r="OL126" s="678"/>
      <c r="OM126" s="650"/>
      <c r="ON126" s="650"/>
      <c r="OO126" s="671" t="str">
        <f>IF(ON126="Low",OK126*$D$42,IF(ON126="Med",OK126*$D$43,IF(ON126="High",OK126*$D$44,"rango cal. out")))</f>
        <v>rango cal. out</v>
      </c>
      <c r="OP126" s="619" t="e">
        <f>((273.2+OH126)*$F$33/((273.2+$F$32)*OJ126))</f>
        <v>#DIV/0!</v>
      </c>
      <c r="OQ126" s="674" t="e">
        <f>OO126/OL126*OP126*EXP(-LN(2)/10990*($F$96-OM126))</f>
        <v>#VALUE!</v>
      </c>
      <c r="OR126" s="599" t="e">
        <f>OQ126-AVERAGE(OY102:OY103)</f>
        <v>#VALUE!</v>
      </c>
      <c r="OS126" s="672" t="e">
        <f>ABS(#REF!*OR126*3600)</f>
        <v>#REF!</v>
      </c>
      <c r="OT126" s="675" t="e">
        <f>ABS($B$34*OR126*3600)</f>
        <v>#VALUE!</v>
      </c>
      <c r="OU126" s="614" t="e">
        <f>OT126*$C$87</f>
        <v>#VALUE!</v>
      </c>
      <c r="OV126" s="672" t="e">
        <f>OT126*$F$78</f>
        <v>#VALUE!</v>
      </c>
      <c r="OW126" s="600" t="e">
        <f>OT126*$F$83</f>
        <v>#VALUE!</v>
      </c>
      <c r="OX126" s="672" t="e">
        <f>OT126*$F$80</f>
        <v>#VALUE!</v>
      </c>
      <c r="OY126" s="676" t="e">
        <f>OT126*$F$79</f>
        <v>#VALUE!</v>
      </c>
      <c r="OZ126" s="668">
        <v>20.6</v>
      </c>
      <c r="PA126" s="669">
        <v>54</v>
      </c>
      <c r="PB126" s="680">
        <v>1007</v>
      </c>
      <c r="PC126" s="2011">
        <v>-2.3400000000000002E-10</v>
      </c>
      <c r="PD126" s="673">
        <v>60</v>
      </c>
      <c r="PE126" s="663">
        <v>44334</v>
      </c>
      <c r="PF126" s="650" t="s">
        <v>268</v>
      </c>
      <c r="PG126" s="671">
        <f>IF(PF126="Low",PC126*$D$42,IF(PF126="Med",PC126*$D$43,IF(PF126="High",PC126*$D$44,"rango cal. out")))</f>
        <v>-2.3470199999999999E-10</v>
      </c>
      <c r="PH126" s="619">
        <f>((273.2+OZ126)*$F$33/((273.2+$F$32)*PB126))</f>
        <v>1.0014345718184097</v>
      </c>
      <c r="PI126" s="674">
        <f>PG126/PD126*PH126*EXP(-LN(2)/10990*($F$96-PE126))</f>
        <v>-3.8794473793566437E-12</v>
      </c>
      <c r="PJ126" s="599">
        <f>PI126-AVERAGE(PQ102:PQ103)</f>
        <v>-3.8777741692602034E-12</v>
      </c>
      <c r="PK126" s="672" t="e">
        <f>ABS(#REF!*PJ126*3600)</f>
        <v>#REF!</v>
      </c>
      <c r="PL126" s="675">
        <f>ABS($B$34*PJ126*3600)</f>
        <v>3.5179167263528564E-4</v>
      </c>
      <c r="PM126" s="614">
        <f>PL126*$C$87</f>
        <v>3.5179167263528564E-2</v>
      </c>
      <c r="PN126" s="672">
        <f>PL126*$F$78</f>
        <v>4.2215000716234276E-4</v>
      </c>
      <c r="PO126" s="600">
        <f>PL126*$F$83</f>
        <v>4.256679238886956E-4</v>
      </c>
      <c r="PP126" s="672">
        <f>PL126*$F$80</f>
        <v>4.256679238886956E-4</v>
      </c>
      <c r="PQ126" s="676">
        <f>PL126*$F$79</f>
        <v>4.3973959079410708E-4</v>
      </c>
      <c r="PR126" s="668"/>
      <c r="PS126" s="669"/>
      <c r="PT126" s="670"/>
      <c r="PU126" s="671"/>
      <c r="PV126" s="678"/>
      <c r="PW126" s="650"/>
      <c r="PX126" s="650"/>
      <c r="PY126" s="671" t="str">
        <f>IF(PX126="Low",PU126*$D$42,IF(PX126="Med",PU126*$D$43,IF(PX126="High",PU126*$D$44,"rango cal. out")))</f>
        <v>rango cal. out</v>
      </c>
      <c r="PZ126" s="619" t="e">
        <f>((273.2+PR126)*$F$33/((273.2+$F$32)*PT126))</f>
        <v>#DIV/0!</v>
      </c>
      <c r="QA126" s="674" t="e">
        <f>PY126/PV126*PZ126*EXP(-LN(2)/10990*($F$96-PW126))</f>
        <v>#VALUE!</v>
      </c>
      <c r="QB126" s="599" t="e">
        <f>QA126-AVERAGE(QI102:QI103)</f>
        <v>#VALUE!</v>
      </c>
      <c r="QC126" s="672" t="e">
        <f>ABS(#REF!*QB126*3600)</f>
        <v>#REF!</v>
      </c>
      <c r="QD126" s="675" t="e">
        <f>ABS($B$34*QB126*3600)</f>
        <v>#VALUE!</v>
      </c>
      <c r="QE126" s="614" t="e">
        <f>QD126*$C$87</f>
        <v>#VALUE!</v>
      </c>
      <c r="QF126" s="672" t="e">
        <f>QD126*$F$78</f>
        <v>#VALUE!</v>
      </c>
      <c r="QG126" s="600" t="e">
        <f>QD126*$F$83</f>
        <v>#VALUE!</v>
      </c>
      <c r="QH126" s="672" t="e">
        <f>QD126*$F$80</f>
        <v>#VALUE!</v>
      </c>
      <c r="QI126" s="676" t="e">
        <f>QD126*$F$79</f>
        <v>#VALUE!</v>
      </c>
      <c r="QJ126" s="668"/>
      <c r="QK126" s="669"/>
      <c r="QL126" s="670"/>
      <c r="QM126" s="671"/>
      <c r="QN126" s="678"/>
      <c r="QO126" s="650"/>
      <c r="QP126" s="650"/>
      <c r="QQ126" s="671" t="str">
        <f>IF(QP126="Low",QM126*$D$42,IF(QP126="Med",QM126*$D$43,IF(QP126="High",QM126*$D$44,"rango cal. out")))</f>
        <v>rango cal. out</v>
      </c>
      <c r="QR126" s="619" t="e">
        <f>((273.2+QJ126)*$F$33/((273.2+$F$32)*QL126))</f>
        <v>#DIV/0!</v>
      </c>
      <c r="QS126" s="674" t="e">
        <f>QQ126/QN126*QR126*EXP(-LN(2)/10990*($F$96-QO126))</f>
        <v>#VALUE!</v>
      </c>
      <c r="QT126" s="599" t="e">
        <f>QS126-AVERAGE(RA102:RA103)</f>
        <v>#VALUE!</v>
      </c>
      <c r="QU126" s="672" t="e">
        <f>ABS(#REF!*QT126*3600)</f>
        <v>#REF!</v>
      </c>
      <c r="QV126" s="675" t="e">
        <f>ABS($B$34*QT126*3600)</f>
        <v>#VALUE!</v>
      </c>
      <c r="QW126" s="614" t="e">
        <f>QV126*$C$87</f>
        <v>#VALUE!</v>
      </c>
      <c r="QX126" s="672" t="e">
        <f>QV126*$F$78</f>
        <v>#VALUE!</v>
      </c>
      <c r="QY126" s="600" t="e">
        <f>QV126*$F$83</f>
        <v>#VALUE!</v>
      </c>
      <c r="QZ126" s="672" t="e">
        <f>QV126*$F$80</f>
        <v>#VALUE!</v>
      </c>
      <c r="RA126" s="676" t="e">
        <f>QV126*$F$79</f>
        <v>#VALUE!</v>
      </c>
      <c r="RB126" s="668"/>
      <c r="RC126" s="669"/>
      <c r="RD126" s="680"/>
      <c r="RE126" s="671"/>
      <c r="RF126" s="673"/>
      <c r="RG126" s="650"/>
      <c r="RH126" s="650"/>
      <c r="RI126" s="671" t="str">
        <f>IF(RH126="Low",RE126*$D$42,IF(RH126="Med",RE126*$D$43,IF(RH126="High",RE126*$D$44,"rango cal. out")))</f>
        <v>rango cal. out</v>
      </c>
      <c r="RJ126" s="619" t="e">
        <f>((273.2+RB126)*$F$33/((273.2+$F$32)*RD126))</f>
        <v>#DIV/0!</v>
      </c>
      <c r="RK126" s="674" t="e">
        <f>RI126/RF126*RJ126*EXP(-LN(2)/10990*($F$96-RG126))</f>
        <v>#VALUE!</v>
      </c>
      <c r="RL126" s="599" t="e">
        <f>RK126-AVERAGE(RS102:RS103)</f>
        <v>#VALUE!</v>
      </c>
      <c r="RM126" s="672" t="e">
        <f>ABS(#REF!*RL126*3600)</f>
        <v>#REF!</v>
      </c>
      <c r="RN126" s="675" t="e">
        <f>ABS($B$34*RL126*3600)</f>
        <v>#VALUE!</v>
      </c>
      <c r="RO126" s="614" t="e">
        <f>RN126*$C$87</f>
        <v>#VALUE!</v>
      </c>
      <c r="RP126" s="672" t="e">
        <f>RN126*$F$78</f>
        <v>#VALUE!</v>
      </c>
      <c r="RQ126" s="600" t="e">
        <f>RN126*$F$83</f>
        <v>#VALUE!</v>
      </c>
      <c r="RR126" s="672" t="e">
        <f>RN126*$F$80</f>
        <v>#VALUE!</v>
      </c>
      <c r="RS126" s="676" t="e">
        <f>RN126*$F$79</f>
        <v>#VALUE!</v>
      </c>
      <c r="RT126" s="668"/>
      <c r="RU126" s="669"/>
      <c r="RV126" s="677"/>
      <c r="RW126" s="679"/>
      <c r="RX126" s="673"/>
      <c r="RY126" s="650"/>
      <c r="RZ126" s="650"/>
      <c r="SA126" s="671" t="str">
        <f>IF(RZ126="Low",RW126*$D$42,IF(RZ126="Med",RW126*$D$43,IF(RZ126="High",RW126*$D$44,"rango cal. out")))</f>
        <v>rango cal. out</v>
      </c>
      <c r="SB126" s="619" t="e">
        <f>((273.2+RT126)*$F$33/((273.2+$F$32)*RV126))</f>
        <v>#DIV/0!</v>
      </c>
      <c r="SC126" s="674" t="e">
        <f>SA126/RX126*SB126*EXP(-LN(2)/10990*($F$96-RY126))</f>
        <v>#VALUE!</v>
      </c>
      <c r="SD126" s="599" t="e">
        <f>SC126-AVERAGE(SK102:SK103)</f>
        <v>#VALUE!</v>
      </c>
      <c r="SE126" s="672" t="e">
        <f>ABS(#REF!*SD126*3600)</f>
        <v>#REF!</v>
      </c>
      <c r="SF126" s="675" t="e">
        <f>ABS($B$34*SD126*3600)</f>
        <v>#VALUE!</v>
      </c>
      <c r="SG126" s="614" t="e">
        <f>SF126*$C$87</f>
        <v>#VALUE!</v>
      </c>
      <c r="SH126" s="672" t="e">
        <f>SF126*$F$78</f>
        <v>#VALUE!</v>
      </c>
      <c r="SI126" s="600" t="e">
        <f>SF126*$F$83</f>
        <v>#VALUE!</v>
      </c>
      <c r="SJ126" s="672" t="e">
        <f>SF126*$F$80</f>
        <v>#VALUE!</v>
      </c>
      <c r="SK126" s="676" t="e">
        <f>SF126*$F$79</f>
        <v>#VALUE!</v>
      </c>
      <c r="SL126" s="668">
        <v>20.5</v>
      </c>
      <c r="SM126" s="669">
        <v>54</v>
      </c>
      <c r="SN126" s="680">
        <v>1008</v>
      </c>
      <c r="SO126" s="2011">
        <v>-1.6500000000000001E-11</v>
      </c>
      <c r="SP126" s="2025">
        <v>60</v>
      </c>
      <c r="SQ126" s="663">
        <v>44334</v>
      </c>
      <c r="SR126" s="650" t="s">
        <v>268</v>
      </c>
      <c r="SS126" s="671">
        <f>IF(SR126="Low",SO126*$D$42,IF(SR126="Med",SO126*$D$43,IF(SR126="High",SO126*$D$44,"rango cal. out")))</f>
        <v>-1.6549499999999999E-11</v>
      </c>
      <c r="ST126" s="619">
        <f>((273.2+SL126)*$F$33/((273.2+$F$32)*SN126))</f>
        <v>1.0001005674119241</v>
      </c>
      <c r="SU126" s="674">
        <f>SS126/SP126*ST126*EXP(-LN(2)/10990*($F$96-SQ126))</f>
        <v>-2.7318638155899659E-13</v>
      </c>
      <c r="SV126" s="599">
        <f>SU126-AVERAGE(TC102:TC103)</f>
        <v>-2.7125370878496431E-13</v>
      </c>
      <c r="SW126" s="672" t="e">
        <f>ABS(#REF!*SV126*3600)</f>
        <v>#REF!</v>
      </c>
      <c r="SX126" s="675">
        <f>ABS($B$34*SV126*3600)</f>
        <v>2.4608136460971963E-5</v>
      </c>
      <c r="SY126" s="614">
        <f>SX126*$C$87</f>
        <v>2.4608136460971962E-3</v>
      </c>
      <c r="SZ126" s="672">
        <f>SX126*$F$78</f>
        <v>2.9529763753166354E-5</v>
      </c>
      <c r="TA126" s="600">
        <f>SX126*$F$83</f>
        <v>2.9775845117776076E-5</v>
      </c>
      <c r="TB126" s="672">
        <f>SX126*$F$80</f>
        <v>2.9775845117776076E-5</v>
      </c>
      <c r="TC126" s="676">
        <f>SX126*$F$79</f>
        <v>3.0760170576214954E-5</v>
      </c>
      <c r="TD126" s="668">
        <v>20.5</v>
      </c>
      <c r="TE126" s="669">
        <v>56</v>
      </c>
      <c r="TF126" s="680">
        <v>1008</v>
      </c>
      <c r="TG126" s="2011">
        <v>-5.3449999999999996E-10</v>
      </c>
      <c r="TH126" s="673">
        <v>60</v>
      </c>
      <c r="TI126" s="663">
        <v>44334</v>
      </c>
      <c r="TJ126" s="650" t="s">
        <v>268</v>
      </c>
      <c r="TK126" s="671">
        <f>IF(TJ126="Low",TG126*$D$42,IF(TJ126="Med",TG126*$D$43,IF(TJ126="High",TG126*$D$44,"rango cal. out")))</f>
        <v>-5.3610349999999992E-10</v>
      </c>
      <c r="TL126" s="619">
        <f>((273.2+TD126)*$F$33/((273.2+$F$32)*TF126))</f>
        <v>1.0001005674119241</v>
      </c>
      <c r="TM126" s="674">
        <f>TK126/TH126*TL126*EXP(-LN(2)/10990*($F$96-TI126))</f>
        <v>-8.8495830874717378E-12</v>
      </c>
      <c r="TN126" s="599">
        <f>TM126-AVERAGE(TU102:TU103)</f>
        <v>-8.8492166442845332E-12</v>
      </c>
      <c r="TO126" s="672" t="e">
        <f>ABS(#REF!*TN126*3600)</f>
        <v>#REF!</v>
      </c>
      <c r="TP126" s="675">
        <f>ABS($B$34*TN126*3600)</f>
        <v>8.0280093396949278E-4</v>
      </c>
      <c r="TQ126" s="614">
        <f>TP126*$C$87</f>
        <v>8.0280093396949276E-2</v>
      </c>
      <c r="TR126" s="672">
        <f>TP126*$F$78</f>
        <v>9.6336112076339129E-4</v>
      </c>
      <c r="TS126" s="600">
        <f>TP126*$F$83</f>
        <v>9.713891301030862E-4</v>
      </c>
      <c r="TT126" s="672">
        <f>TP126*$F$80</f>
        <v>9.713891301030862E-4</v>
      </c>
      <c r="TU126" s="676">
        <f>TP126*$F$79</f>
        <v>1.0035011674618659E-3</v>
      </c>
      <c r="TV126" s="668"/>
      <c r="TW126" s="669"/>
      <c r="TX126" s="670"/>
      <c r="TY126" s="671"/>
      <c r="TZ126" s="678"/>
      <c r="UA126" s="650"/>
      <c r="UB126" s="650"/>
      <c r="UC126" s="671" t="str">
        <f>IF(UB126="Low",TY126*$D$42,IF(UB126="Med",TY126*$D$43,IF(UB126="High",TY126*$D$44,"rango cal. out")))</f>
        <v>rango cal. out</v>
      </c>
      <c r="UD126" s="619" t="e">
        <f>((273.2+TV126)*$F$33/((273.2+$F$32)*TX126))</f>
        <v>#DIV/0!</v>
      </c>
      <c r="UE126" s="674" t="e">
        <f>UC126/TZ126*UD126*EXP(-LN(2)/10990*($F$96-UA126))</f>
        <v>#VALUE!</v>
      </c>
      <c r="UF126" s="599" t="e">
        <f>UE126-AVERAGE(UM102:UM103)</f>
        <v>#VALUE!</v>
      </c>
      <c r="UG126" s="672" t="e">
        <f>ABS(#REF!*UF126*3600)</f>
        <v>#REF!</v>
      </c>
      <c r="UH126" s="675" t="e">
        <f>ABS($B$34*UF126*3600)</f>
        <v>#VALUE!</v>
      </c>
      <c r="UI126" s="614" t="e">
        <f>UH126*$C$87</f>
        <v>#VALUE!</v>
      </c>
      <c r="UJ126" s="672" t="e">
        <f>UH126*$F$78</f>
        <v>#VALUE!</v>
      </c>
      <c r="UK126" s="600" t="e">
        <f>UH126*$F$83</f>
        <v>#VALUE!</v>
      </c>
      <c r="UL126" s="672" t="e">
        <f>UH126*$F$80</f>
        <v>#VALUE!</v>
      </c>
      <c r="UM126" s="676" t="e">
        <f>UH126*$F$79</f>
        <v>#VALUE!</v>
      </c>
      <c r="UN126" s="668">
        <v>20.5</v>
      </c>
      <c r="UO126" s="669">
        <v>55</v>
      </c>
      <c r="UP126" s="680">
        <v>1008</v>
      </c>
      <c r="UQ126" s="2011">
        <v>-3.0499999999999998E-11</v>
      </c>
      <c r="UR126" s="673">
        <v>60</v>
      </c>
      <c r="US126" s="663">
        <v>44334</v>
      </c>
      <c r="UT126" s="650" t="s">
        <v>268</v>
      </c>
      <c r="UU126" s="671">
        <f>IF(UT126="Low",UQ126*$D$42,IF(UT126="Med",UQ126*$D$43,IF(UT126="High",UQ126*$D$44,"rango cal. out")))</f>
        <v>-3.0591499999999995E-11</v>
      </c>
      <c r="UV126" s="619">
        <f>((273.2+UN126)*$F$33/((273.2+$F$32)*UP126))</f>
        <v>1.0001005674119241</v>
      </c>
      <c r="UW126" s="674">
        <f>UU126/UR126*UV126*EXP(-LN(2)/10990*($F$96-US126))</f>
        <v>-5.0498088712420579E-13</v>
      </c>
      <c r="UX126" s="599">
        <f>UW126-AVERAGE(VE102:VE103)</f>
        <v>-5.0481841404194105E-13</v>
      </c>
      <c r="UY126" s="672" t="e">
        <f>ABS(#REF!*UX126*3600)</f>
        <v>#REF!</v>
      </c>
      <c r="UZ126" s="675">
        <f>ABS($B$34*UX126*3600)</f>
        <v>4.579712652188489E-5</v>
      </c>
      <c r="VA126" s="614">
        <f>UZ126*$C$87</f>
        <v>4.5797126521884887E-3</v>
      </c>
      <c r="VB126" s="672">
        <f>UZ126*$F$78</f>
        <v>5.4956551826261864E-5</v>
      </c>
      <c r="VC126" s="600">
        <f>UZ126*$F$83</f>
        <v>5.5414523091480716E-5</v>
      </c>
      <c r="VD126" s="672">
        <f>UZ126*$F$80</f>
        <v>5.5414523091480716E-5</v>
      </c>
      <c r="VE126" s="676">
        <f>UZ126*$F$79</f>
        <v>5.7246408152356111E-5</v>
      </c>
    </row>
    <row r="127" spans="1:577" x14ac:dyDescent="0.25">
      <c r="A127" s="2219"/>
      <c r="B127" s="668">
        <v>20.2</v>
      </c>
      <c r="C127" s="673">
        <v>53</v>
      </c>
      <c r="D127" s="678">
        <v>1010</v>
      </c>
      <c r="E127" s="2011">
        <v>-8.7180000000000007E-9</v>
      </c>
      <c r="F127" s="673">
        <v>60</v>
      </c>
      <c r="G127" s="663">
        <v>44334</v>
      </c>
      <c r="H127" s="663" t="s">
        <v>1042</v>
      </c>
      <c r="I127" s="671">
        <f>IF(H127="Low",E127*$D$42,IF(H127="Med",E127*$D$43,IF(H127="High",E127*$D$44,"rango cal. out")))</f>
        <v>-8.7267180000000004E-9</v>
      </c>
      <c r="J127" s="619">
        <f>((273.2+B127)*$F$33/((273.2+$F$32)*D127))</f>
        <v>0.9971006399420429</v>
      </c>
      <c r="K127" s="674">
        <f>I127/F127*J127*EXP(-LN(2)/10990*($F$96-G127))</f>
        <v>-1.4362182204016685E-10</v>
      </c>
      <c r="L127" s="599">
        <f>K127-AVERAGE(S102:S103)</f>
        <v>-1.4359801007279536E-10</v>
      </c>
      <c r="M127" s="672" t="e">
        <f>ABS(#REF!*L127*3600)</f>
        <v>#REF!</v>
      </c>
      <c r="N127" s="675">
        <f>ABS($B$34*L127*3600)</f>
        <v>1.3027211473803995E-2</v>
      </c>
      <c r="O127" s="672">
        <f>N127*$C$87</f>
        <v>1.3027211473803995</v>
      </c>
      <c r="P127" s="672">
        <f>N127*$F$78</f>
        <v>1.5632653768564791E-2</v>
      </c>
      <c r="Q127" s="600">
        <f>N127*$F$83</f>
        <v>1.5762925883302834E-2</v>
      </c>
      <c r="R127" s="672">
        <f>N127*$F$80</f>
        <v>1.5762925883302834E-2</v>
      </c>
      <c r="S127" s="676">
        <f>N127*$F$79</f>
        <v>1.6284014342254995E-2</v>
      </c>
      <c r="T127" s="677"/>
      <c r="U127" s="669"/>
      <c r="V127" s="670"/>
      <c r="W127" s="671"/>
      <c r="X127" s="678"/>
      <c r="Y127" s="650"/>
      <c r="Z127" s="663"/>
      <c r="AA127" s="671" t="str">
        <f>IF(Z127="Low",W127*$D$42,IF(Z127="Med",W127*$D$43,IF(Z127="High",W127*$D$44,"rango cal. out")))</f>
        <v>rango cal. out</v>
      </c>
      <c r="AB127" s="619" t="e">
        <f>((273.2+T127)*$F$33/((273.2+$F$32)*V127))</f>
        <v>#DIV/0!</v>
      </c>
      <c r="AC127" s="674" t="e">
        <f>AA127/X127*AB127*EXP(-LN(2)/10990*($F$96-Y127))</f>
        <v>#VALUE!</v>
      </c>
      <c r="AD127" s="599" t="e">
        <f>AC127-AVERAGE(#REF!)</f>
        <v>#VALUE!</v>
      </c>
      <c r="AE127" s="672" t="e">
        <f>ABS(#REF!*AD127*3600)</f>
        <v>#REF!</v>
      </c>
      <c r="AF127" s="675" t="e">
        <f>ABS($B$34*AD127*3600)</f>
        <v>#VALUE!</v>
      </c>
      <c r="AG127" s="672" t="e">
        <f>AF127*$C$87</f>
        <v>#VALUE!</v>
      </c>
      <c r="AH127" s="672" t="e">
        <f>AF127*$F$78</f>
        <v>#VALUE!</v>
      </c>
      <c r="AI127" s="600" t="e">
        <f>AF127*$F$83</f>
        <v>#VALUE!</v>
      </c>
      <c r="AJ127" s="672" t="e">
        <f>AF127*$F$80</f>
        <v>#VALUE!</v>
      </c>
      <c r="AK127" s="676" t="e">
        <f>AF127*$F$79</f>
        <v>#VALUE!</v>
      </c>
      <c r="AL127" s="677"/>
      <c r="AM127" s="669"/>
      <c r="AN127" s="670"/>
      <c r="AO127" s="671"/>
      <c r="AP127" s="678"/>
      <c r="AQ127" s="650"/>
      <c r="AR127" s="663"/>
      <c r="AS127" s="671" t="str">
        <f>IF(AR127="Low",AO127*$D$42,IF(AR127="Med",AO127*$D$43,IF(AR127="High",AO127*$D$44,"rango cal. out")))</f>
        <v>rango cal. out</v>
      </c>
      <c r="AT127" s="619" t="e">
        <f>((273.2+AL127)*$F$33/((273.2+$F$32)*AN127))</f>
        <v>#DIV/0!</v>
      </c>
      <c r="AU127" s="674" t="e">
        <f>AS127/AP127*AT127*EXP(-LN(2)/10990*($F$96-AQ127))</f>
        <v>#VALUE!</v>
      </c>
      <c r="AV127" s="599" t="e">
        <f>AU127-AVERAGE(BC102:BC103)</f>
        <v>#VALUE!</v>
      </c>
      <c r="AW127" s="672" t="e">
        <f>ABS(#REF!*AV127*3600)</f>
        <v>#REF!</v>
      </c>
      <c r="AX127" s="675" t="e">
        <f>ABS($B$34*AV127*3600)</f>
        <v>#VALUE!</v>
      </c>
      <c r="AY127" s="672" t="e">
        <f>AX127*$C$87</f>
        <v>#VALUE!</v>
      </c>
      <c r="AZ127" s="672" t="e">
        <f>AX127*$F$78</f>
        <v>#VALUE!</v>
      </c>
      <c r="BA127" s="600" t="e">
        <f>AX127*$F$83</f>
        <v>#VALUE!</v>
      </c>
      <c r="BB127" s="672" t="e">
        <f>AX127*$F$80</f>
        <v>#VALUE!</v>
      </c>
      <c r="BC127" s="676" t="e">
        <f>AX127*$F$79</f>
        <v>#VALUE!</v>
      </c>
      <c r="BD127" s="668">
        <v>20.5</v>
      </c>
      <c r="BE127" s="669">
        <v>50</v>
      </c>
      <c r="BF127" s="670">
        <v>1008</v>
      </c>
      <c r="BG127" s="2010">
        <v>-1.3810000000000001E-9</v>
      </c>
      <c r="BH127" s="673">
        <v>60</v>
      </c>
      <c r="BI127" s="663">
        <v>44333</v>
      </c>
      <c r="BJ127" s="663" t="s">
        <v>268</v>
      </c>
      <c r="BK127" s="671">
        <f>IF(BJ127="Low",BG127*$D$42,IF(BJ127="Med",BG127*$D$43,IF(BJ127="High",BG127*$D$44,"rango cal. out")))</f>
        <v>-1.385143E-9</v>
      </c>
      <c r="BL127" s="619">
        <f>((273.2+BD127)*$F$33/((273.2+$F$32)*BF127))</f>
        <v>1.0001005674119241</v>
      </c>
      <c r="BM127" s="674">
        <f>BK127/BH127*BL127*EXP(-LN(2)/10990*($F$96-BI127))</f>
        <v>-2.2863430240552919E-11</v>
      </c>
      <c r="BN127" s="599">
        <f>BM127-AVERAGE(BU102:BU103)</f>
        <v>-2.2862085056444521E-11</v>
      </c>
      <c r="BO127" s="672" t="e">
        <f>ABS(#REF!*BN127*3600)</f>
        <v>#REF!</v>
      </c>
      <c r="BP127" s="675">
        <f>ABS($B$34*BN127*3600)</f>
        <v>2.0740483563206472E-3</v>
      </c>
      <c r="BQ127" s="672">
        <f>BP127*$C$87</f>
        <v>0.20740483563206472</v>
      </c>
      <c r="BR127" s="672">
        <f>BP127*$F$78</f>
        <v>2.4888580275847765E-3</v>
      </c>
      <c r="BS127" s="600">
        <f>BP127*$F$83</f>
        <v>2.5095985111479829E-3</v>
      </c>
      <c r="BT127" s="672">
        <f>BP127*$F$80</f>
        <v>2.5095985111479829E-3</v>
      </c>
      <c r="BU127" s="676">
        <f>BP127*$F$79</f>
        <v>2.5925604454008089E-3</v>
      </c>
      <c r="BV127" s="668">
        <v>20.5</v>
      </c>
      <c r="BW127" s="669">
        <v>51</v>
      </c>
      <c r="BX127" s="670">
        <v>1007</v>
      </c>
      <c r="BY127" s="2011">
        <v>-6.6000000000000005E-11</v>
      </c>
      <c r="BZ127" s="673">
        <v>60</v>
      </c>
      <c r="CA127" s="663">
        <v>44334</v>
      </c>
      <c r="CB127" s="663" t="s">
        <v>268</v>
      </c>
      <c r="CC127" s="671">
        <f>IF(CB127="Low",BY127*$D$42,IF(CB127="Med",BY127*$D$43,IF(CB127="High",BY127*$D$44,"rango cal. out")))</f>
        <v>-6.6197999999999997E-11</v>
      </c>
      <c r="CD127" s="619">
        <f>((273.2+BV127)*$F$33/((273.2+$F$32)*BX127))</f>
        <v>1.001093715939642</v>
      </c>
      <c r="CE127" s="674">
        <f>CC127/BZ127*CD127*EXP(-LN(2)/10990*($F$96-CA127))</f>
        <v>-1.0938306757158632E-12</v>
      </c>
      <c r="CF127" s="599">
        <f>CE127-AVERAGE(CM102:CM103)</f>
        <v>-1.0920291804807215E-12</v>
      </c>
      <c r="CG127" s="672" t="e">
        <f>ABS(#REF!*CF127*3600)</f>
        <v>#REF!</v>
      </c>
      <c r="CH127" s="675">
        <f>ABS($B$34*CF127*3600)</f>
        <v>9.9068887253211054E-5</v>
      </c>
      <c r="CI127" s="672">
        <f>CH127*$C$87</f>
        <v>9.9068887253211061E-3</v>
      </c>
      <c r="CJ127" s="672">
        <f>CH127*$F$78</f>
        <v>1.1888266470385326E-4</v>
      </c>
      <c r="CK127" s="600">
        <f>CH127*$F$83</f>
        <v>1.1987335357638537E-4</v>
      </c>
      <c r="CL127" s="672">
        <f>CH127*$F$80</f>
        <v>1.1987335357638537E-4</v>
      </c>
      <c r="CM127" s="676">
        <f>CH127*$F$79</f>
        <v>1.2383610906651382E-4</v>
      </c>
      <c r="CN127" s="668">
        <v>20.5</v>
      </c>
      <c r="CO127" s="669">
        <v>53</v>
      </c>
      <c r="CP127" s="680">
        <v>1007</v>
      </c>
      <c r="CQ127" s="2011">
        <v>-3.209E-9</v>
      </c>
      <c r="CR127" s="673">
        <v>60</v>
      </c>
      <c r="CS127" s="663">
        <v>44334</v>
      </c>
      <c r="CT127" s="663" t="s">
        <v>268</v>
      </c>
      <c r="CU127" s="671">
        <f>IF(CT127="Low",CQ127*$D$42,IF(CT127="Med",CQ127*$D$43,IF(CT127="High",CQ127*$D$44,"rango cal. out")))</f>
        <v>-3.2186269999999995E-9</v>
      </c>
      <c r="CV127" s="619">
        <f>((273.2+CN127)*$F$33/((273.2+$F$32)*CP127))</f>
        <v>1.001093715939642</v>
      </c>
      <c r="CW127" s="674">
        <f>CU127/CR127*CV127*EXP(-LN(2)/10990*($F$96-CS127))</f>
        <v>-5.3183373308669767E-11</v>
      </c>
      <c r="CX127" s="599">
        <f>CW127-AVERAGE(DE102:DE103)</f>
        <v>-5.3172085621964344E-11</v>
      </c>
      <c r="CY127" s="672" t="e">
        <f>ABS(#REF!*CX127*3600)</f>
        <v>#REF!</v>
      </c>
      <c r="CZ127" s="675">
        <f>ABS($B$34*CX127*3600)</f>
        <v>4.8237716076246053E-3</v>
      </c>
      <c r="DA127" s="672">
        <f>CZ127*$C$87</f>
        <v>0.48237716076246051</v>
      </c>
      <c r="DB127" s="672">
        <f>CZ127*$F$78</f>
        <v>5.7885259291495265E-3</v>
      </c>
      <c r="DC127" s="600">
        <f>CZ127*$F$83</f>
        <v>5.8367636452257721E-3</v>
      </c>
      <c r="DD127" s="672">
        <f>CZ127*$F$80</f>
        <v>5.8367636452257721E-3</v>
      </c>
      <c r="DE127" s="676">
        <f>CZ127*$F$79</f>
        <v>6.0297145095307564E-3</v>
      </c>
      <c r="DF127" s="668"/>
      <c r="DG127" s="669"/>
      <c r="DH127" s="670"/>
      <c r="DI127" s="671"/>
      <c r="DJ127" s="678"/>
      <c r="DK127" s="650"/>
      <c r="DL127" s="663" t="s">
        <v>268</v>
      </c>
      <c r="DM127" s="671">
        <f>IF(DL127="Low",DI127*$D$42,IF(DL127="Med",DI127*$D$43,IF(DL127="High",DI127*$D$44,"rango cal. out")))</f>
        <v>0</v>
      </c>
      <c r="DN127" s="619" t="e">
        <f>((273.2+DF127)*$F$33/((273.2+$F$32)*DH127))</f>
        <v>#DIV/0!</v>
      </c>
      <c r="DO127" s="674" t="e">
        <f>DM127/DJ127*DN127*EXP(-LN(2)/10990*($F$96-DK127))</f>
        <v>#DIV/0!</v>
      </c>
      <c r="DP127" s="599" t="e">
        <f>DO127-AVERAGE(DW102:DW103)</f>
        <v>#DIV/0!</v>
      </c>
      <c r="DQ127" s="672" t="e">
        <f>ABS(#REF!*DP127*3600)</f>
        <v>#REF!</v>
      </c>
      <c r="DR127" s="675" t="e">
        <f>ABS($B$34*DP127*3600)</f>
        <v>#DIV/0!</v>
      </c>
      <c r="DS127" s="672" t="e">
        <f>DR127*$C$87</f>
        <v>#DIV/0!</v>
      </c>
      <c r="DT127" s="672" t="e">
        <f>DR127*$F$78</f>
        <v>#DIV/0!</v>
      </c>
      <c r="DU127" s="600" t="e">
        <f>DR127*$F$83</f>
        <v>#DIV/0!</v>
      </c>
      <c r="DV127" s="672" t="e">
        <f>DR127*$F$80</f>
        <v>#DIV/0!</v>
      </c>
      <c r="DW127" s="676" t="e">
        <f>DR127*$F$79</f>
        <v>#DIV/0!</v>
      </c>
      <c r="DX127" s="668"/>
      <c r="DY127" s="669"/>
      <c r="DZ127" s="677"/>
      <c r="EA127" s="679"/>
      <c r="EB127" s="678"/>
      <c r="EC127" s="650"/>
      <c r="ED127" s="663"/>
      <c r="EE127" s="671" t="str">
        <f>IF(ED127="Low",EA127*$D$42,IF(ED127="Med",EA127*$D$43,IF(ED127="High",EA127*$D$44,"rango cal. out")))</f>
        <v>rango cal. out</v>
      </c>
      <c r="EF127" s="619" t="e">
        <f>((273.2+DX127)*$F$33/((273.2+$F$32)*DZ127))</f>
        <v>#DIV/0!</v>
      </c>
      <c r="EG127" s="674" t="e">
        <f>EE127/EB127*EF127*EXP(-LN(2)/10990*($F$96-EC127))</f>
        <v>#VALUE!</v>
      </c>
      <c r="EH127" s="599" t="e">
        <f>EG127-AVERAGE(EO102:EO103)</f>
        <v>#VALUE!</v>
      </c>
      <c r="EI127" s="672" t="e">
        <f>ABS(#REF!*EH127*3600)</f>
        <v>#REF!</v>
      </c>
      <c r="EJ127" s="675" t="e">
        <f>ABS($B$34*EH127*3600)</f>
        <v>#VALUE!</v>
      </c>
      <c r="EK127" s="672" t="e">
        <f>EJ127*$C$87</f>
        <v>#VALUE!</v>
      </c>
      <c r="EL127" s="672" t="e">
        <f>EJ127*$F$78</f>
        <v>#VALUE!</v>
      </c>
      <c r="EM127" s="600" t="e">
        <f>EJ127*$F$83</f>
        <v>#VALUE!</v>
      </c>
      <c r="EN127" s="672" t="e">
        <f>EJ127*$F$80</f>
        <v>#VALUE!</v>
      </c>
      <c r="EO127" s="676" t="e">
        <f>EJ127*$F$79</f>
        <v>#VALUE!</v>
      </c>
      <c r="EP127" s="668">
        <v>20.3</v>
      </c>
      <c r="EQ127" s="669">
        <v>52</v>
      </c>
      <c r="ER127" s="670">
        <v>1007</v>
      </c>
      <c r="ES127" s="2011">
        <v>-1.25E-11</v>
      </c>
      <c r="ET127" s="673">
        <v>60</v>
      </c>
      <c r="EU127" s="663">
        <v>44334</v>
      </c>
      <c r="EV127" s="663" t="s">
        <v>268</v>
      </c>
      <c r="EW127" s="671">
        <f>IF(EV127="Low",ES127*$D$42,IF(EV127="Med",ES127*$D$43,IF(EV127="High",ES127*$D$44,"rango cal. out")))</f>
        <v>-1.2537499999999999E-11</v>
      </c>
      <c r="EX127" s="619">
        <f>((273.2+EP127)*$F$33/((273.2+$F$32)*ER127))</f>
        <v>1.0004120041821074</v>
      </c>
      <c r="EY127" s="674">
        <f>EW127/ET127*EX127*EXP(-LN(2)/10990*($F$96-EU127))</f>
        <v>-2.070238282483968E-13</v>
      </c>
      <c r="EZ127" s="599">
        <f>EY127-AVERAGE(FG102:FG103)</f>
        <v>-2.0810439205799653E-13</v>
      </c>
      <c r="FA127" s="672" t="e">
        <f>ABS(#REF!*EZ127*3600)</f>
        <v>#REF!</v>
      </c>
      <c r="FB127" s="675">
        <f>ABS($B$34*EZ127*3600)</f>
        <v>1.8879230447501444E-5</v>
      </c>
      <c r="FC127" s="672">
        <f>FB127*$C$87</f>
        <v>1.8879230447501445E-3</v>
      </c>
      <c r="FD127" s="672">
        <f>FB127*$F$78</f>
        <v>2.2655076537001731E-5</v>
      </c>
      <c r="FE127" s="600">
        <f>FB127*$F$83</f>
        <v>2.2843868841476746E-5</v>
      </c>
      <c r="FF127" s="672">
        <f>FB127*$F$80</f>
        <v>2.2843868841476746E-5</v>
      </c>
      <c r="FG127" s="676">
        <f>FB127*$F$79</f>
        <v>2.3599038059376806E-5</v>
      </c>
      <c r="FH127" s="668"/>
      <c r="FI127" s="669"/>
      <c r="FJ127" s="670"/>
      <c r="FK127" s="671"/>
      <c r="FL127" s="678"/>
      <c r="FM127" s="650"/>
      <c r="FN127" s="663"/>
      <c r="FO127" s="671" t="str">
        <f>IF(FN127="Low",FK127*$D$42,IF(FN127="Med",FK127*$D$43,IF(FN127="High",FK127*$D$44,"rango cal. out")))</f>
        <v>rango cal. out</v>
      </c>
      <c r="FP127" s="619" t="e">
        <f>((273.2+FH127)*$F$33/((273.2+$F$32)*FJ127))</f>
        <v>#DIV/0!</v>
      </c>
      <c r="FQ127" s="674" t="e">
        <f>FO127/FL127*FP127*EXP(-LN(2)/10990*($F$96-FM127))</f>
        <v>#VALUE!</v>
      </c>
      <c r="FR127" s="599" t="e">
        <f>FQ127-AVERAGE(FY102:FY103)</f>
        <v>#VALUE!</v>
      </c>
      <c r="FS127" s="672" t="e">
        <f>ABS(#REF!*FR127*3600)</f>
        <v>#REF!</v>
      </c>
      <c r="FT127" s="675" t="e">
        <f>ABS($B$34*FR127*3600)</f>
        <v>#VALUE!</v>
      </c>
      <c r="FU127" s="672" t="e">
        <f>FT127*$C$87</f>
        <v>#VALUE!</v>
      </c>
      <c r="FV127" s="672" t="e">
        <f>FT127*$F$78</f>
        <v>#VALUE!</v>
      </c>
      <c r="FW127" s="600" t="e">
        <f>FT127*$F$83</f>
        <v>#VALUE!</v>
      </c>
      <c r="FX127" s="672" t="e">
        <f>FT127*$F$80</f>
        <v>#VALUE!</v>
      </c>
      <c r="FY127" s="676" t="e">
        <f>FT127*$F$79</f>
        <v>#VALUE!</v>
      </c>
      <c r="FZ127" s="668"/>
      <c r="GA127" s="669"/>
      <c r="GB127" s="670"/>
      <c r="GC127" s="671"/>
      <c r="GD127" s="678"/>
      <c r="GE127" s="650"/>
      <c r="GF127" s="663"/>
      <c r="GG127" s="671" t="str">
        <f>IF(GF127="Low",GC127*$D$42,IF(GF127="Med",GC127*$D$43,IF(GF127="High",GC127*$D$44,"rango cal. out")))</f>
        <v>rango cal. out</v>
      </c>
      <c r="GH127" s="619" t="e">
        <f>((273.2+FZ127)*$F$33/((273.2+$F$32)*GB127))</f>
        <v>#DIV/0!</v>
      </c>
      <c r="GI127" s="674" t="e">
        <f>GG127/GD127*GH127*EXP(-LN(2)/10990*($F$96-GE127))</f>
        <v>#VALUE!</v>
      </c>
      <c r="GJ127" s="599" t="e">
        <f>GI127-AVERAGE(GQ102:GQ103)</f>
        <v>#VALUE!</v>
      </c>
      <c r="GK127" s="672" t="e">
        <f>ABS(#REF!*GJ127*3600)</f>
        <v>#REF!</v>
      </c>
      <c r="GL127" s="675" t="e">
        <f>ABS($B$34*GJ127*3600)</f>
        <v>#VALUE!</v>
      </c>
      <c r="GM127" s="672" t="e">
        <f>GL127*$C$87</f>
        <v>#VALUE!</v>
      </c>
      <c r="GN127" s="672" t="e">
        <f>GL127*$F$78</f>
        <v>#VALUE!</v>
      </c>
      <c r="GO127" s="600" t="e">
        <f>GL127*$F$83</f>
        <v>#VALUE!</v>
      </c>
      <c r="GP127" s="672" t="e">
        <f>GL127*$F$80</f>
        <v>#VALUE!</v>
      </c>
      <c r="GQ127" s="676" t="e">
        <f>GL127*$F$79</f>
        <v>#VALUE!</v>
      </c>
      <c r="GR127" s="668"/>
      <c r="GS127" s="669"/>
      <c r="GT127" s="677"/>
      <c r="GU127" s="679"/>
      <c r="GV127" s="678"/>
      <c r="GW127" s="650"/>
      <c r="GX127" s="663"/>
      <c r="GY127" s="671" t="str">
        <f>IF(GX127="Low",GU127*$D$42,IF(GX127="Med",GU127*$D$43,IF(GX127="High",GU127*$D$44,"rango cal. out")))</f>
        <v>rango cal. out</v>
      </c>
      <c r="GZ127" s="619" t="e">
        <f>((273.2+GR127)*$F$33/((273.2+$F$32)*GT127))</f>
        <v>#DIV/0!</v>
      </c>
      <c r="HA127" s="674" t="e">
        <f>GY127/GV127*GZ127*EXP(-LN(2)/10990*($F$96-GW127))</f>
        <v>#VALUE!</v>
      </c>
      <c r="HB127" s="599" t="e">
        <f>HA127-AVERAGE(HI102:HI103)</f>
        <v>#VALUE!</v>
      </c>
      <c r="HC127" s="672" t="e">
        <f>ABS(#REF!*HB127*3600)</f>
        <v>#REF!</v>
      </c>
      <c r="HD127" s="675" t="e">
        <f>ABS($B$34*HB127*3600)</f>
        <v>#VALUE!</v>
      </c>
      <c r="HE127" s="672" t="e">
        <f>HD127*$C$87</f>
        <v>#VALUE!</v>
      </c>
      <c r="HF127" s="672" t="e">
        <f>HD127*$F$78</f>
        <v>#VALUE!</v>
      </c>
      <c r="HG127" s="600" t="e">
        <f>HD127*$F$83</f>
        <v>#VALUE!</v>
      </c>
      <c r="HH127" s="672" t="e">
        <f>HD127*$F$80</f>
        <v>#VALUE!</v>
      </c>
      <c r="HI127" s="676" t="e">
        <f>HD127*$F$79</f>
        <v>#VALUE!</v>
      </c>
      <c r="HJ127" s="668"/>
      <c r="HK127" s="669"/>
      <c r="HL127" s="670"/>
      <c r="HM127" s="671"/>
      <c r="HN127" s="678"/>
      <c r="HO127" s="650"/>
      <c r="HP127" s="663"/>
      <c r="HQ127" s="671" t="str">
        <f>IF(HP127="Low",HM127*$D$42,IF(HP127="Med",HM127*$D$43,IF(HP127="High",HM127*$D$44,"rango cal. out")))</f>
        <v>rango cal. out</v>
      </c>
      <c r="HR127" s="619" t="e">
        <f>((273.2+HJ127)*$F$33/((273.2+$F$32)*HL127))</f>
        <v>#DIV/0!</v>
      </c>
      <c r="HS127" s="674" t="e">
        <f>HQ127/HN127*HR127*EXP(-LN(2)/10990*($F$96-HO127))</f>
        <v>#VALUE!</v>
      </c>
      <c r="HT127" s="599" t="e">
        <f>HS127-AVERAGE(IA102:IA103)</f>
        <v>#VALUE!</v>
      </c>
      <c r="HU127" s="672" t="e">
        <f>ABS(#REF!*HT127*3600)</f>
        <v>#REF!</v>
      </c>
      <c r="HV127" s="675" t="e">
        <f>ABS($B$34*HT127*3600)</f>
        <v>#VALUE!</v>
      </c>
      <c r="HW127" s="672" t="e">
        <f>HV127*$C$87</f>
        <v>#VALUE!</v>
      </c>
      <c r="HX127" s="672" t="e">
        <f>HV127*$F$78</f>
        <v>#VALUE!</v>
      </c>
      <c r="HY127" s="600" t="e">
        <f>HV127*$F$83</f>
        <v>#VALUE!</v>
      </c>
      <c r="HZ127" s="672" t="e">
        <f>HV127*$F$80</f>
        <v>#VALUE!</v>
      </c>
      <c r="IA127" s="676" t="e">
        <f>HV127*$F$79</f>
        <v>#VALUE!</v>
      </c>
      <c r="IB127" s="668"/>
      <c r="IC127" s="669"/>
      <c r="ID127" s="670"/>
      <c r="IE127" s="671"/>
      <c r="IF127" s="678"/>
      <c r="IG127" s="650"/>
      <c r="IH127" s="663"/>
      <c r="II127" s="671" t="str">
        <f>IF(IH127="Low",IE127*$D$42,IF(IH127="Med",IE127*$D$43,IF(IH127="High",IE127*$D$44,"rango cal. out")))</f>
        <v>rango cal. out</v>
      </c>
      <c r="IJ127" s="619" t="e">
        <f>((273.2+IB127)*$F$33/((273.2+$F$32)*ID127))</f>
        <v>#DIV/0!</v>
      </c>
      <c r="IK127" s="674" t="e">
        <f>II127/IF127*IJ127*EXP(-LN(2)/10990*($F$96-IG127))</f>
        <v>#VALUE!</v>
      </c>
      <c r="IL127" s="599" t="e">
        <f>IK127-AVERAGE(IS102:IS103)</f>
        <v>#VALUE!</v>
      </c>
      <c r="IM127" s="672" t="e">
        <f>ABS(#REF!*IL127*3600)</f>
        <v>#REF!</v>
      </c>
      <c r="IN127" s="675" t="e">
        <f>ABS($B$34*IL127*3600)</f>
        <v>#VALUE!</v>
      </c>
      <c r="IO127" s="672" t="e">
        <f>IN127*$C$87</f>
        <v>#VALUE!</v>
      </c>
      <c r="IP127" s="672" t="e">
        <f>IN127*$F$78</f>
        <v>#VALUE!</v>
      </c>
      <c r="IQ127" s="600" t="e">
        <f>IN127*$F$83</f>
        <v>#VALUE!</v>
      </c>
      <c r="IR127" s="672" t="e">
        <f>IN127*$F$80</f>
        <v>#VALUE!</v>
      </c>
      <c r="IS127" s="676" t="e">
        <f>IN127*$F$79</f>
        <v>#VALUE!</v>
      </c>
      <c r="IT127" s="668"/>
      <c r="IU127" s="669"/>
      <c r="IV127" s="670"/>
      <c r="IW127" s="671"/>
      <c r="IX127" s="678"/>
      <c r="IY127" s="650"/>
      <c r="IZ127" s="663"/>
      <c r="JA127" s="671" t="str">
        <f>IF(IZ127="Low",IW127*$D$42,IF(IZ127="Med",IW127*$D$43,IF(IZ127="High",IW127*$D$44,"rango cal. out")))</f>
        <v>rango cal. out</v>
      </c>
      <c r="JB127" s="619" t="e">
        <f>((273.2+IT127)*$F$33/((273.2+$F$32)*IV127))</f>
        <v>#DIV/0!</v>
      </c>
      <c r="JC127" s="674" t="e">
        <f>JA127/IX127*JB127*EXP(-LN(2)/10990*($F$96-IY127))</f>
        <v>#VALUE!</v>
      </c>
      <c r="JD127" s="599" t="e">
        <f>JC127-AVERAGE(JK102:JK103)</f>
        <v>#VALUE!</v>
      </c>
      <c r="JE127" s="672" t="e">
        <f>ABS(#REF!*JD127*3600)</f>
        <v>#REF!</v>
      </c>
      <c r="JF127" s="675" t="e">
        <f>ABS($B$34*JD127*3600)</f>
        <v>#VALUE!</v>
      </c>
      <c r="JG127" s="672" t="e">
        <f>JF127*$C$87</f>
        <v>#VALUE!</v>
      </c>
      <c r="JH127" s="672" t="e">
        <f>JF127*$F$78</f>
        <v>#VALUE!</v>
      </c>
      <c r="JI127" s="600" t="e">
        <f>JF127*$F$83</f>
        <v>#VALUE!</v>
      </c>
      <c r="JJ127" s="672" t="e">
        <f>JF127*$F$80</f>
        <v>#VALUE!</v>
      </c>
      <c r="JK127" s="676" t="e">
        <f>JF127*$F$79</f>
        <v>#VALUE!</v>
      </c>
      <c r="JL127" s="668"/>
      <c r="JM127" s="669"/>
      <c r="JN127" s="670"/>
      <c r="JO127" s="671"/>
      <c r="JP127" s="678"/>
      <c r="JQ127" s="650"/>
      <c r="JR127" s="663"/>
      <c r="JS127" s="671" t="str">
        <f>IF(JR127="Low",JO127*$D$42,IF(JR127="Med",JO127*$D$43,IF(JR127="High",JO127*$D$44,"rango cal. out")))</f>
        <v>rango cal. out</v>
      </c>
      <c r="JT127" s="619" t="e">
        <f>((273.2+JL127)*$F$33/((273.2+$F$32)*JN127))</f>
        <v>#DIV/0!</v>
      </c>
      <c r="JU127" s="674" t="e">
        <f>JS127/JP127*JT127*EXP(-LN(2)/10990*($F$96-JQ127))</f>
        <v>#VALUE!</v>
      </c>
      <c r="JV127" s="599" t="e">
        <f>JU127-AVERAGE(KC102:KC103)</f>
        <v>#VALUE!</v>
      </c>
      <c r="JW127" s="672" t="e">
        <f>ABS(#REF!*JV127*3600)</f>
        <v>#REF!</v>
      </c>
      <c r="JX127" s="675" t="e">
        <f>ABS($B$34*JV127*3600)</f>
        <v>#VALUE!</v>
      </c>
      <c r="JY127" s="672" t="e">
        <f>JX127*$C$87</f>
        <v>#VALUE!</v>
      </c>
      <c r="JZ127" s="672" t="e">
        <f>JX127*$F$78</f>
        <v>#VALUE!</v>
      </c>
      <c r="KA127" s="600" t="e">
        <f>JX127*$F$83</f>
        <v>#VALUE!</v>
      </c>
      <c r="KB127" s="672" t="e">
        <f>JX127*$F$80</f>
        <v>#VALUE!</v>
      </c>
      <c r="KC127" s="676" t="e">
        <f>JX127*$F$79</f>
        <v>#VALUE!</v>
      </c>
      <c r="KD127" s="668"/>
      <c r="KE127" s="669"/>
      <c r="KF127" s="670"/>
      <c r="KG127" s="671"/>
      <c r="KH127" s="678"/>
      <c r="KI127" s="650"/>
      <c r="KJ127" s="663"/>
      <c r="KK127" s="671" t="str">
        <f>IF(KJ127="Low",KG127*$D$42,IF(KJ127="Med",KG127*$D$43,IF(KJ127="High",KG127*$D$44,"rango cal. out")))</f>
        <v>rango cal. out</v>
      </c>
      <c r="KL127" s="619" t="e">
        <f>((273.2+KD127)*$F$33/((273.2+$F$32)*KF127))</f>
        <v>#DIV/0!</v>
      </c>
      <c r="KM127" s="674" t="e">
        <f>KK127/KH127*KL127*EXP(-LN(2)/10990*($F$96-KI127))</f>
        <v>#VALUE!</v>
      </c>
      <c r="KN127" s="599" t="e">
        <f>KM127-AVERAGE(KU102:KU103)</f>
        <v>#VALUE!</v>
      </c>
      <c r="KO127" s="672" t="e">
        <f>ABS(#REF!*KN127*3600)</f>
        <v>#REF!</v>
      </c>
      <c r="KP127" s="675" t="e">
        <f>ABS($B$34*KN127*3600)</f>
        <v>#VALUE!</v>
      </c>
      <c r="KQ127" s="672" t="e">
        <f>KP127*$C$87</f>
        <v>#VALUE!</v>
      </c>
      <c r="KR127" s="672" t="e">
        <f>KP127*$F$78</f>
        <v>#VALUE!</v>
      </c>
      <c r="KS127" s="600" t="e">
        <f>KP127*$F$83</f>
        <v>#VALUE!</v>
      </c>
      <c r="KT127" s="672" t="e">
        <f>KP127*$F$80</f>
        <v>#VALUE!</v>
      </c>
      <c r="KU127" s="676" t="e">
        <f>KP127*$F$79</f>
        <v>#VALUE!</v>
      </c>
      <c r="KV127" s="668"/>
      <c r="KW127" s="669"/>
      <c r="KX127" s="670"/>
      <c r="KY127" s="671"/>
      <c r="KZ127" s="678"/>
      <c r="LA127" s="650"/>
      <c r="LB127" s="663"/>
      <c r="LC127" s="671" t="str">
        <f>IF(LB127="Low",KY127*$D$42,IF(LB127="Med",KY127*$D$43,IF(LB127="High",KY127*$D$44,"rango cal. out")))</f>
        <v>rango cal. out</v>
      </c>
      <c r="LD127" s="619" t="e">
        <f>((273.2+KV127)*$F$33/((273.2+$F$32)*KX127))</f>
        <v>#DIV/0!</v>
      </c>
      <c r="LE127" s="674" t="e">
        <f>LC127/KZ127*LD127*EXP(-LN(2)/10990*($F$96-LA127))</f>
        <v>#VALUE!</v>
      </c>
      <c r="LF127" s="599" t="e">
        <f>LE127-AVERAGE(LM102:LM103)</f>
        <v>#VALUE!</v>
      </c>
      <c r="LG127" s="672" t="e">
        <f>ABS(#REF!*LF127*3600)</f>
        <v>#REF!</v>
      </c>
      <c r="LH127" s="675" t="e">
        <f>ABS($B$34*LF127*3600)</f>
        <v>#VALUE!</v>
      </c>
      <c r="LI127" s="672" t="e">
        <f>LH127*$C$87</f>
        <v>#VALUE!</v>
      </c>
      <c r="LJ127" s="672" t="e">
        <f>LH127*$F$78</f>
        <v>#VALUE!</v>
      </c>
      <c r="LK127" s="600" t="e">
        <f>LH127*$F$83</f>
        <v>#VALUE!</v>
      </c>
      <c r="LL127" s="672" t="e">
        <f>LH127*$F$80</f>
        <v>#VALUE!</v>
      </c>
      <c r="LM127" s="676" t="e">
        <f>LH127*$F$79</f>
        <v>#VALUE!</v>
      </c>
      <c r="LN127" s="668"/>
      <c r="LO127" s="669"/>
      <c r="LP127" s="670"/>
      <c r="LQ127" s="671"/>
      <c r="LR127" s="678"/>
      <c r="LS127" s="650"/>
      <c r="LT127" s="663"/>
      <c r="LU127" s="671" t="str">
        <f>IF(LT127="Low",LQ127*$D$42,IF(LT127="Med",LQ127*$D$43,IF(LT127="High",LQ127*$D$44,"rango cal. out")))</f>
        <v>rango cal. out</v>
      </c>
      <c r="LV127" s="619" t="e">
        <f>((273.2+LN127)*$F$33/((273.2+$F$32)*LP127))</f>
        <v>#DIV/0!</v>
      </c>
      <c r="LW127" s="674" t="e">
        <f>LU127/LR127*LV127*EXP(-LN(2)/10990*($F$96-LS127))</f>
        <v>#VALUE!</v>
      </c>
      <c r="LX127" s="599" t="e">
        <f>LW127-AVERAGE(ME102:ME103)</f>
        <v>#VALUE!</v>
      </c>
      <c r="LY127" s="672" t="e">
        <f>ABS(#REF!*LX127*3600)</f>
        <v>#REF!</v>
      </c>
      <c r="LZ127" s="675" t="e">
        <f>ABS($B$34*LX127*3600)</f>
        <v>#VALUE!</v>
      </c>
      <c r="MA127" s="672" t="e">
        <f>LZ127*$C$87</f>
        <v>#VALUE!</v>
      </c>
      <c r="MB127" s="672" t="e">
        <f>LZ127*$F$78</f>
        <v>#VALUE!</v>
      </c>
      <c r="MC127" s="600" t="e">
        <f>LZ127*$F$83</f>
        <v>#VALUE!</v>
      </c>
      <c r="MD127" s="672" t="e">
        <f>LZ127*$F$80</f>
        <v>#VALUE!</v>
      </c>
      <c r="ME127" s="676" t="e">
        <f>LZ127*$F$79</f>
        <v>#VALUE!</v>
      </c>
      <c r="MF127" s="668"/>
      <c r="MG127" s="669"/>
      <c r="MH127" s="670"/>
      <c r="MI127" s="671"/>
      <c r="MJ127" s="678"/>
      <c r="MK127" s="650"/>
      <c r="ML127" s="663"/>
      <c r="MM127" s="671" t="str">
        <f>IF(ML127="Low",MI127*$D$42,IF(ML127="Med",MI127*$D$43,IF(ML127="High",MI127*$D$44,"rango cal. out")))</f>
        <v>rango cal. out</v>
      </c>
      <c r="MN127" s="619" t="e">
        <f>((273.2+MF127)*$F$33/((273.2+$F$32)*MH127))</f>
        <v>#DIV/0!</v>
      </c>
      <c r="MO127" s="674" t="e">
        <f>MM127/MJ127*MN127*EXP(-LN(2)/10990*($F$96-MK127))</f>
        <v>#VALUE!</v>
      </c>
      <c r="MP127" s="599" t="e">
        <f>MO127-AVERAGE(MW102:MW103)</f>
        <v>#VALUE!</v>
      </c>
      <c r="MQ127" s="672" t="e">
        <f>ABS(#REF!*MP127*3600)</f>
        <v>#REF!</v>
      </c>
      <c r="MR127" s="675" t="e">
        <f>ABS($B$34*MP127*3600)</f>
        <v>#VALUE!</v>
      </c>
      <c r="MS127" s="672" t="e">
        <f>MR127*$C$87</f>
        <v>#VALUE!</v>
      </c>
      <c r="MT127" s="672" t="e">
        <f>MR127*$F$78</f>
        <v>#VALUE!</v>
      </c>
      <c r="MU127" s="600" t="e">
        <f>MR127*$F$83</f>
        <v>#VALUE!</v>
      </c>
      <c r="MV127" s="672" t="e">
        <f>MR127*$F$80</f>
        <v>#VALUE!</v>
      </c>
      <c r="MW127" s="676" t="e">
        <f>MR127*$F$79</f>
        <v>#VALUE!</v>
      </c>
      <c r="MX127" s="668"/>
      <c r="MY127" s="669"/>
      <c r="MZ127" s="680"/>
      <c r="NA127" s="671"/>
      <c r="NB127" s="673"/>
      <c r="NC127" s="650"/>
      <c r="ND127" s="663"/>
      <c r="NE127" s="671" t="str">
        <f>IF(ND127="Low",NA127*$D$42,IF(ND127="Med",NA127*$D$43,IF(ND127="High",NA127*$D$44,"rango cal. out")))</f>
        <v>rango cal. out</v>
      </c>
      <c r="NF127" s="619" t="e">
        <f>((273.2+MX127)*$F$33/((273.2+$F$32)*MZ127))</f>
        <v>#DIV/0!</v>
      </c>
      <c r="NG127" s="674" t="e">
        <f>NE127/NB127*NF127*EXP(-LN(2)/10990*($F$96-NC127))</f>
        <v>#VALUE!</v>
      </c>
      <c r="NH127" s="599" t="e">
        <f>NG127-AVERAGE(NO102:NO103)</f>
        <v>#VALUE!</v>
      </c>
      <c r="NI127" s="672" t="e">
        <f>ABS(#REF!*NH127*3600)</f>
        <v>#REF!</v>
      </c>
      <c r="NJ127" s="675" t="e">
        <f>ABS($B$34*NH127*3600)</f>
        <v>#VALUE!</v>
      </c>
      <c r="NK127" s="672" t="e">
        <f>NJ127*$C$87</f>
        <v>#VALUE!</v>
      </c>
      <c r="NL127" s="672" t="e">
        <f>NJ127*$F$78</f>
        <v>#VALUE!</v>
      </c>
      <c r="NM127" s="600" t="e">
        <f>NJ127*$F$83</f>
        <v>#VALUE!</v>
      </c>
      <c r="NN127" s="672" t="e">
        <f>NJ127*$F$80</f>
        <v>#VALUE!</v>
      </c>
      <c r="NO127" s="676" t="e">
        <f>NJ127*$F$79</f>
        <v>#VALUE!</v>
      </c>
      <c r="NP127" s="668">
        <v>20.3</v>
      </c>
      <c r="NQ127" s="669">
        <v>53</v>
      </c>
      <c r="NR127" s="680">
        <v>1007</v>
      </c>
      <c r="NS127" s="2011">
        <v>-1.06E-10</v>
      </c>
      <c r="NT127" s="678">
        <v>60</v>
      </c>
      <c r="NU127" s="663">
        <v>44334</v>
      </c>
      <c r="NV127" s="663" t="s">
        <v>268</v>
      </c>
      <c r="NW127" s="671">
        <f>IF(NV127="Low",NS127*$D$42,IF(NV127="Med",NS127*$D$43,IF(NV127="High",NS127*$D$44,"rango cal. out")))</f>
        <v>-1.0631799999999998E-10</v>
      </c>
      <c r="NX127" s="619">
        <f>((273.2+NP127)*$F$33/((273.2+$F$32)*NR127))</f>
        <v>1.0004120041821074</v>
      </c>
      <c r="NY127" s="674">
        <f>NW127/NT127*NX127*EXP(-LN(2)/10990*($F$96-NU127))</f>
        <v>-1.7555620635464045E-12</v>
      </c>
      <c r="NZ127" s="599">
        <f>NY127-AVERAGE(OG102:OG103)</f>
        <v>-1.756314224618363E-12</v>
      </c>
      <c r="OA127" s="672" t="e">
        <f>ABS(#REF!*NZ127*3600)</f>
        <v>#REF!</v>
      </c>
      <c r="OB127" s="675">
        <f>ABS($B$34*NZ127*3600)</f>
        <v>1.5933282645737789E-4</v>
      </c>
      <c r="OC127" s="672">
        <f>OB127*$C$87</f>
        <v>1.593328264573779E-2</v>
      </c>
      <c r="OD127" s="672">
        <f>OB127*$F$78</f>
        <v>1.9119939174885346E-4</v>
      </c>
      <c r="OE127" s="600">
        <f>OB127*$F$83</f>
        <v>1.9279272001342725E-4</v>
      </c>
      <c r="OF127" s="672">
        <f>OB127*$F$80</f>
        <v>1.9279272001342725E-4</v>
      </c>
      <c r="OG127" s="676">
        <f>OB127*$F$79</f>
        <v>1.9916603307172236E-4</v>
      </c>
      <c r="OH127" s="668"/>
      <c r="OI127" s="669"/>
      <c r="OJ127" s="670"/>
      <c r="OK127" s="671"/>
      <c r="OL127" s="678"/>
      <c r="OM127" s="650"/>
      <c r="ON127" s="663"/>
      <c r="OO127" s="671" t="str">
        <f>IF(ON127="Low",OK127*$D$42,IF(ON127="Med",OK127*$D$43,IF(ON127="High",OK127*$D$44,"rango cal. out")))</f>
        <v>rango cal. out</v>
      </c>
      <c r="OP127" s="619" t="e">
        <f>((273.2+OH127)*$F$33/((273.2+$F$32)*OJ127))</f>
        <v>#DIV/0!</v>
      </c>
      <c r="OQ127" s="674" t="e">
        <f>OO127/OL127*OP127*EXP(-LN(2)/10990*($F$96-OM127))</f>
        <v>#VALUE!</v>
      </c>
      <c r="OR127" s="599" t="e">
        <f>OQ127-AVERAGE(OY102:OY103)</f>
        <v>#VALUE!</v>
      </c>
      <c r="OS127" s="672" t="e">
        <f>ABS(#REF!*OR127*3600)</f>
        <v>#REF!</v>
      </c>
      <c r="OT127" s="675" t="e">
        <f>ABS($B$34*OR127*3600)</f>
        <v>#VALUE!</v>
      </c>
      <c r="OU127" s="672" t="e">
        <f>OT127*$C$87</f>
        <v>#VALUE!</v>
      </c>
      <c r="OV127" s="672" t="e">
        <f>OT127*$F$78</f>
        <v>#VALUE!</v>
      </c>
      <c r="OW127" s="600" t="e">
        <f>OT127*$F$83</f>
        <v>#VALUE!</v>
      </c>
      <c r="OX127" s="672" t="e">
        <f>OT127*$F$80</f>
        <v>#VALUE!</v>
      </c>
      <c r="OY127" s="676" t="e">
        <f>OT127*$F$79</f>
        <v>#VALUE!</v>
      </c>
      <c r="OZ127" s="668">
        <v>20.5</v>
      </c>
      <c r="PA127" s="669">
        <v>52</v>
      </c>
      <c r="PB127" s="680">
        <v>1007</v>
      </c>
      <c r="PC127" s="2011">
        <v>-2.3400000000000002E-10</v>
      </c>
      <c r="PD127" s="673">
        <v>60</v>
      </c>
      <c r="PE127" s="663">
        <v>44334</v>
      </c>
      <c r="PF127" s="663" t="s">
        <v>268</v>
      </c>
      <c r="PG127" s="671">
        <f>IF(PF127="Low",PC127*$D$42,IF(PF127="Med",PC127*$D$43,IF(PF127="High",PC127*$D$44,"rango cal. out")))</f>
        <v>-2.3470199999999999E-10</v>
      </c>
      <c r="PH127" s="619">
        <f>((273.2+OZ127)*$F$33/((273.2+$F$32)*PB127))</f>
        <v>1.001093715939642</v>
      </c>
      <c r="PI127" s="674">
        <f>PG127/PD127*PH127*EXP(-LN(2)/10990*($F$96-PE127))</f>
        <v>-3.8781269411744247E-12</v>
      </c>
      <c r="PJ127" s="599">
        <f>PI127-AVERAGE(PQ102:PQ103)</f>
        <v>-3.8764537310779844E-12</v>
      </c>
      <c r="PK127" s="672" t="e">
        <f>ABS(#REF!*PJ127*3600)</f>
        <v>#REF!</v>
      </c>
      <c r="PL127" s="675">
        <f>ABS($B$34*PJ127*3600)</f>
        <v>3.5167188248339475E-4</v>
      </c>
      <c r="PM127" s="672">
        <f>PL127*$C$87</f>
        <v>3.5167188248339476E-2</v>
      </c>
      <c r="PN127" s="672">
        <f>PL127*$F$78</f>
        <v>4.2200625898007371E-4</v>
      </c>
      <c r="PO127" s="600">
        <f>PL127*$F$83</f>
        <v>4.2552297780490764E-4</v>
      </c>
      <c r="PP127" s="672">
        <f>PL127*$F$80</f>
        <v>4.2552297780490764E-4</v>
      </c>
      <c r="PQ127" s="676">
        <f>PL127*$F$79</f>
        <v>4.3958985310424344E-4</v>
      </c>
      <c r="PR127" s="668"/>
      <c r="PS127" s="669"/>
      <c r="PT127" s="670"/>
      <c r="PU127" s="671"/>
      <c r="PV127" s="678"/>
      <c r="PW127" s="650"/>
      <c r="PX127" s="663"/>
      <c r="PY127" s="671" t="str">
        <f>IF(PX127="Low",PU127*$D$42,IF(PX127="Med",PU127*$D$43,IF(PX127="High",PU127*$D$44,"rango cal. out")))</f>
        <v>rango cal. out</v>
      </c>
      <c r="PZ127" s="619" t="e">
        <f>((273.2+PR127)*$F$33/((273.2+$F$32)*PT127))</f>
        <v>#DIV/0!</v>
      </c>
      <c r="QA127" s="674" t="e">
        <f>PY127/PV127*PZ127*EXP(-LN(2)/10990*($F$96-PW127))</f>
        <v>#VALUE!</v>
      </c>
      <c r="QB127" s="599" t="e">
        <f>QA127-AVERAGE(QI102:QI103)</f>
        <v>#VALUE!</v>
      </c>
      <c r="QC127" s="672" t="e">
        <f>ABS(#REF!*QB127*3600)</f>
        <v>#REF!</v>
      </c>
      <c r="QD127" s="675" t="e">
        <f>ABS($B$34*QB127*3600)</f>
        <v>#VALUE!</v>
      </c>
      <c r="QE127" s="672" t="e">
        <f>QD127*$C$87</f>
        <v>#VALUE!</v>
      </c>
      <c r="QF127" s="672" t="e">
        <f>QD127*$F$78</f>
        <v>#VALUE!</v>
      </c>
      <c r="QG127" s="600" t="e">
        <f>QD127*$F$83</f>
        <v>#VALUE!</v>
      </c>
      <c r="QH127" s="672" t="e">
        <f>QD127*$F$80</f>
        <v>#VALUE!</v>
      </c>
      <c r="QI127" s="676" t="e">
        <f>QD127*$F$79</f>
        <v>#VALUE!</v>
      </c>
      <c r="QJ127" s="668"/>
      <c r="QK127" s="669"/>
      <c r="QL127" s="670"/>
      <c r="QM127" s="671"/>
      <c r="QN127" s="678"/>
      <c r="QO127" s="650"/>
      <c r="QP127" s="663"/>
      <c r="QQ127" s="671" t="str">
        <f>IF(QP127="Low",QM127*$D$42,IF(QP127="Med",QM127*$D$43,IF(QP127="High",QM127*$D$44,"rango cal. out")))</f>
        <v>rango cal. out</v>
      </c>
      <c r="QR127" s="619" t="e">
        <f>((273.2+QJ127)*$F$33/((273.2+$F$32)*QL127))</f>
        <v>#DIV/0!</v>
      </c>
      <c r="QS127" s="674" t="e">
        <f>QQ127/QN127*QR127*EXP(-LN(2)/10990*($F$96-QO127))</f>
        <v>#VALUE!</v>
      </c>
      <c r="QT127" s="599" t="e">
        <f>QS127-AVERAGE(RA102:RA103)</f>
        <v>#VALUE!</v>
      </c>
      <c r="QU127" s="672" t="e">
        <f>ABS(#REF!*QT127*3600)</f>
        <v>#REF!</v>
      </c>
      <c r="QV127" s="675" t="e">
        <f>ABS($B$34*QT127*3600)</f>
        <v>#VALUE!</v>
      </c>
      <c r="QW127" s="672" t="e">
        <f>QV127*$C$87</f>
        <v>#VALUE!</v>
      </c>
      <c r="QX127" s="672" t="e">
        <f>QV127*$F$78</f>
        <v>#VALUE!</v>
      </c>
      <c r="QY127" s="600" t="e">
        <f>QV127*$F$83</f>
        <v>#VALUE!</v>
      </c>
      <c r="QZ127" s="672" t="e">
        <f>QV127*$F$80</f>
        <v>#VALUE!</v>
      </c>
      <c r="RA127" s="676" t="e">
        <f>QV127*$F$79</f>
        <v>#VALUE!</v>
      </c>
      <c r="RB127" s="668"/>
      <c r="RC127" s="669"/>
      <c r="RD127" s="680"/>
      <c r="RE127" s="671"/>
      <c r="RF127" s="673"/>
      <c r="RG127" s="650"/>
      <c r="RH127" s="663"/>
      <c r="RI127" s="671" t="str">
        <f>IF(RH127="Low",RE127*$D$42,IF(RH127="Med",RE127*$D$43,IF(RH127="High",RE127*$D$44,"rango cal. out")))</f>
        <v>rango cal. out</v>
      </c>
      <c r="RJ127" s="619" t="e">
        <f>((273.2+RB127)*$F$33/((273.2+$F$32)*RD127))</f>
        <v>#DIV/0!</v>
      </c>
      <c r="RK127" s="674" t="e">
        <f>RI127/RF127*RJ127*EXP(-LN(2)/10990*($F$96-RG127))</f>
        <v>#VALUE!</v>
      </c>
      <c r="RL127" s="599" t="e">
        <f>RK127-AVERAGE(RS102:RS103)</f>
        <v>#VALUE!</v>
      </c>
      <c r="RM127" s="672" t="e">
        <f>ABS(#REF!*RL127*3600)</f>
        <v>#REF!</v>
      </c>
      <c r="RN127" s="675" t="e">
        <f>ABS($B$34*RL127*3600)</f>
        <v>#VALUE!</v>
      </c>
      <c r="RO127" s="672" t="e">
        <f>RN127*$C$87</f>
        <v>#VALUE!</v>
      </c>
      <c r="RP127" s="672" t="e">
        <f>RN127*$F$78</f>
        <v>#VALUE!</v>
      </c>
      <c r="RQ127" s="600" t="e">
        <f>RN127*$F$83</f>
        <v>#VALUE!</v>
      </c>
      <c r="RR127" s="672" t="e">
        <f>RN127*$F$80</f>
        <v>#VALUE!</v>
      </c>
      <c r="RS127" s="676" t="e">
        <f>RN127*$F$79</f>
        <v>#VALUE!</v>
      </c>
      <c r="RT127" s="668"/>
      <c r="RU127" s="669"/>
      <c r="RV127" s="677"/>
      <c r="RW127" s="679"/>
      <c r="RX127" s="673"/>
      <c r="RY127" s="650"/>
      <c r="RZ127" s="663"/>
      <c r="SA127" s="671" t="str">
        <f>IF(RZ127="Low",RW127*$D$42,IF(RZ127="Med",RW127*$D$43,IF(RZ127="High",RW127*$D$44,"rango cal. out")))</f>
        <v>rango cal. out</v>
      </c>
      <c r="SB127" s="619" t="e">
        <f>((273.2+RT127)*$F$33/((273.2+$F$32)*RV127))</f>
        <v>#DIV/0!</v>
      </c>
      <c r="SC127" s="674" t="e">
        <f>SA127/RX127*SB127*EXP(-LN(2)/10990*($F$96-RY127))</f>
        <v>#VALUE!</v>
      </c>
      <c r="SD127" s="599" t="e">
        <f>SC127-AVERAGE(SK102:SK103)</f>
        <v>#VALUE!</v>
      </c>
      <c r="SE127" s="672" t="e">
        <f>ABS(#REF!*SD127*3600)</f>
        <v>#REF!</v>
      </c>
      <c r="SF127" s="675" t="e">
        <f>ABS($B$34*SD127*3600)</f>
        <v>#VALUE!</v>
      </c>
      <c r="SG127" s="672" t="e">
        <f>SF127*$C$87</f>
        <v>#VALUE!</v>
      </c>
      <c r="SH127" s="672" t="e">
        <f>SF127*$F$78</f>
        <v>#VALUE!</v>
      </c>
      <c r="SI127" s="600" t="e">
        <f>SF127*$F$83</f>
        <v>#VALUE!</v>
      </c>
      <c r="SJ127" s="672" t="e">
        <f>SF127*$F$80</f>
        <v>#VALUE!</v>
      </c>
      <c r="SK127" s="676" t="e">
        <f>SF127*$F$79</f>
        <v>#VALUE!</v>
      </c>
      <c r="SL127" s="668">
        <v>20.5</v>
      </c>
      <c r="SM127" s="669">
        <v>52</v>
      </c>
      <c r="SN127" s="680">
        <v>1008</v>
      </c>
      <c r="SO127" s="2011">
        <v>-1.6999999999999999E-11</v>
      </c>
      <c r="SP127" s="2025">
        <v>60</v>
      </c>
      <c r="SQ127" s="663">
        <v>44334</v>
      </c>
      <c r="SR127" s="663" t="s">
        <v>268</v>
      </c>
      <c r="SS127" s="671">
        <f>IF(SR127="Low",SO127*$D$42,IF(SR127="Med",SO127*$D$43,IF(SR127="High",SO127*$D$44,"rango cal. out")))</f>
        <v>-1.7050999999999998E-11</v>
      </c>
      <c r="ST127" s="619">
        <f>((273.2+SL127)*$F$33/((273.2+$F$32)*SN127))</f>
        <v>1.0001005674119241</v>
      </c>
      <c r="SU127" s="674">
        <f>SS127/SP127*ST127*EXP(-LN(2)/10990*($F$96-SQ127))</f>
        <v>-2.8146475675775406E-13</v>
      </c>
      <c r="SV127" s="599">
        <f>SU127-AVERAGE(TC102:TC103)</f>
        <v>-2.7953208398372177E-13</v>
      </c>
      <c r="SW127" s="672" t="e">
        <f>ABS(#REF!*SV127*3600)</f>
        <v>#REF!</v>
      </c>
      <c r="SX127" s="675">
        <f>ABS($B$34*SV127*3600)</f>
        <v>2.535915065900324E-5</v>
      </c>
      <c r="SY127" s="672">
        <f>SX127*$C$87</f>
        <v>2.535915065900324E-3</v>
      </c>
      <c r="SZ127" s="672">
        <f>SX127*$F$78</f>
        <v>3.0430980790803887E-5</v>
      </c>
      <c r="TA127" s="600">
        <f>SX127*$F$83</f>
        <v>3.0684572297393923E-5</v>
      </c>
      <c r="TB127" s="672">
        <f>SX127*$F$80</f>
        <v>3.0684572297393923E-5</v>
      </c>
      <c r="TC127" s="676">
        <f>SX127*$F$79</f>
        <v>3.1698938323754051E-5</v>
      </c>
      <c r="TD127" s="668">
        <v>20.5</v>
      </c>
      <c r="TE127" s="669">
        <v>54</v>
      </c>
      <c r="TF127" s="680">
        <v>1008</v>
      </c>
      <c r="TG127" s="2011">
        <v>-5.3549999999999996E-10</v>
      </c>
      <c r="TH127" s="673">
        <v>60</v>
      </c>
      <c r="TI127" s="663">
        <v>44334</v>
      </c>
      <c r="TJ127" s="663" t="s">
        <v>268</v>
      </c>
      <c r="TK127" s="671">
        <f>IF(TJ127="Low",TG127*$D$42,IF(TJ127="Med",TG127*$D$43,IF(TJ127="High",TG127*$D$44,"rango cal. out")))</f>
        <v>-5.3710649999999994E-10</v>
      </c>
      <c r="TL127" s="619">
        <f>((273.2+TD127)*$F$33/((273.2+$F$32)*TF127))</f>
        <v>1.0001005674119241</v>
      </c>
      <c r="TM127" s="674">
        <f>TK127/TH127*TL127*EXP(-LN(2)/10990*($F$96-TI127))</f>
        <v>-8.8661398378692529E-12</v>
      </c>
      <c r="TN127" s="599">
        <f>TM127-AVERAGE(TU102:TU103)</f>
        <v>-8.8657733946820482E-12</v>
      </c>
      <c r="TO127" s="672" t="e">
        <f>ABS(#REF!*TN127*3600)</f>
        <v>#REF!</v>
      </c>
      <c r="TP127" s="675">
        <f>ABS($B$34*TN127*3600)</f>
        <v>8.0430296236555542E-4</v>
      </c>
      <c r="TQ127" s="672">
        <f>TP127*$C$87</f>
        <v>8.0430296236555537E-2</v>
      </c>
      <c r="TR127" s="672">
        <f>TP127*$F$78</f>
        <v>9.6516355483866644E-4</v>
      </c>
      <c r="TS127" s="600">
        <f>TP127*$F$83</f>
        <v>9.7320658446232208E-4</v>
      </c>
      <c r="TT127" s="672">
        <f>TP127*$F$80</f>
        <v>9.7320658446232208E-4</v>
      </c>
      <c r="TU127" s="676">
        <f>TP127*$F$79</f>
        <v>1.0053787029569443E-3</v>
      </c>
      <c r="TV127" s="668"/>
      <c r="TW127" s="669"/>
      <c r="TX127" s="670"/>
      <c r="TY127" s="671"/>
      <c r="TZ127" s="678"/>
      <c r="UA127" s="650"/>
      <c r="UB127" s="663"/>
      <c r="UC127" s="671" t="str">
        <f>IF(UB127="Low",TY127*$D$42,IF(UB127="Med",TY127*$D$43,IF(UB127="High",TY127*$D$44,"rango cal. out")))</f>
        <v>rango cal. out</v>
      </c>
      <c r="UD127" s="619" t="e">
        <f>((273.2+TV127)*$F$33/((273.2+$F$32)*TX127))</f>
        <v>#DIV/0!</v>
      </c>
      <c r="UE127" s="674" t="e">
        <f>UC127/TZ127*UD127*EXP(-LN(2)/10990*($F$96-UA127))</f>
        <v>#VALUE!</v>
      </c>
      <c r="UF127" s="599" t="e">
        <f>UE127-AVERAGE(UM102:UM103)</f>
        <v>#VALUE!</v>
      </c>
      <c r="UG127" s="672" t="e">
        <f>ABS(#REF!*UF127*3600)</f>
        <v>#REF!</v>
      </c>
      <c r="UH127" s="675" t="e">
        <f>ABS($B$34*UF127*3600)</f>
        <v>#VALUE!</v>
      </c>
      <c r="UI127" s="672" t="e">
        <f>UH127*$C$87</f>
        <v>#VALUE!</v>
      </c>
      <c r="UJ127" s="672" t="e">
        <f>UH127*$F$78</f>
        <v>#VALUE!</v>
      </c>
      <c r="UK127" s="600" t="e">
        <f>UH127*$F$83</f>
        <v>#VALUE!</v>
      </c>
      <c r="UL127" s="672" t="e">
        <f>UH127*$F$80</f>
        <v>#VALUE!</v>
      </c>
      <c r="UM127" s="676" t="e">
        <f>UH127*$F$79</f>
        <v>#VALUE!</v>
      </c>
      <c r="UN127" s="668">
        <v>20.5</v>
      </c>
      <c r="UO127" s="669">
        <v>55</v>
      </c>
      <c r="UP127" s="680">
        <v>1008</v>
      </c>
      <c r="UQ127" s="2011">
        <v>-3E-11</v>
      </c>
      <c r="UR127" s="673">
        <v>60</v>
      </c>
      <c r="US127" s="663">
        <v>44334</v>
      </c>
      <c r="UT127" s="663" t="s">
        <v>268</v>
      </c>
      <c r="UU127" s="671">
        <f>IF(UT127="Low",UQ127*$D$42,IF(UT127="Med",UQ127*$D$43,IF(UT127="High",UQ127*$D$44,"rango cal. out")))</f>
        <v>-3.0089999999999996E-11</v>
      </c>
      <c r="UV127" s="619">
        <f>((273.2+UN127)*$F$33/((273.2+$F$32)*UP127))</f>
        <v>1.0001005674119241</v>
      </c>
      <c r="UW127" s="674">
        <f>UU127/UR127*UV127*EXP(-LN(2)/10990*($F$96-US127))</f>
        <v>-4.9670251192544827E-13</v>
      </c>
      <c r="UX127" s="599">
        <f>UW127-AVERAGE(VE102:VE103)</f>
        <v>-4.9654003884318354E-13</v>
      </c>
      <c r="UY127" s="672" t="e">
        <f>ABS(#REF!*UX127*3600)</f>
        <v>#REF!</v>
      </c>
      <c r="UZ127" s="675">
        <f>ABS($B$34*UX127*3600)</f>
        <v>4.504611232385361E-5</v>
      </c>
      <c r="VA127" s="672">
        <f>UZ127*$C$87</f>
        <v>4.5046112323853613E-3</v>
      </c>
      <c r="VB127" s="672">
        <f>UZ127*$F$78</f>
        <v>5.405533478862433E-5</v>
      </c>
      <c r="VC127" s="600">
        <f>UZ127*$F$83</f>
        <v>5.4505795911862866E-5</v>
      </c>
      <c r="VD127" s="672">
        <f>UZ127*$F$80</f>
        <v>5.4505795911862866E-5</v>
      </c>
      <c r="VE127" s="676">
        <f>UZ127*$F$79</f>
        <v>5.6307640404817014E-5</v>
      </c>
    </row>
    <row r="128" spans="1:577" x14ac:dyDescent="0.25">
      <c r="A128" s="2219"/>
      <c r="B128" s="668">
        <v>20.3</v>
      </c>
      <c r="C128" s="673">
        <v>56</v>
      </c>
      <c r="D128" s="678">
        <v>1010</v>
      </c>
      <c r="E128" s="2011">
        <v>-8.7169999999999996E-9</v>
      </c>
      <c r="F128" s="673">
        <v>60</v>
      </c>
      <c r="G128" s="663">
        <v>44334</v>
      </c>
      <c r="H128" s="650" t="s">
        <v>1042</v>
      </c>
      <c r="I128" s="671">
        <f>IF(H128="Low",E128*$D$42,IF(H128="Med",E128*$D$43,IF(H128="High",E128*$D$44,"rango cal. out")))</f>
        <v>-8.725716999999999E-9</v>
      </c>
      <c r="J128" s="619">
        <f>((273.2+B128)*$F$33/((273.2+$F$32)*D128))</f>
        <v>0.99744048337760605</v>
      </c>
      <c r="K128" s="674">
        <f>I128/F128*J128*EXP(-LN(2)/10990*($F$96-G128))</f>
        <v>-1.4365429311392402E-10</v>
      </c>
      <c r="L128" s="599">
        <f>K128-AVERAGE(S102:S103)</f>
        <v>-1.4363048114655253E-10</v>
      </c>
      <c r="M128" s="672" t="e">
        <f>ABS(#REF!*L128*3600)</f>
        <v>#REF!</v>
      </c>
      <c r="N128" s="675">
        <f>ABS($B$34*L128*3600)</f>
        <v>1.3030157249615246E-2</v>
      </c>
      <c r="O128" s="614">
        <f>N128*$C$87</f>
        <v>1.3030157249615246</v>
      </c>
      <c r="P128" s="672">
        <f>N128*$F$78</f>
        <v>1.5636188699538294E-2</v>
      </c>
      <c r="Q128" s="600">
        <f>N128*$F$83</f>
        <v>1.5766490272034448E-2</v>
      </c>
      <c r="R128" s="672">
        <f>N128*$F$80</f>
        <v>1.5766490272034448E-2</v>
      </c>
      <c r="S128" s="676">
        <f>N128*$F$79</f>
        <v>1.6287696562019057E-2</v>
      </c>
      <c r="T128" s="677"/>
      <c r="U128" s="669"/>
      <c r="V128" s="670"/>
      <c r="W128" s="671"/>
      <c r="X128" s="678"/>
      <c r="Y128" s="650"/>
      <c r="Z128" s="650"/>
      <c r="AA128" s="671" t="str">
        <f>IF(Z128="Low",W128*$D$42,IF(Z128="Med",W128*$D$43,IF(Z128="High",W128*$D$44,"rango cal. out")))</f>
        <v>rango cal. out</v>
      </c>
      <c r="AB128" s="619" t="e">
        <f>((273.2+T128)*$F$33/((273.2+$F$32)*V128))</f>
        <v>#DIV/0!</v>
      </c>
      <c r="AC128" s="674" t="e">
        <f>AA128/X128*AB128*EXP(-LN(2)/10990*($F$96-Y128))</f>
        <v>#VALUE!</v>
      </c>
      <c r="AD128" s="599" t="e">
        <f>AC128-AVERAGE(#REF!)</f>
        <v>#VALUE!</v>
      </c>
      <c r="AE128" s="672" t="e">
        <f>ABS(#REF!*AD128*3600)</f>
        <v>#REF!</v>
      </c>
      <c r="AF128" s="675" t="e">
        <f>ABS($B$34*AD128*3600)</f>
        <v>#VALUE!</v>
      </c>
      <c r="AG128" s="614" t="e">
        <f>AF128*$C$87</f>
        <v>#VALUE!</v>
      </c>
      <c r="AH128" s="672" t="e">
        <f>AF128*$F$78</f>
        <v>#VALUE!</v>
      </c>
      <c r="AI128" s="600" t="e">
        <f>AF128*$F$83</f>
        <v>#VALUE!</v>
      </c>
      <c r="AJ128" s="672" t="e">
        <f>AF128*$F$80</f>
        <v>#VALUE!</v>
      </c>
      <c r="AK128" s="676" t="e">
        <f>AF128*$F$79</f>
        <v>#VALUE!</v>
      </c>
      <c r="AL128" s="677"/>
      <c r="AM128" s="669"/>
      <c r="AN128" s="670"/>
      <c r="AO128" s="671"/>
      <c r="AP128" s="678"/>
      <c r="AQ128" s="650"/>
      <c r="AR128" s="650"/>
      <c r="AS128" s="671" t="str">
        <f>IF(AR128="Low",AO128*$D$42,IF(AR128="Med",AO128*$D$43,IF(AR128="High",AO128*$D$44,"rango cal. out")))</f>
        <v>rango cal. out</v>
      </c>
      <c r="AT128" s="619" t="e">
        <f>((273.2+AL128)*$F$33/((273.2+$F$32)*AN128))</f>
        <v>#DIV/0!</v>
      </c>
      <c r="AU128" s="674" t="e">
        <f>AS128/AP128*AT128*EXP(-LN(2)/10990*($F$96-AQ128))</f>
        <v>#VALUE!</v>
      </c>
      <c r="AV128" s="599" t="e">
        <f>AU128-AVERAGE(BC102:BC103)</f>
        <v>#VALUE!</v>
      </c>
      <c r="AW128" s="672" t="e">
        <f>ABS(#REF!*AV128*3600)</f>
        <v>#REF!</v>
      </c>
      <c r="AX128" s="675" t="e">
        <f>ABS($B$34*AV128*3600)</f>
        <v>#VALUE!</v>
      </c>
      <c r="AY128" s="614" t="e">
        <f>AX128*$C$87</f>
        <v>#VALUE!</v>
      </c>
      <c r="AZ128" s="672" t="e">
        <f>AX128*$F$78</f>
        <v>#VALUE!</v>
      </c>
      <c r="BA128" s="600" t="e">
        <f>AX128*$F$83</f>
        <v>#VALUE!</v>
      </c>
      <c r="BB128" s="672" t="e">
        <f>AX128*$F$80</f>
        <v>#VALUE!</v>
      </c>
      <c r="BC128" s="676" t="e">
        <f>AX128*$F$79</f>
        <v>#VALUE!</v>
      </c>
      <c r="BD128" s="668">
        <v>20.5</v>
      </c>
      <c r="BE128" s="669">
        <v>51</v>
      </c>
      <c r="BF128" s="670">
        <v>1008</v>
      </c>
      <c r="BG128" s="2010">
        <v>-1.3810000000000001E-9</v>
      </c>
      <c r="BH128" s="673">
        <v>60</v>
      </c>
      <c r="BI128" s="663">
        <v>44333</v>
      </c>
      <c r="BJ128" s="650" t="s">
        <v>268</v>
      </c>
      <c r="BK128" s="671">
        <f>IF(BJ128="Low",BG128*$D$42,IF(BJ128="Med",BG128*$D$43,IF(BJ128="High",BG128*$D$44,"rango cal. out")))</f>
        <v>-1.385143E-9</v>
      </c>
      <c r="BL128" s="619">
        <f>((273.2+BD128)*$F$33/((273.2+$F$32)*BF128))</f>
        <v>1.0001005674119241</v>
      </c>
      <c r="BM128" s="674">
        <f>BK128/BH128*BL128*EXP(-LN(2)/10990*($F$96-BI128))</f>
        <v>-2.2863430240552919E-11</v>
      </c>
      <c r="BN128" s="599">
        <f>BM128-AVERAGE(BU102:BU103)</f>
        <v>-2.2862085056444521E-11</v>
      </c>
      <c r="BO128" s="672" t="e">
        <f>ABS(#REF!*BN128*3600)</f>
        <v>#REF!</v>
      </c>
      <c r="BP128" s="675">
        <f>ABS($B$34*BN128*3600)</f>
        <v>2.0740483563206472E-3</v>
      </c>
      <c r="BQ128" s="614">
        <f>BP128*$C$87</f>
        <v>0.20740483563206472</v>
      </c>
      <c r="BR128" s="672">
        <f>BP128*$F$78</f>
        <v>2.4888580275847765E-3</v>
      </c>
      <c r="BS128" s="600">
        <f>BP128*$F$83</f>
        <v>2.5095985111479829E-3</v>
      </c>
      <c r="BT128" s="672">
        <f>BP128*$F$80</f>
        <v>2.5095985111479829E-3</v>
      </c>
      <c r="BU128" s="676">
        <f>BP128*$F$79</f>
        <v>2.5925604454008089E-3</v>
      </c>
      <c r="BV128" s="668">
        <v>20.3</v>
      </c>
      <c r="BW128" s="669">
        <v>48</v>
      </c>
      <c r="BX128" s="670">
        <v>1007</v>
      </c>
      <c r="BY128" s="2011">
        <v>-6.6000000000000005E-11</v>
      </c>
      <c r="BZ128" s="673">
        <v>60</v>
      </c>
      <c r="CA128" s="663">
        <v>44334</v>
      </c>
      <c r="CB128" s="650" t="s">
        <v>268</v>
      </c>
      <c r="CC128" s="671">
        <f>IF(CB128="Low",BY128*$D$42,IF(CB128="Med",BY128*$D$43,IF(CB128="High",BY128*$D$44,"rango cal. out")))</f>
        <v>-6.6197999999999997E-11</v>
      </c>
      <c r="CD128" s="619">
        <f>((273.2+BV128)*$F$33/((273.2+$F$32)*BX128))</f>
        <v>1.0004120041821074</v>
      </c>
      <c r="CE128" s="674">
        <f>CC128/BZ128*CD128*EXP(-LN(2)/10990*($F$96-CA128))</f>
        <v>-1.0930858131515351E-12</v>
      </c>
      <c r="CF128" s="599">
        <f>CE128-AVERAGE(CM102:CM103)</f>
        <v>-1.0912843179163934E-12</v>
      </c>
      <c r="CG128" s="672" t="e">
        <f>ABS(#REF!*CF128*3600)</f>
        <v>#REF!</v>
      </c>
      <c r="CH128" s="675">
        <f>ABS($B$34*CF128*3600)</f>
        <v>9.9001313321375216E-5</v>
      </c>
      <c r="CI128" s="614">
        <f>CH128*$C$87</f>
        <v>9.9001313321375219E-3</v>
      </c>
      <c r="CJ128" s="672">
        <f>CH128*$F$78</f>
        <v>1.1880157598565025E-4</v>
      </c>
      <c r="CK128" s="600">
        <f>CH128*$F$83</f>
        <v>1.1979158911886401E-4</v>
      </c>
      <c r="CL128" s="672">
        <f>CH128*$F$80</f>
        <v>1.1979158911886401E-4</v>
      </c>
      <c r="CM128" s="676">
        <f>CH128*$F$79</f>
        <v>1.2375164165171902E-4</v>
      </c>
      <c r="CN128" s="668">
        <v>20.3</v>
      </c>
      <c r="CO128" s="669">
        <v>50</v>
      </c>
      <c r="CP128" s="680">
        <v>1007</v>
      </c>
      <c r="CQ128" s="2011">
        <v>-3.2110000000000002E-9</v>
      </c>
      <c r="CR128" s="673">
        <v>60</v>
      </c>
      <c r="CS128" s="663">
        <v>44334</v>
      </c>
      <c r="CT128" s="650" t="s">
        <v>268</v>
      </c>
      <c r="CU128" s="671">
        <f>IF(CT128="Low",CQ128*$D$42,IF(CT128="Med",CQ128*$D$43,IF(CT128="High",CQ128*$D$44,"rango cal. out")))</f>
        <v>-3.220633E-9</v>
      </c>
      <c r="CV128" s="619">
        <f>((273.2+CN128)*$F$33/((273.2+$F$32)*CP128))</f>
        <v>1.0004120041821074</v>
      </c>
      <c r="CW128" s="674">
        <f>CU128/CR128*CV128*EXP(-LN(2)/10990*($F$96-CS128))</f>
        <v>-5.3180281000448169E-11</v>
      </c>
      <c r="CX128" s="599">
        <f>CW128-AVERAGE(DE102:DE103)</f>
        <v>-5.3168993313742746E-11</v>
      </c>
      <c r="CY128" s="672" t="e">
        <f>ABS(#REF!*CX128*3600)</f>
        <v>#REF!</v>
      </c>
      <c r="CZ128" s="675">
        <f>ABS($B$34*CX128*3600)</f>
        <v>4.8234910734227419E-3</v>
      </c>
      <c r="DA128" s="614">
        <f>CZ128*$C$87</f>
        <v>0.48234910734227421</v>
      </c>
      <c r="DB128" s="672">
        <f>CZ128*$F$78</f>
        <v>5.7881892881072898E-3</v>
      </c>
      <c r="DC128" s="600">
        <f>CZ128*$F$83</f>
        <v>5.8364241988415177E-3</v>
      </c>
      <c r="DD128" s="672">
        <f>CZ128*$F$80</f>
        <v>5.8364241988415177E-3</v>
      </c>
      <c r="DE128" s="676">
        <f>CZ128*$F$79</f>
        <v>6.0293638417784276E-3</v>
      </c>
      <c r="DF128" s="668"/>
      <c r="DG128" s="669"/>
      <c r="DH128" s="670"/>
      <c r="DI128" s="671"/>
      <c r="DJ128" s="678"/>
      <c r="DK128" s="650"/>
      <c r="DL128" s="650" t="s">
        <v>268</v>
      </c>
      <c r="DM128" s="671">
        <f>IF(DL128="Low",DI128*$D$42,IF(DL128="Med",DI128*$D$43,IF(DL128="High",DI128*$D$44,"rango cal. out")))</f>
        <v>0</v>
      </c>
      <c r="DN128" s="619" t="e">
        <f>((273.2+DF128)*$F$33/((273.2+$F$32)*DH128))</f>
        <v>#DIV/0!</v>
      </c>
      <c r="DO128" s="674" t="e">
        <f>DM128/DJ128*DN128*EXP(-LN(2)/10990*($F$96-DK128))</f>
        <v>#DIV/0!</v>
      </c>
      <c r="DP128" s="599" t="e">
        <f>DO128-AVERAGE(DW102:DW103)</f>
        <v>#DIV/0!</v>
      </c>
      <c r="DQ128" s="672" t="e">
        <f>ABS(#REF!*DP128*3600)</f>
        <v>#REF!</v>
      </c>
      <c r="DR128" s="675" t="e">
        <f>ABS($B$34*DP128*3600)</f>
        <v>#DIV/0!</v>
      </c>
      <c r="DS128" s="614" t="e">
        <f>DR128*$C$87</f>
        <v>#DIV/0!</v>
      </c>
      <c r="DT128" s="672" t="e">
        <f>DR128*$F$78</f>
        <v>#DIV/0!</v>
      </c>
      <c r="DU128" s="600" t="e">
        <f>DR128*$F$83</f>
        <v>#DIV/0!</v>
      </c>
      <c r="DV128" s="672" t="e">
        <f>DR128*$F$80</f>
        <v>#DIV/0!</v>
      </c>
      <c r="DW128" s="676" t="e">
        <f>DR128*$F$79</f>
        <v>#DIV/0!</v>
      </c>
      <c r="DX128" s="668"/>
      <c r="DY128" s="669"/>
      <c r="DZ128" s="677"/>
      <c r="EA128" s="679"/>
      <c r="EB128" s="678"/>
      <c r="EC128" s="650"/>
      <c r="ED128" s="650"/>
      <c r="EE128" s="671" t="str">
        <f>IF(ED128="Low",EA128*$D$42,IF(ED128="Med",EA128*$D$43,IF(ED128="High",EA128*$D$44,"rango cal. out")))</f>
        <v>rango cal. out</v>
      </c>
      <c r="EF128" s="619" t="e">
        <f>((273.2+DX128)*$F$33/((273.2+$F$32)*DZ128))</f>
        <v>#DIV/0!</v>
      </c>
      <c r="EG128" s="674" t="e">
        <f>EE128/EB128*EF128*EXP(-LN(2)/10990*($F$96-EC128))</f>
        <v>#VALUE!</v>
      </c>
      <c r="EH128" s="599" t="e">
        <f>EG128-AVERAGE(EO102:EO103)</f>
        <v>#VALUE!</v>
      </c>
      <c r="EI128" s="672" t="e">
        <f>ABS(#REF!*EH128*3600)</f>
        <v>#REF!</v>
      </c>
      <c r="EJ128" s="675" t="e">
        <f>ABS($B$34*EH128*3600)</f>
        <v>#VALUE!</v>
      </c>
      <c r="EK128" s="614" t="e">
        <f>EJ128*$C$87</f>
        <v>#VALUE!</v>
      </c>
      <c r="EL128" s="672" t="e">
        <f>EJ128*$F$78</f>
        <v>#VALUE!</v>
      </c>
      <c r="EM128" s="600" t="e">
        <f>EJ128*$F$83</f>
        <v>#VALUE!</v>
      </c>
      <c r="EN128" s="672" t="e">
        <f>EJ128*$F$80</f>
        <v>#VALUE!</v>
      </c>
      <c r="EO128" s="676" t="e">
        <f>EJ128*$F$79</f>
        <v>#VALUE!</v>
      </c>
      <c r="EP128" s="668">
        <v>20.399999999999999</v>
      </c>
      <c r="EQ128" s="669">
        <v>53</v>
      </c>
      <c r="ER128" s="670">
        <v>1007</v>
      </c>
      <c r="ES128" s="2011">
        <v>-1.25E-11</v>
      </c>
      <c r="ET128" s="673">
        <v>60</v>
      </c>
      <c r="EU128" s="663">
        <v>44334</v>
      </c>
      <c r="EV128" s="650" t="s">
        <v>268</v>
      </c>
      <c r="EW128" s="671">
        <f>IF(EV128="Low",ES128*$D$42,IF(EV128="Med",ES128*$D$43,IF(EV128="High",ES128*$D$44,"rango cal. out")))</f>
        <v>-1.2537499999999999E-11</v>
      </c>
      <c r="EX128" s="619">
        <f>((273.2+EP128)*$F$33/((273.2+$F$32)*ER128))</f>
        <v>1.0007528600608746</v>
      </c>
      <c r="EY128" s="674">
        <f>EW128/ET128*EX128*EXP(-LN(2)/10990*($F$96-EU128))</f>
        <v>-2.0709436447607935E-13</v>
      </c>
      <c r="EZ128" s="599">
        <f>EY128-AVERAGE(FG102:FG103)</f>
        <v>-2.0817492828567908E-13</v>
      </c>
      <c r="FA128" s="672" t="e">
        <f>ABS(#REF!*EZ128*3600)</f>
        <v>#REF!</v>
      </c>
      <c r="FB128" s="675">
        <f>ABS($B$34*EZ128*3600)</f>
        <v>1.8885629494076805E-5</v>
      </c>
      <c r="FC128" s="614">
        <f>FB128*$C$87</f>
        <v>1.8885629494076806E-3</v>
      </c>
      <c r="FD128" s="672">
        <f>FB128*$F$78</f>
        <v>2.2662755392892166E-5</v>
      </c>
      <c r="FE128" s="600">
        <f>FB128*$F$83</f>
        <v>2.2851611687832935E-5</v>
      </c>
      <c r="FF128" s="672">
        <f>FB128*$F$80</f>
        <v>2.2851611687832935E-5</v>
      </c>
      <c r="FG128" s="676">
        <f>FB128*$F$79</f>
        <v>2.3607036867596005E-5</v>
      </c>
      <c r="FH128" s="668"/>
      <c r="FI128" s="669"/>
      <c r="FJ128" s="670"/>
      <c r="FK128" s="671"/>
      <c r="FL128" s="678"/>
      <c r="FM128" s="650"/>
      <c r="FN128" s="650"/>
      <c r="FO128" s="671" t="str">
        <f>IF(FN128="Low",FK128*$D$42,IF(FN128="Med",FK128*$D$43,IF(FN128="High",FK128*$D$44,"rango cal. out")))</f>
        <v>rango cal. out</v>
      </c>
      <c r="FP128" s="619" t="e">
        <f>((273.2+FH128)*$F$33/((273.2+$F$32)*FJ128))</f>
        <v>#DIV/0!</v>
      </c>
      <c r="FQ128" s="674" t="e">
        <f>FO128/FL128*FP128*EXP(-LN(2)/10990*($F$96-FM128))</f>
        <v>#VALUE!</v>
      </c>
      <c r="FR128" s="599" t="e">
        <f>FQ128-AVERAGE(FY102:FY103)</f>
        <v>#VALUE!</v>
      </c>
      <c r="FS128" s="672" t="e">
        <f>ABS(#REF!*FR128*3600)</f>
        <v>#REF!</v>
      </c>
      <c r="FT128" s="675" t="e">
        <f>ABS($B$34*FR128*3600)</f>
        <v>#VALUE!</v>
      </c>
      <c r="FU128" s="614" t="e">
        <f>FT128*$C$87</f>
        <v>#VALUE!</v>
      </c>
      <c r="FV128" s="672" t="e">
        <f>FT128*$F$78</f>
        <v>#VALUE!</v>
      </c>
      <c r="FW128" s="600" t="e">
        <f>FT128*$F$83</f>
        <v>#VALUE!</v>
      </c>
      <c r="FX128" s="672" t="e">
        <f>FT128*$F$80</f>
        <v>#VALUE!</v>
      </c>
      <c r="FY128" s="676" t="e">
        <f>FT128*$F$79</f>
        <v>#VALUE!</v>
      </c>
      <c r="FZ128" s="668"/>
      <c r="GA128" s="669"/>
      <c r="GB128" s="670"/>
      <c r="GC128" s="671"/>
      <c r="GD128" s="678"/>
      <c r="GE128" s="650"/>
      <c r="GF128" s="650"/>
      <c r="GG128" s="671" t="str">
        <f>IF(GF128="Low",GC128*$D$42,IF(GF128="Med",GC128*$D$43,IF(GF128="High",GC128*$D$44,"rango cal. out")))</f>
        <v>rango cal. out</v>
      </c>
      <c r="GH128" s="619" t="e">
        <f>((273.2+FZ128)*$F$33/((273.2+$F$32)*GB128))</f>
        <v>#DIV/0!</v>
      </c>
      <c r="GI128" s="674" t="e">
        <f>GG128/GD128*GH128*EXP(-LN(2)/10990*($F$96-GE128))</f>
        <v>#VALUE!</v>
      </c>
      <c r="GJ128" s="599" t="e">
        <f>GI128-AVERAGE(GQ102:GQ103)</f>
        <v>#VALUE!</v>
      </c>
      <c r="GK128" s="672" t="e">
        <f>ABS(#REF!*GJ128*3600)</f>
        <v>#REF!</v>
      </c>
      <c r="GL128" s="675" t="e">
        <f>ABS($B$34*GJ128*3600)</f>
        <v>#VALUE!</v>
      </c>
      <c r="GM128" s="614" t="e">
        <f>GL128*$C$87</f>
        <v>#VALUE!</v>
      </c>
      <c r="GN128" s="672" t="e">
        <f>GL128*$F$78</f>
        <v>#VALUE!</v>
      </c>
      <c r="GO128" s="600" t="e">
        <f>GL128*$F$83</f>
        <v>#VALUE!</v>
      </c>
      <c r="GP128" s="672" t="e">
        <f>GL128*$F$80</f>
        <v>#VALUE!</v>
      </c>
      <c r="GQ128" s="676" t="e">
        <f>GL128*$F$79</f>
        <v>#VALUE!</v>
      </c>
      <c r="GR128" s="668"/>
      <c r="GS128" s="669"/>
      <c r="GT128" s="677"/>
      <c r="GU128" s="679"/>
      <c r="GV128" s="678"/>
      <c r="GW128" s="650"/>
      <c r="GX128" s="650"/>
      <c r="GY128" s="671" t="str">
        <f>IF(GX128="Low",GU128*$D$42,IF(GX128="Med",GU128*$D$43,IF(GX128="High",GU128*$D$44,"rango cal. out")))</f>
        <v>rango cal. out</v>
      </c>
      <c r="GZ128" s="619" t="e">
        <f>((273.2+GR128)*$F$33/((273.2+$F$32)*GT128))</f>
        <v>#DIV/0!</v>
      </c>
      <c r="HA128" s="674" t="e">
        <f>GY128/GV128*GZ128*EXP(-LN(2)/10990*($F$96-GW128))</f>
        <v>#VALUE!</v>
      </c>
      <c r="HB128" s="599" t="e">
        <f>HA128-AVERAGE(HI102:HI103)</f>
        <v>#VALUE!</v>
      </c>
      <c r="HC128" s="672" t="e">
        <f>ABS(#REF!*HB128*3600)</f>
        <v>#REF!</v>
      </c>
      <c r="HD128" s="675" t="e">
        <f>ABS($B$34*HB128*3600)</f>
        <v>#VALUE!</v>
      </c>
      <c r="HE128" s="614" t="e">
        <f>HD128*$C$87</f>
        <v>#VALUE!</v>
      </c>
      <c r="HF128" s="672" t="e">
        <f>HD128*$F$78</f>
        <v>#VALUE!</v>
      </c>
      <c r="HG128" s="600" t="e">
        <f>HD128*$F$83</f>
        <v>#VALUE!</v>
      </c>
      <c r="HH128" s="672" t="e">
        <f>HD128*$F$80</f>
        <v>#VALUE!</v>
      </c>
      <c r="HI128" s="676" t="e">
        <f>HD128*$F$79</f>
        <v>#VALUE!</v>
      </c>
      <c r="HJ128" s="668"/>
      <c r="HK128" s="669"/>
      <c r="HL128" s="670"/>
      <c r="HM128" s="671"/>
      <c r="HN128" s="678"/>
      <c r="HO128" s="650"/>
      <c r="HP128" s="650"/>
      <c r="HQ128" s="671" t="str">
        <f>IF(HP128="Low",HM128*$D$42,IF(HP128="Med",HM128*$D$43,IF(HP128="High",HM128*$D$44,"rango cal. out")))</f>
        <v>rango cal. out</v>
      </c>
      <c r="HR128" s="619" t="e">
        <f>((273.2+HJ128)*$F$33/((273.2+$F$32)*HL128))</f>
        <v>#DIV/0!</v>
      </c>
      <c r="HS128" s="674" t="e">
        <f>HQ128/HN128*HR128*EXP(-LN(2)/10990*($F$96-HO128))</f>
        <v>#VALUE!</v>
      </c>
      <c r="HT128" s="599" t="e">
        <f>HS128-AVERAGE(IA102:IA103)</f>
        <v>#VALUE!</v>
      </c>
      <c r="HU128" s="672" t="e">
        <f>ABS(#REF!*HT128*3600)</f>
        <v>#REF!</v>
      </c>
      <c r="HV128" s="675" t="e">
        <f>ABS($B$34*HT128*3600)</f>
        <v>#VALUE!</v>
      </c>
      <c r="HW128" s="614" t="e">
        <f>HV128*$C$87</f>
        <v>#VALUE!</v>
      </c>
      <c r="HX128" s="672" t="e">
        <f>HV128*$F$78</f>
        <v>#VALUE!</v>
      </c>
      <c r="HY128" s="600" t="e">
        <f>HV128*$F$83</f>
        <v>#VALUE!</v>
      </c>
      <c r="HZ128" s="672" t="e">
        <f>HV128*$F$80</f>
        <v>#VALUE!</v>
      </c>
      <c r="IA128" s="676" t="e">
        <f>HV128*$F$79</f>
        <v>#VALUE!</v>
      </c>
      <c r="IB128" s="668"/>
      <c r="IC128" s="669"/>
      <c r="ID128" s="670"/>
      <c r="IE128" s="671"/>
      <c r="IF128" s="678"/>
      <c r="IG128" s="650"/>
      <c r="IH128" s="650"/>
      <c r="II128" s="671" t="str">
        <f>IF(IH128="Low",IE128*$D$42,IF(IH128="Med",IE128*$D$43,IF(IH128="High",IE128*$D$44,"rango cal. out")))</f>
        <v>rango cal. out</v>
      </c>
      <c r="IJ128" s="619" t="e">
        <f>((273.2+IB128)*$F$33/((273.2+$F$32)*ID128))</f>
        <v>#DIV/0!</v>
      </c>
      <c r="IK128" s="674" t="e">
        <f>II128/IF128*IJ128*EXP(-LN(2)/10990*($F$96-IG128))</f>
        <v>#VALUE!</v>
      </c>
      <c r="IL128" s="599" t="e">
        <f>IK128-AVERAGE(IS102:IS103)</f>
        <v>#VALUE!</v>
      </c>
      <c r="IM128" s="672" t="e">
        <f>ABS(#REF!*IL128*3600)</f>
        <v>#REF!</v>
      </c>
      <c r="IN128" s="675" t="e">
        <f>ABS($B$34*IL128*3600)</f>
        <v>#VALUE!</v>
      </c>
      <c r="IO128" s="614" t="e">
        <f>IN128*$C$87</f>
        <v>#VALUE!</v>
      </c>
      <c r="IP128" s="672" t="e">
        <f>IN128*$F$78</f>
        <v>#VALUE!</v>
      </c>
      <c r="IQ128" s="600" t="e">
        <f>IN128*$F$83</f>
        <v>#VALUE!</v>
      </c>
      <c r="IR128" s="672" t="e">
        <f>IN128*$F$80</f>
        <v>#VALUE!</v>
      </c>
      <c r="IS128" s="676" t="e">
        <f>IN128*$F$79</f>
        <v>#VALUE!</v>
      </c>
      <c r="IT128" s="668"/>
      <c r="IU128" s="669"/>
      <c r="IV128" s="670"/>
      <c r="IW128" s="671"/>
      <c r="IX128" s="678"/>
      <c r="IY128" s="650"/>
      <c r="IZ128" s="650"/>
      <c r="JA128" s="671" t="str">
        <f>IF(IZ128="Low",IW128*$D$42,IF(IZ128="Med",IW128*$D$43,IF(IZ128="High",IW128*$D$44,"rango cal. out")))</f>
        <v>rango cal. out</v>
      </c>
      <c r="JB128" s="619" t="e">
        <f>((273.2+IT128)*$F$33/((273.2+$F$32)*IV128))</f>
        <v>#DIV/0!</v>
      </c>
      <c r="JC128" s="674" t="e">
        <f>JA128/IX128*JB128*EXP(-LN(2)/10990*($F$96-IY128))</f>
        <v>#VALUE!</v>
      </c>
      <c r="JD128" s="599" t="e">
        <f>JC128-AVERAGE(JK102:JK103)</f>
        <v>#VALUE!</v>
      </c>
      <c r="JE128" s="672" t="e">
        <f>ABS(#REF!*JD128*3600)</f>
        <v>#REF!</v>
      </c>
      <c r="JF128" s="675" t="e">
        <f>ABS($B$34*JD128*3600)</f>
        <v>#VALUE!</v>
      </c>
      <c r="JG128" s="614" t="e">
        <f>JF128*$C$87</f>
        <v>#VALUE!</v>
      </c>
      <c r="JH128" s="672" t="e">
        <f>JF128*$F$78</f>
        <v>#VALUE!</v>
      </c>
      <c r="JI128" s="600" t="e">
        <f>JF128*$F$83</f>
        <v>#VALUE!</v>
      </c>
      <c r="JJ128" s="672" t="e">
        <f>JF128*$F$80</f>
        <v>#VALUE!</v>
      </c>
      <c r="JK128" s="676" t="e">
        <f>JF128*$F$79</f>
        <v>#VALUE!</v>
      </c>
      <c r="JL128" s="668"/>
      <c r="JM128" s="669"/>
      <c r="JN128" s="670"/>
      <c r="JO128" s="671"/>
      <c r="JP128" s="678"/>
      <c r="JQ128" s="650"/>
      <c r="JR128" s="650"/>
      <c r="JS128" s="671" t="str">
        <f>IF(JR128="Low",JO128*$D$42,IF(JR128="Med",JO128*$D$43,IF(JR128="High",JO128*$D$44,"rango cal. out")))</f>
        <v>rango cal. out</v>
      </c>
      <c r="JT128" s="619" t="e">
        <f>((273.2+JL128)*$F$33/((273.2+$F$32)*JN128))</f>
        <v>#DIV/0!</v>
      </c>
      <c r="JU128" s="674" t="e">
        <f>JS128/JP128*JT128*EXP(-LN(2)/10990*($F$96-JQ128))</f>
        <v>#VALUE!</v>
      </c>
      <c r="JV128" s="599" t="e">
        <f>JU128-AVERAGE(KC102:KC103)</f>
        <v>#VALUE!</v>
      </c>
      <c r="JW128" s="672" t="e">
        <f>ABS(#REF!*JV128*3600)</f>
        <v>#REF!</v>
      </c>
      <c r="JX128" s="675" t="e">
        <f>ABS($B$34*JV128*3600)</f>
        <v>#VALUE!</v>
      </c>
      <c r="JY128" s="614" t="e">
        <f>JX128*$C$87</f>
        <v>#VALUE!</v>
      </c>
      <c r="JZ128" s="672" t="e">
        <f>JX128*$F$78</f>
        <v>#VALUE!</v>
      </c>
      <c r="KA128" s="600" t="e">
        <f>JX128*$F$83</f>
        <v>#VALUE!</v>
      </c>
      <c r="KB128" s="672" t="e">
        <f>JX128*$F$80</f>
        <v>#VALUE!</v>
      </c>
      <c r="KC128" s="676" t="e">
        <f>JX128*$F$79</f>
        <v>#VALUE!</v>
      </c>
      <c r="KD128" s="668"/>
      <c r="KE128" s="669"/>
      <c r="KF128" s="670"/>
      <c r="KG128" s="671"/>
      <c r="KH128" s="678"/>
      <c r="KI128" s="650"/>
      <c r="KJ128" s="650"/>
      <c r="KK128" s="671" t="str">
        <f>IF(KJ128="Low",KG128*$D$42,IF(KJ128="Med",KG128*$D$43,IF(KJ128="High",KG128*$D$44,"rango cal. out")))</f>
        <v>rango cal. out</v>
      </c>
      <c r="KL128" s="619" t="e">
        <f>((273.2+KD128)*$F$33/((273.2+$F$32)*KF128))</f>
        <v>#DIV/0!</v>
      </c>
      <c r="KM128" s="674" t="e">
        <f>KK128/KH128*KL128*EXP(-LN(2)/10990*($F$96-KI128))</f>
        <v>#VALUE!</v>
      </c>
      <c r="KN128" s="599" t="e">
        <f>KM128-AVERAGE(KU102:KU103)</f>
        <v>#VALUE!</v>
      </c>
      <c r="KO128" s="672" t="e">
        <f>ABS(#REF!*KN128*3600)</f>
        <v>#REF!</v>
      </c>
      <c r="KP128" s="675" t="e">
        <f>ABS($B$34*KN128*3600)</f>
        <v>#VALUE!</v>
      </c>
      <c r="KQ128" s="614" t="e">
        <f>KP128*$C$87</f>
        <v>#VALUE!</v>
      </c>
      <c r="KR128" s="672" t="e">
        <f>KP128*$F$78</f>
        <v>#VALUE!</v>
      </c>
      <c r="KS128" s="600" t="e">
        <f>KP128*$F$83</f>
        <v>#VALUE!</v>
      </c>
      <c r="KT128" s="672" t="e">
        <f>KP128*$F$80</f>
        <v>#VALUE!</v>
      </c>
      <c r="KU128" s="676" t="e">
        <f>KP128*$F$79</f>
        <v>#VALUE!</v>
      </c>
      <c r="KV128" s="668"/>
      <c r="KW128" s="669"/>
      <c r="KX128" s="670"/>
      <c r="KY128" s="671"/>
      <c r="KZ128" s="678"/>
      <c r="LA128" s="650"/>
      <c r="LB128" s="650"/>
      <c r="LC128" s="671" t="str">
        <f>IF(LB128="Low",KY128*$D$42,IF(LB128="Med",KY128*$D$43,IF(LB128="High",KY128*$D$44,"rango cal. out")))</f>
        <v>rango cal. out</v>
      </c>
      <c r="LD128" s="619" t="e">
        <f>((273.2+KV128)*$F$33/((273.2+$F$32)*KX128))</f>
        <v>#DIV/0!</v>
      </c>
      <c r="LE128" s="674" t="e">
        <f>LC128/KZ128*LD128*EXP(-LN(2)/10990*($F$96-LA128))</f>
        <v>#VALUE!</v>
      </c>
      <c r="LF128" s="599" t="e">
        <f>LE128-AVERAGE(LM102:LM103)</f>
        <v>#VALUE!</v>
      </c>
      <c r="LG128" s="672" t="e">
        <f>ABS(#REF!*LF128*3600)</f>
        <v>#REF!</v>
      </c>
      <c r="LH128" s="675" t="e">
        <f>ABS($B$34*LF128*3600)</f>
        <v>#VALUE!</v>
      </c>
      <c r="LI128" s="614" t="e">
        <f>LH128*$C$87</f>
        <v>#VALUE!</v>
      </c>
      <c r="LJ128" s="672" t="e">
        <f>LH128*$F$78</f>
        <v>#VALUE!</v>
      </c>
      <c r="LK128" s="600" t="e">
        <f>LH128*$F$83</f>
        <v>#VALUE!</v>
      </c>
      <c r="LL128" s="672" t="e">
        <f>LH128*$F$80</f>
        <v>#VALUE!</v>
      </c>
      <c r="LM128" s="676" t="e">
        <f>LH128*$F$79</f>
        <v>#VALUE!</v>
      </c>
      <c r="LN128" s="668"/>
      <c r="LO128" s="669"/>
      <c r="LP128" s="670"/>
      <c r="LQ128" s="671"/>
      <c r="LR128" s="678"/>
      <c r="LS128" s="650"/>
      <c r="LT128" s="650"/>
      <c r="LU128" s="671" t="str">
        <f>IF(LT128="Low",LQ128*$D$42,IF(LT128="Med",LQ128*$D$43,IF(LT128="High",LQ128*$D$44,"rango cal. out")))</f>
        <v>rango cal. out</v>
      </c>
      <c r="LV128" s="619" t="e">
        <f>((273.2+LN128)*$F$33/((273.2+$F$32)*LP128))</f>
        <v>#DIV/0!</v>
      </c>
      <c r="LW128" s="674" t="e">
        <f>LU128/LR128*LV128*EXP(-LN(2)/10990*($F$96-LS128))</f>
        <v>#VALUE!</v>
      </c>
      <c r="LX128" s="599" t="e">
        <f>LW128-AVERAGE(ME102:ME103)</f>
        <v>#VALUE!</v>
      </c>
      <c r="LY128" s="672" t="e">
        <f>ABS(#REF!*LX128*3600)</f>
        <v>#REF!</v>
      </c>
      <c r="LZ128" s="675" t="e">
        <f>ABS($B$34*LX128*3600)</f>
        <v>#VALUE!</v>
      </c>
      <c r="MA128" s="614" t="e">
        <f>LZ128*$C$87</f>
        <v>#VALUE!</v>
      </c>
      <c r="MB128" s="672" t="e">
        <f>LZ128*$F$78</f>
        <v>#VALUE!</v>
      </c>
      <c r="MC128" s="600" t="e">
        <f>LZ128*$F$83</f>
        <v>#VALUE!</v>
      </c>
      <c r="MD128" s="672" t="e">
        <f>LZ128*$F$80</f>
        <v>#VALUE!</v>
      </c>
      <c r="ME128" s="676" t="e">
        <f>LZ128*$F$79</f>
        <v>#VALUE!</v>
      </c>
      <c r="MF128" s="668"/>
      <c r="MG128" s="669"/>
      <c r="MH128" s="670"/>
      <c r="MI128" s="671"/>
      <c r="MJ128" s="678"/>
      <c r="MK128" s="650"/>
      <c r="ML128" s="650"/>
      <c r="MM128" s="671" t="str">
        <f>IF(ML128="Low",MI128*$D$42,IF(ML128="Med",MI128*$D$43,IF(ML128="High",MI128*$D$44,"rango cal. out")))</f>
        <v>rango cal. out</v>
      </c>
      <c r="MN128" s="619" t="e">
        <f>((273.2+MF128)*$F$33/((273.2+$F$32)*MH128))</f>
        <v>#DIV/0!</v>
      </c>
      <c r="MO128" s="674" t="e">
        <f>MM128/MJ128*MN128*EXP(-LN(2)/10990*($F$96-MK128))</f>
        <v>#VALUE!</v>
      </c>
      <c r="MP128" s="599" t="e">
        <f>MO128-AVERAGE(MW102:MW103)</f>
        <v>#VALUE!</v>
      </c>
      <c r="MQ128" s="672" t="e">
        <f>ABS(#REF!*MP128*3600)</f>
        <v>#REF!</v>
      </c>
      <c r="MR128" s="675" t="e">
        <f>ABS($B$34*MP128*3600)</f>
        <v>#VALUE!</v>
      </c>
      <c r="MS128" s="614" t="e">
        <f>MR128*$C$87</f>
        <v>#VALUE!</v>
      </c>
      <c r="MT128" s="672" t="e">
        <f>MR128*$F$78</f>
        <v>#VALUE!</v>
      </c>
      <c r="MU128" s="600" t="e">
        <f>MR128*$F$83</f>
        <v>#VALUE!</v>
      </c>
      <c r="MV128" s="672" t="e">
        <f>MR128*$F$80</f>
        <v>#VALUE!</v>
      </c>
      <c r="MW128" s="676" t="e">
        <f>MR128*$F$79</f>
        <v>#VALUE!</v>
      </c>
      <c r="MX128" s="668"/>
      <c r="MY128" s="669"/>
      <c r="MZ128" s="680"/>
      <c r="NA128" s="671"/>
      <c r="NB128" s="673"/>
      <c r="NC128" s="650"/>
      <c r="ND128" s="650"/>
      <c r="NE128" s="671" t="str">
        <f>IF(ND128="Low",NA128*$D$42,IF(ND128="Med",NA128*$D$43,IF(ND128="High",NA128*$D$44,"rango cal. out")))</f>
        <v>rango cal. out</v>
      </c>
      <c r="NF128" s="619" t="e">
        <f>((273.2+MX128)*$F$33/((273.2+$F$32)*MZ128))</f>
        <v>#DIV/0!</v>
      </c>
      <c r="NG128" s="674" t="e">
        <f>NE128/NB128*NF128*EXP(-LN(2)/10990*($F$96-NC128))</f>
        <v>#VALUE!</v>
      </c>
      <c r="NH128" s="599" t="e">
        <f>NG128-AVERAGE(NO102:NO103)</f>
        <v>#VALUE!</v>
      </c>
      <c r="NI128" s="672" t="e">
        <f>ABS(#REF!*NH128*3600)</f>
        <v>#REF!</v>
      </c>
      <c r="NJ128" s="675" t="e">
        <f>ABS($B$34*NH128*3600)</f>
        <v>#VALUE!</v>
      </c>
      <c r="NK128" s="614" t="e">
        <f>NJ128*$C$87</f>
        <v>#VALUE!</v>
      </c>
      <c r="NL128" s="672" t="e">
        <f>NJ128*$F$78</f>
        <v>#VALUE!</v>
      </c>
      <c r="NM128" s="600" t="e">
        <f>NJ128*$F$83</f>
        <v>#VALUE!</v>
      </c>
      <c r="NN128" s="672" t="e">
        <f>NJ128*$F$80</f>
        <v>#VALUE!</v>
      </c>
      <c r="NO128" s="676" t="e">
        <f>NJ128*$F$79</f>
        <v>#VALUE!</v>
      </c>
      <c r="NP128" s="668">
        <v>20.399999999999999</v>
      </c>
      <c r="NQ128" s="669">
        <v>53</v>
      </c>
      <c r="NR128" s="680">
        <v>1007</v>
      </c>
      <c r="NS128" s="2011">
        <v>-1.05E-10</v>
      </c>
      <c r="NT128" s="678">
        <v>60</v>
      </c>
      <c r="NU128" s="663">
        <v>44334</v>
      </c>
      <c r="NV128" s="650" t="s">
        <v>268</v>
      </c>
      <c r="NW128" s="671">
        <f>IF(NV128="Low",NS128*$D$42,IF(NV128="Med",NS128*$D$43,IF(NV128="High",NS128*$D$44,"rango cal. out")))</f>
        <v>-1.0531499999999999E-10</v>
      </c>
      <c r="NX128" s="619">
        <f>((273.2+NP128)*$F$33/((273.2+$F$32)*NR128))</f>
        <v>1.0007528600608746</v>
      </c>
      <c r="NY128" s="674">
        <f>NW128/NT128*NX128*EXP(-LN(2)/10990*($F$96-NU128))</f>
        <v>-1.7395926615990666E-12</v>
      </c>
      <c r="NZ128" s="599">
        <f>NY128-AVERAGE(OG102:OG103)</f>
        <v>-1.7403448226710251E-12</v>
      </c>
      <c r="OA128" s="672" t="e">
        <f>ABS(#REF!*NZ128*3600)</f>
        <v>#REF!</v>
      </c>
      <c r="OB128" s="675">
        <f>ABS($B$34*NZ128*3600)</f>
        <v>1.5788408231271538E-4</v>
      </c>
      <c r="OC128" s="614">
        <f>OB128*$C$87</f>
        <v>1.5788408231271537E-2</v>
      </c>
      <c r="OD128" s="672">
        <f>OB128*$F$78</f>
        <v>1.8946089877525845E-4</v>
      </c>
      <c r="OE128" s="600">
        <f>OB128*$F$83</f>
        <v>1.910397395983856E-4</v>
      </c>
      <c r="OF128" s="672">
        <f>OB128*$F$80</f>
        <v>1.910397395983856E-4</v>
      </c>
      <c r="OG128" s="676">
        <f>OB128*$F$79</f>
        <v>1.9735510289089423E-4</v>
      </c>
      <c r="OH128" s="668"/>
      <c r="OI128" s="669"/>
      <c r="OJ128" s="670"/>
      <c r="OK128" s="671"/>
      <c r="OL128" s="678"/>
      <c r="OM128" s="650"/>
      <c r="ON128" s="650"/>
      <c r="OO128" s="671" t="str">
        <f>IF(ON128="Low",OK128*$D$42,IF(ON128="Med",OK128*$D$43,IF(ON128="High",OK128*$D$44,"rango cal. out")))</f>
        <v>rango cal. out</v>
      </c>
      <c r="OP128" s="619" t="e">
        <f>((273.2+OH128)*$F$33/((273.2+$F$32)*OJ128))</f>
        <v>#DIV/0!</v>
      </c>
      <c r="OQ128" s="674" t="e">
        <f>OO128/OL128*OP128*EXP(-LN(2)/10990*($F$96-OM128))</f>
        <v>#VALUE!</v>
      </c>
      <c r="OR128" s="599" t="e">
        <f>OQ128-AVERAGE(OY102:OY103)</f>
        <v>#VALUE!</v>
      </c>
      <c r="OS128" s="672" t="e">
        <f>ABS(#REF!*OR128*3600)</f>
        <v>#REF!</v>
      </c>
      <c r="OT128" s="675" t="e">
        <f>ABS($B$34*OR128*3600)</f>
        <v>#VALUE!</v>
      </c>
      <c r="OU128" s="614" t="e">
        <f>OT128*$C$87</f>
        <v>#VALUE!</v>
      </c>
      <c r="OV128" s="672" t="e">
        <f>OT128*$F$78</f>
        <v>#VALUE!</v>
      </c>
      <c r="OW128" s="600" t="e">
        <f>OT128*$F$83</f>
        <v>#VALUE!</v>
      </c>
      <c r="OX128" s="672" t="e">
        <f>OT128*$F$80</f>
        <v>#VALUE!</v>
      </c>
      <c r="OY128" s="676" t="e">
        <f>OT128*$F$79</f>
        <v>#VALUE!</v>
      </c>
      <c r="OZ128" s="668">
        <v>20.399999999999999</v>
      </c>
      <c r="PA128" s="669">
        <v>53</v>
      </c>
      <c r="PB128" s="680">
        <v>1007</v>
      </c>
      <c r="PC128" s="2011">
        <v>-2.3450000000000002E-10</v>
      </c>
      <c r="PD128" s="673">
        <v>60</v>
      </c>
      <c r="PE128" s="663">
        <v>44334</v>
      </c>
      <c r="PF128" s="650" t="s">
        <v>268</v>
      </c>
      <c r="PG128" s="671">
        <f>IF(PF128="Low",PC128*$D$42,IF(PF128="Med",PC128*$D$43,IF(PF128="High",PC128*$D$44,"rango cal. out")))</f>
        <v>-2.352035E-10</v>
      </c>
      <c r="PH128" s="619">
        <f>((273.2+OZ128)*$F$33/((273.2+$F$32)*PB128))</f>
        <v>1.0007528600608746</v>
      </c>
      <c r="PI128" s="674">
        <f>PG128/PD128*PH128*EXP(-LN(2)/10990*($F$96-PE128))</f>
        <v>-3.885090277571249E-12</v>
      </c>
      <c r="PJ128" s="599">
        <f>PI128-AVERAGE(PQ102:PQ103)</f>
        <v>-3.8834170674748087E-12</v>
      </c>
      <c r="PK128" s="672" t="e">
        <f>ABS(#REF!*PJ128*3600)</f>
        <v>#REF!</v>
      </c>
      <c r="PL128" s="675">
        <f>ABS($B$34*PJ128*3600)</f>
        <v>3.5230359636131465E-4</v>
      </c>
      <c r="PM128" s="614">
        <f>PL128*$C$87</f>
        <v>3.5230359636131463E-2</v>
      </c>
      <c r="PN128" s="672">
        <f>PL128*$F$78</f>
        <v>4.2276431563357755E-4</v>
      </c>
      <c r="PO128" s="600">
        <f>PL128*$F$83</f>
        <v>4.2628735159719073E-4</v>
      </c>
      <c r="PP128" s="672">
        <f>PL128*$F$80</f>
        <v>4.2628735159719073E-4</v>
      </c>
      <c r="PQ128" s="676">
        <f>PL128*$F$79</f>
        <v>4.4037949545164333E-4</v>
      </c>
      <c r="PR128" s="668"/>
      <c r="PS128" s="669"/>
      <c r="PT128" s="670"/>
      <c r="PU128" s="671"/>
      <c r="PV128" s="678"/>
      <c r="PW128" s="650"/>
      <c r="PX128" s="650"/>
      <c r="PY128" s="671" t="str">
        <f>IF(PX128="Low",PU128*$D$42,IF(PX128="Med",PU128*$D$43,IF(PX128="High",PU128*$D$44,"rango cal. out")))</f>
        <v>rango cal. out</v>
      </c>
      <c r="PZ128" s="619" t="e">
        <f>((273.2+PR128)*$F$33/((273.2+$F$32)*PT128))</f>
        <v>#DIV/0!</v>
      </c>
      <c r="QA128" s="674" t="e">
        <f>PY128/PV128*PZ128*EXP(-LN(2)/10990*($F$96-PW128))</f>
        <v>#VALUE!</v>
      </c>
      <c r="QB128" s="599" t="e">
        <f>QA128-AVERAGE(QI102:QI103)</f>
        <v>#VALUE!</v>
      </c>
      <c r="QC128" s="672" t="e">
        <f>ABS(#REF!*QB128*3600)</f>
        <v>#REF!</v>
      </c>
      <c r="QD128" s="675" t="e">
        <f>ABS($B$34*QB128*3600)</f>
        <v>#VALUE!</v>
      </c>
      <c r="QE128" s="614" t="e">
        <f>QD128*$C$87</f>
        <v>#VALUE!</v>
      </c>
      <c r="QF128" s="672" t="e">
        <f>QD128*$F$78</f>
        <v>#VALUE!</v>
      </c>
      <c r="QG128" s="600" t="e">
        <f>QD128*$F$83</f>
        <v>#VALUE!</v>
      </c>
      <c r="QH128" s="672" t="e">
        <f>QD128*$F$80</f>
        <v>#VALUE!</v>
      </c>
      <c r="QI128" s="676" t="e">
        <f>QD128*$F$79</f>
        <v>#VALUE!</v>
      </c>
      <c r="QJ128" s="668"/>
      <c r="QK128" s="669"/>
      <c r="QL128" s="670"/>
      <c r="QM128" s="671"/>
      <c r="QN128" s="678"/>
      <c r="QO128" s="650"/>
      <c r="QP128" s="650"/>
      <c r="QQ128" s="671" t="str">
        <f>IF(QP128="Low",QM128*$D$42,IF(QP128="Med",QM128*$D$43,IF(QP128="High",QM128*$D$44,"rango cal. out")))</f>
        <v>rango cal. out</v>
      </c>
      <c r="QR128" s="619" t="e">
        <f>((273.2+QJ128)*$F$33/((273.2+$F$32)*QL128))</f>
        <v>#DIV/0!</v>
      </c>
      <c r="QS128" s="674" t="e">
        <f>QQ128/QN128*QR128*EXP(-LN(2)/10990*($F$96-QO128))</f>
        <v>#VALUE!</v>
      </c>
      <c r="QT128" s="599" t="e">
        <f>QS128-AVERAGE(RA102:RA103)</f>
        <v>#VALUE!</v>
      </c>
      <c r="QU128" s="672" t="e">
        <f>ABS(#REF!*QT128*3600)</f>
        <v>#REF!</v>
      </c>
      <c r="QV128" s="675" t="e">
        <f>ABS($B$34*QT128*3600)</f>
        <v>#VALUE!</v>
      </c>
      <c r="QW128" s="614" t="e">
        <f>QV128*$C$87</f>
        <v>#VALUE!</v>
      </c>
      <c r="QX128" s="672" t="e">
        <f>QV128*$F$78</f>
        <v>#VALUE!</v>
      </c>
      <c r="QY128" s="600" t="e">
        <f>QV128*$F$83</f>
        <v>#VALUE!</v>
      </c>
      <c r="QZ128" s="672" t="e">
        <f>QV128*$F$80</f>
        <v>#VALUE!</v>
      </c>
      <c r="RA128" s="676" t="e">
        <f>QV128*$F$79</f>
        <v>#VALUE!</v>
      </c>
      <c r="RB128" s="668"/>
      <c r="RC128" s="669"/>
      <c r="RD128" s="680"/>
      <c r="RE128" s="671"/>
      <c r="RF128" s="673"/>
      <c r="RG128" s="650"/>
      <c r="RH128" s="650"/>
      <c r="RI128" s="671" t="str">
        <f>IF(RH128="Low",RE128*$D$42,IF(RH128="Med",RE128*$D$43,IF(RH128="High",RE128*$D$44,"rango cal. out")))</f>
        <v>rango cal. out</v>
      </c>
      <c r="RJ128" s="619" t="e">
        <f>((273.2+RB128)*$F$33/((273.2+$F$32)*RD128))</f>
        <v>#DIV/0!</v>
      </c>
      <c r="RK128" s="674" t="e">
        <f>RI128/RF128*RJ128*EXP(-LN(2)/10990*($F$96-RG128))</f>
        <v>#VALUE!</v>
      </c>
      <c r="RL128" s="599" t="e">
        <f>RK128-AVERAGE(RS102:RS103)</f>
        <v>#VALUE!</v>
      </c>
      <c r="RM128" s="672" t="e">
        <f>ABS(#REF!*RL128*3600)</f>
        <v>#REF!</v>
      </c>
      <c r="RN128" s="675" t="e">
        <f>ABS($B$34*RL128*3600)</f>
        <v>#VALUE!</v>
      </c>
      <c r="RO128" s="614" t="e">
        <f>RN128*$C$87</f>
        <v>#VALUE!</v>
      </c>
      <c r="RP128" s="672" t="e">
        <f>RN128*$F$78</f>
        <v>#VALUE!</v>
      </c>
      <c r="RQ128" s="600" t="e">
        <f>RN128*$F$83</f>
        <v>#VALUE!</v>
      </c>
      <c r="RR128" s="672" t="e">
        <f>RN128*$F$80</f>
        <v>#VALUE!</v>
      </c>
      <c r="RS128" s="676" t="e">
        <f>RN128*$F$79</f>
        <v>#VALUE!</v>
      </c>
      <c r="RT128" s="668"/>
      <c r="RU128" s="669"/>
      <c r="RV128" s="677"/>
      <c r="RW128" s="679"/>
      <c r="RX128" s="673"/>
      <c r="RY128" s="650"/>
      <c r="RZ128" s="650"/>
      <c r="SA128" s="671" t="str">
        <f>IF(RZ128="Low",RW128*$D$42,IF(RZ128="Med",RW128*$D$43,IF(RZ128="High",RW128*$D$44,"rango cal. out")))</f>
        <v>rango cal. out</v>
      </c>
      <c r="SB128" s="619" t="e">
        <f>((273.2+RT128)*$F$33/((273.2+$F$32)*RV128))</f>
        <v>#DIV/0!</v>
      </c>
      <c r="SC128" s="674" t="e">
        <f>SA128/RX128*SB128*EXP(-LN(2)/10990*($F$96-RY128))</f>
        <v>#VALUE!</v>
      </c>
      <c r="SD128" s="599" t="e">
        <f>SC128-AVERAGE(SK102:SK103)</f>
        <v>#VALUE!</v>
      </c>
      <c r="SE128" s="672" t="e">
        <f>ABS(#REF!*SD128*3600)</f>
        <v>#REF!</v>
      </c>
      <c r="SF128" s="675" t="e">
        <f>ABS($B$34*SD128*3600)</f>
        <v>#VALUE!</v>
      </c>
      <c r="SG128" s="614" t="e">
        <f>SF128*$C$87</f>
        <v>#VALUE!</v>
      </c>
      <c r="SH128" s="672" t="e">
        <f>SF128*$F$78</f>
        <v>#VALUE!</v>
      </c>
      <c r="SI128" s="600" t="e">
        <f>SF128*$F$83</f>
        <v>#VALUE!</v>
      </c>
      <c r="SJ128" s="672" t="e">
        <f>SF128*$F$80</f>
        <v>#VALUE!</v>
      </c>
      <c r="SK128" s="676" t="e">
        <f>SF128*$F$79</f>
        <v>#VALUE!</v>
      </c>
      <c r="SL128" s="668">
        <v>20.5</v>
      </c>
      <c r="SM128" s="669">
        <v>54</v>
      </c>
      <c r="SN128" s="680">
        <v>1008</v>
      </c>
      <c r="SO128" s="2011">
        <v>-1.7500000000000001E-11</v>
      </c>
      <c r="SP128" s="2025">
        <v>60</v>
      </c>
      <c r="SQ128" s="663">
        <v>44334</v>
      </c>
      <c r="SR128" s="650" t="s">
        <v>268</v>
      </c>
      <c r="SS128" s="671">
        <f>IF(SR128="Low",SO128*$D$42,IF(SR128="Med",SO128*$D$43,IF(SR128="High",SO128*$D$44,"rango cal. out")))</f>
        <v>-1.7552499999999999E-11</v>
      </c>
      <c r="ST128" s="619">
        <f>((273.2+SL128)*$F$33/((273.2+$F$32)*SN128))</f>
        <v>1.0001005674119241</v>
      </c>
      <c r="SU128" s="674">
        <f>SS128/SP128*ST128*EXP(-LN(2)/10990*($F$96-SQ128))</f>
        <v>-2.8974313195651153E-13</v>
      </c>
      <c r="SV128" s="599">
        <f>SU128-AVERAGE(TC102:TC103)</f>
        <v>-2.8781045918247924E-13</v>
      </c>
      <c r="SW128" s="672" t="e">
        <f>ABS(#REF!*SV128*3600)</f>
        <v>#REF!</v>
      </c>
      <c r="SX128" s="675">
        <f>ABS($B$34*SV128*3600)</f>
        <v>2.6110164857034517E-5</v>
      </c>
      <c r="SY128" s="614">
        <f>SX128*$C$87</f>
        <v>2.6110164857034517E-3</v>
      </c>
      <c r="SZ128" s="672">
        <f>SX128*$F$78</f>
        <v>3.1332197828441417E-5</v>
      </c>
      <c r="TA128" s="600">
        <f>SX128*$F$83</f>
        <v>3.1593299477011766E-5</v>
      </c>
      <c r="TB128" s="672">
        <f>SX128*$F$80</f>
        <v>3.1593299477011766E-5</v>
      </c>
      <c r="TC128" s="676">
        <f>SX128*$F$79</f>
        <v>3.2637706071293148E-5</v>
      </c>
      <c r="TD128" s="668">
        <v>20.399999999999999</v>
      </c>
      <c r="TE128" s="669">
        <v>55</v>
      </c>
      <c r="TF128" s="680">
        <v>1008</v>
      </c>
      <c r="TG128" s="2011">
        <v>-5.3500000000000001E-10</v>
      </c>
      <c r="TH128" s="673">
        <v>60</v>
      </c>
      <c r="TI128" s="663">
        <v>44334</v>
      </c>
      <c r="TJ128" s="650" t="s">
        <v>268</v>
      </c>
      <c r="TK128" s="671">
        <f>IF(TJ128="Low",TG128*$D$42,IF(TJ128="Med",TG128*$D$43,IF(TJ128="High",TG128*$D$44,"rango cal. out")))</f>
        <v>-5.3660499999999993E-10</v>
      </c>
      <c r="TL128" s="619">
        <f>((273.2+TD128)*$F$33/((273.2+$F$32)*TF128))</f>
        <v>0.99976004968383014</v>
      </c>
      <c r="TM128" s="674">
        <f>TK128/TH128*TL128*EXP(-LN(2)/10990*($F$96-TI128))</f>
        <v>-8.8548455071162988E-12</v>
      </c>
      <c r="TN128" s="599">
        <f>TM128-AVERAGE(TU102:TU103)</f>
        <v>-8.8544790639290942E-12</v>
      </c>
      <c r="TO128" s="672" t="e">
        <f>ABS(#REF!*TN128*3600)</f>
        <v>#REF!</v>
      </c>
      <c r="TP128" s="675">
        <f>ABS($B$34*TN128*3600)</f>
        <v>8.0327834067964751E-4</v>
      </c>
      <c r="TQ128" s="614">
        <f>TP128*$C$87</f>
        <v>8.0327834067964746E-2</v>
      </c>
      <c r="TR128" s="672">
        <f>TP128*$F$78</f>
        <v>9.6393400881557702E-4</v>
      </c>
      <c r="TS128" s="600">
        <f>TP128*$F$83</f>
        <v>9.7196679222237342E-4</v>
      </c>
      <c r="TT128" s="672">
        <f>TP128*$F$80</f>
        <v>9.7196679222237342E-4</v>
      </c>
      <c r="TU128" s="676">
        <f>TP128*$F$79</f>
        <v>1.0040979258495594E-3</v>
      </c>
      <c r="TV128" s="668"/>
      <c r="TW128" s="669"/>
      <c r="TX128" s="670"/>
      <c r="TY128" s="671"/>
      <c r="TZ128" s="678"/>
      <c r="UA128" s="650"/>
      <c r="UB128" s="650"/>
      <c r="UC128" s="671" t="str">
        <f>IF(UB128="Low",TY128*$D$42,IF(UB128="Med",TY128*$D$43,IF(UB128="High",TY128*$D$44,"rango cal. out")))</f>
        <v>rango cal. out</v>
      </c>
      <c r="UD128" s="619" t="e">
        <f>((273.2+TV128)*$F$33/((273.2+$F$32)*TX128))</f>
        <v>#DIV/0!</v>
      </c>
      <c r="UE128" s="674" t="e">
        <f>UC128/TZ128*UD128*EXP(-LN(2)/10990*($F$96-UA128))</f>
        <v>#VALUE!</v>
      </c>
      <c r="UF128" s="599" t="e">
        <f>UE128-AVERAGE(UM102:UM103)</f>
        <v>#VALUE!</v>
      </c>
      <c r="UG128" s="672" t="e">
        <f>ABS(#REF!*UF128*3600)</f>
        <v>#REF!</v>
      </c>
      <c r="UH128" s="675" t="e">
        <f>ABS($B$34*UF128*3600)</f>
        <v>#VALUE!</v>
      </c>
      <c r="UI128" s="614" t="e">
        <f>UH128*$C$87</f>
        <v>#VALUE!</v>
      </c>
      <c r="UJ128" s="672" t="e">
        <f>UH128*$F$78</f>
        <v>#VALUE!</v>
      </c>
      <c r="UK128" s="600" t="e">
        <f>UH128*$F$83</f>
        <v>#VALUE!</v>
      </c>
      <c r="UL128" s="672" t="e">
        <f>UH128*$F$80</f>
        <v>#VALUE!</v>
      </c>
      <c r="UM128" s="676" t="e">
        <f>UH128*$F$79</f>
        <v>#VALUE!</v>
      </c>
      <c r="UN128" s="668">
        <v>20.5</v>
      </c>
      <c r="UO128" s="669">
        <v>55</v>
      </c>
      <c r="UP128" s="680">
        <v>1008</v>
      </c>
      <c r="UQ128" s="2011">
        <v>-3.0499999999999998E-11</v>
      </c>
      <c r="UR128" s="673">
        <v>60</v>
      </c>
      <c r="US128" s="663">
        <v>44334</v>
      </c>
      <c r="UT128" s="650" t="s">
        <v>268</v>
      </c>
      <c r="UU128" s="671">
        <f>IF(UT128="Low",UQ128*$D$42,IF(UT128="Med",UQ128*$D$43,IF(UT128="High",UQ128*$D$44,"rango cal. out")))</f>
        <v>-3.0591499999999995E-11</v>
      </c>
      <c r="UV128" s="619">
        <f>((273.2+UN128)*$F$33/((273.2+$F$32)*UP128))</f>
        <v>1.0001005674119241</v>
      </c>
      <c r="UW128" s="674">
        <f>UU128/UR128*UV128*EXP(-LN(2)/10990*($F$96-US128))</f>
        <v>-5.0498088712420579E-13</v>
      </c>
      <c r="UX128" s="599">
        <f>UW128-AVERAGE(VE102:VE103)</f>
        <v>-5.0481841404194105E-13</v>
      </c>
      <c r="UY128" s="672" t="e">
        <f>ABS(#REF!*UX128*3600)</f>
        <v>#REF!</v>
      </c>
      <c r="UZ128" s="675">
        <f>ABS($B$34*UX128*3600)</f>
        <v>4.579712652188489E-5</v>
      </c>
      <c r="VA128" s="614">
        <f>UZ128*$C$87</f>
        <v>4.5797126521884887E-3</v>
      </c>
      <c r="VB128" s="672">
        <f>UZ128*$F$78</f>
        <v>5.4956551826261864E-5</v>
      </c>
      <c r="VC128" s="600">
        <f>UZ128*$F$83</f>
        <v>5.5414523091480716E-5</v>
      </c>
      <c r="VD128" s="672">
        <f>UZ128*$F$80</f>
        <v>5.5414523091480716E-5</v>
      </c>
      <c r="VE128" s="676">
        <f>UZ128*$F$79</f>
        <v>5.7246408152356111E-5</v>
      </c>
    </row>
    <row r="129" spans="1:577" x14ac:dyDescent="0.25">
      <c r="A129" s="2220"/>
      <c r="B129" s="2013">
        <v>19.899999999999999</v>
      </c>
      <c r="C129" s="2014">
        <v>52</v>
      </c>
      <c r="D129" s="2015">
        <v>1009.5</v>
      </c>
      <c r="E129" s="2011">
        <v>-8.7180000000000007E-9</v>
      </c>
      <c r="F129" s="673">
        <v>60</v>
      </c>
      <c r="G129" s="663">
        <v>44334</v>
      </c>
      <c r="H129" s="650" t="s">
        <v>1042</v>
      </c>
      <c r="I129" s="651">
        <f>IF(H129="Low",E129*$D$42,IF(H129="Med",E129*$D$43,IF(H129="High",E129*$D$44,"rango cal. out")))</f>
        <v>-8.7267180000000004E-9</v>
      </c>
      <c r="J129" s="619">
        <f>((273.2+B129)*$F$33/((273.2+$F$32)*D129))</f>
        <v>0.9965744633300716</v>
      </c>
      <c r="K129" s="674">
        <f>I129/F129*J129*EXP(-LN(2)/10990*($F$96-G129))</f>
        <v>-1.4354603185340033E-10</v>
      </c>
      <c r="L129" s="599">
        <f>K129-AVERAGE(S102:S103)</f>
        <v>-1.4352221988602883E-10</v>
      </c>
      <c r="M129" s="599" t="e">
        <f>ABS(#REF!*L129*3600)</f>
        <v>#REF!</v>
      </c>
      <c r="N129" s="657">
        <f>ABS($B$34*L129*3600)</f>
        <v>1.3020335788060536E-2</v>
      </c>
      <c r="O129" s="614">
        <f>N129*$C$87</f>
        <v>1.3020335788060535</v>
      </c>
      <c r="P129" s="672">
        <f>N129*$F$78</f>
        <v>1.5624402945672643E-2</v>
      </c>
      <c r="Q129" s="600">
        <f>N129*$F$83</f>
        <v>1.5754606303553249E-2</v>
      </c>
      <c r="R129" s="672">
        <f>N129*$F$80</f>
        <v>1.5754606303553249E-2</v>
      </c>
      <c r="S129" s="676">
        <f>N129*$F$79</f>
        <v>1.627541973507567E-2</v>
      </c>
      <c r="T129" s="677"/>
      <c r="U129" s="669"/>
      <c r="V129" s="670"/>
      <c r="W129" s="671"/>
      <c r="X129" s="678"/>
      <c r="Y129" s="663"/>
      <c r="Z129" s="650"/>
      <c r="AA129" s="651" t="str">
        <f>IF(Z129="Low",W129*$D$42,IF(Z129="Med",W129*$D$43,IF(Z129="High",W129*$D$44,"rango cal. out")))</f>
        <v>rango cal. out</v>
      </c>
      <c r="AB129" s="619" t="e">
        <f>((273.2+T129)*$F$33/((273.2+$F$32)*V129))</f>
        <v>#DIV/0!</v>
      </c>
      <c r="AC129" s="674" t="e">
        <f>AA129/X129*AB129*EXP(-LN(2)/10990*($F$96-Y129))</f>
        <v>#VALUE!</v>
      </c>
      <c r="AD129" s="599" t="e">
        <f>AC129-AVERAGE(#REF!)</f>
        <v>#VALUE!</v>
      </c>
      <c r="AE129" s="599" t="e">
        <f>ABS(#REF!*AD129*3600)</f>
        <v>#REF!</v>
      </c>
      <c r="AF129" s="657" t="e">
        <f>ABS($B$34*AD129*3600)</f>
        <v>#VALUE!</v>
      </c>
      <c r="AG129" s="614" t="e">
        <f>AF129*$C$87</f>
        <v>#VALUE!</v>
      </c>
      <c r="AH129" s="672" t="e">
        <f>AF129*$F$78</f>
        <v>#VALUE!</v>
      </c>
      <c r="AI129" s="600" t="e">
        <f>AF129*$F$83</f>
        <v>#VALUE!</v>
      </c>
      <c r="AJ129" s="672" t="e">
        <f>AF129*$F$80</f>
        <v>#VALUE!</v>
      </c>
      <c r="AK129" s="676" t="e">
        <f>AF129*$F$79</f>
        <v>#VALUE!</v>
      </c>
      <c r="AL129" s="677"/>
      <c r="AM129" s="669"/>
      <c r="AN129" s="670"/>
      <c r="AO129" s="671"/>
      <c r="AP129" s="678"/>
      <c r="AQ129" s="663"/>
      <c r="AR129" s="650"/>
      <c r="AS129" s="651" t="str">
        <f>IF(AR129="Low",AO129*$D$42,IF(AR129="Med",AO129*$D$43,IF(AR129="High",AO129*$D$44,"rango cal. out")))</f>
        <v>rango cal. out</v>
      </c>
      <c r="AT129" s="619" t="e">
        <f>((273.2+AL129)*$F$33/((273.2+$F$32)*AN129))</f>
        <v>#DIV/0!</v>
      </c>
      <c r="AU129" s="674" t="e">
        <f>AS129/AP129*AT129*EXP(-LN(2)/10990*($F$96-AQ129))</f>
        <v>#VALUE!</v>
      </c>
      <c r="AV129" s="599" t="e">
        <f>AU129-AVERAGE(BC102:BC103)</f>
        <v>#VALUE!</v>
      </c>
      <c r="AW129" s="599" t="e">
        <f>ABS(#REF!*AV129*3600)</f>
        <v>#REF!</v>
      </c>
      <c r="AX129" s="657" t="e">
        <f>ABS($B$34*AV129*3600)</f>
        <v>#VALUE!</v>
      </c>
      <c r="AY129" s="614" t="e">
        <f>AX129*$C$87</f>
        <v>#VALUE!</v>
      </c>
      <c r="AZ129" s="672" t="e">
        <f>AX129*$F$78</f>
        <v>#VALUE!</v>
      </c>
      <c r="BA129" s="600" t="e">
        <f>AX129*$F$83</f>
        <v>#VALUE!</v>
      </c>
      <c r="BB129" s="672" t="e">
        <f>AX129*$F$80</f>
        <v>#VALUE!</v>
      </c>
      <c r="BC129" s="676" t="e">
        <f>AX129*$F$79</f>
        <v>#VALUE!</v>
      </c>
      <c r="BD129" s="2013">
        <v>19.8</v>
      </c>
      <c r="BE129" s="2018">
        <v>51</v>
      </c>
      <c r="BF129" s="2019">
        <v>1009.7</v>
      </c>
      <c r="BG129" s="2010">
        <v>-1.3810000000000001E-9</v>
      </c>
      <c r="BH129" s="673">
        <v>60</v>
      </c>
      <c r="BI129" s="663">
        <v>44333</v>
      </c>
      <c r="BJ129" s="650" t="s">
        <v>268</v>
      </c>
      <c r="BK129" s="651">
        <f>IF(BJ129="Low",BG129*$D$42,IF(BJ129="Med",BG129*$D$43,IF(BJ129="High",BG129*$D$44,"rango cal. out")))</f>
        <v>-1.385143E-9</v>
      </c>
      <c r="BL129" s="619">
        <f>((273.2+BD129)*$F$33/((273.2+$F$32)*BF129))</f>
        <v>0.99603711880933798</v>
      </c>
      <c r="BM129" s="674">
        <f>BK129/BH129*BL129*EXP(-LN(2)/10990*($F$96-BI129))</f>
        <v>-2.277053520910451E-11</v>
      </c>
      <c r="BN129" s="599">
        <f>BM129-AVERAGE(BU102:BU103)</f>
        <v>-2.2769190024996112E-11</v>
      </c>
      <c r="BO129" s="599" t="e">
        <f>ABS(#REF!*BN129*3600)</f>
        <v>#REF!</v>
      </c>
      <c r="BP129" s="657">
        <f>ABS($B$34*BN129*3600)</f>
        <v>2.0656209190676473E-3</v>
      </c>
      <c r="BQ129" s="614">
        <f>BP129*$C$87</f>
        <v>0.20656209190676472</v>
      </c>
      <c r="BR129" s="672">
        <f>BP129*$F$78</f>
        <v>2.4787451028811767E-3</v>
      </c>
      <c r="BS129" s="600">
        <f>BP129*$F$83</f>
        <v>2.4994013120718532E-3</v>
      </c>
      <c r="BT129" s="672">
        <f>BP129*$F$80</f>
        <v>2.4994013120718532E-3</v>
      </c>
      <c r="BU129" s="676">
        <f>BP129*$F$79</f>
        <v>2.5820261488345591E-3</v>
      </c>
      <c r="BV129" s="2013">
        <v>19.8</v>
      </c>
      <c r="BW129" s="2018">
        <v>51</v>
      </c>
      <c r="BX129" s="2019">
        <v>1009.7</v>
      </c>
      <c r="BY129" s="2011">
        <v>-6.5500000000000006E-11</v>
      </c>
      <c r="BZ129" s="673">
        <v>60</v>
      </c>
      <c r="CA129" s="663">
        <v>44334</v>
      </c>
      <c r="CB129" s="650" t="s">
        <v>268</v>
      </c>
      <c r="CC129" s="651">
        <f>IF(CB129="Low",BY129*$D$42,IF(CB129="Med",BY129*$D$43,IF(CB129="High",BY129*$D$44,"rango cal. out")))</f>
        <v>-6.5696499999999999E-11</v>
      </c>
      <c r="CD129" s="619">
        <f>((273.2+BV129)*$F$33/((273.2+$F$32)*BX129))</f>
        <v>0.99603711880933798</v>
      </c>
      <c r="CE129" s="674">
        <f>CC129/BZ129*CD129*EXP(-LN(2)/10990*($F$96-CA129))</f>
        <v>-1.0800609176312862E-12</v>
      </c>
      <c r="CF129" s="599">
        <f>CE129-AVERAGE(CM102:CM103)</f>
        <v>-1.0782594223961444E-12</v>
      </c>
      <c r="CG129" s="599" t="e">
        <f>ABS(#REF!*CF129*3600)</f>
        <v>#REF!</v>
      </c>
      <c r="CH129" s="657">
        <f>ABS($B$34*CF129*3600)</f>
        <v>9.7819694799778224E-5</v>
      </c>
      <c r="CI129" s="614">
        <f>CH129*$C$87</f>
        <v>9.7819694799778228E-3</v>
      </c>
      <c r="CJ129" s="672">
        <f>CH129*$F$78</f>
        <v>1.1738363375973386E-4</v>
      </c>
      <c r="CK129" s="600">
        <f>CH129*$F$83</f>
        <v>1.1836183070773165E-4</v>
      </c>
      <c r="CL129" s="672">
        <f>CH129*$F$80</f>
        <v>1.1836183070773165E-4</v>
      </c>
      <c r="CM129" s="676">
        <f>CH129*$F$79</f>
        <v>1.2227461849972278E-4</v>
      </c>
      <c r="CN129" s="2013">
        <v>20.3</v>
      </c>
      <c r="CO129" s="2018">
        <v>51</v>
      </c>
      <c r="CP129" s="2021">
        <v>1007</v>
      </c>
      <c r="CQ129" s="2011">
        <v>-3.2110000000000002E-9</v>
      </c>
      <c r="CR129" s="673">
        <v>60</v>
      </c>
      <c r="CS129" s="663">
        <v>44334</v>
      </c>
      <c r="CT129" s="650" t="s">
        <v>268</v>
      </c>
      <c r="CU129" s="651">
        <f>IF(CT129="Low",CQ129*$D$42,IF(CT129="Med",CQ129*$D$43,IF(CT129="High",CQ129*$D$44,"rango cal. out")))</f>
        <v>-3.220633E-9</v>
      </c>
      <c r="CV129" s="619">
        <f>((273.2+CN129)*$F$33/((273.2+$F$32)*CP129))</f>
        <v>1.0004120041821074</v>
      </c>
      <c r="CW129" s="674">
        <f>CU129/CR129*CV129*EXP(-LN(2)/10990*($F$96-CS129))</f>
        <v>-5.3180281000448169E-11</v>
      </c>
      <c r="CX129" s="599">
        <f>CW129-AVERAGE(DE102:DE103)</f>
        <v>-5.3168993313742746E-11</v>
      </c>
      <c r="CY129" s="599" t="e">
        <f>ABS(#REF!*CX129*3600)</f>
        <v>#REF!</v>
      </c>
      <c r="CZ129" s="657">
        <f>ABS($B$34*CX129*3600)</f>
        <v>4.8234910734227419E-3</v>
      </c>
      <c r="DA129" s="614">
        <f>CZ129*$C$87</f>
        <v>0.48234910734227421</v>
      </c>
      <c r="DB129" s="672">
        <f>CZ129*$F$78</f>
        <v>5.7881892881072898E-3</v>
      </c>
      <c r="DC129" s="600">
        <f>CZ129*$F$83</f>
        <v>5.8364241988415177E-3</v>
      </c>
      <c r="DD129" s="672">
        <f>CZ129*$F$80</f>
        <v>5.8364241988415177E-3</v>
      </c>
      <c r="DE129" s="676">
        <f>CZ129*$F$79</f>
        <v>6.0293638417784276E-3</v>
      </c>
      <c r="DF129" s="668"/>
      <c r="DG129" s="669"/>
      <c r="DH129" s="670"/>
      <c r="DI129" s="671"/>
      <c r="DJ129" s="678"/>
      <c r="DK129" s="663"/>
      <c r="DL129" s="650" t="s">
        <v>268</v>
      </c>
      <c r="DM129" s="651">
        <f>IF(DL129="Low",DI129*$D$42,IF(DL129="Med",DI129*$D$43,IF(DL129="High",DI129*$D$44,"rango cal. out")))</f>
        <v>0</v>
      </c>
      <c r="DN129" s="619" t="e">
        <f>((273.2+DF129)*$F$33/((273.2+$F$32)*DH129))</f>
        <v>#DIV/0!</v>
      </c>
      <c r="DO129" s="674" t="e">
        <f>DM129/DJ129*DN129*EXP(-LN(2)/10990*($F$96-DK129))</f>
        <v>#DIV/0!</v>
      </c>
      <c r="DP129" s="599" t="e">
        <f>DO129-AVERAGE(DW102:DW103)</f>
        <v>#DIV/0!</v>
      </c>
      <c r="DQ129" s="599" t="e">
        <f>ABS(#REF!*DP129*3600)</f>
        <v>#REF!</v>
      </c>
      <c r="DR129" s="657" t="e">
        <f>ABS($B$34*DP129*3600)</f>
        <v>#DIV/0!</v>
      </c>
      <c r="DS129" s="614" t="e">
        <f>DR129*$C$87</f>
        <v>#DIV/0!</v>
      </c>
      <c r="DT129" s="672" t="e">
        <f>DR129*$F$78</f>
        <v>#DIV/0!</v>
      </c>
      <c r="DU129" s="600" t="e">
        <f>DR129*$F$83</f>
        <v>#DIV/0!</v>
      </c>
      <c r="DV129" s="672" t="e">
        <f>DR129*$F$80</f>
        <v>#DIV/0!</v>
      </c>
      <c r="DW129" s="676" t="e">
        <f>DR129*$F$79</f>
        <v>#DIV/0!</v>
      </c>
      <c r="DX129" s="668"/>
      <c r="DY129" s="669"/>
      <c r="DZ129" s="677"/>
      <c r="EA129" s="679"/>
      <c r="EB129" s="678"/>
      <c r="EC129" s="663"/>
      <c r="ED129" s="650"/>
      <c r="EE129" s="651" t="str">
        <f>IF(ED129="Low",EA129*$D$42,IF(ED129="Med",EA129*$D$43,IF(ED129="High",EA129*$D$44,"rango cal. out")))</f>
        <v>rango cal. out</v>
      </c>
      <c r="EF129" s="619" t="e">
        <f>((273.2+DX129)*$F$33/((273.2+$F$32)*DZ129))</f>
        <v>#DIV/0!</v>
      </c>
      <c r="EG129" s="674" t="e">
        <f>EE129/EB129*EF129*EXP(-LN(2)/10990*($F$96-EC129))</f>
        <v>#VALUE!</v>
      </c>
      <c r="EH129" s="599" t="e">
        <f>EG129-AVERAGE(EO102:EO103)</f>
        <v>#VALUE!</v>
      </c>
      <c r="EI129" s="599" t="e">
        <f>ABS(#REF!*EH129*3600)</f>
        <v>#REF!</v>
      </c>
      <c r="EJ129" s="657" t="e">
        <f>ABS($B$34*EH129*3600)</f>
        <v>#VALUE!</v>
      </c>
      <c r="EK129" s="614" t="e">
        <f>EJ129*$C$87</f>
        <v>#VALUE!</v>
      </c>
      <c r="EL129" s="672" t="e">
        <f>EJ129*$F$78</f>
        <v>#VALUE!</v>
      </c>
      <c r="EM129" s="600" t="e">
        <f>EJ129*$F$83</f>
        <v>#VALUE!</v>
      </c>
      <c r="EN129" s="672" t="e">
        <f>EJ129*$F$80</f>
        <v>#VALUE!</v>
      </c>
      <c r="EO129" s="676" t="e">
        <f>EJ129*$F$79</f>
        <v>#VALUE!</v>
      </c>
      <c r="EP129" s="2013">
        <v>20.7</v>
      </c>
      <c r="EQ129" s="2018">
        <v>52</v>
      </c>
      <c r="ER129" s="2019">
        <v>1007</v>
      </c>
      <c r="ES129" s="2011">
        <v>-1.3E-11</v>
      </c>
      <c r="ET129" s="673">
        <v>60</v>
      </c>
      <c r="EU129" s="663">
        <v>44334</v>
      </c>
      <c r="EV129" s="650" t="s">
        <v>268</v>
      </c>
      <c r="EW129" s="651">
        <f>IF(EV129="Low",ES129*$D$42,IF(EV129="Med",ES129*$D$43,IF(EV129="High",ES129*$D$44,"rango cal. out")))</f>
        <v>-1.3038999999999999E-11</v>
      </c>
      <c r="EX129" s="619">
        <f>((273.2+EP129)*$F$33/((273.2+$F$32)*ER129))</f>
        <v>1.0017754276971766</v>
      </c>
      <c r="EY129" s="674">
        <f>EW129/ET129*EX129*EXP(-LN(2)/10990*($F$96-EU129))</f>
        <v>-2.1559821208549221E-13</v>
      </c>
      <c r="EZ129" s="599">
        <f>EY129-AVERAGE(FG102:FG103)</f>
        <v>-2.1667877589509194E-13</v>
      </c>
      <c r="FA129" s="599" t="e">
        <f>ABS(#REF!*EZ129*3600)</f>
        <v>#REF!</v>
      </c>
      <c r="FB129" s="657">
        <f>ABS($B$34*EZ129*3600)</f>
        <v>1.9657098549202739E-5</v>
      </c>
      <c r="FC129" s="614">
        <f>FB129*$C$87</f>
        <v>1.9657098549202738E-3</v>
      </c>
      <c r="FD129" s="672">
        <f>FB129*$F$78</f>
        <v>2.3588518259043287E-5</v>
      </c>
      <c r="FE129" s="600">
        <f>FB129*$F$83</f>
        <v>2.3785089244535312E-5</v>
      </c>
      <c r="FF129" s="672">
        <f>FB129*$F$80</f>
        <v>2.3785089244535312E-5</v>
      </c>
      <c r="FG129" s="676">
        <f>FB129*$F$79</f>
        <v>2.4571373186503424E-5</v>
      </c>
      <c r="FH129" s="668"/>
      <c r="FI129" s="669"/>
      <c r="FJ129" s="670"/>
      <c r="FK129" s="671"/>
      <c r="FL129" s="678"/>
      <c r="FM129" s="663"/>
      <c r="FN129" s="650"/>
      <c r="FO129" s="651" t="str">
        <f>IF(FN129="Low",FK129*$D$42,IF(FN129="Med",FK129*$D$43,IF(FN129="High",FK129*$D$44,"rango cal. out")))</f>
        <v>rango cal. out</v>
      </c>
      <c r="FP129" s="619" t="e">
        <f>((273.2+FH129)*$F$33/((273.2+$F$32)*FJ129))</f>
        <v>#DIV/0!</v>
      </c>
      <c r="FQ129" s="674" t="e">
        <f>FO129/FL129*FP129*EXP(-LN(2)/10990*($F$96-FM129))</f>
        <v>#VALUE!</v>
      </c>
      <c r="FR129" s="599" t="e">
        <f>FQ129-AVERAGE(FY102:FY103)</f>
        <v>#VALUE!</v>
      </c>
      <c r="FS129" s="599" t="e">
        <f>ABS(#REF!*FR129*3600)</f>
        <v>#REF!</v>
      </c>
      <c r="FT129" s="657" t="e">
        <f>ABS($B$34*FR129*3600)</f>
        <v>#VALUE!</v>
      </c>
      <c r="FU129" s="614" t="e">
        <f>FT129*$C$87</f>
        <v>#VALUE!</v>
      </c>
      <c r="FV129" s="672" t="e">
        <f>FT129*$F$78</f>
        <v>#VALUE!</v>
      </c>
      <c r="FW129" s="600" t="e">
        <f>FT129*$F$83</f>
        <v>#VALUE!</v>
      </c>
      <c r="FX129" s="672" t="e">
        <f>FT129*$F$80</f>
        <v>#VALUE!</v>
      </c>
      <c r="FY129" s="676" t="e">
        <f>FT129*$F$79</f>
        <v>#VALUE!</v>
      </c>
      <c r="FZ129" s="668"/>
      <c r="GA129" s="669"/>
      <c r="GB129" s="670"/>
      <c r="GC129" s="671"/>
      <c r="GD129" s="678"/>
      <c r="GE129" s="663"/>
      <c r="GF129" s="650"/>
      <c r="GG129" s="651" t="str">
        <f>IF(GF129="Low",GC129*$D$42,IF(GF129="Med",GC129*$D$43,IF(GF129="High",GC129*$D$44,"rango cal. out")))</f>
        <v>rango cal. out</v>
      </c>
      <c r="GH129" s="619" t="e">
        <f>((273.2+FZ129)*$F$33/((273.2+$F$32)*GB129))</f>
        <v>#DIV/0!</v>
      </c>
      <c r="GI129" s="674" t="e">
        <f>GG129/GD129*GH129*EXP(-LN(2)/10990*($F$96-GE129))</f>
        <v>#VALUE!</v>
      </c>
      <c r="GJ129" s="599" t="e">
        <f>GI129-AVERAGE(GQ102:GQ103)</f>
        <v>#VALUE!</v>
      </c>
      <c r="GK129" s="599" t="e">
        <f>ABS(#REF!*GJ129*3600)</f>
        <v>#REF!</v>
      </c>
      <c r="GL129" s="657" t="e">
        <f>ABS($B$34*GJ129*3600)</f>
        <v>#VALUE!</v>
      </c>
      <c r="GM129" s="614" t="e">
        <f>GL129*$C$87</f>
        <v>#VALUE!</v>
      </c>
      <c r="GN129" s="672" t="e">
        <f>GL129*$F$78</f>
        <v>#VALUE!</v>
      </c>
      <c r="GO129" s="600" t="e">
        <f>GL129*$F$83</f>
        <v>#VALUE!</v>
      </c>
      <c r="GP129" s="672" t="e">
        <f>GL129*$F$80</f>
        <v>#VALUE!</v>
      </c>
      <c r="GQ129" s="676" t="e">
        <f>GL129*$F$79</f>
        <v>#VALUE!</v>
      </c>
      <c r="GR129" s="668"/>
      <c r="GS129" s="669"/>
      <c r="GT129" s="677"/>
      <c r="GU129" s="679"/>
      <c r="GV129" s="678"/>
      <c r="GW129" s="663"/>
      <c r="GX129" s="650"/>
      <c r="GY129" s="651" t="str">
        <f>IF(GX129="Low",GU129*$D$42,IF(GX129="Med",GU129*$D$43,IF(GX129="High",GU129*$D$44,"rango cal. out")))</f>
        <v>rango cal. out</v>
      </c>
      <c r="GZ129" s="619" t="e">
        <f>((273.2+GR129)*$F$33/((273.2+$F$32)*GT129))</f>
        <v>#DIV/0!</v>
      </c>
      <c r="HA129" s="674" t="e">
        <f>GY129/GV129*GZ129*EXP(-LN(2)/10990*($F$96-GW129))</f>
        <v>#VALUE!</v>
      </c>
      <c r="HB129" s="599" t="e">
        <f>HA129-AVERAGE(HI102:HI103)</f>
        <v>#VALUE!</v>
      </c>
      <c r="HC129" s="599" t="e">
        <f>ABS(#REF!*HB129*3600)</f>
        <v>#REF!</v>
      </c>
      <c r="HD129" s="657" t="e">
        <f>ABS($B$34*HB129*3600)</f>
        <v>#VALUE!</v>
      </c>
      <c r="HE129" s="614" t="e">
        <f>HD129*$C$87</f>
        <v>#VALUE!</v>
      </c>
      <c r="HF129" s="672" t="e">
        <f>HD129*$F$78</f>
        <v>#VALUE!</v>
      </c>
      <c r="HG129" s="600" t="e">
        <f>HD129*$F$83</f>
        <v>#VALUE!</v>
      </c>
      <c r="HH129" s="672" t="e">
        <f>HD129*$F$80</f>
        <v>#VALUE!</v>
      </c>
      <c r="HI129" s="676" t="e">
        <f>HD129*$F$79</f>
        <v>#VALUE!</v>
      </c>
      <c r="HJ129" s="668"/>
      <c r="HK129" s="669"/>
      <c r="HL129" s="670"/>
      <c r="HM129" s="671"/>
      <c r="HN129" s="678"/>
      <c r="HO129" s="663"/>
      <c r="HP129" s="650"/>
      <c r="HQ129" s="651" t="str">
        <f>IF(HP129="Low",HM129*$D$42,IF(HP129="Med",HM129*$D$43,IF(HP129="High",HM129*$D$44,"rango cal. out")))</f>
        <v>rango cal. out</v>
      </c>
      <c r="HR129" s="619" t="e">
        <f>((273.2+HJ129)*$F$33/((273.2+$F$32)*HL129))</f>
        <v>#DIV/0!</v>
      </c>
      <c r="HS129" s="674" t="e">
        <f>HQ129/HN129*HR129*EXP(-LN(2)/10990*($F$96-HO129))</f>
        <v>#VALUE!</v>
      </c>
      <c r="HT129" s="599" t="e">
        <f>HS129-AVERAGE(IA102:IA103)</f>
        <v>#VALUE!</v>
      </c>
      <c r="HU129" s="599" t="e">
        <f>ABS(#REF!*HT129*3600)</f>
        <v>#REF!</v>
      </c>
      <c r="HV129" s="657" t="e">
        <f>ABS($B$34*HT129*3600)</f>
        <v>#VALUE!</v>
      </c>
      <c r="HW129" s="614" t="e">
        <f>HV129*$C$87</f>
        <v>#VALUE!</v>
      </c>
      <c r="HX129" s="672" t="e">
        <f>HV129*$F$78</f>
        <v>#VALUE!</v>
      </c>
      <c r="HY129" s="600" t="e">
        <f>HV129*$F$83</f>
        <v>#VALUE!</v>
      </c>
      <c r="HZ129" s="672" t="e">
        <f>HV129*$F$80</f>
        <v>#VALUE!</v>
      </c>
      <c r="IA129" s="676" t="e">
        <f>HV129*$F$79</f>
        <v>#VALUE!</v>
      </c>
      <c r="IB129" s="668"/>
      <c r="IC129" s="669"/>
      <c r="ID129" s="670"/>
      <c r="IE129" s="671"/>
      <c r="IF129" s="678"/>
      <c r="IG129" s="663"/>
      <c r="IH129" s="650"/>
      <c r="II129" s="651" t="str">
        <f>IF(IH129="Low",IE129*$D$42,IF(IH129="Med",IE129*$D$43,IF(IH129="High",IE129*$D$44,"rango cal. out")))</f>
        <v>rango cal. out</v>
      </c>
      <c r="IJ129" s="619" t="e">
        <f>((273.2+IB129)*$F$33/((273.2+$F$32)*ID129))</f>
        <v>#DIV/0!</v>
      </c>
      <c r="IK129" s="674" t="e">
        <f>II129/IF129*IJ129*EXP(-LN(2)/10990*($F$96-IG129))</f>
        <v>#VALUE!</v>
      </c>
      <c r="IL129" s="599" t="e">
        <f>IK129-AVERAGE(IS102:IS103)</f>
        <v>#VALUE!</v>
      </c>
      <c r="IM129" s="599" t="e">
        <f>ABS(#REF!*IL129*3600)</f>
        <v>#REF!</v>
      </c>
      <c r="IN129" s="657" t="e">
        <f>ABS($B$34*IL129*3600)</f>
        <v>#VALUE!</v>
      </c>
      <c r="IO129" s="614" t="e">
        <f>IN129*$C$87</f>
        <v>#VALUE!</v>
      </c>
      <c r="IP129" s="672" t="e">
        <f>IN129*$F$78</f>
        <v>#VALUE!</v>
      </c>
      <c r="IQ129" s="600" t="e">
        <f>IN129*$F$83</f>
        <v>#VALUE!</v>
      </c>
      <c r="IR129" s="672" t="e">
        <f>IN129*$F$80</f>
        <v>#VALUE!</v>
      </c>
      <c r="IS129" s="676" t="e">
        <f>IN129*$F$79</f>
        <v>#VALUE!</v>
      </c>
      <c r="IT129" s="668"/>
      <c r="IU129" s="669"/>
      <c r="IV129" s="670"/>
      <c r="IW129" s="671"/>
      <c r="IX129" s="678"/>
      <c r="IY129" s="663"/>
      <c r="IZ129" s="650"/>
      <c r="JA129" s="651" t="str">
        <f>IF(IZ129="Low",IW129*$D$42,IF(IZ129="Med",IW129*$D$43,IF(IZ129="High",IW129*$D$44,"rango cal. out")))</f>
        <v>rango cal. out</v>
      </c>
      <c r="JB129" s="619" t="e">
        <f>((273.2+IT129)*$F$33/((273.2+$F$32)*IV129))</f>
        <v>#DIV/0!</v>
      </c>
      <c r="JC129" s="674" t="e">
        <f>JA129/IX129*JB129*EXP(-LN(2)/10990*($F$96-IY129))</f>
        <v>#VALUE!</v>
      </c>
      <c r="JD129" s="599" t="e">
        <f>JC129-AVERAGE(JK102:JK103)</f>
        <v>#VALUE!</v>
      </c>
      <c r="JE129" s="599" t="e">
        <f>ABS(#REF!*JD129*3600)</f>
        <v>#REF!</v>
      </c>
      <c r="JF129" s="657" t="e">
        <f>ABS($B$34*JD129*3600)</f>
        <v>#VALUE!</v>
      </c>
      <c r="JG129" s="614" t="e">
        <f>JF129*$C$87</f>
        <v>#VALUE!</v>
      </c>
      <c r="JH129" s="672" t="e">
        <f>JF129*$F$78</f>
        <v>#VALUE!</v>
      </c>
      <c r="JI129" s="600" t="e">
        <f>JF129*$F$83</f>
        <v>#VALUE!</v>
      </c>
      <c r="JJ129" s="672" t="e">
        <f>JF129*$F$80</f>
        <v>#VALUE!</v>
      </c>
      <c r="JK129" s="676" t="e">
        <f>JF129*$F$79</f>
        <v>#VALUE!</v>
      </c>
      <c r="JL129" s="668"/>
      <c r="JM129" s="669"/>
      <c r="JN129" s="670"/>
      <c r="JO129" s="671"/>
      <c r="JP129" s="678"/>
      <c r="JQ129" s="663"/>
      <c r="JR129" s="650"/>
      <c r="JS129" s="651" t="str">
        <f>IF(JR129="Low",JO129*$D$42,IF(JR129="Med",JO129*$D$43,IF(JR129="High",JO129*$D$44,"rango cal. out")))</f>
        <v>rango cal. out</v>
      </c>
      <c r="JT129" s="619" t="e">
        <f>((273.2+JL129)*$F$33/((273.2+$F$32)*JN129))</f>
        <v>#DIV/0!</v>
      </c>
      <c r="JU129" s="674" t="e">
        <f>JS129/JP129*JT129*EXP(-LN(2)/10990*($F$96-JQ129))</f>
        <v>#VALUE!</v>
      </c>
      <c r="JV129" s="599" t="e">
        <f>JU129-AVERAGE(KC102:KC103)</f>
        <v>#VALUE!</v>
      </c>
      <c r="JW129" s="599" t="e">
        <f>ABS(#REF!*JV129*3600)</f>
        <v>#REF!</v>
      </c>
      <c r="JX129" s="657" t="e">
        <f>ABS($B$34*JV129*3600)</f>
        <v>#VALUE!</v>
      </c>
      <c r="JY129" s="614" t="e">
        <f>JX129*$C$87</f>
        <v>#VALUE!</v>
      </c>
      <c r="JZ129" s="672" t="e">
        <f>JX129*$F$78</f>
        <v>#VALUE!</v>
      </c>
      <c r="KA129" s="600" t="e">
        <f>JX129*$F$83</f>
        <v>#VALUE!</v>
      </c>
      <c r="KB129" s="672" t="e">
        <f>JX129*$F$80</f>
        <v>#VALUE!</v>
      </c>
      <c r="KC129" s="676" t="e">
        <f>JX129*$F$79</f>
        <v>#VALUE!</v>
      </c>
      <c r="KD129" s="668"/>
      <c r="KE129" s="669"/>
      <c r="KF129" s="670"/>
      <c r="KG129" s="671"/>
      <c r="KH129" s="678"/>
      <c r="KI129" s="663"/>
      <c r="KJ129" s="650"/>
      <c r="KK129" s="651" t="str">
        <f>IF(KJ129="Low",KG129*$D$42,IF(KJ129="Med",KG129*$D$43,IF(KJ129="High",KG129*$D$44,"rango cal. out")))</f>
        <v>rango cal. out</v>
      </c>
      <c r="KL129" s="619" t="e">
        <f>((273.2+KD129)*$F$33/((273.2+$F$32)*KF129))</f>
        <v>#DIV/0!</v>
      </c>
      <c r="KM129" s="674" t="e">
        <f>KK129/KH129*KL129*EXP(-LN(2)/10990*($F$96-KI129))</f>
        <v>#VALUE!</v>
      </c>
      <c r="KN129" s="599" t="e">
        <f>KM129-AVERAGE(KU102:KU103)</f>
        <v>#VALUE!</v>
      </c>
      <c r="KO129" s="599" t="e">
        <f>ABS(#REF!*KN129*3600)</f>
        <v>#REF!</v>
      </c>
      <c r="KP129" s="657" t="e">
        <f>ABS($B$34*KN129*3600)</f>
        <v>#VALUE!</v>
      </c>
      <c r="KQ129" s="614" t="e">
        <f>KP129*$C$87</f>
        <v>#VALUE!</v>
      </c>
      <c r="KR129" s="672" t="e">
        <f>KP129*$F$78</f>
        <v>#VALUE!</v>
      </c>
      <c r="KS129" s="600" t="e">
        <f>KP129*$F$83</f>
        <v>#VALUE!</v>
      </c>
      <c r="KT129" s="672" t="e">
        <f>KP129*$F$80</f>
        <v>#VALUE!</v>
      </c>
      <c r="KU129" s="676" t="e">
        <f>KP129*$F$79</f>
        <v>#VALUE!</v>
      </c>
      <c r="KV129" s="668"/>
      <c r="KW129" s="669"/>
      <c r="KX129" s="670"/>
      <c r="KY129" s="671"/>
      <c r="KZ129" s="678"/>
      <c r="LA129" s="663"/>
      <c r="LB129" s="650"/>
      <c r="LC129" s="651" t="str">
        <f>IF(LB129="Low",KY129*$D$42,IF(LB129="Med",KY129*$D$43,IF(LB129="High",KY129*$D$44,"rango cal. out")))</f>
        <v>rango cal. out</v>
      </c>
      <c r="LD129" s="619" t="e">
        <f>((273.2+KV129)*$F$33/((273.2+$F$32)*KX129))</f>
        <v>#DIV/0!</v>
      </c>
      <c r="LE129" s="674" t="e">
        <f>LC129/KZ129*LD129*EXP(-LN(2)/10990*($F$96-LA129))</f>
        <v>#VALUE!</v>
      </c>
      <c r="LF129" s="599" t="e">
        <f>LE129-AVERAGE(LM102:LM103)</f>
        <v>#VALUE!</v>
      </c>
      <c r="LG129" s="599" t="e">
        <f>ABS(#REF!*LF129*3600)</f>
        <v>#REF!</v>
      </c>
      <c r="LH129" s="657" t="e">
        <f>ABS($B$34*LF129*3600)</f>
        <v>#VALUE!</v>
      </c>
      <c r="LI129" s="614" t="e">
        <f>LH129*$C$87</f>
        <v>#VALUE!</v>
      </c>
      <c r="LJ129" s="672" t="e">
        <f>LH129*$F$78</f>
        <v>#VALUE!</v>
      </c>
      <c r="LK129" s="600" t="e">
        <f>LH129*$F$83</f>
        <v>#VALUE!</v>
      </c>
      <c r="LL129" s="672" t="e">
        <f>LH129*$F$80</f>
        <v>#VALUE!</v>
      </c>
      <c r="LM129" s="676" t="e">
        <f>LH129*$F$79</f>
        <v>#VALUE!</v>
      </c>
      <c r="LN129" s="668"/>
      <c r="LO129" s="669"/>
      <c r="LP129" s="670"/>
      <c r="LQ129" s="671"/>
      <c r="LR129" s="678"/>
      <c r="LS129" s="663"/>
      <c r="LT129" s="650"/>
      <c r="LU129" s="651" t="str">
        <f>IF(LT129="Low",LQ129*$D$42,IF(LT129="Med",LQ129*$D$43,IF(LT129="High",LQ129*$D$44,"rango cal. out")))</f>
        <v>rango cal. out</v>
      </c>
      <c r="LV129" s="619" t="e">
        <f>((273.2+LN129)*$F$33/((273.2+$F$32)*LP129))</f>
        <v>#DIV/0!</v>
      </c>
      <c r="LW129" s="674" t="e">
        <f>LU129/LR129*LV129*EXP(-LN(2)/10990*($F$96-LS129))</f>
        <v>#VALUE!</v>
      </c>
      <c r="LX129" s="599" t="e">
        <f>LW129-AVERAGE(ME102:ME103)</f>
        <v>#VALUE!</v>
      </c>
      <c r="LY129" s="599" t="e">
        <f>ABS(#REF!*LX129*3600)</f>
        <v>#REF!</v>
      </c>
      <c r="LZ129" s="657" t="e">
        <f>ABS($B$34*LX129*3600)</f>
        <v>#VALUE!</v>
      </c>
      <c r="MA129" s="614" t="e">
        <f>LZ129*$C$87</f>
        <v>#VALUE!</v>
      </c>
      <c r="MB129" s="672" t="e">
        <f>LZ129*$F$78</f>
        <v>#VALUE!</v>
      </c>
      <c r="MC129" s="600" t="e">
        <f>LZ129*$F$83</f>
        <v>#VALUE!</v>
      </c>
      <c r="MD129" s="672" t="e">
        <f>LZ129*$F$80</f>
        <v>#VALUE!</v>
      </c>
      <c r="ME129" s="676" t="e">
        <f>LZ129*$F$79</f>
        <v>#VALUE!</v>
      </c>
      <c r="MF129" s="668"/>
      <c r="MG129" s="669"/>
      <c r="MH129" s="670"/>
      <c r="MI129" s="671"/>
      <c r="MJ129" s="678"/>
      <c r="MK129" s="663"/>
      <c r="ML129" s="650"/>
      <c r="MM129" s="651" t="str">
        <f>IF(ML129="Low",MI129*$D$42,IF(ML129="Med",MI129*$D$43,IF(ML129="High",MI129*$D$44,"rango cal. out")))</f>
        <v>rango cal. out</v>
      </c>
      <c r="MN129" s="619" t="e">
        <f>((273.2+MF129)*$F$33/((273.2+$F$32)*MH129))</f>
        <v>#DIV/0!</v>
      </c>
      <c r="MO129" s="674" t="e">
        <f>MM129/MJ129*MN129*EXP(-LN(2)/10990*($F$96-MK129))</f>
        <v>#VALUE!</v>
      </c>
      <c r="MP129" s="599" t="e">
        <f>MO129-AVERAGE(MW102:MW103)</f>
        <v>#VALUE!</v>
      </c>
      <c r="MQ129" s="599" t="e">
        <f>ABS(#REF!*MP129*3600)</f>
        <v>#REF!</v>
      </c>
      <c r="MR129" s="657" t="e">
        <f>ABS($B$34*MP129*3600)</f>
        <v>#VALUE!</v>
      </c>
      <c r="MS129" s="614" t="e">
        <f>MR129*$C$87</f>
        <v>#VALUE!</v>
      </c>
      <c r="MT129" s="672" t="e">
        <f>MR129*$F$78</f>
        <v>#VALUE!</v>
      </c>
      <c r="MU129" s="600" t="e">
        <f>MR129*$F$83</f>
        <v>#VALUE!</v>
      </c>
      <c r="MV129" s="672" t="e">
        <f>MR129*$F$80</f>
        <v>#VALUE!</v>
      </c>
      <c r="MW129" s="676" t="e">
        <f>MR129*$F$79</f>
        <v>#VALUE!</v>
      </c>
      <c r="MX129" s="668"/>
      <c r="MY129" s="669"/>
      <c r="MZ129" s="680"/>
      <c r="NA129" s="671"/>
      <c r="NB129" s="673"/>
      <c r="NC129" s="663"/>
      <c r="ND129" s="650"/>
      <c r="NE129" s="651" t="str">
        <f>IF(ND129="Low",NA129*$D$42,IF(ND129="Med",NA129*$D$43,IF(ND129="High",NA129*$D$44,"rango cal. out")))</f>
        <v>rango cal. out</v>
      </c>
      <c r="NF129" s="619" t="e">
        <f>((273.2+MX129)*$F$33/((273.2+$F$32)*MZ129))</f>
        <v>#DIV/0!</v>
      </c>
      <c r="NG129" s="674" t="e">
        <f>NE129/NB129*NF129*EXP(-LN(2)/10990*($F$96-NC129))</f>
        <v>#VALUE!</v>
      </c>
      <c r="NH129" s="599" t="e">
        <f>NG129-AVERAGE(NO102:NO103)</f>
        <v>#VALUE!</v>
      </c>
      <c r="NI129" s="599" t="e">
        <f>ABS(#REF!*NH129*3600)</f>
        <v>#REF!</v>
      </c>
      <c r="NJ129" s="657" t="e">
        <f>ABS($B$34*NH129*3600)</f>
        <v>#VALUE!</v>
      </c>
      <c r="NK129" s="614" t="e">
        <f>NJ129*$C$87</f>
        <v>#VALUE!</v>
      </c>
      <c r="NL129" s="672" t="e">
        <f>NJ129*$F$78</f>
        <v>#VALUE!</v>
      </c>
      <c r="NM129" s="600" t="e">
        <f>NJ129*$F$83</f>
        <v>#VALUE!</v>
      </c>
      <c r="NN129" s="672" t="e">
        <f>NJ129*$F$80</f>
        <v>#VALUE!</v>
      </c>
      <c r="NO129" s="676" t="e">
        <f>NJ129*$F$79</f>
        <v>#VALUE!</v>
      </c>
      <c r="NP129" s="2013">
        <v>20.5</v>
      </c>
      <c r="NQ129" s="2018">
        <v>53</v>
      </c>
      <c r="NR129" s="2021">
        <v>1007</v>
      </c>
      <c r="NS129" s="2011">
        <v>-1.06E-10</v>
      </c>
      <c r="NT129" s="678">
        <v>60</v>
      </c>
      <c r="NU129" s="663">
        <v>44334</v>
      </c>
      <c r="NV129" s="650" t="s">
        <v>268</v>
      </c>
      <c r="NW129" s="651">
        <f>IF(NV129="Low",NS129*$D$42,IF(NV129="Med",NS129*$D$43,IF(NV129="High",NS129*$D$44,"rango cal. out")))</f>
        <v>-1.0631799999999998E-10</v>
      </c>
      <c r="NX129" s="619">
        <f>((273.2+NP129)*$F$33/((273.2+$F$32)*NR129))</f>
        <v>1.001093715939642</v>
      </c>
      <c r="NY129" s="674">
        <f>NW129/NT129*NX129*EXP(-LN(2)/10990*($F$96-NU129))</f>
        <v>-1.7567583579679012E-12</v>
      </c>
      <c r="NZ129" s="599">
        <f>NY129-AVERAGE(OG102:OG103)</f>
        <v>-1.7575105190398597E-12</v>
      </c>
      <c r="OA129" s="599" t="e">
        <f>ABS(#REF!*NZ129*3600)</f>
        <v>#REF!</v>
      </c>
      <c r="OB129" s="657">
        <f>ABS($B$34*NZ129*3600)</f>
        <v>1.5944135428729605E-4</v>
      </c>
      <c r="OC129" s="614">
        <f>OB129*$C$87</f>
        <v>1.5944135428729606E-2</v>
      </c>
      <c r="OD129" s="672">
        <f>OB129*$F$78</f>
        <v>1.9132962514475525E-4</v>
      </c>
      <c r="OE129" s="600">
        <f>OB129*$F$83</f>
        <v>1.9292403868762821E-4</v>
      </c>
      <c r="OF129" s="672">
        <f>OB129*$F$80</f>
        <v>1.9292403868762821E-4</v>
      </c>
      <c r="OG129" s="676">
        <f>OB129*$F$79</f>
        <v>1.9930169285912007E-4</v>
      </c>
      <c r="OH129" s="668"/>
      <c r="OI129" s="669"/>
      <c r="OJ129" s="670"/>
      <c r="OK129" s="671"/>
      <c r="OL129" s="678"/>
      <c r="OM129" s="663"/>
      <c r="ON129" s="650"/>
      <c r="OO129" s="651" t="str">
        <f>IF(ON129="Low",OK129*$D$42,IF(ON129="Med",OK129*$D$43,IF(ON129="High",OK129*$D$44,"rango cal. out")))</f>
        <v>rango cal. out</v>
      </c>
      <c r="OP129" s="619" t="e">
        <f>((273.2+OH129)*$F$33/((273.2+$F$32)*OJ129))</f>
        <v>#DIV/0!</v>
      </c>
      <c r="OQ129" s="674" t="e">
        <f>OO129/OL129*OP129*EXP(-LN(2)/10990*($F$96-OM129))</f>
        <v>#VALUE!</v>
      </c>
      <c r="OR129" s="599" t="e">
        <f>OQ129-AVERAGE(OY102:OY103)</f>
        <v>#VALUE!</v>
      </c>
      <c r="OS129" s="599" t="e">
        <f>ABS(#REF!*OR129*3600)</f>
        <v>#REF!</v>
      </c>
      <c r="OT129" s="657" t="e">
        <f>ABS($B$34*OR129*3600)</f>
        <v>#VALUE!</v>
      </c>
      <c r="OU129" s="614" t="e">
        <f>OT129*$C$87</f>
        <v>#VALUE!</v>
      </c>
      <c r="OV129" s="672" t="e">
        <f>OT129*$F$78</f>
        <v>#VALUE!</v>
      </c>
      <c r="OW129" s="600" t="e">
        <f>OT129*$F$83</f>
        <v>#VALUE!</v>
      </c>
      <c r="OX129" s="672" t="e">
        <f>OT129*$F$80</f>
        <v>#VALUE!</v>
      </c>
      <c r="OY129" s="676" t="e">
        <f>OT129*$F$79</f>
        <v>#VALUE!</v>
      </c>
      <c r="OZ129" s="2013">
        <v>20.5</v>
      </c>
      <c r="PA129" s="2018">
        <v>54</v>
      </c>
      <c r="PB129" s="2021">
        <v>1007</v>
      </c>
      <c r="PC129" s="2011">
        <v>-2.3450000000000002E-10</v>
      </c>
      <c r="PD129" s="673">
        <v>60</v>
      </c>
      <c r="PE129" s="663">
        <v>44334</v>
      </c>
      <c r="PF129" s="650" t="s">
        <v>268</v>
      </c>
      <c r="PG129" s="651">
        <f>IF(PF129="Low",PC129*$D$42,IF(PF129="Med",PC129*$D$43,IF(PF129="High",PC129*$D$44,"rango cal. out")))</f>
        <v>-2.352035E-10</v>
      </c>
      <c r="PH129" s="619">
        <f>((273.2+OZ129)*$F$33/((273.2+$F$32)*PB129))</f>
        <v>1.001093715939642</v>
      </c>
      <c r="PI129" s="674">
        <f>PG129/PD129*PH129*EXP(-LN(2)/10990*($F$96-PE129))</f>
        <v>-3.8864135372025747E-12</v>
      </c>
      <c r="PJ129" s="599">
        <f>PI129-AVERAGE(PQ102:PQ103)</f>
        <v>-3.8847403271061344E-12</v>
      </c>
      <c r="PK129" s="599" t="e">
        <f>ABS(#REF!*PJ129*3600)</f>
        <v>#REF!</v>
      </c>
      <c r="PL129" s="657">
        <f>ABS($B$34*PJ129*3600)</f>
        <v>3.5242364247506852E-4</v>
      </c>
      <c r="PM129" s="614">
        <f>PL129*$C$87</f>
        <v>3.5242364247506854E-2</v>
      </c>
      <c r="PN129" s="672">
        <f>PL129*$F$78</f>
        <v>4.2290837097008223E-4</v>
      </c>
      <c r="PO129" s="600">
        <f>PL129*$F$83</f>
        <v>4.2643260739483292E-4</v>
      </c>
      <c r="PP129" s="672">
        <f>PL129*$F$80</f>
        <v>4.2643260739483292E-4</v>
      </c>
      <c r="PQ129" s="676">
        <f>PL129*$F$79</f>
        <v>4.4052955309383565E-4</v>
      </c>
      <c r="PR129" s="668"/>
      <c r="PS129" s="669"/>
      <c r="PT129" s="670"/>
      <c r="PU129" s="671"/>
      <c r="PV129" s="678"/>
      <c r="PW129" s="663"/>
      <c r="PX129" s="650"/>
      <c r="PY129" s="651" t="str">
        <f>IF(PX129="Low",PU129*$D$42,IF(PX129="Med",PU129*$D$43,IF(PX129="High",PU129*$D$44,"rango cal. out")))</f>
        <v>rango cal. out</v>
      </c>
      <c r="PZ129" s="619" t="e">
        <f>((273.2+PR129)*$F$33/((273.2+$F$32)*PT129))</f>
        <v>#DIV/0!</v>
      </c>
      <c r="QA129" s="674" t="e">
        <f>PY129/PV129*PZ129*EXP(-LN(2)/10990*($F$96-PW129))</f>
        <v>#VALUE!</v>
      </c>
      <c r="QB129" s="599" t="e">
        <f>QA129-AVERAGE(QI102:QI103)</f>
        <v>#VALUE!</v>
      </c>
      <c r="QC129" s="599" t="e">
        <f>ABS(#REF!*QB129*3600)</f>
        <v>#REF!</v>
      </c>
      <c r="QD129" s="657" t="e">
        <f>ABS($B$34*QB129*3600)</f>
        <v>#VALUE!</v>
      </c>
      <c r="QE129" s="614" t="e">
        <f>QD129*$C$87</f>
        <v>#VALUE!</v>
      </c>
      <c r="QF129" s="672" t="e">
        <f>QD129*$F$78</f>
        <v>#VALUE!</v>
      </c>
      <c r="QG129" s="600" t="e">
        <f>QD129*$F$83</f>
        <v>#VALUE!</v>
      </c>
      <c r="QH129" s="672" t="e">
        <f>QD129*$F$80</f>
        <v>#VALUE!</v>
      </c>
      <c r="QI129" s="676" t="e">
        <f>QD129*$F$79</f>
        <v>#VALUE!</v>
      </c>
      <c r="QJ129" s="668"/>
      <c r="QK129" s="669"/>
      <c r="QL129" s="670"/>
      <c r="QM129" s="671"/>
      <c r="QN129" s="678"/>
      <c r="QO129" s="663"/>
      <c r="QP129" s="650"/>
      <c r="QQ129" s="651" t="str">
        <f>IF(QP129="Low",QM129*$D$42,IF(QP129="Med",QM129*$D$43,IF(QP129="High",QM129*$D$44,"rango cal. out")))</f>
        <v>rango cal. out</v>
      </c>
      <c r="QR129" s="619" t="e">
        <f>((273.2+QJ129)*$F$33/((273.2+$F$32)*QL129))</f>
        <v>#DIV/0!</v>
      </c>
      <c r="QS129" s="674" t="e">
        <f>QQ129/QN129*QR129*EXP(-LN(2)/10990*($F$96-QO129))</f>
        <v>#VALUE!</v>
      </c>
      <c r="QT129" s="599" t="e">
        <f>QS129-AVERAGE(RA102:RA103)</f>
        <v>#VALUE!</v>
      </c>
      <c r="QU129" s="599" t="e">
        <f>ABS(#REF!*QT129*3600)</f>
        <v>#REF!</v>
      </c>
      <c r="QV129" s="657" t="e">
        <f>ABS($B$34*QT129*3600)</f>
        <v>#VALUE!</v>
      </c>
      <c r="QW129" s="614" t="e">
        <f>QV129*$C$87</f>
        <v>#VALUE!</v>
      </c>
      <c r="QX129" s="672" t="e">
        <f>QV129*$F$78</f>
        <v>#VALUE!</v>
      </c>
      <c r="QY129" s="600" t="e">
        <f>QV129*$F$83</f>
        <v>#VALUE!</v>
      </c>
      <c r="QZ129" s="672" t="e">
        <f>QV129*$F$80</f>
        <v>#VALUE!</v>
      </c>
      <c r="RA129" s="676" t="e">
        <f>QV129*$F$79</f>
        <v>#VALUE!</v>
      </c>
      <c r="RB129" s="668"/>
      <c r="RC129" s="669"/>
      <c r="RD129" s="680"/>
      <c r="RE129" s="671"/>
      <c r="RF129" s="673"/>
      <c r="RG129" s="663"/>
      <c r="RH129" s="650"/>
      <c r="RI129" s="651" t="str">
        <f>IF(RH129="Low",RE129*$D$42,IF(RH129="Med",RE129*$D$43,IF(RH129="High",RE129*$D$44,"rango cal. out")))</f>
        <v>rango cal. out</v>
      </c>
      <c r="RJ129" s="619" t="e">
        <f>((273.2+RB129)*$F$33/((273.2+$F$32)*RD129))</f>
        <v>#DIV/0!</v>
      </c>
      <c r="RK129" s="674" t="e">
        <f>RI129/RF129*RJ129*EXP(-LN(2)/10990*($F$96-RG129))</f>
        <v>#VALUE!</v>
      </c>
      <c r="RL129" s="599" t="e">
        <f>RK129-AVERAGE(RS102:RS103)</f>
        <v>#VALUE!</v>
      </c>
      <c r="RM129" s="599" t="e">
        <f>ABS(#REF!*RL129*3600)</f>
        <v>#REF!</v>
      </c>
      <c r="RN129" s="657" t="e">
        <f>ABS($B$34*RL129*3600)</f>
        <v>#VALUE!</v>
      </c>
      <c r="RO129" s="614" t="e">
        <f>RN129*$C$87</f>
        <v>#VALUE!</v>
      </c>
      <c r="RP129" s="672" t="e">
        <f>RN129*$F$78</f>
        <v>#VALUE!</v>
      </c>
      <c r="RQ129" s="600" t="e">
        <f>RN129*$F$83</f>
        <v>#VALUE!</v>
      </c>
      <c r="RR129" s="672" t="e">
        <f>RN129*$F$80</f>
        <v>#VALUE!</v>
      </c>
      <c r="RS129" s="676" t="e">
        <f>RN129*$F$79</f>
        <v>#VALUE!</v>
      </c>
      <c r="RT129" s="668"/>
      <c r="RU129" s="669"/>
      <c r="RV129" s="677"/>
      <c r="RW129" s="679"/>
      <c r="RX129" s="673"/>
      <c r="RY129" s="663"/>
      <c r="RZ129" s="650"/>
      <c r="SA129" s="651" t="str">
        <f>IF(RZ129="Low",RW129*$D$42,IF(RZ129="Med",RW129*$D$43,IF(RZ129="High",RW129*$D$44,"rango cal. out")))</f>
        <v>rango cal. out</v>
      </c>
      <c r="SB129" s="619" t="e">
        <f>((273.2+RT129)*$F$33/((273.2+$F$32)*RV129))</f>
        <v>#DIV/0!</v>
      </c>
      <c r="SC129" s="674" t="e">
        <f>SA129/RX129*SB129*EXP(-LN(2)/10990*($F$96-RY129))</f>
        <v>#VALUE!</v>
      </c>
      <c r="SD129" s="599" t="e">
        <f>SC129-AVERAGE(SK102:SK103)</f>
        <v>#VALUE!</v>
      </c>
      <c r="SE129" s="599" t="e">
        <f>ABS(#REF!*SD129*3600)</f>
        <v>#REF!</v>
      </c>
      <c r="SF129" s="657" t="e">
        <f>ABS($B$34*SD129*3600)</f>
        <v>#VALUE!</v>
      </c>
      <c r="SG129" s="614" t="e">
        <f>SF129*$C$87</f>
        <v>#VALUE!</v>
      </c>
      <c r="SH129" s="672" t="e">
        <f>SF129*$F$78</f>
        <v>#VALUE!</v>
      </c>
      <c r="SI129" s="600" t="e">
        <f>SF129*$F$83</f>
        <v>#VALUE!</v>
      </c>
      <c r="SJ129" s="672" t="e">
        <f>SF129*$F$80</f>
        <v>#VALUE!</v>
      </c>
      <c r="SK129" s="676" t="e">
        <f>SF129*$F$79</f>
        <v>#VALUE!</v>
      </c>
      <c r="SL129" s="2013">
        <v>20.5</v>
      </c>
      <c r="SM129" s="2018">
        <v>54</v>
      </c>
      <c r="SN129" s="2021">
        <v>1008</v>
      </c>
      <c r="SO129" s="2011">
        <v>-1.7999999999999999E-11</v>
      </c>
      <c r="SP129" s="2025">
        <v>60</v>
      </c>
      <c r="SQ129" s="663">
        <v>44334</v>
      </c>
      <c r="SR129" s="650" t="s">
        <v>268</v>
      </c>
      <c r="SS129" s="651">
        <f>IF(SR129="Low",SO129*$D$42,IF(SR129="Med",SO129*$D$43,IF(SR129="High",SO129*$D$44,"rango cal. out")))</f>
        <v>-1.8053999999999997E-11</v>
      </c>
      <c r="ST129" s="619">
        <f>((273.2+SL129)*$F$33/((273.2+$F$32)*SN129))</f>
        <v>1.0001005674119241</v>
      </c>
      <c r="SU129" s="674">
        <f>SS129/SP129*ST129*EXP(-LN(2)/10990*($F$96-SQ129))</f>
        <v>-2.9802150715526899E-13</v>
      </c>
      <c r="SV129" s="599">
        <f>SU129-AVERAGE(TC102:TC103)</f>
        <v>-2.9608883438123671E-13</v>
      </c>
      <c r="SW129" s="599" t="e">
        <f>ABS(#REF!*SV129*3600)</f>
        <v>#REF!</v>
      </c>
      <c r="SX129" s="657">
        <f>ABS($B$34*SV129*3600)</f>
        <v>2.686117905506579E-5</v>
      </c>
      <c r="SY129" s="614">
        <f>SX129*$C$87</f>
        <v>2.686117905506579E-3</v>
      </c>
      <c r="SZ129" s="672">
        <f>SX129*$F$78</f>
        <v>3.2233414866078944E-5</v>
      </c>
      <c r="TA129" s="600">
        <f>SX129*$F$83</f>
        <v>3.2502026656629603E-5</v>
      </c>
      <c r="TB129" s="672">
        <f>SX129*$F$80</f>
        <v>3.2502026656629603E-5</v>
      </c>
      <c r="TC129" s="676">
        <f>SX129*$F$79</f>
        <v>3.3576473818832238E-5</v>
      </c>
      <c r="TD129" s="2013">
        <v>20.5</v>
      </c>
      <c r="TE129" s="2018">
        <v>55</v>
      </c>
      <c r="TF129" s="2021">
        <v>1008</v>
      </c>
      <c r="TG129" s="2011">
        <v>-5.3500000000000001E-10</v>
      </c>
      <c r="TH129" s="673">
        <v>60</v>
      </c>
      <c r="TI129" s="663">
        <v>44334</v>
      </c>
      <c r="TJ129" s="650" t="s">
        <v>268</v>
      </c>
      <c r="TK129" s="651">
        <f>IF(TJ129="Low",TG129*$D$42,IF(TJ129="Med",TG129*$D$43,IF(TJ129="High",TG129*$D$44,"rango cal. out")))</f>
        <v>-5.3660499999999993E-10</v>
      </c>
      <c r="TL129" s="619">
        <f>((273.2+TD129)*$F$33/((273.2+$F$32)*TF129))</f>
        <v>1.0001005674119241</v>
      </c>
      <c r="TM129" s="674">
        <f>TK129/TH129*TL129*EXP(-LN(2)/10990*($F$96-TI129))</f>
        <v>-8.8578614626704945E-12</v>
      </c>
      <c r="TN129" s="599">
        <f>TM129-AVERAGE(TU102:TU103)</f>
        <v>-8.8574950194832899E-12</v>
      </c>
      <c r="TO129" s="599" t="e">
        <f>ABS(#REF!*TN129*3600)</f>
        <v>#REF!</v>
      </c>
      <c r="TP129" s="657">
        <f>ABS($B$34*TN129*3600)</f>
        <v>8.035519481675241E-4</v>
      </c>
      <c r="TQ129" s="614">
        <f>TP129*$C$87</f>
        <v>8.0355194816752407E-2</v>
      </c>
      <c r="TR129" s="672">
        <f>TP129*$F$78</f>
        <v>9.6426233780102892E-4</v>
      </c>
      <c r="TS129" s="600">
        <f>TP129*$F$83</f>
        <v>9.7229785728270414E-4</v>
      </c>
      <c r="TT129" s="672">
        <f>TP129*$F$80</f>
        <v>9.7229785728270414E-4</v>
      </c>
      <c r="TU129" s="676">
        <f>TP129*$F$79</f>
        <v>1.0044399352094051E-3</v>
      </c>
      <c r="TV129" s="668"/>
      <c r="TW129" s="669"/>
      <c r="TX129" s="670"/>
      <c r="TY129" s="671"/>
      <c r="TZ129" s="678"/>
      <c r="UA129" s="663"/>
      <c r="UB129" s="650"/>
      <c r="UC129" s="651" t="str">
        <f>IF(UB129="Low",TY129*$D$42,IF(UB129="Med",TY129*$D$43,IF(UB129="High",TY129*$D$44,"rango cal. out")))</f>
        <v>rango cal. out</v>
      </c>
      <c r="UD129" s="619" t="e">
        <f>((273.2+TV129)*$F$33/((273.2+$F$32)*TX129))</f>
        <v>#DIV/0!</v>
      </c>
      <c r="UE129" s="674" t="e">
        <f>UC129/TZ129*UD129*EXP(-LN(2)/10990*($F$96-UA129))</f>
        <v>#VALUE!</v>
      </c>
      <c r="UF129" s="599" t="e">
        <f>UE129-AVERAGE(UM102:UM103)</f>
        <v>#VALUE!</v>
      </c>
      <c r="UG129" s="599" t="e">
        <f>ABS(#REF!*UF129*3600)</f>
        <v>#REF!</v>
      </c>
      <c r="UH129" s="657" t="e">
        <f>ABS($B$34*UF129*3600)</f>
        <v>#VALUE!</v>
      </c>
      <c r="UI129" s="614" t="e">
        <f>UH129*$C$87</f>
        <v>#VALUE!</v>
      </c>
      <c r="UJ129" s="672" t="e">
        <f>UH129*$F$78</f>
        <v>#VALUE!</v>
      </c>
      <c r="UK129" s="600" t="e">
        <f>UH129*$F$83</f>
        <v>#VALUE!</v>
      </c>
      <c r="UL129" s="672" t="e">
        <f>UH129*$F$80</f>
        <v>#VALUE!</v>
      </c>
      <c r="UM129" s="676" t="e">
        <f>UH129*$F$79</f>
        <v>#VALUE!</v>
      </c>
      <c r="UN129" s="2013">
        <v>20.399999999999999</v>
      </c>
      <c r="UO129" s="2018">
        <v>55</v>
      </c>
      <c r="UP129" s="2021">
        <v>1008</v>
      </c>
      <c r="UQ129" s="2011">
        <v>-3E-11</v>
      </c>
      <c r="UR129" s="673">
        <v>60</v>
      </c>
      <c r="US129" s="663">
        <v>44334</v>
      </c>
      <c r="UT129" s="650" t="s">
        <v>268</v>
      </c>
      <c r="UU129" s="651">
        <f>IF(UT129="Low",UQ129*$D$42,IF(UT129="Med",UQ129*$D$43,IF(UT129="High",UQ129*$D$44,"rango cal. out")))</f>
        <v>-3.0089999999999996E-11</v>
      </c>
      <c r="UV129" s="619">
        <f>((273.2+UN129)*$F$33/((273.2+$F$32)*UP129))</f>
        <v>0.99976004968383014</v>
      </c>
      <c r="UW129" s="674">
        <f>UU129/UR129*UV129*EXP(-LN(2)/10990*($F$96-US129))</f>
        <v>-4.9653339292240938E-13</v>
      </c>
      <c r="UX129" s="599">
        <f>UW129-AVERAGE(VE102:VE103)</f>
        <v>-4.9637091984014464E-13</v>
      </c>
      <c r="UY129" s="599" t="e">
        <f>ABS(#REF!*UX129*3600)</f>
        <v>#REF!</v>
      </c>
      <c r="UZ129" s="657">
        <f>ABS($B$34*UX129*3600)</f>
        <v>4.5030769847897921E-5</v>
      </c>
      <c r="VA129" s="614">
        <f>UZ129*$C$87</f>
        <v>4.5030769847897922E-3</v>
      </c>
      <c r="VB129" s="672">
        <f>UZ129*$F$78</f>
        <v>5.4036923817477502E-5</v>
      </c>
      <c r="VC129" s="600">
        <f>UZ129*$F$83</f>
        <v>5.4487231515956486E-5</v>
      </c>
      <c r="VD129" s="672">
        <f>UZ129*$F$80</f>
        <v>5.4487231515956486E-5</v>
      </c>
      <c r="VE129" s="676">
        <f>UZ129*$F$79</f>
        <v>5.6288462309872405E-5</v>
      </c>
    </row>
    <row r="130" spans="1:577" x14ac:dyDescent="0.25">
      <c r="A130" s="681" t="s">
        <v>61</v>
      </c>
      <c r="B130" s="709">
        <f t="shared" ref="B130:F130" si="381">AVERAGE(B125:B129)</f>
        <v>20.139999999999997</v>
      </c>
      <c r="C130" s="710">
        <f t="shared" si="381"/>
        <v>53</v>
      </c>
      <c r="D130" s="710">
        <f t="shared" si="381"/>
        <v>1009.82</v>
      </c>
      <c r="E130" s="672">
        <f t="shared" si="381"/>
        <v>-8.7179999999999991E-9</v>
      </c>
      <c r="F130" s="710">
        <f t="shared" si="381"/>
        <v>60</v>
      </c>
      <c r="G130" s="685" t="s">
        <v>93</v>
      </c>
      <c r="H130" s="90" t="s">
        <v>93</v>
      </c>
      <c r="I130" s="599">
        <f t="shared" ref="I130" si="382">AVERAGE(I125:I129)</f>
        <v>-8.7267179999999988E-9</v>
      </c>
      <c r="J130" s="619">
        <f t="shared" ref="J130:X130" si="383">AVERAGE(J125:J129)</f>
        <v>0.99707433339220297</v>
      </c>
      <c r="K130" s="675">
        <f t="shared" si="383"/>
        <v>-1.4361803829318288E-10</v>
      </c>
      <c r="L130" s="672">
        <f t="shared" si="383"/>
        <v>-1.4359422632581139E-10</v>
      </c>
      <c r="M130" s="687" t="e">
        <f t="shared" si="383"/>
        <v>#REF!</v>
      </c>
      <c r="N130" s="686">
        <f t="shared" si="383"/>
        <v>1.3026868212277609E-2</v>
      </c>
      <c r="O130" s="687">
        <f t="shared" si="383"/>
        <v>1.3026868212277609</v>
      </c>
      <c r="P130" s="2122">
        <f t="shared" si="383"/>
        <v>1.563224185473313E-2</v>
      </c>
      <c r="Q130" s="687">
        <f t="shared" si="383"/>
        <v>1.5762510536855907E-2</v>
      </c>
      <c r="R130" s="687">
        <f t="shared" si="383"/>
        <v>1.5762510536855907E-2</v>
      </c>
      <c r="S130" s="690">
        <f t="shared" si="383"/>
        <v>1.6283585265347008E-2</v>
      </c>
      <c r="T130" s="691" t="e">
        <f t="shared" si="383"/>
        <v>#DIV/0!</v>
      </c>
      <c r="U130" s="683" t="e">
        <f t="shared" si="383"/>
        <v>#DIV/0!</v>
      </c>
      <c r="V130" s="684" t="e">
        <f t="shared" si="383"/>
        <v>#DIV/0!</v>
      </c>
      <c r="W130" s="599" t="e">
        <f t="shared" si="383"/>
        <v>#DIV/0!</v>
      </c>
      <c r="X130" s="685" t="e">
        <f t="shared" si="383"/>
        <v>#DIV/0!</v>
      </c>
      <c r="Y130" s="685" t="s">
        <v>93</v>
      </c>
      <c r="Z130" s="90" t="s">
        <v>93</v>
      </c>
      <c r="AA130" s="599" t="e">
        <f t="shared" ref="AA130" si="384">AVERAGE(AA125:AA129)</f>
        <v>#DIV/0!</v>
      </c>
      <c r="AB130" s="619" t="e">
        <f t="shared" ref="AB130:AP130" si="385">AVERAGE(AB125:AB129)</f>
        <v>#DIV/0!</v>
      </c>
      <c r="AC130" s="675" t="e">
        <f t="shared" si="385"/>
        <v>#VALUE!</v>
      </c>
      <c r="AD130" s="672" t="e">
        <f t="shared" si="385"/>
        <v>#VALUE!</v>
      </c>
      <c r="AE130" s="687" t="e">
        <f t="shared" si="385"/>
        <v>#REF!</v>
      </c>
      <c r="AF130" s="686" t="e">
        <f t="shared" si="385"/>
        <v>#VALUE!</v>
      </c>
      <c r="AG130" s="687" t="e">
        <f t="shared" si="385"/>
        <v>#VALUE!</v>
      </c>
      <c r="AH130" s="687" t="e">
        <f t="shared" si="385"/>
        <v>#VALUE!</v>
      </c>
      <c r="AI130" s="687" t="e">
        <f t="shared" si="385"/>
        <v>#VALUE!</v>
      </c>
      <c r="AJ130" s="687" t="e">
        <f t="shared" si="385"/>
        <v>#VALUE!</v>
      </c>
      <c r="AK130" s="690" t="e">
        <f t="shared" si="385"/>
        <v>#VALUE!</v>
      </c>
      <c r="AL130" s="691" t="e">
        <f t="shared" si="385"/>
        <v>#DIV/0!</v>
      </c>
      <c r="AM130" s="683" t="e">
        <f t="shared" si="385"/>
        <v>#DIV/0!</v>
      </c>
      <c r="AN130" s="684" t="e">
        <f t="shared" si="385"/>
        <v>#DIV/0!</v>
      </c>
      <c r="AO130" s="599" t="e">
        <f t="shared" si="385"/>
        <v>#DIV/0!</v>
      </c>
      <c r="AP130" s="685" t="e">
        <f t="shared" si="385"/>
        <v>#DIV/0!</v>
      </c>
      <c r="AQ130" s="685" t="s">
        <v>93</v>
      </c>
      <c r="AR130" s="90" t="s">
        <v>93</v>
      </c>
      <c r="AS130" s="599" t="e">
        <f t="shared" ref="AS130" si="386">AVERAGE(AS125:AS129)</f>
        <v>#DIV/0!</v>
      </c>
      <c r="AT130" s="619" t="e">
        <f t="shared" ref="AT130:BH130" si="387">AVERAGE(AT125:AT129)</f>
        <v>#DIV/0!</v>
      </c>
      <c r="AU130" s="675" t="e">
        <f t="shared" si="387"/>
        <v>#VALUE!</v>
      </c>
      <c r="AV130" s="672" t="e">
        <f t="shared" si="387"/>
        <v>#VALUE!</v>
      </c>
      <c r="AW130" s="687" t="e">
        <f t="shared" si="387"/>
        <v>#REF!</v>
      </c>
      <c r="AX130" s="686" t="e">
        <f t="shared" si="387"/>
        <v>#VALUE!</v>
      </c>
      <c r="AY130" s="687" t="e">
        <f t="shared" si="387"/>
        <v>#VALUE!</v>
      </c>
      <c r="AZ130" s="687" t="e">
        <f t="shared" si="387"/>
        <v>#VALUE!</v>
      </c>
      <c r="BA130" s="687" t="e">
        <f t="shared" si="387"/>
        <v>#VALUE!</v>
      </c>
      <c r="BB130" s="687" t="e">
        <f t="shared" si="387"/>
        <v>#VALUE!</v>
      </c>
      <c r="BC130" s="690" t="e">
        <f t="shared" si="387"/>
        <v>#VALUE!</v>
      </c>
      <c r="BD130" s="692">
        <f t="shared" si="387"/>
        <v>20.259999999999998</v>
      </c>
      <c r="BE130" s="711">
        <f t="shared" si="387"/>
        <v>50.6</v>
      </c>
      <c r="BF130" s="693">
        <f t="shared" si="387"/>
        <v>1008.6600000000001</v>
      </c>
      <c r="BG130" s="2001">
        <f t="shared" si="387"/>
        <v>-1.3806000000000002E-9</v>
      </c>
      <c r="BH130" s="694">
        <f t="shared" si="387"/>
        <v>60</v>
      </c>
      <c r="BI130" s="685" t="s">
        <v>93</v>
      </c>
      <c r="BJ130" s="90" t="s">
        <v>93</v>
      </c>
      <c r="BK130" s="599">
        <f t="shared" ref="BK130" si="388">AVERAGE(BK125:BK129)</f>
        <v>-1.3847417999999999E-9</v>
      </c>
      <c r="BL130" s="619">
        <f t="shared" ref="BL130:BZ130" si="389">AVERAGE(BL125:BL129)</f>
        <v>0.99863112638381524</v>
      </c>
      <c r="BM130" s="675">
        <f t="shared" si="389"/>
        <v>-2.2823225745898268E-11</v>
      </c>
      <c r="BN130" s="672">
        <f t="shared" si="389"/>
        <v>-2.2821880561789867E-11</v>
      </c>
      <c r="BO130" s="687" t="e">
        <f t="shared" si="389"/>
        <v>#REF!</v>
      </c>
      <c r="BP130" s="686">
        <f t="shared" si="389"/>
        <v>2.0704010045655766E-3</v>
      </c>
      <c r="BQ130" s="687">
        <f t="shared" si="389"/>
        <v>0.20704010045655769</v>
      </c>
      <c r="BR130" s="687">
        <f t="shared" si="389"/>
        <v>2.484481205478692E-3</v>
      </c>
      <c r="BS130" s="687">
        <f t="shared" si="389"/>
        <v>2.5051852155243476E-3</v>
      </c>
      <c r="BT130" s="687">
        <f t="shared" si="389"/>
        <v>2.5051852155243476E-3</v>
      </c>
      <c r="BU130" s="690">
        <f t="shared" si="389"/>
        <v>2.5880012557069707E-3</v>
      </c>
      <c r="BV130" s="682">
        <f t="shared" si="389"/>
        <v>20.14</v>
      </c>
      <c r="BW130" s="683">
        <f t="shared" si="389"/>
        <v>50.2</v>
      </c>
      <c r="BX130" s="693">
        <f t="shared" si="389"/>
        <v>1008.0799999999999</v>
      </c>
      <c r="BY130" s="599">
        <f t="shared" si="389"/>
        <v>-6.5900000000000013E-11</v>
      </c>
      <c r="BZ130" s="694">
        <f t="shared" si="389"/>
        <v>60</v>
      </c>
      <c r="CA130" s="685" t="s">
        <v>93</v>
      </c>
      <c r="CB130" s="90" t="s">
        <v>93</v>
      </c>
      <c r="CC130" s="599">
        <f t="shared" ref="CC130" si="390">AVERAGE(CC125:CC129)</f>
        <v>-6.60977E-11</v>
      </c>
      <c r="CD130" s="619">
        <f t="shared" ref="CD130:CR130" si="391">AVERAGE(CD125:CD129)</f>
        <v>0.99879839238450663</v>
      </c>
      <c r="CE130" s="675">
        <f t="shared" si="391"/>
        <v>-1.0896810180822884E-12</v>
      </c>
      <c r="CF130" s="672">
        <f t="shared" si="391"/>
        <v>-1.0878795228471465E-12</v>
      </c>
      <c r="CG130" s="687" t="e">
        <f t="shared" si="391"/>
        <v>#REF!</v>
      </c>
      <c r="CH130" s="686">
        <f t="shared" si="391"/>
        <v>9.8692430312693149E-5</v>
      </c>
      <c r="CI130" s="687">
        <f t="shared" si="391"/>
        <v>9.869243031269315E-3</v>
      </c>
      <c r="CJ130" s="687">
        <f t="shared" si="391"/>
        <v>1.1843091637523176E-4</v>
      </c>
      <c r="CK130" s="687">
        <f t="shared" si="391"/>
        <v>1.194178406783587E-4</v>
      </c>
      <c r="CL130" s="687">
        <f t="shared" si="391"/>
        <v>1.194178406783587E-4</v>
      </c>
      <c r="CM130" s="690">
        <f t="shared" si="391"/>
        <v>1.2336553789086643E-4</v>
      </c>
      <c r="CN130" s="692">
        <f t="shared" si="391"/>
        <v>20.240000000000002</v>
      </c>
      <c r="CO130" s="711">
        <f t="shared" si="391"/>
        <v>51.4</v>
      </c>
      <c r="CP130" s="693">
        <f t="shared" si="391"/>
        <v>1007.54</v>
      </c>
      <c r="CQ130" s="599">
        <f t="shared" si="391"/>
        <v>-3.2099999999999995E-9</v>
      </c>
      <c r="CR130" s="694">
        <f t="shared" si="391"/>
        <v>60</v>
      </c>
      <c r="CS130" s="685" t="s">
        <v>93</v>
      </c>
      <c r="CT130" s="90" t="s">
        <v>93</v>
      </c>
      <c r="CU130" s="599">
        <f t="shared" ref="CU130" si="392">AVERAGE(CU125:CU129)</f>
        <v>-3.2196299999999996E-9</v>
      </c>
      <c r="CV130" s="619">
        <f t="shared" ref="CV130:DJ130" si="393">AVERAGE(CV125:CV129)</f>
        <v>0.99967336945906049</v>
      </c>
      <c r="CW130" s="675">
        <f t="shared" si="393"/>
        <v>-5.3124478925571627E-11</v>
      </c>
      <c r="CX130" s="672">
        <f t="shared" si="393"/>
        <v>-5.311319123886621E-11</v>
      </c>
      <c r="CY130" s="687" t="e">
        <f t="shared" si="393"/>
        <v>#REF!</v>
      </c>
      <c r="CZ130" s="686">
        <f t="shared" si="393"/>
        <v>4.8184287091899433E-3</v>
      </c>
      <c r="DA130" s="687">
        <f t="shared" si="393"/>
        <v>0.4818428709189943</v>
      </c>
      <c r="DB130" s="687">
        <f t="shared" si="393"/>
        <v>5.7821144510279317E-3</v>
      </c>
      <c r="DC130" s="687">
        <f t="shared" si="393"/>
        <v>5.8302987381198311E-3</v>
      </c>
      <c r="DD130" s="687">
        <f t="shared" si="393"/>
        <v>5.8302987381198311E-3</v>
      </c>
      <c r="DE130" s="690">
        <f t="shared" si="393"/>
        <v>6.0230358864874281E-3</v>
      </c>
      <c r="DF130" s="682" t="e">
        <f t="shared" si="393"/>
        <v>#DIV/0!</v>
      </c>
      <c r="DG130" s="683" t="e">
        <f t="shared" si="393"/>
        <v>#DIV/0!</v>
      </c>
      <c r="DH130" s="684" t="e">
        <f t="shared" si="393"/>
        <v>#DIV/0!</v>
      </c>
      <c r="DI130" s="599" t="e">
        <f t="shared" si="393"/>
        <v>#DIV/0!</v>
      </c>
      <c r="DJ130" s="685" t="e">
        <f t="shared" si="393"/>
        <v>#DIV/0!</v>
      </c>
      <c r="DK130" s="685" t="s">
        <v>93</v>
      </c>
      <c r="DL130" s="90" t="s">
        <v>93</v>
      </c>
      <c r="DM130" s="599">
        <f t="shared" ref="DM130" si="394">AVERAGE(DM125:DM129)</f>
        <v>0</v>
      </c>
      <c r="DN130" s="619" t="e">
        <f t="shared" ref="DN130:EB130" si="395">AVERAGE(DN125:DN129)</f>
        <v>#DIV/0!</v>
      </c>
      <c r="DO130" s="675" t="e">
        <f t="shared" si="395"/>
        <v>#DIV/0!</v>
      </c>
      <c r="DP130" s="672" t="e">
        <f t="shared" si="395"/>
        <v>#DIV/0!</v>
      </c>
      <c r="DQ130" s="687" t="e">
        <f t="shared" si="395"/>
        <v>#REF!</v>
      </c>
      <c r="DR130" s="686" t="e">
        <f t="shared" si="395"/>
        <v>#DIV/0!</v>
      </c>
      <c r="DS130" s="687" t="e">
        <f t="shared" si="395"/>
        <v>#DIV/0!</v>
      </c>
      <c r="DT130" s="687" t="e">
        <f t="shared" si="395"/>
        <v>#DIV/0!</v>
      </c>
      <c r="DU130" s="687" t="e">
        <f t="shared" si="395"/>
        <v>#DIV/0!</v>
      </c>
      <c r="DV130" s="687" t="e">
        <f t="shared" si="395"/>
        <v>#DIV/0!</v>
      </c>
      <c r="DW130" s="690" t="e">
        <f t="shared" si="395"/>
        <v>#DIV/0!</v>
      </c>
      <c r="DX130" s="682" t="e">
        <f t="shared" si="395"/>
        <v>#DIV/0!</v>
      </c>
      <c r="DY130" s="683" t="e">
        <f t="shared" si="395"/>
        <v>#DIV/0!</v>
      </c>
      <c r="DZ130" s="684" t="e">
        <f t="shared" si="395"/>
        <v>#DIV/0!</v>
      </c>
      <c r="EA130" s="653" t="e">
        <f t="shared" si="395"/>
        <v>#DIV/0!</v>
      </c>
      <c r="EB130" s="685" t="e">
        <f t="shared" si="395"/>
        <v>#DIV/0!</v>
      </c>
      <c r="EC130" s="685" t="s">
        <v>93</v>
      </c>
      <c r="ED130" s="90" t="s">
        <v>93</v>
      </c>
      <c r="EE130" s="599" t="e">
        <f t="shared" ref="EE130" si="396">AVERAGE(EE125:EE129)</f>
        <v>#DIV/0!</v>
      </c>
      <c r="EF130" s="619" t="e">
        <f t="shared" ref="EF130:ET130" si="397">AVERAGE(EF125:EF129)</f>
        <v>#DIV/0!</v>
      </c>
      <c r="EG130" s="675" t="e">
        <f t="shared" si="397"/>
        <v>#VALUE!</v>
      </c>
      <c r="EH130" s="672" t="e">
        <f t="shared" si="397"/>
        <v>#VALUE!</v>
      </c>
      <c r="EI130" s="687" t="e">
        <f t="shared" si="397"/>
        <v>#REF!</v>
      </c>
      <c r="EJ130" s="686" t="e">
        <f t="shared" si="397"/>
        <v>#VALUE!</v>
      </c>
      <c r="EK130" s="687" t="e">
        <f t="shared" si="397"/>
        <v>#VALUE!</v>
      </c>
      <c r="EL130" s="687" t="e">
        <f t="shared" si="397"/>
        <v>#VALUE!</v>
      </c>
      <c r="EM130" s="687" t="e">
        <f t="shared" si="397"/>
        <v>#VALUE!</v>
      </c>
      <c r="EN130" s="687" t="e">
        <f t="shared" si="397"/>
        <v>#VALUE!</v>
      </c>
      <c r="EO130" s="690" t="e">
        <f t="shared" si="397"/>
        <v>#VALUE!</v>
      </c>
      <c r="EP130" s="682">
        <f t="shared" si="397"/>
        <v>20.38</v>
      </c>
      <c r="EQ130" s="683">
        <f t="shared" si="397"/>
        <v>51.8</v>
      </c>
      <c r="ER130" s="693">
        <f t="shared" si="397"/>
        <v>1007.5600000000001</v>
      </c>
      <c r="ES130" s="599">
        <f>AVERAGE(ES125:ES129)</f>
        <v>-1.2000000000000001E-11</v>
      </c>
      <c r="ET130" s="694">
        <f t="shared" si="397"/>
        <v>60</v>
      </c>
      <c r="EU130" s="685" t="s">
        <v>93</v>
      </c>
      <c r="EV130" s="90" t="s">
        <v>93</v>
      </c>
      <c r="EW130" s="599">
        <f t="shared" ref="EW130" si="398">AVERAGE(EW125:EW129)</f>
        <v>-1.2035999999999999E-11</v>
      </c>
      <c r="EX130" s="619">
        <f t="shared" ref="EX130:FL130" si="399">AVERAGE(EX125:EX129)</f>
        <v>1.0001308402756131</v>
      </c>
      <c r="EY130" s="675">
        <f t="shared" si="399"/>
        <v>-1.9872172123532425E-13</v>
      </c>
      <c r="EZ130" s="672">
        <f t="shared" si="399"/>
        <v>-1.9980228504492398E-13</v>
      </c>
      <c r="FA130" s="687" t="e">
        <f t="shared" si="399"/>
        <v>#REF!</v>
      </c>
      <c r="FB130" s="686">
        <f t="shared" si="399"/>
        <v>1.8126063299275502E-5</v>
      </c>
      <c r="FC130" s="687">
        <f t="shared" si="399"/>
        <v>1.8126063299275506E-3</v>
      </c>
      <c r="FD130" s="687">
        <f t="shared" si="399"/>
        <v>2.1751275959130603E-5</v>
      </c>
      <c r="FE130" s="687">
        <f t="shared" si="399"/>
        <v>2.1932536592123355E-5</v>
      </c>
      <c r="FF130" s="687">
        <f t="shared" si="399"/>
        <v>2.1932536592123355E-5</v>
      </c>
      <c r="FG130" s="690">
        <f t="shared" si="399"/>
        <v>2.265757912409438E-5</v>
      </c>
      <c r="FH130" s="682" t="e">
        <f t="shared" si="399"/>
        <v>#DIV/0!</v>
      </c>
      <c r="FI130" s="683" t="e">
        <f t="shared" si="399"/>
        <v>#DIV/0!</v>
      </c>
      <c r="FJ130" s="684" t="e">
        <f t="shared" si="399"/>
        <v>#DIV/0!</v>
      </c>
      <c r="FK130" s="599" t="e">
        <f t="shared" si="399"/>
        <v>#DIV/0!</v>
      </c>
      <c r="FL130" s="685" t="e">
        <f t="shared" si="399"/>
        <v>#DIV/0!</v>
      </c>
      <c r="FM130" s="685" t="s">
        <v>93</v>
      </c>
      <c r="FN130" s="90" t="s">
        <v>93</v>
      </c>
      <c r="FO130" s="599" t="e">
        <f t="shared" ref="FO130" si="400">AVERAGE(FO125:FO129)</f>
        <v>#DIV/0!</v>
      </c>
      <c r="FP130" s="619" t="e">
        <f t="shared" ref="FP130:GD130" si="401">AVERAGE(FP125:FP129)</f>
        <v>#DIV/0!</v>
      </c>
      <c r="FQ130" s="675" t="e">
        <f t="shared" si="401"/>
        <v>#VALUE!</v>
      </c>
      <c r="FR130" s="672" t="e">
        <f t="shared" si="401"/>
        <v>#VALUE!</v>
      </c>
      <c r="FS130" s="687" t="e">
        <f t="shared" si="401"/>
        <v>#REF!</v>
      </c>
      <c r="FT130" s="686" t="e">
        <f t="shared" si="401"/>
        <v>#VALUE!</v>
      </c>
      <c r="FU130" s="687" t="e">
        <f t="shared" si="401"/>
        <v>#VALUE!</v>
      </c>
      <c r="FV130" s="687" t="e">
        <f t="shared" si="401"/>
        <v>#VALUE!</v>
      </c>
      <c r="FW130" s="687" t="e">
        <f t="shared" si="401"/>
        <v>#VALUE!</v>
      </c>
      <c r="FX130" s="687" t="e">
        <f t="shared" si="401"/>
        <v>#VALUE!</v>
      </c>
      <c r="FY130" s="690" t="e">
        <f t="shared" si="401"/>
        <v>#VALUE!</v>
      </c>
      <c r="FZ130" s="682" t="e">
        <f t="shared" si="401"/>
        <v>#DIV/0!</v>
      </c>
      <c r="GA130" s="683" t="e">
        <f t="shared" si="401"/>
        <v>#DIV/0!</v>
      </c>
      <c r="GB130" s="684" t="e">
        <f t="shared" si="401"/>
        <v>#DIV/0!</v>
      </c>
      <c r="GC130" s="599" t="e">
        <f t="shared" si="401"/>
        <v>#DIV/0!</v>
      </c>
      <c r="GD130" s="685" t="e">
        <f t="shared" si="401"/>
        <v>#DIV/0!</v>
      </c>
      <c r="GE130" s="685" t="s">
        <v>93</v>
      </c>
      <c r="GF130" s="90" t="s">
        <v>93</v>
      </c>
      <c r="GG130" s="599" t="e">
        <f t="shared" ref="GG130" si="402">AVERAGE(GG125:GG129)</f>
        <v>#DIV/0!</v>
      </c>
      <c r="GH130" s="619" t="e">
        <f t="shared" ref="GH130:GV130" si="403">AVERAGE(GH125:GH129)</f>
        <v>#DIV/0!</v>
      </c>
      <c r="GI130" s="675" t="e">
        <f t="shared" si="403"/>
        <v>#VALUE!</v>
      </c>
      <c r="GJ130" s="672" t="e">
        <f t="shared" si="403"/>
        <v>#VALUE!</v>
      </c>
      <c r="GK130" s="687" t="e">
        <f t="shared" si="403"/>
        <v>#REF!</v>
      </c>
      <c r="GL130" s="686" t="e">
        <f t="shared" si="403"/>
        <v>#VALUE!</v>
      </c>
      <c r="GM130" s="687" t="e">
        <f t="shared" si="403"/>
        <v>#VALUE!</v>
      </c>
      <c r="GN130" s="687" t="e">
        <f t="shared" si="403"/>
        <v>#VALUE!</v>
      </c>
      <c r="GO130" s="687" t="e">
        <f t="shared" si="403"/>
        <v>#VALUE!</v>
      </c>
      <c r="GP130" s="687" t="e">
        <f t="shared" si="403"/>
        <v>#VALUE!</v>
      </c>
      <c r="GQ130" s="690" t="e">
        <f t="shared" si="403"/>
        <v>#VALUE!</v>
      </c>
      <c r="GR130" s="682" t="e">
        <f t="shared" si="403"/>
        <v>#DIV/0!</v>
      </c>
      <c r="GS130" s="683" t="e">
        <f t="shared" si="403"/>
        <v>#DIV/0!</v>
      </c>
      <c r="GT130" s="684" t="e">
        <f t="shared" si="403"/>
        <v>#DIV/0!</v>
      </c>
      <c r="GU130" s="653" t="e">
        <f t="shared" si="403"/>
        <v>#DIV/0!</v>
      </c>
      <c r="GV130" s="685" t="e">
        <f t="shared" si="403"/>
        <v>#DIV/0!</v>
      </c>
      <c r="GW130" s="685" t="s">
        <v>93</v>
      </c>
      <c r="GX130" s="90" t="s">
        <v>93</v>
      </c>
      <c r="GY130" s="599" t="e">
        <f t="shared" ref="GY130" si="404">AVERAGE(GY125:GY129)</f>
        <v>#DIV/0!</v>
      </c>
      <c r="GZ130" s="619" t="e">
        <f t="shared" ref="GZ130:HN130" si="405">AVERAGE(GZ125:GZ129)</f>
        <v>#DIV/0!</v>
      </c>
      <c r="HA130" s="675" t="e">
        <f t="shared" si="405"/>
        <v>#VALUE!</v>
      </c>
      <c r="HB130" s="672" t="e">
        <f t="shared" si="405"/>
        <v>#VALUE!</v>
      </c>
      <c r="HC130" s="687" t="e">
        <f t="shared" si="405"/>
        <v>#REF!</v>
      </c>
      <c r="HD130" s="686" t="e">
        <f t="shared" si="405"/>
        <v>#VALUE!</v>
      </c>
      <c r="HE130" s="687" t="e">
        <f t="shared" si="405"/>
        <v>#VALUE!</v>
      </c>
      <c r="HF130" s="687" t="e">
        <f t="shared" si="405"/>
        <v>#VALUE!</v>
      </c>
      <c r="HG130" s="687" t="e">
        <f t="shared" si="405"/>
        <v>#VALUE!</v>
      </c>
      <c r="HH130" s="687" t="e">
        <f t="shared" si="405"/>
        <v>#VALUE!</v>
      </c>
      <c r="HI130" s="690" t="e">
        <f t="shared" si="405"/>
        <v>#VALUE!</v>
      </c>
      <c r="HJ130" s="682" t="e">
        <f t="shared" si="405"/>
        <v>#DIV/0!</v>
      </c>
      <c r="HK130" s="683" t="e">
        <f t="shared" si="405"/>
        <v>#DIV/0!</v>
      </c>
      <c r="HL130" s="684" t="e">
        <f t="shared" si="405"/>
        <v>#DIV/0!</v>
      </c>
      <c r="HM130" s="599" t="e">
        <f t="shared" si="405"/>
        <v>#DIV/0!</v>
      </c>
      <c r="HN130" s="685" t="e">
        <f t="shared" si="405"/>
        <v>#DIV/0!</v>
      </c>
      <c r="HO130" s="685" t="s">
        <v>93</v>
      </c>
      <c r="HP130" s="90" t="s">
        <v>93</v>
      </c>
      <c r="HQ130" s="599" t="e">
        <f t="shared" ref="HQ130" si="406">AVERAGE(HQ125:HQ129)</f>
        <v>#DIV/0!</v>
      </c>
      <c r="HR130" s="619" t="e">
        <f t="shared" ref="HR130:IF130" si="407">AVERAGE(HR125:HR129)</f>
        <v>#DIV/0!</v>
      </c>
      <c r="HS130" s="675" t="e">
        <f t="shared" si="407"/>
        <v>#VALUE!</v>
      </c>
      <c r="HT130" s="672" t="e">
        <f t="shared" si="407"/>
        <v>#VALUE!</v>
      </c>
      <c r="HU130" s="687" t="e">
        <f t="shared" si="407"/>
        <v>#REF!</v>
      </c>
      <c r="HV130" s="686" t="e">
        <f t="shared" si="407"/>
        <v>#VALUE!</v>
      </c>
      <c r="HW130" s="687" t="e">
        <f t="shared" si="407"/>
        <v>#VALUE!</v>
      </c>
      <c r="HX130" s="687" t="e">
        <f t="shared" si="407"/>
        <v>#VALUE!</v>
      </c>
      <c r="HY130" s="687" t="e">
        <f t="shared" si="407"/>
        <v>#VALUE!</v>
      </c>
      <c r="HZ130" s="687" t="e">
        <f t="shared" si="407"/>
        <v>#VALUE!</v>
      </c>
      <c r="IA130" s="690" t="e">
        <f t="shared" si="407"/>
        <v>#VALUE!</v>
      </c>
      <c r="IB130" s="682" t="e">
        <f t="shared" si="407"/>
        <v>#DIV/0!</v>
      </c>
      <c r="IC130" s="683" t="e">
        <f t="shared" si="407"/>
        <v>#DIV/0!</v>
      </c>
      <c r="ID130" s="684" t="e">
        <f t="shared" si="407"/>
        <v>#DIV/0!</v>
      </c>
      <c r="IE130" s="599" t="e">
        <f t="shared" si="407"/>
        <v>#DIV/0!</v>
      </c>
      <c r="IF130" s="685" t="e">
        <f t="shared" si="407"/>
        <v>#DIV/0!</v>
      </c>
      <c r="IG130" s="685" t="s">
        <v>93</v>
      </c>
      <c r="IH130" s="90" t="s">
        <v>93</v>
      </c>
      <c r="II130" s="599" t="e">
        <f t="shared" ref="II130" si="408">AVERAGE(II125:II129)</f>
        <v>#DIV/0!</v>
      </c>
      <c r="IJ130" s="619" t="e">
        <f t="shared" ref="IJ130:IX130" si="409">AVERAGE(IJ125:IJ129)</f>
        <v>#DIV/0!</v>
      </c>
      <c r="IK130" s="675" t="e">
        <f t="shared" si="409"/>
        <v>#VALUE!</v>
      </c>
      <c r="IL130" s="672" t="e">
        <f t="shared" si="409"/>
        <v>#VALUE!</v>
      </c>
      <c r="IM130" s="687" t="e">
        <f t="shared" si="409"/>
        <v>#REF!</v>
      </c>
      <c r="IN130" s="686" t="e">
        <f t="shared" si="409"/>
        <v>#VALUE!</v>
      </c>
      <c r="IO130" s="687" t="e">
        <f t="shared" si="409"/>
        <v>#VALUE!</v>
      </c>
      <c r="IP130" s="687" t="e">
        <f t="shared" si="409"/>
        <v>#VALUE!</v>
      </c>
      <c r="IQ130" s="687" t="e">
        <f t="shared" si="409"/>
        <v>#VALUE!</v>
      </c>
      <c r="IR130" s="687" t="e">
        <f t="shared" si="409"/>
        <v>#VALUE!</v>
      </c>
      <c r="IS130" s="690" t="e">
        <f t="shared" si="409"/>
        <v>#VALUE!</v>
      </c>
      <c r="IT130" s="682" t="e">
        <f t="shared" si="409"/>
        <v>#DIV/0!</v>
      </c>
      <c r="IU130" s="683" t="e">
        <f t="shared" si="409"/>
        <v>#DIV/0!</v>
      </c>
      <c r="IV130" s="684" t="e">
        <f t="shared" si="409"/>
        <v>#DIV/0!</v>
      </c>
      <c r="IW130" s="599" t="e">
        <f t="shared" si="409"/>
        <v>#DIV/0!</v>
      </c>
      <c r="IX130" s="685" t="e">
        <f t="shared" si="409"/>
        <v>#DIV/0!</v>
      </c>
      <c r="IY130" s="685" t="s">
        <v>93</v>
      </c>
      <c r="IZ130" s="90" t="s">
        <v>93</v>
      </c>
      <c r="JA130" s="599" t="e">
        <f t="shared" ref="JA130" si="410">AVERAGE(JA125:JA129)</f>
        <v>#DIV/0!</v>
      </c>
      <c r="JB130" s="619" t="e">
        <f t="shared" ref="JB130:JP130" si="411">AVERAGE(JB125:JB129)</f>
        <v>#DIV/0!</v>
      </c>
      <c r="JC130" s="675" t="e">
        <f t="shared" si="411"/>
        <v>#VALUE!</v>
      </c>
      <c r="JD130" s="672" t="e">
        <f t="shared" si="411"/>
        <v>#VALUE!</v>
      </c>
      <c r="JE130" s="687" t="e">
        <f t="shared" si="411"/>
        <v>#REF!</v>
      </c>
      <c r="JF130" s="686" t="e">
        <f t="shared" si="411"/>
        <v>#VALUE!</v>
      </c>
      <c r="JG130" s="687" t="e">
        <f t="shared" si="411"/>
        <v>#VALUE!</v>
      </c>
      <c r="JH130" s="687" t="e">
        <f t="shared" si="411"/>
        <v>#VALUE!</v>
      </c>
      <c r="JI130" s="687" t="e">
        <f t="shared" si="411"/>
        <v>#VALUE!</v>
      </c>
      <c r="JJ130" s="687" t="e">
        <f t="shared" si="411"/>
        <v>#VALUE!</v>
      </c>
      <c r="JK130" s="690" t="e">
        <f t="shared" si="411"/>
        <v>#VALUE!</v>
      </c>
      <c r="JL130" s="682" t="e">
        <f t="shared" si="411"/>
        <v>#DIV/0!</v>
      </c>
      <c r="JM130" s="683" t="e">
        <f t="shared" si="411"/>
        <v>#DIV/0!</v>
      </c>
      <c r="JN130" s="684" t="e">
        <f t="shared" si="411"/>
        <v>#DIV/0!</v>
      </c>
      <c r="JO130" s="599" t="e">
        <f t="shared" si="411"/>
        <v>#DIV/0!</v>
      </c>
      <c r="JP130" s="685" t="e">
        <f t="shared" si="411"/>
        <v>#DIV/0!</v>
      </c>
      <c r="JQ130" s="685" t="s">
        <v>93</v>
      </c>
      <c r="JR130" s="90" t="s">
        <v>93</v>
      </c>
      <c r="JS130" s="599" t="e">
        <f t="shared" ref="JS130" si="412">AVERAGE(JS125:JS129)</f>
        <v>#DIV/0!</v>
      </c>
      <c r="JT130" s="619" t="e">
        <f t="shared" ref="JT130:KH130" si="413">AVERAGE(JT125:JT129)</f>
        <v>#DIV/0!</v>
      </c>
      <c r="JU130" s="675" t="e">
        <f t="shared" si="413"/>
        <v>#VALUE!</v>
      </c>
      <c r="JV130" s="672" t="e">
        <f t="shared" si="413"/>
        <v>#VALUE!</v>
      </c>
      <c r="JW130" s="687" t="e">
        <f t="shared" si="413"/>
        <v>#REF!</v>
      </c>
      <c r="JX130" s="686" t="e">
        <f t="shared" si="413"/>
        <v>#VALUE!</v>
      </c>
      <c r="JY130" s="687" t="e">
        <f t="shared" si="413"/>
        <v>#VALUE!</v>
      </c>
      <c r="JZ130" s="687" t="e">
        <f t="shared" si="413"/>
        <v>#VALUE!</v>
      </c>
      <c r="KA130" s="687" t="e">
        <f t="shared" si="413"/>
        <v>#VALUE!</v>
      </c>
      <c r="KB130" s="687" t="e">
        <f t="shared" si="413"/>
        <v>#VALUE!</v>
      </c>
      <c r="KC130" s="690" t="e">
        <f t="shared" si="413"/>
        <v>#VALUE!</v>
      </c>
      <c r="KD130" s="682" t="e">
        <f t="shared" si="413"/>
        <v>#DIV/0!</v>
      </c>
      <c r="KE130" s="683" t="e">
        <f t="shared" si="413"/>
        <v>#DIV/0!</v>
      </c>
      <c r="KF130" s="684" t="e">
        <f t="shared" si="413"/>
        <v>#DIV/0!</v>
      </c>
      <c r="KG130" s="599" t="e">
        <f t="shared" si="413"/>
        <v>#DIV/0!</v>
      </c>
      <c r="KH130" s="685" t="e">
        <f t="shared" si="413"/>
        <v>#DIV/0!</v>
      </c>
      <c r="KI130" s="685" t="s">
        <v>93</v>
      </c>
      <c r="KJ130" s="90" t="s">
        <v>93</v>
      </c>
      <c r="KK130" s="599" t="e">
        <f t="shared" ref="KK130" si="414">AVERAGE(KK125:KK129)</f>
        <v>#DIV/0!</v>
      </c>
      <c r="KL130" s="619" t="e">
        <f t="shared" ref="KL130:KZ130" si="415">AVERAGE(KL125:KL129)</f>
        <v>#DIV/0!</v>
      </c>
      <c r="KM130" s="675" t="e">
        <f t="shared" si="415"/>
        <v>#VALUE!</v>
      </c>
      <c r="KN130" s="672" t="e">
        <f t="shared" si="415"/>
        <v>#VALUE!</v>
      </c>
      <c r="KO130" s="687" t="e">
        <f t="shared" si="415"/>
        <v>#REF!</v>
      </c>
      <c r="KP130" s="686" t="e">
        <f t="shared" si="415"/>
        <v>#VALUE!</v>
      </c>
      <c r="KQ130" s="687" t="e">
        <f t="shared" si="415"/>
        <v>#VALUE!</v>
      </c>
      <c r="KR130" s="687" t="e">
        <f t="shared" si="415"/>
        <v>#VALUE!</v>
      </c>
      <c r="KS130" s="687" t="e">
        <f t="shared" si="415"/>
        <v>#VALUE!</v>
      </c>
      <c r="KT130" s="687" t="e">
        <f t="shared" si="415"/>
        <v>#VALUE!</v>
      </c>
      <c r="KU130" s="690" t="e">
        <f t="shared" si="415"/>
        <v>#VALUE!</v>
      </c>
      <c r="KV130" s="682" t="e">
        <f t="shared" si="415"/>
        <v>#DIV/0!</v>
      </c>
      <c r="KW130" s="683" t="e">
        <f t="shared" si="415"/>
        <v>#DIV/0!</v>
      </c>
      <c r="KX130" s="684" t="e">
        <f t="shared" si="415"/>
        <v>#DIV/0!</v>
      </c>
      <c r="KY130" s="599" t="e">
        <f t="shared" si="415"/>
        <v>#DIV/0!</v>
      </c>
      <c r="KZ130" s="685" t="e">
        <f t="shared" si="415"/>
        <v>#DIV/0!</v>
      </c>
      <c r="LA130" s="685" t="s">
        <v>93</v>
      </c>
      <c r="LB130" s="90" t="s">
        <v>93</v>
      </c>
      <c r="LC130" s="599" t="e">
        <f t="shared" ref="LC130" si="416">AVERAGE(LC125:LC129)</f>
        <v>#DIV/0!</v>
      </c>
      <c r="LD130" s="619" t="e">
        <f t="shared" ref="LD130:LR130" si="417">AVERAGE(LD125:LD129)</f>
        <v>#DIV/0!</v>
      </c>
      <c r="LE130" s="675" t="e">
        <f t="shared" si="417"/>
        <v>#VALUE!</v>
      </c>
      <c r="LF130" s="672" t="e">
        <f t="shared" si="417"/>
        <v>#VALUE!</v>
      </c>
      <c r="LG130" s="687" t="e">
        <f t="shared" si="417"/>
        <v>#REF!</v>
      </c>
      <c r="LH130" s="686" t="e">
        <f t="shared" si="417"/>
        <v>#VALUE!</v>
      </c>
      <c r="LI130" s="687" t="e">
        <f t="shared" si="417"/>
        <v>#VALUE!</v>
      </c>
      <c r="LJ130" s="687" t="e">
        <f t="shared" si="417"/>
        <v>#VALUE!</v>
      </c>
      <c r="LK130" s="687" t="e">
        <f t="shared" si="417"/>
        <v>#VALUE!</v>
      </c>
      <c r="LL130" s="687" t="e">
        <f t="shared" si="417"/>
        <v>#VALUE!</v>
      </c>
      <c r="LM130" s="690" t="e">
        <f t="shared" si="417"/>
        <v>#VALUE!</v>
      </c>
      <c r="LN130" s="682" t="e">
        <f t="shared" si="417"/>
        <v>#DIV/0!</v>
      </c>
      <c r="LO130" s="683" t="e">
        <f t="shared" si="417"/>
        <v>#DIV/0!</v>
      </c>
      <c r="LP130" s="684" t="e">
        <f t="shared" si="417"/>
        <v>#DIV/0!</v>
      </c>
      <c r="LQ130" s="599" t="e">
        <f t="shared" si="417"/>
        <v>#DIV/0!</v>
      </c>
      <c r="LR130" s="685" t="e">
        <f t="shared" si="417"/>
        <v>#DIV/0!</v>
      </c>
      <c r="LS130" s="685" t="s">
        <v>93</v>
      </c>
      <c r="LT130" s="90" t="s">
        <v>93</v>
      </c>
      <c r="LU130" s="599" t="e">
        <f t="shared" ref="LU130" si="418">AVERAGE(LU125:LU129)</f>
        <v>#DIV/0!</v>
      </c>
      <c r="LV130" s="619" t="e">
        <f t="shared" ref="LV130:MJ130" si="419">AVERAGE(LV125:LV129)</f>
        <v>#DIV/0!</v>
      </c>
      <c r="LW130" s="675" t="e">
        <f t="shared" si="419"/>
        <v>#VALUE!</v>
      </c>
      <c r="LX130" s="672" t="e">
        <f t="shared" si="419"/>
        <v>#VALUE!</v>
      </c>
      <c r="LY130" s="687" t="e">
        <f t="shared" si="419"/>
        <v>#REF!</v>
      </c>
      <c r="LZ130" s="686" t="e">
        <f t="shared" si="419"/>
        <v>#VALUE!</v>
      </c>
      <c r="MA130" s="687" t="e">
        <f t="shared" si="419"/>
        <v>#VALUE!</v>
      </c>
      <c r="MB130" s="687" t="e">
        <f t="shared" si="419"/>
        <v>#VALUE!</v>
      </c>
      <c r="MC130" s="687" t="e">
        <f t="shared" si="419"/>
        <v>#VALUE!</v>
      </c>
      <c r="MD130" s="687" t="e">
        <f t="shared" si="419"/>
        <v>#VALUE!</v>
      </c>
      <c r="ME130" s="690" t="e">
        <f t="shared" si="419"/>
        <v>#VALUE!</v>
      </c>
      <c r="MF130" s="682" t="e">
        <f t="shared" si="419"/>
        <v>#DIV/0!</v>
      </c>
      <c r="MG130" s="683" t="e">
        <f t="shared" si="419"/>
        <v>#DIV/0!</v>
      </c>
      <c r="MH130" s="684" t="e">
        <f t="shared" si="419"/>
        <v>#DIV/0!</v>
      </c>
      <c r="MI130" s="599" t="e">
        <f t="shared" si="419"/>
        <v>#DIV/0!</v>
      </c>
      <c r="MJ130" s="685" t="e">
        <f t="shared" si="419"/>
        <v>#DIV/0!</v>
      </c>
      <c r="MK130" s="685" t="s">
        <v>93</v>
      </c>
      <c r="ML130" s="90" t="s">
        <v>93</v>
      </c>
      <c r="MM130" s="599" t="e">
        <f t="shared" ref="MM130" si="420">AVERAGE(MM125:MM129)</f>
        <v>#DIV/0!</v>
      </c>
      <c r="MN130" s="619" t="e">
        <f t="shared" ref="MN130:NB130" si="421">AVERAGE(MN125:MN129)</f>
        <v>#DIV/0!</v>
      </c>
      <c r="MO130" s="675" t="e">
        <f t="shared" si="421"/>
        <v>#VALUE!</v>
      </c>
      <c r="MP130" s="672" t="e">
        <f t="shared" si="421"/>
        <v>#VALUE!</v>
      </c>
      <c r="MQ130" s="687" t="e">
        <f t="shared" si="421"/>
        <v>#REF!</v>
      </c>
      <c r="MR130" s="686" t="e">
        <f t="shared" si="421"/>
        <v>#VALUE!</v>
      </c>
      <c r="MS130" s="687" t="e">
        <f t="shared" si="421"/>
        <v>#VALUE!</v>
      </c>
      <c r="MT130" s="687" t="e">
        <f t="shared" si="421"/>
        <v>#VALUE!</v>
      </c>
      <c r="MU130" s="687" t="e">
        <f t="shared" si="421"/>
        <v>#VALUE!</v>
      </c>
      <c r="MV130" s="687" t="e">
        <f t="shared" si="421"/>
        <v>#VALUE!</v>
      </c>
      <c r="MW130" s="690" t="e">
        <f t="shared" si="421"/>
        <v>#VALUE!</v>
      </c>
      <c r="MX130" s="682" t="e">
        <f t="shared" si="421"/>
        <v>#DIV/0!</v>
      </c>
      <c r="MY130" s="711" t="e">
        <f t="shared" si="421"/>
        <v>#DIV/0!</v>
      </c>
      <c r="MZ130" s="693" t="e">
        <f t="shared" si="421"/>
        <v>#DIV/0!</v>
      </c>
      <c r="NA130" s="599" t="e">
        <f t="shared" si="421"/>
        <v>#DIV/0!</v>
      </c>
      <c r="NB130" s="694" t="e">
        <f t="shared" si="421"/>
        <v>#DIV/0!</v>
      </c>
      <c r="NC130" s="685" t="s">
        <v>93</v>
      </c>
      <c r="ND130" s="90" t="s">
        <v>93</v>
      </c>
      <c r="NE130" s="599" t="e">
        <f t="shared" ref="NE130" si="422">AVERAGE(NE125:NE129)</f>
        <v>#DIV/0!</v>
      </c>
      <c r="NF130" s="619" t="e">
        <f t="shared" ref="NF130:NT130" si="423">AVERAGE(NF125:NF129)</f>
        <v>#DIV/0!</v>
      </c>
      <c r="NG130" s="675" t="e">
        <f t="shared" si="423"/>
        <v>#VALUE!</v>
      </c>
      <c r="NH130" s="672" t="e">
        <f t="shared" si="423"/>
        <v>#VALUE!</v>
      </c>
      <c r="NI130" s="687" t="e">
        <f t="shared" si="423"/>
        <v>#REF!</v>
      </c>
      <c r="NJ130" s="686" t="e">
        <f t="shared" si="423"/>
        <v>#VALUE!</v>
      </c>
      <c r="NK130" s="687" t="e">
        <f t="shared" si="423"/>
        <v>#VALUE!</v>
      </c>
      <c r="NL130" s="687" t="e">
        <f t="shared" si="423"/>
        <v>#VALUE!</v>
      </c>
      <c r="NM130" s="687" t="e">
        <f t="shared" si="423"/>
        <v>#VALUE!</v>
      </c>
      <c r="NN130" s="687" t="e">
        <f t="shared" si="423"/>
        <v>#VALUE!</v>
      </c>
      <c r="NO130" s="690" t="e">
        <f t="shared" si="423"/>
        <v>#VALUE!</v>
      </c>
      <c r="NP130" s="692">
        <f t="shared" si="423"/>
        <v>20.48</v>
      </c>
      <c r="NQ130" s="711">
        <f t="shared" si="423"/>
        <v>52.8</v>
      </c>
      <c r="NR130" s="693">
        <f t="shared" si="423"/>
        <v>1007</v>
      </c>
      <c r="NS130" s="599">
        <f t="shared" si="423"/>
        <v>-1.0579999999999999E-10</v>
      </c>
      <c r="NT130" s="685">
        <f t="shared" si="423"/>
        <v>60</v>
      </c>
      <c r="NU130" s="685" t="s">
        <v>93</v>
      </c>
      <c r="NV130" s="90" t="s">
        <v>93</v>
      </c>
      <c r="NW130" s="599">
        <f t="shared" ref="NW130" si="424">AVERAGE(NW125:NW129)</f>
        <v>-1.0611739999999998E-10</v>
      </c>
      <c r="NX130" s="619">
        <f t="shared" ref="NX130:OL130" si="425">AVERAGE(NX125:NX129)</f>
        <v>1.0010255447638885</v>
      </c>
      <c r="NY130" s="675">
        <f t="shared" si="425"/>
        <v>-1.7533252186941342E-12</v>
      </c>
      <c r="NZ130" s="672">
        <f t="shared" si="425"/>
        <v>-1.7540773797660925E-12</v>
      </c>
      <c r="OA130" s="687" t="e">
        <f t="shared" si="425"/>
        <v>#REF!</v>
      </c>
      <c r="OB130" s="686">
        <f t="shared" si="425"/>
        <v>1.5912989989237995E-4</v>
      </c>
      <c r="OC130" s="687">
        <f t="shared" si="425"/>
        <v>1.5912989989237993E-2</v>
      </c>
      <c r="OD130" s="687">
        <f t="shared" si="425"/>
        <v>1.9095587987085592E-4</v>
      </c>
      <c r="OE130" s="687">
        <f t="shared" si="425"/>
        <v>1.9254717886977972E-4</v>
      </c>
      <c r="OF130" s="687">
        <f t="shared" si="425"/>
        <v>1.9254717886977972E-4</v>
      </c>
      <c r="OG130" s="690">
        <f t="shared" si="425"/>
        <v>1.9891237486547491E-4</v>
      </c>
      <c r="OH130" s="682" t="e">
        <f t="shared" si="425"/>
        <v>#DIV/0!</v>
      </c>
      <c r="OI130" s="683" t="e">
        <f t="shared" si="425"/>
        <v>#DIV/0!</v>
      </c>
      <c r="OJ130" s="684" t="e">
        <f t="shared" si="425"/>
        <v>#DIV/0!</v>
      </c>
      <c r="OK130" s="599" t="e">
        <f t="shared" si="425"/>
        <v>#DIV/0!</v>
      </c>
      <c r="OL130" s="685" t="e">
        <f t="shared" si="425"/>
        <v>#DIV/0!</v>
      </c>
      <c r="OM130" s="685" t="s">
        <v>93</v>
      </c>
      <c r="ON130" s="90" t="s">
        <v>93</v>
      </c>
      <c r="OO130" s="599" t="e">
        <f t="shared" ref="OO130" si="426">AVERAGE(OO125:OO129)</f>
        <v>#DIV/0!</v>
      </c>
      <c r="OP130" s="619" t="e">
        <f t="shared" ref="OP130:PD130" si="427">AVERAGE(OP125:OP129)</f>
        <v>#DIV/0!</v>
      </c>
      <c r="OQ130" s="675" t="e">
        <f t="shared" si="427"/>
        <v>#VALUE!</v>
      </c>
      <c r="OR130" s="672" t="e">
        <f t="shared" si="427"/>
        <v>#VALUE!</v>
      </c>
      <c r="OS130" s="687" t="e">
        <f t="shared" si="427"/>
        <v>#REF!</v>
      </c>
      <c r="OT130" s="686" t="e">
        <f t="shared" si="427"/>
        <v>#VALUE!</v>
      </c>
      <c r="OU130" s="687" t="e">
        <f t="shared" si="427"/>
        <v>#VALUE!</v>
      </c>
      <c r="OV130" s="687" t="e">
        <f t="shared" si="427"/>
        <v>#VALUE!</v>
      </c>
      <c r="OW130" s="687" t="e">
        <f t="shared" si="427"/>
        <v>#VALUE!</v>
      </c>
      <c r="OX130" s="687" t="e">
        <f t="shared" si="427"/>
        <v>#VALUE!</v>
      </c>
      <c r="OY130" s="690" t="e">
        <f t="shared" si="427"/>
        <v>#VALUE!</v>
      </c>
      <c r="OZ130" s="682">
        <f t="shared" si="427"/>
        <v>20.380000000000003</v>
      </c>
      <c r="PA130" s="683">
        <f t="shared" si="427"/>
        <v>53</v>
      </c>
      <c r="PB130" s="693">
        <f t="shared" si="427"/>
        <v>1007.5200000000001</v>
      </c>
      <c r="PC130" s="599">
        <f t="shared" si="427"/>
        <v>-2.3430000000000001E-10</v>
      </c>
      <c r="PD130" s="694">
        <f t="shared" si="427"/>
        <v>60</v>
      </c>
      <c r="PE130" s="685" t="s">
        <v>93</v>
      </c>
      <c r="PF130" s="90" t="s">
        <v>93</v>
      </c>
      <c r="PG130" s="599">
        <f t="shared" ref="PG130" si="428">AVERAGE(PG125:PG129)</f>
        <v>-2.3500290000000001E-10</v>
      </c>
      <c r="PH130" s="619">
        <f t="shared" ref="PH130:PV130" si="429">AVERAGE(PH125:PH129)</f>
        <v>1.0001701234513387</v>
      </c>
      <c r="PI130" s="675">
        <f t="shared" si="429"/>
        <v>-3.8795127937152032E-12</v>
      </c>
      <c r="PJ130" s="672">
        <f t="shared" si="429"/>
        <v>-3.8778395836187629E-12</v>
      </c>
      <c r="PK130" s="687" t="e">
        <f t="shared" si="429"/>
        <v>#REF!</v>
      </c>
      <c r="PL130" s="686">
        <f t="shared" si="429"/>
        <v>3.5179760702589412E-4</v>
      </c>
      <c r="PM130" s="687">
        <f t="shared" si="429"/>
        <v>3.5179760702589415E-2</v>
      </c>
      <c r="PN130" s="687">
        <f t="shared" si="429"/>
        <v>4.22157128431073E-4</v>
      </c>
      <c r="PO130" s="687">
        <f t="shared" si="429"/>
        <v>4.2567510450133188E-4</v>
      </c>
      <c r="PP130" s="687">
        <f t="shared" si="429"/>
        <v>4.2567510450133188E-4</v>
      </c>
      <c r="PQ130" s="690">
        <f t="shared" si="429"/>
        <v>4.3974700878236767E-4</v>
      </c>
      <c r="PR130" s="682" t="e">
        <f t="shared" si="429"/>
        <v>#DIV/0!</v>
      </c>
      <c r="PS130" s="683" t="e">
        <f t="shared" si="429"/>
        <v>#DIV/0!</v>
      </c>
      <c r="PT130" s="684" t="e">
        <f t="shared" si="429"/>
        <v>#DIV/0!</v>
      </c>
      <c r="PU130" s="599" t="e">
        <f t="shared" si="429"/>
        <v>#DIV/0!</v>
      </c>
      <c r="PV130" s="685" t="e">
        <f t="shared" si="429"/>
        <v>#DIV/0!</v>
      </c>
      <c r="PW130" s="685" t="s">
        <v>93</v>
      </c>
      <c r="PX130" s="90" t="s">
        <v>93</v>
      </c>
      <c r="PY130" s="599" t="e">
        <f t="shared" ref="PY130" si="430">AVERAGE(PY125:PY129)</f>
        <v>#DIV/0!</v>
      </c>
      <c r="PZ130" s="619" t="e">
        <f t="shared" ref="PZ130:QN130" si="431">AVERAGE(PZ125:PZ129)</f>
        <v>#DIV/0!</v>
      </c>
      <c r="QA130" s="675" t="e">
        <f t="shared" si="431"/>
        <v>#VALUE!</v>
      </c>
      <c r="QB130" s="672" t="e">
        <f t="shared" si="431"/>
        <v>#VALUE!</v>
      </c>
      <c r="QC130" s="687" t="e">
        <f t="shared" si="431"/>
        <v>#REF!</v>
      </c>
      <c r="QD130" s="686" t="e">
        <f t="shared" si="431"/>
        <v>#VALUE!</v>
      </c>
      <c r="QE130" s="687" t="e">
        <f t="shared" si="431"/>
        <v>#VALUE!</v>
      </c>
      <c r="QF130" s="687" t="e">
        <f t="shared" si="431"/>
        <v>#VALUE!</v>
      </c>
      <c r="QG130" s="687" t="e">
        <f t="shared" si="431"/>
        <v>#VALUE!</v>
      </c>
      <c r="QH130" s="687" t="e">
        <f t="shared" si="431"/>
        <v>#VALUE!</v>
      </c>
      <c r="QI130" s="690" t="e">
        <f t="shared" si="431"/>
        <v>#VALUE!</v>
      </c>
      <c r="QJ130" s="682" t="e">
        <f t="shared" si="431"/>
        <v>#DIV/0!</v>
      </c>
      <c r="QK130" s="683" t="e">
        <f t="shared" si="431"/>
        <v>#DIV/0!</v>
      </c>
      <c r="QL130" s="684" t="e">
        <f t="shared" si="431"/>
        <v>#DIV/0!</v>
      </c>
      <c r="QM130" s="599" t="e">
        <f t="shared" si="431"/>
        <v>#DIV/0!</v>
      </c>
      <c r="QN130" s="685" t="e">
        <f t="shared" si="431"/>
        <v>#DIV/0!</v>
      </c>
      <c r="QO130" s="685" t="s">
        <v>93</v>
      </c>
      <c r="QP130" s="90" t="s">
        <v>93</v>
      </c>
      <c r="QQ130" s="599" t="e">
        <f t="shared" ref="QQ130" si="432">AVERAGE(QQ125:QQ129)</f>
        <v>#DIV/0!</v>
      </c>
      <c r="QR130" s="619" t="e">
        <f t="shared" ref="QR130:RF130" si="433">AVERAGE(QR125:QR129)</f>
        <v>#DIV/0!</v>
      </c>
      <c r="QS130" s="675" t="e">
        <f t="shared" si="433"/>
        <v>#VALUE!</v>
      </c>
      <c r="QT130" s="672" t="e">
        <f t="shared" si="433"/>
        <v>#VALUE!</v>
      </c>
      <c r="QU130" s="687" t="e">
        <f t="shared" si="433"/>
        <v>#REF!</v>
      </c>
      <c r="QV130" s="686" t="e">
        <f t="shared" si="433"/>
        <v>#VALUE!</v>
      </c>
      <c r="QW130" s="687" t="e">
        <f t="shared" si="433"/>
        <v>#VALUE!</v>
      </c>
      <c r="QX130" s="687" t="e">
        <f t="shared" si="433"/>
        <v>#VALUE!</v>
      </c>
      <c r="QY130" s="687" t="e">
        <f t="shared" si="433"/>
        <v>#VALUE!</v>
      </c>
      <c r="QZ130" s="687" t="e">
        <f t="shared" si="433"/>
        <v>#VALUE!</v>
      </c>
      <c r="RA130" s="690" t="e">
        <f t="shared" si="433"/>
        <v>#VALUE!</v>
      </c>
      <c r="RB130" s="692" t="e">
        <f t="shared" si="433"/>
        <v>#DIV/0!</v>
      </c>
      <c r="RC130" s="683" t="e">
        <f t="shared" si="433"/>
        <v>#DIV/0!</v>
      </c>
      <c r="RD130" s="693" t="e">
        <f t="shared" si="433"/>
        <v>#DIV/0!</v>
      </c>
      <c r="RE130" s="599" t="e">
        <f t="shared" si="433"/>
        <v>#DIV/0!</v>
      </c>
      <c r="RF130" s="694" t="e">
        <f t="shared" si="433"/>
        <v>#DIV/0!</v>
      </c>
      <c r="RG130" s="685" t="s">
        <v>93</v>
      </c>
      <c r="RH130" s="90" t="s">
        <v>93</v>
      </c>
      <c r="RI130" s="599" t="e">
        <f t="shared" ref="RI130" si="434">AVERAGE(RI125:RI129)</f>
        <v>#DIV/0!</v>
      </c>
      <c r="RJ130" s="619" t="e">
        <f t="shared" ref="RJ130:RX130" si="435">AVERAGE(RJ125:RJ129)</f>
        <v>#DIV/0!</v>
      </c>
      <c r="RK130" s="675" t="e">
        <f t="shared" si="435"/>
        <v>#VALUE!</v>
      </c>
      <c r="RL130" s="672" t="e">
        <f t="shared" si="435"/>
        <v>#VALUE!</v>
      </c>
      <c r="RM130" s="687" t="e">
        <f t="shared" si="435"/>
        <v>#REF!</v>
      </c>
      <c r="RN130" s="686" t="e">
        <f t="shared" si="435"/>
        <v>#VALUE!</v>
      </c>
      <c r="RO130" s="687" t="e">
        <f t="shared" si="435"/>
        <v>#VALUE!</v>
      </c>
      <c r="RP130" s="687" t="e">
        <f t="shared" si="435"/>
        <v>#VALUE!</v>
      </c>
      <c r="RQ130" s="687" t="e">
        <f t="shared" si="435"/>
        <v>#VALUE!</v>
      </c>
      <c r="RR130" s="687" t="e">
        <f t="shared" si="435"/>
        <v>#VALUE!</v>
      </c>
      <c r="RS130" s="690" t="e">
        <f t="shared" si="435"/>
        <v>#VALUE!</v>
      </c>
      <c r="RT130" s="682" t="e">
        <f t="shared" si="435"/>
        <v>#DIV/0!</v>
      </c>
      <c r="RU130" s="711" t="e">
        <f t="shared" si="435"/>
        <v>#DIV/0!</v>
      </c>
      <c r="RV130" s="684" t="e">
        <f t="shared" si="435"/>
        <v>#DIV/0!</v>
      </c>
      <c r="RW130" s="672" t="e">
        <f t="shared" si="435"/>
        <v>#DIV/0!</v>
      </c>
      <c r="RX130" s="694" t="e">
        <f t="shared" si="435"/>
        <v>#DIV/0!</v>
      </c>
      <c r="RY130" s="685" t="s">
        <v>93</v>
      </c>
      <c r="RZ130" s="90" t="s">
        <v>93</v>
      </c>
      <c r="SA130" s="599" t="e">
        <f t="shared" ref="SA130" si="436">AVERAGE(SA125:SA129)</f>
        <v>#DIV/0!</v>
      </c>
      <c r="SB130" s="619" t="e">
        <f t="shared" ref="SB130:SP130" si="437">AVERAGE(SB125:SB129)</f>
        <v>#DIV/0!</v>
      </c>
      <c r="SC130" s="675" t="e">
        <f t="shared" si="437"/>
        <v>#VALUE!</v>
      </c>
      <c r="SD130" s="672" t="e">
        <f t="shared" si="437"/>
        <v>#VALUE!</v>
      </c>
      <c r="SE130" s="687" t="e">
        <f t="shared" si="437"/>
        <v>#REF!</v>
      </c>
      <c r="SF130" s="686" t="e">
        <f t="shared" si="437"/>
        <v>#VALUE!</v>
      </c>
      <c r="SG130" s="687" t="e">
        <f t="shared" si="437"/>
        <v>#VALUE!</v>
      </c>
      <c r="SH130" s="687" t="e">
        <f t="shared" si="437"/>
        <v>#VALUE!</v>
      </c>
      <c r="SI130" s="687" t="e">
        <f t="shared" si="437"/>
        <v>#VALUE!</v>
      </c>
      <c r="SJ130" s="687" t="e">
        <f t="shared" si="437"/>
        <v>#VALUE!</v>
      </c>
      <c r="SK130" s="690" t="e">
        <f t="shared" si="437"/>
        <v>#VALUE!</v>
      </c>
      <c r="SL130" s="692">
        <f t="shared" si="437"/>
        <v>20.380000000000003</v>
      </c>
      <c r="SM130" s="711">
        <f t="shared" si="437"/>
        <v>53.4</v>
      </c>
      <c r="SN130" s="693">
        <f t="shared" si="437"/>
        <v>1008.22</v>
      </c>
      <c r="SO130" s="599">
        <f t="shared" si="437"/>
        <v>-1.7100000000000001E-11</v>
      </c>
      <c r="SP130" s="694">
        <f t="shared" si="437"/>
        <v>60</v>
      </c>
      <c r="SQ130" s="685" t="s">
        <v>93</v>
      </c>
      <c r="SR130" s="90" t="s">
        <v>93</v>
      </c>
      <c r="SS130" s="599">
        <f t="shared" ref="SS130" si="438">AVERAGE(SS125:SS129)</f>
        <v>-1.7151299999999998E-11</v>
      </c>
      <c r="ST130" s="619">
        <f t="shared" ref="ST130:TH130" si="439">AVERAGE(ST125:ST129)</f>
        <v>0.99947435358897985</v>
      </c>
      <c r="SU130" s="675">
        <f t="shared" si="439"/>
        <v>-2.829493759117809E-13</v>
      </c>
      <c r="SV130" s="672">
        <f t="shared" si="439"/>
        <v>-2.8101670313774866E-13</v>
      </c>
      <c r="SW130" s="687" t="e">
        <f t="shared" si="439"/>
        <v>#REF!</v>
      </c>
      <c r="SX130" s="686">
        <f t="shared" si="439"/>
        <v>2.5493835308656555E-5</v>
      </c>
      <c r="SY130" s="687">
        <f t="shared" si="439"/>
        <v>2.5493835308656554E-3</v>
      </c>
      <c r="SZ130" s="687">
        <f t="shared" si="439"/>
        <v>3.0592602370387865E-5</v>
      </c>
      <c r="TA130" s="687">
        <f t="shared" si="439"/>
        <v>3.084754072347443E-5</v>
      </c>
      <c r="TB130" s="687">
        <f t="shared" si="439"/>
        <v>3.084754072347443E-5</v>
      </c>
      <c r="TC130" s="690">
        <f t="shared" si="439"/>
        <v>3.1867294135820692E-5</v>
      </c>
      <c r="TD130" s="692">
        <f t="shared" si="439"/>
        <v>20.36</v>
      </c>
      <c r="TE130" s="711">
        <f t="shared" si="439"/>
        <v>54.4</v>
      </c>
      <c r="TF130" s="693">
        <f t="shared" si="439"/>
        <v>1008.24</v>
      </c>
      <c r="TG130" s="599">
        <f t="shared" si="439"/>
        <v>-5.3449999999999996E-10</v>
      </c>
      <c r="TH130" s="694">
        <f t="shared" si="439"/>
        <v>60</v>
      </c>
      <c r="TI130" s="685" t="s">
        <v>93</v>
      </c>
      <c r="TJ130" s="90" t="s">
        <v>93</v>
      </c>
      <c r="TK130" s="599">
        <f t="shared" ref="TK130" si="440">AVERAGE(TK125:TK129)</f>
        <v>-5.3610349999999992E-10</v>
      </c>
      <c r="TL130" s="619">
        <f t="shared" ref="TL130:TZ130" si="441">AVERAGE(TL125:TL129)</f>
        <v>0.99938649242349764</v>
      </c>
      <c r="TM130" s="675">
        <f t="shared" si="441"/>
        <v>-8.8432852814742062E-12</v>
      </c>
      <c r="TN130" s="672">
        <f t="shared" si="441"/>
        <v>-8.8429188382869999E-12</v>
      </c>
      <c r="TO130" s="687" t="e">
        <f t="shared" si="441"/>
        <v>#REF!</v>
      </c>
      <c r="TP130" s="686">
        <f t="shared" si="441"/>
        <v>8.0222959700939657E-4</v>
      </c>
      <c r="TQ130" s="687">
        <f t="shared" si="441"/>
        <v>8.0222959700939664E-2</v>
      </c>
      <c r="TR130" s="687">
        <f t="shared" si="441"/>
        <v>9.6267551641127601E-4</v>
      </c>
      <c r="TS130" s="687">
        <f t="shared" si="441"/>
        <v>9.7069781238137004E-4</v>
      </c>
      <c r="TT130" s="687">
        <f t="shared" si="441"/>
        <v>9.7069781238137004E-4</v>
      </c>
      <c r="TU130" s="690">
        <f t="shared" si="441"/>
        <v>1.0027869962617457E-3</v>
      </c>
      <c r="TV130" s="682" t="e">
        <f t="shared" si="441"/>
        <v>#DIV/0!</v>
      </c>
      <c r="TW130" s="683" t="e">
        <f t="shared" si="441"/>
        <v>#DIV/0!</v>
      </c>
      <c r="TX130" s="684" t="e">
        <f t="shared" si="441"/>
        <v>#DIV/0!</v>
      </c>
      <c r="TY130" s="599" t="e">
        <f t="shared" si="441"/>
        <v>#DIV/0!</v>
      </c>
      <c r="TZ130" s="685" t="e">
        <f t="shared" si="441"/>
        <v>#DIV/0!</v>
      </c>
      <c r="UA130" s="685" t="s">
        <v>93</v>
      </c>
      <c r="UB130" s="90" t="s">
        <v>93</v>
      </c>
      <c r="UC130" s="599" t="e">
        <f t="shared" ref="UC130" si="442">AVERAGE(UC125:UC129)</f>
        <v>#DIV/0!</v>
      </c>
      <c r="UD130" s="619" t="e">
        <f t="shared" ref="UD130:UR130" si="443">AVERAGE(UD125:UD129)</f>
        <v>#DIV/0!</v>
      </c>
      <c r="UE130" s="675" t="e">
        <f t="shared" si="443"/>
        <v>#VALUE!</v>
      </c>
      <c r="UF130" s="672" t="e">
        <f t="shared" si="443"/>
        <v>#VALUE!</v>
      </c>
      <c r="UG130" s="687" t="e">
        <f t="shared" si="443"/>
        <v>#REF!</v>
      </c>
      <c r="UH130" s="686" t="e">
        <f t="shared" si="443"/>
        <v>#VALUE!</v>
      </c>
      <c r="UI130" s="687" t="e">
        <f t="shared" si="443"/>
        <v>#VALUE!</v>
      </c>
      <c r="UJ130" s="687" t="e">
        <f t="shared" si="443"/>
        <v>#VALUE!</v>
      </c>
      <c r="UK130" s="687" t="e">
        <f t="shared" si="443"/>
        <v>#VALUE!</v>
      </c>
      <c r="UL130" s="687" t="e">
        <f t="shared" si="443"/>
        <v>#VALUE!</v>
      </c>
      <c r="UM130" s="690" t="e">
        <f t="shared" si="443"/>
        <v>#VALUE!</v>
      </c>
      <c r="UN130" s="682">
        <f t="shared" si="443"/>
        <v>20.360000000000003</v>
      </c>
      <c r="UO130" s="683">
        <f t="shared" si="443"/>
        <v>54.6</v>
      </c>
      <c r="UP130" s="693">
        <f t="shared" si="443"/>
        <v>1008.22</v>
      </c>
      <c r="UQ130" s="599">
        <f t="shared" si="443"/>
        <v>-3.04E-11</v>
      </c>
      <c r="UR130" s="694">
        <f t="shared" si="443"/>
        <v>60</v>
      </c>
      <c r="US130" s="685" t="s">
        <v>93</v>
      </c>
      <c r="UT130" s="90" t="s">
        <v>93</v>
      </c>
      <c r="UU130" s="599">
        <f t="shared" ref="UU130" si="444">AVERAGE(UU125:UU129)</f>
        <v>-3.0491199999999998E-11</v>
      </c>
      <c r="UV130" s="619">
        <f t="shared" ref="UV130:VE130" si="445">AVERAGE(UV125:UV129)</f>
        <v>0.99940625004336103</v>
      </c>
      <c r="UW130" s="675">
        <f t="shared" si="445"/>
        <v>-5.0297001055915159E-13</v>
      </c>
      <c r="UX130" s="672">
        <f t="shared" si="445"/>
        <v>-5.0280753747688695E-13</v>
      </c>
      <c r="UY130" s="687" t="e">
        <f t="shared" si="445"/>
        <v>#REF!</v>
      </c>
      <c r="UZ130" s="686">
        <f t="shared" si="445"/>
        <v>4.5614699799903186E-5</v>
      </c>
      <c r="VA130" s="687">
        <f t="shared" si="445"/>
        <v>4.5614699799903183E-3</v>
      </c>
      <c r="VB130" s="687">
        <f t="shared" si="445"/>
        <v>5.4737639759883824E-5</v>
      </c>
      <c r="VC130" s="687">
        <f t="shared" si="445"/>
        <v>5.5193786757882853E-5</v>
      </c>
      <c r="VD130" s="687">
        <f t="shared" si="445"/>
        <v>5.5193786757882853E-5</v>
      </c>
      <c r="VE130" s="690">
        <f t="shared" si="445"/>
        <v>5.7018374749878978E-5</v>
      </c>
    </row>
    <row r="131" spans="1:577" x14ac:dyDescent="0.25">
      <c r="A131" s="681" t="s">
        <v>62</v>
      </c>
      <c r="B131" s="688">
        <f t="shared" ref="B131:F131" si="446">STDEVA(B125:B129)</f>
        <v>0.23021728866442717</v>
      </c>
      <c r="C131" s="619">
        <f t="shared" si="446"/>
        <v>1.7320508075688772</v>
      </c>
      <c r="D131" s="619">
        <f t="shared" si="446"/>
        <v>0.24899799195976963</v>
      </c>
      <c r="E131" s="672">
        <f t="shared" si="446"/>
        <v>1.224744871391627E-12</v>
      </c>
      <c r="F131" s="619">
        <f t="shared" si="446"/>
        <v>0</v>
      </c>
      <c r="G131" s="652" t="s">
        <v>93</v>
      </c>
      <c r="H131" s="40" t="s">
        <v>93</v>
      </c>
      <c r="I131" s="599">
        <f>STDEVA(I125:I129)</f>
        <v>1.2259696162627338E-12</v>
      </c>
      <c r="J131" s="652">
        <f t="shared" ref="J131:X131" si="447">STDEVA(J125:J129)</f>
        <v>5.5708000444993776E-4</v>
      </c>
      <c r="K131" s="675">
        <f t="shared" si="447"/>
        <v>9.3796152846299824E-14</v>
      </c>
      <c r="L131" s="672">
        <f t="shared" si="447"/>
        <v>9.3796152846299824E-14</v>
      </c>
      <c r="M131" s="672" t="e">
        <f t="shared" si="447"/>
        <v>#REF!</v>
      </c>
      <c r="N131" s="675">
        <f t="shared" si="447"/>
        <v>8.5091869862162439E-6</v>
      </c>
      <c r="O131" s="672">
        <f t="shared" si="447"/>
        <v>8.5091869862159166E-4</v>
      </c>
      <c r="P131" s="672">
        <f t="shared" si="447"/>
        <v>1.0211024383459533E-5</v>
      </c>
      <c r="Q131" s="672">
        <f>STDEVA(Q125:Q129)</f>
        <v>1.0296116253320915E-5</v>
      </c>
      <c r="R131" s="672">
        <f t="shared" si="447"/>
        <v>1.0296116253320915E-5</v>
      </c>
      <c r="S131" s="676">
        <f t="shared" si="447"/>
        <v>1.0636483732770719E-5</v>
      </c>
      <c r="T131" s="691" t="e">
        <f t="shared" si="447"/>
        <v>#DIV/0!</v>
      </c>
      <c r="U131" s="691" t="e">
        <f t="shared" si="447"/>
        <v>#DIV/0!</v>
      </c>
      <c r="V131" s="695" t="e">
        <f t="shared" si="447"/>
        <v>#DIV/0!</v>
      </c>
      <c r="W131" s="599" t="e">
        <f t="shared" si="447"/>
        <v>#DIV/0!</v>
      </c>
      <c r="X131" s="652" t="e">
        <f t="shared" si="447"/>
        <v>#DIV/0!</v>
      </c>
      <c r="Y131" s="652" t="s">
        <v>93</v>
      </c>
      <c r="Z131" s="40" t="s">
        <v>93</v>
      </c>
      <c r="AA131" s="599">
        <f>STDEVA(AA125:AA129)</f>
        <v>0</v>
      </c>
      <c r="AB131" s="652" t="e">
        <f t="shared" ref="AB131:AP131" si="448">STDEVA(AB125:AB129)</f>
        <v>#DIV/0!</v>
      </c>
      <c r="AC131" s="675" t="e">
        <f t="shared" si="448"/>
        <v>#VALUE!</v>
      </c>
      <c r="AD131" s="672" t="e">
        <f t="shared" si="448"/>
        <v>#VALUE!</v>
      </c>
      <c r="AE131" s="672" t="e">
        <f t="shared" si="448"/>
        <v>#REF!</v>
      </c>
      <c r="AF131" s="675" t="e">
        <f t="shared" si="448"/>
        <v>#VALUE!</v>
      </c>
      <c r="AG131" s="672" t="e">
        <f t="shared" si="448"/>
        <v>#VALUE!</v>
      </c>
      <c r="AH131" s="672" t="e">
        <f t="shared" si="448"/>
        <v>#VALUE!</v>
      </c>
      <c r="AI131" s="672" t="e">
        <f>STDEVA(AI125:AI129)</f>
        <v>#VALUE!</v>
      </c>
      <c r="AJ131" s="672" t="e">
        <f t="shared" si="448"/>
        <v>#VALUE!</v>
      </c>
      <c r="AK131" s="676" t="e">
        <f t="shared" si="448"/>
        <v>#VALUE!</v>
      </c>
      <c r="AL131" s="691" t="e">
        <f t="shared" si="448"/>
        <v>#DIV/0!</v>
      </c>
      <c r="AM131" s="691" t="e">
        <f t="shared" si="448"/>
        <v>#DIV/0!</v>
      </c>
      <c r="AN131" s="695" t="e">
        <f t="shared" si="448"/>
        <v>#DIV/0!</v>
      </c>
      <c r="AO131" s="599" t="e">
        <f t="shared" si="448"/>
        <v>#DIV/0!</v>
      </c>
      <c r="AP131" s="652" t="e">
        <f t="shared" si="448"/>
        <v>#DIV/0!</v>
      </c>
      <c r="AQ131" s="652" t="s">
        <v>93</v>
      </c>
      <c r="AR131" s="40" t="s">
        <v>93</v>
      </c>
      <c r="AS131" s="599">
        <f>STDEVA(AS125:AS129)</f>
        <v>0</v>
      </c>
      <c r="AT131" s="652" t="e">
        <f t="shared" ref="AT131:BH131" si="449">STDEVA(AT125:AT129)</f>
        <v>#DIV/0!</v>
      </c>
      <c r="AU131" s="675" t="e">
        <f t="shared" si="449"/>
        <v>#VALUE!</v>
      </c>
      <c r="AV131" s="672" t="e">
        <f t="shared" si="449"/>
        <v>#VALUE!</v>
      </c>
      <c r="AW131" s="672" t="e">
        <f t="shared" si="449"/>
        <v>#REF!</v>
      </c>
      <c r="AX131" s="675" t="e">
        <f t="shared" si="449"/>
        <v>#VALUE!</v>
      </c>
      <c r="AY131" s="672" t="e">
        <f t="shared" si="449"/>
        <v>#VALUE!</v>
      </c>
      <c r="AZ131" s="672" t="e">
        <f t="shared" si="449"/>
        <v>#VALUE!</v>
      </c>
      <c r="BA131" s="672" t="e">
        <f>STDEVA(BA125:BA129)</f>
        <v>#VALUE!</v>
      </c>
      <c r="BB131" s="672" t="e">
        <f t="shared" si="449"/>
        <v>#VALUE!</v>
      </c>
      <c r="BC131" s="676" t="e">
        <f t="shared" si="449"/>
        <v>#VALUE!</v>
      </c>
      <c r="BD131" s="682">
        <f t="shared" si="449"/>
        <v>0.42778499272414822</v>
      </c>
      <c r="BE131" s="691">
        <f t="shared" si="449"/>
        <v>0.54772255750516607</v>
      </c>
      <c r="BF131" s="695">
        <f t="shared" si="449"/>
        <v>0.90443352436762003</v>
      </c>
      <c r="BG131" s="599">
        <f t="shared" si="449"/>
        <v>5.477225575052208E-13</v>
      </c>
      <c r="BH131" s="652">
        <f t="shared" si="449"/>
        <v>0</v>
      </c>
      <c r="BI131" s="652" t="s">
        <v>93</v>
      </c>
      <c r="BJ131" s="40" t="s">
        <v>93</v>
      </c>
      <c r="BK131" s="599">
        <f>STDEVA(BK125:BK129)</f>
        <v>5.4936572517769375E-13</v>
      </c>
      <c r="BL131" s="652">
        <f t="shared" ref="BL131:BZ131" si="450">STDEVA(BL125:BL129)</f>
        <v>2.3398031284619413E-3</v>
      </c>
      <c r="BM131" s="675">
        <f t="shared" si="450"/>
        <v>5.4829847223498015E-14</v>
      </c>
      <c r="BN131" s="672">
        <f t="shared" si="450"/>
        <v>5.4829847223498015E-14</v>
      </c>
      <c r="BO131" s="672" t="e">
        <f t="shared" si="450"/>
        <v>#REF!</v>
      </c>
      <c r="BP131" s="675">
        <f t="shared" si="450"/>
        <v>4.9741637401157927E-6</v>
      </c>
      <c r="BQ131" s="672">
        <f t="shared" si="450"/>
        <v>4.9741637401157538E-4</v>
      </c>
      <c r="BR131" s="672">
        <f t="shared" si="450"/>
        <v>5.9689964881388676E-6</v>
      </c>
      <c r="BS131" s="672">
        <f>STDEVA(BS125:BS129)</f>
        <v>6.0187381255400824E-6</v>
      </c>
      <c r="BT131" s="672">
        <f t="shared" si="450"/>
        <v>6.0187381255400824E-6</v>
      </c>
      <c r="BU131" s="676">
        <f t="shared" si="450"/>
        <v>6.2177046751446816E-6</v>
      </c>
      <c r="BV131" s="682">
        <f t="shared" si="450"/>
        <v>0.32093613071762406</v>
      </c>
      <c r="BW131" s="691">
        <f t="shared" si="450"/>
        <v>1.3038404810405297</v>
      </c>
      <c r="BX131" s="695">
        <f t="shared" si="450"/>
        <v>1.4788509052639733</v>
      </c>
      <c r="BY131" s="599">
        <f t="shared" si="450"/>
        <v>4.1833001326703635E-13</v>
      </c>
      <c r="BZ131" s="652">
        <f t="shared" si="450"/>
        <v>0</v>
      </c>
      <c r="CA131" s="652" t="s">
        <v>93</v>
      </c>
      <c r="CB131" s="40" t="s">
        <v>93</v>
      </c>
      <c r="CC131" s="599">
        <f>STDEVA(CC125:CC129)</f>
        <v>4.1958500330683739E-13</v>
      </c>
      <c r="CD131" s="652">
        <f t="shared" ref="CD131:CR131" si="451">STDEVA(CD125:CD129)</f>
        <v>2.5360037363597017E-3</v>
      </c>
      <c r="CE131" s="675">
        <f t="shared" si="451"/>
        <v>9.3603106824626848E-15</v>
      </c>
      <c r="CF131" s="672">
        <f t="shared" si="451"/>
        <v>9.3603106824626864E-15</v>
      </c>
      <c r="CG131" s="672" t="e">
        <f t="shared" si="451"/>
        <v>#REF!</v>
      </c>
      <c r="CH131" s="675">
        <f t="shared" si="451"/>
        <v>8.4916738511301528E-7</v>
      </c>
      <c r="CI131" s="672">
        <f t="shared" si="451"/>
        <v>8.49167385113014E-5</v>
      </c>
      <c r="CJ131" s="672">
        <f t="shared" si="451"/>
        <v>1.0190008621356189E-6</v>
      </c>
      <c r="CK131" s="672">
        <f>STDEVA(CK125:CK129)</f>
        <v>1.027492535986747E-6</v>
      </c>
      <c r="CL131" s="672">
        <f t="shared" si="451"/>
        <v>1.027492535986747E-6</v>
      </c>
      <c r="CM131" s="676">
        <f t="shared" si="451"/>
        <v>1.061459231391273E-6</v>
      </c>
      <c r="CN131" s="682">
        <f t="shared" si="451"/>
        <v>0.26076809620810576</v>
      </c>
      <c r="CO131" s="691">
        <f t="shared" si="451"/>
        <v>1.1401754250991381</v>
      </c>
      <c r="CP131" s="695">
        <f t="shared" si="451"/>
        <v>1.2074767078499069</v>
      </c>
      <c r="CQ131" s="599">
        <f t="shared" si="451"/>
        <v>1.0000000000000999E-12</v>
      </c>
      <c r="CR131" s="652">
        <f t="shared" si="451"/>
        <v>0</v>
      </c>
      <c r="CS131" s="652" t="s">
        <v>93</v>
      </c>
      <c r="CT131" s="40" t="s">
        <v>93</v>
      </c>
      <c r="CU131" s="599">
        <f>STDEVA(CU125:CU129)</f>
        <v>1.0030000000002291E-12</v>
      </c>
      <c r="CV131" s="652">
        <f t="shared" ref="CV131:DJ131" si="452">STDEVA(CV125:CV129)</f>
        <v>2.054047630580866E-3</v>
      </c>
      <c r="CW131" s="675">
        <f t="shared" si="452"/>
        <v>1.1750149489267386E-13</v>
      </c>
      <c r="CX131" s="672">
        <f t="shared" si="452"/>
        <v>1.1750149489267386E-13</v>
      </c>
      <c r="CY131" s="672" t="e">
        <f t="shared" si="452"/>
        <v>#REF!</v>
      </c>
      <c r="CZ131" s="675">
        <f t="shared" si="452"/>
        <v>1.0659735616663331E-5</v>
      </c>
      <c r="DA131" s="672">
        <f t="shared" si="452"/>
        <v>1.0659735616663248E-3</v>
      </c>
      <c r="DB131" s="672">
        <f t="shared" si="452"/>
        <v>1.2791682739995976E-5</v>
      </c>
      <c r="DC131" s="672">
        <f>STDEVA(DC125:DC129)</f>
        <v>1.2898280096162555E-5</v>
      </c>
      <c r="DD131" s="672">
        <f t="shared" si="452"/>
        <v>1.2898280096162555E-5</v>
      </c>
      <c r="DE131" s="676">
        <f t="shared" si="452"/>
        <v>1.3324669520829383E-5</v>
      </c>
      <c r="DF131" s="682" t="e">
        <f t="shared" si="452"/>
        <v>#DIV/0!</v>
      </c>
      <c r="DG131" s="691" t="e">
        <f t="shared" si="452"/>
        <v>#DIV/0!</v>
      </c>
      <c r="DH131" s="695" t="e">
        <f t="shared" si="452"/>
        <v>#DIV/0!</v>
      </c>
      <c r="DI131" s="599" t="e">
        <f t="shared" si="452"/>
        <v>#DIV/0!</v>
      </c>
      <c r="DJ131" s="652" t="e">
        <f t="shared" si="452"/>
        <v>#DIV/0!</v>
      </c>
      <c r="DK131" s="652" t="s">
        <v>93</v>
      </c>
      <c r="DL131" s="40" t="s">
        <v>93</v>
      </c>
      <c r="DM131" s="599">
        <f>STDEVA(DM125:DM129)</f>
        <v>0</v>
      </c>
      <c r="DN131" s="652" t="e">
        <f t="shared" ref="DN131:EB131" si="453">STDEVA(DN125:DN129)</f>
        <v>#DIV/0!</v>
      </c>
      <c r="DO131" s="675" t="e">
        <f t="shared" si="453"/>
        <v>#DIV/0!</v>
      </c>
      <c r="DP131" s="672" t="e">
        <f t="shared" si="453"/>
        <v>#DIV/0!</v>
      </c>
      <c r="DQ131" s="672" t="e">
        <f t="shared" si="453"/>
        <v>#REF!</v>
      </c>
      <c r="DR131" s="675" t="e">
        <f t="shared" si="453"/>
        <v>#DIV/0!</v>
      </c>
      <c r="DS131" s="672" t="e">
        <f t="shared" si="453"/>
        <v>#DIV/0!</v>
      </c>
      <c r="DT131" s="672" t="e">
        <f t="shared" si="453"/>
        <v>#DIV/0!</v>
      </c>
      <c r="DU131" s="672" t="e">
        <f>STDEVA(DU125:DU129)</f>
        <v>#DIV/0!</v>
      </c>
      <c r="DV131" s="672" t="e">
        <f t="shared" si="453"/>
        <v>#DIV/0!</v>
      </c>
      <c r="DW131" s="676" t="e">
        <f t="shared" si="453"/>
        <v>#DIV/0!</v>
      </c>
      <c r="DX131" s="682" t="e">
        <f t="shared" si="453"/>
        <v>#DIV/0!</v>
      </c>
      <c r="DY131" s="691" t="e">
        <f t="shared" si="453"/>
        <v>#DIV/0!</v>
      </c>
      <c r="DZ131" s="695" t="e">
        <f t="shared" si="453"/>
        <v>#DIV/0!</v>
      </c>
      <c r="EA131" s="653" t="e">
        <f t="shared" si="453"/>
        <v>#DIV/0!</v>
      </c>
      <c r="EB131" s="652" t="e">
        <f t="shared" si="453"/>
        <v>#DIV/0!</v>
      </c>
      <c r="EC131" s="652" t="s">
        <v>93</v>
      </c>
      <c r="ED131" s="40" t="s">
        <v>93</v>
      </c>
      <c r="EE131" s="599">
        <f>STDEVA(EE125:EE129)</f>
        <v>0</v>
      </c>
      <c r="EF131" s="652" t="e">
        <f t="shared" ref="EF131:ET131" si="454">STDEVA(EF125:EF129)</f>
        <v>#DIV/0!</v>
      </c>
      <c r="EG131" s="675" t="e">
        <f t="shared" si="454"/>
        <v>#VALUE!</v>
      </c>
      <c r="EH131" s="672" t="e">
        <f t="shared" si="454"/>
        <v>#VALUE!</v>
      </c>
      <c r="EI131" s="672" t="e">
        <f t="shared" si="454"/>
        <v>#REF!</v>
      </c>
      <c r="EJ131" s="675" t="e">
        <f t="shared" si="454"/>
        <v>#VALUE!</v>
      </c>
      <c r="EK131" s="672" t="e">
        <f t="shared" si="454"/>
        <v>#VALUE!</v>
      </c>
      <c r="EL131" s="672" t="e">
        <f t="shared" si="454"/>
        <v>#VALUE!</v>
      </c>
      <c r="EM131" s="672" t="e">
        <f>STDEVA(EM125:EM129)</f>
        <v>#VALUE!</v>
      </c>
      <c r="EN131" s="672" t="e">
        <f t="shared" si="454"/>
        <v>#VALUE!</v>
      </c>
      <c r="EO131" s="676" t="e">
        <f t="shared" si="454"/>
        <v>#VALUE!</v>
      </c>
      <c r="EP131" s="682">
        <f t="shared" si="454"/>
        <v>0.37013511046643427</v>
      </c>
      <c r="EQ131" s="691">
        <f t="shared" si="454"/>
        <v>0.83666002653407556</v>
      </c>
      <c r="ER131" s="695">
        <f t="shared" si="454"/>
        <v>1.2521980673998618</v>
      </c>
      <c r="ES131" s="599">
        <f t="shared" si="454"/>
        <v>1.1726039399558578E-12</v>
      </c>
      <c r="ET131" s="652">
        <f t="shared" si="454"/>
        <v>0</v>
      </c>
      <c r="EU131" s="652" t="s">
        <v>93</v>
      </c>
      <c r="EV131" s="40" t="s">
        <v>93</v>
      </c>
      <c r="EW131" s="599">
        <f>STDEVA(EW125:EW129)</f>
        <v>1.1761217517757252E-12</v>
      </c>
      <c r="EX131" s="652">
        <f t="shared" ref="EX131:FL131" si="455">STDEVA(EX125:EX129)</f>
        <v>2.4213202707878321E-3</v>
      </c>
      <c r="EY131" s="675">
        <f t="shared" si="455"/>
        <v>1.9807152741333952E-14</v>
      </c>
      <c r="EZ131" s="672">
        <f t="shared" si="455"/>
        <v>1.9807152741333952E-14</v>
      </c>
      <c r="FA131" s="672" t="e">
        <f t="shared" si="455"/>
        <v>#REF!</v>
      </c>
      <c r="FB131" s="675">
        <f t="shared" si="455"/>
        <v>1.7969048966938154E-6</v>
      </c>
      <c r="FC131" s="672">
        <f t="shared" si="455"/>
        <v>1.7969048966938152E-4</v>
      </c>
      <c r="FD131" s="672">
        <f t="shared" si="455"/>
        <v>2.1562858760325782E-6</v>
      </c>
      <c r="FE131" s="672">
        <f>STDEVA(FE125:FE129)</f>
        <v>2.1742549249995167E-6</v>
      </c>
      <c r="FF131" s="672">
        <f t="shared" si="455"/>
        <v>2.1742549249995167E-6</v>
      </c>
      <c r="FG131" s="676">
        <f t="shared" si="455"/>
        <v>2.2461311208672692E-6</v>
      </c>
      <c r="FH131" s="682" t="e">
        <f t="shared" si="455"/>
        <v>#DIV/0!</v>
      </c>
      <c r="FI131" s="691" t="e">
        <f t="shared" si="455"/>
        <v>#DIV/0!</v>
      </c>
      <c r="FJ131" s="695" t="e">
        <f t="shared" si="455"/>
        <v>#DIV/0!</v>
      </c>
      <c r="FK131" s="599" t="e">
        <f t="shared" si="455"/>
        <v>#DIV/0!</v>
      </c>
      <c r="FL131" s="652" t="e">
        <f t="shared" si="455"/>
        <v>#DIV/0!</v>
      </c>
      <c r="FM131" s="652" t="s">
        <v>93</v>
      </c>
      <c r="FN131" s="40" t="s">
        <v>93</v>
      </c>
      <c r="FO131" s="599">
        <f>STDEVA(FO125:FO129)</f>
        <v>0</v>
      </c>
      <c r="FP131" s="652" t="e">
        <f t="shared" ref="FP131:GD131" si="456">STDEVA(FP125:FP129)</f>
        <v>#DIV/0!</v>
      </c>
      <c r="FQ131" s="675" t="e">
        <f t="shared" si="456"/>
        <v>#VALUE!</v>
      </c>
      <c r="FR131" s="672" t="e">
        <f t="shared" si="456"/>
        <v>#VALUE!</v>
      </c>
      <c r="FS131" s="672" t="e">
        <f t="shared" si="456"/>
        <v>#REF!</v>
      </c>
      <c r="FT131" s="675" t="e">
        <f t="shared" si="456"/>
        <v>#VALUE!</v>
      </c>
      <c r="FU131" s="672" t="e">
        <f t="shared" si="456"/>
        <v>#VALUE!</v>
      </c>
      <c r="FV131" s="672" t="e">
        <f t="shared" si="456"/>
        <v>#VALUE!</v>
      </c>
      <c r="FW131" s="672" t="e">
        <f>STDEVA(FW125:FW129)</f>
        <v>#VALUE!</v>
      </c>
      <c r="FX131" s="672" t="e">
        <f t="shared" si="456"/>
        <v>#VALUE!</v>
      </c>
      <c r="FY131" s="676" t="e">
        <f t="shared" si="456"/>
        <v>#VALUE!</v>
      </c>
      <c r="FZ131" s="682" t="e">
        <f t="shared" si="456"/>
        <v>#DIV/0!</v>
      </c>
      <c r="GA131" s="691" t="e">
        <f t="shared" si="456"/>
        <v>#DIV/0!</v>
      </c>
      <c r="GB131" s="695" t="e">
        <f t="shared" si="456"/>
        <v>#DIV/0!</v>
      </c>
      <c r="GC131" s="599" t="e">
        <f t="shared" si="456"/>
        <v>#DIV/0!</v>
      </c>
      <c r="GD131" s="652" t="e">
        <f t="shared" si="456"/>
        <v>#DIV/0!</v>
      </c>
      <c r="GE131" s="652" t="s">
        <v>93</v>
      </c>
      <c r="GF131" s="40" t="s">
        <v>93</v>
      </c>
      <c r="GG131" s="599">
        <f>STDEVA(GG125:GG129)</f>
        <v>0</v>
      </c>
      <c r="GH131" s="652" t="e">
        <f t="shared" ref="GH131:GV131" si="457">STDEVA(GH125:GH129)</f>
        <v>#DIV/0!</v>
      </c>
      <c r="GI131" s="675" t="e">
        <f t="shared" si="457"/>
        <v>#VALUE!</v>
      </c>
      <c r="GJ131" s="672" t="e">
        <f t="shared" si="457"/>
        <v>#VALUE!</v>
      </c>
      <c r="GK131" s="672" t="e">
        <f t="shared" si="457"/>
        <v>#REF!</v>
      </c>
      <c r="GL131" s="675" t="e">
        <f t="shared" si="457"/>
        <v>#VALUE!</v>
      </c>
      <c r="GM131" s="672" t="e">
        <f t="shared" si="457"/>
        <v>#VALUE!</v>
      </c>
      <c r="GN131" s="672" t="e">
        <f t="shared" si="457"/>
        <v>#VALUE!</v>
      </c>
      <c r="GO131" s="672" t="e">
        <f>STDEVA(GO125:GO129)</f>
        <v>#VALUE!</v>
      </c>
      <c r="GP131" s="672" t="e">
        <f t="shared" si="457"/>
        <v>#VALUE!</v>
      </c>
      <c r="GQ131" s="676" t="e">
        <f t="shared" si="457"/>
        <v>#VALUE!</v>
      </c>
      <c r="GR131" s="682" t="e">
        <f t="shared" si="457"/>
        <v>#DIV/0!</v>
      </c>
      <c r="GS131" s="691" t="e">
        <f t="shared" si="457"/>
        <v>#DIV/0!</v>
      </c>
      <c r="GT131" s="695" t="e">
        <f t="shared" si="457"/>
        <v>#DIV/0!</v>
      </c>
      <c r="GU131" s="653" t="e">
        <f t="shared" si="457"/>
        <v>#DIV/0!</v>
      </c>
      <c r="GV131" s="652" t="e">
        <f t="shared" si="457"/>
        <v>#DIV/0!</v>
      </c>
      <c r="GW131" s="652" t="s">
        <v>93</v>
      </c>
      <c r="GX131" s="40" t="s">
        <v>93</v>
      </c>
      <c r="GY131" s="599">
        <f>STDEVA(GY125:GY129)</f>
        <v>0</v>
      </c>
      <c r="GZ131" s="652" t="e">
        <f t="shared" ref="GZ131:HN131" si="458">STDEVA(GZ125:GZ129)</f>
        <v>#DIV/0!</v>
      </c>
      <c r="HA131" s="675" t="e">
        <f t="shared" si="458"/>
        <v>#VALUE!</v>
      </c>
      <c r="HB131" s="672" t="e">
        <f t="shared" si="458"/>
        <v>#VALUE!</v>
      </c>
      <c r="HC131" s="672" t="e">
        <f t="shared" si="458"/>
        <v>#REF!</v>
      </c>
      <c r="HD131" s="675" t="e">
        <f t="shared" si="458"/>
        <v>#VALUE!</v>
      </c>
      <c r="HE131" s="672" t="e">
        <f t="shared" si="458"/>
        <v>#VALUE!</v>
      </c>
      <c r="HF131" s="672" t="e">
        <f t="shared" si="458"/>
        <v>#VALUE!</v>
      </c>
      <c r="HG131" s="672" t="e">
        <f>STDEVA(HG125:HG129)</f>
        <v>#VALUE!</v>
      </c>
      <c r="HH131" s="672" t="e">
        <f t="shared" si="458"/>
        <v>#VALUE!</v>
      </c>
      <c r="HI131" s="676" t="e">
        <f t="shared" si="458"/>
        <v>#VALUE!</v>
      </c>
      <c r="HJ131" s="682" t="e">
        <f t="shared" si="458"/>
        <v>#DIV/0!</v>
      </c>
      <c r="HK131" s="691" t="e">
        <f t="shared" si="458"/>
        <v>#DIV/0!</v>
      </c>
      <c r="HL131" s="695" t="e">
        <f t="shared" si="458"/>
        <v>#DIV/0!</v>
      </c>
      <c r="HM131" s="599" t="e">
        <f t="shared" si="458"/>
        <v>#DIV/0!</v>
      </c>
      <c r="HN131" s="652" t="e">
        <f t="shared" si="458"/>
        <v>#DIV/0!</v>
      </c>
      <c r="HO131" s="652" t="s">
        <v>93</v>
      </c>
      <c r="HP131" s="40" t="s">
        <v>93</v>
      </c>
      <c r="HQ131" s="599">
        <f>STDEVA(HQ125:HQ129)</f>
        <v>0</v>
      </c>
      <c r="HR131" s="652" t="e">
        <f t="shared" ref="HR131:IF131" si="459">STDEVA(HR125:HR129)</f>
        <v>#DIV/0!</v>
      </c>
      <c r="HS131" s="675" t="e">
        <f t="shared" si="459"/>
        <v>#VALUE!</v>
      </c>
      <c r="HT131" s="672" t="e">
        <f t="shared" si="459"/>
        <v>#VALUE!</v>
      </c>
      <c r="HU131" s="672" t="e">
        <f t="shared" si="459"/>
        <v>#REF!</v>
      </c>
      <c r="HV131" s="675" t="e">
        <f t="shared" si="459"/>
        <v>#VALUE!</v>
      </c>
      <c r="HW131" s="672" t="e">
        <f t="shared" si="459"/>
        <v>#VALUE!</v>
      </c>
      <c r="HX131" s="672" t="e">
        <f t="shared" si="459"/>
        <v>#VALUE!</v>
      </c>
      <c r="HY131" s="672" t="e">
        <f>STDEVA(HY125:HY129)</f>
        <v>#VALUE!</v>
      </c>
      <c r="HZ131" s="672" t="e">
        <f t="shared" si="459"/>
        <v>#VALUE!</v>
      </c>
      <c r="IA131" s="676" t="e">
        <f t="shared" si="459"/>
        <v>#VALUE!</v>
      </c>
      <c r="IB131" s="682" t="e">
        <f t="shared" si="459"/>
        <v>#DIV/0!</v>
      </c>
      <c r="IC131" s="691" t="e">
        <f t="shared" si="459"/>
        <v>#DIV/0!</v>
      </c>
      <c r="ID131" s="695" t="e">
        <f t="shared" si="459"/>
        <v>#DIV/0!</v>
      </c>
      <c r="IE131" s="599" t="e">
        <f t="shared" si="459"/>
        <v>#DIV/0!</v>
      </c>
      <c r="IF131" s="652" t="e">
        <f t="shared" si="459"/>
        <v>#DIV/0!</v>
      </c>
      <c r="IG131" s="652" t="s">
        <v>93</v>
      </c>
      <c r="IH131" s="40" t="s">
        <v>93</v>
      </c>
      <c r="II131" s="599">
        <f>STDEVA(II125:II129)</f>
        <v>0</v>
      </c>
      <c r="IJ131" s="652" t="e">
        <f t="shared" ref="IJ131:IX131" si="460">STDEVA(IJ125:IJ129)</f>
        <v>#DIV/0!</v>
      </c>
      <c r="IK131" s="675" t="e">
        <f t="shared" si="460"/>
        <v>#VALUE!</v>
      </c>
      <c r="IL131" s="672" t="e">
        <f t="shared" si="460"/>
        <v>#VALUE!</v>
      </c>
      <c r="IM131" s="672" t="e">
        <f t="shared" si="460"/>
        <v>#REF!</v>
      </c>
      <c r="IN131" s="675" t="e">
        <f t="shared" si="460"/>
        <v>#VALUE!</v>
      </c>
      <c r="IO131" s="672" t="e">
        <f t="shared" si="460"/>
        <v>#VALUE!</v>
      </c>
      <c r="IP131" s="672" t="e">
        <f t="shared" si="460"/>
        <v>#VALUE!</v>
      </c>
      <c r="IQ131" s="672" t="e">
        <f>STDEVA(IQ125:IQ129)</f>
        <v>#VALUE!</v>
      </c>
      <c r="IR131" s="672" t="e">
        <f t="shared" si="460"/>
        <v>#VALUE!</v>
      </c>
      <c r="IS131" s="676" t="e">
        <f t="shared" si="460"/>
        <v>#VALUE!</v>
      </c>
      <c r="IT131" s="682" t="e">
        <f t="shared" si="460"/>
        <v>#DIV/0!</v>
      </c>
      <c r="IU131" s="691" t="e">
        <f t="shared" si="460"/>
        <v>#DIV/0!</v>
      </c>
      <c r="IV131" s="695" t="e">
        <f t="shared" si="460"/>
        <v>#DIV/0!</v>
      </c>
      <c r="IW131" s="599" t="e">
        <f t="shared" si="460"/>
        <v>#DIV/0!</v>
      </c>
      <c r="IX131" s="652" t="e">
        <f t="shared" si="460"/>
        <v>#DIV/0!</v>
      </c>
      <c r="IY131" s="652" t="s">
        <v>93</v>
      </c>
      <c r="IZ131" s="40" t="s">
        <v>93</v>
      </c>
      <c r="JA131" s="599">
        <f>STDEVA(JA125:JA129)</f>
        <v>0</v>
      </c>
      <c r="JB131" s="652" t="e">
        <f t="shared" ref="JB131:JP131" si="461">STDEVA(JB125:JB129)</f>
        <v>#DIV/0!</v>
      </c>
      <c r="JC131" s="675" t="e">
        <f t="shared" si="461"/>
        <v>#VALUE!</v>
      </c>
      <c r="JD131" s="672" t="e">
        <f t="shared" si="461"/>
        <v>#VALUE!</v>
      </c>
      <c r="JE131" s="672" t="e">
        <f t="shared" si="461"/>
        <v>#REF!</v>
      </c>
      <c r="JF131" s="675" t="e">
        <f t="shared" si="461"/>
        <v>#VALUE!</v>
      </c>
      <c r="JG131" s="672" t="e">
        <f t="shared" si="461"/>
        <v>#VALUE!</v>
      </c>
      <c r="JH131" s="672" t="e">
        <f t="shared" si="461"/>
        <v>#VALUE!</v>
      </c>
      <c r="JI131" s="672" t="e">
        <f>STDEVA(JI125:JI129)</f>
        <v>#VALUE!</v>
      </c>
      <c r="JJ131" s="672" t="e">
        <f t="shared" si="461"/>
        <v>#VALUE!</v>
      </c>
      <c r="JK131" s="676" t="e">
        <f t="shared" si="461"/>
        <v>#VALUE!</v>
      </c>
      <c r="JL131" s="682" t="e">
        <f t="shared" si="461"/>
        <v>#DIV/0!</v>
      </c>
      <c r="JM131" s="691" t="e">
        <f t="shared" si="461"/>
        <v>#DIV/0!</v>
      </c>
      <c r="JN131" s="695" t="e">
        <f t="shared" si="461"/>
        <v>#DIV/0!</v>
      </c>
      <c r="JO131" s="599" t="e">
        <f t="shared" si="461"/>
        <v>#DIV/0!</v>
      </c>
      <c r="JP131" s="652" t="e">
        <f t="shared" si="461"/>
        <v>#DIV/0!</v>
      </c>
      <c r="JQ131" s="652" t="s">
        <v>93</v>
      </c>
      <c r="JR131" s="40" t="s">
        <v>93</v>
      </c>
      <c r="JS131" s="599">
        <f>STDEVA(JS125:JS129)</f>
        <v>0</v>
      </c>
      <c r="JT131" s="652" t="e">
        <f t="shared" ref="JT131:KH131" si="462">STDEVA(JT125:JT129)</f>
        <v>#DIV/0!</v>
      </c>
      <c r="JU131" s="675" t="e">
        <f t="shared" si="462"/>
        <v>#VALUE!</v>
      </c>
      <c r="JV131" s="672" t="e">
        <f t="shared" si="462"/>
        <v>#VALUE!</v>
      </c>
      <c r="JW131" s="672" t="e">
        <f t="shared" si="462"/>
        <v>#REF!</v>
      </c>
      <c r="JX131" s="675" t="e">
        <f t="shared" si="462"/>
        <v>#VALUE!</v>
      </c>
      <c r="JY131" s="672" t="e">
        <f t="shared" si="462"/>
        <v>#VALUE!</v>
      </c>
      <c r="JZ131" s="672" t="e">
        <f t="shared" si="462"/>
        <v>#VALUE!</v>
      </c>
      <c r="KA131" s="672" t="e">
        <f>STDEVA(KA125:KA129)</f>
        <v>#VALUE!</v>
      </c>
      <c r="KB131" s="672" t="e">
        <f t="shared" si="462"/>
        <v>#VALUE!</v>
      </c>
      <c r="KC131" s="676" t="e">
        <f t="shared" si="462"/>
        <v>#VALUE!</v>
      </c>
      <c r="KD131" s="682" t="e">
        <f t="shared" si="462"/>
        <v>#DIV/0!</v>
      </c>
      <c r="KE131" s="691" t="e">
        <f t="shared" si="462"/>
        <v>#DIV/0!</v>
      </c>
      <c r="KF131" s="695" t="e">
        <f t="shared" si="462"/>
        <v>#DIV/0!</v>
      </c>
      <c r="KG131" s="599" t="e">
        <f t="shared" si="462"/>
        <v>#DIV/0!</v>
      </c>
      <c r="KH131" s="652" t="e">
        <f t="shared" si="462"/>
        <v>#DIV/0!</v>
      </c>
      <c r="KI131" s="652" t="s">
        <v>93</v>
      </c>
      <c r="KJ131" s="40" t="s">
        <v>93</v>
      </c>
      <c r="KK131" s="599">
        <f>STDEVA(KK125:KK129)</f>
        <v>0</v>
      </c>
      <c r="KL131" s="652" t="e">
        <f t="shared" ref="KL131:KZ131" si="463">STDEVA(KL125:KL129)</f>
        <v>#DIV/0!</v>
      </c>
      <c r="KM131" s="675" t="e">
        <f t="shared" si="463"/>
        <v>#VALUE!</v>
      </c>
      <c r="KN131" s="672" t="e">
        <f t="shared" si="463"/>
        <v>#VALUE!</v>
      </c>
      <c r="KO131" s="672" t="e">
        <f t="shared" si="463"/>
        <v>#REF!</v>
      </c>
      <c r="KP131" s="675" t="e">
        <f t="shared" si="463"/>
        <v>#VALUE!</v>
      </c>
      <c r="KQ131" s="672" t="e">
        <f t="shared" si="463"/>
        <v>#VALUE!</v>
      </c>
      <c r="KR131" s="672" t="e">
        <f t="shared" si="463"/>
        <v>#VALUE!</v>
      </c>
      <c r="KS131" s="672" t="e">
        <f>STDEVA(KS125:KS129)</f>
        <v>#VALUE!</v>
      </c>
      <c r="KT131" s="672" t="e">
        <f t="shared" si="463"/>
        <v>#VALUE!</v>
      </c>
      <c r="KU131" s="676" t="e">
        <f t="shared" si="463"/>
        <v>#VALUE!</v>
      </c>
      <c r="KV131" s="682" t="e">
        <f t="shared" si="463"/>
        <v>#DIV/0!</v>
      </c>
      <c r="KW131" s="691" t="e">
        <f t="shared" si="463"/>
        <v>#DIV/0!</v>
      </c>
      <c r="KX131" s="695" t="e">
        <f t="shared" si="463"/>
        <v>#DIV/0!</v>
      </c>
      <c r="KY131" s="599" t="e">
        <f t="shared" si="463"/>
        <v>#DIV/0!</v>
      </c>
      <c r="KZ131" s="652" t="e">
        <f t="shared" si="463"/>
        <v>#DIV/0!</v>
      </c>
      <c r="LA131" s="652" t="s">
        <v>93</v>
      </c>
      <c r="LB131" s="40" t="s">
        <v>93</v>
      </c>
      <c r="LC131" s="599">
        <f>STDEVA(LC125:LC129)</f>
        <v>0</v>
      </c>
      <c r="LD131" s="652" t="e">
        <f t="shared" ref="LD131:LR131" si="464">STDEVA(LD125:LD129)</f>
        <v>#DIV/0!</v>
      </c>
      <c r="LE131" s="675" t="e">
        <f t="shared" si="464"/>
        <v>#VALUE!</v>
      </c>
      <c r="LF131" s="672" t="e">
        <f t="shared" si="464"/>
        <v>#VALUE!</v>
      </c>
      <c r="LG131" s="672" t="e">
        <f t="shared" si="464"/>
        <v>#REF!</v>
      </c>
      <c r="LH131" s="675" t="e">
        <f t="shared" si="464"/>
        <v>#VALUE!</v>
      </c>
      <c r="LI131" s="672" t="e">
        <f t="shared" si="464"/>
        <v>#VALUE!</v>
      </c>
      <c r="LJ131" s="672" t="e">
        <f t="shared" si="464"/>
        <v>#VALUE!</v>
      </c>
      <c r="LK131" s="672" t="e">
        <f>STDEVA(LK125:LK129)</f>
        <v>#VALUE!</v>
      </c>
      <c r="LL131" s="672" t="e">
        <f t="shared" si="464"/>
        <v>#VALUE!</v>
      </c>
      <c r="LM131" s="676" t="e">
        <f t="shared" si="464"/>
        <v>#VALUE!</v>
      </c>
      <c r="LN131" s="682" t="e">
        <f t="shared" si="464"/>
        <v>#DIV/0!</v>
      </c>
      <c r="LO131" s="691" t="e">
        <f t="shared" si="464"/>
        <v>#DIV/0!</v>
      </c>
      <c r="LP131" s="695" t="e">
        <f t="shared" si="464"/>
        <v>#DIV/0!</v>
      </c>
      <c r="LQ131" s="599" t="e">
        <f t="shared" si="464"/>
        <v>#DIV/0!</v>
      </c>
      <c r="LR131" s="652" t="e">
        <f t="shared" si="464"/>
        <v>#DIV/0!</v>
      </c>
      <c r="LS131" s="652" t="s">
        <v>93</v>
      </c>
      <c r="LT131" s="40" t="s">
        <v>93</v>
      </c>
      <c r="LU131" s="599">
        <f>STDEVA(LU125:LU129)</f>
        <v>0</v>
      </c>
      <c r="LV131" s="652" t="e">
        <f t="shared" ref="LV131:MJ131" si="465">STDEVA(LV125:LV129)</f>
        <v>#DIV/0!</v>
      </c>
      <c r="LW131" s="675" t="e">
        <f t="shared" si="465"/>
        <v>#VALUE!</v>
      </c>
      <c r="LX131" s="672" t="e">
        <f t="shared" si="465"/>
        <v>#VALUE!</v>
      </c>
      <c r="LY131" s="672" t="e">
        <f t="shared" si="465"/>
        <v>#REF!</v>
      </c>
      <c r="LZ131" s="675" t="e">
        <f t="shared" si="465"/>
        <v>#VALUE!</v>
      </c>
      <c r="MA131" s="672" t="e">
        <f t="shared" si="465"/>
        <v>#VALUE!</v>
      </c>
      <c r="MB131" s="672" t="e">
        <f t="shared" si="465"/>
        <v>#VALUE!</v>
      </c>
      <c r="MC131" s="672" t="e">
        <f>STDEVA(MC125:MC129)</f>
        <v>#VALUE!</v>
      </c>
      <c r="MD131" s="672" t="e">
        <f t="shared" si="465"/>
        <v>#VALUE!</v>
      </c>
      <c r="ME131" s="676" t="e">
        <f t="shared" si="465"/>
        <v>#VALUE!</v>
      </c>
      <c r="MF131" s="682" t="e">
        <f t="shared" si="465"/>
        <v>#DIV/0!</v>
      </c>
      <c r="MG131" s="691" t="e">
        <f t="shared" si="465"/>
        <v>#DIV/0!</v>
      </c>
      <c r="MH131" s="695" t="e">
        <f t="shared" si="465"/>
        <v>#DIV/0!</v>
      </c>
      <c r="MI131" s="599" t="e">
        <f t="shared" si="465"/>
        <v>#DIV/0!</v>
      </c>
      <c r="MJ131" s="652" t="e">
        <f t="shared" si="465"/>
        <v>#DIV/0!</v>
      </c>
      <c r="MK131" s="652" t="s">
        <v>93</v>
      </c>
      <c r="ML131" s="40" t="s">
        <v>93</v>
      </c>
      <c r="MM131" s="599">
        <f>STDEVA(MM125:MM129)</f>
        <v>0</v>
      </c>
      <c r="MN131" s="652" t="e">
        <f t="shared" ref="MN131:NB131" si="466">STDEVA(MN125:MN129)</f>
        <v>#DIV/0!</v>
      </c>
      <c r="MO131" s="675" t="e">
        <f t="shared" si="466"/>
        <v>#VALUE!</v>
      </c>
      <c r="MP131" s="672" t="e">
        <f t="shared" si="466"/>
        <v>#VALUE!</v>
      </c>
      <c r="MQ131" s="672" t="e">
        <f t="shared" si="466"/>
        <v>#REF!</v>
      </c>
      <c r="MR131" s="675" t="e">
        <f t="shared" si="466"/>
        <v>#VALUE!</v>
      </c>
      <c r="MS131" s="672" t="e">
        <f t="shared" si="466"/>
        <v>#VALUE!</v>
      </c>
      <c r="MT131" s="672" t="e">
        <f t="shared" si="466"/>
        <v>#VALUE!</v>
      </c>
      <c r="MU131" s="672" t="e">
        <f>STDEVA(MU125:MU129)</f>
        <v>#VALUE!</v>
      </c>
      <c r="MV131" s="672" t="e">
        <f t="shared" si="466"/>
        <v>#VALUE!</v>
      </c>
      <c r="MW131" s="676" t="e">
        <f t="shared" si="466"/>
        <v>#VALUE!</v>
      </c>
      <c r="MX131" s="682" t="e">
        <f t="shared" si="466"/>
        <v>#DIV/0!</v>
      </c>
      <c r="MY131" s="691" t="e">
        <f t="shared" si="466"/>
        <v>#DIV/0!</v>
      </c>
      <c r="MZ131" s="695" t="e">
        <f t="shared" si="466"/>
        <v>#DIV/0!</v>
      </c>
      <c r="NA131" s="599" t="e">
        <f t="shared" si="466"/>
        <v>#DIV/0!</v>
      </c>
      <c r="NB131" s="652" t="e">
        <f t="shared" si="466"/>
        <v>#DIV/0!</v>
      </c>
      <c r="NC131" s="652" t="s">
        <v>93</v>
      </c>
      <c r="ND131" s="40" t="s">
        <v>93</v>
      </c>
      <c r="NE131" s="599">
        <f>STDEVA(NE125:NE129)</f>
        <v>0</v>
      </c>
      <c r="NF131" s="652" t="e">
        <f t="shared" ref="NF131:NT131" si="467">STDEVA(NF125:NF129)</f>
        <v>#DIV/0!</v>
      </c>
      <c r="NG131" s="675" t="e">
        <f t="shared" si="467"/>
        <v>#VALUE!</v>
      </c>
      <c r="NH131" s="672" t="e">
        <f t="shared" si="467"/>
        <v>#VALUE!</v>
      </c>
      <c r="NI131" s="672" t="e">
        <f t="shared" si="467"/>
        <v>#REF!</v>
      </c>
      <c r="NJ131" s="675" t="e">
        <f t="shared" si="467"/>
        <v>#VALUE!</v>
      </c>
      <c r="NK131" s="672" t="e">
        <f t="shared" si="467"/>
        <v>#VALUE!</v>
      </c>
      <c r="NL131" s="672" t="e">
        <f t="shared" si="467"/>
        <v>#VALUE!</v>
      </c>
      <c r="NM131" s="672" t="e">
        <f>STDEVA(NM125:NM129)</f>
        <v>#VALUE!</v>
      </c>
      <c r="NN131" s="672" t="e">
        <f t="shared" si="467"/>
        <v>#VALUE!</v>
      </c>
      <c r="NO131" s="676" t="e">
        <f t="shared" si="467"/>
        <v>#VALUE!</v>
      </c>
      <c r="NP131" s="682">
        <f t="shared" si="467"/>
        <v>0.14832396974191298</v>
      </c>
      <c r="NQ131" s="691">
        <f t="shared" si="467"/>
        <v>0.44721359549995793</v>
      </c>
      <c r="NR131" s="695">
        <f t="shared" si="467"/>
        <v>0</v>
      </c>
      <c r="NS131" s="599">
        <f t="shared" si="467"/>
        <v>4.472135954999564E-13</v>
      </c>
      <c r="NT131" s="652">
        <f t="shared" si="467"/>
        <v>0</v>
      </c>
      <c r="NU131" s="652" t="s">
        <v>93</v>
      </c>
      <c r="NV131" s="40" t="s">
        <v>93</v>
      </c>
      <c r="NW131" s="599">
        <f>STDEVA(NW125:NW129)</f>
        <v>4.485552362864562E-13</v>
      </c>
      <c r="NX131" s="652">
        <f t="shared" ref="NX131:OL131" si="468">STDEVA(NX125:NX129)</f>
        <v>5.0557097048637236E-4</v>
      </c>
      <c r="NY131" s="675">
        <f t="shared" si="468"/>
        <v>7.7231979475380702E-15</v>
      </c>
      <c r="NZ131" s="672">
        <f t="shared" si="468"/>
        <v>7.7231979475380702E-15</v>
      </c>
      <c r="OA131" s="672" t="e">
        <f t="shared" si="468"/>
        <v>#REF!</v>
      </c>
      <c r="OB131" s="675">
        <f t="shared" si="468"/>
        <v>7.0064851780066026E-7</v>
      </c>
      <c r="OC131" s="672">
        <f t="shared" si="468"/>
        <v>7.006485178006678E-5</v>
      </c>
      <c r="OD131" s="672">
        <f t="shared" si="468"/>
        <v>8.4077822136079447E-7</v>
      </c>
      <c r="OE131" s="672">
        <f>STDEVA(OE125:OE129)</f>
        <v>8.4778470653879994E-7</v>
      </c>
      <c r="OF131" s="672">
        <f t="shared" si="468"/>
        <v>8.4778470653879994E-7</v>
      </c>
      <c r="OG131" s="676">
        <f t="shared" si="468"/>
        <v>8.7581064725082395E-7</v>
      </c>
      <c r="OH131" s="682" t="e">
        <f t="shared" si="468"/>
        <v>#DIV/0!</v>
      </c>
      <c r="OI131" s="691" t="e">
        <f t="shared" si="468"/>
        <v>#DIV/0!</v>
      </c>
      <c r="OJ131" s="695" t="e">
        <f t="shared" si="468"/>
        <v>#DIV/0!</v>
      </c>
      <c r="OK131" s="599" t="e">
        <f t="shared" si="468"/>
        <v>#DIV/0!</v>
      </c>
      <c r="OL131" s="652" t="e">
        <f t="shared" si="468"/>
        <v>#DIV/0!</v>
      </c>
      <c r="OM131" s="652" t="s">
        <v>93</v>
      </c>
      <c r="ON131" s="40" t="s">
        <v>93</v>
      </c>
      <c r="OO131" s="599">
        <f>STDEVA(OO125:OO129)</f>
        <v>0</v>
      </c>
      <c r="OP131" s="652" t="e">
        <f t="shared" ref="OP131:PD131" si="469">STDEVA(OP125:OP129)</f>
        <v>#DIV/0!</v>
      </c>
      <c r="OQ131" s="675" t="e">
        <f t="shared" si="469"/>
        <v>#VALUE!</v>
      </c>
      <c r="OR131" s="672" t="e">
        <f t="shared" si="469"/>
        <v>#VALUE!</v>
      </c>
      <c r="OS131" s="672" t="e">
        <f t="shared" si="469"/>
        <v>#REF!</v>
      </c>
      <c r="OT131" s="675" t="e">
        <f t="shared" si="469"/>
        <v>#VALUE!</v>
      </c>
      <c r="OU131" s="672" t="e">
        <f t="shared" si="469"/>
        <v>#VALUE!</v>
      </c>
      <c r="OV131" s="672" t="e">
        <f t="shared" si="469"/>
        <v>#VALUE!</v>
      </c>
      <c r="OW131" s="672" t="e">
        <f>STDEVA(OW125:OW129)</f>
        <v>#VALUE!</v>
      </c>
      <c r="OX131" s="672" t="e">
        <f t="shared" si="469"/>
        <v>#VALUE!</v>
      </c>
      <c r="OY131" s="676" t="e">
        <f t="shared" si="469"/>
        <v>#VALUE!</v>
      </c>
      <c r="OZ131" s="682">
        <f t="shared" si="469"/>
        <v>0.27748873851023304</v>
      </c>
      <c r="PA131" s="691">
        <f t="shared" si="469"/>
        <v>1</v>
      </c>
      <c r="PB131" s="695">
        <f t="shared" si="469"/>
        <v>1.1627553482999007</v>
      </c>
      <c r="PC131" s="599">
        <f t="shared" si="469"/>
        <v>2.7386127875258208E-13</v>
      </c>
      <c r="PD131" s="652">
        <f t="shared" si="469"/>
        <v>0</v>
      </c>
      <c r="PE131" s="652" t="s">
        <v>93</v>
      </c>
      <c r="PF131" s="40" t="s">
        <v>93</v>
      </c>
      <c r="PG131" s="599">
        <f>STDEVA(PG125:PG129)</f>
        <v>2.7468286258884688E-13</v>
      </c>
      <c r="PH131" s="652">
        <f t="shared" ref="PH131:PV131" si="470">STDEVA(PH125:PH129)</f>
        <v>2.0792322591036468E-3</v>
      </c>
      <c r="PI131" s="675">
        <f t="shared" si="470"/>
        <v>7.1106840349815815E-15</v>
      </c>
      <c r="PJ131" s="672">
        <f t="shared" si="470"/>
        <v>7.1106840349815815E-15</v>
      </c>
      <c r="PK131" s="672" t="e">
        <f t="shared" si="470"/>
        <v>#REF!</v>
      </c>
      <c r="PL131" s="675">
        <f t="shared" si="470"/>
        <v>6.4508125565353489E-7</v>
      </c>
      <c r="PM131" s="672">
        <f t="shared" si="470"/>
        <v>6.4508125565354663E-5</v>
      </c>
      <c r="PN131" s="672">
        <f t="shared" si="470"/>
        <v>7.7409750678423761E-7</v>
      </c>
      <c r="PO131" s="672">
        <f>STDEVA(PO125:PO129)</f>
        <v>7.8054831934079124E-7</v>
      </c>
      <c r="PP131" s="672">
        <f t="shared" si="470"/>
        <v>7.8054831934079124E-7</v>
      </c>
      <c r="PQ131" s="676">
        <f t="shared" si="470"/>
        <v>8.0635156956691607E-7</v>
      </c>
      <c r="PR131" s="682" t="e">
        <f t="shared" si="470"/>
        <v>#DIV/0!</v>
      </c>
      <c r="PS131" s="691" t="e">
        <f t="shared" si="470"/>
        <v>#DIV/0!</v>
      </c>
      <c r="PT131" s="695" t="e">
        <f t="shared" si="470"/>
        <v>#DIV/0!</v>
      </c>
      <c r="PU131" s="599" t="e">
        <f t="shared" si="470"/>
        <v>#DIV/0!</v>
      </c>
      <c r="PV131" s="652" t="e">
        <f t="shared" si="470"/>
        <v>#DIV/0!</v>
      </c>
      <c r="PW131" s="652" t="s">
        <v>93</v>
      </c>
      <c r="PX131" s="40" t="s">
        <v>93</v>
      </c>
      <c r="PY131" s="599">
        <f>STDEVA(PY125:PY129)</f>
        <v>0</v>
      </c>
      <c r="PZ131" s="652" t="e">
        <f t="shared" ref="PZ131:QN131" si="471">STDEVA(PZ125:PZ129)</f>
        <v>#DIV/0!</v>
      </c>
      <c r="QA131" s="675" t="e">
        <f t="shared" si="471"/>
        <v>#VALUE!</v>
      </c>
      <c r="QB131" s="672" t="e">
        <f t="shared" si="471"/>
        <v>#VALUE!</v>
      </c>
      <c r="QC131" s="672" t="e">
        <f t="shared" si="471"/>
        <v>#REF!</v>
      </c>
      <c r="QD131" s="675" t="e">
        <f t="shared" si="471"/>
        <v>#VALUE!</v>
      </c>
      <c r="QE131" s="672" t="e">
        <f t="shared" si="471"/>
        <v>#VALUE!</v>
      </c>
      <c r="QF131" s="672" t="e">
        <f t="shared" si="471"/>
        <v>#VALUE!</v>
      </c>
      <c r="QG131" s="672" t="e">
        <f>STDEVA(QG125:QG129)</f>
        <v>#VALUE!</v>
      </c>
      <c r="QH131" s="672" t="e">
        <f t="shared" si="471"/>
        <v>#VALUE!</v>
      </c>
      <c r="QI131" s="676" t="e">
        <f t="shared" si="471"/>
        <v>#VALUE!</v>
      </c>
      <c r="QJ131" s="682" t="e">
        <f t="shared" si="471"/>
        <v>#DIV/0!</v>
      </c>
      <c r="QK131" s="691" t="e">
        <f t="shared" si="471"/>
        <v>#DIV/0!</v>
      </c>
      <c r="QL131" s="695" t="e">
        <f t="shared" si="471"/>
        <v>#DIV/0!</v>
      </c>
      <c r="QM131" s="599" t="e">
        <f t="shared" si="471"/>
        <v>#DIV/0!</v>
      </c>
      <c r="QN131" s="652" t="e">
        <f t="shared" si="471"/>
        <v>#DIV/0!</v>
      </c>
      <c r="QO131" s="652" t="s">
        <v>93</v>
      </c>
      <c r="QP131" s="40" t="s">
        <v>93</v>
      </c>
      <c r="QQ131" s="599">
        <f>STDEVA(QQ125:QQ129)</f>
        <v>0</v>
      </c>
      <c r="QR131" s="652" t="e">
        <f t="shared" ref="QR131:RF131" si="472">STDEVA(QR125:QR129)</f>
        <v>#DIV/0!</v>
      </c>
      <c r="QS131" s="675" t="e">
        <f t="shared" si="472"/>
        <v>#VALUE!</v>
      </c>
      <c r="QT131" s="672" t="e">
        <f t="shared" si="472"/>
        <v>#VALUE!</v>
      </c>
      <c r="QU131" s="672" t="e">
        <f t="shared" si="472"/>
        <v>#REF!</v>
      </c>
      <c r="QV131" s="675" t="e">
        <f t="shared" si="472"/>
        <v>#VALUE!</v>
      </c>
      <c r="QW131" s="672" t="e">
        <f t="shared" si="472"/>
        <v>#VALUE!</v>
      </c>
      <c r="QX131" s="672" t="e">
        <f t="shared" si="472"/>
        <v>#VALUE!</v>
      </c>
      <c r="QY131" s="672" t="e">
        <f>STDEVA(QY125:QY129)</f>
        <v>#VALUE!</v>
      </c>
      <c r="QZ131" s="672" t="e">
        <f t="shared" si="472"/>
        <v>#VALUE!</v>
      </c>
      <c r="RA131" s="676" t="e">
        <f t="shared" si="472"/>
        <v>#VALUE!</v>
      </c>
      <c r="RB131" s="682" t="e">
        <f t="shared" si="472"/>
        <v>#DIV/0!</v>
      </c>
      <c r="RC131" s="691" t="e">
        <f t="shared" si="472"/>
        <v>#DIV/0!</v>
      </c>
      <c r="RD131" s="695" t="e">
        <f t="shared" si="472"/>
        <v>#DIV/0!</v>
      </c>
      <c r="RE131" s="599" t="e">
        <f t="shared" si="472"/>
        <v>#DIV/0!</v>
      </c>
      <c r="RF131" s="652" t="e">
        <f t="shared" si="472"/>
        <v>#DIV/0!</v>
      </c>
      <c r="RG131" s="652" t="s">
        <v>93</v>
      </c>
      <c r="RH131" s="40" t="s">
        <v>93</v>
      </c>
      <c r="RI131" s="599">
        <f>STDEVA(RI125:RI129)</f>
        <v>0</v>
      </c>
      <c r="RJ131" s="652" t="e">
        <f t="shared" ref="RJ131:RX131" si="473">STDEVA(RJ125:RJ129)</f>
        <v>#DIV/0!</v>
      </c>
      <c r="RK131" s="675" t="e">
        <f t="shared" si="473"/>
        <v>#VALUE!</v>
      </c>
      <c r="RL131" s="672" t="e">
        <f t="shared" si="473"/>
        <v>#VALUE!</v>
      </c>
      <c r="RM131" s="672" t="e">
        <f t="shared" si="473"/>
        <v>#REF!</v>
      </c>
      <c r="RN131" s="675" t="e">
        <f t="shared" si="473"/>
        <v>#VALUE!</v>
      </c>
      <c r="RO131" s="672" t="e">
        <f t="shared" si="473"/>
        <v>#VALUE!</v>
      </c>
      <c r="RP131" s="672" t="e">
        <f t="shared" si="473"/>
        <v>#VALUE!</v>
      </c>
      <c r="RQ131" s="672" t="e">
        <f>STDEVA(RQ125:RQ129)</f>
        <v>#VALUE!</v>
      </c>
      <c r="RR131" s="672" t="e">
        <f t="shared" si="473"/>
        <v>#VALUE!</v>
      </c>
      <c r="RS131" s="676" t="e">
        <f t="shared" si="473"/>
        <v>#VALUE!</v>
      </c>
      <c r="RT131" s="682" t="e">
        <f t="shared" si="473"/>
        <v>#DIV/0!</v>
      </c>
      <c r="RU131" s="691" t="e">
        <f t="shared" si="473"/>
        <v>#DIV/0!</v>
      </c>
      <c r="RV131" s="695" t="e">
        <f t="shared" si="473"/>
        <v>#DIV/0!</v>
      </c>
      <c r="RW131" s="599" t="e">
        <f t="shared" si="473"/>
        <v>#DIV/0!</v>
      </c>
      <c r="RX131" s="652" t="e">
        <f t="shared" si="473"/>
        <v>#DIV/0!</v>
      </c>
      <c r="RY131" s="652" t="s">
        <v>93</v>
      </c>
      <c r="RZ131" s="40" t="s">
        <v>93</v>
      </c>
      <c r="SA131" s="599">
        <f>STDEVA(SA125:SA129)</f>
        <v>0</v>
      </c>
      <c r="SB131" s="652" t="e">
        <f t="shared" ref="SB131:SP131" si="474">STDEVA(SB125:SB129)</f>
        <v>#DIV/0!</v>
      </c>
      <c r="SC131" s="675" t="e">
        <f t="shared" si="474"/>
        <v>#VALUE!</v>
      </c>
      <c r="SD131" s="672" t="e">
        <f t="shared" si="474"/>
        <v>#VALUE!</v>
      </c>
      <c r="SE131" s="672" t="e">
        <f t="shared" si="474"/>
        <v>#REF!</v>
      </c>
      <c r="SF131" s="675" t="e">
        <f t="shared" si="474"/>
        <v>#VALUE!</v>
      </c>
      <c r="SG131" s="672" t="e">
        <f t="shared" si="474"/>
        <v>#VALUE!</v>
      </c>
      <c r="SH131" s="672" t="e">
        <f t="shared" si="474"/>
        <v>#VALUE!</v>
      </c>
      <c r="SI131" s="672" t="e">
        <f>STDEVA(SI125:SI129)</f>
        <v>#VALUE!</v>
      </c>
      <c r="SJ131" s="672" t="e">
        <f t="shared" si="474"/>
        <v>#VALUE!</v>
      </c>
      <c r="SK131" s="676" t="e">
        <f t="shared" si="474"/>
        <v>#VALUE!</v>
      </c>
      <c r="SL131" s="682">
        <f t="shared" si="474"/>
        <v>0.26832815729997539</v>
      </c>
      <c r="SM131" s="691">
        <f t="shared" si="474"/>
        <v>0.89442719099991586</v>
      </c>
      <c r="SN131" s="695">
        <f t="shared" si="474"/>
        <v>0.49193495504996387</v>
      </c>
      <c r="SO131" s="599">
        <f t="shared" si="474"/>
        <v>6.5192024052026426E-13</v>
      </c>
      <c r="SP131" s="652">
        <f t="shared" si="474"/>
        <v>0</v>
      </c>
      <c r="SQ131" s="652" t="s">
        <v>93</v>
      </c>
      <c r="SR131" s="40" t="s">
        <v>93</v>
      </c>
      <c r="SS131" s="599">
        <f>STDEVA(SS125:SS129)</f>
        <v>6.5387600124182494E-13</v>
      </c>
      <c r="ST131" s="652">
        <f t="shared" ref="ST131:TH131" si="475">STDEVA(ST125:ST129)</f>
        <v>1.4002566765534707E-3</v>
      </c>
      <c r="SU131" s="675">
        <f t="shared" si="475"/>
        <v>1.0995364390030162E-14</v>
      </c>
      <c r="SV131" s="672">
        <f t="shared" si="475"/>
        <v>1.0995364390030162E-14</v>
      </c>
      <c r="SW131" s="672" t="e">
        <f t="shared" si="475"/>
        <v>#REF!</v>
      </c>
      <c r="SX131" s="675">
        <f t="shared" si="475"/>
        <v>9.9749945746353457E-7</v>
      </c>
      <c r="SY131" s="672">
        <f t="shared" si="475"/>
        <v>9.9749945746353447E-5</v>
      </c>
      <c r="SZ131" s="672">
        <f t="shared" si="475"/>
        <v>1.1969993489562406E-6</v>
      </c>
      <c r="TA131" s="672">
        <f>STDEVA(TA125:TA129)</f>
        <v>1.2069743435308754E-6</v>
      </c>
      <c r="TB131" s="672">
        <f t="shared" si="475"/>
        <v>1.2069743435308754E-6</v>
      </c>
      <c r="TC131" s="676">
        <f t="shared" si="475"/>
        <v>1.2468743218294189E-6</v>
      </c>
      <c r="TD131" s="682">
        <f t="shared" si="475"/>
        <v>0.26076809620810654</v>
      </c>
      <c r="TE131" s="691">
        <f t="shared" si="475"/>
        <v>1.51657508881031</v>
      </c>
      <c r="TF131" s="695">
        <f t="shared" si="475"/>
        <v>0.53665631459996987</v>
      </c>
      <c r="TG131" s="599">
        <f t="shared" si="475"/>
        <v>1.1726039399558642E-12</v>
      </c>
      <c r="TH131" s="652">
        <f t="shared" si="475"/>
        <v>0</v>
      </c>
      <c r="TI131" s="652" t="s">
        <v>93</v>
      </c>
      <c r="TJ131" s="40" t="s">
        <v>93</v>
      </c>
      <c r="TK131" s="599">
        <f>STDEVA(TK125:TK129)</f>
        <v>1.176121751775751E-12</v>
      </c>
      <c r="TL131" s="652">
        <f t="shared" ref="TL131:TZ131" si="476">STDEVA(TL125:TL129)</f>
        <v>1.414073415768843E-3</v>
      </c>
      <c r="TM131" s="675">
        <f t="shared" si="476"/>
        <v>3.1483904565011538E-14</v>
      </c>
      <c r="TN131" s="672">
        <f t="shared" si="476"/>
        <v>3.1483904565011538E-14</v>
      </c>
      <c r="TO131" s="672" t="e">
        <f t="shared" si="476"/>
        <v>#REF!</v>
      </c>
      <c r="TP131" s="675">
        <f t="shared" si="476"/>
        <v>2.8562198221378576E-6</v>
      </c>
      <c r="TQ131" s="672">
        <f t="shared" si="476"/>
        <v>2.8562198221378541E-4</v>
      </c>
      <c r="TR131" s="672">
        <f t="shared" si="476"/>
        <v>3.4274637865654152E-6</v>
      </c>
      <c r="TS131" s="672">
        <f>STDEVA(TS125:TS129)</f>
        <v>3.456025984786799E-6</v>
      </c>
      <c r="TT131" s="672">
        <f t="shared" si="476"/>
        <v>3.456025984786799E-6</v>
      </c>
      <c r="TU131" s="676">
        <f t="shared" si="476"/>
        <v>3.5702747776723229E-6</v>
      </c>
      <c r="TV131" s="682" t="e">
        <f t="shared" si="476"/>
        <v>#DIV/0!</v>
      </c>
      <c r="TW131" s="691" t="e">
        <f t="shared" si="476"/>
        <v>#DIV/0!</v>
      </c>
      <c r="TX131" s="695" t="e">
        <f t="shared" si="476"/>
        <v>#DIV/0!</v>
      </c>
      <c r="TY131" s="599" t="e">
        <f t="shared" si="476"/>
        <v>#DIV/0!</v>
      </c>
      <c r="TZ131" s="652" t="e">
        <f t="shared" si="476"/>
        <v>#DIV/0!</v>
      </c>
      <c r="UA131" s="652" t="s">
        <v>93</v>
      </c>
      <c r="UB131" s="40" t="s">
        <v>93</v>
      </c>
      <c r="UC131" s="599">
        <f>STDEVA(UC125:UC129)</f>
        <v>0</v>
      </c>
      <c r="UD131" s="652" t="e">
        <f t="shared" ref="UD131:UR131" si="477">STDEVA(UD125:UD129)</f>
        <v>#DIV/0!</v>
      </c>
      <c r="UE131" s="675" t="e">
        <f t="shared" si="477"/>
        <v>#VALUE!</v>
      </c>
      <c r="UF131" s="672" t="e">
        <f t="shared" si="477"/>
        <v>#VALUE!</v>
      </c>
      <c r="UG131" s="672" t="e">
        <f t="shared" si="477"/>
        <v>#REF!</v>
      </c>
      <c r="UH131" s="675" t="e">
        <f t="shared" si="477"/>
        <v>#VALUE!</v>
      </c>
      <c r="UI131" s="672" t="e">
        <f t="shared" si="477"/>
        <v>#VALUE!</v>
      </c>
      <c r="UJ131" s="672" t="e">
        <f t="shared" si="477"/>
        <v>#VALUE!</v>
      </c>
      <c r="UK131" s="672" t="e">
        <f>STDEVA(UK125:UK129)</f>
        <v>#VALUE!</v>
      </c>
      <c r="UL131" s="672" t="e">
        <f t="shared" si="477"/>
        <v>#VALUE!</v>
      </c>
      <c r="UM131" s="676" t="e">
        <f t="shared" si="477"/>
        <v>#VALUE!</v>
      </c>
      <c r="UN131" s="682">
        <f t="shared" si="477"/>
        <v>0.26076809620810654</v>
      </c>
      <c r="UO131" s="691">
        <f t="shared" si="477"/>
        <v>0.89442719099991586</v>
      </c>
      <c r="UP131" s="695">
        <f t="shared" si="477"/>
        <v>0.49193495504996387</v>
      </c>
      <c r="UQ131" s="599">
        <f t="shared" si="477"/>
        <v>4.1833001326703862E-13</v>
      </c>
      <c r="UR131" s="652">
        <f t="shared" si="477"/>
        <v>0</v>
      </c>
      <c r="US131" s="652" t="s">
        <v>93</v>
      </c>
      <c r="UT131" s="40" t="s">
        <v>93</v>
      </c>
      <c r="UU131" s="599">
        <f>STDEVA(UU125:UU129)</f>
        <v>4.1958500330683971E-13</v>
      </c>
      <c r="UV131" s="652">
        <f t="shared" ref="UV131:VE131" si="478">STDEVA(UV125:UV129)</f>
        <v>1.3701426096274843E-3</v>
      </c>
      <c r="UW131" s="675">
        <f t="shared" si="478"/>
        <v>6.4066813668535848E-15</v>
      </c>
      <c r="UX131" s="672">
        <f t="shared" si="478"/>
        <v>6.4066813668535848E-15</v>
      </c>
      <c r="UY131" s="672" t="e">
        <f t="shared" si="478"/>
        <v>#REF!</v>
      </c>
      <c r="UZ131" s="675">
        <f t="shared" si="478"/>
        <v>5.8121413360095787E-7</v>
      </c>
      <c r="VA131" s="672">
        <f t="shared" si="478"/>
        <v>5.8121413360095693E-5</v>
      </c>
      <c r="VB131" s="672">
        <f t="shared" si="478"/>
        <v>6.9745696032114887E-7</v>
      </c>
      <c r="VC131" s="672">
        <f>STDEVA(VC125:VC129)</f>
        <v>7.0326910165715923E-7</v>
      </c>
      <c r="VD131" s="672">
        <f t="shared" si="478"/>
        <v>7.0326910165715923E-7</v>
      </c>
      <c r="VE131" s="676">
        <f t="shared" si="478"/>
        <v>7.2651766700119482E-7</v>
      </c>
    </row>
    <row r="132" spans="1:577" x14ac:dyDescent="0.25">
      <c r="A132" s="1537" t="s">
        <v>63</v>
      </c>
      <c r="B132" s="688">
        <f t="shared" ref="B132:F132" si="479">B131/B130*100</f>
        <v>1.1430848493765005</v>
      </c>
      <c r="C132" s="619">
        <f t="shared" si="479"/>
        <v>3.2680203916393911</v>
      </c>
      <c r="D132" s="619">
        <f t="shared" si="479"/>
        <v>2.4657660965297739E-2</v>
      </c>
      <c r="E132" s="672">
        <f t="shared" si="479"/>
        <v>-1.404846147501293E-2</v>
      </c>
      <c r="F132" s="619">
        <f t="shared" si="479"/>
        <v>0</v>
      </c>
      <c r="G132" s="619" t="s">
        <v>93</v>
      </c>
      <c r="H132" s="38" t="s">
        <v>93</v>
      </c>
      <c r="I132" s="672">
        <f t="shared" ref="I132:X132" si="480">I131/I130*100</f>
        <v>-1.4048461475009665E-2</v>
      </c>
      <c r="J132" s="619">
        <f t="shared" si="480"/>
        <v>5.5871461714861757E-2</v>
      </c>
      <c r="K132" s="675">
        <f t="shared" si="480"/>
        <v>-6.5309451348182113E-2</v>
      </c>
      <c r="L132" s="672">
        <f t="shared" si="480"/>
        <v>-6.5320281494799723E-2</v>
      </c>
      <c r="M132" s="672" t="e">
        <f t="shared" si="480"/>
        <v>#REF!</v>
      </c>
      <c r="N132" s="675">
        <f t="shared" si="480"/>
        <v>6.5320281494799154E-2</v>
      </c>
      <c r="O132" s="672">
        <f t="shared" si="480"/>
        <v>6.5320281494796642E-2</v>
      </c>
      <c r="P132" s="672">
        <f t="shared" si="480"/>
        <v>6.5320281494799418E-2</v>
      </c>
      <c r="Q132" s="672">
        <f t="shared" si="480"/>
        <v>6.5320281494794463E-2</v>
      </c>
      <c r="R132" s="672">
        <f t="shared" si="480"/>
        <v>6.5320281494794463E-2</v>
      </c>
      <c r="S132" s="676">
        <f t="shared" si="480"/>
        <v>6.5320281494801707E-2</v>
      </c>
      <c r="T132" s="1538" t="e">
        <f t="shared" si="480"/>
        <v>#DIV/0!</v>
      </c>
      <c r="U132" s="1538" t="e">
        <f t="shared" si="480"/>
        <v>#DIV/0!</v>
      </c>
      <c r="V132" s="1539" t="e">
        <f t="shared" si="480"/>
        <v>#DIV/0!</v>
      </c>
      <c r="W132" s="672" t="e">
        <f t="shared" si="480"/>
        <v>#DIV/0!</v>
      </c>
      <c r="X132" s="619" t="e">
        <f t="shared" si="480"/>
        <v>#DIV/0!</v>
      </c>
      <c r="Y132" s="619" t="s">
        <v>93</v>
      </c>
      <c r="Z132" s="38" t="s">
        <v>93</v>
      </c>
      <c r="AA132" s="672" t="e">
        <f t="shared" ref="AA132" si="481">AA131/AA130*100</f>
        <v>#DIV/0!</v>
      </c>
      <c r="AB132" s="619" t="e">
        <f t="shared" ref="AB132:AP132" si="482">AB131/AB130*100</f>
        <v>#DIV/0!</v>
      </c>
      <c r="AC132" s="675" t="e">
        <f t="shared" si="482"/>
        <v>#VALUE!</v>
      </c>
      <c r="AD132" s="672" t="e">
        <f t="shared" si="482"/>
        <v>#VALUE!</v>
      </c>
      <c r="AE132" s="672" t="e">
        <f t="shared" si="482"/>
        <v>#REF!</v>
      </c>
      <c r="AF132" s="675" t="e">
        <f t="shared" si="482"/>
        <v>#VALUE!</v>
      </c>
      <c r="AG132" s="672" t="e">
        <f t="shared" si="482"/>
        <v>#VALUE!</v>
      </c>
      <c r="AH132" s="672" t="e">
        <f t="shared" si="482"/>
        <v>#VALUE!</v>
      </c>
      <c r="AI132" s="672" t="e">
        <f t="shared" si="482"/>
        <v>#VALUE!</v>
      </c>
      <c r="AJ132" s="672" t="e">
        <f t="shared" si="482"/>
        <v>#VALUE!</v>
      </c>
      <c r="AK132" s="676" t="e">
        <f t="shared" si="482"/>
        <v>#VALUE!</v>
      </c>
      <c r="AL132" s="1538" t="e">
        <f t="shared" si="482"/>
        <v>#DIV/0!</v>
      </c>
      <c r="AM132" s="1538" t="e">
        <f t="shared" si="482"/>
        <v>#DIV/0!</v>
      </c>
      <c r="AN132" s="1539" t="e">
        <f t="shared" si="482"/>
        <v>#DIV/0!</v>
      </c>
      <c r="AO132" s="672" t="e">
        <f t="shared" si="482"/>
        <v>#DIV/0!</v>
      </c>
      <c r="AP132" s="619" t="e">
        <f t="shared" si="482"/>
        <v>#DIV/0!</v>
      </c>
      <c r="AQ132" s="619" t="s">
        <v>93</v>
      </c>
      <c r="AR132" s="38" t="s">
        <v>93</v>
      </c>
      <c r="AS132" s="672" t="e">
        <f t="shared" ref="AS132" si="483">AS131/AS130*100</f>
        <v>#DIV/0!</v>
      </c>
      <c r="AT132" s="619" t="e">
        <f t="shared" ref="AT132:BH132" si="484">AT131/AT130*100</f>
        <v>#DIV/0!</v>
      </c>
      <c r="AU132" s="675" t="e">
        <f t="shared" si="484"/>
        <v>#VALUE!</v>
      </c>
      <c r="AV132" s="672" t="e">
        <f t="shared" si="484"/>
        <v>#VALUE!</v>
      </c>
      <c r="AW132" s="672" t="e">
        <f t="shared" si="484"/>
        <v>#REF!</v>
      </c>
      <c r="AX132" s="675" t="e">
        <f t="shared" si="484"/>
        <v>#VALUE!</v>
      </c>
      <c r="AY132" s="672" t="e">
        <f t="shared" si="484"/>
        <v>#VALUE!</v>
      </c>
      <c r="AZ132" s="672" t="e">
        <f t="shared" si="484"/>
        <v>#VALUE!</v>
      </c>
      <c r="BA132" s="672" t="e">
        <f t="shared" si="484"/>
        <v>#VALUE!</v>
      </c>
      <c r="BB132" s="672" t="e">
        <f t="shared" si="484"/>
        <v>#VALUE!</v>
      </c>
      <c r="BC132" s="676" t="e">
        <f t="shared" si="484"/>
        <v>#VALUE!</v>
      </c>
      <c r="BD132" s="688">
        <f t="shared" si="484"/>
        <v>2.111475778500238</v>
      </c>
      <c r="BE132" s="1538">
        <f t="shared" si="484"/>
        <v>1.0824556472434113</v>
      </c>
      <c r="BF132" s="1539">
        <f t="shared" si="484"/>
        <v>8.9666837622947276E-2</v>
      </c>
      <c r="BG132" s="672">
        <f t="shared" si="484"/>
        <v>-3.9672791359207642E-2</v>
      </c>
      <c r="BH132" s="619">
        <f t="shared" si="484"/>
        <v>0</v>
      </c>
      <c r="BI132" s="619" t="s">
        <v>93</v>
      </c>
      <c r="BJ132" s="38" t="s">
        <v>93</v>
      </c>
      <c r="BK132" s="672">
        <f t="shared" ref="BK132" si="485">BK131/BK130*100</f>
        <v>-3.9672791359204568E-2</v>
      </c>
      <c r="BL132" s="619">
        <f t="shared" ref="BL132:BZ132" si="486">BL131/BL130*100</f>
        <v>0.23430104135995639</v>
      </c>
      <c r="BM132" s="675">
        <f t="shared" si="486"/>
        <v>-0.24023706304246625</v>
      </c>
      <c r="BN132" s="672">
        <f t="shared" si="486"/>
        <v>-0.24025122327253925</v>
      </c>
      <c r="BO132" s="672" t="e">
        <f t="shared" si="486"/>
        <v>#REF!</v>
      </c>
      <c r="BP132" s="675">
        <f t="shared" si="486"/>
        <v>0.24025122327254186</v>
      </c>
      <c r="BQ132" s="672">
        <f t="shared" si="486"/>
        <v>0.24025122327253992</v>
      </c>
      <c r="BR132" s="672">
        <f t="shared" si="486"/>
        <v>0.24025122327253848</v>
      </c>
      <c r="BS132" s="672">
        <f t="shared" si="486"/>
        <v>0.24025122327254078</v>
      </c>
      <c r="BT132" s="672">
        <f t="shared" si="486"/>
        <v>0.24025122327254078</v>
      </c>
      <c r="BU132" s="676">
        <f t="shared" si="486"/>
        <v>0.24025122327253956</v>
      </c>
      <c r="BV132" s="688">
        <f t="shared" si="486"/>
        <v>1.5935259717856209</v>
      </c>
      <c r="BW132" s="1538">
        <f t="shared" si="486"/>
        <v>2.5972917949014533</v>
      </c>
      <c r="BX132" s="1539">
        <f t="shared" si="486"/>
        <v>0.14669975649392641</v>
      </c>
      <c r="BY132" s="672">
        <f t="shared" si="486"/>
        <v>-0.63479516428988814</v>
      </c>
      <c r="BZ132" s="619">
        <f t="shared" si="486"/>
        <v>0</v>
      </c>
      <c r="CA132" s="619" t="s">
        <v>93</v>
      </c>
      <c r="CB132" s="38" t="s">
        <v>93</v>
      </c>
      <c r="CC132" s="672">
        <f t="shared" ref="CC132" si="487">CC131/CC130*100</f>
        <v>-0.63479516428988814</v>
      </c>
      <c r="CD132" s="619">
        <f t="shared" ref="CD132:CR132" si="488">CD131/CD130*100</f>
        <v>0.25390546838039146</v>
      </c>
      <c r="CE132" s="675">
        <f t="shared" si="488"/>
        <v>-0.85899547914817698</v>
      </c>
      <c r="CF132" s="672">
        <f t="shared" si="488"/>
        <v>-0.86041794940356331</v>
      </c>
      <c r="CG132" s="672" t="e">
        <f t="shared" si="488"/>
        <v>#REF!</v>
      </c>
      <c r="CH132" s="675">
        <f t="shared" si="488"/>
        <v>0.86041794940356353</v>
      </c>
      <c r="CI132" s="672">
        <f t="shared" si="488"/>
        <v>0.8604179494035622</v>
      </c>
      <c r="CJ132" s="672">
        <f t="shared" si="488"/>
        <v>0.86041794940356409</v>
      </c>
      <c r="CK132" s="672">
        <f t="shared" si="488"/>
        <v>0.86041794940356231</v>
      </c>
      <c r="CL132" s="672">
        <f t="shared" si="488"/>
        <v>0.86041794940356231</v>
      </c>
      <c r="CM132" s="676">
        <f t="shared" si="488"/>
        <v>0.86041794940356664</v>
      </c>
      <c r="CN132" s="688">
        <f t="shared" si="488"/>
        <v>1.2883799219768071</v>
      </c>
      <c r="CO132" s="1538">
        <f t="shared" si="488"/>
        <v>2.2182401266520198</v>
      </c>
      <c r="CP132" s="1539">
        <f t="shared" si="488"/>
        <v>0.1198440466730757</v>
      </c>
      <c r="CQ132" s="672">
        <f t="shared" si="488"/>
        <v>-3.1152647975081001E-2</v>
      </c>
      <c r="CR132" s="619">
        <f t="shared" si="488"/>
        <v>0</v>
      </c>
      <c r="CS132" s="619" t="s">
        <v>93</v>
      </c>
      <c r="CT132" s="38" t="s">
        <v>93</v>
      </c>
      <c r="CU132" s="672">
        <f t="shared" ref="CU132" si="489">CU131/CU130*100</f>
        <v>-3.1152647975085001E-2</v>
      </c>
      <c r="CV132" s="619">
        <f t="shared" ref="CV132:DJ132" si="490">CV131/CV130*100</f>
        <v>0.20547187644823878</v>
      </c>
      <c r="CW132" s="675">
        <f t="shared" si="490"/>
        <v>-0.22118145395326255</v>
      </c>
      <c r="CX132" s="672">
        <f t="shared" si="490"/>
        <v>-0.2212284597327881</v>
      </c>
      <c r="CY132" s="672" t="e">
        <f t="shared" si="490"/>
        <v>#REF!</v>
      </c>
      <c r="CZ132" s="675">
        <f t="shared" si="490"/>
        <v>0.22122845973278718</v>
      </c>
      <c r="DA132" s="672">
        <f t="shared" si="490"/>
        <v>0.22122845973278549</v>
      </c>
      <c r="DB132" s="672">
        <f t="shared" si="490"/>
        <v>0.22122845973278682</v>
      </c>
      <c r="DC132" s="672">
        <f t="shared" si="490"/>
        <v>0.22122845973278588</v>
      </c>
      <c r="DD132" s="672">
        <f t="shared" si="490"/>
        <v>0.22122845973278588</v>
      </c>
      <c r="DE132" s="676">
        <f t="shared" si="490"/>
        <v>0.22122845973279087</v>
      </c>
      <c r="DF132" s="688" t="e">
        <f t="shared" si="490"/>
        <v>#DIV/0!</v>
      </c>
      <c r="DG132" s="1538" t="e">
        <f t="shared" si="490"/>
        <v>#DIV/0!</v>
      </c>
      <c r="DH132" s="1539" t="e">
        <f t="shared" si="490"/>
        <v>#DIV/0!</v>
      </c>
      <c r="DI132" s="672" t="e">
        <f t="shared" si="490"/>
        <v>#DIV/0!</v>
      </c>
      <c r="DJ132" s="619" t="e">
        <f t="shared" si="490"/>
        <v>#DIV/0!</v>
      </c>
      <c r="DK132" s="619" t="s">
        <v>93</v>
      </c>
      <c r="DL132" s="38" t="s">
        <v>93</v>
      </c>
      <c r="DM132" s="672" t="e">
        <f t="shared" ref="DM132" si="491">DM131/DM130*100</f>
        <v>#DIV/0!</v>
      </c>
      <c r="DN132" s="619" t="e">
        <f t="shared" ref="DN132:EB132" si="492">DN131/DN130*100</f>
        <v>#DIV/0!</v>
      </c>
      <c r="DO132" s="675" t="e">
        <f t="shared" si="492"/>
        <v>#DIV/0!</v>
      </c>
      <c r="DP132" s="672" t="e">
        <f t="shared" si="492"/>
        <v>#DIV/0!</v>
      </c>
      <c r="DQ132" s="672" t="e">
        <f t="shared" si="492"/>
        <v>#REF!</v>
      </c>
      <c r="DR132" s="675" t="e">
        <f t="shared" si="492"/>
        <v>#DIV/0!</v>
      </c>
      <c r="DS132" s="672" t="e">
        <f t="shared" si="492"/>
        <v>#DIV/0!</v>
      </c>
      <c r="DT132" s="672" t="e">
        <f t="shared" si="492"/>
        <v>#DIV/0!</v>
      </c>
      <c r="DU132" s="672" t="e">
        <f t="shared" si="492"/>
        <v>#DIV/0!</v>
      </c>
      <c r="DV132" s="672" t="e">
        <f t="shared" si="492"/>
        <v>#DIV/0!</v>
      </c>
      <c r="DW132" s="676" t="e">
        <f t="shared" si="492"/>
        <v>#DIV/0!</v>
      </c>
      <c r="DX132" s="688" t="e">
        <f t="shared" si="492"/>
        <v>#DIV/0!</v>
      </c>
      <c r="DY132" s="1538" t="e">
        <f t="shared" si="492"/>
        <v>#DIV/0!</v>
      </c>
      <c r="DZ132" s="1539" t="e">
        <f t="shared" si="492"/>
        <v>#DIV/0!</v>
      </c>
      <c r="EA132" s="674" t="e">
        <f t="shared" si="492"/>
        <v>#DIV/0!</v>
      </c>
      <c r="EB132" s="619" t="e">
        <f t="shared" si="492"/>
        <v>#DIV/0!</v>
      </c>
      <c r="EC132" s="619" t="s">
        <v>93</v>
      </c>
      <c r="ED132" s="38" t="s">
        <v>93</v>
      </c>
      <c r="EE132" s="672" t="e">
        <f t="shared" ref="EE132" si="493">EE131/EE130*100</f>
        <v>#DIV/0!</v>
      </c>
      <c r="EF132" s="619" t="e">
        <f t="shared" ref="EF132:ET132" si="494">EF131/EF130*100</f>
        <v>#DIV/0!</v>
      </c>
      <c r="EG132" s="675" t="e">
        <f t="shared" si="494"/>
        <v>#VALUE!</v>
      </c>
      <c r="EH132" s="672" t="e">
        <f t="shared" si="494"/>
        <v>#VALUE!</v>
      </c>
      <c r="EI132" s="672" t="e">
        <f t="shared" si="494"/>
        <v>#REF!</v>
      </c>
      <c r="EJ132" s="675" t="e">
        <f t="shared" si="494"/>
        <v>#VALUE!</v>
      </c>
      <c r="EK132" s="672" t="e">
        <f t="shared" si="494"/>
        <v>#VALUE!</v>
      </c>
      <c r="EL132" s="672" t="e">
        <f t="shared" si="494"/>
        <v>#VALUE!</v>
      </c>
      <c r="EM132" s="672" t="e">
        <f t="shared" si="494"/>
        <v>#VALUE!</v>
      </c>
      <c r="EN132" s="672" t="e">
        <f t="shared" si="494"/>
        <v>#VALUE!</v>
      </c>
      <c r="EO132" s="676" t="e">
        <f t="shared" si="494"/>
        <v>#VALUE!</v>
      </c>
      <c r="EP132" s="688">
        <f t="shared" si="494"/>
        <v>1.8161683536135147</v>
      </c>
      <c r="EQ132" s="1538">
        <f t="shared" si="494"/>
        <v>1.6151737963978292</v>
      </c>
      <c r="ER132" s="1539">
        <f t="shared" si="494"/>
        <v>0.12428024806461765</v>
      </c>
      <c r="ES132" s="672">
        <f t="shared" si="494"/>
        <v>-9.7716994996321471</v>
      </c>
      <c r="ET132" s="619">
        <f t="shared" si="494"/>
        <v>0</v>
      </c>
      <c r="EU132" s="619" t="s">
        <v>93</v>
      </c>
      <c r="EV132" s="38" t="s">
        <v>93</v>
      </c>
      <c r="EW132" s="672">
        <f t="shared" ref="EW132" si="495">EW131/EW130*100</f>
        <v>-9.7716994996321471</v>
      </c>
      <c r="EX132" s="619">
        <f t="shared" ref="EX132:FL132" si="496">EX131/EX130*100</f>
        <v>0.24210035060218438</v>
      </c>
      <c r="EY132" s="675">
        <f t="shared" si="496"/>
        <v>-9.9672811901012679</v>
      </c>
      <c r="EZ132" s="672">
        <f t="shared" si="496"/>
        <v>-9.913376484598496</v>
      </c>
      <c r="FA132" s="672" t="e">
        <f t="shared" si="496"/>
        <v>#REF!</v>
      </c>
      <c r="FB132" s="675">
        <f t="shared" si="496"/>
        <v>9.9133764845984942</v>
      </c>
      <c r="FC132" s="672">
        <f t="shared" si="496"/>
        <v>9.9133764845984906</v>
      </c>
      <c r="FD132" s="672">
        <f t="shared" si="496"/>
        <v>9.9133764845984906</v>
      </c>
      <c r="FE132" s="672">
        <f t="shared" si="496"/>
        <v>9.9133764845984942</v>
      </c>
      <c r="FF132" s="672">
        <f t="shared" si="496"/>
        <v>9.9133764845984942</v>
      </c>
      <c r="FG132" s="676">
        <f t="shared" si="496"/>
        <v>9.9133764845984924</v>
      </c>
      <c r="FH132" s="688" t="e">
        <f t="shared" si="496"/>
        <v>#DIV/0!</v>
      </c>
      <c r="FI132" s="1538" t="e">
        <f t="shared" si="496"/>
        <v>#DIV/0!</v>
      </c>
      <c r="FJ132" s="1539" t="e">
        <f t="shared" si="496"/>
        <v>#DIV/0!</v>
      </c>
      <c r="FK132" s="672" t="e">
        <f t="shared" si="496"/>
        <v>#DIV/0!</v>
      </c>
      <c r="FL132" s="619" t="e">
        <f t="shared" si="496"/>
        <v>#DIV/0!</v>
      </c>
      <c r="FM132" s="619" t="s">
        <v>93</v>
      </c>
      <c r="FN132" s="38" t="s">
        <v>93</v>
      </c>
      <c r="FO132" s="672" t="e">
        <f t="shared" ref="FO132" si="497">FO131/FO130*100</f>
        <v>#DIV/0!</v>
      </c>
      <c r="FP132" s="619" t="e">
        <f t="shared" ref="FP132:GD132" si="498">FP131/FP130*100</f>
        <v>#DIV/0!</v>
      </c>
      <c r="FQ132" s="675" t="e">
        <f t="shared" si="498"/>
        <v>#VALUE!</v>
      </c>
      <c r="FR132" s="672" t="e">
        <f t="shared" si="498"/>
        <v>#VALUE!</v>
      </c>
      <c r="FS132" s="672" t="e">
        <f t="shared" si="498"/>
        <v>#REF!</v>
      </c>
      <c r="FT132" s="675" t="e">
        <f t="shared" si="498"/>
        <v>#VALUE!</v>
      </c>
      <c r="FU132" s="672" t="e">
        <f t="shared" si="498"/>
        <v>#VALUE!</v>
      </c>
      <c r="FV132" s="672" t="e">
        <f t="shared" si="498"/>
        <v>#VALUE!</v>
      </c>
      <c r="FW132" s="672" t="e">
        <f t="shared" si="498"/>
        <v>#VALUE!</v>
      </c>
      <c r="FX132" s="672" t="e">
        <f t="shared" si="498"/>
        <v>#VALUE!</v>
      </c>
      <c r="FY132" s="676" t="e">
        <f t="shared" si="498"/>
        <v>#VALUE!</v>
      </c>
      <c r="FZ132" s="688" t="e">
        <f t="shared" si="498"/>
        <v>#DIV/0!</v>
      </c>
      <c r="GA132" s="1538" t="e">
        <f t="shared" si="498"/>
        <v>#DIV/0!</v>
      </c>
      <c r="GB132" s="1539" t="e">
        <f t="shared" si="498"/>
        <v>#DIV/0!</v>
      </c>
      <c r="GC132" s="672" t="e">
        <f t="shared" si="498"/>
        <v>#DIV/0!</v>
      </c>
      <c r="GD132" s="619" t="e">
        <f t="shared" si="498"/>
        <v>#DIV/0!</v>
      </c>
      <c r="GE132" s="619" t="s">
        <v>93</v>
      </c>
      <c r="GF132" s="38" t="s">
        <v>93</v>
      </c>
      <c r="GG132" s="672" t="e">
        <f t="shared" ref="GG132" si="499">GG131/GG130*100</f>
        <v>#DIV/0!</v>
      </c>
      <c r="GH132" s="619" t="e">
        <f t="shared" ref="GH132:GV132" si="500">GH131/GH130*100</f>
        <v>#DIV/0!</v>
      </c>
      <c r="GI132" s="675" t="e">
        <f t="shared" si="500"/>
        <v>#VALUE!</v>
      </c>
      <c r="GJ132" s="672" t="e">
        <f t="shared" si="500"/>
        <v>#VALUE!</v>
      </c>
      <c r="GK132" s="672" t="e">
        <f t="shared" si="500"/>
        <v>#REF!</v>
      </c>
      <c r="GL132" s="675" t="e">
        <f t="shared" si="500"/>
        <v>#VALUE!</v>
      </c>
      <c r="GM132" s="672" t="e">
        <f t="shared" si="500"/>
        <v>#VALUE!</v>
      </c>
      <c r="GN132" s="672" t="e">
        <f t="shared" si="500"/>
        <v>#VALUE!</v>
      </c>
      <c r="GO132" s="672" t="e">
        <f t="shared" si="500"/>
        <v>#VALUE!</v>
      </c>
      <c r="GP132" s="672" t="e">
        <f t="shared" si="500"/>
        <v>#VALUE!</v>
      </c>
      <c r="GQ132" s="676" t="e">
        <f t="shared" si="500"/>
        <v>#VALUE!</v>
      </c>
      <c r="GR132" s="688" t="e">
        <f t="shared" si="500"/>
        <v>#DIV/0!</v>
      </c>
      <c r="GS132" s="1538" t="e">
        <f t="shared" si="500"/>
        <v>#DIV/0!</v>
      </c>
      <c r="GT132" s="1539" t="e">
        <f t="shared" si="500"/>
        <v>#DIV/0!</v>
      </c>
      <c r="GU132" s="674" t="e">
        <f t="shared" si="500"/>
        <v>#DIV/0!</v>
      </c>
      <c r="GV132" s="619" t="e">
        <f t="shared" si="500"/>
        <v>#DIV/0!</v>
      </c>
      <c r="GW132" s="619" t="s">
        <v>93</v>
      </c>
      <c r="GX132" s="38" t="s">
        <v>93</v>
      </c>
      <c r="GY132" s="672" t="e">
        <f t="shared" ref="GY132" si="501">GY131/GY130*100</f>
        <v>#DIV/0!</v>
      </c>
      <c r="GZ132" s="619" t="e">
        <f t="shared" ref="GZ132:HN132" si="502">GZ131/GZ130*100</f>
        <v>#DIV/0!</v>
      </c>
      <c r="HA132" s="675" t="e">
        <f t="shared" si="502"/>
        <v>#VALUE!</v>
      </c>
      <c r="HB132" s="672" t="e">
        <f t="shared" si="502"/>
        <v>#VALUE!</v>
      </c>
      <c r="HC132" s="672" t="e">
        <f t="shared" si="502"/>
        <v>#REF!</v>
      </c>
      <c r="HD132" s="675" t="e">
        <f t="shared" si="502"/>
        <v>#VALUE!</v>
      </c>
      <c r="HE132" s="672" t="e">
        <f t="shared" si="502"/>
        <v>#VALUE!</v>
      </c>
      <c r="HF132" s="672" t="e">
        <f t="shared" si="502"/>
        <v>#VALUE!</v>
      </c>
      <c r="HG132" s="672" t="e">
        <f t="shared" si="502"/>
        <v>#VALUE!</v>
      </c>
      <c r="HH132" s="672" t="e">
        <f t="shared" si="502"/>
        <v>#VALUE!</v>
      </c>
      <c r="HI132" s="676" t="e">
        <f t="shared" si="502"/>
        <v>#VALUE!</v>
      </c>
      <c r="HJ132" s="688" t="e">
        <f t="shared" si="502"/>
        <v>#DIV/0!</v>
      </c>
      <c r="HK132" s="1538" t="e">
        <f t="shared" si="502"/>
        <v>#DIV/0!</v>
      </c>
      <c r="HL132" s="1539" t="e">
        <f t="shared" si="502"/>
        <v>#DIV/0!</v>
      </c>
      <c r="HM132" s="672" t="e">
        <f t="shared" si="502"/>
        <v>#DIV/0!</v>
      </c>
      <c r="HN132" s="619" t="e">
        <f t="shared" si="502"/>
        <v>#DIV/0!</v>
      </c>
      <c r="HO132" s="619" t="s">
        <v>93</v>
      </c>
      <c r="HP132" s="38" t="s">
        <v>93</v>
      </c>
      <c r="HQ132" s="672" t="e">
        <f t="shared" ref="HQ132" si="503">HQ131/HQ130*100</f>
        <v>#DIV/0!</v>
      </c>
      <c r="HR132" s="619" t="e">
        <f t="shared" ref="HR132:IF132" si="504">HR131/HR130*100</f>
        <v>#DIV/0!</v>
      </c>
      <c r="HS132" s="675" t="e">
        <f t="shared" si="504"/>
        <v>#VALUE!</v>
      </c>
      <c r="HT132" s="672" t="e">
        <f t="shared" si="504"/>
        <v>#VALUE!</v>
      </c>
      <c r="HU132" s="672" t="e">
        <f t="shared" si="504"/>
        <v>#REF!</v>
      </c>
      <c r="HV132" s="675" t="e">
        <f t="shared" si="504"/>
        <v>#VALUE!</v>
      </c>
      <c r="HW132" s="672" t="e">
        <f t="shared" si="504"/>
        <v>#VALUE!</v>
      </c>
      <c r="HX132" s="672" t="e">
        <f t="shared" si="504"/>
        <v>#VALUE!</v>
      </c>
      <c r="HY132" s="672" t="e">
        <f t="shared" si="504"/>
        <v>#VALUE!</v>
      </c>
      <c r="HZ132" s="672" t="e">
        <f t="shared" si="504"/>
        <v>#VALUE!</v>
      </c>
      <c r="IA132" s="676" t="e">
        <f t="shared" si="504"/>
        <v>#VALUE!</v>
      </c>
      <c r="IB132" s="688" t="e">
        <f t="shared" si="504"/>
        <v>#DIV/0!</v>
      </c>
      <c r="IC132" s="1538" t="e">
        <f t="shared" si="504"/>
        <v>#DIV/0!</v>
      </c>
      <c r="ID132" s="1539" t="e">
        <f t="shared" si="504"/>
        <v>#DIV/0!</v>
      </c>
      <c r="IE132" s="672" t="e">
        <f t="shared" si="504"/>
        <v>#DIV/0!</v>
      </c>
      <c r="IF132" s="619" t="e">
        <f t="shared" si="504"/>
        <v>#DIV/0!</v>
      </c>
      <c r="IG132" s="619" t="s">
        <v>93</v>
      </c>
      <c r="IH132" s="38" t="s">
        <v>93</v>
      </c>
      <c r="II132" s="672" t="e">
        <f t="shared" ref="II132" si="505">II131/II130*100</f>
        <v>#DIV/0!</v>
      </c>
      <c r="IJ132" s="619" t="e">
        <f t="shared" ref="IJ132:IX132" si="506">IJ131/IJ130*100</f>
        <v>#DIV/0!</v>
      </c>
      <c r="IK132" s="675" t="e">
        <f t="shared" si="506"/>
        <v>#VALUE!</v>
      </c>
      <c r="IL132" s="672" t="e">
        <f t="shared" si="506"/>
        <v>#VALUE!</v>
      </c>
      <c r="IM132" s="672" t="e">
        <f t="shared" si="506"/>
        <v>#REF!</v>
      </c>
      <c r="IN132" s="675" t="e">
        <f t="shared" si="506"/>
        <v>#VALUE!</v>
      </c>
      <c r="IO132" s="672" t="e">
        <f t="shared" si="506"/>
        <v>#VALUE!</v>
      </c>
      <c r="IP132" s="672" t="e">
        <f t="shared" si="506"/>
        <v>#VALUE!</v>
      </c>
      <c r="IQ132" s="672" t="e">
        <f t="shared" si="506"/>
        <v>#VALUE!</v>
      </c>
      <c r="IR132" s="672" t="e">
        <f t="shared" si="506"/>
        <v>#VALUE!</v>
      </c>
      <c r="IS132" s="676" t="e">
        <f t="shared" si="506"/>
        <v>#VALUE!</v>
      </c>
      <c r="IT132" s="688" t="e">
        <f t="shared" si="506"/>
        <v>#DIV/0!</v>
      </c>
      <c r="IU132" s="1538" t="e">
        <f t="shared" si="506"/>
        <v>#DIV/0!</v>
      </c>
      <c r="IV132" s="1539" t="e">
        <f t="shared" si="506"/>
        <v>#DIV/0!</v>
      </c>
      <c r="IW132" s="672" t="e">
        <f t="shared" si="506"/>
        <v>#DIV/0!</v>
      </c>
      <c r="IX132" s="619" t="e">
        <f t="shared" si="506"/>
        <v>#DIV/0!</v>
      </c>
      <c r="IY132" s="619" t="s">
        <v>93</v>
      </c>
      <c r="IZ132" s="38" t="s">
        <v>93</v>
      </c>
      <c r="JA132" s="672" t="e">
        <f t="shared" ref="JA132" si="507">JA131/JA130*100</f>
        <v>#DIV/0!</v>
      </c>
      <c r="JB132" s="619" t="e">
        <f t="shared" ref="JB132:JP132" si="508">JB131/JB130*100</f>
        <v>#DIV/0!</v>
      </c>
      <c r="JC132" s="675" t="e">
        <f t="shared" si="508"/>
        <v>#VALUE!</v>
      </c>
      <c r="JD132" s="672" t="e">
        <f t="shared" si="508"/>
        <v>#VALUE!</v>
      </c>
      <c r="JE132" s="672" t="e">
        <f t="shared" si="508"/>
        <v>#REF!</v>
      </c>
      <c r="JF132" s="675" t="e">
        <f t="shared" si="508"/>
        <v>#VALUE!</v>
      </c>
      <c r="JG132" s="672" t="e">
        <f t="shared" si="508"/>
        <v>#VALUE!</v>
      </c>
      <c r="JH132" s="672" t="e">
        <f t="shared" si="508"/>
        <v>#VALUE!</v>
      </c>
      <c r="JI132" s="672" t="e">
        <f t="shared" si="508"/>
        <v>#VALUE!</v>
      </c>
      <c r="JJ132" s="672" t="e">
        <f t="shared" si="508"/>
        <v>#VALUE!</v>
      </c>
      <c r="JK132" s="676" t="e">
        <f t="shared" si="508"/>
        <v>#VALUE!</v>
      </c>
      <c r="JL132" s="688" t="e">
        <f t="shared" si="508"/>
        <v>#DIV/0!</v>
      </c>
      <c r="JM132" s="1538" t="e">
        <f t="shared" si="508"/>
        <v>#DIV/0!</v>
      </c>
      <c r="JN132" s="1539" t="e">
        <f t="shared" si="508"/>
        <v>#DIV/0!</v>
      </c>
      <c r="JO132" s="672" t="e">
        <f t="shared" si="508"/>
        <v>#DIV/0!</v>
      </c>
      <c r="JP132" s="619" t="e">
        <f t="shared" si="508"/>
        <v>#DIV/0!</v>
      </c>
      <c r="JQ132" s="619" t="s">
        <v>93</v>
      </c>
      <c r="JR132" s="38" t="s">
        <v>93</v>
      </c>
      <c r="JS132" s="672" t="e">
        <f t="shared" ref="JS132" si="509">JS131/JS130*100</f>
        <v>#DIV/0!</v>
      </c>
      <c r="JT132" s="619" t="e">
        <f t="shared" ref="JT132:KH132" si="510">JT131/JT130*100</f>
        <v>#DIV/0!</v>
      </c>
      <c r="JU132" s="675" t="e">
        <f t="shared" si="510"/>
        <v>#VALUE!</v>
      </c>
      <c r="JV132" s="672" t="e">
        <f t="shared" si="510"/>
        <v>#VALUE!</v>
      </c>
      <c r="JW132" s="672" t="e">
        <f t="shared" si="510"/>
        <v>#REF!</v>
      </c>
      <c r="JX132" s="675" t="e">
        <f t="shared" si="510"/>
        <v>#VALUE!</v>
      </c>
      <c r="JY132" s="672" t="e">
        <f t="shared" si="510"/>
        <v>#VALUE!</v>
      </c>
      <c r="JZ132" s="672" t="e">
        <f t="shared" si="510"/>
        <v>#VALUE!</v>
      </c>
      <c r="KA132" s="672" t="e">
        <f t="shared" si="510"/>
        <v>#VALUE!</v>
      </c>
      <c r="KB132" s="672" t="e">
        <f t="shared" si="510"/>
        <v>#VALUE!</v>
      </c>
      <c r="KC132" s="676" t="e">
        <f t="shared" si="510"/>
        <v>#VALUE!</v>
      </c>
      <c r="KD132" s="688" t="e">
        <f t="shared" si="510"/>
        <v>#DIV/0!</v>
      </c>
      <c r="KE132" s="1538" t="e">
        <f t="shared" si="510"/>
        <v>#DIV/0!</v>
      </c>
      <c r="KF132" s="1539" t="e">
        <f t="shared" si="510"/>
        <v>#DIV/0!</v>
      </c>
      <c r="KG132" s="672" t="e">
        <f t="shared" si="510"/>
        <v>#DIV/0!</v>
      </c>
      <c r="KH132" s="619" t="e">
        <f t="shared" si="510"/>
        <v>#DIV/0!</v>
      </c>
      <c r="KI132" s="619" t="s">
        <v>93</v>
      </c>
      <c r="KJ132" s="38" t="s">
        <v>93</v>
      </c>
      <c r="KK132" s="672" t="e">
        <f t="shared" ref="KK132" si="511">KK131/KK130*100</f>
        <v>#DIV/0!</v>
      </c>
      <c r="KL132" s="619" t="e">
        <f t="shared" ref="KL132:KZ132" si="512">KL131/KL130*100</f>
        <v>#DIV/0!</v>
      </c>
      <c r="KM132" s="675" t="e">
        <f t="shared" si="512"/>
        <v>#VALUE!</v>
      </c>
      <c r="KN132" s="672" t="e">
        <f t="shared" si="512"/>
        <v>#VALUE!</v>
      </c>
      <c r="KO132" s="672" t="e">
        <f t="shared" si="512"/>
        <v>#REF!</v>
      </c>
      <c r="KP132" s="675" t="e">
        <f t="shared" si="512"/>
        <v>#VALUE!</v>
      </c>
      <c r="KQ132" s="672" t="e">
        <f t="shared" si="512"/>
        <v>#VALUE!</v>
      </c>
      <c r="KR132" s="672" t="e">
        <f t="shared" si="512"/>
        <v>#VALUE!</v>
      </c>
      <c r="KS132" s="672" t="e">
        <f t="shared" si="512"/>
        <v>#VALUE!</v>
      </c>
      <c r="KT132" s="672" t="e">
        <f t="shared" si="512"/>
        <v>#VALUE!</v>
      </c>
      <c r="KU132" s="676" t="e">
        <f t="shared" si="512"/>
        <v>#VALUE!</v>
      </c>
      <c r="KV132" s="688" t="e">
        <f t="shared" si="512"/>
        <v>#DIV/0!</v>
      </c>
      <c r="KW132" s="1538" t="e">
        <f t="shared" si="512"/>
        <v>#DIV/0!</v>
      </c>
      <c r="KX132" s="1539" t="e">
        <f t="shared" si="512"/>
        <v>#DIV/0!</v>
      </c>
      <c r="KY132" s="672" t="e">
        <f t="shared" si="512"/>
        <v>#DIV/0!</v>
      </c>
      <c r="KZ132" s="619" t="e">
        <f t="shared" si="512"/>
        <v>#DIV/0!</v>
      </c>
      <c r="LA132" s="619" t="s">
        <v>93</v>
      </c>
      <c r="LB132" s="38" t="s">
        <v>93</v>
      </c>
      <c r="LC132" s="672" t="e">
        <f t="shared" ref="LC132" si="513">LC131/LC130*100</f>
        <v>#DIV/0!</v>
      </c>
      <c r="LD132" s="619" t="e">
        <f t="shared" ref="LD132:LR132" si="514">LD131/LD130*100</f>
        <v>#DIV/0!</v>
      </c>
      <c r="LE132" s="675" t="e">
        <f t="shared" si="514"/>
        <v>#VALUE!</v>
      </c>
      <c r="LF132" s="672" t="e">
        <f t="shared" si="514"/>
        <v>#VALUE!</v>
      </c>
      <c r="LG132" s="672" t="e">
        <f t="shared" si="514"/>
        <v>#REF!</v>
      </c>
      <c r="LH132" s="675" t="e">
        <f t="shared" si="514"/>
        <v>#VALUE!</v>
      </c>
      <c r="LI132" s="672" t="e">
        <f t="shared" si="514"/>
        <v>#VALUE!</v>
      </c>
      <c r="LJ132" s="672" t="e">
        <f t="shared" si="514"/>
        <v>#VALUE!</v>
      </c>
      <c r="LK132" s="672" t="e">
        <f t="shared" si="514"/>
        <v>#VALUE!</v>
      </c>
      <c r="LL132" s="672" t="e">
        <f t="shared" si="514"/>
        <v>#VALUE!</v>
      </c>
      <c r="LM132" s="676" t="e">
        <f t="shared" si="514"/>
        <v>#VALUE!</v>
      </c>
      <c r="LN132" s="688" t="e">
        <f t="shared" si="514"/>
        <v>#DIV/0!</v>
      </c>
      <c r="LO132" s="1538" t="e">
        <f t="shared" si="514"/>
        <v>#DIV/0!</v>
      </c>
      <c r="LP132" s="1539" t="e">
        <f t="shared" si="514"/>
        <v>#DIV/0!</v>
      </c>
      <c r="LQ132" s="672" t="e">
        <f t="shared" si="514"/>
        <v>#DIV/0!</v>
      </c>
      <c r="LR132" s="619" t="e">
        <f t="shared" si="514"/>
        <v>#DIV/0!</v>
      </c>
      <c r="LS132" s="619" t="s">
        <v>93</v>
      </c>
      <c r="LT132" s="38" t="s">
        <v>93</v>
      </c>
      <c r="LU132" s="672" t="e">
        <f t="shared" ref="LU132" si="515">LU131/LU130*100</f>
        <v>#DIV/0!</v>
      </c>
      <c r="LV132" s="619" t="e">
        <f t="shared" ref="LV132:MJ132" si="516">LV131/LV130*100</f>
        <v>#DIV/0!</v>
      </c>
      <c r="LW132" s="675" t="e">
        <f t="shared" si="516"/>
        <v>#VALUE!</v>
      </c>
      <c r="LX132" s="672" t="e">
        <f t="shared" si="516"/>
        <v>#VALUE!</v>
      </c>
      <c r="LY132" s="672" t="e">
        <f t="shared" si="516"/>
        <v>#REF!</v>
      </c>
      <c r="LZ132" s="675" t="e">
        <f t="shared" si="516"/>
        <v>#VALUE!</v>
      </c>
      <c r="MA132" s="672" t="e">
        <f t="shared" si="516"/>
        <v>#VALUE!</v>
      </c>
      <c r="MB132" s="672" t="e">
        <f t="shared" si="516"/>
        <v>#VALUE!</v>
      </c>
      <c r="MC132" s="672" t="e">
        <f t="shared" si="516"/>
        <v>#VALUE!</v>
      </c>
      <c r="MD132" s="672" t="e">
        <f t="shared" si="516"/>
        <v>#VALUE!</v>
      </c>
      <c r="ME132" s="676" t="e">
        <f t="shared" si="516"/>
        <v>#VALUE!</v>
      </c>
      <c r="MF132" s="688" t="e">
        <f t="shared" si="516"/>
        <v>#DIV/0!</v>
      </c>
      <c r="MG132" s="1538" t="e">
        <f t="shared" si="516"/>
        <v>#DIV/0!</v>
      </c>
      <c r="MH132" s="1539" t="e">
        <f t="shared" si="516"/>
        <v>#DIV/0!</v>
      </c>
      <c r="MI132" s="672" t="e">
        <f t="shared" si="516"/>
        <v>#DIV/0!</v>
      </c>
      <c r="MJ132" s="619" t="e">
        <f t="shared" si="516"/>
        <v>#DIV/0!</v>
      </c>
      <c r="MK132" s="619" t="s">
        <v>93</v>
      </c>
      <c r="ML132" s="38" t="s">
        <v>93</v>
      </c>
      <c r="MM132" s="672" t="e">
        <f t="shared" ref="MM132" si="517">MM131/MM130*100</f>
        <v>#DIV/0!</v>
      </c>
      <c r="MN132" s="619" t="e">
        <f t="shared" ref="MN132:NB132" si="518">MN131/MN130*100</f>
        <v>#DIV/0!</v>
      </c>
      <c r="MO132" s="675" t="e">
        <f t="shared" si="518"/>
        <v>#VALUE!</v>
      </c>
      <c r="MP132" s="672" t="e">
        <f t="shared" si="518"/>
        <v>#VALUE!</v>
      </c>
      <c r="MQ132" s="672" t="e">
        <f t="shared" si="518"/>
        <v>#REF!</v>
      </c>
      <c r="MR132" s="675" t="e">
        <f t="shared" si="518"/>
        <v>#VALUE!</v>
      </c>
      <c r="MS132" s="672" t="e">
        <f t="shared" si="518"/>
        <v>#VALUE!</v>
      </c>
      <c r="MT132" s="672" t="e">
        <f t="shared" si="518"/>
        <v>#VALUE!</v>
      </c>
      <c r="MU132" s="672" t="e">
        <f t="shared" si="518"/>
        <v>#VALUE!</v>
      </c>
      <c r="MV132" s="672" t="e">
        <f t="shared" si="518"/>
        <v>#VALUE!</v>
      </c>
      <c r="MW132" s="676" t="e">
        <f t="shared" si="518"/>
        <v>#VALUE!</v>
      </c>
      <c r="MX132" s="688" t="e">
        <f t="shared" si="518"/>
        <v>#DIV/0!</v>
      </c>
      <c r="MY132" s="1538" t="e">
        <f t="shared" si="518"/>
        <v>#DIV/0!</v>
      </c>
      <c r="MZ132" s="1539" t="e">
        <f t="shared" si="518"/>
        <v>#DIV/0!</v>
      </c>
      <c r="NA132" s="672" t="e">
        <f t="shared" si="518"/>
        <v>#DIV/0!</v>
      </c>
      <c r="NB132" s="619" t="e">
        <f t="shared" si="518"/>
        <v>#DIV/0!</v>
      </c>
      <c r="NC132" s="619" t="s">
        <v>93</v>
      </c>
      <c r="ND132" s="38" t="s">
        <v>93</v>
      </c>
      <c r="NE132" s="672" t="e">
        <f t="shared" ref="NE132" si="519">NE131/NE130*100</f>
        <v>#DIV/0!</v>
      </c>
      <c r="NF132" s="619" t="e">
        <f t="shared" ref="NF132:NT132" si="520">NF131/NF130*100</f>
        <v>#DIV/0!</v>
      </c>
      <c r="NG132" s="675" t="e">
        <f t="shared" si="520"/>
        <v>#VALUE!</v>
      </c>
      <c r="NH132" s="672" t="e">
        <f t="shared" si="520"/>
        <v>#VALUE!</v>
      </c>
      <c r="NI132" s="672" t="e">
        <f t="shared" si="520"/>
        <v>#REF!</v>
      </c>
      <c r="NJ132" s="675" t="e">
        <f t="shared" si="520"/>
        <v>#VALUE!</v>
      </c>
      <c r="NK132" s="672" t="e">
        <f t="shared" si="520"/>
        <v>#VALUE!</v>
      </c>
      <c r="NL132" s="672" t="e">
        <f t="shared" si="520"/>
        <v>#VALUE!</v>
      </c>
      <c r="NM132" s="672" t="e">
        <f t="shared" si="520"/>
        <v>#VALUE!</v>
      </c>
      <c r="NN132" s="672" t="e">
        <f t="shared" si="520"/>
        <v>#VALUE!</v>
      </c>
      <c r="NO132" s="676" t="e">
        <f t="shared" si="520"/>
        <v>#VALUE!</v>
      </c>
      <c r="NP132" s="688">
        <f t="shared" si="520"/>
        <v>0.72423813350543442</v>
      </c>
      <c r="NQ132" s="1538">
        <f t="shared" si="520"/>
        <v>0.84699544602264765</v>
      </c>
      <c r="NR132" s="1539">
        <f t="shared" si="520"/>
        <v>0</v>
      </c>
      <c r="NS132" s="672">
        <f t="shared" si="520"/>
        <v>-0.42269716020789833</v>
      </c>
      <c r="NT132" s="619">
        <f t="shared" si="520"/>
        <v>0</v>
      </c>
      <c r="NU132" s="619" t="s">
        <v>93</v>
      </c>
      <c r="NV132" s="38" t="s">
        <v>93</v>
      </c>
      <c r="NW132" s="672">
        <f t="shared" ref="NW132" si="521">NW131/NW130*100</f>
        <v>-0.42269716020789833</v>
      </c>
      <c r="NX132" s="619">
        <f t="shared" ref="NX132:OL132" si="522">NX131/NX130*100</f>
        <v>5.0505301601031685E-2</v>
      </c>
      <c r="NY132" s="675">
        <f t="shared" si="522"/>
        <v>-0.44048861358934088</v>
      </c>
      <c r="NZ132" s="672">
        <f t="shared" si="522"/>
        <v>-0.44029972888470659</v>
      </c>
      <c r="OA132" s="672" t="e">
        <f t="shared" si="522"/>
        <v>#REF!</v>
      </c>
      <c r="OB132" s="675">
        <f t="shared" si="522"/>
        <v>0.44029972888471058</v>
      </c>
      <c r="OC132" s="672">
        <f t="shared" si="522"/>
        <v>0.44029972888471541</v>
      </c>
      <c r="OD132" s="672">
        <f t="shared" si="522"/>
        <v>0.44029972888471175</v>
      </c>
      <c r="OE132" s="672">
        <f t="shared" si="522"/>
        <v>0.44029972888471114</v>
      </c>
      <c r="OF132" s="672">
        <f t="shared" si="522"/>
        <v>0.44029972888471114</v>
      </c>
      <c r="OG132" s="676">
        <f t="shared" si="522"/>
        <v>0.44029972888470997</v>
      </c>
      <c r="OH132" s="688" t="e">
        <f t="shared" si="522"/>
        <v>#DIV/0!</v>
      </c>
      <c r="OI132" s="1538" t="e">
        <f t="shared" si="522"/>
        <v>#DIV/0!</v>
      </c>
      <c r="OJ132" s="1539" t="e">
        <f t="shared" si="522"/>
        <v>#DIV/0!</v>
      </c>
      <c r="OK132" s="672" t="e">
        <f t="shared" si="522"/>
        <v>#DIV/0!</v>
      </c>
      <c r="OL132" s="619" t="e">
        <f t="shared" si="522"/>
        <v>#DIV/0!</v>
      </c>
      <c r="OM132" s="619" t="s">
        <v>93</v>
      </c>
      <c r="ON132" s="38" t="s">
        <v>93</v>
      </c>
      <c r="OO132" s="672" t="e">
        <f t="shared" ref="OO132" si="523">OO131/OO130*100</f>
        <v>#DIV/0!</v>
      </c>
      <c r="OP132" s="619" t="e">
        <f t="shared" ref="OP132:PD132" si="524">OP131/OP130*100</f>
        <v>#DIV/0!</v>
      </c>
      <c r="OQ132" s="675" t="e">
        <f t="shared" si="524"/>
        <v>#VALUE!</v>
      </c>
      <c r="OR132" s="672" t="e">
        <f t="shared" si="524"/>
        <v>#VALUE!</v>
      </c>
      <c r="OS132" s="672" t="e">
        <f t="shared" si="524"/>
        <v>#REF!</v>
      </c>
      <c r="OT132" s="675" t="e">
        <f t="shared" si="524"/>
        <v>#VALUE!</v>
      </c>
      <c r="OU132" s="672" t="e">
        <f t="shared" si="524"/>
        <v>#VALUE!</v>
      </c>
      <c r="OV132" s="672" t="e">
        <f t="shared" si="524"/>
        <v>#VALUE!</v>
      </c>
      <c r="OW132" s="672" t="e">
        <f t="shared" si="524"/>
        <v>#VALUE!</v>
      </c>
      <c r="OX132" s="672" t="e">
        <f t="shared" si="524"/>
        <v>#VALUE!</v>
      </c>
      <c r="OY132" s="676" t="e">
        <f t="shared" si="524"/>
        <v>#VALUE!</v>
      </c>
      <c r="OZ132" s="688">
        <f t="shared" si="524"/>
        <v>1.3615737905310745</v>
      </c>
      <c r="PA132" s="1538">
        <f t="shared" si="524"/>
        <v>1.8867924528301887</v>
      </c>
      <c r="PB132" s="1539">
        <f t="shared" si="524"/>
        <v>0.11540766915792249</v>
      </c>
      <c r="PC132" s="672">
        <f t="shared" si="524"/>
        <v>-0.11688488209670596</v>
      </c>
      <c r="PD132" s="619">
        <f t="shared" si="524"/>
        <v>0</v>
      </c>
      <c r="PE132" s="619" t="s">
        <v>93</v>
      </c>
      <c r="PF132" s="38" t="s">
        <v>93</v>
      </c>
      <c r="PG132" s="672">
        <f t="shared" ref="PG132" si="525">PG131/PG130*100</f>
        <v>-0.11688488209670896</v>
      </c>
      <c r="PH132" s="619">
        <f t="shared" ref="PH132:PV132" si="526">PH131/PH130*100</f>
        <v>0.20788785931024739</v>
      </c>
      <c r="PI132" s="675">
        <f t="shared" si="526"/>
        <v>-0.18328806767955153</v>
      </c>
      <c r="PJ132" s="672">
        <f t="shared" si="526"/>
        <v>-0.18336715280898647</v>
      </c>
      <c r="PK132" s="672" t="e">
        <f t="shared" si="526"/>
        <v>#REF!</v>
      </c>
      <c r="PL132" s="675">
        <f t="shared" si="526"/>
        <v>0.18336715280898816</v>
      </c>
      <c r="PM132" s="672">
        <f t="shared" si="526"/>
        <v>0.18336715280899146</v>
      </c>
      <c r="PN132" s="672">
        <f t="shared" si="526"/>
        <v>0.18336715280898711</v>
      </c>
      <c r="PO132" s="672">
        <f t="shared" si="526"/>
        <v>0.18336715280899146</v>
      </c>
      <c r="PP132" s="672">
        <f t="shared" si="526"/>
        <v>0.18336715280899146</v>
      </c>
      <c r="PQ132" s="676">
        <f t="shared" si="526"/>
        <v>0.18336715280898758</v>
      </c>
      <c r="PR132" s="688" t="e">
        <f t="shared" si="526"/>
        <v>#DIV/0!</v>
      </c>
      <c r="PS132" s="1538" t="e">
        <f t="shared" si="526"/>
        <v>#DIV/0!</v>
      </c>
      <c r="PT132" s="1539" t="e">
        <f t="shared" si="526"/>
        <v>#DIV/0!</v>
      </c>
      <c r="PU132" s="672" t="e">
        <f t="shared" si="526"/>
        <v>#DIV/0!</v>
      </c>
      <c r="PV132" s="619" t="e">
        <f t="shared" si="526"/>
        <v>#DIV/0!</v>
      </c>
      <c r="PW132" s="619" t="s">
        <v>93</v>
      </c>
      <c r="PX132" s="38" t="s">
        <v>93</v>
      </c>
      <c r="PY132" s="672" t="e">
        <f t="shared" ref="PY132" si="527">PY131/PY130*100</f>
        <v>#DIV/0!</v>
      </c>
      <c r="PZ132" s="619" t="e">
        <f t="shared" ref="PZ132:QN132" si="528">PZ131/PZ130*100</f>
        <v>#DIV/0!</v>
      </c>
      <c r="QA132" s="675" t="e">
        <f t="shared" si="528"/>
        <v>#VALUE!</v>
      </c>
      <c r="QB132" s="672" t="e">
        <f t="shared" si="528"/>
        <v>#VALUE!</v>
      </c>
      <c r="QC132" s="672" t="e">
        <f t="shared" si="528"/>
        <v>#REF!</v>
      </c>
      <c r="QD132" s="675" t="e">
        <f t="shared" si="528"/>
        <v>#VALUE!</v>
      </c>
      <c r="QE132" s="672" t="e">
        <f t="shared" si="528"/>
        <v>#VALUE!</v>
      </c>
      <c r="QF132" s="672" t="e">
        <f t="shared" si="528"/>
        <v>#VALUE!</v>
      </c>
      <c r="QG132" s="672" t="e">
        <f t="shared" si="528"/>
        <v>#VALUE!</v>
      </c>
      <c r="QH132" s="672" t="e">
        <f t="shared" si="528"/>
        <v>#VALUE!</v>
      </c>
      <c r="QI132" s="676" t="e">
        <f t="shared" si="528"/>
        <v>#VALUE!</v>
      </c>
      <c r="QJ132" s="688" t="e">
        <f t="shared" si="528"/>
        <v>#DIV/0!</v>
      </c>
      <c r="QK132" s="1538" t="e">
        <f t="shared" si="528"/>
        <v>#DIV/0!</v>
      </c>
      <c r="QL132" s="1539" t="e">
        <f t="shared" si="528"/>
        <v>#DIV/0!</v>
      </c>
      <c r="QM132" s="672" t="e">
        <f t="shared" si="528"/>
        <v>#DIV/0!</v>
      </c>
      <c r="QN132" s="619" t="e">
        <f t="shared" si="528"/>
        <v>#DIV/0!</v>
      </c>
      <c r="QO132" s="619" t="s">
        <v>93</v>
      </c>
      <c r="QP132" s="38" t="s">
        <v>93</v>
      </c>
      <c r="QQ132" s="672" t="e">
        <f t="shared" ref="QQ132" si="529">QQ131/QQ130*100</f>
        <v>#DIV/0!</v>
      </c>
      <c r="QR132" s="619" t="e">
        <f t="shared" ref="QR132:RF132" si="530">QR131/QR130*100</f>
        <v>#DIV/0!</v>
      </c>
      <c r="QS132" s="675" t="e">
        <f t="shared" si="530"/>
        <v>#VALUE!</v>
      </c>
      <c r="QT132" s="672" t="e">
        <f t="shared" si="530"/>
        <v>#VALUE!</v>
      </c>
      <c r="QU132" s="672" t="e">
        <f t="shared" si="530"/>
        <v>#REF!</v>
      </c>
      <c r="QV132" s="675" t="e">
        <f t="shared" si="530"/>
        <v>#VALUE!</v>
      </c>
      <c r="QW132" s="672" t="e">
        <f t="shared" si="530"/>
        <v>#VALUE!</v>
      </c>
      <c r="QX132" s="672" t="e">
        <f t="shared" si="530"/>
        <v>#VALUE!</v>
      </c>
      <c r="QY132" s="672" t="e">
        <f t="shared" si="530"/>
        <v>#VALUE!</v>
      </c>
      <c r="QZ132" s="672" t="e">
        <f t="shared" si="530"/>
        <v>#VALUE!</v>
      </c>
      <c r="RA132" s="676" t="e">
        <f t="shared" si="530"/>
        <v>#VALUE!</v>
      </c>
      <c r="RB132" s="688" t="e">
        <f t="shared" si="530"/>
        <v>#DIV/0!</v>
      </c>
      <c r="RC132" s="1538" t="e">
        <f t="shared" si="530"/>
        <v>#DIV/0!</v>
      </c>
      <c r="RD132" s="1539" t="e">
        <f t="shared" si="530"/>
        <v>#DIV/0!</v>
      </c>
      <c r="RE132" s="672" t="e">
        <f t="shared" si="530"/>
        <v>#DIV/0!</v>
      </c>
      <c r="RF132" s="619" t="e">
        <f t="shared" si="530"/>
        <v>#DIV/0!</v>
      </c>
      <c r="RG132" s="619" t="s">
        <v>93</v>
      </c>
      <c r="RH132" s="38" t="s">
        <v>93</v>
      </c>
      <c r="RI132" s="672" t="e">
        <f t="shared" ref="RI132" si="531">RI131/RI130*100</f>
        <v>#DIV/0!</v>
      </c>
      <c r="RJ132" s="619" t="e">
        <f t="shared" ref="RJ132:RX132" si="532">RJ131/RJ130*100</f>
        <v>#DIV/0!</v>
      </c>
      <c r="RK132" s="675" t="e">
        <f t="shared" si="532"/>
        <v>#VALUE!</v>
      </c>
      <c r="RL132" s="672" t="e">
        <f t="shared" si="532"/>
        <v>#VALUE!</v>
      </c>
      <c r="RM132" s="672" t="e">
        <f t="shared" si="532"/>
        <v>#REF!</v>
      </c>
      <c r="RN132" s="675" t="e">
        <f t="shared" si="532"/>
        <v>#VALUE!</v>
      </c>
      <c r="RO132" s="672" t="e">
        <f t="shared" si="532"/>
        <v>#VALUE!</v>
      </c>
      <c r="RP132" s="672" t="e">
        <f t="shared" si="532"/>
        <v>#VALUE!</v>
      </c>
      <c r="RQ132" s="672" t="e">
        <f t="shared" si="532"/>
        <v>#VALUE!</v>
      </c>
      <c r="RR132" s="672" t="e">
        <f t="shared" si="532"/>
        <v>#VALUE!</v>
      </c>
      <c r="RS132" s="676" t="e">
        <f t="shared" si="532"/>
        <v>#VALUE!</v>
      </c>
      <c r="RT132" s="688" t="e">
        <f t="shared" si="532"/>
        <v>#DIV/0!</v>
      </c>
      <c r="RU132" s="1538" t="e">
        <f t="shared" si="532"/>
        <v>#DIV/0!</v>
      </c>
      <c r="RV132" s="1539" t="e">
        <f t="shared" si="532"/>
        <v>#DIV/0!</v>
      </c>
      <c r="RW132" s="672" t="e">
        <f t="shared" si="532"/>
        <v>#DIV/0!</v>
      </c>
      <c r="RX132" s="619" t="e">
        <f t="shared" si="532"/>
        <v>#DIV/0!</v>
      </c>
      <c r="RY132" s="619" t="s">
        <v>93</v>
      </c>
      <c r="RZ132" s="38" t="s">
        <v>93</v>
      </c>
      <c r="SA132" s="672" t="e">
        <f t="shared" ref="SA132" si="533">SA131/SA130*100</f>
        <v>#DIV/0!</v>
      </c>
      <c r="SB132" s="619" t="e">
        <f t="shared" ref="SB132:SP132" si="534">SB131/SB130*100</f>
        <v>#DIV/0!</v>
      </c>
      <c r="SC132" s="675" t="e">
        <f t="shared" si="534"/>
        <v>#VALUE!</v>
      </c>
      <c r="SD132" s="672" t="e">
        <f t="shared" si="534"/>
        <v>#VALUE!</v>
      </c>
      <c r="SE132" s="672" t="e">
        <f t="shared" si="534"/>
        <v>#REF!</v>
      </c>
      <c r="SF132" s="675" t="e">
        <f t="shared" si="534"/>
        <v>#VALUE!</v>
      </c>
      <c r="SG132" s="672" t="e">
        <f t="shared" si="534"/>
        <v>#VALUE!</v>
      </c>
      <c r="SH132" s="672" t="e">
        <f t="shared" si="534"/>
        <v>#VALUE!</v>
      </c>
      <c r="SI132" s="672" t="e">
        <f t="shared" si="534"/>
        <v>#VALUE!</v>
      </c>
      <c r="SJ132" s="672" t="e">
        <f t="shared" si="534"/>
        <v>#VALUE!</v>
      </c>
      <c r="SK132" s="676" t="e">
        <f t="shared" si="534"/>
        <v>#VALUE!</v>
      </c>
      <c r="SL132" s="688">
        <f t="shared" si="534"/>
        <v>1.3166249131500263</v>
      </c>
      <c r="SM132" s="1538">
        <f t="shared" si="534"/>
        <v>1.6749572865166964</v>
      </c>
      <c r="SN132" s="1539">
        <f t="shared" si="534"/>
        <v>4.8792421797818321E-2</v>
      </c>
      <c r="SO132" s="672">
        <f t="shared" si="534"/>
        <v>-3.8123990673699661</v>
      </c>
      <c r="SP132" s="619">
        <f t="shared" si="534"/>
        <v>0</v>
      </c>
      <c r="SQ132" s="619" t="s">
        <v>93</v>
      </c>
      <c r="SR132" s="38" t="s">
        <v>93</v>
      </c>
      <c r="SS132" s="672">
        <f t="shared" ref="SS132" si="535">SS131/SS130*100</f>
        <v>-3.8123990673699661</v>
      </c>
      <c r="ST132" s="619">
        <f t="shared" ref="ST132:TH132" si="536">ST131/ST130*100</f>
        <v>0.14009931035502157</v>
      </c>
      <c r="SU132" s="675">
        <f t="shared" si="536"/>
        <v>-3.8859829093450067</v>
      </c>
      <c r="SV132" s="672">
        <f t="shared" si="536"/>
        <v>-3.9127084857445142</v>
      </c>
      <c r="SW132" s="672" t="e">
        <f t="shared" si="536"/>
        <v>#REF!</v>
      </c>
      <c r="SX132" s="675">
        <f t="shared" si="536"/>
        <v>3.912708485744508</v>
      </c>
      <c r="SY132" s="672">
        <f t="shared" si="536"/>
        <v>3.912708485744508</v>
      </c>
      <c r="SZ132" s="672">
        <f t="shared" si="536"/>
        <v>3.9127084857445054</v>
      </c>
      <c r="TA132" s="672">
        <f t="shared" si="536"/>
        <v>3.9127084857445031</v>
      </c>
      <c r="TB132" s="672">
        <f t="shared" si="536"/>
        <v>3.9127084857445031</v>
      </c>
      <c r="TC132" s="676">
        <f t="shared" si="536"/>
        <v>3.9127084857445102</v>
      </c>
      <c r="TD132" s="688">
        <f t="shared" si="536"/>
        <v>1.2807863271518003</v>
      </c>
      <c r="TE132" s="1538">
        <f t="shared" si="536"/>
        <v>2.787821854430717</v>
      </c>
      <c r="TF132" s="1539">
        <f t="shared" si="536"/>
        <v>5.3227040645081512E-2</v>
      </c>
      <c r="TG132" s="672">
        <f t="shared" si="536"/>
        <v>-0.21938333769052654</v>
      </c>
      <c r="TH132" s="619">
        <f t="shared" si="536"/>
        <v>0</v>
      </c>
      <c r="TI132" s="619" t="s">
        <v>93</v>
      </c>
      <c r="TJ132" s="38" t="s">
        <v>93</v>
      </c>
      <c r="TK132" s="672">
        <f t="shared" ref="TK132" si="537">TK131/TK130*100</f>
        <v>-0.21938333769053014</v>
      </c>
      <c r="TL132" s="619">
        <f t="shared" ref="TL132:TZ132" si="538">TL131/TL130*100</f>
        <v>0.14149414930951643</v>
      </c>
      <c r="TM132" s="675">
        <f t="shared" si="538"/>
        <v>-0.3560204557797898</v>
      </c>
      <c r="TN132" s="672">
        <f t="shared" si="538"/>
        <v>-0.35603520897077939</v>
      </c>
      <c r="TO132" s="672" t="e">
        <f t="shared" si="538"/>
        <v>#REF!</v>
      </c>
      <c r="TP132" s="675">
        <f t="shared" si="538"/>
        <v>0.35603520897078078</v>
      </c>
      <c r="TQ132" s="672">
        <f t="shared" si="538"/>
        <v>0.35603520897078028</v>
      </c>
      <c r="TR132" s="672">
        <f t="shared" si="538"/>
        <v>0.35603520897077928</v>
      </c>
      <c r="TS132" s="672">
        <f t="shared" si="538"/>
        <v>0.35603520897077984</v>
      </c>
      <c r="TT132" s="672">
        <f t="shared" si="538"/>
        <v>0.35603520897077984</v>
      </c>
      <c r="TU132" s="676">
        <f t="shared" si="538"/>
        <v>0.35603520897078084</v>
      </c>
      <c r="TV132" s="688" t="e">
        <f t="shared" si="538"/>
        <v>#DIV/0!</v>
      </c>
      <c r="TW132" s="1538" t="e">
        <f t="shared" si="538"/>
        <v>#DIV/0!</v>
      </c>
      <c r="TX132" s="1539" t="e">
        <f t="shared" si="538"/>
        <v>#DIV/0!</v>
      </c>
      <c r="TY132" s="672" t="e">
        <f t="shared" si="538"/>
        <v>#DIV/0!</v>
      </c>
      <c r="TZ132" s="619" t="e">
        <f t="shared" si="538"/>
        <v>#DIV/0!</v>
      </c>
      <c r="UA132" s="619" t="s">
        <v>93</v>
      </c>
      <c r="UB132" s="38" t="s">
        <v>93</v>
      </c>
      <c r="UC132" s="672" t="e">
        <f t="shared" ref="UC132" si="539">UC131/UC130*100</f>
        <v>#DIV/0!</v>
      </c>
      <c r="UD132" s="619" t="e">
        <f t="shared" ref="UD132:UR132" si="540">UD131/UD130*100</f>
        <v>#DIV/0!</v>
      </c>
      <c r="UE132" s="675" t="e">
        <f t="shared" si="540"/>
        <v>#VALUE!</v>
      </c>
      <c r="UF132" s="672" t="e">
        <f t="shared" si="540"/>
        <v>#VALUE!</v>
      </c>
      <c r="UG132" s="672" t="e">
        <f t="shared" si="540"/>
        <v>#REF!</v>
      </c>
      <c r="UH132" s="675" t="e">
        <f t="shared" si="540"/>
        <v>#VALUE!</v>
      </c>
      <c r="UI132" s="672" t="e">
        <f t="shared" si="540"/>
        <v>#VALUE!</v>
      </c>
      <c r="UJ132" s="672" t="e">
        <f t="shared" si="540"/>
        <v>#VALUE!</v>
      </c>
      <c r="UK132" s="672" t="e">
        <f t="shared" si="540"/>
        <v>#VALUE!</v>
      </c>
      <c r="UL132" s="672" t="e">
        <f t="shared" si="540"/>
        <v>#VALUE!</v>
      </c>
      <c r="UM132" s="676" t="e">
        <f t="shared" si="540"/>
        <v>#VALUE!</v>
      </c>
      <c r="UN132" s="688">
        <f t="shared" si="540"/>
        <v>1.2807863271518001</v>
      </c>
      <c r="UO132" s="1538">
        <f t="shared" si="540"/>
        <v>1.6381450384613843</v>
      </c>
      <c r="UP132" s="1539">
        <f t="shared" si="540"/>
        <v>4.8792421797818321E-2</v>
      </c>
      <c r="UQ132" s="672">
        <f t="shared" si="540"/>
        <v>-1.376085569957364</v>
      </c>
      <c r="UR132" s="619">
        <f t="shared" si="540"/>
        <v>0</v>
      </c>
      <c r="US132" s="619" t="s">
        <v>93</v>
      </c>
      <c r="UT132" s="38" t="s">
        <v>93</v>
      </c>
      <c r="UU132" s="672">
        <f t="shared" ref="UU132" si="541">UU131/UU130*100</f>
        <v>-1.376085569957364</v>
      </c>
      <c r="UV132" s="619">
        <f t="shared" ref="UV132:VE132" si="542">UV131/UV130*100</f>
        <v>0.13709566150582289</v>
      </c>
      <c r="UW132" s="675">
        <f t="shared" si="542"/>
        <v>-1.2737700523598374</v>
      </c>
      <c r="UX132" s="672">
        <f t="shared" si="542"/>
        <v>-1.2741816479129626</v>
      </c>
      <c r="UY132" s="672" t="e">
        <f t="shared" si="542"/>
        <v>#REF!</v>
      </c>
      <c r="UZ132" s="675">
        <f t="shared" si="542"/>
        <v>1.2741816479129637</v>
      </c>
      <c r="VA132" s="672">
        <f t="shared" si="542"/>
        <v>1.274181647912962</v>
      </c>
      <c r="VB132" s="672">
        <f t="shared" si="542"/>
        <v>1.2741816479129628</v>
      </c>
      <c r="VC132" s="672">
        <f t="shared" si="542"/>
        <v>1.2741816479129644</v>
      </c>
      <c r="VD132" s="672">
        <f t="shared" si="542"/>
        <v>1.2741816479129644</v>
      </c>
      <c r="VE132" s="676">
        <f t="shared" si="542"/>
        <v>1.2741816479129597</v>
      </c>
    </row>
    <row r="133" spans="1:577" ht="15.75" thickBot="1" x14ac:dyDescent="0.3">
      <c r="A133" s="1541" t="s">
        <v>1059</v>
      </c>
      <c r="B133" s="699"/>
      <c r="C133" s="700"/>
      <c r="D133" s="700"/>
      <c r="E133" s="604"/>
      <c r="F133" s="700"/>
      <c r="G133" s="700"/>
      <c r="H133" s="700"/>
      <c r="I133" s="604"/>
      <c r="J133" s="700"/>
      <c r="K133" s="698"/>
      <c r="L133" s="604"/>
      <c r="M133" s="604"/>
      <c r="N133" s="697"/>
      <c r="O133" s="604"/>
      <c r="P133" s="19"/>
      <c r="Q133" s="19"/>
      <c r="R133" s="604"/>
      <c r="S133" s="607"/>
      <c r="T133" s="1535"/>
      <c r="U133" s="1535"/>
      <c r="V133" s="1536"/>
      <c r="W133" s="604"/>
      <c r="X133" s="700"/>
      <c r="Y133" s="700"/>
      <c r="Z133" s="700"/>
      <c r="AA133" s="604"/>
      <c r="AB133" s="700"/>
      <c r="AC133" s="698"/>
      <c r="AD133" s="604"/>
      <c r="AE133" s="604"/>
      <c r="AF133" s="697"/>
      <c r="AG133" s="604"/>
      <c r="AH133" s="604"/>
      <c r="AI133" s="604"/>
      <c r="AJ133" s="604"/>
      <c r="AK133" s="607"/>
      <c r="AL133" s="1535"/>
      <c r="AM133" s="1535"/>
      <c r="AN133" s="1536"/>
      <c r="AO133" s="604"/>
      <c r="AP133" s="700"/>
      <c r="AQ133" s="700"/>
      <c r="AR133" s="700"/>
      <c r="AS133" s="604"/>
      <c r="AT133" s="700"/>
      <c r="AU133" s="698"/>
      <c r="AV133" s="604"/>
      <c r="AW133" s="604"/>
      <c r="AX133" s="697"/>
      <c r="AY133" s="604"/>
      <c r="AZ133" s="604"/>
      <c r="BA133" s="604"/>
      <c r="BB133" s="604"/>
      <c r="BC133" s="607"/>
      <c r="BD133" s="699"/>
      <c r="BE133" s="1535"/>
      <c r="BF133" s="1536"/>
      <c r="BG133" s="604"/>
      <c r="BH133" s="700"/>
      <c r="BI133" s="700"/>
      <c r="BJ133" s="700"/>
      <c r="BK133" s="604"/>
      <c r="BL133" s="700"/>
      <c r="BM133" s="698"/>
      <c r="BN133" s="604"/>
      <c r="BO133" s="604"/>
      <c r="BP133" s="697"/>
      <c r="BQ133" s="604"/>
      <c r="BR133" s="19"/>
      <c r="BS133" s="604"/>
      <c r="BT133" s="604"/>
      <c r="BU133" s="607"/>
      <c r="BV133" s="699"/>
      <c r="BW133" s="1535"/>
      <c r="BX133" s="1536"/>
      <c r="BY133" s="604"/>
      <c r="BZ133" s="700"/>
      <c r="CA133" s="700"/>
      <c r="CB133" s="700"/>
      <c r="CC133" s="604"/>
      <c r="CD133" s="700"/>
      <c r="CE133" s="698"/>
      <c r="CF133" s="604"/>
      <c r="CG133" s="604"/>
      <c r="CH133" s="697"/>
      <c r="CI133" s="604"/>
      <c r="CJ133" s="19"/>
      <c r="CK133" s="604"/>
      <c r="CL133" s="604"/>
      <c r="CM133" s="607"/>
      <c r="CN133" s="699"/>
      <c r="CO133" s="1535"/>
      <c r="CP133" s="1536"/>
      <c r="CQ133" s="604"/>
      <c r="CR133" s="700"/>
      <c r="CS133" s="700"/>
      <c r="CT133" s="700"/>
      <c r="CU133" s="604"/>
      <c r="CV133" s="700"/>
      <c r="CW133" s="698"/>
      <c r="CX133" s="604"/>
      <c r="CY133" s="604"/>
      <c r="CZ133" s="697"/>
      <c r="DA133" s="604"/>
      <c r="DB133" s="19"/>
      <c r="DC133" s="604"/>
      <c r="DD133" s="604"/>
      <c r="DE133" s="607"/>
      <c r="DF133" s="699"/>
      <c r="DG133" s="1535"/>
      <c r="DH133" s="1536"/>
      <c r="DI133" s="604"/>
      <c r="DJ133" s="700"/>
      <c r="DK133" s="700"/>
      <c r="DL133" s="700"/>
      <c r="DM133" s="604"/>
      <c r="DN133" s="700"/>
      <c r="DO133" s="698"/>
      <c r="DP133" s="604"/>
      <c r="DQ133" s="604"/>
      <c r="DR133" s="697"/>
      <c r="DS133" s="604"/>
      <c r="DT133" s="604"/>
      <c r="DU133" s="604"/>
      <c r="DV133" s="604"/>
      <c r="DW133" s="607"/>
      <c r="DX133" s="699"/>
      <c r="DY133" s="1535"/>
      <c r="DZ133" s="1536"/>
      <c r="EA133" s="698"/>
      <c r="EB133" s="700"/>
      <c r="EC133" s="700"/>
      <c r="ED133" s="700"/>
      <c r="EE133" s="604"/>
      <c r="EF133" s="700"/>
      <c r="EG133" s="698"/>
      <c r="EH133" s="604"/>
      <c r="EI133" s="604"/>
      <c r="EJ133" s="697"/>
      <c r="EK133" s="604"/>
      <c r="EL133" s="604"/>
      <c r="EM133" s="604"/>
      <c r="EN133" s="604"/>
      <c r="EO133" s="607"/>
      <c r="EP133" s="699"/>
      <c r="EQ133" s="1535"/>
      <c r="ER133" s="1536"/>
      <c r="ES133" s="604"/>
      <c r="ET133" s="700"/>
      <c r="EU133" s="700"/>
      <c r="EV133" s="700"/>
      <c r="EW133" s="604"/>
      <c r="EX133" s="700"/>
      <c r="EY133" s="698"/>
      <c r="EZ133" s="604"/>
      <c r="FA133" s="604"/>
      <c r="FB133" s="697"/>
      <c r="FC133" s="604"/>
      <c r="FD133" s="19"/>
      <c r="FE133" s="604"/>
      <c r="FF133" s="604"/>
      <c r="FG133" s="607"/>
      <c r="FH133" s="699"/>
      <c r="FI133" s="1535"/>
      <c r="FJ133" s="1536"/>
      <c r="FK133" s="604"/>
      <c r="FL133" s="700"/>
      <c r="FM133" s="700"/>
      <c r="FN133" s="700"/>
      <c r="FO133" s="604"/>
      <c r="FP133" s="700"/>
      <c r="FQ133" s="698"/>
      <c r="FR133" s="604"/>
      <c r="FS133" s="604"/>
      <c r="FT133" s="697"/>
      <c r="FU133" s="604"/>
      <c r="FV133" s="604"/>
      <c r="FW133" s="604"/>
      <c r="FX133" s="604"/>
      <c r="FY133" s="607"/>
      <c r="FZ133" s="699"/>
      <c r="GA133" s="1535"/>
      <c r="GB133" s="1536"/>
      <c r="GC133" s="604"/>
      <c r="GD133" s="700"/>
      <c r="GE133" s="700"/>
      <c r="GF133" s="700"/>
      <c r="GG133" s="604"/>
      <c r="GH133" s="700"/>
      <c r="GI133" s="698"/>
      <c r="GJ133" s="604"/>
      <c r="GK133" s="604"/>
      <c r="GL133" s="697"/>
      <c r="GM133" s="604"/>
      <c r="GN133" s="604"/>
      <c r="GO133" s="604"/>
      <c r="GP133" s="604"/>
      <c r="GQ133" s="607"/>
      <c r="GR133" s="699"/>
      <c r="GS133" s="1535"/>
      <c r="GT133" s="1536"/>
      <c r="GU133" s="698"/>
      <c r="GV133" s="700"/>
      <c r="GW133" s="700"/>
      <c r="GX133" s="700"/>
      <c r="GY133" s="604"/>
      <c r="GZ133" s="700"/>
      <c r="HA133" s="698"/>
      <c r="HB133" s="604"/>
      <c r="HC133" s="604"/>
      <c r="HD133" s="697"/>
      <c r="HE133" s="604"/>
      <c r="HF133" s="604"/>
      <c r="HG133" s="604"/>
      <c r="HH133" s="604"/>
      <c r="HI133" s="607"/>
      <c r="HJ133" s="699"/>
      <c r="HK133" s="1535"/>
      <c r="HL133" s="1536"/>
      <c r="HM133" s="604"/>
      <c r="HN133" s="700"/>
      <c r="HO133" s="700"/>
      <c r="HP133" s="700"/>
      <c r="HQ133" s="604"/>
      <c r="HR133" s="700"/>
      <c r="HS133" s="698"/>
      <c r="HT133" s="604"/>
      <c r="HU133" s="604"/>
      <c r="HV133" s="697"/>
      <c r="HW133" s="604"/>
      <c r="HX133" s="604"/>
      <c r="HY133" s="604"/>
      <c r="HZ133" s="604"/>
      <c r="IA133" s="607"/>
      <c r="IB133" s="699"/>
      <c r="IC133" s="1535"/>
      <c r="ID133" s="1536"/>
      <c r="IE133" s="604"/>
      <c r="IF133" s="700"/>
      <c r="IG133" s="700"/>
      <c r="IH133" s="700"/>
      <c r="II133" s="604"/>
      <c r="IJ133" s="700"/>
      <c r="IK133" s="698"/>
      <c r="IL133" s="604"/>
      <c r="IM133" s="604"/>
      <c r="IN133" s="697"/>
      <c r="IO133" s="604"/>
      <c r="IP133" s="604"/>
      <c r="IQ133" s="604"/>
      <c r="IR133" s="604"/>
      <c r="IS133" s="607"/>
      <c r="IT133" s="699"/>
      <c r="IU133" s="1535"/>
      <c r="IV133" s="1536"/>
      <c r="IW133" s="604"/>
      <c r="IX133" s="700"/>
      <c r="IY133" s="700"/>
      <c r="IZ133" s="700"/>
      <c r="JA133" s="604"/>
      <c r="JB133" s="700"/>
      <c r="JC133" s="698"/>
      <c r="JD133" s="604"/>
      <c r="JE133" s="604"/>
      <c r="JF133" s="697"/>
      <c r="JG133" s="604"/>
      <c r="JH133" s="604"/>
      <c r="JI133" s="604"/>
      <c r="JJ133" s="604"/>
      <c r="JK133" s="607"/>
      <c r="JL133" s="699"/>
      <c r="JM133" s="1535"/>
      <c r="JN133" s="1536"/>
      <c r="JO133" s="604"/>
      <c r="JP133" s="700"/>
      <c r="JQ133" s="700"/>
      <c r="JR133" s="700"/>
      <c r="JS133" s="604"/>
      <c r="JT133" s="700"/>
      <c r="JU133" s="698"/>
      <c r="JV133" s="604"/>
      <c r="JW133" s="604"/>
      <c r="JX133" s="697"/>
      <c r="JY133" s="604"/>
      <c r="JZ133" s="604"/>
      <c r="KA133" s="604"/>
      <c r="KB133" s="604"/>
      <c r="KC133" s="607"/>
      <c r="KD133" s="699"/>
      <c r="KE133" s="1535"/>
      <c r="KF133" s="1536"/>
      <c r="KG133" s="604"/>
      <c r="KH133" s="700"/>
      <c r="KI133" s="700"/>
      <c r="KJ133" s="700"/>
      <c r="KK133" s="604"/>
      <c r="KL133" s="700"/>
      <c r="KM133" s="698"/>
      <c r="KN133" s="604"/>
      <c r="KO133" s="604"/>
      <c r="KP133" s="697"/>
      <c r="KQ133" s="604"/>
      <c r="KR133" s="604"/>
      <c r="KS133" s="604"/>
      <c r="KT133" s="604"/>
      <c r="KU133" s="607"/>
      <c r="KV133" s="699"/>
      <c r="KW133" s="1535"/>
      <c r="KX133" s="1536"/>
      <c r="KY133" s="604"/>
      <c r="KZ133" s="700"/>
      <c r="LA133" s="700"/>
      <c r="LB133" s="700"/>
      <c r="LC133" s="604"/>
      <c r="LD133" s="700"/>
      <c r="LE133" s="698"/>
      <c r="LF133" s="604"/>
      <c r="LG133" s="604"/>
      <c r="LH133" s="697"/>
      <c r="LI133" s="604"/>
      <c r="LJ133" s="604"/>
      <c r="LK133" s="604"/>
      <c r="LL133" s="604"/>
      <c r="LM133" s="607"/>
      <c r="LN133" s="699"/>
      <c r="LO133" s="1535"/>
      <c r="LP133" s="1536"/>
      <c r="LQ133" s="604"/>
      <c r="LR133" s="700"/>
      <c r="LS133" s="700"/>
      <c r="LT133" s="700"/>
      <c r="LU133" s="604"/>
      <c r="LV133" s="700"/>
      <c r="LW133" s="698"/>
      <c r="LX133" s="604"/>
      <c r="LY133" s="604"/>
      <c r="LZ133" s="697"/>
      <c r="MA133" s="604"/>
      <c r="MB133" s="604"/>
      <c r="MC133" s="604"/>
      <c r="MD133" s="604"/>
      <c r="ME133" s="607"/>
      <c r="MF133" s="699"/>
      <c r="MG133" s="1535"/>
      <c r="MH133" s="1536"/>
      <c r="MI133" s="604"/>
      <c r="MJ133" s="700"/>
      <c r="MK133" s="700"/>
      <c r="ML133" s="700"/>
      <c r="MM133" s="604"/>
      <c r="MN133" s="700"/>
      <c r="MO133" s="698"/>
      <c r="MP133" s="604"/>
      <c r="MQ133" s="604"/>
      <c r="MR133" s="697"/>
      <c r="MS133" s="604"/>
      <c r="MT133" s="604"/>
      <c r="MU133" s="604"/>
      <c r="MV133" s="604"/>
      <c r="MW133" s="607"/>
      <c r="MX133" s="699"/>
      <c r="MY133" s="1535"/>
      <c r="MZ133" s="1536"/>
      <c r="NA133" s="604"/>
      <c r="NB133" s="700"/>
      <c r="NC133" s="700"/>
      <c r="ND133" s="700"/>
      <c r="NE133" s="604"/>
      <c r="NF133" s="700"/>
      <c r="NG133" s="698"/>
      <c r="NH133" s="604"/>
      <c r="NI133" s="604"/>
      <c r="NJ133" s="697"/>
      <c r="NK133" s="604"/>
      <c r="NL133" s="604"/>
      <c r="NM133" s="604"/>
      <c r="NN133" s="604"/>
      <c r="NO133" s="607"/>
      <c r="NP133" s="699"/>
      <c r="NQ133" s="1535"/>
      <c r="NR133" s="1536"/>
      <c r="NS133" s="604"/>
      <c r="NT133" s="700"/>
      <c r="NU133" s="700"/>
      <c r="NV133" s="700"/>
      <c r="NW133" s="604"/>
      <c r="NX133" s="700"/>
      <c r="NY133" s="698"/>
      <c r="NZ133" s="604"/>
      <c r="OA133" s="604"/>
      <c r="OB133" s="697"/>
      <c r="OC133" s="604"/>
      <c r="OD133" s="19"/>
      <c r="OE133" s="604"/>
      <c r="OF133" s="604"/>
      <c r="OG133" s="607"/>
      <c r="OH133" s="699"/>
      <c r="OI133" s="1535"/>
      <c r="OJ133" s="1536"/>
      <c r="OK133" s="604"/>
      <c r="OL133" s="700"/>
      <c r="OM133" s="700"/>
      <c r="ON133" s="700"/>
      <c r="OO133" s="604"/>
      <c r="OP133" s="700"/>
      <c r="OQ133" s="698"/>
      <c r="OR133" s="604"/>
      <c r="OS133" s="604"/>
      <c r="OT133" s="697"/>
      <c r="OU133" s="604"/>
      <c r="OV133" s="604"/>
      <c r="OW133" s="604"/>
      <c r="OX133" s="604"/>
      <c r="OY133" s="607"/>
      <c r="OZ133" s="699"/>
      <c r="PA133" s="1535"/>
      <c r="PB133" s="1536"/>
      <c r="PC133" s="604"/>
      <c r="PD133" s="700"/>
      <c r="PE133" s="700"/>
      <c r="PF133" s="700"/>
      <c r="PG133" s="604"/>
      <c r="PH133" s="700"/>
      <c r="PI133" s="698"/>
      <c r="PJ133" s="604"/>
      <c r="PK133" s="604"/>
      <c r="PL133" s="697"/>
      <c r="PM133" s="604"/>
      <c r="PN133" s="19"/>
      <c r="PO133" s="604"/>
      <c r="PP133" s="604"/>
      <c r="PQ133" s="607"/>
      <c r="PR133" s="699"/>
      <c r="PS133" s="1535"/>
      <c r="PT133" s="1536"/>
      <c r="PU133" s="604"/>
      <c r="PV133" s="700"/>
      <c r="PW133" s="700"/>
      <c r="PX133" s="700"/>
      <c r="PY133" s="604"/>
      <c r="PZ133" s="700"/>
      <c r="QA133" s="698"/>
      <c r="QB133" s="604"/>
      <c r="QC133" s="604"/>
      <c r="QD133" s="697"/>
      <c r="QE133" s="604"/>
      <c r="QF133" s="604"/>
      <c r="QG133" s="604"/>
      <c r="QH133" s="604"/>
      <c r="QI133" s="607"/>
      <c r="QJ133" s="699"/>
      <c r="QK133" s="1535"/>
      <c r="QL133" s="1536"/>
      <c r="QM133" s="604"/>
      <c r="QN133" s="700"/>
      <c r="QO133" s="700"/>
      <c r="QP133" s="700"/>
      <c r="QQ133" s="604"/>
      <c r="QR133" s="700"/>
      <c r="QS133" s="698"/>
      <c r="QT133" s="604"/>
      <c r="QU133" s="604"/>
      <c r="QV133" s="697"/>
      <c r="QW133" s="604"/>
      <c r="QX133" s="604"/>
      <c r="QY133" s="604"/>
      <c r="QZ133" s="604"/>
      <c r="RA133" s="607"/>
      <c r="RB133" s="699"/>
      <c r="RC133" s="1535"/>
      <c r="RD133" s="1536"/>
      <c r="RE133" s="604"/>
      <c r="RF133" s="700"/>
      <c r="RG133" s="700"/>
      <c r="RH133" s="700"/>
      <c r="RI133" s="604"/>
      <c r="RJ133" s="700"/>
      <c r="RK133" s="698"/>
      <c r="RL133" s="604"/>
      <c r="RM133" s="604"/>
      <c r="RN133" s="697"/>
      <c r="RO133" s="604"/>
      <c r="RP133" s="604"/>
      <c r="RQ133" s="604"/>
      <c r="RR133" s="604"/>
      <c r="RS133" s="607"/>
      <c r="RT133" s="699"/>
      <c r="RU133" s="1535"/>
      <c r="RV133" s="1536"/>
      <c r="RW133" s="698"/>
      <c r="RX133" s="700"/>
      <c r="RY133" s="700"/>
      <c r="RZ133" s="700"/>
      <c r="SA133" s="604"/>
      <c r="SB133" s="700"/>
      <c r="SC133" s="698"/>
      <c r="SD133" s="604"/>
      <c r="SE133" s="604"/>
      <c r="SF133" s="697"/>
      <c r="SG133" s="604"/>
      <c r="SH133" s="604"/>
      <c r="SI133" s="604"/>
      <c r="SJ133" s="604"/>
      <c r="SK133" s="607"/>
      <c r="SL133" s="699"/>
      <c r="SM133" s="1535"/>
      <c r="SN133" s="1536"/>
      <c r="SO133" s="604"/>
      <c r="SP133" s="700"/>
      <c r="SQ133" s="700"/>
      <c r="SR133" s="700"/>
      <c r="SS133" s="604"/>
      <c r="ST133" s="700"/>
      <c r="SU133" s="698"/>
      <c r="SV133" s="604"/>
      <c r="SW133" s="604"/>
      <c r="SX133" s="697"/>
      <c r="SY133" s="604"/>
      <c r="SZ133" s="19"/>
      <c r="TA133" s="604"/>
      <c r="TB133" s="604"/>
      <c r="TC133" s="607"/>
      <c r="TD133" s="699"/>
      <c r="TE133" s="1535"/>
      <c r="TF133" s="1536"/>
      <c r="TG133" s="604"/>
      <c r="TH133" s="700"/>
      <c r="TI133" s="700"/>
      <c r="TJ133" s="700"/>
      <c r="TK133" s="604"/>
      <c r="TL133" s="700"/>
      <c r="TM133" s="698"/>
      <c r="TN133" s="604"/>
      <c r="TO133" s="604"/>
      <c r="TP133" s="697"/>
      <c r="TQ133" s="604"/>
      <c r="TR133" s="19"/>
      <c r="TS133" s="604"/>
      <c r="TT133" s="604"/>
      <c r="TU133" s="607"/>
      <c r="TV133" s="699"/>
      <c r="TW133" s="1535"/>
      <c r="TX133" s="1536"/>
      <c r="TY133" s="604"/>
      <c r="TZ133" s="700"/>
      <c r="UA133" s="700"/>
      <c r="UB133" s="700"/>
      <c r="UC133" s="604"/>
      <c r="UD133" s="700"/>
      <c r="UE133" s="698"/>
      <c r="UF133" s="604"/>
      <c r="UG133" s="604"/>
      <c r="UH133" s="697"/>
      <c r="UI133" s="604"/>
      <c r="UJ133" s="604"/>
      <c r="UK133" s="604"/>
      <c r="UL133" s="604"/>
      <c r="UM133" s="607"/>
      <c r="UN133" s="699"/>
      <c r="UO133" s="1535"/>
      <c r="UP133" s="1536"/>
      <c r="UQ133" s="604"/>
      <c r="UR133" s="700"/>
      <c r="US133" s="700"/>
      <c r="UT133" s="700"/>
      <c r="UU133" s="604"/>
      <c r="UV133" s="700"/>
      <c r="UW133" s="698"/>
      <c r="UX133" s="604"/>
      <c r="UY133" s="604"/>
      <c r="UZ133" s="697"/>
      <c r="VA133" s="604"/>
      <c r="VB133" s="19"/>
      <c r="VC133" s="604"/>
      <c r="VD133" s="604"/>
      <c r="VE133" s="607"/>
    </row>
    <row r="134" spans="1:577" x14ac:dyDescent="0.25">
      <c r="A134" s="2218">
        <v>200</v>
      </c>
      <c r="B134" s="2008">
        <v>20.2</v>
      </c>
      <c r="C134" s="2009">
        <v>52</v>
      </c>
      <c r="D134" s="2012">
        <v>1010</v>
      </c>
      <c r="E134" s="2010">
        <v>-4.7349999999999999E-9</v>
      </c>
      <c r="F134" s="667">
        <v>60</v>
      </c>
      <c r="G134" s="663">
        <v>44334</v>
      </c>
      <c r="H134" s="656" t="s">
        <v>1042</v>
      </c>
      <c r="I134" s="649">
        <f t="shared" ref="I134:I143" si="543">IF(H134="Low",E134*$D$42,IF(H134="Med",E134*$D$43,IF(H134="High",E134*$D$44,"rango cal. out")))</f>
        <v>-4.7397349999999997E-9</v>
      </c>
      <c r="J134" s="652">
        <f t="shared" ref="J134:J143" si="544">((273.2+B134)*$F$33/((273.2+$F$32)*D134))</f>
        <v>0.9971006399420429</v>
      </c>
      <c r="K134" s="653">
        <f t="shared" ref="K134:K143" si="545">I134/F134*J134*EXP(-LN(2)/10990*($F$96-G134))</f>
        <v>-7.8005199284261301E-11</v>
      </c>
      <c r="L134" s="599">
        <f>K134-AVERAGE(S102:S103)</f>
        <v>-7.7981387316889808E-11</v>
      </c>
      <c r="M134" s="599" t="e">
        <f>ABS(#REF!*L134*3600)</f>
        <v>#REF!</v>
      </c>
      <c r="N134" s="657">
        <f t="shared" ref="N134:N143" si="546">ABS($B$34*L134*3600)</f>
        <v>7.0744714573882442E-3</v>
      </c>
      <c r="O134" s="600">
        <f t="shared" ref="O134:O143" si="547">N134*$C$87</f>
        <v>0.70744714573882439</v>
      </c>
      <c r="P134" s="599">
        <f t="shared" ref="P134:P143" si="548">N134*$F$78</f>
        <v>8.4893657488658934E-3</v>
      </c>
      <c r="Q134" s="600">
        <f t="shared" ref="Q134:Q143" si="549">N134*$F$83</f>
        <v>8.5601104634397754E-3</v>
      </c>
      <c r="R134" s="599">
        <f t="shared" ref="R134:R143" si="550">N134*$F$80</f>
        <v>8.5601104634397754E-3</v>
      </c>
      <c r="S134" s="658">
        <f t="shared" ref="S134:S143" si="551">N134*$F$79</f>
        <v>8.8430893217353052E-3</v>
      </c>
      <c r="T134" s="659"/>
      <c r="U134" s="660"/>
      <c r="V134" s="661"/>
      <c r="W134" s="651"/>
      <c r="X134" s="662"/>
      <c r="Y134" s="663"/>
      <c r="Z134" s="656"/>
      <c r="AA134" s="649" t="str">
        <f t="shared" ref="AA134:AA143" si="552">IF(Z134="Low",W134*$D$42,IF(Z134="Med",W134*$D$43,IF(Z134="High",W134*$D$44,"rango cal. out")))</f>
        <v>rango cal. out</v>
      </c>
      <c r="AB134" s="652" t="e">
        <f t="shared" ref="AB134:AB143" si="553">((273.2+T134)*$F$33/((273.2+$F$32)*V134))</f>
        <v>#DIV/0!</v>
      </c>
      <c r="AC134" s="653" t="e">
        <f t="shared" ref="AC134:AC143" si="554">AA134/X134*AB134*EXP(-LN(2)/10990*($F$96-Y134))</f>
        <v>#VALUE!</v>
      </c>
      <c r="AD134" s="599" t="e">
        <f>AC134-AVERAGE(#REF!)</f>
        <v>#VALUE!</v>
      </c>
      <c r="AE134" s="599" t="e">
        <f>ABS(#REF!*AD134*3600)</f>
        <v>#REF!</v>
      </c>
      <c r="AF134" s="657" t="e">
        <f t="shared" ref="AF134:AF143" si="555">ABS($B$34*AD134*3600)</f>
        <v>#VALUE!</v>
      </c>
      <c r="AG134" s="600" t="e">
        <f t="shared" ref="AG134:AG143" si="556">AF134*$C$87</f>
        <v>#VALUE!</v>
      </c>
      <c r="AH134" s="599" t="e">
        <f t="shared" ref="AH134:AH143" si="557">AF134*$F$78</f>
        <v>#VALUE!</v>
      </c>
      <c r="AI134" s="600" t="e">
        <f t="shared" ref="AI134:AI143" si="558">AF134*$F$83</f>
        <v>#VALUE!</v>
      </c>
      <c r="AJ134" s="599" t="e">
        <f t="shared" ref="AJ134:AJ143" si="559">AF134*$F$80</f>
        <v>#VALUE!</v>
      </c>
      <c r="AK134" s="658" t="e">
        <f t="shared" ref="AK134:AK143" si="560">AF134*$F$79</f>
        <v>#VALUE!</v>
      </c>
      <c r="AL134" s="659"/>
      <c r="AM134" s="660"/>
      <c r="AN134" s="661"/>
      <c r="AO134" s="651"/>
      <c r="AP134" s="662"/>
      <c r="AQ134" s="663"/>
      <c r="AR134" s="656"/>
      <c r="AS134" s="649" t="str">
        <f t="shared" ref="AS134:AS143" si="561">IF(AR134="Low",AO134*$D$42,IF(AR134="Med",AO134*$D$43,IF(AR134="High",AO134*$D$44,"rango cal. out")))</f>
        <v>rango cal. out</v>
      </c>
      <c r="AT134" s="652" t="e">
        <f t="shared" ref="AT134:AT143" si="562">((273.2+AL134)*$F$33/((273.2+$F$32)*AN134))</f>
        <v>#DIV/0!</v>
      </c>
      <c r="AU134" s="653" t="e">
        <f t="shared" ref="AU134:AU143" si="563">AS134/AP134*AT134*EXP(-LN(2)/10990*($F$96-AQ134))</f>
        <v>#VALUE!</v>
      </c>
      <c r="AV134" s="599" t="e">
        <f>AU134-AVERAGE(BC102:BC103)</f>
        <v>#VALUE!</v>
      </c>
      <c r="AW134" s="599" t="e">
        <f>ABS(#REF!*AV134*3600)</f>
        <v>#REF!</v>
      </c>
      <c r="AX134" s="657" t="e">
        <f t="shared" ref="AX134:AX143" si="564">ABS($B$34*AV134*3600)</f>
        <v>#VALUE!</v>
      </c>
      <c r="AY134" s="600" t="e">
        <f t="shared" ref="AY134:AY143" si="565">AX134*$C$87</f>
        <v>#VALUE!</v>
      </c>
      <c r="AZ134" s="599" t="e">
        <f t="shared" ref="AZ134:AZ143" si="566">AX134*$F$78</f>
        <v>#VALUE!</v>
      </c>
      <c r="BA134" s="600" t="e">
        <f t="shared" ref="BA134:BA143" si="567">AX134*$F$83</f>
        <v>#VALUE!</v>
      </c>
      <c r="BB134" s="599" t="e">
        <f t="shared" ref="BB134:BB143" si="568">AX134*$F$80</f>
        <v>#VALUE!</v>
      </c>
      <c r="BC134" s="658" t="e">
        <f t="shared" ref="BC134:BC143" si="569">AX134*$F$79</f>
        <v>#VALUE!</v>
      </c>
      <c r="BD134" s="2008">
        <v>20.2</v>
      </c>
      <c r="BE134" s="2016">
        <v>53</v>
      </c>
      <c r="BF134" s="2017">
        <v>1013.2</v>
      </c>
      <c r="BG134" s="2010">
        <v>-7.7500000000000001E-10</v>
      </c>
      <c r="BH134" s="667">
        <v>60</v>
      </c>
      <c r="BI134" s="663">
        <v>44334</v>
      </c>
      <c r="BJ134" s="656" t="s">
        <v>268</v>
      </c>
      <c r="BK134" s="649">
        <f t="shared" ref="BK134:BK143" si="570">IF(BJ134="Low",BG134*$D$42,IF(BJ134="Med",BG134*$D$43,IF(BJ134="High",BG134*$D$44,"rango cal. out")))</f>
        <v>-7.773249999999999E-10</v>
      </c>
      <c r="BL134" s="652">
        <f t="shared" ref="BL134:BL143" si="571">((273.2+BD134)*$F$33/((273.2+$F$32)*BF134))</f>
        <v>0.99395148671680156</v>
      </c>
      <c r="BM134" s="653">
        <f t="shared" ref="BM134:BM143" si="572">BK134/BH134*BL134*EXP(-LN(2)/10990*($F$96-BI134))</f>
        <v>-1.2752587676688973E-11</v>
      </c>
      <c r="BN134" s="599">
        <f>BM134-AVERAGE(BU102:BU103)</f>
        <v>-1.2751242492580577E-11</v>
      </c>
      <c r="BO134" s="599" t="e">
        <f>ABS(#REF!*BN134*3600)</f>
        <v>#REF!</v>
      </c>
      <c r="BP134" s="657">
        <f t="shared" ref="BP134:BP143" si="573">ABS($B$34*BN134*3600)</f>
        <v>1.1567927189269098E-3</v>
      </c>
      <c r="BQ134" s="600">
        <f t="shared" ref="BQ134:BQ143" si="574">BP134*$C$87</f>
        <v>0.11567927189269098</v>
      </c>
      <c r="BR134" s="599">
        <f t="shared" ref="BR134:BR143" si="575">BP134*$F$78</f>
        <v>1.3881512627122916E-3</v>
      </c>
      <c r="BS134" s="600">
        <f t="shared" ref="BS134:BS143" si="576">BP134*$F$83</f>
        <v>1.3997191899015608E-3</v>
      </c>
      <c r="BT134" s="599">
        <f t="shared" ref="BT134:BT143" si="577">BP134*$F$80</f>
        <v>1.3997191899015608E-3</v>
      </c>
      <c r="BU134" s="658">
        <f t="shared" ref="BU134:BU143" si="578">BP134*$F$79</f>
        <v>1.4459908986586372E-3</v>
      </c>
      <c r="BV134" s="2008">
        <v>19.899999999999999</v>
      </c>
      <c r="BW134" s="2016">
        <v>51</v>
      </c>
      <c r="BX134" s="2020">
        <v>1008.8</v>
      </c>
      <c r="BY134" s="2022">
        <v>-3.3500000000000001E-11</v>
      </c>
      <c r="BZ134" s="667">
        <v>60</v>
      </c>
      <c r="CA134" s="663">
        <v>44334</v>
      </c>
      <c r="CB134" s="656" t="s">
        <v>268</v>
      </c>
      <c r="CC134" s="649">
        <f t="shared" ref="CC134:CC143" si="579">IF(CB134="Low",BY134*$D$42,IF(CB134="Med",BY134*$D$43,IF(CB134="High",BY134*$D$44,"rango cal. out")))</f>
        <v>-3.3600499999999997E-11</v>
      </c>
      <c r="CD134" s="652">
        <f t="shared" ref="CD134:CD143" si="580">((273.2+BV134)*$F$33/((273.2+$F$32)*BX134))</f>
        <v>0.99726598010676781</v>
      </c>
      <c r="CE134" s="653">
        <f t="shared" ref="CE134:CE143" si="581">CC134/BZ134*CD134*EXP(-LN(2)/10990*($F$96-CA134))</f>
        <v>-5.5307908933818463E-13</v>
      </c>
      <c r="CF134" s="599">
        <f>CE134-AVERAGE(CM102:CM103)</f>
        <v>-5.5127759410304292E-13</v>
      </c>
      <c r="CG134" s="599" t="e">
        <f>ABS(#REF!*CF134*3600)</f>
        <v>#REF!</v>
      </c>
      <c r="CH134" s="657">
        <f t="shared" ref="CH134:CH143" si="582">ABS($B$34*CF134*3600)</f>
        <v>5.0011903337028057E-5</v>
      </c>
      <c r="CI134" s="600">
        <f t="shared" ref="CI134:CI143" si="583">CH134*$C$87</f>
        <v>5.0011903337028058E-3</v>
      </c>
      <c r="CJ134" s="599">
        <f t="shared" ref="CJ134:CJ143" si="584">CH134*$F$78</f>
        <v>6.0014284004433664E-5</v>
      </c>
      <c r="CK134" s="600">
        <f t="shared" ref="CK134:CK143" si="585">CH134*$F$83</f>
        <v>6.0514403037803947E-5</v>
      </c>
      <c r="CL134" s="599">
        <f t="shared" ref="CL134:CL143" si="586">CH134*$F$80</f>
        <v>6.0514403037803947E-5</v>
      </c>
      <c r="CM134" s="658">
        <f t="shared" ref="CM134:CM143" si="587">CH134*$F$79</f>
        <v>6.2514879171285067E-5</v>
      </c>
      <c r="CN134" s="2008">
        <v>20.100000000000001</v>
      </c>
      <c r="CO134" s="2016">
        <v>52</v>
      </c>
      <c r="CP134" s="2020">
        <v>1013</v>
      </c>
      <c r="CQ134" s="2010">
        <v>-1.8179999999999999E-9</v>
      </c>
      <c r="CR134" s="667">
        <v>60</v>
      </c>
      <c r="CS134" s="663">
        <v>44334</v>
      </c>
      <c r="CT134" s="656" t="s">
        <v>268</v>
      </c>
      <c r="CU134" s="649">
        <f t="shared" ref="CU134:CU143" si="588">IF(CT134="Low",CQ134*$D$42,IF(CT134="Med",CQ134*$D$43,IF(CT134="High",CQ134*$D$44,"rango cal. out")))</f>
        <v>-1.8234539999999998E-9</v>
      </c>
      <c r="CV134" s="652">
        <f t="shared" ref="CV134:CV143" si="589">((273.2+CN134)*$F$33/((273.2+$F$32)*CP134))</f>
        <v>0.99380888891564156</v>
      </c>
      <c r="CW134" s="653">
        <f t="shared" ref="CW134:CW143" si="590">CU134/CR134*CV134*EXP(-LN(2)/10990*($F$96-CS134))</f>
        <v>-2.9910810659976591E-11</v>
      </c>
      <c r="CX134" s="599">
        <f>CW134-AVERAGE(DE102:DE103)</f>
        <v>-2.9899522973271168E-11</v>
      </c>
      <c r="CY134" s="599" t="e">
        <f>ABS(#REF!*CX134*3600)</f>
        <v>#REF!</v>
      </c>
      <c r="CZ134" s="657">
        <f t="shared" ref="CZ134:CZ143" si="591">ABS($B$34*CX134*3600)</f>
        <v>2.7124847241351605E-3</v>
      </c>
      <c r="DA134" s="600">
        <f t="shared" ref="DA134:DA143" si="592">CZ134*$C$87</f>
        <v>0.27124847241351607</v>
      </c>
      <c r="DB134" s="599">
        <f t="shared" ref="DB134:DB143" si="593">CZ134*$F$78</f>
        <v>3.2549816689621926E-3</v>
      </c>
      <c r="DC134" s="600">
        <f t="shared" ref="DC134:DC143" si="594">CZ134*$F$83</f>
        <v>3.2821065162035442E-3</v>
      </c>
      <c r="DD134" s="599">
        <f t="shared" ref="DD134:DD143" si="595">CZ134*$F$80</f>
        <v>3.2821065162035442E-3</v>
      </c>
      <c r="DE134" s="658">
        <f t="shared" ref="DE134:DE143" si="596">CZ134*$F$79</f>
        <v>3.3906059051689507E-3</v>
      </c>
      <c r="DF134" s="664"/>
      <c r="DG134" s="660"/>
      <c r="DH134" s="661"/>
      <c r="DI134" s="651"/>
      <c r="DJ134" s="662"/>
      <c r="DK134" s="663"/>
      <c r="DL134" s="656" t="s">
        <v>268</v>
      </c>
      <c r="DM134" s="649">
        <f t="shared" ref="DM134:DM143" si="597">IF(DL134="Low",DI134*$D$42,IF(DL134="Med",DI134*$D$43,IF(DL134="High",DI134*$D$44,"rango cal. out")))</f>
        <v>0</v>
      </c>
      <c r="DN134" s="652" t="e">
        <f t="shared" ref="DN134:DN143" si="598">((273.2+DF134)*$F$33/((273.2+$F$32)*DH134))</f>
        <v>#DIV/0!</v>
      </c>
      <c r="DO134" s="653" t="e">
        <f t="shared" ref="DO134:DO143" si="599">DM134/DJ134*DN134*EXP(-LN(2)/10990*($F$96-DK134))</f>
        <v>#DIV/0!</v>
      </c>
      <c r="DP134" s="599" t="e">
        <f>DO134-AVERAGE(DW102:DW103)</f>
        <v>#DIV/0!</v>
      </c>
      <c r="DQ134" s="599" t="e">
        <f>ABS(#REF!*DP134*3600)</f>
        <v>#REF!</v>
      </c>
      <c r="DR134" s="657" t="e">
        <f t="shared" ref="DR134:DR143" si="600">ABS($B$34*DP134*3600)</f>
        <v>#DIV/0!</v>
      </c>
      <c r="DS134" s="600" t="e">
        <f t="shared" ref="DS134:DS143" si="601">DR134*$C$87</f>
        <v>#DIV/0!</v>
      </c>
      <c r="DT134" s="599" t="e">
        <f t="shared" ref="DT134:DT143" si="602">DR134*$F$78</f>
        <v>#DIV/0!</v>
      </c>
      <c r="DU134" s="600" t="e">
        <f t="shared" ref="DU134:DU143" si="603">DR134*$F$83</f>
        <v>#DIV/0!</v>
      </c>
      <c r="DV134" s="599" t="e">
        <f t="shared" ref="DV134:DV143" si="604">DR134*$F$80</f>
        <v>#DIV/0!</v>
      </c>
      <c r="DW134" s="658" t="e">
        <f t="shared" ref="DW134:DW143" si="605">DR134*$F$79</f>
        <v>#DIV/0!</v>
      </c>
      <c r="DX134" s="664"/>
      <c r="DY134" s="660"/>
      <c r="DZ134" s="659"/>
      <c r="EA134" s="665"/>
      <c r="EB134" s="662"/>
      <c r="EC134" s="663"/>
      <c r="ED134" s="656"/>
      <c r="EE134" s="649" t="str">
        <f t="shared" ref="EE134:EE143" si="606">IF(ED134="Low",EA134*$D$42,IF(ED134="Med",EA134*$D$43,IF(ED134="High",EA134*$D$44,"rango cal. out")))</f>
        <v>rango cal. out</v>
      </c>
      <c r="EF134" s="652" t="e">
        <f t="shared" ref="EF134:EF143" si="607">((273.2+DX134)*$F$33/((273.2+$F$32)*DZ134))</f>
        <v>#DIV/0!</v>
      </c>
      <c r="EG134" s="653" t="e">
        <f t="shared" ref="EG134:EG143" si="608">EE134/EB134*EF134*EXP(-LN(2)/10990*($F$96-EC134))</f>
        <v>#VALUE!</v>
      </c>
      <c r="EH134" s="599" t="e">
        <f>EG134-AVERAGE(EO102:EO103)</f>
        <v>#VALUE!</v>
      </c>
      <c r="EI134" s="599" t="e">
        <f>ABS(#REF!*EH134*3600)</f>
        <v>#REF!</v>
      </c>
      <c r="EJ134" s="657" t="e">
        <f t="shared" ref="EJ134:EJ143" si="609">ABS($B$34*EH134*3600)</f>
        <v>#VALUE!</v>
      </c>
      <c r="EK134" s="600" t="e">
        <f t="shared" ref="EK134:EK143" si="610">EJ134*$C$87</f>
        <v>#VALUE!</v>
      </c>
      <c r="EL134" s="599" t="e">
        <f t="shared" ref="EL134:EL143" si="611">EJ134*$F$78</f>
        <v>#VALUE!</v>
      </c>
      <c r="EM134" s="600" t="e">
        <f t="shared" ref="EM134:EM143" si="612">EJ134*$F$83</f>
        <v>#VALUE!</v>
      </c>
      <c r="EN134" s="599" t="e">
        <f t="shared" ref="EN134:EN143" si="613">EJ134*$F$80</f>
        <v>#VALUE!</v>
      </c>
      <c r="EO134" s="658" t="e">
        <f t="shared" ref="EO134:EO143" si="614">EJ134*$F$79</f>
        <v>#VALUE!</v>
      </c>
      <c r="EP134" s="2008">
        <v>20</v>
      </c>
      <c r="EQ134" s="2016">
        <v>52</v>
      </c>
      <c r="ER134" s="2017">
        <v>1012.8</v>
      </c>
      <c r="ES134" s="2022">
        <v>-6.0000000000000003E-12</v>
      </c>
      <c r="ET134" s="667">
        <v>60</v>
      </c>
      <c r="EU134" s="663">
        <v>44334</v>
      </c>
      <c r="EV134" s="656" t="s">
        <v>268</v>
      </c>
      <c r="EW134" s="649">
        <f t="shared" ref="EW134:EW143" si="615">IF(EV134="Low",ES134*$D$42,IF(EV134="Med",ES134*$D$43,IF(EV134="High",ES134*$D$44,"rango cal. out")))</f>
        <v>-6.0179999999999996E-12</v>
      </c>
      <c r="EX134" s="652">
        <f t="shared" ref="EX134:EX143" si="616">((273.2+EP134)*$F$33/((273.2+$F$32)*ER134))</f>
        <v>0.99366623479623406</v>
      </c>
      <c r="EY134" s="653">
        <f t="shared" ref="EY134:EY143" si="617">EW134/ET134*EX134*EXP(-LN(2)/10990*($F$96-EU134))</f>
        <v>-9.8701376825737657E-14</v>
      </c>
      <c r="EZ134" s="599">
        <f>EY134-AVERAGE(FG102:FG103)</f>
        <v>-9.9781940635337387E-14</v>
      </c>
      <c r="FA134" s="599" t="e">
        <f>ABS(#REF!*EZ134*3600)</f>
        <v>#REF!</v>
      </c>
      <c r="FB134" s="657">
        <f t="shared" ref="FB134:FB143" si="618">ABS($B$34*EZ134*3600)</f>
        <v>9.0522176544378087E-6</v>
      </c>
      <c r="FC134" s="600">
        <f t="shared" ref="FC134:FC143" si="619">FB134*$C$87</f>
        <v>9.0522176544378084E-4</v>
      </c>
      <c r="FD134" s="599">
        <f t="shared" ref="FD134:FD143" si="620">FB134*$F$78</f>
        <v>1.0862661185325369E-5</v>
      </c>
      <c r="FE134" s="600">
        <f t="shared" ref="FE134:FE143" si="621">FB134*$F$83</f>
        <v>1.0953183361869748E-5</v>
      </c>
      <c r="FF134" s="599">
        <f t="shared" ref="FF134:FF143" si="622">FB134*$F$80</f>
        <v>1.0953183361869748E-5</v>
      </c>
      <c r="FG134" s="658">
        <f t="shared" ref="FG134:FG143" si="623">FB134*$F$79</f>
        <v>1.1315272068047261E-5</v>
      </c>
      <c r="FH134" s="664"/>
      <c r="FI134" s="660"/>
      <c r="FJ134" s="661"/>
      <c r="FK134" s="651"/>
      <c r="FL134" s="662"/>
      <c r="FM134" s="663"/>
      <c r="FN134" s="656"/>
      <c r="FO134" s="649" t="str">
        <f t="shared" ref="FO134:FO143" si="624">IF(FN134="Low",FK134*$D$42,IF(FN134="Med",FK134*$D$43,IF(FN134="High",FK134*$D$44,"rango cal. out")))</f>
        <v>rango cal. out</v>
      </c>
      <c r="FP134" s="652" t="e">
        <f t="shared" ref="FP134:FP143" si="625">((273.2+FH134)*$F$33/((273.2+$F$32)*FJ134))</f>
        <v>#DIV/0!</v>
      </c>
      <c r="FQ134" s="653" t="e">
        <f t="shared" ref="FQ134:FQ143" si="626">FO134/FL134*FP134*EXP(-LN(2)/10990*($F$96-FM134))</f>
        <v>#VALUE!</v>
      </c>
      <c r="FR134" s="599" t="e">
        <f>FQ134-AVERAGE(FY102:FY103)</f>
        <v>#VALUE!</v>
      </c>
      <c r="FS134" s="599" t="e">
        <f>ABS(#REF!*FR134*3600)</f>
        <v>#REF!</v>
      </c>
      <c r="FT134" s="657" t="e">
        <f t="shared" ref="FT134:FT143" si="627">ABS($B$34*FR134*3600)</f>
        <v>#VALUE!</v>
      </c>
      <c r="FU134" s="600" t="e">
        <f t="shared" ref="FU134:FU143" si="628">FT134*$C$87</f>
        <v>#VALUE!</v>
      </c>
      <c r="FV134" s="599" t="e">
        <f t="shared" ref="FV134:FV143" si="629">FT134*$F$78</f>
        <v>#VALUE!</v>
      </c>
      <c r="FW134" s="600" t="e">
        <f t="shared" ref="FW134:FW143" si="630">FT134*$F$83</f>
        <v>#VALUE!</v>
      </c>
      <c r="FX134" s="599" t="e">
        <f t="shared" ref="FX134:FX143" si="631">FT134*$F$80</f>
        <v>#VALUE!</v>
      </c>
      <c r="FY134" s="658" t="e">
        <f t="shared" ref="FY134:FY143" si="632">FT134*$F$79</f>
        <v>#VALUE!</v>
      </c>
      <c r="FZ134" s="664"/>
      <c r="GA134" s="660"/>
      <c r="GB134" s="661"/>
      <c r="GC134" s="651"/>
      <c r="GD134" s="662"/>
      <c r="GE134" s="663"/>
      <c r="GF134" s="656"/>
      <c r="GG134" s="649" t="str">
        <f t="shared" ref="GG134:GG143" si="633">IF(GF134="Low",GC134*$D$42,IF(GF134="Med",GC134*$D$43,IF(GF134="High",GC134*$D$44,"rango cal. out")))</f>
        <v>rango cal. out</v>
      </c>
      <c r="GH134" s="652" t="e">
        <f t="shared" ref="GH134:GH143" si="634">((273.2+FZ134)*$F$33/((273.2+$F$32)*GB134))</f>
        <v>#DIV/0!</v>
      </c>
      <c r="GI134" s="653" t="e">
        <f t="shared" ref="GI134:GI143" si="635">GG134/GD134*GH134*EXP(-LN(2)/10990*($F$96-GE134))</f>
        <v>#VALUE!</v>
      </c>
      <c r="GJ134" s="599" t="e">
        <f>GI134-AVERAGE(GQ102:GQ103)</f>
        <v>#VALUE!</v>
      </c>
      <c r="GK134" s="599" t="e">
        <f>ABS(#REF!*GJ134*3600)</f>
        <v>#REF!</v>
      </c>
      <c r="GL134" s="657" t="e">
        <f t="shared" ref="GL134:GL143" si="636">ABS($B$34*GJ134*3600)</f>
        <v>#VALUE!</v>
      </c>
      <c r="GM134" s="600" t="e">
        <f t="shared" ref="GM134:GM143" si="637">GL134*$C$87</f>
        <v>#VALUE!</v>
      </c>
      <c r="GN134" s="599" t="e">
        <f t="shared" ref="GN134:GN143" si="638">GL134*$F$78</f>
        <v>#VALUE!</v>
      </c>
      <c r="GO134" s="600" t="e">
        <f t="shared" ref="GO134:GO143" si="639">GL134*$F$83</f>
        <v>#VALUE!</v>
      </c>
      <c r="GP134" s="599" t="e">
        <f t="shared" ref="GP134:GP143" si="640">GL134*$F$80</f>
        <v>#VALUE!</v>
      </c>
      <c r="GQ134" s="658" t="e">
        <f t="shared" ref="GQ134:GQ143" si="641">GL134*$F$79</f>
        <v>#VALUE!</v>
      </c>
      <c r="GR134" s="664"/>
      <c r="GS134" s="660"/>
      <c r="GT134" s="659"/>
      <c r="GU134" s="665"/>
      <c r="GV134" s="662"/>
      <c r="GW134" s="663"/>
      <c r="GX134" s="656"/>
      <c r="GY134" s="649" t="str">
        <f t="shared" ref="GY134:GY143" si="642">IF(GX134="Low",GU134*$D$42,IF(GX134="Med",GU134*$D$43,IF(GX134="High",GU134*$D$44,"rango cal. out")))</f>
        <v>rango cal. out</v>
      </c>
      <c r="GZ134" s="652" t="e">
        <f t="shared" ref="GZ134:GZ143" si="643">((273.2+GR134)*$F$33/((273.2+$F$32)*GT134))</f>
        <v>#DIV/0!</v>
      </c>
      <c r="HA134" s="653" t="e">
        <f t="shared" ref="HA134:HA143" si="644">GY134/GV134*GZ134*EXP(-LN(2)/10990*($F$96-GW134))</f>
        <v>#VALUE!</v>
      </c>
      <c r="HB134" s="599" t="e">
        <f>HA134-AVERAGE(HI102:HI103)</f>
        <v>#VALUE!</v>
      </c>
      <c r="HC134" s="599" t="e">
        <f>ABS(#REF!*HB134*3600)</f>
        <v>#REF!</v>
      </c>
      <c r="HD134" s="657" t="e">
        <f t="shared" ref="HD134:HD143" si="645">ABS($B$34*HB134*3600)</f>
        <v>#VALUE!</v>
      </c>
      <c r="HE134" s="600" t="e">
        <f t="shared" ref="HE134:HE143" si="646">HD134*$C$87</f>
        <v>#VALUE!</v>
      </c>
      <c r="HF134" s="599" t="e">
        <f t="shared" ref="HF134:HF143" si="647">HD134*$F$78</f>
        <v>#VALUE!</v>
      </c>
      <c r="HG134" s="600" t="e">
        <f t="shared" ref="HG134:HG143" si="648">HD134*$F$83</f>
        <v>#VALUE!</v>
      </c>
      <c r="HH134" s="599" t="e">
        <f t="shared" ref="HH134:HH143" si="649">HD134*$F$80</f>
        <v>#VALUE!</v>
      </c>
      <c r="HI134" s="658" t="e">
        <f t="shared" ref="HI134:HI143" si="650">HD134*$F$79</f>
        <v>#VALUE!</v>
      </c>
      <c r="HJ134" s="664"/>
      <c r="HK134" s="660"/>
      <c r="HL134" s="661"/>
      <c r="HM134" s="651"/>
      <c r="HN134" s="662"/>
      <c r="HO134" s="663"/>
      <c r="HP134" s="656"/>
      <c r="HQ134" s="649" t="str">
        <f t="shared" ref="HQ134:HQ143" si="651">IF(HP134="Low",HM134*$D$42,IF(HP134="Med",HM134*$D$43,IF(HP134="High",HM134*$D$44,"rango cal. out")))</f>
        <v>rango cal. out</v>
      </c>
      <c r="HR134" s="652" t="e">
        <f t="shared" ref="HR134:HR143" si="652">((273.2+HJ134)*$F$33/((273.2+$F$32)*HL134))</f>
        <v>#DIV/0!</v>
      </c>
      <c r="HS134" s="653" t="e">
        <f t="shared" ref="HS134:HS143" si="653">HQ134/HN134*HR134*EXP(-LN(2)/10990*($F$96-HO134))</f>
        <v>#VALUE!</v>
      </c>
      <c r="HT134" s="599" t="e">
        <f>HS134-AVERAGE(IA102:IA103)</f>
        <v>#VALUE!</v>
      </c>
      <c r="HU134" s="599" t="e">
        <f>ABS(#REF!*HT134*3600)</f>
        <v>#REF!</v>
      </c>
      <c r="HV134" s="657" t="e">
        <f t="shared" ref="HV134:HV143" si="654">ABS($B$34*HT134*3600)</f>
        <v>#VALUE!</v>
      </c>
      <c r="HW134" s="600" t="e">
        <f t="shared" ref="HW134:HW143" si="655">HV134*$C$87</f>
        <v>#VALUE!</v>
      </c>
      <c r="HX134" s="599" t="e">
        <f t="shared" ref="HX134:HX143" si="656">HV134*$F$78</f>
        <v>#VALUE!</v>
      </c>
      <c r="HY134" s="600" t="e">
        <f t="shared" ref="HY134:HY143" si="657">HV134*$F$83</f>
        <v>#VALUE!</v>
      </c>
      <c r="HZ134" s="599" t="e">
        <f t="shared" ref="HZ134:HZ143" si="658">HV134*$F$80</f>
        <v>#VALUE!</v>
      </c>
      <c r="IA134" s="658" t="e">
        <f t="shared" ref="IA134:IA143" si="659">HV134*$F$79</f>
        <v>#VALUE!</v>
      </c>
      <c r="IB134" s="664"/>
      <c r="IC134" s="660"/>
      <c r="ID134" s="661"/>
      <c r="IE134" s="651"/>
      <c r="IF134" s="662"/>
      <c r="IG134" s="663"/>
      <c r="IH134" s="656"/>
      <c r="II134" s="649" t="str">
        <f t="shared" ref="II134:II143" si="660">IF(IH134="Low",IE134*$D$42,IF(IH134="Med",IE134*$D$43,IF(IH134="High",IE134*$D$44,"rango cal. out")))</f>
        <v>rango cal. out</v>
      </c>
      <c r="IJ134" s="652" t="e">
        <f t="shared" ref="IJ134:IJ143" si="661">((273.2+IB134)*$F$33/((273.2+$F$32)*ID134))</f>
        <v>#DIV/0!</v>
      </c>
      <c r="IK134" s="653" t="e">
        <f t="shared" ref="IK134:IK143" si="662">II134/IF134*IJ134*EXP(-LN(2)/10990*($F$96-IG134))</f>
        <v>#VALUE!</v>
      </c>
      <c r="IL134" s="599" t="e">
        <f>IK134-AVERAGE(IS102:IS103)</f>
        <v>#VALUE!</v>
      </c>
      <c r="IM134" s="599" t="e">
        <f>ABS(#REF!*IL134*3600)</f>
        <v>#REF!</v>
      </c>
      <c r="IN134" s="657" t="e">
        <f t="shared" ref="IN134:IN143" si="663">ABS($B$34*IL134*3600)</f>
        <v>#VALUE!</v>
      </c>
      <c r="IO134" s="600" t="e">
        <f t="shared" ref="IO134:IO143" si="664">IN134*$C$87</f>
        <v>#VALUE!</v>
      </c>
      <c r="IP134" s="599" t="e">
        <f t="shared" ref="IP134:IP143" si="665">IN134*$F$78</f>
        <v>#VALUE!</v>
      </c>
      <c r="IQ134" s="600" t="e">
        <f t="shared" ref="IQ134:IQ143" si="666">IN134*$F$83</f>
        <v>#VALUE!</v>
      </c>
      <c r="IR134" s="599" t="e">
        <f t="shared" ref="IR134:IR143" si="667">IN134*$F$80</f>
        <v>#VALUE!</v>
      </c>
      <c r="IS134" s="658" t="e">
        <f t="shared" ref="IS134:IS143" si="668">IN134*$F$79</f>
        <v>#VALUE!</v>
      </c>
      <c r="IT134" s="664"/>
      <c r="IU134" s="660"/>
      <c r="IV134" s="661"/>
      <c r="IW134" s="651"/>
      <c r="IX134" s="662"/>
      <c r="IY134" s="663"/>
      <c r="IZ134" s="656"/>
      <c r="JA134" s="649" t="str">
        <f t="shared" ref="JA134:JA143" si="669">IF(IZ134="Low",IW134*$D$42,IF(IZ134="Med",IW134*$D$43,IF(IZ134="High",IW134*$D$44,"rango cal. out")))</f>
        <v>rango cal. out</v>
      </c>
      <c r="JB134" s="652" t="e">
        <f t="shared" ref="JB134:JB143" si="670">((273.2+IT134)*$F$33/((273.2+$F$32)*IV134))</f>
        <v>#DIV/0!</v>
      </c>
      <c r="JC134" s="653" t="e">
        <f t="shared" ref="JC134:JC143" si="671">JA134/IX134*JB134*EXP(-LN(2)/10990*($F$96-IY134))</f>
        <v>#VALUE!</v>
      </c>
      <c r="JD134" s="599" t="e">
        <f>JC134-AVERAGE(JK102:JK103)</f>
        <v>#VALUE!</v>
      </c>
      <c r="JE134" s="599" t="e">
        <f>ABS(#REF!*JD134*3600)</f>
        <v>#REF!</v>
      </c>
      <c r="JF134" s="657" t="e">
        <f t="shared" ref="JF134:JF143" si="672">ABS($B$34*JD134*3600)</f>
        <v>#VALUE!</v>
      </c>
      <c r="JG134" s="600" t="e">
        <f t="shared" ref="JG134:JG143" si="673">JF134*$C$87</f>
        <v>#VALUE!</v>
      </c>
      <c r="JH134" s="599" t="e">
        <f t="shared" ref="JH134:JH143" si="674">JF134*$F$78</f>
        <v>#VALUE!</v>
      </c>
      <c r="JI134" s="600" t="e">
        <f t="shared" ref="JI134:JI143" si="675">JF134*$F$83</f>
        <v>#VALUE!</v>
      </c>
      <c r="JJ134" s="599" t="e">
        <f t="shared" ref="JJ134:JJ143" si="676">JF134*$F$80</f>
        <v>#VALUE!</v>
      </c>
      <c r="JK134" s="658" t="e">
        <f t="shared" ref="JK134:JK143" si="677">JF134*$F$79</f>
        <v>#VALUE!</v>
      </c>
      <c r="JL134" s="664"/>
      <c r="JM134" s="660"/>
      <c r="JN134" s="661"/>
      <c r="JO134" s="651"/>
      <c r="JP134" s="662"/>
      <c r="JQ134" s="663"/>
      <c r="JR134" s="656"/>
      <c r="JS134" s="649" t="str">
        <f t="shared" ref="JS134:JS143" si="678">IF(JR134="Low",JO134*$D$42,IF(JR134="Med",JO134*$D$43,IF(JR134="High",JO134*$D$44,"rango cal. out")))</f>
        <v>rango cal. out</v>
      </c>
      <c r="JT134" s="652" t="e">
        <f t="shared" ref="JT134:JT143" si="679">((273.2+JL134)*$F$33/((273.2+$F$32)*JN134))</f>
        <v>#DIV/0!</v>
      </c>
      <c r="JU134" s="653" t="e">
        <f t="shared" ref="JU134:JU143" si="680">JS134/JP134*JT134*EXP(-LN(2)/10990*($F$96-JQ134))</f>
        <v>#VALUE!</v>
      </c>
      <c r="JV134" s="599" t="e">
        <f>JU134-AVERAGE(KC102:KC103)</f>
        <v>#VALUE!</v>
      </c>
      <c r="JW134" s="599" t="e">
        <f>ABS(#REF!*JV134*3600)</f>
        <v>#REF!</v>
      </c>
      <c r="JX134" s="657" t="e">
        <f t="shared" ref="JX134:JX143" si="681">ABS($B$34*JV134*3600)</f>
        <v>#VALUE!</v>
      </c>
      <c r="JY134" s="600" t="e">
        <f t="shared" ref="JY134:JY143" si="682">JX134*$C$87</f>
        <v>#VALUE!</v>
      </c>
      <c r="JZ134" s="599" t="e">
        <f t="shared" ref="JZ134:JZ143" si="683">JX134*$F$78</f>
        <v>#VALUE!</v>
      </c>
      <c r="KA134" s="600" t="e">
        <f t="shared" ref="KA134:KA143" si="684">JX134*$F$83</f>
        <v>#VALUE!</v>
      </c>
      <c r="KB134" s="599" t="e">
        <f t="shared" ref="KB134:KB143" si="685">JX134*$F$80</f>
        <v>#VALUE!</v>
      </c>
      <c r="KC134" s="658" t="e">
        <f t="shared" ref="KC134:KC143" si="686">JX134*$F$79</f>
        <v>#VALUE!</v>
      </c>
      <c r="KD134" s="664"/>
      <c r="KE134" s="660"/>
      <c r="KF134" s="661"/>
      <c r="KG134" s="651"/>
      <c r="KH134" s="662"/>
      <c r="KI134" s="663"/>
      <c r="KJ134" s="656"/>
      <c r="KK134" s="649" t="str">
        <f t="shared" ref="KK134:KK143" si="687">IF(KJ134="Low",KG134*$D$42,IF(KJ134="Med",KG134*$D$43,IF(KJ134="High",KG134*$D$44,"rango cal. out")))</f>
        <v>rango cal. out</v>
      </c>
      <c r="KL134" s="652" t="e">
        <f t="shared" ref="KL134:KL143" si="688">((273.2+KD134)*$F$33/((273.2+$F$32)*KF134))</f>
        <v>#DIV/0!</v>
      </c>
      <c r="KM134" s="653" t="e">
        <f t="shared" ref="KM134:KM143" si="689">KK134/KH134*KL134*EXP(-LN(2)/10990*($F$96-KI134))</f>
        <v>#VALUE!</v>
      </c>
      <c r="KN134" s="599" t="e">
        <f>KM134-AVERAGE(KU102:KU103)</f>
        <v>#VALUE!</v>
      </c>
      <c r="KO134" s="599" t="e">
        <f>ABS(#REF!*KN134*3600)</f>
        <v>#REF!</v>
      </c>
      <c r="KP134" s="657" t="e">
        <f t="shared" ref="KP134:KP143" si="690">ABS($B$34*KN134*3600)</f>
        <v>#VALUE!</v>
      </c>
      <c r="KQ134" s="600" t="e">
        <f t="shared" ref="KQ134:KQ143" si="691">KP134*$C$87</f>
        <v>#VALUE!</v>
      </c>
      <c r="KR134" s="599" t="e">
        <f t="shared" ref="KR134:KR143" si="692">KP134*$F$78</f>
        <v>#VALUE!</v>
      </c>
      <c r="KS134" s="600" t="e">
        <f t="shared" ref="KS134:KS143" si="693">KP134*$F$83</f>
        <v>#VALUE!</v>
      </c>
      <c r="KT134" s="599" t="e">
        <f t="shared" ref="KT134:KT143" si="694">KP134*$F$80</f>
        <v>#VALUE!</v>
      </c>
      <c r="KU134" s="658" t="e">
        <f t="shared" ref="KU134:KU143" si="695">KP134*$F$79</f>
        <v>#VALUE!</v>
      </c>
      <c r="KV134" s="664"/>
      <c r="KW134" s="660"/>
      <c r="KX134" s="661"/>
      <c r="KY134" s="651"/>
      <c r="KZ134" s="662"/>
      <c r="LA134" s="663"/>
      <c r="LB134" s="656"/>
      <c r="LC134" s="649" t="str">
        <f t="shared" ref="LC134:LC143" si="696">IF(LB134="Low",KY134*$D$42,IF(LB134="Med",KY134*$D$43,IF(LB134="High",KY134*$D$44,"rango cal. out")))</f>
        <v>rango cal. out</v>
      </c>
      <c r="LD134" s="652" t="e">
        <f t="shared" ref="LD134:LD143" si="697">((273.2+KV134)*$F$33/((273.2+$F$32)*KX134))</f>
        <v>#DIV/0!</v>
      </c>
      <c r="LE134" s="653" t="e">
        <f t="shared" ref="LE134:LE143" si="698">LC134/KZ134*LD134*EXP(-LN(2)/10990*($F$96-LA134))</f>
        <v>#VALUE!</v>
      </c>
      <c r="LF134" s="599" t="e">
        <f>LE134-AVERAGE(LM102:LM103)</f>
        <v>#VALUE!</v>
      </c>
      <c r="LG134" s="599" t="e">
        <f>ABS(#REF!*LF134*3600)</f>
        <v>#REF!</v>
      </c>
      <c r="LH134" s="657" t="e">
        <f t="shared" ref="LH134:LH143" si="699">ABS($B$34*LF134*3600)</f>
        <v>#VALUE!</v>
      </c>
      <c r="LI134" s="600" t="e">
        <f t="shared" ref="LI134:LI143" si="700">LH134*$C$87</f>
        <v>#VALUE!</v>
      </c>
      <c r="LJ134" s="599" t="e">
        <f t="shared" ref="LJ134:LJ143" si="701">LH134*$F$78</f>
        <v>#VALUE!</v>
      </c>
      <c r="LK134" s="600" t="e">
        <f t="shared" ref="LK134:LK143" si="702">LH134*$F$83</f>
        <v>#VALUE!</v>
      </c>
      <c r="LL134" s="599" t="e">
        <f t="shared" ref="LL134:LL143" si="703">LH134*$F$80</f>
        <v>#VALUE!</v>
      </c>
      <c r="LM134" s="658" t="e">
        <f t="shared" ref="LM134:LM143" si="704">LH134*$F$79</f>
        <v>#VALUE!</v>
      </c>
      <c r="LN134" s="664"/>
      <c r="LO134" s="660"/>
      <c r="LP134" s="661"/>
      <c r="LQ134" s="651"/>
      <c r="LR134" s="662"/>
      <c r="LS134" s="663"/>
      <c r="LT134" s="656"/>
      <c r="LU134" s="649" t="str">
        <f t="shared" ref="LU134:LU143" si="705">IF(LT134="Low",LQ134*$D$42,IF(LT134="Med",LQ134*$D$43,IF(LT134="High",LQ134*$D$44,"rango cal. out")))</f>
        <v>rango cal. out</v>
      </c>
      <c r="LV134" s="652" t="e">
        <f t="shared" ref="LV134:LV143" si="706">((273.2+LN134)*$F$33/((273.2+$F$32)*LP134))</f>
        <v>#DIV/0!</v>
      </c>
      <c r="LW134" s="653" t="e">
        <f t="shared" ref="LW134:LW143" si="707">LU134/LR134*LV134*EXP(-LN(2)/10990*($F$96-LS134))</f>
        <v>#VALUE!</v>
      </c>
      <c r="LX134" s="599" t="e">
        <f>LW134-AVERAGE(ME102:ME103)</f>
        <v>#VALUE!</v>
      </c>
      <c r="LY134" s="599" t="e">
        <f>ABS(#REF!*LX134*3600)</f>
        <v>#REF!</v>
      </c>
      <c r="LZ134" s="657" t="e">
        <f t="shared" ref="LZ134:LZ143" si="708">ABS($B$34*LX134*3600)</f>
        <v>#VALUE!</v>
      </c>
      <c r="MA134" s="600" t="e">
        <f t="shared" ref="MA134:MA143" si="709">LZ134*$C$87</f>
        <v>#VALUE!</v>
      </c>
      <c r="MB134" s="599" t="e">
        <f t="shared" ref="MB134:MB143" si="710">LZ134*$F$78</f>
        <v>#VALUE!</v>
      </c>
      <c r="MC134" s="600" t="e">
        <f t="shared" ref="MC134:MC143" si="711">LZ134*$F$83</f>
        <v>#VALUE!</v>
      </c>
      <c r="MD134" s="599" t="e">
        <f t="shared" ref="MD134:MD143" si="712">LZ134*$F$80</f>
        <v>#VALUE!</v>
      </c>
      <c r="ME134" s="658" t="e">
        <f t="shared" ref="ME134:ME143" si="713">LZ134*$F$79</f>
        <v>#VALUE!</v>
      </c>
      <c r="MF134" s="664"/>
      <c r="MG134" s="660"/>
      <c r="MH134" s="661"/>
      <c r="MI134" s="651"/>
      <c r="MJ134" s="662"/>
      <c r="MK134" s="663"/>
      <c r="ML134" s="656"/>
      <c r="MM134" s="649" t="str">
        <f t="shared" ref="MM134:MM143" si="714">IF(ML134="Low",MI134*$D$42,IF(ML134="Med",MI134*$D$43,IF(ML134="High",MI134*$D$44,"rango cal. out")))</f>
        <v>rango cal. out</v>
      </c>
      <c r="MN134" s="652" t="e">
        <f t="shared" ref="MN134:MN143" si="715">((273.2+MF134)*$F$33/((273.2+$F$32)*MH134))</f>
        <v>#DIV/0!</v>
      </c>
      <c r="MO134" s="653" t="e">
        <f t="shared" ref="MO134:MO143" si="716">MM134/MJ134*MN134*EXP(-LN(2)/10990*($F$96-MK134))</f>
        <v>#VALUE!</v>
      </c>
      <c r="MP134" s="599" t="e">
        <f>MO134-AVERAGE(MW102:MW103)</f>
        <v>#VALUE!</v>
      </c>
      <c r="MQ134" s="599" t="e">
        <f>ABS(#REF!*MP134*3600)</f>
        <v>#REF!</v>
      </c>
      <c r="MR134" s="657" t="e">
        <f t="shared" ref="MR134:MR143" si="717">ABS($B$34*MP134*3600)</f>
        <v>#VALUE!</v>
      </c>
      <c r="MS134" s="600" t="e">
        <f t="shared" ref="MS134:MS143" si="718">MR134*$C$87</f>
        <v>#VALUE!</v>
      </c>
      <c r="MT134" s="599" t="e">
        <f t="shared" ref="MT134:MT143" si="719">MR134*$F$78</f>
        <v>#VALUE!</v>
      </c>
      <c r="MU134" s="600" t="e">
        <f t="shared" ref="MU134:MU143" si="720">MR134*$F$83</f>
        <v>#VALUE!</v>
      </c>
      <c r="MV134" s="599" t="e">
        <f t="shared" ref="MV134:MV143" si="721">MR134*$F$80</f>
        <v>#VALUE!</v>
      </c>
      <c r="MW134" s="658" t="e">
        <f t="shared" ref="MW134:MW143" si="722">MR134*$F$79</f>
        <v>#VALUE!</v>
      </c>
      <c r="MX134" s="664"/>
      <c r="MY134" s="660"/>
      <c r="MZ134" s="666"/>
      <c r="NA134" s="651"/>
      <c r="NB134" s="667"/>
      <c r="NC134" s="663"/>
      <c r="ND134" s="656"/>
      <c r="NE134" s="649" t="str">
        <f t="shared" ref="NE134:NE143" si="723">IF(ND134="Low",NA134*$D$42,IF(ND134="Med",NA134*$D$43,IF(ND134="High",NA134*$D$44,"rango cal. out")))</f>
        <v>rango cal. out</v>
      </c>
      <c r="NF134" s="652" t="e">
        <f t="shared" ref="NF134:NF143" si="724">((273.2+MX134)*$F$33/((273.2+$F$32)*MZ134))</f>
        <v>#DIV/0!</v>
      </c>
      <c r="NG134" s="653" t="e">
        <f t="shared" ref="NG134:NG143" si="725">NE134/NB134*NF134*EXP(-LN(2)/10990*($F$96-NC134))</f>
        <v>#VALUE!</v>
      </c>
      <c r="NH134" s="599" t="e">
        <f>NG134-AVERAGE(NO102:NO103)</f>
        <v>#VALUE!</v>
      </c>
      <c r="NI134" s="599" t="e">
        <f>ABS(#REF!*NH134*3600)</f>
        <v>#REF!</v>
      </c>
      <c r="NJ134" s="657" t="e">
        <f t="shared" ref="NJ134:NJ143" si="726">ABS($B$34*NH134*3600)</f>
        <v>#VALUE!</v>
      </c>
      <c r="NK134" s="600" t="e">
        <f t="shared" ref="NK134:NK143" si="727">NJ134*$C$87</f>
        <v>#VALUE!</v>
      </c>
      <c r="NL134" s="599" t="e">
        <f t="shared" ref="NL134:NL143" si="728">NJ134*$F$78</f>
        <v>#VALUE!</v>
      </c>
      <c r="NM134" s="600" t="e">
        <f t="shared" ref="NM134:NM143" si="729">NJ134*$F$83</f>
        <v>#VALUE!</v>
      </c>
      <c r="NN134" s="599" t="e">
        <f t="shared" ref="NN134:NN143" si="730">NJ134*$F$80</f>
        <v>#VALUE!</v>
      </c>
      <c r="NO134" s="658" t="e">
        <f t="shared" ref="NO134:NO143" si="731">NJ134*$F$79</f>
        <v>#VALUE!</v>
      </c>
      <c r="NP134" s="2008">
        <v>20</v>
      </c>
      <c r="NQ134" s="2016">
        <v>51</v>
      </c>
      <c r="NR134" s="2017">
        <v>1012.5</v>
      </c>
      <c r="NS134" s="2010">
        <v>-6E-11</v>
      </c>
      <c r="NT134" s="662">
        <v>60</v>
      </c>
      <c r="NU134" s="663">
        <v>44334</v>
      </c>
      <c r="NV134" s="656" t="s">
        <v>268</v>
      </c>
      <c r="NW134" s="649">
        <f t="shared" ref="NW134:NW143" si="732">IF(NV134="Low",NS134*$D$42,IF(NV134="Med",NS134*$D$43,IF(NV134="High",NS134*$D$44,"rango cal. out")))</f>
        <v>-6.0179999999999993E-11</v>
      </c>
      <c r="NX134" s="652">
        <f t="shared" ref="NX134:NX143" si="733">((273.2+NP134)*$F$33/((273.2+$F$32)*NR134))</f>
        <v>0.99396065442135895</v>
      </c>
      <c r="NY134" s="653">
        <f t="shared" ref="NY134:NY143" si="734">NW134/NT134*NX134*EXP(-LN(2)/10990*($F$96-NU134))</f>
        <v>-9.8730621678130469E-13</v>
      </c>
      <c r="NZ134" s="599">
        <f>NY134-AVERAGE(OG102:OG103)</f>
        <v>-9.880583778532632E-13</v>
      </c>
      <c r="OA134" s="599" t="e">
        <f>ABS(#REF!*NZ134*3600)</f>
        <v>#REF!</v>
      </c>
      <c r="OB134" s="657">
        <f t="shared" ref="OB134:OB143" si="735">ABS($B$34*NZ134*3600)</f>
        <v>8.9636656038848036E-5</v>
      </c>
      <c r="OC134" s="600">
        <f t="shared" ref="OC134:OC143" si="736">OB134*$C$87</f>
        <v>8.9636656038848041E-3</v>
      </c>
      <c r="OD134" s="599">
        <f t="shared" ref="OD134:OD143" si="737">OB134*$F$78</f>
        <v>1.0756398724661764E-4</v>
      </c>
      <c r="OE134" s="600">
        <f t="shared" ref="OE134:OE143" si="738">OB134*$F$83</f>
        <v>1.0846035380700611E-4</v>
      </c>
      <c r="OF134" s="599">
        <f t="shared" ref="OF134:OF143" si="739">OB134*$F$80</f>
        <v>1.0846035380700611E-4</v>
      </c>
      <c r="OG134" s="658">
        <f t="shared" ref="OG134:OG143" si="740">OB134*$F$79</f>
        <v>1.1204582004856005E-4</v>
      </c>
      <c r="OH134" s="664"/>
      <c r="OI134" s="660"/>
      <c r="OJ134" s="661"/>
      <c r="OK134" s="651"/>
      <c r="OL134" s="662"/>
      <c r="OM134" s="663"/>
      <c r="ON134" s="656"/>
      <c r="OO134" s="649" t="str">
        <f t="shared" ref="OO134:OO143" si="741">IF(ON134="Low",OK134*$D$42,IF(ON134="Med",OK134*$D$43,IF(ON134="High",OK134*$D$44,"rango cal. out")))</f>
        <v>rango cal. out</v>
      </c>
      <c r="OP134" s="652" t="e">
        <f t="shared" ref="OP134:OP143" si="742">((273.2+OH134)*$F$33/((273.2+$F$32)*OJ134))</f>
        <v>#DIV/0!</v>
      </c>
      <c r="OQ134" s="653" t="e">
        <f t="shared" ref="OQ134:OQ143" si="743">OO134/OL134*OP134*EXP(-LN(2)/10990*($F$96-OM134))</f>
        <v>#VALUE!</v>
      </c>
      <c r="OR134" s="599" t="e">
        <f>OQ134-AVERAGE(OY102:OY103)</f>
        <v>#VALUE!</v>
      </c>
      <c r="OS134" s="599" t="e">
        <f>ABS(#REF!*OR134*3600)</f>
        <v>#REF!</v>
      </c>
      <c r="OT134" s="657" t="e">
        <f t="shared" ref="OT134:OT143" si="744">ABS($B$34*OR134*3600)</f>
        <v>#VALUE!</v>
      </c>
      <c r="OU134" s="600" t="e">
        <f t="shared" ref="OU134:OU143" si="745">OT134*$C$87</f>
        <v>#VALUE!</v>
      </c>
      <c r="OV134" s="599" t="e">
        <f t="shared" ref="OV134:OV143" si="746">OT134*$F$78</f>
        <v>#VALUE!</v>
      </c>
      <c r="OW134" s="600" t="e">
        <f t="shared" ref="OW134:OW143" si="747">OT134*$F$83</f>
        <v>#VALUE!</v>
      </c>
      <c r="OX134" s="599" t="e">
        <f t="shared" ref="OX134:OX143" si="748">OT134*$F$80</f>
        <v>#VALUE!</v>
      </c>
      <c r="OY134" s="658" t="e">
        <f t="shared" ref="OY134:OY143" si="749">OT134*$F$79</f>
        <v>#VALUE!</v>
      </c>
      <c r="OZ134" s="2008">
        <v>20</v>
      </c>
      <c r="PA134" s="2016">
        <v>52</v>
      </c>
      <c r="PB134" s="2017">
        <v>1012.3</v>
      </c>
      <c r="PC134" s="2010">
        <v>-1.3200000000000001E-10</v>
      </c>
      <c r="PD134" s="667">
        <v>60</v>
      </c>
      <c r="PE134" s="663">
        <v>44334</v>
      </c>
      <c r="PF134" s="656" t="s">
        <v>268</v>
      </c>
      <c r="PG134" s="649">
        <f t="shared" ref="PG134:PG143" si="750">IF(PF134="Low",PC134*$D$42,IF(PF134="Med",PC134*$D$43,IF(PF134="High",PC134*$D$44,"rango cal. out")))</f>
        <v>-1.3239599999999999E-10</v>
      </c>
      <c r="PH134" s="652">
        <f t="shared" ref="PH134:PH143" si="751">((273.2+OZ134)*$F$33/((273.2+$F$32)*PB134))</f>
        <v>0.994157031118864</v>
      </c>
      <c r="PI134" s="653">
        <f t="shared" ref="PI134:PI143" si="752">PG134/PD134*PH134*EXP(-LN(2)/10990*($F$96-PE134))</f>
        <v>-2.1725028132770488E-12</v>
      </c>
      <c r="PJ134" s="599">
        <f>PI134-AVERAGE(PQ102:PQ103)</f>
        <v>-2.1708296031806085E-12</v>
      </c>
      <c r="PK134" s="599" t="e">
        <f>ABS(#REF!*PJ134*3600)</f>
        <v>#REF!</v>
      </c>
      <c r="PL134" s="657">
        <f t="shared" ref="PL134:PL143" si="753">ABS($B$34*PJ134*3600)</f>
        <v>1.969376616005448E-4</v>
      </c>
      <c r="PM134" s="600">
        <f t="shared" ref="PM134:PM143" si="754">PL134*$C$87</f>
        <v>1.9693766160054482E-2</v>
      </c>
      <c r="PN134" s="599">
        <f t="shared" ref="PN134:PN143" si="755">PL134*$F$78</f>
        <v>2.3632519392065374E-4</v>
      </c>
      <c r="PO134" s="600">
        <f t="shared" ref="PO134:PO143" si="756">PL134*$F$83</f>
        <v>2.3829457053665921E-4</v>
      </c>
      <c r="PP134" s="599">
        <f t="shared" ref="PP134:PP143" si="757">PL134*$F$80</f>
        <v>2.3829457053665921E-4</v>
      </c>
      <c r="PQ134" s="658">
        <f t="shared" ref="PQ134:PQ143" si="758">PL134*$F$79</f>
        <v>2.4617207700068102E-4</v>
      </c>
      <c r="PR134" s="664"/>
      <c r="PS134" s="660"/>
      <c r="PT134" s="661"/>
      <c r="PU134" s="651"/>
      <c r="PV134" s="662"/>
      <c r="PW134" s="663"/>
      <c r="PX134" s="656"/>
      <c r="PY134" s="649" t="str">
        <f t="shared" ref="PY134:PY143" si="759">IF(PX134="Low",PU134*$D$42,IF(PX134="Med",PU134*$D$43,IF(PX134="High",PU134*$D$44,"rango cal. out")))</f>
        <v>rango cal. out</v>
      </c>
      <c r="PZ134" s="652" t="e">
        <f t="shared" ref="PZ134:PZ143" si="760">((273.2+PR134)*$F$33/((273.2+$F$32)*PT134))</f>
        <v>#DIV/0!</v>
      </c>
      <c r="QA134" s="653" t="e">
        <f t="shared" ref="QA134:QA143" si="761">PY134/PV134*PZ134*EXP(-LN(2)/10990*($F$96-PW134))</f>
        <v>#VALUE!</v>
      </c>
      <c r="QB134" s="599" t="e">
        <f>QA134-AVERAGE(QI102:QI103)</f>
        <v>#VALUE!</v>
      </c>
      <c r="QC134" s="599" t="e">
        <f>ABS(#REF!*QB134*3600)</f>
        <v>#REF!</v>
      </c>
      <c r="QD134" s="657" t="e">
        <f t="shared" ref="QD134:QD143" si="762">ABS($B$34*QB134*3600)</f>
        <v>#VALUE!</v>
      </c>
      <c r="QE134" s="600" t="e">
        <f t="shared" ref="QE134:QE143" si="763">QD134*$C$87</f>
        <v>#VALUE!</v>
      </c>
      <c r="QF134" s="599" t="e">
        <f t="shared" ref="QF134:QF143" si="764">QD134*$F$78</f>
        <v>#VALUE!</v>
      </c>
      <c r="QG134" s="600" t="e">
        <f t="shared" ref="QG134:QG143" si="765">QD134*$F$83</f>
        <v>#VALUE!</v>
      </c>
      <c r="QH134" s="599" t="e">
        <f t="shared" ref="QH134:QH143" si="766">QD134*$F$80</f>
        <v>#VALUE!</v>
      </c>
      <c r="QI134" s="658" t="e">
        <f t="shared" ref="QI134:QI143" si="767">QD134*$F$79</f>
        <v>#VALUE!</v>
      </c>
      <c r="QJ134" s="664"/>
      <c r="QK134" s="660"/>
      <c r="QL134" s="661"/>
      <c r="QM134" s="651"/>
      <c r="QN134" s="662"/>
      <c r="QO134" s="663"/>
      <c r="QP134" s="656"/>
      <c r="QQ134" s="649" t="str">
        <f t="shared" ref="QQ134:QQ143" si="768">IF(QP134="Low",QM134*$D$42,IF(QP134="Med",QM134*$D$43,IF(QP134="High",QM134*$D$44,"rango cal. out")))</f>
        <v>rango cal. out</v>
      </c>
      <c r="QR134" s="652" t="e">
        <f t="shared" ref="QR134:QR143" si="769">((273.2+QJ134)*$F$33/((273.2+$F$32)*QL134))</f>
        <v>#DIV/0!</v>
      </c>
      <c r="QS134" s="653" t="e">
        <f t="shared" ref="QS134:QS143" si="770">QQ134/QN134*QR134*EXP(-LN(2)/10990*($F$96-QO134))</f>
        <v>#VALUE!</v>
      </c>
      <c r="QT134" s="599" t="e">
        <f>QS134-AVERAGE(RA102:RA103)</f>
        <v>#VALUE!</v>
      </c>
      <c r="QU134" s="599" t="e">
        <f>ABS(#REF!*QT134*3600)</f>
        <v>#REF!</v>
      </c>
      <c r="QV134" s="657" t="e">
        <f t="shared" ref="QV134:QV143" si="771">ABS($B$34*QT134*3600)</f>
        <v>#VALUE!</v>
      </c>
      <c r="QW134" s="600" t="e">
        <f t="shared" ref="QW134:QW143" si="772">QV134*$C$87</f>
        <v>#VALUE!</v>
      </c>
      <c r="QX134" s="599" t="e">
        <f t="shared" ref="QX134:QX143" si="773">QV134*$F$78</f>
        <v>#VALUE!</v>
      </c>
      <c r="QY134" s="600" t="e">
        <f t="shared" ref="QY134:QY143" si="774">QV134*$F$83</f>
        <v>#VALUE!</v>
      </c>
      <c r="QZ134" s="599" t="e">
        <f t="shared" ref="QZ134:QZ143" si="775">QV134*$F$80</f>
        <v>#VALUE!</v>
      </c>
      <c r="RA134" s="658" t="e">
        <f t="shared" ref="RA134:RA143" si="776">QV134*$F$79</f>
        <v>#VALUE!</v>
      </c>
      <c r="RB134" s="664"/>
      <c r="RC134" s="660"/>
      <c r="RD134" s="666"/>
      <c r="RE134" s="651"/>
      <c r="RF134" s="667"/>
      <c r="RG134" s="663"/>
      <c r="RH134" s="656"/>
      <c r="RI134" s="649" t="str">
        <f t="shared" ref="RI134:RI143" si="777">IF(RH134="Low",RE134*$D$42,IF(RH134="Med",RE134*$D$43,IF(RH134="High",RE134*$D$44,"rango cal. out")))</f>
        <v>rango cal. out</v>
      </c>
      <c r="RJ134" s="652" t="e">
        <f t="shared" ref="RJ134:RJ143" si="778">((273.2+RB134)*$F$33/((273.2+$F$32)*RD134))</f>
        <v>#DIV/0!</v>
      </c>
      <c r="RK134" s="653" t="e">
        <f t="shared" ref="RK134:RK143" si="779">RI134/RF134*RJ134*EXP(-LN(2)/10990*($F$96-RG134))</f>
        <v>#VALUE!</v>
      </c>
      <c r="RL134" s="599" t="e">
        <f>RK134-AVERAGE(RS102:RS103)</f>
        <v>#VALUE!</v>
      </c>
      <c r="RM134" s="599" t="e">
        <f>ABS(#REF!*RL134*3600)</f>
        <v>#REF!</v>
      </c>
      <c r="RN134" s="657" t="e">
        <f t="shared" ref="RN134:RN143" si="780">ABS($B$34*RL134*3600)</f>
        <v>#VALUE!</v>
      </c>
      <c r="RO134" s="600" t="e">
        <f t="shared" ref="RO134:RO143" si="781">RN134*$C$87</f>
        <v>#VALUE!</v>
      </c>
      <c r="RP134" s="599" t="e">
        <f t="shared" ref="RP134:RP143" si="782">RN134*$F$78</f>
        <v>#VALUE!</v>
      </c>
      <c r="RQ134" s="600" t="e">
        <f t="shared" ref="RQ134:RQ143" si="783">RN134*$F$83</f>
        <v>#VALUE!</v>
      </c>
      <c r="RR134" s="599" t="e">
        <f t="shared" ref="RR134:RR143" si="784">RN134*$F$80</f>
        <v>#VALUE!</v>
      </c>
      <c r="RS134" s="658" t="e">
        <f t="shared" ref="RS134:RS143" si="785">RN134*$F$79</f>
        <v>#VALUE!</v>
      </c>
      <c r="RT134" s="664"/>
      <c r="RU134" s="660"/>
      <c r="RV134" s="660"/>
      <c r="RW134" s="665"/>
      <c r="RX134" s="667"/>
      <c r="RY134" s="663"/>
      <c r="RZ134" s="656"/>
      <c r="SA134" s="649" t="str">
        <f t="shared" ref="SA134:SA143" si="786">IF(RZ134="Low",RW134*$D$42,IF(RZ134="Med",RW134*$D$43,IF(RZ134="High",RW134*$D$44,"rango cal. out")))</f>
        <v>rango cal. out</v>
      </c>
      <c r="SB134" s="652" t="e">
        <f t="shared" ref="SB134:SB143" si="787">((273.2+RT134)*$F$33/((273.2+$F$32)*RV134))</f>
        <v>#DIV/0!</v>
      </c>
      <c r="SC134" s="653" t="e">
        <f t="shared" ref="SC134:SC143" si="788">SA134/RX134*SB134*EXP(-LN(2)/10990*($F$96-RY134))</f>
        <v>#VALUE!</v>
      </c>
      <c r="SD134" s="599" t="e">
        <f>SC134-AVERAGE(SK102:SK103)</f>
        <v>#VALUE!</v>
      </c>
      <c r="SE134" s="599" t="e">
        <f>ABS(#REF!*SD134*3600)</f>
        <v>#REF!</v>
      </c>
      <c r="SF134" s="657" t="e">
        <f t="shared" ref="SF134:SF143" si="789">ABS($B$34*SD134*3600)</f>
        <v>#VALUE!</v>
      </c>
      <c r="SG134" s="600" t="e">
        <f t="shared" ref="SG134:SG143" si="790">SF134*$C$87</f>
        <v>#VALUE!</v>
      </c>
      <c r="SH134" s="599" t="e">
        <f t="shared" ref="SH134:SH143" si="791">SF134*$F$78</f>
        <v>#VALUE!</v>
      </c>
      <c r="SI134" s="600" t="e">
        <f t="shared" ref="SI134:SI143" si="792">SF134*$F$83</f>
        <v>#VALUE!</v>
      </c>
      <c r="SJ134" s="599" t="e">
        <f t="shared" ref="SJ134:SJ143" si="793">SF134*$F$80</f>
        <v>#VALUE!</v>
      </c>
      <c r="SK134" s="658" t="e">
        <f t="shared" ref="SK134:SK143" si="794">SF134*$F$79</f>
        <v>#VALUE!</v>
      </c>
      <c r="SL134" s="2008">
        <v>20</v>
      </c>
      <c r="SM134" s="2016">
        <v>52</v>
      </c>
      <c r="SN134" s="2017">
        <v>1012</v>
      </c>
      <c r="SO134" s="2010">
        <v>-1.1500000000000001E-11</v>
      </c>
      <c r="SP134" s="667">
        <v>60</v>
      </c>
      <c r="SQ134" s="663">
        <v>44334</v>
      </c>
      <c r="SR134" s="656" t="s">
        <v>268</v>
      </c>
      <c r="SS134" s="649">
        <f t="shared" ref="SS134:SS143" si="795">IF(SR134="Low",SO134*$D$42,IF(SR134="Med",SO134*$D$43,IF(SR134="High",SO134*$D$44,"rango cal. out")))</f>
        <v>-1.1534499999999999E-11</v>
      </c>
      <c r="ST134" s="652">
        <f t="shared" ref="ST134:ST143" si="796">((273.2+SL134)*$F$33/((273.2+$F$32)*SN134))</f>
        <v>0.99445174170121142</v>
      </c>
      <c r="SU134" s="653">
        <f t="shared" ref="SU134:SU143" si="797">SS134/SP134*ST134*EXP(-LN(2)/10990*($F$96-SQ134))</f>
        <v>-1.8932718645664225E-13</v>
      </c>
      <c r="SV134" s="599">
        <f>SU134-AVERAGE(TC102:TC103)</f>
        <v>-1.8739451368260999E-13</v>
      </c>
      <c r="SW134" s="599" t="e">
        <f>ABS(#REF!*SV134*3600)</f>
        <v>#REF!</v>
      </c>
      <c r="SX134" s="657">
        <f t="shared" ref="SX134:SX143" si="798">ABS($B$34*SV134*3600)</f>
        <v>1.700043028128638E-5</v>
      </c>
      <c r="SY134" s="600">
        <f t="shared" ref="SY134:SY143" si="799">SX134*$C$87</f>
        <v>1.7000430281286379E-3</v>
      </c>
      <c r="SZ134" s="599">
        <f t="shared" ref="SZ134:SZ143" si="800">SX134*$F$78</f>
        <v>2.0400516337543655E-5</v>
      </c>
      <c r="TA134" s="600">
        <f t="shared" ref="TA134:TA143" si="801">SX134*$F$83</f>
        <v>2.0570520640356519E-5</v>
      </c>
      <c r="TB134" s="599">
        <f t="shared" ref="TB134:TB143" si="802">SX134*$F$80</f>
        <v>2.0570520640356519E-5</v>
      </c>
      <c r="TC134" s="658">
        <f t="shared" ref="TC134:TC143" si="803">SX134*$F$79</f>
        <v>2.1250537851607976E-5</v>
      </c>
      <c r="TD134" s="2008">
        <v>20</v>
      </c>
      <c r="TE134" s="2016">
        <v>52</v>
      </c>
      <c r="TF134" s="2017">
        <v>1011.5</v>
      </c>
      <c r="TG134" s="2010">
        <v>-3.0349999999999999E-10</v>
      </c>
      <c r="TH134" s="667">
        <v>60</v>
      </c>
      <c r="TI134" s="663">
        <v>44334</v>
      </c>
      <c r="TJ134" s="656" t="s">
        <v>268</v>
      </c>
      <c r="TK134" s="649">
        <f t="shared" ref="TK134:TK143" si="804">IF(TJ134="Low",TG134*$D$42,IF(TJ134="Med",TG134*$D$43,IF(TJ134="High",TG134*$D$44,"rango cal. out")))</f>
        <v>-3.0441049999999994E-10</v>
      </c>
      <c r="TL134" s="652">
        <f t="shared" ref="TL134:TL143" si="805">((273.2+TD134)*$F$33/((273.2+$F$32)*TF134))</f>
        <v>0.99494331448504791</v>
      </c>
      <c r="TM134" s="653">
        <f t="shared" ref="TM134:TM143" si="806">TK134/TH134*TL134*EXP(-LN(2)/10990*($F$96-TI134))</f>
        <v>-4.9990612910370738E-12</v>
      </c>
      <c r="TN134" s="599">
        <f>TM134-AVERAGE(TU102:TU103)</f>
        <v>-4.9986948478498692E-12</v>
      </c>
      <c r="TO134" s="599" t="e">
        <f>ABS(#REF!*TN134*3600)</f>
        <v>#REF!</v>
      </c>
      <c r="TP134" s="657">
        <f t="shared" ref="TP134:TP143" si="807">ABS($B$34*TN134*3600)</f>
        <v>4.5348159659694019E-4</v>
      </c>
      <c r="TQ134" s="600">
        <f t="shared" ref="TQ134:TQ143" si="808">TP134*$C$87</f>
        <v>4.5348159659694021E-2</v>
      </c>
      <c r="TR134" s="599">
        <f t="shared" ref="TR134:TR143" si="809">TP134*$F$78</f>
        <v>5.4417791591632821E-4</v>
      </c>
      <c r="TS134" s="600">
        <f t="shared" ref="TS134:TS143" si="810">TP134*$F$83</f>
        <v>5.4871273188229763E-4</v>
      </c>
      <c r="TT134" s="599">
        <f t="shared" ref="TT134:TT143" si="811">TP134*$F$80</f>
        <v>5.4871273188229763E-4</v>
      </c>
      <c r="TU134" s="658">
        <f t="shared" ref="TU134:TU143" si="812">TP134*$F$79</f>
        <v>5.6685199574617524E-4</v>
      </c>
      <c r="TV134" s="664"/>
      <c r="TW134" s="660"/>
      <c r="TX134" s="661"/>
      <c r="TY134" s="651"/>
      <c r="TZ134" s="662"/>
      <c r="UA134" s="663"/>
      <c r="UB134" s="656"/>
      <c r="UC134" s="649" t="str">
        <f t="shared" ref="UC134:UC143" si="813">IF(UB134="Low",TY134*$D$42,IF(UB134="Med",TY134*$D$43,IF(UB134="High",TY134*$D$44,"rango cal. out")))</f>
        <v>rango cal. out</v>
      </c>
      <c r="UD134" s="652" t="e">
        <f t="shared" ref="UD134:UD143" si="814">((273.2+TV134)*$F$33/((273.2+$F$32)*TX134))</f>
        <v>#DIV/0!</v>
      </c>
      <c r="UE134" s="653" t="e">
        <f t="shared" ref="UE134:UE143" si="815">UC134/TZ134*UD134*EXP(-LN(2)/10990*($F$96-UA134))</f>
        <v>#VALUE!</v>
      </c>
      <c r="UF134" s="599" t="e">
        <f>UE134-AVERAGE(UM102:UM103)</f>
        <v>#VALUE!</v>
      </c>
      <c r="UG134" s="599" t="e">
        <f>ABS(#REF!*UF134*3600)</f>
        <v>#REF!</v>
      </c>
      <c r="UH134" s="657" t="e">
        <f t="shared" ref="UH134:UH143" si="816">ABS($B$34*UF134*3600)</f>
        <v>#VALUE!</v>
      </c>
      <c r="UI134" s="600" t="e">
        <f t="shared" ref="UI134:UI143" si="817">UH134*$C$87</f>
        <v>#VALUE!</v>
      </c>
      <c r="UJ134" s="599" t="e">
        <f t="shared" ref="UJ134:UJ143" si="818">UH134*$F$78</f>
        <v>#VALUE!</v>
      </c>
      <c r="UK134" s="600" t="e">
        <f t="shared" ref="UK134:UK143" si="819">UH134*$F$83</f>
        <v>#VALUE!</v>
      </c>
      <c r="UL134" s="599" t="e">
        <f t="shared" ref="UL134:UL143" si="820">UH134*$F$80</f>
        <v>#VALUE!</v>
      </c>
      <c r="UM134" s="658" t="e">
        <f t="shared" ref="UM134:UM143" si="821">UH134*$F$79</f>
        <v>#VALUE!</v>
      </c>
      <c r="UN134" s="2008">
        <v>20</v>
      </c>
      <c r="UO134" s="2016">
        <v>52</v>
      </c>
      <c r="UP134" s="2017">
        <v>1011.3</v>
      </c>
      <c r="UQ134" s="2010">
        <v>-1.9999999999999999E-11</v>
      </c>
      <c r="UR134" s="667">
        <v>60</v>
      </c>
      <c r="US134" s="663">
        <v>44334</v>
      </c>
      <c r="UT134" s="656" t="s">
        <v>268</v>
      </c>
      <c r="UU134" s="649">
        <f t="shared" ref="UU134:UU143" si="822">IF(UT134="Low",UQ134*$D$42,IF(UT134="Med",UQ134*$D$43,IF(UT134="High",UQ134*$D$44,"rango cal. out")))</f>
        <v>-2.0059999999999997E-11</v>
      </c>
      <c r="UV134" s="652">
        <f t="shared" ref="UV134:UV143" si="823">((273.2+UN134)*$F$33/((273.2+$F$32)*UP134))</f>
        <v>0.99514007970100471</v>
      </c>
      <c r="UW134" s="653">
        <f t="shared" ref="UW134:UW143" si="824">UU134/UR134*UV134*EXP(-LN(2)/10990*($F$96-US134))</f>
        <v>-3.2949258198723458E-13</v>
      </c>
      <c r="UX134" s="599">
        <f>UW134-AVERAGE(VE102:VE103)</f>
        <v>-3.2933010890496985E-13</v>
      </c>
      <c r="UY134" s="599" t="e">
        <f>ABS(#REF!*UX134*3600)</f>
        <v>#REF!</v>
      </c>
      <c r="UZ134" s="657">
        <f t="shared" ref="UZ134:UZ143" si="825">ABS($B$34*UX134*3600)</f>
        <v>2.9876827479858868E-5</v>
      </c>
      <c r="VA134" s="600">
        <f t="shared" ref="VA134:VA143" si="826">UZ134*$C$87</f>
        <v>2.987682747985887E-3</v>
      </c>
      <c r="VB134" s="599">
        <f t="shared" ref="VB134:VB143" si="827">UZ134*$F$78</f>
        <v>3.5852192975830643E-5</v>
      </c>
      <c r="VC134" s="600">
        <f t="shared" ref="VC134:VC143" si="828">UZ134*$F$83</f>
        <v>3.6150961250629229E-5</v>
      </c>
      <c r="VD134" s="599">
        <f t="shared" ref="VD134:VD143" si="829">UZ134*$F$80</f>
        <v>3.6150961250629229E-5</v>
      </c>
      <c r="VE134" s="658">
        <f t="shared" ref="VE134:VE143" si="830">UZ134*$F$79</f>
        <v>3.7346034349823582E-5</v>
      </c>
    </row>
    <row r="135" spans="1:577" x14ac:dyDescent="0.25">
      <c r="A135" s="2219"/>
      <c r="B135" s="668">
        <v>20.100000000000001</v>
      </c>
      <c r="C135" s="673">
        <v>52</v>
      </c>
      <c r="D135" s="678">
        <v>1010</v>
      </c>
      <c r="E135" s="2011">
        <v>-4.8300000000000001E-9</v>
      </c>
      <c r="F135" s="673">
        <v>60</v>
      </c>
      <c r="G135" s="663">
        <v>44334</v>
      </c>
      <c r="H135" s="650" t="s">
        <v>1042</v>
      </c>
      <c r="I135" s="671">
        <f t="shared" si="543"/>
        <v>-4.8348299999999995E-9</v>
      </c>
      <c r="J135" s="619">
        <f t="shared" si="544"/>
        <v>0.99676079650648008</v>
      </c>
      <c r="K135" s="674">
        <f t="shared" si="545"/>
        <v>-7.9543125464806285E-11</v>
      </c>
      <c r="L135" s="599">
        <f>K135-AVERAGE(S102:S103)</f>
        <v>-7.9519313497434792E-11</v>
      </c>
      <c r="M135" s="672" t="e">
        <f>ABS(#REF!*L135*3600)</f>
        <v>#REF!</v>
      </c>
      <c r="N135" s="675">
        <f t="shared" si="546"/>
        <v>7.213992120487284E-3</v>
      </c>
      <c r="O135" s="614">
        <f t="shared" si="547"/>
        <v>0.72139921204872837</v>
      </c>
      <c r="P135" s="672">
        <f t="shared" si="548"/>
        <v>8.6567905445847412E-3</v>
      </c>
      <c r="Q135" s="600">
        <f t="shared" si="549"/>
        <v>8.7289304657896128E-3</v>
      </c>
      <c r="R135" s="672">
        <f t="shared" si="550"/>
        <v>8.7289304657896128E-3</v>
      </c>
      <c r="S135" s="676">
        <f t="shared" si="551"/>
        <v>9.0174901506091046E-3</v>
      </c>
      <c r="T135" s="677"/>
      <c r="U135" s="669"/>
      <c r="V135" s="670"/>
      <c r="W135" s="671"/>
      <c r="X135" s="678"/>
      <c r="Y135" s="650"/>
      <c r="Z135" s="650"/>
      <c r="AA135" s="671" t="str">
        <f t="shared" si="552"/>
        <v>rango cal. out</v>
      </c>
      <c r="AB135" s="619" t="e">
        <f t="shared" si="553"/>
        <v>#DIV/0!</v>
      </c>
      <c r="AC135" s="674" t="e">
        <f t="shared" si="554"/>
        <v>#VALUE!</v>
      </c>
      <c r="AD135" s="599" t="e">
        <f>AC135-AVERAGE(#REF!)</f>
        <v>#VALUE!</v>
      </c>
      <c r="AE135" s="672" t="e">
        <f>ABS(#REF!*AD135*3600)</f>
        <v>#REF!</v>
      </c>
      <c r="AF135" s="675" t="e">
        <f t="shared" si="555"/>
        <v>#VALUE!</v>
      </c>
      <c r="AG135" s="614" t="e">
        <f t="shared" si="556"/>
        <v>#VALUE!</v>
      </c>
      <c r="AH135" s="672" t="e">
        <f t="shared" si="557"/>
        <v>#VALUE!</v>
      </c>
      <c r="AI135" s="600" t="e">
        <f t="shared" si="558"/>
        <v>#VALUE!</v>
      </c>
      <c r="AJ135" s="672" t="e">
        <f t="shared" si="559"/>
        <v>#VALUE!</v>
      </c>
      <c r="AK135" s="676" t="e">
        <f t="shared" si="560"/>
        <v>#VALUE!</v>
      </c>
      <c r="AL135" s="677"/>
      <c r="AM135" s="669"/>
      <c r="AN135" s="670"/>
      <c r="AO135" s="671"/>
      <c r="AP135" s="678"/>
      <c r="AQ135" s="650"/>
      <c r="AR135" s="650"/>
      <c r="AS135" s="671" t="str">
        <f t="shared" si="561"/>
        <v>rango cal. out</v>
      </c>
      <c r="AT135" s="619" t="e">
        <f t="shared" si="562"/>
        <v>#DIV/0!</v>
      </c>
      <c r="AU135" s="674" t="e">
        <f t="shared" si="563"/>
        <v>#VALUE!</v>
      </c>
      <c r="AV135" s="599" t="e">
        <f>AU135-AVERAGE(BC102:BC103)</f>
        <v>#VALUE!</v>
      </c>
      <c r="AW135" s="672" t="e">
        <f>ABS(#REF!*AV135*3600)</f>
        <v>#REF!</v>
      </c>
      <c r="AX135" s="675" t="e">
        <f t="shared" si="564"/>
        <v>#VALUE!</v>
      </c>
      <c r="AY135" s="614" t="e">
        <f t="shared" si="565"/>
        <v>#VALUE!</v>
      </c>
      <c r="AZ135" s="672" t="e">
        <f t="shared" si="566"/>
        <v>#VALUE!</v>
      </c>
      <c r="BA135" s="600" t="e">
        <f t="shared" si="567"/>
        <v>#VALUE!</v>
      </c>
      <c r="BB135" s="672" t="e">
        <f t="shared" si="568"/>
        <v>#VALUE!</v>
      </c>
      <c r="BC135" s="676" t="e">
        <f t="shared" si="569"/>
        <v>#VALUE!</v>
      </c>
      <c r="BD135" s="668">
        <v>20.5</v>
      </c>
      <c r="BE135" s="669">
        <v>50</v>
      </c>
      <c r="BF135" s="670">
        <v>1009</v>
      </c>
      <c r="BG135" s="2010">
        <v>-7.78E-10</v>
      </c>
      <c r="BH135" s="673">
        <v>60</v>
      </c>
      <c r="BI135" s="663">
        <v>44334</v>
      </c>
      <c r="BJ135" s="650" t="s">
        <v>268</v>
      </c>
      <c r="BK135" s="671">
        <f t="shared" si="570"/>
        <v>-7.8033399999999996E-10</v>
      </c>
      <c r="BL135" s="619">
        <f t="shared" si="571"/>
        <v>0.9991093874640431</v>
      </c>
      <c r="BM135" s="674">
        <f t="shared" si="572"/>
        <v>-1.2868385553756946E-11</v>
      </c>
      <c r="BN135" s="599">
        <f>BM135-AVERAGE(BU102:BU103)</f>
        <v>-1.286704036964855E-11</v>
      </c>
      <c r="BO135" s="672" t="e">
        <f>ABS(#REF!*BN135*3600)</f>
        <v>#REF!</v>
      </c>
      <c r="BP135" s="675">
        <f t="shared" si="573"/>
        <v>1.1672979023345164E-3</v>
      </c>
      <c r="BQ135" s="614">
        <f t="shared" si="574"/>
        <v>0.11672979023345165</v>
      </c>
      <c r="BR135" s="672">
        <f t="shared" si="575"/>
        <v>1.4007574828014196E-3</v>
      </c>
      <c r="BS135" s="600">
        <f t="shared" si="576"/>
        <v>1.4124304618247647E-3</v>
      </c>
      <c r="BT135" s="672">
        <f t="shared" si="577"/>
        <v>1.4124304618247647E-3</v>
      </c>
      <c r="BU135" s="676">
        <f t="shared" si="578"/>
        <v>1.4591223779181455E-3</v>
      </c>
      <c r="BV135" s="668">
        <v>20.6</v>
      </c>
      <c r="BW135" s="669">
        <v>52</v>
      </c>
      <c r="BX135" s="680">
        <v>1008</v>
      </c>
      <c r="BY135" s="2023">
        <v>-3.3999999999999999E-11</v>
      </c>
      <c r="BZ135" s="673">
        <v>60</v>
      </c>
      <c r="CA135" s="663">
        <v>44334</v>
      </c>
      <c r="CB135" s="650" t="s">
        <v>268</v>
      </c>
      <c r="CC135" s="671">
        <f t="shared" si="579"/>
        <v>-3.4101999999999995E-11</v>
      </c>
      <c r="CD135" s="619">
        <f t="shared" si="580"/>
        <v>1.0004410851400183</v>
      </c>
      <c r="CE135" s="674">
        <f t="shared" si="581"/>
        <v>-5.6312118171895234E-13</v>
      </c>
      <c r="CF135" s="599">
        <f>CE135-AVERAGE(CM102:CM103)</f>
        <v>-5.6131968648381063E-13</v>
      </c>
      <c r="CG135" s="672" t="e">
        <f>ABS(#REF!*CF135*3600)</f>
        <v>#REF!</v>
      </c>
      <c r="CH135" s="675">
        <f t="shared" si="582"/>
        <v>5.0922921957811302E-5</v>
      </c>
      <c r="CI135" s="614">
        <f t="shared" si="583"/>
        <v>5.09229219578113E-3</v>
      </c>
      <c r="CJ135" s="672">
        <f t="shared" si="584"/>
        <v>6.1107506349373559E-5</v>
      </c>
      <c r="CK135" s="600">
        <f t="shared" si="585"/>
        <v>6.161673556895167E-5</v>
      </c>
      <c r="CL135" s="672">
        <f t="shared" si="586"/>
        <v>6.161673556895167E-5</v>
      </c>
      <c r="CM135" s="676">
        <f t="shared" si="587"/>
        <v>6.3653652447264125E-5</v>
      </c>
      <c r="CN135" s="668">
        <v>20.5</v>
      </c>
      <c r="CO135" s="669">
        <v>51</v>
      </c>
      <c r="CP135" s="680">
        <v>1007</v>
      </c>
      <c r="CQ135" s="2011">
        <v>-1.8179999999999999E-9</v>
      </c>
      <c r="CR135" s="673">
        <v>60</v>
      </c>
      <c r="CS135" s="663">
        <v>44334</v>
      </c>
      <c r="CT135" s="650" t="s">
        <v>268</v>
      </c>
      <c r="CU135" s="671">
        <f t="shared" si="588"/>
        <v>-1.8234539999999998E-9</v>
      </c>
      <c r="CV135" s="619">
        <f t="shared" si="589"/>
        <v>1.001093715939642</v>
      </c>
      <c r="CW135" s="674">
        <f t="shared" si="590"/>
        <v>-3.0130063158355141E-11</v>
      </c>
      <c r="CX135" s="599">
        <f>CW135-AVERAGE(DE102:DE103)</f>
        <v>-3.0118775471649718E-11</v>
      </c>
      <c r="CY135" s="672" t="e">
        <f>ABS(#REF!*CX135*3600)</f>
        <v>#REF!</v>
      </c>
      <c r="CZ135" s="675">
        <f t="shared" si="591"/>
        <v>2.7323753107880624E-3</v>
      </c>
      <c r="DA135" s="614">
        <f t="shared" si="592"/>
        <v>0.27323753107880622</v>
      </c>
      <c r="DB135" s="672">
        <f t="shared" si="593"/>
        <v>3.2788503729456746E-3</v>
      </c>
      <c r="DC135" s="600">
        <f t="shared" si="594"/>
        <v>3.3061741260535554E-3</v>
      </c>
      <c r="DD135" s="672">
        <f t="shared" si="595"/>
        <v>3.3061741260535554E-3</v>
      </c>
      <c r="DE135" s="676">
        <f t="shared" si="596"/>
        <v>3.415469138485078E-3</v>
      </c>
      <c r="DF135" s="668"/>
      <c r="DG135" s="669"/>
      <c r="DH135" s="670"/>
      <c r="DI135" s="671"/>
      <c r="DJ135" s="678"/>
      <c r="DK135" s="650"/>
      <c r="DL135" s="650" t="s">
        <v>268</v>
      </c>
      <c r="DM135" s="671">
        <f t="shared" si="597"/>
        <v>0</v>
      </c>
      <c r="DN135" s="619" t="e">
        <f t="shared" si="598"/>
        <v>#DIV/0!</v>
      </c>
      <c r="DO135" s="674" t="e">
        <f t="shared" si="599"/>
        <v>#DIV/0!</v>
      </c>
      <c r="DP135" s="599" t="e">
        <f>DO135-AVERAGE(DW102:DW103)</f>
        <v>#DIV/0!</v>
      </c>
      <c r="DQ135" s="672" t="e">
        <f>ABS(#REF!*DP135*3600)</f>
        <v>#REF!</v>
      </c>
      <c r="DR135" s="675" t="e">
        <f t="shared" si="600"/>
        <v>#DIV/0!</v>
      </c>
      <c r="DS135" s="614" t="e">
        <f t="shared" si="601"/>
        <v>#DIV/0!</v>
      </c>
      <c r="DT135" s="672" t="e">
        <f t="shared" si="602"/>
        <v>#DIV/0!</v>
      </c>
      <c r="DU135" s="600" t="e">
        <f t="shared" si="603"/>
        <v>#DIV/0!</v>
      </c>
      <c r="DV135" s="672" t="e">
        <f t="shared" si="604"/>
        <v>#DIV/0!</v>
      </c>
      <c r="DW135" s="676" t="e">
        <f t="shared" si="605"/>
        <v>#DIV/0!</v>
      </c>
      <c r="DX135" s="668"/>
      <c r="DY135" s="669"/>
      <c r="DZ135" s="677"/>
      <c r="EA135" s="679"/>
      <c r="EB135" s="678"/>
      <c r="EC135" s="650"/>
      <c r="ED135" s="650"/>
      <c r="EE135" s="671" t="str">
        <f t="shared" si="606"/>
        <v>rango cal. out</v>
      </c>
      <c r="EF135" s="619" t="e">
        <f t="shared" si="607"/>
        <v>#DIV/0!</v>
      </c>
      <c r="EG135" s="674" t="e">
        <f t="shared" si="608"/>
        <v>#VALUE!</v>
      </c>
      <c r="EH135" s="599" t="e">
        <f>EG135-AVERAGE(EO102:EO103)</f>
        <v>#VALUE!</v>
      </c>
      <c r="EI135" s="672" t="e">
        <f>ABS(#REF!*EH135*3600)</f>
        <v>#REF!</v>
      </c>
      <c r="EJ135" s="675" t="e">
        <f t="shared" si="609"/>
        <v>#VALUE!</v>
      </c>
      <c r="EK135" s="614" t="e">
        <f t="shared" si="610"/>
        <v>#VALUE!</v>
      </c>
      <c r="EL135" s="672" t="e">
        <f t="shared" si="611"/>
        <v>#VALUE!</v>
      </c>
      <c r="EM135" s="600" t="e">
        <f t="shared" si="612"/>
        <v>#VALUE!</v>
      </c>
      <c r="EN135" s="672" t="e">
        <f t="shared" si="613"/>
        <v>#VALUE!</v>
      </c>
      <c r="EO135" s="676" t="e">
        <f t="shared" si="614"/>
        <v>#VALUE!</v>
      </c>
      <c r="EP135" s="668">
        <v>20.7</v>
      </c>
      <c r="EQ135" s="669">
        <v>53</v>
      </c>
      <c r="ER135" s="670">
        <v>1007</v>
      </c>
      <c r="ES135" s="2023">
        <v>-7.0000000000000001E-12</v>
      </c>
      <c r="ET135" s="673">
        <v>60</v>
      </c>
      <c r="EU135" s="663">
        <v>44334</v>
      </c>
      <c r="EV135" s="650" t="s">
        <v>268</v>
      </c>
      <c r="EW135" s="671">
        <f t="shared" si="615"/>
        <v>-7.0209999999999993E-12</v>
      </c>
      <c r="EX135" s="619">
        <f t="shared" si="616"/>
        <v>1.0017754276971766</v>
      </c>
      <c r="EY135" s="674">
        <f t="shared" si="617"/>
        <v>-1.1609134496911118E-13</v>
      </c>
      <c r="EZ135" s="599">
        <f>EY135-AVERAGE(FG102:FG103)</f>
        <v>-1.1717190877871091E-13</v>
      </c>
      <c r="FA135" s="672" t="e">
        <f>ABS(#REF!*EZ135*3600)</f>
        <v>#REF!</v>
      </c>
      <c r="FB135" s="675">
        <f t="shared" si="618"/>
        <v>1.0629835564404653E-5</v>
      </c>
      <c r="FC135" s="614">
        <f t="shared" si="619"/>
        <v>1.0629835564404653E-3</v>
      </c>
      <c r="FD135" s="672">
        <f t="shared" si="620"/>
        <v>1.2755802677285584E-5</v>
      </c>
      <c r="FE135" s="600">
        <f t="shared" si="621"/>
        <v>1.286210103292963E-5</v>
      </c>
      <c r="FF135" s="672">
        <f t="shared" si="622"/>
        <v>1.286210103292963E-5</v>
      </c>
      <c r="FG135" s="676">
        <f t="shared" si="623"/>
        <v>1.3287294455505816E-5</v>
      </c>
      <c r="FH135" s="668"/>
      <c r="FI135" s="669"/>
      <c r="FJ135" s="670"/>
      <c r="FK135" s="671"/>
      <c r="FL135" s="678"/>
      <c r="FM135" s="650"/>
      <c r="FN135" s="650"/>
      <c r="FO135" s="671" t="str">
        <f t="shared" si="624"/>
        <v>rango cal. out</v>
      </c>
      <c r="FP135" s="619" t="e">
        <f t="shared" si="625"/>
        <v>#DIV/0!</v>
      </c>
      <c r="FQ135" s="674" t="e">
        <f t="shared" si="626"/>
        <v>#VALUE!</v>
      </c>
      <c r="FR135" s="599" t="e">
        <f>FQ135-AVERAGE(FY102:FY103)</f>
        <v>#VALUE!</v>
      </c>
      <c r="FS135" s="672" t="e">
        <f>ABS(#REF!*FR135*3600)</f>
        <v>#REF!</v>
      </c>
      <c r="FT135" s="675" t="e">
        <f t="shared" si="627"/>
        <v>#VALUE!</v>
      </c>
      <c r="FU135" s="614" t="e">
        <f t="shared" si="628"/>
        <v>#VALUE!</v>
      </c>
      <c r="FV135" s="672" t="e">
        <f t="shared" si="629"/>
        <v>#VALUE!</v>
      </c>
      <c r="FW135" s="600" t="e">
        <f t="shared" si="630"/>
        <v>#VALUE!</v>
      </c>
      <c r="FX135" s="672" t="e">
        <f t="shared" si="631"/>
        <v>#VALUE!</v>
      </c>
      <c r="FY135" s="676" t="e">
        <f t="shared" si="632"/>
        <v>#VALUE!</v>
      </c>
      <c r="FZ135" s="668"/>
      <c r="GA135" s="669"/>
      <c r="GB135" s="670"/>
      <c r="GC135" s="671"/>
      <c r="GD135" s="678"/>
      <c r="GE135" s="650"/>
      <c r="GF135" s="650"/>
      <c r="GG135" s="671" t="str">
        <f t="shared" si="633"/>
        <v>rango cal. out</v>
      </c>
      <c r="GH135" s="619" t="e">
        <f t="shared" si="634"/>
        <v>#DIV/0!</v>
      </c>
      <c r="GI135" s="674" t="e">
        <f t="shared" si="635"/>
        <v>#VALUE!</v>
      </c>
      <c r="GJ135" s="599" t="e">
        <f>GI135-AVERAGE(GQ102:GQ103)</f>
        <v>#VALUE!</v>
      </c>
      <c r="GK135" s="672" t="e">
        <f>ABS(#REF!*GJ135*3600)</f>
        <v>#REF!</v>
      </c>
      <c r="GL135" s="675" t="e">
        <f t="shared" si="636"/>
        <v>#VALUE!</v>
      </c>
      <c r="GM135" s="614" t="e">
        <f t="shared" si="637"/>
        <v>#VALUE!</v>
      </c>
      <c r="GN135" s="672" t="e">
        <f t="shared" si="638"/>
        <v>#VALUE!</v>
      </c>
      <c r="GO135" s="600" t="e">
        <f t="shared" si="639"/>
        <v>#VALUE!</v>
      </c>
      <c r="GP135" s="672" t="e">
        <f t="shared" si="640"/>
        <v>#VALUE!</v>
      </c>
      <c r="GQ135" s="676" t="e">
        <f t="shared" si="641"/>
        <v>#VALUE!</v>
      </c>
      <c r="GR135" s="668"/>
      <c r="GS135" s="669"/>
      <c r="GT135" s="677"/>
      <c r="GU135" s="679"/>
      <c r="GV135" s="678"/>
      <c r="GW135" s="650"/>
      <c r="GX135" s="650"/>
      <c r="GY135" s="671" t="str">
        <f t="shared" si="642"/>
        <v>rango cal. out</v>
      </c>
      <c r="GZ135" s="619" t="e">
        <f t="shared" si="643"/>
        <v>#DIV/0!</v>
      </c>
      <c r="HA135" s="674" t="e">
        <f t="shared" si="644"/>
        <v>#VALUE!</v>
      </c>
      <c r="HB135" s="599" t="e">
        <f>HA135-AVERAGE(HI102:HI103)</f>
        <v>#VALUE!</v>
      </c>
      <c r="HC135" s="672" t="e">
        <f>ABS(#REF!*HB135*3600)</f>
        <v>#REF!</v>
      </c>
      <c r="HD135" s="675" t="e">
        <f t="shared" si="645"/>
        <v>#VALUE!</v>
      </c>
      <c r="HE135" s="614" t="e">
        <f t="shared" si="646"/>
        <v>#VALUE!</v>
      </c>
      <c r="HF135" s="672" t="e">
        <f t="shared" si="647"/>
        <v>#VALUE!</v>
      </c>
      <c r="HG135" s="600" t="e">
        <f t="shared" si="648"/>
        <v>#VALUE!</v>
      </c>
      <c r="HH135" s="672" t="e">
        <f t="shared" si="649"/>
        <v>#VALUE!</v>
      </c>
      <c r="HI135" s="676" t="e">
        <f t="shared" si="650"/>
        <v>#VALUE!</v>
      </c>
      <c r="HJ135" s="668"/>
      <c r="HK135" s="669"/>
      <c r="HL135" s="670"/>
      <c r="HM135" s="671"/>
      <c r="HN135" s="678"/>
      <c r="HO135" s="650"/>
      <c r="HP135" s="650"/>
      <c r="HQ135" s="671" t="str">
        <f t="shared" si="651"/>
        <v>rango cal. out</v>
      </c>
      <c r="HR135" s="619" t="e">
        <f t="shared" si="652"/>
        <v>#DIV/0!</v>
      </c>
      <c r="HS135" s="674" t="e">
        <f t="shared" si="653"/>
        <v>#VALUE!</v>
      </c>
      <c r="HT135" s="599" t="e">
        <f>HS135-AVERAGE(IA102:IA103)</f>
        <v>#VALUE!</v>
      </c>
      <c r="HU135" s="672" t="e">
        <f>ABS(#REF!*HT135*3600)</f>
        <v>#REF!</v>
      </c>
      <c r="HV135" s="675" t="e">
        <f t="shared" si="654"/>
        <v>#VALUE!</v>
      </c>
      <c r="HW135" s="614" t="e">
        <f t="shared" si="655"/>
        <v>#VALUE!</v>
      </c>
      <c r="HX135" s="672" t="e">
        <f t="shared" si="656"/>
        <v>#VALUE!</v>
      </c>
      <c r="HY135" s="600" t="e">
        <f t="shared" si="657"/>
        <v>#VALUE!</v>
      </c>
      <c r="HZ135" s="672" t="e">
        <f t="shared" si="658"/>
        <v>#VALUE!</v>
      </c>
      <c r="IA135" s="676" t="e">
        <f t="shared" si="659"/>
        <v>#VALUE!</v>
      </c>
      <c r="IB135" s="668"/>
      <c r="IC135" s="669"/>
      <c r="ID135" s="670"/>
      <c r="IE135" s="671"/>
      <c r="IF135" s="678"/>
      <c r="IG135" s="650"/>
      <c r="IH135" s="650"/>
      <c r="II135" s="671" t="str">
        <f t="shared" si="660"/>
        <v>rango cal. out</v>
      </c>
      <c r="IJ135" s="619" t="e">
        <f t="shared" si="661"/>
        <v>#DIV/0!</v>
      </c>
      <c r="IK135" s="674" t="e">
        <f t="shared" si="662"/>
        <v>#VALUE!</v>
      </c>
      <c r="IL135" s="599" t="e">
        <f>IK135-AVERAGE(IS102:IS103)</f>
        <v>#VALUE!</v>
      </c>
      <c r="IM135" s="672" t="e">
        <f>ABS(#REF!*IL135*3600)</f>
        <v>#REF!</v>
      </c>
      <c r="IN135" s="675" t="e">
        <f t="shared" si="663"/>
        <v>#VALUE!</v>
      </c>
      <c r="IO135" s="614" t="e">
        <f t="shared" si="664"/>
        <v>#VALUE!</v>
      </c>
      <c r="IP135" s="672" t="e">
        <f t="shared" si="665"/>
        <v>#VALUE!</v>
      </c>
      <c r="IQ135" s="600" t="e">
        <f t="shared" si="666"/>
        <v>#VALUE!</v>
      </c>
      <c r="IR135" s="672" t="e">
        <f t="shared" si="667"/>
        <v>#VALUE!</v>
      </c>
      <c r="IS135" s="676" t="e">
        <f t="shared" si="668"/>
        <v>#VALUE!</v>
      </c>
      <c r="IT135" s="668"/>
      <c r="IU135" s="669"/>
      <c r="IV135" s="670"/>
      <c r="IW135" s="671"/>
      <c r="IX135" s="678"/>
      <c r="IY135" s="650"/>
      <c r="IZ135" s="650"/>
      <c r="JA135" s="671" t="str">
        <f t="shared" si="669"/>
        <v>rango cal. out</v>
      </c>
      <c r="JB135" s="619" t="e">
        <f t="shared" si="670"/>
        <v>#DIV/0!</v>
      </c>
      <c r="JC135" s="674" t="e">
        <f t="shared" si="671"/>
        <v>#VALUE!</v>
      </c>
      <c r="JD135" s="599" t="e">
        <f>JC135-AVERAGE(JK102:JK103)</f>
        <v>#VALUE!</v>
      </c>
      <c r="JE135" s="672" t="e">
        <f>ABS(#REF!*JD135*3600)</f>
        <v>#REF!</v>
      </c>
      <c r="JF135" s="675" t="e">
        <f t="shared" si="672"/>
        <v>#VALUE!</v>
      </c>
      <c r="JG135" s="614" t="e">
        <f t="shared" si="673"/>
        <v>#VALUE!</v>
      </c>
      <c r="JH135" s="672" t="e">
        <f t="shared" si="674"/>
        <v>#VALUE!</v>
      </c>
      <c r="JI135" s="600" t="e">
        <f t="shared" si="675"/>
        <v>#VALUE!</v>
      </c>
      <c r="JJ135" s="672" t="e">
        <f t="shared" si="676"/>
        <v>#VALUE!</v>
      </c>
      <c r="JK135" s="676" t="e">
        <f t="shared" si="677"/>
        <v>#VALUE!</v>
      </c>
      <c r="JL135" s="668"/>
      <c r="JM135" s="669"/>
      <c r="JN135" s="670"/>
      <c r="JO135" s="671"/>
      <c r="JP135" s="678"/>
      <c r="JQ135" s="650"/>
      <c r="JR135" s="650"/>
      <c r="JS135" s="671" t="str">
        <f t="shared" si="678"/>
        <v>rango cal. out</v>
      </c>
      <c r="JT135" s="619" t="e">
        <f t="shared" si="679"/>
        <v>#DIV/0!</v>
      </c>
      <c r="JU135" s="674" t="e">
        <f t="shared" si="680"/>
        <v>#VALUE!</v>
      </c>
      <c r="JV135" s="599" t="e">
        <f>JU135-AVERAGE(KC102:KC103)</f>
        <v>#VALUE!</v>
      </c>
      <c r="JW135" s="672" t="e">
        <f>ABS(#REF!*JV135*3600)</f>
        <v>#REF!</v>
      </c>
      <c r="JX135" s="675" t="e">
        <f t="shared" si="681"/>
        <v>#VALUE!</v>
      </c>
      <c r="JY135" s="614" t="e">
        <f t="shared" si="682"/>
        <v>#VALUE!</v>
      </c>
      <c r="JZ135" s="672" t="e">
        <f t="shared" si="683"/>
        <v>#VALUE!</v>
      </c>
      <c r="KA135" s="600" t="e">
        <f t="shared" si="684"/>
        <v>#VALUE!</v>
      </c>
      <c r="KB135" s="672" t="e">
        <f t="shared" si="685"/>
        <v>#VALUE!</v>
      </c>
      <c r="KC135" s="676" t="e">
        <f t="shared" si="686"/>
        <v>#VALUE!</v>
      </c>
      <c r="KD135" s="668"/>
      <c r="KE135" s="669"/>
      <c r="KF135" s="670"/>
      <c r="KG135" s="671"/>
      <c r="KH135" s="678"/>
      <c r="KI135" s="650"/>
      <c r="KJ135" s="650"/>
      <c r="KK135" s="671" t="str">
        <f t="shared" si="687"/>
        <v>rango cal. out</v>
      </c>
      <c r="KL135" s="619" t="e">
        <f t="shared" si="688"/>
        <v>#DIV/0!</v>
      </c>
      <c r="KM135" s="674" t="e">
        <f t="shared" si="689"/>
        <v>#VALUE!</v>
      </c>
      <c r="KN135" s="599" t="e">
        <f>KM135-AVERAGE(KU102:KU103)</f>
        <v>#VALUE!</v>
      </c>
      <c r="KO135" s="672" t="e">
        <f>ABS(#REF!*KN135*3600)</f>
        <v>#REF!</v>
      </c>
      <c r="KP135" s="675" t="e">
        <f t="shared" si="690"/>
        <v>#VALUE!</v>
      </c>
      <c r="KQ135" s="614" t="e">
        <f t="shared" si="691"/>
        <v>#VALUE!</v>
      </c>
      <c r="KR135" s="672" t="e">
        <f t="shared" si="692"/>
        <v>#VALUE!</v>
      </c>
      <c r="KS135" s="600" t="e">
        <f t="shared" si="693"/>
        <v>#VALUE!</v>
      </c>
      <c r="KT135" s="672" t="e">
        <f t="shared" si="694"/>
        <v>#VALUE!</v>
      </c>
      <c r="KU135" s="676" t="e">
        <f t="shared" si="695"/>
        <v>#VALUE!</v>
      </c>
      <c r="KV135" s="668"/>
      <c r="KW135" s="669"/>
      <c r="KX135" s="670"/>
      <c r="KY135" s="671"/>
      <c r="KZ135" s="678"/>
      <c r="LA135" s="650"/>
      <c r="LB135" s="650"/>
      <c r="LC135" s="671" t="str">
        <f t="shared" si="696"/>
        <v>rango cal. out</v>
      </c>
      <c r="LD135" s="619" t="e">
        <f t="shared" si="697"/>
        <v>#DIV/0!</v>
      </c>
      <c r="LE135" s="674" t="e">
        <f t="shared" si="698"/>
        <v>#VALUE!</v>
      </c>
      <c r="LF135" s="599" t="e">
        <f>LE135-AVERAGE(LM102:LM103)</f>
        <v>#VALUE!</v>
      </c>
      <c r="LG135" s="672" t="e">
        <f>ABS(#REF!*LF135*3600)</f>
        <v>#REF!</v>
      </c>
      <c r="LH135" s="675" t="e">
        <f t="shared" si="699"/>
        <v>#VALUE!</v>
      </c>
      <c r="LI135" s="614" t="e">
        <f t="shared" si="700"/>
        <v>#VALUE!</v>
      </c>
      <c r="LJ135" s="672" t="e">
        <f t="shared" si="701"/>
        <v>#VALUE!</v>
      </c>
      <c r="LK135" s="600" t="e">
        <f t="shared" si="702"/>
        <v>#VALUE!</v>
      </c>
      <c r="LL135" s="672" t="e">
        <f t="shared" si="703"/>
        <v>#VALUE!</v>
      </c>
      <c r="LM135" s="676" t="e">
        <f t="shared" si="704"/>
        <v>#VALUE!</v>
      </c>
      <c r="LN135" s="668"/>
      <c r="LO135" s="669"/>
      <c r="LP135" s="670"/>
      <c r="LQ135" s="671"/>
      <c r="LR135" s="678"/>
      <c r="LS135" s="650"/>
      <c r="LT135" s="650"/>
      <c r="LU135" s="671" t="str">
        <f t="shared" si="705"/>
        <v>rango cal. out</v>
      </c>
      <c r="LV135" s="619" t="e">
        <f t="shared" si="706"/>
        <v>#DIV/0!</v>
      </c>
      <c r="LW135" s="674" t="e">
        <f t="shared" si="707"/>
        <v>#VALUE!</v>
      </c>
      <c r="LX135" s="599" t="e">
        <f>LW135-AVERAGE(ME102:ME103)</f>
        <v>#VALUE!</v>
      </c>
      <c r="LY135" s="672" t="e">
        <f>ABS(#REF!*LX135*3600)</f>
        <v>#REF!</v>
      </c>
      <c r="LZ135" s="675" t="e">
        <f t="shared" si="708"/>
        <v>#VALUE!</v>
      </c>
      <c r="MA135" s="614" t="e">
        <f t="shared" si="709"/>
        <v>#VALUE!</v>
      </c>
      <c r="MB135" s="672" t="e">
        <f t="shared" si="710"/>
        <v>#VALUE!</v>
      </c>
      <c r="MC135" s="600" t="e">
        <f t="shared" si="711"/>
        <v>#VALUE!</v>
      </c>
      <c r="MD135" s="672" t="e">
        <f t="shared" si="712"/>
        <v>#VALUE!</v>
      </c>
      <c r="ME135" s="676" t="e">
        <f t="shared" si="713"/>
        <v>#VALUE!</v>
      </c>
      <c r="MF135" s="668"/>
      <c r="MG135" s="669"/>
      <c r="MH135" s="670"/>
      <c r="MI135" s="671"/>
      <c r="MJ135" s="678"/>
      <c r="MK135" s="650"/>
      <c r="ML135" s="650"/>
      <c r="MM135" s="671" t="str">
        <f t="shared" si="714"/>
        <v>rango cal. out</v>
      </c>
      <c r="MN135" s="619" t="e">
        <f t="shared" si="715"/>
        <v>#DIV/0!</v>
      </c>
      <c r="MO135" s="674" t="e">
        <f t="shared" si="716"/>
        <v>#VALUE!</v>
      </c>
      <c r="MP135" s="599" t="e">
        <f>MO135-AVERAGE(MW102:MW103)</f>
        <v>#VALUE!</v>
      </c>
      <c r="MQ135" s="672" t="e">
        <f>ABS(#REF!*MP135*3600)</f>
        <v>#REF!</v>
      </c>
      <c r="MR135" s="675" t="e">
        <f t="shared" si="717"/>
        <v>#VALUE!</v>
      </c>
      <c r="MS135" s="614" t="e">
        <f t="shared" si="718"/>
        <v>#VALUE!</v>
      </c>
      <c r="MT135" s="672" t="e">
        <f t="shared" si="719"/>
        <v>#VALUE!</v>
      </c>
      <c r="MU135" s="600" t="e">
        <f t="shared" si="720"/>
        <v>#VALUE!</v>
      </c>
      <c r="MV135" s="672" t="e">
        <f t="shared" si="721"/>
        <v>#VALUE!</v>
      </c>
      <c r="MW135" s="676" t="e">
        <f t="shared" si="722"/>
        <v>#VALUE!</v>
      </c>
      <c r="MX135" s="668"/>
      <c r="MY135" s="669"/>
      <c r="MZ135" s="680"/>
      <c r="NA135" s="671"/>
      <c r="NB135" s="673"/>
      <c r="NC135" s="650"/>
      <c r="ND135" s="650"/>
      <c r="NE135" s="671" t="str">
        <f t="shared" si="723"/>
        <v>rango cal. out</v>
      </c>
      <c r="NF135" s="619" t="e">
        <f t="shared" si="724"/>
        <v>#DIV/0!</v>
      </c>
      <c r="NG135" s="674" t="e">
        <f t="shared" si="725"/>
        <v>#VALUE!</v>
      </c>
      <c r="NH135" s="599" t="e">
        <f>NG135-AVERAGE(NO102:NO103)</f>
        <v>#VALUE!</v>
      </c>
      <c r="NI135" s="672" t="e">
        <f>ABS(#REF!*NH135*3600)</f>
        <v>#REF!</v>
      </c>
      <c r="NJ135" s="675" t="e">
        <f t="shared" si="726"/>
        <v>#VALUE!</v>
      </c>
      <c r="NK135" s="614" t="e">
        <f t="shared" si="727"/>
        <v>#VALUE!</v>
      </c>
      <c r="NL135" s="672" t="e">
        <f t="shared" si="728"/>
        <v>#VALUE!</v>
      </c>
      <c r="NM135" s="600" t="e">
        <f t="shared" si="729"/>
        <v>#VALUE!</v>
      </c>
      <c r="NN135" s="672" t="e">
        <f t="shared" si="730"/>
        <v>#VALUE!</v>
      </c>
      <c r="NO135" s="676" t="e">
        <f t="shared" si="731"/>
        <v>#VALUE!</v>
      </c>
      <c r="NP135" s="668">
        <v>20.5</v>
      </c>
      <c r="NQ135" s="669">
        <v>54</v>
      </c>
      <c r="NR135" s="670">
        <v>1007</v>
      </c>
      <c r="NS135" s="2011">
        <v>-6E-11</v>
      </c>
      <c r="NT135" s="678">
        <v>60</v>
      </c>
      <c r="NU135" s="663">
        <v>44334</v>
      </c>
      <c r="NV135" s="650" t="s">
        <v>268</v>
      </c>
      <c r="NW135" s="671">
        <f t="shared" si="732"/>
        <v>-6.0179999999999993E-11</v>
      </c>
      <c r="NX135" s="619">
        <f t="shared" si="733"/>
        <v>1.001093715939642</v>
      </c>
      <c r="NY135" s="674">
        <f t="shared" si="734"/>
        <v>-9.9439152337805719E-13</v>
      </c>
      <c r="NZ135" s="599">
        <f>NY135-AVERAGE(OG102:OG103)</f>
        <v>-9.9514368445001569E-13</v>
      </c>
      <c r="OA135" s="672" t="e">
        <f>ABS(#REF!*NZ135*3600)</f>
        <v>#REF!</v>
      </c>
      <c r="OB135" s="675">
        <f t="shared" si="735"/>
        <v>9.0279435053305427E-5</v>
      </c>
      <c r="OC135" s="614">
        <f t="shared" si="736"/>
        <v>9.0279435053305431E-3</v>
      </c>
      <c r="OD135" s="672">
        <f t="shared" si="737"/>
        <v>1.083353220639665E-4</v>
      </c>
      <c r="OE135" s="600">
        <f t="shared" si="738"/>
        <v>1.0923811641449957E-4</v>
      </c>
      <c r="OF135" s="672">
        <f t="shared" si="739"/>
        <v>1.0923811641449957E-4</v>
      </c>
      <c r="OG135" s="676">
        <f t="shared" si="740"/>
        <v>1.1284929381663178E-4</v>
      </c>
      <c r="OH135" s="668"/>
      <c r="OI135" s="669"/>
      <c r="OJ135" s="670"/>
      <c r="OK135" s="671"/>
      <c r="OL135" s="678"/>
      <c r="OM135" s="650"/>
      <c r="ON135" s="650"/>
      <c r="OO135" s="671" t="str">
        <f t="shared" si="741"/>
        <v>rango cal. out</v>
      </c>
      <c r="OP135" s="619" t="e">
        <f t="shared" si="742"/>
        <v>#DIV/0!</v>
      </c>
      <c r="OQ135" s="674" t="e">
        <f t="shared" si="743"/>
        <v>#VALUE!</v>
      </c>
      <c r="OR135" s="599" t="e">
        <f>OQ135-AVERAGE(OY102:OY103)</f>
        <v>#VALUE!</v>
      </c>
      <c r="OS135" s="672" t="e">
        <f>ABS(#REF!*OR135*3600)</f>
        <v>#REF!</v>
      </c>
      <c r="OT135" s="675" t="e">
        <f t="shared" si="744"/>
        <v>#VALUE!</v>
      </c>
      <c r="OU135" s="614" t="e">
        <f t="shared" si="745"/>
        <v>#VALUE!</v>
      </c>
      <c r="OV135" s="672" t="e">
        <f t="shared" si="746"/>
        <v>#VALUE!</v>
      </c>
      <c r="OW135" s="600" t="e">
        <f t="shared" si="747"/>
        <v>#VALUE!</v>
      </c>
      <c r="OX135" s="672" t="e">
        <f t="shared" si="748"/>
        <v>#VALUE!</v>
      </c>
      <c r="OY135" s="676" t="e">
        <f t="shared" si="749"/>
        <v>#VALUE!</v>
      </c>
      <c r="OZ135" s="668">
        <v>20.5</v>
      </c>
      <c r="PA135" s="669">
        <v>53</v>
      </c>
      <c r="PB135" s="670">
        <v>1007</v>
      </c>
      <c r="PC135" s="2011">
        <v>-1.3250000000000001E-10</v>
      </c>
      <c r="PD135" s="673">
        <v>60</v>
      </c>
      <c r="PE135" s="663">
        <v>44334</v>
      </c>
      <c r="PF135" s="650" t="s">
        <v>268</v>
      </c>
      <c r="PG135" s="671">
        <f t="shared" si="750"/>
        <v>-1.3289750000000001E-10</v>
      </c>
      <c r="PH135" s="619">
        <f t="shared" si="751"/>
        <v>1.001093715939642</v>
      </c>
      <c r="PI135" s="674">
        <f t="shared" si="752"/>
        <v>-2.1959479474598772E-12</v>
      </c>
      <c r="PJ135" s="599">
        <f>PI135-AVERAGE(PQ102:PQ103)</f>
        <v>-2.1942747373634369E-12</v>
      </c>
      <c r="PK135" s="672" t="e">
        <f>ABS(#REF!*PJ135*3600)</f>
        <v>#REF!</v>
      </c>
      <c r="PL135" s="675">
        <f t="shared" si="753"/>
        <v>1.9906460417361098E-4</v>
      </c>
      <c r="PM135" s="614">
        <f t="shared" si="754"/>
        <v>1.9906460417361098E-2</v>
      </c>
      <c r="PN135" s="672">
        <f t="shared" si="755"/>
        <v>2.3887752500833316E-4</v>
      </c>
      <c r="PO135" s="600">
        <f t="shared" si="756"/>
        <v>2.4086817105006928E-4</v>
      </c>
      <c r="PP135" s="672">
        <f t="shared" si="757"/>
        <v>2.4086817105006928E-4</v>
      </c>
      <c r="PQ135" s="676">
        <f t="shared" si="758"/>
        <v>2.4883075521701372E-4</v>
      </c>
      <c r="PR135" s="668"/>
      <c r="PS135" s="669"/>
      <c r="PT135" s="670"/>
      <c r="PU135" s="671"/>
      <c r="PV135" s="678"/>
      <c r="PW135" s="650"/>
      <c r="PX135" s="650"/>
      <c r="PY135" s="671" t="str">
        <f t="shared" si="759"/>
        <v>rango cal. out</v>
      </c>
      <c r="PZ135" s="619" t="e">
        <f t="shared" si="760"/>
        <v>#DIV/0!</v>
      </c>
      <c r="QA135" s="674" t="e">
        <f t="shared" si="761"/>
        <v>#VALUE!</v>
      </c>
      <c r="QB135" s="599" t="e">
        <f>QA135-AVERAGE(QI102:QI103)</f>
        <v>#VALUE!</v>
      </c>
      <c r="QC135" s="672" t="e">
        <f>ABS(#REF!*QB135*3600)</f>
        <v>#REF!</v>
      </c>
      <c r="QD135" s="675" t="e">
        <f t="shared" si="762"/>
        <v>#VALUE!</v>
      </c>
      <c r="QE135" s="614" t="e">
        <f t="shared" si="763"/>
        <v>#VALUE!</v>
      </c>
      <c r="QF135" s="672" t="e">
        <f t="shared" si="764"/>
        <v>#VALUE!</v>
      </c>
      <c r="QG135" s="600" t="e">
        <f t="shared" si="765"/>
        <v>#VALUE!</v>
      </c>
      <c r="QH135" s="672" t="e">
        <f t="shared" si="766"/>
        <v>#VALUE!</v>
      </c>
      <c r="QI135" s="676" t="e">
        <f t="shared" si="767"/>
        <v>#VALUE!</v>
      </c>
      <c r="QJ135" s="668"/>
      <c r="QK135" s="669"/>
      <c r="QL135" s="670"/>
      <c r="QM135" s="671"/>
      <c r="QN135" s="678"/>
      <c r="QO135" s="650"/>
      <c r="QP135" s="650"/>
      <c r="QQ135" s="671" t="str">
        <f t="shared" si="768"/>
        <v>rango cal. out</v>
      </c>
      <c r="QR135" s="619" t="e">
        <f t="shared" si="769"/>
        <v>#DIV/0!</v>
      </c>
      <c r="QS135" s="674" t="e">
        <f t="shared" si="770"/>
        <v>#VALUE!</v>
      </c>
      <c r="QT135" s="599" t="e">
        <f>QS135-AVERAGE(RA102:RA103)</f>
        <v>#VALUE!</v>
      </c>
      <c r="QU135" s="672" t="e">
        <f>ABS(#REF!*QT135*3600)</f>
        <v>#REF!</v>
      </c>
      <c r="QV135" s="675" t="e">
        <f t="shared" si="771"/>
        <v>#VALUE!</v>
      </c>
      <c r="QW135" s="614" t="e">
        <f t="shared" si="772"/>
        <v>#VALUE!</v>
      </c>
      <c r="QX135" s="672" t="e">
        <f t="shared" si="773"/>
        <v>#VALUE!</v>
      </c>
      <c r="QY135" s="600" t="e">
        <f t="shared" si="774"/>
        <v>#VALUE!</v>
      </c>
      <c r="QZ135" s="672" t="e">
        <f t="shared" si="775"/>
        <v>#VALUE!</v>
      </c>
      <c r="RA135" s="676" t="e">
        <f t="shared" si="776"/>
        <v>#VALUE!</v>
      </c>
      <c r="RB135" s="668"/>
      <c r="RC135" s="669"/>
      <c r="RD135" s="680"/>
      <c r="RE135" s="671"/>
      <c r="RF135" s="673"/>
      <c r="RG135" s="650"/>
      <c r="RH135" s="650"/>
      <c r="RI135" s="671" t="str">
        <f t="shared" si="777"/>
        <v>rango cal. out</v>
      </c>
      <c r="RJ135" s="619" t="e">
        <f t="shared" si="778"/>
        <v>#DIV/0!</v>
      </c>
      <c r="RK135" s="674" t="e">
        <f t="shared" si="779"/>
        <v>#VALUE!</v>
      </c>
      <c r="RL135" s="599" t="e">
        <f>RK135-AVERAGE(RS102:RS103)</f>
        <v>#VALUE!</v>
      </c>
      <c r="RM135" s="672" t="e">
        <f>ABS(#REF!*RL135*3600)</f>
        <v>#REF!</v>
      </c>
      <c r="RN135" s="675" t="e">
        <f t="shared" si="780"/>
        <v>#VALUE!</v>
      </c>
      <c r="RO135" s="614" t="e">
        <f t="shared" si="781"/>
        <v>#VALUE!</v>
      </c>
      <c r="RP135" s="672" t="e">
        <f t="shared" si="782"/>
        <v>#VALUE!</v>
      </c>
      <c r="RQ135" s="600" t="e">
        <f t="shared" si="783"/>
        <v>#VALUE!</v>
      </c>
      <c r="RR135" s="672" t="e">
        <f t="shared" si="784"/>
        <v>#VALUE!</v>
      </c>
      <c r="RS135" s="676" t="e">
        <f t="shared" si="785"/>
        <v>#VALUE!</v>
      </c>
      <c r="RT135" s="668"/>
      <c r="RU135" s="669"/>
      <c r="RV135" s="669"/>
      <c r="RW135" s="679"/>
      <c r="RX135" s="673"/>
      <c r="RY135" s="650"/>
      <c r="RZ135" s="650"/>
      <c r="SA135" s="671" t="str">
        <f t="shared" si="786"/>
        <v>rango cal. out</v>
      </c>
      <c r="SB135" s="619" t="e">
        <f t="shared" si="787"/>
        <v>#DIV/0!</v>
      </c>
      <c r="SC135" s="674" t="e">
        <f t="shared" si="788"/>
        <v>#VALUE!</v>
      </c>
      <c r="SD135" s="599" t="e">
        <f>SC135-AVERAGE(SK102:SK103)</f>
        <v>#VALUE!</v>
      </c>
      <c r="SE135" s="672" t="e">
        <f>ABS(#REF!*SD135*3600)</f>
        <v>#REF!</v>
      </c>
      <c r="SF135" s="675" t="e">
        <f t="shared" si="789"/>
        <v>#VALUE!</v>
      </c>
      <c r="SG135" s="614" t="e">
        <f t="shared" si="790"/>
        <v>#VALUE!</v>
      </c>
      <c r="SH135" s="672" t="e">
        <f t="shared" si="791"/>
        <v>#VALUE!</v>
      </c>
      <c r="SI135" s="600" t="e">
        <f t="shared" si="792"/>
        <v>#VALUE!</v>
      </c>
      <c r="SJ135" s="672" t="e">
        <f t="shared" si="793"/>
        <v>#VALUE!</v>
      </c>
      <c r="SK135" s="676" t="e">
        <f t="shared" si="794"/>
        <v>#VALUE!</v>
      </c>
      <c r="SL135" s="668">
        <v>20.5</v>
      </c>
      <c r="SM135" s="669">
        <v>53</v>
      </c>
      <c r="SN135" s="670">
        <v>1007</v>
      </c>
      <c r="SO135" s="2011">
        <v>-1.2000000000000001E-11</v>
      </c>
      <c r="SP135" s="673">
        <v>60</v>
      </c>
      <c r="SQ135" s="663">
        <v>44334</v>
      </c>
      <c r="SR135" s="650" t="s">
        <v>268</v>
      </c>
      <c r="SS135" s="671">
        <f t="shared" si="795"/>
        <v>-1.2035999999999999E-11</v>
      </c>
      <c r="ST135" s="619">
        <f t="shared" si="796"/>
        <v>1.001093715939642</v>
      </c>
      <c r="SU135" s="674">
        <f t="shared" si="797"/>
        <v>-1.9887830467561149E-13</v>
      </c>
      <c r="SV135" s="599">
        <f>SU135-AVERAGE(TC102:TC103)</f>
        <v>-1.9694563190157923E-13</v>
      </c>
      <c r="SW135" s="672" t="e">
        <f>ABS(#REF!*SV135*3600)</f>
        <v>#REF!</v>
      </c>
      <c r="SX135" s="675">
        <f t="shared" si="798"/>
        <v>1.7866907726111268E-5</v>
      </c>
      <c r="SY135" s="614">
        <f t="shared" si="799"/>
        <v>1.7866907726111268E-3</v>
      </c>
      <c r="SZ135" s="672">
        <f t="shared" si="800"/>
        <v>2.1440289271333522E-5</v>
      </c>
      <c r="TA135" s="600">
        <f t="shared" si="801"/>
        <v>2.1618958348594633E-5</v>
      </c>
      <c r="TB135" s="672">
        <f t="shared" si="802"/>
        <v>2.1618958348594633E-5</v>
      </c>
      <c r="TC135" s="676">
        <f t="shared" si="803"/>
        <v>2.2333634657639086E-5</v>
      </c>
      <c r="TD135" s="668">
        <v>20.5</v>
      </c>
      <c r="TE135" s="669">
        <v>55</v>
      </c>
      <c r="TF135" s="670">
        <v>1008</v>
      </c>
      <c r="TG135" s="2011">
        <v>-3.0449999999999998E-10</v>
      </c>
      <c r="TH135" s="673">
        <v>60</v>
      </c>
      <c r="TI135" s="663">
        <v>44334</v>
      </c>
      <c r="TJ135" s="650" t="s">
        <v>268</v>
      </c>
      <c r="TK135" s="671">
        <f t="shared" si="804"/>
        <v>-3.0541349999999996E-10</v>
      </c>
      <c r="TL135" s="619">
        <f t="shared" si="805"/>
        <v>1.0001005674119241</v>
      </c>
      <c r="TM135" s="674">
        <f t="shared" si="806"/>
        <v>-5.0415304960433004E-12</v>
      </c>
      <c r="TN135" s="599">
        <f>TM135-AVERAGE(TU102:TU103)</f>
        <v>-5.0411640528560957E-12</v>
      </c>
      <c r="TO135" s="672" t="e">
        <f>ABS(#REF!*TN135*3600)</f>
        <v>#REF!</v>
      </c>
      <c r="TP135" s="675">
        <f t="shared" si="807"/>
        <v>4.5733440287510496E-4</v>
      </c>
      <c r="TQ135" s="614">
        <f t="shared" si="808"/>
        <v>4.5733440287510495E-2</v>
      </c>
      <c r="TR135" s="672">
        <f t="shared" si="809"/>
        <v>5.4880128345012591E-4</v>
      </c>
      <c r="TS135" s="600">
        <f t="shared" si="810"/>
        <v>5.5337462747887694E-4</v>
      </c>
      <c r="TT135" s="672">
        <f t="shared" si="811"/>
        <v>5.5337462747887694E-4</v>
      </c>
      <c r="TU135" s="676">
        <f t="shared" si="812"/>
        <v>5.7166800359388116E-4</v>
      </c>
      <c r="TV135" s="668"/>
      <c r="TW135" s="669"/>
      <c r="TX135" s="670"/>
      <c r="TY135" s="671"/>
      <c r="TZ135" s="678"/>
      <c r="UA135" s="650"/>
      <c r="UB135" s="650"/>
      <c r="UC135" s="671" t="str">
        <f t="shared" si="813"/>
        <v>rango cal. out</v>
      </c>
      <c r="UD135" s="619" t="e">
        <f t="shared" si="814"/>
        <v>#DIV/0!</v>
      </c>
      <c r="UE135" s="674" t="e">
        <f t="shared" si="815"/>
        <v>#VALUE!</v>
      </c>
      <c r="UF135" s="599" t="e">
        <f>UE135-AVERAGE(UM102:UM103)</f>
        <v>#VALUE!</v>
      </c>
      <c r="UG135" s="672" t="e">
        <f>ABS(#REF!*UF135*3600)</f>
        <v>#REF!</v>
      </c>
      <c r="UH135" s="675" t="e">
        <f t="shared" si="816"/>
        <v>#VALUE!</v>
      </c>
      <c r="UI135" s="614" t="e">
        <f t="shared" si="817"/>
        <v>#VALUE!</v>
      </c>
      <c r="UJ135" s="672" t="e">
        <f t="shared" si="818"/>
        <v>#VALUE!</v>
      </c>
      <c r="UK135" s="600" t="e">
        <f t="shared" si="819"/>
        <v>#VALUE!</v>
      </c>
      <c r="UL135" s="672" t="e">
        <f t="shared" si="820"/>
        <v>#VALUE!</v>
      </c>
      <c r="UM135" s="676" t="e">
        <f t="shared" si="821"/>
        <v>#VALUE!</v>
      </c>
      <c r="UN135" s="668">
        <v>20.5</v>
      </c>
      <c r="UO135" s="669">
        <v>55</v>
      </c>
      <c r="UP135" s="670">
        <v>1008</v>
      </c>
      <c r="UQ135" s="2011">
        <v>-1.9999999999999999E-11</v>
      </c>
      <c r="UR135" s="673">
        <v>60</v>
      </c>
      <c r="US135" s="663">
        <v>44334</v>
      </c>
      <c r="UT135" s="650" t="s">
        <v>268</v>
      </c>
      <c r="UU135" s="671">
        <f t="shared" si="822"/>
        <v>-2.0059999999999997E-11</v>
      </c>
      <c r="UV135" s="619">
        <f t="shared" si="823"/>
        <v>1.0001005674119241</v>
      </c>
      <c r="UW135" s="674">
        <f t="shared" si="824"/>
        <v>-3.3113500795029887E-13</v>
      </c>
      <c r="UX135" s="599">
        <f>UW135-AVERAGE(VE102:VE103)</f>
        <v>-3.3097253486803413E-13</v>
      </c>
      <c r="UY135" s="672" t="e">
        <f>ABS(#REF!*UX135*3600)</f>
        <v>#REF!</v>
      </c>
      <c r="UZ135" s="675">
        <f t="shared" si="825"/>
        <v>3.0025828363228056E-5</v>
      </c>
      <c r="VA135" s="614">
        <f t="shared" si="826"/>
        <v>3.0025828363228054E-3</v>
      </c>
      <c r="VB135" s="672">
        <f t="shared" si="827"/>
        <v>3.6030994035873666E-5</v>
      </c>
      <c r="VC135" s="600">
        <f t="shared" si="828"/>
        <v>3.6331252319505948E-5</v>
      </c>
      <c r="VD135" s="672">
        <f t="shared" si="829"/>
        <v>3.6331252319505948E-5</v>
      </c>
      <c r="VE135" s="676">
        <f t="shared" si="830"/>
        <v>3.7532285454035069E-5</v>
      </c>
    </row>
    <row r="136" spans="1:577" x14ac:dyDescent="0.25">
      <c r="A136" s="2219"/>
      <c r="B136" s="668">
        <v>20.3</v>
      </c>
      <c r="C136" s="673">
        <v>52</v>
      </c>
      <c r="D136" s="678">
        <v>1010</v>
      </c>
      <c r="E136" s="2011">
        <v>-4.8399999999999998E-9</v>
      </c>
      <c r="F136" s="673">
        <v>60</v>
      </c>
      <c r="G136" s="663">
        <v>44334</v>
      </c>
      <c r="H136" s="663" t="s">
        <v>1042</v>
      </c>
      <c r="I136" s="671">
        <f t="shared" si="543"/>
        <v>-4.8448399999999992E-9</v>
      </c>
      <c r="J136" s="619">
        <f t="shared" si="544"/>
        <v>0.99744048337760605</v>
      </c>
      <c r="K136" s="674">
        <f t="shared" si="545"/>
        <v>-7.9762163435974802E-11</v>
      </c>
      <c r="L136" s="599">
        <f>K136-AVERAGE(S102:S103)</f>
        <v>-7.9738351468603309E-11</v>
      </c>
      <c r="M136" s="672" t="e">
        <f>ABS(#REF!*L136*3600)</f>
        <v>#REF!</v>
      </c>
      <c r="N136" s="675">
        <f t="shared" si="546"/>
        <v>7.2338632452316927E-3</v>
      </c>
      <c r="O136" s="614">
        <f t="shared" si="547"/>
        <v>0.72338632452316931</v>
      </c>
      <c r="P136" s="672">
        <f t="shared" si="548"/>
        <v>8.6806358942780309E-3</v>
      </c>
      <c r="Q136" s="600">
        <f t="shared" si="549"/>
        <v>8.7529745267303487E-3</v>
      </c>
      <c r="R136" s="672">
        <f t="shared" si="550"/>
        <v>8.7529745267303487E-3</v>
      </c>
      <c r="S136" s="676">
        <f t="shared" si="551"/>
        <v>9.042329056539615E-3</v>
      </c>
      <c r="T136" s="677"/>
      <c r="U136" s="669"/>
      <c r="V136" s="670"/>
      <c r="W136" s="671"/>
      <c r="X136" s="678"/>
      <c r="Y136" s="650"/>
      <c r="Z136" s="663"/>
      <c r="AA136" s="671" t="str">
        <f t="shared" si="552"/>
        <v>rango cal. out</v>
      </c>
      <c r="AB136" s="619" t="e">
        <f t="shared" si="553"/>
        <v>#DIV/0!</v>
      </c>
      <c r="AC136" s="674" t="e">
        <f t="shared" si="554"/>
        <v>#VALUE!</v>
      </c>
      <c r="AD136" s="599" t="e">
        <f>AC136-AVERAGE(#REF!)</f>
        <v>#VALUE!</v>
      </c>
      <c r="AE136" s="672" t="e">
        <f>ABS(#REF!*AD136*3600)</f>
        <v>#REF!</v>
      </c>
      <c r="AF136" s="675" t="e">
        <f t="shared" si="555"/>
        <v>#VALUE!</v>
      </c>
      <c r="AG136" s="614" t="e">
        <f t="shared" si="556"/>
        <v>#VALUE!</v>
      </c>
      <c r="AH136" s="672" t="e">
        <f t="shared" si="557"/>
        <v>#VALUE!</v>
      </c>
      <c r="AI136" s="600" t="e">
        <f t="shared" si="558"/>
        <v>#VALUE!</v>
      </c>
      <c r="AJ136" s="672" t="e">
        <f t="shared" si="559"/>
        <v>#VALUE!</v>
      </c>
      <c r="AK136" s="676" t="e">
        <f t="shared" si="560"/>
        <v>#VALUE!</v>
      </c>
      <c r="AL136" s="677"/>
      <c r="AM136" s="669"/>
      <c r="AN136" s="670"/>
      <c r="AO136" s="671"/>
      <c r="AP136" s="678"/>
      <c r="AQ136" s="650"/>
      <c r="AR136" s="663"/>
      <c r="AS136" s="671" t="str">
        <f t="shared" si="561"/>
        <v>rango cal. out</v>
      </c>
      <c r="AT136" s="619" t="e">
        <f t="shared" si="562"/>
        <v>#DIV/0!</v>
      </c>
      <c r="AU136" s="674" t="e">
        <f t="shared" si="563"/>
        <v>#VALUE!</v>
      </c>
      <c r="AV136" s="599" t="e">
        <f>AU136-AVERAGE(BC102:BC103)</f>
        <v>#VALUE!</v>
      </c>
      <c r="AW136" s="672" t="e">
        <f>ABS(#REF!*AV136*3600)</f>
        <v>#REF!</v>
      </c>
      <c r="AX136" s="675" t="e">
        <f t="shared" si="564"/>
        <v>#VALUE!</v>
      </c>
      <c r="AY136" s="614" t="e">
        <f t="shared" si="565"/>
        <v>#VALUE!</v>
      </c>
      <c r="AZ136" s="672" t="e">
        <f t="shared" si="566"/>
        <v>#VALUE!</v>
      </c>
      <c r="BA136" s="600" t="e">
        <f t="shared" si="567"/>
        <v>#VALUE!</v>
      </c>
      <c r="BB136" s="672" t="e">
        <f t="shared" si="568"/>
        <v>#VALUE!</v>
      </c>
      <c r="BC136" s="676" t="e">
        <f t="shared" si="569"/>
        <v>#VALUE!</v>
      </c>
      <c r="BD136" s="668">
        <v>20.5</v>
      </c>
      <c r="BE136" s="669">
        <v>52</v>
      </c>
      <c r="BF136" s="670">
        <v>1009</v>
      </c>
      <c r="BG136" s="2010">
        <v>-7.78E-10</v>
      </c>
      <c r="BH136" s="673">
        <v>60</v>
      </c>
      <c r="BI136" s="663">
        <v>44334</v>
      </c>
      <c r="BJ136" s="663" t="s">
        <v>268</v>
      </c>
      <c r="BK136" s="671">
        <f t="shared" si="570"/>
        <v>-7.8033399999999996E-10</v>
      </c>
      <c r="BL136" s="619">
        <f t="shared" si="571"/>
        <v>0.9991093874640431</v>
      </c>
      <c r="BM136" s="674">
        <f t="shared" si="572"/>
        <v>-1.2868385553756946E-11</v>
      </c>
      <c r="BN136" s="599">
        <f>BM136-AVERAGE(BU102:BU103)</f>
        <v>-1.286704036964855E-11</v>
      </c>
      <c r="BO136" s="672" t="e">
        <f>ABS(#REF!*BN136*3600)</f>
        <v>#REF!</v>
      </c>
      <c r="BP136" s="675">
        <f t="shared" si="573"/>
        <v>1.1672979023345164E-3</v>
      </c>
      <c r="BQ136" s="614">
        <f t="shared" si="574"/>
        <v>0.11672979023345165</v>
      </c>
      <c r="BR136" s="672">
        <f t="shared" si="575"/>
        <v>1.4007574828014196E-3</v>
      </c>
      <c r="BS136" s="600">
        <f t="shared" si="576"/>
        <v>1.4124304618247647E-3</v>
      </c>
      <c r="BT136" s="672">
        <f t="shared" si="577"/>
        <v>1.4124304618247647E-3</v>
      </c>
      <c r="BU136" s="676">
        <f t="shared" si="578"/>
        <v>1.4591223779181455E-3</v>
      </c>
      <c r="BV136" s="668">
        <v>20.7</v>
      </c>
      <c r="BW136" s="669">
        <v>52</v>
      </c>
      <c r="BX136" s="680">
        <v>1008</v>
      </c>
      <c r="BY136" s="2023">
        <v>-3.5000000000000002E-11</v>
      </c>
      <c r="BZ136" s="673">
        <v>60</v>
      </c>
      <c r="CA136" s="663">
        <v>44334</v>
      </c>
      <c r="CB136" s="663" t="s">
        <v>268</v>
      </c>
      <c r="CC136" s="671">
        <f t="shared" si="579"/>
        <v>-3.5104999999999998E-11</v>
      </c>
      <c r="CD136" s="619">
        <f t="shared" si="580"/>
        <v>1.000781602868112</v>
      </c>
      <c r="CE136" s="674">
        <f t="shared" si="581"/>
        <v>-5.7988087492011401E-13</v>
      </c>
      <c r="CF136" s="599">
        <f>CE136-AVERAGE(CM102:CM103)</f>
        <v>-5.780793796849723E-13</v>
      </c>
      <c r="CG136" s="672" t="e">
        <f>ABS(#REF!*CF136*3600)</f>
        <v>#REF!</v>
      </c>
      <c r="CH136" s="675">
        <f t="shared" si="582"/>
        <v>5.2443361325020691E-5</v>
      </c>
      <c r="CI136" s="614">
        <f t="shared" si="583"/>
        <v>5.2443361325020688E-3</v>
      </c>
      <c r="CJ136" s="672">
        <f t="shared" si="584"/>
        <v>6.2932033590024832E-5</v>
      </c>
      <c r="CK136" s="600">
        <f t="shared" si="585"/>
        <v>6.3456467203275034E-5</v>
      </c>
      <c r="CL136" s="672">
        <f t="shared" si="586"/>
        <v>6.3456467203275034E-5</v>
      </c>
      <c r="CM136" s="676">
        <f t="shared" si="587"/>
        <v>6.5554201656275868E-5</v>
      </c>
      <c r="CN136" s="668">
        <v>20.5</v>
      </c>
      <c r="CO136" s="669">
        <v>53</v>
      </c>
      <c r="CP136" s="680">
        <v>1007</v>
      </c>
      <c r="CQ136" s="2011">
        <v>-1.819E-9</v>
      </c>
      <c r="CR136" s="673">
        <v>60</v>
      </c>
      <c r="CS136" s="663">
        <v>44334</v>
      </c>
      <c r="CT136" s="663" t="s">
        <v>268</v>
      </c>
      <c r="CU136" s="671">
        <f t="shared" si="588"/>
        <v>-1.8244569999999998E-9</v>
      </c>
      <c r="CV136" s="619">
        <f t="shared" si="589"/>
        <v>1.001093715939642</v>
      </c>
      <c r="CW136" s="674">
        <f t="shared" si="590"/>
        <v>-3.0146636350411438E-11</v>
      </c>
      <c r="CX136" s="599">
        <f>CW136-AVERAGE(DE102:DE103)</f>
        <v>-3.0135348663706015E-11</v>
      </c>
      <c r="CY136" s="672" t="e">
        <f>ABS(#REF!*CX136*3600)</f>
        <v>#REF!</v>
      </c>
      <c r="CZ136" s="675">
        <f t="shared" si="591"/>
        <v>2.7338788307714095E-3</v>
      </c>
      <c r="DA136" s="614">
        <f t="shared" si="592"/>
        <v>0.27338788307714096</v>
      </c>
      <c r="DB136" s="672">
        <f t="shared" si="593"/>
        <v>3.2806545969256912E-3</v>
      </c>
      <c r="DC136" s="600">
        <f t="shared" si="594"/>
        <v>3.3079933852334055E-3</v>
      </c>
      <c r="DD136" s="672">
        <f t="shared" si="595"/>
        <v>3.3079933852334055E-3</v>
      </c>
      <c r="DE136" s="676">
        <f t="shared" si="596"/>
        <v>3.4173485384642616E-3</v>
      </c>
      <c r="DF136" s="668"/>
      <c r="DG136" s="669"/>
      <c r="DH136" s="670"/>
      <c r="DI136" s="671"/>
      <c r="DJ136" s="678"/>
      <c r="DK136" s="650"/>
      <c r="DL136" s="663" t="s">
        <v>268</v>
      </c>
      <c r="DM136" s="671">
        <f t="shared" si="597"/>
        <v>0</v>
      </c>
      <c r="DN136" s="619" t="e">
        <f t="shared" si="598"/>
        <v>#DIV/0!</v>
      </c>
      <c r="DO136" s="674" t="e">
        <f t="shared" si="599"/>
        <v>#DIV/0!</v>
      </c>
      <c r="DP136" s="599" t="e">
        <f>DO136-AVERAGE(DW102:DW103)</f>
        <v>#DIV/0!</v>
      </c>
      <c r="DQ136" s="672" t="e">
        <f>ABS(#REF!*DP136*3600)</f>
        <v>#REF!</v>
      </c>
      <c r="DR136" s="675" t="e">
        <f t="shared" si="600"/>
        <v>#DIV/0!</v>
      </c>
      <c r="DS136" s="614" t="e">
        <f t="shared" si="601"/>
        <v>#DIV/0!</v>
      </c>
      <c r="DT136" s="672" t="e">
        <f t="shared" si="602"/>
        <v>#DIV/0!</v>
      </c>
      <c r="DU136" s="600" t="e">
        <f t="shared" si="603"/>
        <v>#DIV/0!</v>
      </c>
      <c r="DV136" s="672" t="e">
        <f t="shared" si="604"/>
        <v>#DIV/0!</v>
      </c>
      <c r="DW136" s="676" t="e">
        <f t="shared" si="605"/>
        <v>#DIV/0!</v>
      </c>
      <c r="DX136" s="668"/>
      <c r="DY136" s="669"/>
      <c r="DZ136" s="677"/>
      <c r="EA136" s="679"/>
      <c r="EB136" s="678"/>
      <c r="EC136" s="650"/>
      <c r="ED136" s="663"/>
      <c r="EE136" s="671" t="str">
        <f t="shared" si="606"/>
        <v>rango cal. out</v>
      </c>
      <c r="EF136" s="619" t="e">
        <f t="shared" si="607"/>
        <v>#DIV/0!</v>
      </c>
      <c r="EG136" s="674" t="e">
        <f t="shared" si="608"/>
        <v>#VALUE!</v>
      </c>
      <c r="EH136" s="599" t="e">
        <f>EG136-AVERAGE(EO102:EO103)</f>
        <v>#VALUE!</v>
      </c>
      <c r="EI136" s="672" t="e">
        <f>ABS(#REF!*EH136*3600)</f>
        <v>#REF!</v>
      </c>
      <c r="EJ136" s="675" t="e">
        <f t="shared" si="609"/>
        <v>#VALUE!</v>
      </c>
      <c r="EK136" s="614" t="e">
        <f t="shared" si="610"/>
        <v>#VALUE!</v>
      </c>
      <c r="EL136" s="672" t="e">
        <f t="shared" si="611"/>
        <v>#VALUE!</v>
      </c>
      <c r="EM136" s="600" t="e">
        <f t="shared" si="612"/>
        <v>#VALUE!</v>
      </c>
      <c r="EN136" s="672" t="e">
        <f t="shared" si="613"/>
        <v>#VALUE!</v>
      </c>
      <c r="EO136" s="676" t="e">
        <f t="shared" si="614"/>
        <v>#VALUE!</v>
      </c>
      <c r="EP136" s="668">
        <v>20.5</v>
      </c>
      <c r="EQ136" s="669">
        <v>51</v>
      </c>
      <c r="ER136" s="670">
        <v>1007</v>
      </c>
      <c r="ES136" s="2023">
        <v>7.5E-12</v>
      </c>
      <c r="ET136" s="673">
        <v>60</v>
      </c>
      <c r="EU136" s="663">
        <v>44334</v>
      </c>
      <c r="EV136" s="663" t="s">
        <v>268</v>
      </c>
      <c r="EW136" s="671">
        <f t="shared" si="615"/>
        <v>7.5224999999999991E-12</v>
      </c>
      <c r="EX136" s="619">
        <f t="shared" si="616"/>
        <v>1.001093715939642</v>
      </c>
      <c r="EY136" s="674">
        <f t="shared" si="617"/>
        <v>1.2429894042225715E-13</v>
      </c>
      <c r="EZ136" s="599">
        <f>EY136-AVERAGE(FG102:FG103)</f>
        <v>1.2321837661265742E-13</v>
      </c>
      <c r="FA136" s="672" t="e">
        <f>ABS(#REF!*EZ136*3600)</f>
        <v>#REF!</v>
      </c>
      <c r="FB136" s="675">
        <f t="shared" si="618"/>
        <v>1.1178371126300282E-5</v>
      </c>
      <c r="FC136" s="614">
        <f t="shared" si="619"/>
        <v>1.1178371126300281E-3</v>
      </c>
      <c r="FD136" s="672">
        <f t="shared" si="620"/>
        <v>1.3414045351560337E-5</v>
      </c>
      <c r="FE136" s="600">
        <f t="shared" si="621"/>
        <v>1.3525829062823341E-5</v>
      </c>
      <c r="FF136" s="672">
        <f t="shared" si="622"/>
        <v>1.3525829062823341E-5</v>
      </c>
      <c r="FG136" s="676">
        <f t="shared" si="623"/>
        <v>1.3972963907875353E-5</v>
      </c>
      <c r="FH136" s="668"/>
      <c r="FI136" s="669"/>
      <c r="FJ136" s="670"/>
      <c r="FK136" s="671"/>
      <c r="FL136" s="678"/>
      <c r="FM136" s="650"/>
      <c r="FN136" s="663"/>
      <c r="FO136" s="671" t="str">
        <f t="shared" si="624"/>
        <v>rango cal. out</v>
      </c>
      <c r="FP136" s="619" t="e">
        <f t="shared" si="625"/>
        <v>#DIV/0!</v>
      </c>
      <c r="FQ136" s="674" t="e">
        <f t="shared" si="626"/>
        <v>#VALUE!</v>
      </c>
      <c r="FR136" s="599" t="e">
        <f>FQ136-AVERAGE(FY102:FY103)</f>
        <v>#VALUE!</v>
      </c>
      <c r="FS136" s="672" t="e">
        <f>ABS(#REF!*FR136*3600)</f>
        <v>#REF!</v>
      </c>
      <c r="FT136" s="675" t="e">
        <f t="shared" si="627"/>
        <v>#VALUE!</v>
      </c>
      <c r="FU136" s="614" t="e">
        <f t="shared" si="628"/>
        <v>#VALUE!</v>
      </c>
      <c r="FV136" s="672" t="e">
        <f t="shared" si="629"/>
        <v>#VALUE!</v>
      </c>
      <c r="FW136" s="600" t="e">
        <f t="shared" si="630"/>
        <v>#VALUE!</v>
      </c>
      <c r="FX136" s="672" t="e">
        <f t="shared" si="631"/>
        <v>#VALUE!</v>
      </c>
      <c r="FY136" s="676" t="e">
        <f t="shared" si="632"/>
        <v>#VALUE!</v>
      </c>
      <c r="FZ136" s="668"/>
      <c r="GA136" s="669"/>
      <c r="GB136" s="670"/>
      <c r="GC136" s="671"/>
      <c r="GD136" s="678"/>
      <c r="GE136" s="650"/>
      <c r="GF136" s="663"/>
      <c r="GG136" s="671" t="str">
        <f t="shared" si="633"/>
        <v>rango cal. out</v>
      </c>
      <c r="GH136" s="619" t="e">
        <f t="shared" si="634"/>
        <v>#DIV/0!</v>
      </c>
      <c r="GI136" s="674" t="e">
        <f t="shared" si="635"/>
        <v>#VALUE!</v>
      </c>
      <c r="GJ136" s="599" t="e">
        <f>GI136-AVERAGE(GQ102:GQ103)</f>
        <v>#VALUE!</v>
      </c>
      <c r="GK136" s="672" t="e">
        <f>ABS(#REF!*GJ136*3600)</f>
        <v>#REF!</v>
      </c>
      <c r="GL136" s="675" t="e">
        <f t="shared" si="636"/>
        <v>#VALUE!</v>
      </c>
      <c r="GM136" s="614" t="e">
        <f t="shared" si="637"/>
        <v>#VALUE!</v>
      </c>
      <c r="GN136" s="672" t="e">
        <f t="shared" si="638"/>
        <v>#VALUE!</v>
      </c>
      <c r="GO136" s="600" t="e">
        <f t="shared" si="639"/>
        <v>#VALUE!</v>
      </c>
      <c r="GP136" s="672" t="e">
        <f t="shared" si="640"/>
        <v>#VALUE!</v>
      </c>
      <c r="GQ136" s="676" t="e">
        <f t="shared" si="641"/>
        <v>#VALUE!</v>
      </c>
      <c r="GR136" s="668"/>
      <c r="GS136" s="669"/>
      <c r="GT136" s="677"/>
      <c r="GU136" s="679"/>
      <c r="GV136" s="678"/>
      <c r="GW136" s="650"/>
      <c r="GX136" s="663"/>
      <c r="GY136" s="671" t="str">
        <f t="shared" si="642"/>
        <v>rango cal. out</v>
      </c>
      <c r="GZ136" s="619" t="e">
        <f t="shared" si="643"/>
        <v>#DIV/0!</v>
      </c>
      <c r="HA136" s="674" t="e">
        <f t="shared" si="644"/>
        <v>#VALUE!</v>
      </c>
      <c r="HB136" s="599" t="e">
        <f>HA136-AVERAGE(HI102:HI103)</f>
        <v>#VALUE!</v>
      </c>
      <c r="HC136" s="672" t="e">
        <f>ABS(#REF!*HB136*3600)</f>
        <v>#REF!</v>
      </c>
      <c r="HD136" s="675" t="e">
        <f t="shared" si="645"/>
        <v>#VALUE!</v>
      </c>
      <c r="HE136" s="614" t="e">
        <f t="shared" si="646"/>
        <v>#VALUE!</v>
      </c>
      <c r="HF136" s="672" t="e">
        <f t="shared" si="647"/>
        <v>#VALUE!</v>
      </c>
      <c r="HG136" s="600" t="e">
        <f t="shared" si="648"/>
        <v>#VALUE!</v>
      </c>
      <c r="HH136" s="672" t="e">
        <f t="shared" si="649"/>
        <v>#VALUE!</v>
      </c>
      <c r="HI136" s="676" t="e">
        <f t="shared" si="650"/>
        <v>#VALUE!</v>
      </c>
      <c r="HJ136" s="668"/>
      <c r="HK136" s="669"/>
      <c r="HL136" s="670"/>
      <c r="HM136" s="671"/>
      <c r="HN136" s="678"/>
      <c r="HO136" s="650"/>
      <c r="HP136" s="663"/>
      <c r="HQ136" s="671" t="str">
        <f t="shared" si="651"/>
        <v>rango cal. out</v>
      </c>
      <c r="HR136" s="619" t="e">
        <f t="shared" si="652"/>
        <v>#DIV/0!</v>
      </c>
      <c r="HS136" s="674" t="e">
        <f t="shared" si="653"/>
        <v>#VALUE!</v>
      </c>
      <c r="HT136" s="599" t="e">
        <f>HS136-AVERAGE(IA102:IA103)</f>
        <v>#VALUE!</v>
      </c>
      <c r="HU136" s="672" t="e">
        <f>ABS(#REF!*HT136*3600)</f>
        <v>#REF!</v>
      </c>
      <c r="HV136" s="675" t="e">
        <f t="shared" si="654"/>
        <v>#VALUE!</v>
      </c>
      <c r="HW136" s="614" t="e">
        <f t="shared" si="655"/>
        <v>#VALUE!</v>
      </c>
      <c r="HX136" s="672" t="e">
        <f t="shared" si="656"/>
        <v>#VALUE!</v>
      </c>
      <c r="HY136" s="600" t="e">
        <f t="shared" si="657"/>
        <v>#VALUE!</v>
      </c>
      <c r="HZ136" s="672" t="e">
        <f t="shared" si="658"/>
        <v>#VALUE!</v>
      </c>
      <c r="IA136" s="676" t="e">
        <f t="shared" si="659"/>
        <v>#VALUE!</v>
      </c>
      <c r="IB136" s="668"/>
      <c r="IC136" s="669"/>
      <c r="ID136" s="670"/>
      <c r="IE136" s="671"/>
      <c r="IF136" s="678"/>
      <c r="IG136" s="650"/>
      <c r="IH136" s="663"/>
      <c r="II136" s="671" t="str">
        <f t="shared" si="660"/>
        <v>rango cal. out</v>
      </c>
      <c r="IJ136" s="619" t="e">
        <f t="shared" si="661"/>
        <v>#DIV/0!</v>
      </c>
      <c r="IK136" s="674" t="e">
        <f t="shared" si="662"/>
        <v>#VALUE!</v>
      </c>
      <c r="IL136" s="599" t="e">
        <f>IK136-AVERAGE(IS102:IS103)</f>
        <v>#VALUE!</v>
      </c>
      <c r="IM136" s="672" t="e">
        <f>ABS(#REF!*IL136*3600)</f>
        <v>#REF!</v>
      </c>
      <c r="IN136" s="675" t="e">
        <f t="shared" si="663"/>
        <v>#VALUE!</v>
      </c>
      <c r="IO136" s="614" t="e">
        <f t="shared" si="664"/>
        <v>#VALUE!</v>
      </c>
      <c r="IP136" s="672" t="e">
        <f t="shared" si="665"/>
        <v>#VALUE!</v>
      </c>
      <c r="IQ136" s="600" t="e">
        <f t="shared" si="666"/>
        <v>#VALUE!</v>
      </c>
      <c r="IR136" s="672" t="e">
        <f t="shared" si="667"/>
        <v>#VALUE!</v>
      </c>
      <c r="IS136" s="676" t="e">
        <f t="shared" si="668"/>
        <v>#VALUE!</v>
      </c>
      <c r="IT136" s="668"/>
      <c r="IU136" s="669"/>
      <c r="IV136" s="670"/>
      <c r="IW136" s="671"/>
      <c r="IX136" s="678"/>
      <c r="IY136" s="650"/>
      <c r="IZ136" s="663"/>
      <c r="JA136" s="671" t="str">
        <f t="shared" si="669"/>
        <v>rango cal. out</v>
      </c>
      <c r="JB136" s="619" t="e">
        <f t="shared" si="670"/>
        <v>#DIV/0!</v>
      </c>
      <c r="JC136" s="674" t="e">
        <f t="shared" si="671"/>
        <v>#VALUE!</v>
      </c>
      <c r="JD136" s="599" t="e">
        <f>JC136-AVERAGE(JK102:JK103)</f>
        <v>#VALUE!</v>
      </c>
      <c r="JE136" s="672" t="e">
        <f>ABS(#REF!*JD136*3600)</f>
        <v>#REF!</v>
      </c>
      <c r="JF136" s="675" t="e">
        <f t="shared" si="672"/>
        <v>#VALUE!</v>
      </c>
      <c r="JG136" s="614" t="e">
        <f t="shared" si="673"/>
        <v>#VALUE!</v>
      </c>
      <c r="JH136" s="672" t="e">
        <f t="shared" si="674"/>
        <v>#VALUE!</v>
      </c>
      <c r="JI136" s="600" t="e">
        <f t="shared" si="675"/>
        <v>#VALUE!</v>
      </c>
      <c r="JJ136" s="672" t="e">
        <f t="shared" si="676"/>
        <v>#VALUE!</v>
      </c>
      <c r="JK136" s="676" t="e">
        <f t="shared" si="677"/>
        <v>#VALUE!</v>
      </c>
      <c r="JL136" s="668"/>
      <c r="JM136" s="669"/>
      <c r="JN136" s="670"/>
      <c r="JO136" s="671"/>
      <c r="JP136" s="678"/>
      <c r="JQ136" s="650"/>
      <c r="JR136" s="663"/>
      <c r="JS136" s="671" t="str">
        <f t="shared" si="678"/>
        <v>rango cal. out</v>
      </c>
      <c r="JT136" s="619" t="e">
        <f t="shared" si="679"/>
        <v>#DIV/0!</v>
      </c>
      <c r="JU136" s="674" t="e">
        <f t="shared" si="680"/>
        <v>#VALUE!</v>
      </c>
      <c r="JV136" s="599" t="e">
        <f>JU136-AVERAGE(KC102:KC103)</f>
        <v>#VALUE!</v>
      </c>
      <c r="JW136" s="672" t="e">
        <f>ABS(#REF!*JV136*3600)</f>
        <v>#REF!</v>
      </c>
      <c r="JX136" s="675" t="e">
        <f t="shared" si="681"/>
        <v>#VALUE!</v>
      </c>
      <c r="JY136" s="614" t="e">
        <f t="shared" si="682"/>
        <v>#VALUE!</v>
      </c>
      <c r="JZ136" s="672" t="e">
        <f t="shared" si="683"/>
        <v>#VALUE!</v>
      </c>
      <c r="KA136" s="600" t="e">
        <f t="shared" si="684"/>
        <v>#VALUE!</v>
      </c>
      <c r="KB136" s="672" t="e">
        <f t="shared" si="685"/>
        <v>#VALUE!</v>
      </c>
      <c r="KC136" s="676" t="e">
        <f t="shared" si="686"/>
        <v>#VALUE!</v>
      </c>
      <c r="KD136" s="668"/>
      <c r="KE136" s="669"/>
      <c r="KF136" s="670"/>
      <c r="KG136" s="671"/>
      <c r="KH136" s="678"/>
      <c r="KI136" s="650"/>
      <c r="KJ136" s="663"/>
      <c r="KK136" s="671" t="str">
        <f t="shared" si="687"/>
        <v>rango cal. out</v>
      </c>
      <c r="KL136" s="619" t="e">
        <f t="shared" si="688"/>
        <v>#DIV/0!</v>
      </c>
      <c r="KM136" s="674" t="e">
        <f t="shared" si="689"/>
        <v>#VALUE!</v>
      </c>
      <c r="KN136" s="599" t="e">
        <f>KM136-AVERAGE(KU102:KU103)</f>
        <v>#VALUE!</v>
      </c>
      <c r="KO136" s="672" t="e">
        <f>ABS(#REF!*KN136*3600)</f>
        <v>#REF!</v>
      </c>
      <c r="KP136" s="675" t="e">
        <f t="shared" si="690"/>
        <v>#VALUE!</v>
      </c>
      <c r="KQ136" s="614" t="e">
        <f t="shared" si="691"/>
        <v>#VALUE!</v>
      </c>
      <c r="KR136" s="672" t="e">
        <f t="shared" si="692"/>
        <v>#VALUE!</v>
      </c>
      <c r="KS136" s="600" t="e">
        <f t="shared" si="693"/>
        <v>#VALUE!</v>
      </c>
      <c r="KT136" s="672" t="e">
        <f t="shared" si="694"/>
        <v>#VALUE!</v>
      </c>
      <c r="KU136" s="676" t="e">
        <f t="shared" si="695"/>
        <v>#VALUE!</v>
      </c>
      <c r="KV136" s="668"/>
      <c r="KW136" s="669"/>
      <c r="KX136" s="670"/>
      <c r="KY136" s="671"/>
      <c r="KZ136" s="678"/>
      <c r="LA136" s="650"/>
      <c r="LB136" s="663"/>
      <c r="LC136" s="671" t="str">
        <f t="shared" si="696"/>
        <v>rango cal. out</v>
      </c>
      <c r="LD136" s="619" t="e">
        <f t="shared" si="697"/>
        <v>#DIV/0!</v>
      </c>
      <c r="LE136" s="674" t="e">
        <f t="shared" si="698"/>
        <v>#VALUE!</v>
      </c>
      <c r="LF136" s="599" t="e">
        <f>LE136-AVERAGE(LM102:LM103)</f>
        <v>#VALUE!</v>
      </c>
      <c r="LG136" s="672" t="e">
        <f>ABS(#REF!*LF136*3600)</f>
        <v>#REF!</v>
      </c>
      <c r="LH136" s="675" t="e">
        <f t="shared" si="699"/>
        <v>#VALUE!</v>
      </c>
      <c r="LI136" s="614" t="e">
        <f t="shared" si="700"/>
        <v>#VALUE!</v>
      </c>
      <c r="LJ136" s="672" t="e">
        <f t="shared" si="701"/>
        <v>#VALUE!</v>
      </c>
      <c r="LK136" s="600" t="e">
        <f t="shared" si="702"/>
        <v>#VALUE!</v>
      </c>
      <c r="LL136" s="672" t="e">
        <f t="shared" si="703"/>
        <v>#VALUE!</v>
      </c>
      <c r="LM136" s="676" t="e">
        <f t="shared" si="704"/>
        <v>#VALUE!</v>
      </c>
      <c r="LN136" s="668"/>
      <c r="LO136" s="669"/>
      <c r="LP136" s="670"/>
      <c r="LQ136" s="671"/>
      <c r="LR136" s="678"/>
      <c r="LS136" s="650"/>
      <c r="LT136" s="663"/>
      <c r="LU136" s="671" t="str">
        <f t="shared" si="705"/>
        <v>rango cal. out</v>
      </c>
      <c r="LV136" s="619" t="e">
        <f t="shared" si="706"/>
        <v>#DIV/0!</v>
      </c>
      <c r="LW136" s="674" t="e">
        <f t="shared" si="707"/>
        <v>#VALUE!</v>
      </c>
      <c r="LX136" s="599" t="e">
        <f>LW136-AVERAGE(ME102:ME103)</f>
        <v>#VALUE!</v>
      </c>
      <c r="LY136" s="672" t="e">
        <f>ABS(#REF!*LX136*3600)</f>
        <v>#REF!</v>
      </c>
      <c r="LZ136" s="675" t="e">
        <f t="shared" si="708"/>
        <v>#VALUE!</v>
      </c>
      <c r="MA136" s="614" t="e">
        <f t="shared" si="709"/>
        <v>#VALUE!</v>
      </c>
      <c r="MB136" s="672" t="e">
        <f t="shared" si="710"/>
        <v>#VALUE!</v>
      </c>
      <c r="MC136" s="600" t="e">
        <f t="shared" si="711"/>
        <v>#VALUE!</v>
      </c>
      <c r="MD136" s="672" t="e">
        <f t="shared" si="712"/>
        <v>#VALUE!</v>
      </c>
      <c r="ME136" s="676" t="e">
        <f t="shared" si="713"/>
        <v>#VALUE!</v>
      </c>
      <c r="MF136" s="668"/>
      <c r="MG136" s="669"/>
      <c r="MH136" s="670"/>
      <c r="MI136" s="671"/>
      <c r="MJ136" s="678"/>
      <c r="MK136" s="650"/>
      <c r="ML136" s="663"/>
      <c r="MM136" s="671" t="str">
        <f t="shared" si="714"/>
        <v>rango cal. out</v>
      </c>
      <c r="MN136" s="619" t="e">
        <f t="shared" si="715"/>
        <v>#DIV/0!</v>
      </c>
      <c r="MO136" s="674" t="e">
        <f t="shared" si="716"/>
        <v>#VALUE!</v>
      </c>
      <c r="MP136" s="599" t="e">
        <f>MO136-AVERAGE(MW102:MW103)</f>
        <v>#VALUE!</v>
      </c>
      <c r="MQ136" s="672" t="e">
        <f>ABS(#REF!*MP136*3600)</f>
        <v>#REF!</v>
      </c>
      <c r="MR136" s="675" t="e">
        <f t="shared" si="717"/>
        <v>#VALUE!</v>
      </c>
      <c r="MS136" s="614" t="e">
        <f t="shared" si="718"/>
        <v>#VALUE!</v>
      </c>
      <c r="MT136" s="672" t="e">
        <f t="shared" si="719"/>
        <v>#VALUE!</v>
      </c>
      <c r="MU136" s="600" t="e">
        <f t="shared" si="720"/>
        <v>#VALUE!</v>
      </c>
      <c r="MV136" s="672" t="e">
        <f t="shared" si="721"/>
        <v>#VALUE!</v>
      </c>
      <c r="MW136" s="676" t="e">
        <f t="shared" si="722"/>
        <v>#VALUE!</v>
      </c>
      <c r="MX136" s="668"/>
      <c r="MY136" s="669"/>
      <c r="MZ136" s="680"/>
      <c r="NA136" s="671"/>
      <c r="NB136" s="673"/>
      <c r="NC136" s="650"/>
      <c r="ND136" s="663"/>
      <c r="NE136" s="671" t="str">
        <f t="shared" si="723"/>
        <v>rango cal. out</v>
      </c>
      <c r="NF136" s="619" t="e">
        <f t="shared" si="724"/>
        <v>#DIV/0!</v>
      </c>
      <c r="NG136" s="674" t="e">
        <f t="shared" si="725"/>
        <v>#VALUE!</v>
      </c>
      <c r="NH136" s="599" t="e">
        <f>NG136-AVERAGE(NO102:NO103)</f>
        <v>#VALUE!</v>
      </c>
      <c r="NI136" s="672" t="e">
        <f>ABS(#REF!*NH136*3600)</f>
        <v>#REF!</v>
      </c>
      <c r="NJ136" s="675" t="e">
        <f t="shared" si="726"/>
        <v>#VALUE!</v>
      </c>
      <c r="NK136" s="614" t="e">
        <f t="shared" si="727"/>
        <v>#VALUE!</v>
      </c>
      <c r="NL136" s="672" t="e">
        <f t="shared" si="728"/>
        <v>#VALUE!</v>
      </c>
      <c r="NM136" s="600" t="e">
        <f t="shared" si="729"/>
        <v>#VALUE!</v>
      </c>
      <c r="NN136" s="672" t="e">
        <f t="shared" si="730"/>
        <v>#VALUE!</v>
      </c>
      <c r="NO136" s="676" t="e">
        <f t="shared" si="731"/>
        <v>#VALUE!</v>
      </c>
      <c r="NP136" s="668">
        <v>20.7</v>
      </c>
      <c r="NQ136" s="669">
        <v>54</v>
      </c>
      <c r="NR136" s="670">
        <v>1007</v>
      </c>
      <c r="NS136" s="2011">
        <v>-6.1499999999999994E-11</v>
      </c>
      <c r="NT136" s="678">
        <v>60</v>
      </c>
      <c r="NU136" s="663">
        <v>44334</v>
      </c>
      <c r="NV136" s="663" t="s">
        <v>268</v>
      </c>
      <c r="NW136" s="671">
        <f t="shared" si="732"/>
        <v>-6.1684499999999987E-11</v>
      </c>
      <c r="NX136" s="619">
        <f t="shared" si="733"/>
        <v>1.0017754276971766</v>
      </c>
      <c r="NY136" s="674">
        <f t="shared" si="734"/>
        <v>-1.0199453879429052E-12</v>
      </c>
      <c r="NZ136" s="599">
        <f>NY136-AVERAGE(OG102:OG103)</f>
        <v>-1.0206975490148637E-12</v>
      </c>
      <c r="OA136" s="672" t="e">
        <f>ABS(#REF!*NZ136*3600)</f>
        <v>#REF!</v>
      </c>
      <c r="OB136" s="675">
        <f t="shared" si="735"/>
        <v>9.2597681646628446E-5</v>
      </c>
      <c r="OC136" s="614">
        <f t="shared" si="736"/>
        <v>9.2597681646628439E-3</v>
      </c>
      <c r="OD136" s="672">
        <f t="shared" si="737"/>
        <v>1.1111721797595413E-4</v>
      </c>
      <c r="OE136" s="600">
        <f t="shared" si="738"/>
        <v>1.1204319479242042E-4</v>
      </c>
      <c r="OF136" s="672">
        <f t="shared" si="739"/>
        <v>1.1204319479242042E-4</v>
      </c>
      <c r="OG136" s="676">
        <f t="shared" si="740"/>
        <v>1.1574710205828556E-4</v>
      </c>
      <c r="OH136" s="668"/>
      <c r="OI136" s="669"/>
      <c r="OJ136" s="670"/>
      <c r="OK136" s="671"/>
      <c r="OL136" s="678"/>
      <c r="OM136" s="650"/>
      <c r="ON136" s="663"/>
      <c r="OO136" s="671" t="str">
        <f t="shared" si="741"/>
        <v>rango cal. out</v>
      </c>
      <c r="OP136" s="619" t="e">
        <f t="shared" si="742"/>
        <v>#DIV/0!</v>
      </c>
      <c r="OQ136" s="674" t="e">
        <f t="shared" si="743"/>
        <v>#VALUE!</v>
      </c>
      <c r="OR136" s="599" t="e">
        <f>OQ136-AVERAGE(OY102:OY103)</f>
        <v>#VALUE!</v>
      </c>
      <c r="OS136" s="672" t="e">
        <f>ABS(#REF!*OR136*3600)</f>
        <v>#REF!</v>
      </c>
      <c r="OT136" s="675" t="e">
        <f t="shared" si="744"/>
        <v>#VALUE!</v>
      </c>
      <c r="OU136" s="614" t="e">
        <f t="shared" si="745"/>
        <v>#VALUE!</v>
      </c>
      <c r="OV136" s="672" t="e">
        <f t="shared" si="746"/>
        <v>#VALUE!</v>
      </c>
      <c r="OW136" s="600" t="e">
        <f t="shared" si="747"/>
        <v>#VALUE!</v>
      </c>
      <c r="OX136" s="672" t="e">
        <f t="shared" si="748"/>
        <v>#VALUE!</v>
      </c>
      <c r="OY136" s="676" t="e">
        <f t="shared" si="749"/>
        <v>#VALUE!</v>
      </c>
      <c r="OZ136" s="668">
        <v>20.5</v>
      </c>
      <c r="PA136" s="669">
        <v>54</v>
      </c>
      <c r="PB136" s="670">
        <v>1007</v>
      </c>
      <c r="PC136" s="2011">
        <v>-1.335E-10</v>
      </c>
      <c r="PD136" s="673">
        <v>60</v>
      </c>
      <c r="PE136" s="663">
        <v>44334</v>
      </c>
      <c r="PF136" s="663" t="s">
        <v>268</v>
      </c>
      <c r="PG136" s="671">
        <f t="shared" si="750"/>
        <v>-1.339005E-10</v>
      </c>
      <c r="PH136" s="619">
        <f t="shared" si="751"/>
        <v>1.001093715939642</v>
      </c>
      <c r="PI136" s="674">
        <f t="shared" si="752"/>
        <v>-2.2125211395161782E-12</v>
      </c>
      <c r="PJ136" s="599">
        <f>PI136-AVERAGE(PQ102:PQ103)</f>
        <v>-2.2108479294197379E-12</v>
      </c>
      <c r="PK136" s="672" t="e">
        <f>ABS(#REF!*PJ136*3600)</f>
        <v>#REF!</v>
      </c>
      <c r="PL136" s="675">
        <f t="shared" si="753"/>
        <v>2.0056812415695862E-4</v>
      </c>
      <c r="PM136" s="614">
        <f t="shared" si="754"/>
        <v>2.0056812415695863E-2</v>
      </c>
      <c r="PN136" s="672">
        <f t="shared" si="755"/>
        <v>2.4068174898835034E-4</v>
      </c>
      <c r="PO136" s="600">
        <f t="shared" si="756"/>
        <v>2.4268743022991992E-4</v>
      </c>
      <c r="PP136" s="672">
        <f t="shared" si="757"/>
        <v>2.4268743022991992E-4</v>
      </c>
      <c r="PQ136" s="676">
        <f t="shared" si="758"/>
        <v>2.5071015519619825E-4</v>
      </c>
      <c r="PR136" s="668"/>
      <c r="PS136" s="669"/>
      <c r="PT136" s="670"/>
      <c r="PU136" s="671"/>
      <c r="PV136" s="678"/>
      <c r="PW136" s="650"/>
      <c r="PX136" s="663"/>
      <c r="PY136" s="671" t="str">
        <f t="shared" si="759"/>
        <v>rango cal. out</v>
      </c>
      <c r="PZ136" s="619" t="e">
        <f t="shared" si="760"/>
        <v>#DIV/0!</v>
      </c>
      <c r="QA136" s="674" t="e">
        <f t="shared" si="761"/>
        <v>#VALUE!</v>
      </c>
      <c r="QB136" s="599" t="e">
        <f>QA136-AVERAGE(QI102:QI103)</f>
        <v>#VALUE!</v>
      </c>
      <c r="QC136" s="672" t="e">
        <f>ABS(#REF!*QB136*3600)</f>
        <v>#REF!</v>
      </c>
      <c r="QD136" s="675" t="e">
        <f t="shared" si="762"/>
        <v>#VALUE!</v>
      </c>
      <c r="QE136" s="614" t="e">
        <f t="shared" si="763"/>
        <v>#VALUE!</v>
      </c>
      <c r="QF136" s="672" t="e">
        <f t="shared" si="764"/>
        <v>#VALUE!</v>
      </c>
      <c r="QG136" s="600" t="e">
        <f t="shared" si="765"/>
        <v>#VALUE!</v>
      </c>
      <c r="QH136" s="672" t="e">
        <f t="shared" si="766"/>
        <v>#VALUE!</v>
      </c>
      <c r="QI136" s="676" t="e">
        <f t="shared" si="767"/>
        <v>#VALUE!</v>
      </c>
      <c r="QJ136" s="668"/>
      <c r="QK136" s="669"/>
      <c r="QL136" s="670"/>
      <c r="QM136" s="671"/>
      <c r="QN136" s="678"/>
      <c r="QO136" s="650"/>
      <c r="QP136" s="663"/>
      <c r="QQ136" s="671" t="str">
        <f t="shared" si="768"/>
        <v>rango cal. out</v>
      </c>
      <c r="QR136" s="619" t="e">
        <f t="shared" si="769"/>
        <v>#DIV/0!</v>
      </c>
      <c r="QS136" s="674" t="e">
        <f t="shared" si="770"/>
        <v>#VALUE!</v>
      </c>
      <c r="QT136" s="599" t="e">
        <f>QS136-AVERAGE(RA102:RA103)</f>
        <v>#VALUE!</v>
      </c>
      <c r="QU136" s="672" t="e">
        <f>ABS(#REF!*QT136*3600)</f>
        <v>#REF!</v>
      </c>
      <c r="QV136" s="675" t="e">
        <f t="shared" si="771"/>
        <v>#VALUE!</v>
      </c>
      <c r="QW136" s="614" t="e">
        <f t="shared" si="772"/>
        <v>#VALUE!</v>
      </c>
      <c r="QX136" s="672" t="e">
        <f t="shared" si="773"/>
        <v>#VALUE!</v>
      </c>
      <c r="QY136" s="600" t="e">
        <f t="shared" si="774"/>
        <v>#VALUE!</v>
      </c>
      <c r="QZ136" s="672" t="e">
        <f t="shared" si="775"/>
        <v>#VALUE!</v>
      </c>
      <c r="RA136" s="676" t="e">
        <f t="shared" si="776"/>
        <v>#VALUE!</v>
      </c>
      <c r="RB136" s="668"/>
      <c r="RC136" s="669"/>
      <c r="RD136" s="680"/>
      <c r="RE136" s="671"/>
      <c r="RF136" s="673"/>
      <c r="RG136" s="650"/>
      <c r="RH136" s="663"/>
      <c r="RI136" s="671" t="str">
        <f t="shared" si="777"/>
        <v>rango cal. out</v>
      </c>
      <c r="RJ136" s="619" t="e">
        <f t="shared" si="778"/>
        <v>#DIV/0!</v>
      </c>
      <c r="RK136" s="674" t="e">
        <f t="shared" si="779"/>
        <v>#VALUE!</v>
      </c>
      <c r="RL136" s="599" t="e">
        <f>RK136-AVERAGE(RS102:RS103)</f>
        <v>#VALUE!</v>
      </c>
      <c r="RM136" s="672" t="e">
        <f>ABS(#REF!*RL136*3600)</f>
        <v>#REF!</v>
      </c>
      <c r="RN136" s="675" t="e">
        <f t="shared" si="780"/>
        <v>#VALUE!</v>
      </c>
      <c r="RO136" s="614" t="e">
        <f t="shared" si="781"/>
        <v>#VALUE!</v>
      </c>
      <c r="RP136" s="672" t="e">
        <f t="shared" si="782"/>
        <v>#VALUE!</v>
      </c>
      <c r="RQ136" s="600" t="e">
        <f t="shared" si="783"/>
        <v>#VALUE!</v>
      </c>
      <c r="RR136" s="672" t="e">
        <f t="shared" si="784"/>
        <v>#VALUE!</v>
      </c>
      <c r="RS136" s="676" t="e">
        <f t="shared" si="785"/>
        <v>#VALUE!</v>
      </c>
      <c r="RT136" s="668"/>
      <c r="RU136" s="669"/>
      <c r="RV136" s="669"/>
      <c r="RW136" s="679"/>
      <c r="RX136" s="673"/>
      <c r="RY136" s="650"/>
      <c r="RZ136" s="663"/>
      <c r="SA136" s="671" t="str">
        <f t="shared" si="786"/>
        <v>rango cal. out</v>
      </c>
      <c r="SB136" s="619" t="e">
        <f t="shared" si="787"/>
        <v>#DIV/0!</v>
      </c>
      <c r="SC136" s="674" t="e">
        <f t="shared" si="788"/>
        <v>#VALUE!</v>
      </c>
      <c r="SD136" s="599" t="e">
        <f>SC136-AVERAGE(SK102:SK103)</f>
        <v>#VALUE!</v>
      </c>
      <c r="SE136" s="672" t="e">
        <f>ABS(#REF!*SD136*3600)</f>
        <v>#REF!</v>
      </c>
      <c r="SF136" s="675" t="e">
        <f t="shared" si="789"/>
        <v>#VALUE!</v>
      </c>
      <c r="SG136" s="614" t="e">
        <f t="shared" si="790"/>
        <v>#VALUE!</v>
      </c>
      <c r="SH136" s="672" t="e">
        <f t="shared" si="791"/>
        <v>#VALUE!</v>
      </c>
      <c r="SI136" s="600" t="e">
        <f t="shared" si="792"/>
        <v>#VALUE!</v>
      </c>
      <c r="SJ136" s="672" t="e">
        <f t="shared" si="793"/>
        <v>#VALUE!</v>
      </c>
      <c r="SK136" s="676" t="e">
        <f t="shared" si="794"/>
        <v>#VALUE!</v>
      </c>
      <c r="SL136" s="668">
        <v>20.5</v>
      </c>
      <c r="SM136" s="669">
        <v>54</v>
      </c>
      <c r="SN136" s="670">
        <v>1007</v>
      </c>
      <c r="SO136" s="2011">
        <v>-1.4E-11</v>
      </c>
      <c r="SP136" s="673">
        <v>60</v>
      </c>
      <c r="SQ136" s="663">
        <v>44334</v>
      </c>
      <c r="SR136" s="663" t="s">
        <v>268</v>
      </c>
      <c r="SS136" s="671">
        <f t="shared" si="795"/>
        <v>-1.4041999999999999E-11</v>
      </c>
      <c r="ST136" s="619">
        <f t="shared" si="796"/>
        <v>1.001093715939642</v>
      </c>
      <c r="SU136" s="674">
        <f t="shared" si="797"/>
        <v>-2.3202468878821338E-13</v>
      </c>
      <c r="SV136" s="599">
        <f>SU136-AVERAGE(TC102:TC103)</f>
        <v>-2.3009201601418109E-13</v>
      </c>
      <c r="SW136" s="672" t="e">
        <f>ABS(#REF!*SV136*3600)</f>
        <v>#REF!</v>
      </c>
      <c r="SX136" s="675">
        <f t="shared" si="798"/>
        <v>2.0873947692806508E-5</v>
      </c>
      <c r="SY136" s="614">
        <f t="shared" si="799"/>
        <v>2.0873947692806507E-3</v>
      </c>
      <c r="SZ136" s="672">
        <f t="shared" si="800"/>
        <v>2.5048737231367809E-5</v>
      </c>
      <c r="TA136" s="600">
        <f t="shared" si="801"/>
        <v>2.5257476708295873E-5</v>
      </c>
      <c r="TB136" s="672">
        <f t="shared" si="802"/>
        <v>2.5257476708295873E-5</v>
      </c>
      <c r="TC136" s="676">
        <f t="shared" si="803"/>
        <v>2.6092434616008134E-5</v>
      </c>
      <c r="TD136" s="668">
        <v>20.399999999999999</v>
      </c>
      <c r="TE136" s="669">
        <v>55</v>
      </c>
      <c r="TF136" s="670">
        <v>1008</v>
      </c>
      <c r="TG136" s="2011">
        <v>-3.0700000000000003E-10</v>
      </c>
      <c r="TH136" s="673">
        <v>60</v>
      </c>
      <c r="TI136" s="663">
        <v>44334</v>
      </c>
      <c r="TJ136" s="663" t="s">
        <v>268</v>
      </c>
      <c r="TK136" s="671">
        <f t="shared" si="804"/>
        <v>-3.0792100000000002E-10</v>
      </c>
      <c r="TL136" s="619">
        <f t="shared" si="805"/>
        <v>0.99976004968383014</v>
      </c>
      <c r="TM136" s="674">
        <f t="shared" si="806"/>
        <v>-5.0811917209059898E-12</v>
      </c>
      <c r="TN136" s="599">
        <f>TM136-AVERAGE(TU102:TU103)</f>
        <v>-5.0808252777187851E-12</v>
      </c>
      <c r="TO136" s="672" t="e">
        <f>ABS(#REF!*TN136*3600)</f>
        <v>#REF!</v>
      </c>
      <c r="TP136" s="675">
        <f t="shared" si="807"/>
        <v>4.6093246919464819E-4</v>
      </c>
      <c r="TQ136" s="614">
        <f t="shared" si="808"/>
        <v>4.6093246919464821E-2</v>
      </c>
      <c r="TR136" s="672">
        <f t="shared" si="809"/>
        <v>5.5311896303357781E-4</v>
      </c>
      <c r="TS136" s="600">
        <f t="shared" si="810"/>
        <v>5.5772828772552424E-4</v>
      </c>
      <c r="TT136" s="672">
        <f t="shared" si="811"/>
        <v>5.5772828772552424E-4</v>
      </c>
      <c r="TU136" s="676">
        <f t="shared" si="812"/>
        <v>5.761655864933102E-4</v>
      </c>
      <c r="TV136" s="668"/>
      <c r="TW136" s="669"/>
      <c r="TX136" s="670"/>
      <c r="TY136" s="671"/>
      <c r="TZ136" s="678"/>
      <c r="UA136" s="650"/>
      <c r="UB136" s="663"/>
      <c r="UC136" s="671" t="str">
        <f t="shared" si="813"/>
        <v>rango cal. out</v>
      </c>
      <c r="UD136" s="619" t="e">
        <f t="shared" si="814"/>
        <v>#DIV/0!</v>
      </c>
      <c r="UE136" s="674" t="e">
        <f t="shared" si="815"/>
        <v>#VALUE!</v>
      </c>
      <c r="UF136" s="599" t="e">
        <f>UE136-AVERAGE(UM102:UM103)</f>
        <v>#VALUE!</v>
      </c>
      <c r="UG136" s="672" t="e">
        <f>ABS(#REF!*UF136*3600)</f>
        <v>#REF!</v>
      </c>
      <c r="UH136" s="675" t="e">
        <f t="shared" si="816"/>
        <v>#VALUE!</v>
      </c>
      <c r="UI136" s="614" t="e">
        <f t="shared" si="817"/>
        <v>#VALUE!</v>
      </c>
      <c r="UJ136" s="672" t="e">
        <f t="shared" si="818"/>
        <v>#VALUE!</v>
      </c>
      <c r="UK136" s="600" t="e">
        <f t="shared" si="819"/>
        <v>#VALUE!</v>
      </c>
      <c r="UL136" s="672" t="e">
        <f t="shared" si="820"/>
        <v>#VALUE!</v>
      </c>
      <c r="UM136" s="676" t="e">
        <f t="shared" si="821"/>
        <v>#VALUE!</v>
      </c>
      <c r="UN136" s="668">
        <v>20.399999999999999</v>
      </c>
      <c r="UO136" s="669">
        <v>56</v>
      </c>
      <c r="UP136" s="670">
        <v>1008</v>
      </c>
      <c r="UQ136" s="2011">
        <v>-2.05E-11</v>
      </c>
      <c r="UR136" s="673">
        <v>60</v>
      </c>
      <c r="US136" s="663">
        <v>44334</v>
      </c>
      <c r="UT136" s="663" t="s">
        <v>268</v>
      </c>
      <c r="UU136" s="671">
        <f t="shared" si="822"/>
        <v>-2.0561499999999998E-11</v>
      </c>
      <c r="UV136" s="619">
        <f t="shared" si="823"/>
        <v>0.99976004968383014</v>
      </c>
      <c r="UW136" s="674">
        <f t="shared" si="824"/>
        <v>-3.3929781849697975E-13</v>
      </c>
      <c r="UX136" s="599">
        <f>UW136-AVERAGE(VE102:VE103)</f>
        <v>-3.3913534541471501E-13</v>
      </c>
      <c r="UY136" s="672" t="e">
        <f>ABS(#REF!*UX136*3600)</f>
        <v>#REF!</v>
      </c>
      <c r="UZ136" s="675">
        <f t="shared" si="825"/>
        <v>3.0766358536022943E-5</v>
      </c>
      <c r="VA136" s="614">
        <f t="shared" si="826"/>
        <v>3.0766358536022942E-3</v>
      </c>
      <c r="VB136" s="672">
        <f t="shared" si="827"/>
        <v>3.691963024322753E-5</v>
      </c>
      <c r="VC136" s="600">
        <f t="shared" si="828"/>
        <v>3.7227293828587757E-5</v>
      </c>
      <c r="VD136" s="672">
        <f t="shared" si="829"/>
        <v>3.7227293828587757E-5</v>
      </c>
      <c r="VE136" s="676">
        <f t="shared" si="830"/>
        <v>3.8457948170028679E-5</v>
      </c>
    </row>
    <row r="137" spans="1:577" x14ac:dyDescent="0.25">
      <c r="A137" s="2219"/>
      <c r="B137" s="668">
        <v>20.3</v>
      </c>
      <c r="C137" s="673">
        <v>52</v>
      </c>
      <c r="D137" s="678">
        <v>1010</v>
      </c>
      <c r="E137" s="2011">
        <v>-4.7900000000000002E-9</v>
      </c>
      <c r="F137" s="673">
        <v>60</v>
      </c>
      <c r="G137" s="663">
        <v>44334</v>
      </c>
      <c r="H137" s="650" t="s">
        <v>1042</v>
      </c>
      <c r="I137" s="671">
        <f t="shared" si="543"/>
        <v>-4.7947899999999993E-9</v>
      </c>
      <c r="J137" s="619">
        <f t="shared" si="544"/>
        <v>0.99744048337760605</v>
      </c>
      <c r="K137" s="674">
        <f t="shared" si="545"/>
        <v>-7.8938174144280843E-11</v>
      </c>
      <c r="L137" s="599">
        <f>K137-AVERAGE(S102:S103)</f>
        <v>-7.891436217690935E-11</v>
      </c>
      <c r="M137" s="672" t="e">
        <f>ABS(#REF!*L137*3600)</f>
        <v>#REF!</v>
      </c>
      <c r="N137" s="675">
        <f t="shared" si="546"/>
        <v>7.1591109366892164E-3</v>
      </c>
      <c r="O137" s="614">
        <f t="shared" si="547"/>
        <v>0.71591109366892169</v>
      </c>
      <c r="P137" s="672">
        <f t="shared" si="548"/>
        <v>8.5909331240270597E-3</v>
      </c>
      <c r="Q137" s="600">
        <f t="shared" si="549"/>
        <v>8.6625242333939513E-3</v>
      </c>
      <c r="R137" s="672">
        <f t="shared" si="550"/>
        <v>8.6625242333939513E-3</v>
      </c>
      <c r="S137" s="676">
        <f t="shared" si="551"/>
        <v>8.9488886708615212E-3</v>
      </c>
      <c r="T137" s="677"/>
      <c r="U137" s="669"/>
      <c r="V137" s="670"/>
      <c r="W137" s="671"/>
      <c r="X137" s="678"/>
      <c r="Y137" s="650"/>
      <c r="Z137" s="650"/>
      <c r="AA137" s="671" t="str">
        <f t="shared" si="552"/>
        <v>rango cal. out</v>
      </c>
      <c r="AB137" s="619" t="e">
        <f t="shared" si="553"/>
        <v>#DIV/0!</v>
      </c>
      <c r="AC137" s="674" t="e">
        <f t="shared" si="554"/>
        <v>#VALUE!</v>
      </c>
      <c r="AD137" s="599" t="e">
        <f>AC137-AVERAGE(#REF!)</f>
        <v>#VALUE!</v>
      </c>
      <c r="AE137" s="672" t="e">
        <f>ABS(#REF!*AD137*3600)</f>
        <v>#REF!</v>
      </c>
      <c r="AF137" s="675" t="e">
        <f t="shared" si="555"/>
        <v>#VALUE!</v>
      </c>
      <c r="AG137" s="614" t="e">
        <f t="shared" si="556"/>
        <v>#VALUE!</v>
      </c>
      <c r="AH137" s="672" t="e">
        <f t="shared" si="557"/>
        <v>#VALUE!</v>
      </c>
      <c r="AI137" s="600" t="e">
        <f t="shared" si="558"/>
        <v>#VALUE!</v>
      </c>
      <c r="AJ137" s="672" t="e">
        <f t="shared" si="559"/>
        <v>#VALUE!</v>
      </c>
      <c r="AK137" s="676" t="e">
        <f t="shared" si="560"/>
        <v>#VALUE!</v>
      </c>
      <c r="AL137" s="677"/>
      <c r="AM137" s="669"/>
      <c r="AN137" s="670"/>
      <c r="AO137" s="671"/>
      <c r="AP137" s="678"/>
      <c r="AQ137" s="650"/>
      <c r="AR137" s="650"/>
      <c r="AS137" s="671" t="str">
        <f t="shared" si="561"/>
        <v>rango cal. out</v>
      </c>
      <c r="AT137" s="619" t="e">
        <f t="shared" si="562"/>
        <v>#DIV/0!</v>
      </c>
      <c r="AU137" s="674" t="e">
        <f t="shared" si="563"/>
        <v>#VALUE!</v>
      </c>
      <c r="AV137" s="599" t="e">
        <f>AU137-AVERAGE(BC102:BC103)</f>
        <v>#VALUE!</v>
      </c>
      <c r="AW137" s="672" t="e">
        <f>ABS(#REF!*AV137*3600)</f>
        <v>#REF!</v>
      </c>
      <c r="AX137" s="675" t="e">
        <f t="shared" si="564"/>
        <v>#VALUE!</v>
      </c>
      <c r="AY137" s="614" t="e">
        <f t="shared" si="565"/>
        <v>#VALUE!</v>
      </c>
      <c r="AZ137" s="672" t="e">
        <f t="shared" si="566"/>
        <v>#VALUE!</v>
      </c>
      <c r="BA137" s="600" t="e">
        <f t="shared" si="567"/>
        <v>#VALUE!</v>
      </c>
      <c r="BB137" s="672" t="e">
        <f t="shared" si="568"/>
        <v>#VALUE!</v>
      </c>
      <c r="BC137" s="676" t="e">
        <f t="shared" si="569"/>
        <v>#VALUE!</v>
      </c>
      <c r="BD137" s="668">
        <v>20.5</v>
      </c>
      <c r="BE137" s="669">
        <v>54</v>
      </c>
      <c r="BF137" s="670">
        <v>1009</v>
      </c>
      <c r="BG137" s="2010">
        <v>-7.7700000000000001E-10</v>
      </c>
      <c r="BH137" s="673">
        <v>60</v>
      </c>
      <c r="BI137" s="663">
        <v>44334</v>
      </c>
      <c r="BJ137" s="650" t="s">
        <v>268</v>
      </c>
      <c r="BK137" s="671">
        <f t="shared" si="570"/>
        <v>-7.7933099999999994E-10</v>
      </c>
      <c r="BL137" s="619">
        <f t="shared" si="571"/>
        <v>0.9991093874640431</v>
      </c>
      <c r="BM137" s="674">
        <f t="shared" si="572"/>
        <v>-1.2851845212428209E-11</v>
      </c>
      <c r="BN137" s="599">
        <f>BM137-AVERAGE(BU102:BU103)</f>
        <v>-1.2850500028319813E-11</v>
      </c>
      <c r="BO137" s="672" t="e">
        <f>ABS(#REF!*BN137*3600)</f>
        <v>#REF!</v>
      </c>
      <c r="BP137" s="675">
        <f t="shared" si="573"/>
        <v>1.1657973625691736E-3</v>
      </c>
      <c r="BQ137" s="614">
        <f t="shared" si="574"/>
        <v>0.11657973625691735</v>
      </c>
      <c r="BR137" s="672">
        <f t="shared" si="575"/>
        <v>1.3989568350830082E-3</v>
      </c>
      <c r="BS137" s="600">
        <f t="shared" si="576"/>
        <v>1.4106148087087E-3</v>
      </c>
      <c r="BT137" s="672">
        <f t="shared" si="577"/>
        <v>1.4106148087087E-3</v>
      </c>
      <c r="BU137" s="676">
        <f t="shared" si="578"/>
        <v>1.4572467032114671E-3</v>
      </c>
      <c r="BV137" s="668">
        <v>20.6</v>
      </c>
      <c r="BW137" s="669">
        <v>49</v>
      </c>
      <c r="BX137" s="680">
        <v>1008</v>
      </c>
      <c r="BY137" s="2023">
        <v>-3.55E-11</v>
      </c>
      <c r="BZ137" s="673">
        <v>60</v>
      </c>
      <c r="CA137" s="663">
        <v>44334</v>
      </c>
      <c r="CB137" s="650" t="s">
        <v>268</v>
      </c>
      <c r="CC137" s="671">
        <f t="shared" si="579"/>
        <v>-3.5606499999999996E-11</v>
      </c>
      <c r="CD137" s="619">
        <f t="shared" si="580"/>
        <v>1.0004410851400183</v>
      </c>
      <c r="CE137" s="674">
        <f t="shared" si="581"/>
        <v>-5.879647632653766E-13</v>
      </c>
      <c r="CF137" s="599">
        <f>CE137-AVERAGE(CM102:CM103)</f>
        <v>-5.861632680302349E-13</v>
      </c>
      <c r="CG137" s="672" t="e">
        <f>ABS(#REF!*CF137*3600)</f>
        <v>#REF!</v>
      </c>
      <c r="CH137" s="675">
        <f t="shared" si="582"/>
        <v>5.3176731675702909E-5</v>
      </c>
      <c r="CI137" s="614">
        <f t="shared" si="583"/>
        <v>5.3176731675702912E-3</v>
      </c>
      <c r="CJ137" s="672">
        <f t="shared" si="584"/>
        <v>6.381207801084349E-5</v>
      </c>
      <c r="CK137" s="600">
        <f t="shared" si="585"/>
        <v>6.4343845327600511E-5</v>
      </c>
      <c r="CL137" s="672">
        <f t="shared" si="586"/>
        <v>6.4343845327600511E-5</v>
      </c>
      <c r="CM137" s="676">
        <f t="shared" si="587"/>
        <v>6.6470914594628634E-5</v>
      </c>
      <c r="CN137" s="668">
        <v>20.6</v>
      </c>
      <c r="CO137" s="669">
        <v>53</v>
      </c>
      <c r="CP137" s="680">
        <v>1007</v>
      </c>
      <c r="CQ137" s="2011">
        <v>-1.8179999999999999E-9</v>
      </c>
      <c r="CR137" s="673">
        <v>60</v>
      </c>
      <c r="CS137" s="663">
        <v>44334</v>
      </c>
      <c r="CT137" s="650" t="s">
        <v>268</v>
      </c>
      <c r="CU137" s="671">
        <f t="shared" si="588"/>
        <v>-1.8234539999999998E-9</v>
      </c>
      <c r="CV137" s="619">
        <f t="shared" si="589"/>
        <v>1.0014345718184097</v>
      </c>
      <c r="CW137" s="674">
        <f t="shared" si="590"/>
        <v>-3.0140321947309303E-11</v>
      </c>
      <c r="CX137" s="599">
        <f>CW137-AVERAGE(DE102:DE103)</f>
        <v>-3.012903426060388E-11</v>
      </c>
      <c r="CY137" s="672" t="e">
        <f>ABS(#REF!*CX137*3600)</f>
        <v>#REF!</v>
      </c>
      <c r="CZ137" s="675">
        <f t="shared" si="591"/>
        <v>2.7333059881219841E-3</v>
      </c>
      <c r="DA137" s="614">
        <f t="shared" si="592"/>
        <v>0.2733305988121984</v>
      </c>
      <c r="DB137" s="672">
        <f t="shared" si="593"/>
        <v>3.2799671857463809E-3</v>
      </c>
      <c r="DC137" s="600">
        <f t="shared" si="594"/>
        <v>3.3073002456276007E-3</v>
      </c>
      <c r="DD137" s="672">
        <f t="shared" si="595"/>
        <v>3.3073002456276007E-3</v>
      </c>
      <c r="DE137" s="676">
        <f t="shared" si="596"/>
        <v>3.41663248515248E-3</v>
      </c>
      <c r="DF137" s="668"/>
      <c r="DG137" s="669"/>
      <c r="DH137" s="670"/>
      <c r="DI137" s="671"/>
      <c r="DJ137" s="678"/>
      <c r="DK137" s="650"/>
      <c r="DL137" s="650" t="s">
        <v>268</v>
      </c>
      <c r="DM137" s="671">
        <f t="shared" si="597"/>
        <v>0</v>
      </c>
      <c r="DN137" s="619" t="e">
        <f t="shared" si="598"/>
        <v>#DIV/0!</v>
      </c>
      <c r="DO137" s="674" t="e">
        <f t="shared" si="599"/>
        <v>#DIV/0!</v>
      </c>
      <c r="DP137" s="599" t="e">
        <f>DO137-AVERAGE(DW102:DW103)</f>
        <v>#DIV/0!</v>
      </c>
      <c r="DQ137" s="672" t="e">
        <f>ABS(#REF!*DP137*3600)</f>
        <v>#REF!</v>
      </c>
      <c r="DR137" s="675" t="e">
        <f t="shared" si="600"/>
        <v>#DIV/0!</v>
      </c>
      <c r="DS137" s="614" t="e">
        <f t="shared" si="601"/>
        <v>#DIV/0!</v>
      </c>
      <c r="DT137" s="672" t="e">
        <f t="shared" si="602"/>
        <v>#DIV/0!</v>
      </c>
      <c r="DU137" s="600" t="e">
        <f t="shared" si="603"/>
        <v>#DIV/0!</v>
      </c>
      <c r="DV137" s="672" t="e">
        <f t="shared" si="604"/>
        <v>#DIV/0!</v>
      </c>
      <c r="DW137" s="676" t="e">
        <f t="shared" si="605"/>
        <v>#DIV/0!</v>
      </c>
      <c r="DX137" s="668"/>
      <c r="DY137" s="669"/>
      <c r="DZ137" s="677"/>
      <c r="EA137" s="679"/>
      <c r="EB137" s="678"/>
      <c r="EC137" s="650"/>
      <c r="ED137" s="650"/>
      <c r="EE137" s="671" t="str">
        <f t="shared" si="606"/>
        <v>rango cal. out</v>
      </c>
      <c r="EF137" s="619" t="e">
        <f t="shared" si="607"/>
        <v>#DIV/0!</v>
      </c>
      <c r="EG137" s="674" t="e">
        <f t="shared" si="608"/>
        <v>#VALUE!</v>
      </c>
      <c r="EH137" s="599" t="e">
        <f>EG137-AVERAGE(EO102:EO103)</f>
        <v>#VALUE!</v>
      </c>
      <c r="EI137" s="672" t="e">
        <f>ABS(#REF!*EH137*3600)</f>
        <v>#REF!</v>
      </c>
      <c r="EJ137" s="675" t="e">
        <f t="shared" si="609"/>
        <v>#VALUE!</v>
      </c>
      <c r="EK137" s="614" t="e">
        <f t="shared" si="610"/>
        <v>#VALUE!</v>
      </c>
      <c r="EL137" s="672" t="e">
        <f t="shared" si="611"/>
        <v>#VALUE!</v>
      </c>
      <c r="EM137" s="600" t="e">
        <f t="shared" si="612"/>
        <v>#VALUE!</v>
      </c>
      <c r="EN137" s="672" t="e">
        <f t="shared" si="613"/>
        <v>#VALUE!</v>
      </c>
      <c r="EO137" s="676" t="e">
        <f t="shared" si="614"/>
        <v>#VALUE!</v>
      </c>
      <c r="EP137" s="668">
        <v>20.399999999999999</v>
      </c>
      <c r="EQ137" s="669">
        <v>53</v>
      </c>
      <c r="ER137" s="670">
        <v>1007</v>
      </c>
      <c r="ES137" s="2023">
        <v>-7.9999999999999998E-12</v>
      </c>
      <c r="ET137" s="673">
        <v>60</v>
      </c>
      <c r="EU137" s="663">
        <v>44334</v>
      </c>
      <c r="EV137" s="650" t="s">
        <v>268</v>
      </c>
      <c r="EW137" s="671">
        <f t="shared" si="615"/>
        <v>-8.0239999999999989E-12</v>
      </c>
      <c r="EX137" s="619">
        <f t="shared" si="616"/>
        <v>1.0007528600608746</v>
      </c>
      <c r="EY137" s="674">
        <f t="shared" si="617"/>
        <v>-1.3254039326469079E-13</v>
      </c>
      <c r="EZ137" s="599">
        <f>EY137-AVERAGE(FG102:FG103)</f>
        <v>-1.3362095707429052E-13</v>
      </c>
      <c r="FA137" s="672" t="e">
        <f>ABS(#REF!*EZ137*3600)</f>
        <v>#REF!</v>
      </c>
      <c r="FB137" s="675">
        <f t="shared" si="618"/>
        <v>1.2122093225779635E-5</v>
      </c>
      <c r="FC137" s="614">
        <f t="shared" si="619"/>
        <v>1.2122093225779636E-3</v>
      </c>
      <c r="FD137" s="672">
        <f t="shared" si="620"/>
        <v>1.4546511870935562E-5</v>
      </c>
      <c r="FE137" s="600">
        <f t="shared" si="621"/>
        <v>1.4667732803193359E-5</v>
      </c>
      <c r="FF137" s="672">
        <f t="shared" si="622"/>
        <v>1.4667732803193359E-5</v>
      </c>
      <c r="FG137" s="676">
        <f t="shared" si="623"/>
        <v>1.5152616532224545E-5</v>
      </c>
      <c r="FH137" s="668"/>
      <c r="FI137" s="669"/>
      <c r="FJ137" s="670"/>
      <c r="FK137" s="671"/>
      <c r="FL137" s="678"/>
      <c r="FM137" s="650"/>
      <c r="FN137" s="650"/>
      <c r="FO137" s="671" t="str">
        <f t="shared" si="624"/>
        <v>rango cal. out</v>
      </c>
      <c r="FP137" s="619" t="e">
        <f t="shared" si="625"/>
        <v>#DIV/0!</v>
      </c>
      <c r="FQ137" s="674" t="e">
        <f t="shared" si="626"/>
        <v>#VALUE!</v>
      </c>
      <c r="FR137" s="599" t="e">
        <f>FQ137-AVERAGE(FY102:FY103)</f>
        <v>#VALUE!</v>
      </c>
      <c r="FS137" s="672" t="e">
        <f>ABS(#REF!*FR137*3600)</f>
        <v>#REF!</v>
      </c>
      <c r="FT137" s="675" t="e">
        <f t="shared" si="627"/>
        <v>#VALUE!</v>
      </c>
      <c r="FU137" s="614" t="e">
        <f t="shared" si="628"/>
        <v>#VALUE!</v>
      </c>
      <c r="FV137" s="672" t="e">
        <f t="shared" si="629"/>
        <v>#VALUE!</v>
      </c>
      <c r="FW137" s="600" t="e">
        <f t="shared" si="630"/>
        <v>#VALUE!</v>
      </c>
      <c r="FX137" s="672" t="e">
        <f t="shared" si="631"/>
        <v>#VALUE!</v>
      </c>
      <c r="FY137" s="676" t="e">
        <f t="shared" si="632"/>
        <v>#VALUE!</v>
      </c>
      <c r="FZ137" s="668"/>
      <c r="GA137" s="669"/>
      <c r="GB137" s="670"/>
      <c r="GC137" s="671"/>
      <c r="GD137" s="678"/>
      <c r="GE137" s="650"/>
      <c r="GF137" s="650"/>
      <c r="GG137" s="671" t="str">
        <f t="shared" si="633"/>
        <v>rango cal. out</v>
      </c>
      <c r="GH137" s="619" t="e">
        <f t="shared" si="634"/>
        <v>#DIV/0!</v>
      </c>
      <c r="GI137" s="674" t="e">
        <f t="shared" si="635"/>
        <v>#VALUE!</v>
      </c>
      <c r="GJ137" s="599" t="e">
        <f>GI137-AVERAGE(GQ102:GQ103)</f>
        <v>#VALUE!</v>
      </c>
      <c r="GK137" s="672" t="e">
        <f>ABS(#REF!*GJ137*3600)</f>
        <v>#REF!</v>
      </c>
      <c r="GL137" s="675" t="e">
        <f t="shared" si="636"/>
        <v>#VALUE!</v>
      </c>
      <c r="GM137" s="614" t="e">
        <f t="shared" si="637"/>
        <v>#VALUE!</v>
      </c>
      <c r="GN137" s="672" t="e">
        <f t="shared" si="638"/>
        <v>#VALUE!</v>
      </c>
      <c r="GO137" s="600" t="e">
        <f t="shared" si="639"/>
        <v>#VALUE!</v>
      </c>
      <c r="GP137" s="672" t="e">
        <f t="shared" si="640"/>
        <v>#VALUE!</v>
      </c>
      <c r="GQ137" s="676" t="e">
        <f t="shared" si="641"/>
        <v>#VALUE!</v>
      </c>
      <c r="GR137" s="668"/>
      <c r="GS137" s="669"/>
      <c r="GT137" s="677"/>
      <c r="GU137" s="679"/>
      <c r="GV137" s="678"/>
      <c r="GW137" s="650"/>
      <c r="GX137" s="650"/>
      <c r="GY137" s="671" t="str">
        <f t="shared" si="642"/>
        <v>rango cal. out</v>
      </c>
      <c r="GZ137" s="619" t="e">
        <f t="shared" si="643"/>
        <v>#DIV/0!</v>
      </c>
      <c r="HA137" s="674" t="e">
        <f t="shared" si="644"/>
        <v>#VALUE!</v>
      </c>
      <c r="HB137" s="599" t="e">
        <f>HA137-AVERAGE(HI102:HI103)</f>
        <v>#VALUE!</v>
      </c>
      <c r="HC137" s="672" t="e">
        <f>ABS(#REF!*HB137*3600)</f>
        <v>#REF!</v>
      </c>
      <c r="HD137" s="675" t="e">
        <f t="shared" si="645"/>
        <v>#VALUE!</v>
      </c>
      <c r="HE137" s="614" t="e">
        <f t="shared" si="646"/>
        <v>#VALUE!</v>
      </c>
      <c r="HF137" s="672" t="e">
        <f t="shared" si="647"/>
        <v>#VALUE!</v>
      </c>
      <c r="HG137" s="600" t="e">
        <f t="shared" si="648"/>
        <v>#VALUE!</v>
      </c>
      <c r="HH137" s="672" t="e">
        <f t="shared" si="649"/>
        <v>#VALUE!</v>
      </c>
      <c r="HI137" s="676" t="e">
        <f t="shared" si="650"/>
        <v>#VALUE!</v>
      </c>
      <c r="HJ137" s="668"/>
      <c r="HK137" s="669"/>
      <c r="HL137" s="670"/>
      <c r="HM137" s="671"/>
      <c r="HN137" s="678"/>
      <c r="HO137" s="650"/>
      <c r="HP137" s="650"/>
      <c r="HQ137" s="671" t="str">
        <f t="shared" si="651"/>
        <v>rango cal. out</v>
      </c>
      <c r="HR137" s="619" t="e">
        <f t="shared" si="652"/>
        <v>#DIV/0!</v>
      </c>
      <c r="HS137" s="674" t="e">
        <f t="shared" si="653"/>
        <v>#VALUE!</v>
      </c>
      <c r="HT137" s="599" t="e">
        <f>HS137-AVERAGE(IA102:IA103)</f>
        <v>#VALUE!</v>
      </c>
      <c r="HU137" s="672" t="e">
        <f>ABS(#REF!*HT137*3600)</f>
        <v>#REF!</v>
      </c>
      <c r="HV137" s="675" t="e">
        <f t="shared" si="654"/>
        <v>#VALUE!</v>
      </c>
      <c r="HW137" s="614" t="e">
        <f t="shared" si="655"/>
        <v>#VALUE!</v>
      </c>
      <c r="HX137" s="672" t="e">
        <f t="shared" si="656"/>
        <v>#VALUE!</v>
      </c>
      <c r="HY137" s="600" t="e">
        <f t="shared" si="657"/>
        <v>#VALUE!</v>
      </c>
      <c r="HZ137" s="672" t="e">
        <f t="shared" si="658"/>
        <v>#VALUE!</v>
      </c>
      <c r="IA137" s="676" t="e">
        <f t="shared" si="659"/>
        <v>#VALUE!</v>
      </c>
      <c r="IB137" s="668"/>
      <c r="IC137" s="669"/>
      <c r="ID137" s="670"/>
      <c r="IE137" s="671"/>
      <c r="IF137" s="678"/>
      <c r="IG137" s="650"/>
      <c r="IH137" s="650"/>
      <c r="II137" s="671" t="str">
        <f t="shared" si="660"/>
        <v>rango cal. out</v>
      </c>
      <c r="IJ137" s="619" t="e">
        <f t="shared" si="661"/>
        <v>#DIV/0!</v>
      </c>
      <c r="IK137" s="674" t="e">
        <f t="shared" si="662"/>
        <v>#VALUE!</v>
      </c>
      <c r="IL137" s="599" t="e">
        <f>IK137-AVERAGE(IS102:IS103)</f>
        <v>#VALUE!</v>
      </c>
      <c r="IM137" s="672" t="e">
        <f>ABS(#REF!*IL137*3600)</f>
        <v>#REF!</v>
      </c>
      <c r="IN137" s="675" t="e">
        <f t="shared" si="663"/>
        <v>#VALUE!</v>
      </c>
      <c r="IO137" s="614" t="e">
        <f t="shared" si="664"/>
        <v>#VALUE!</v>
      </c>
      <c r="IP137" s="672" t="e">
        <f t="shared" si="665"/>
        <v>#VALUE!</v>
      </c>
      <c r="IQ137" s="600" t="e">
        <f t="shared" si="666"/>
        <v>#VALUE!</v>
      </c>
      <c r="IR137" s="672" t="e">
        <f t="shared" si="667"/>
        <v>#VALUE!</v>
      </c>
      <c r="IS137" s="676" t="e">
        <f t="shared" si="668"/>
        <v>#VALUE!</v>
      </c>
      <c r="IT137" s="668"/>
      <c r="IU137" s="669"/>
      <c r="IV137" s="670"/>
      <c r="IW137" s="671"/>
      <c r="IX137" s="678"/>
      <c r="IY137" s="650"/>
      <c r="IZ137" s="650"/>
      <c r="JA137" s="671" t="str">
        <f t="shared" si="669"/>
        <v>rango cal. out</v>
      </c>
      <c r="JB137" s="619" t="e">
        <f t="shared" si="670"/>
        <v>#DIV/0!</v>
      </c>
      <c r="JC137" s="674" t="e">
        <f t="shared" si="671"/>
        <v>#VALUE!</v>
      </c>
      <c r="JD137" s="599" t="e">
        <f>JC137-AVERAGE(JK102:JK103)</f>
        <v>#VALUE!</v>
      </c>
      <c r="JE137" s="672" t="e">
        <f>ABS(#REF!*JD137*3600)</f>
        <v>#REF!</v>
      </c>
      <c r="JF137" s="675" t="e">
        <f t="shared" si="672"/>
        <v>#VALUE!</v>
      </c>
      <c r="JG137" s="614" t="e">
        <f t="shared" si="673"/>
        <v>#VALUE!</v>
      </c>
      <c r="JH137" s="672" t="e">
        <f t="shared" si="674"/>
        <v>#VALUE!</v>
      </c>
      <c r="JI137" s="600" t="e">
        <f t="shared" si="675"/>
        <v>#VALUE!</v>
      </c>
      <c r="JJ137" s="672" t="e">
        <f t="shared" si="676"/>
        <v>#VALUE!</v>
      </c>
      <c r="JK137" s="676" t="e">
        <f t="shared" si="677"/>
        <v>#VALUE!</v>
      </c>
      <c r="JL137" s="668"/>
      <c r="JM137" s="669"/>
      <c r="JN137" s="670"/>
      <c r="JO137" s="671"/>
      <c r="JP137" s="678"/>
      <c r="JQ137" s="650"/>
      <c r="JR137" s="650"/>
      <c r="JS137" s="671" t="str">
        <f t="shared" si="678"/>
        <v>rango cal. out</v>
      </c>
      <c r="JT137" s="619" t="e">
        <f t="shared" si="679"/>
        <v>#DIV/0!</v>
      </c>
      <c r="JU137" s="674" t="e">
        <f t="shared" si="680"/>
        <v>#VALUE!</v>
      </c>
      <c r="JV137" s="599" t="e">
        <f>JU137-AVERAGE(KC102:KC103)</f>
        <v>#VALUE!</v>
      </c>
      <c r="JW137" s="672" t="e">
        <f>ABS(#REF!*JV137*3600)</f>
        <v>#REF!</v>
      </c>
      <c r="JX137" s="675" t="e">
        <f t="shared" si="681"/>
        <v>#VALUE!</v>
      </c>
      <c r="JY137" s="614" t="e">
        <f t="shared" si="682"/>
        <v>#VALUE!</v>
      </c>
      <c r="JZ137" s="672" t="e">
        <f t="shared" si="683"/>
        <v>#VALUE!</v>
      </c>
      <c r="KA137" s="600" t="e">
        <f t="shared" si="684"/>
        <v>#VALUE!</v>
      </c>
      <c r="KB137" s="672" t="e">
        <f t="shared" si="685"/>
        <v>#VALUE!</v>
      </c>
      <c r="KC137" s="676" t="e">
        <f t="shared" si="686"/>
        <v>#VALUE!</v>
      </c>
      <c r="KD137" s="668"/>
      <c r="KE137" s="669"/>
      <c r="KF137" s="670"/>
      <c r="KG137" s="671"/>
      <c r="KH137" s="678"/>
      <c r="KI137" s="650"/>
      <c r="KJ137" s="650"/>
      <c r="KK137" s="671" t="str">
        <f t="shared" si="687"/>
        <v>rango cal. out</v>
      </c>
      <c r="KL137" s="619" t="e">
        <f t="shared" si="688"/>
        <v>#DIV/0!</v>
      </c>
      <c r="KM137" s="674" t="e">
        <f t="shared" si="689"/>
        <v>#VALUE!</v>
      </c>
      <c r="KN137" s="599" t="e">
        <f>KM137-AVERAGE(KU102:KU103)</f>
        <v>#VALUE!</v>
      </c>
      <c r="KO137" s="672" t="e">
        <f>ABS(#REF!*KN137*3600)</f>
        <v>#REF!</v>
      </c>
      <c r="KP137" s="675" t="e">
        <f t="shared" si="690"/>
        <v>#VALUE!</v>
      </c>
      <c r="KQ137" s="614" t="e">
        <f t="shared" si="691"/>
        <v>#VALUE!</v>
      </c>
      <c r="KR137" s="672" t="e">
        <f t="shared" si="692"/>
        <v>#VALUE!</v>
      </c>
      <c r="KS137" s="600" t="e">
        <f t="shared" si="693"/>
        <v>#VALUE!</v>
      </c>
      <c r="KT137" s="672" t="e">
        <f t="shared" si="694"/>
        <v>#VALUE!</v>
      </c>
      <c r="KU137" s="676" t="e">
        <f t="shared" si="695"/>
        <v>#VALUE!</v>
      </c>
      <c r="KV137" s="668"/>
      <c r="KW137" s="669"/>
      <c r="KX137" s="670"/>
      <c r="KY137" s="671"/>
      <c r="KZ137" s="678"/>
      <c r="LA137" s="650"/>
      <c r="LB137" s="650"/>
      <c r="LC137" s="671" t="str">
        <f t="shared" si="696"/>
        <v>rango cal. out</v>
      </c>
      <c r="LD137" s="619" t="e">
        <f t="shared" si="697"/>
        <v>#DIV/0!</v>
      </c>
      <c r="LE137" s="674" t="e">
        <f t="shared" si="698"/>
        <v>#VALUE!</v>
      </c>
      <c r="LF137" s="599" t="e">
        <f>LE137-AVERAGE(LM102:LM103)</f>
        <v>#VALUE!</v>
      </c>
      <c r="LG137" s="672" t="e">
        <f>ABS(#REF!*LF137*3600)</f>
        <v>#REF!</v>
      </c>
      <c r="LH137" s="675" t="e">
        <f t="shared" si="699"/>
        <v>#VALUE!</v>
      </c>
      <c r="LI137" s="614" t="e">
        <f t="shared" si="700"/>
        <v>#VALUE!</v>
      </c>
      <c r="LJ137" s="672" t="e">
        <f t="shared" si="701"/>
        <v>#VALUE!</v>
      </c>
      <c r="LK137" s="600" t="e">
        <f t="shared" si="702"/>
        <v>#VALUE!</v>
      </c>
      <c r="LL137" s="672" t="e">
        <f t="shared" si="703"/>
        <v>#VALUE!</v>
      </c>
      <c r="LM137" s="676" t="e">
        <f t="shared" si="704"/>
        <v>#VALUE!</v>
      </c>
      <c r="LN137" s="668"/>
      <c r="LO137" s="669"/>
      <c r="LP137" s="670"/>
      <c r="LQ137" s="671"/>
      <c r="LR137" s="678"/>
      <c r="LS137" s="650"/>
      <c r="LT137" s="650"/>
      <c r="LU137" s="671" t="str">
        <f t="shared" si="705"/>
        <v>rango cal. out</v>
      </c>
      <c r="LV137" s="619" t="e">
        <f t="shared" si="706"/>
        <v>#DIV/0!</v>
      </c>
      <c r="LW137" s="674" t="e">
        <f t="shared" si="707"/>
        <v>#VALUE!</v>
      </c>
      <c r="LX137" s="599" t="e">
        <f>LW137-AVERAGE(ME102:ME103)</f>
        <v>#VALUE!</v>
      </c>
      <c r="LY137" s="672" t="e">
        <f>ABS(#REF!*LX137*3600)</f>
        <v>#REF!</v>
      </c>
      <c r="LZ137" s="675" t="e">
        <f t="shared" si="708"/>
        <v>#VALUE!</v>
      </c>
      <c r="MA137" s="614" t="e">
        <f t="shared" si="709"/>
        <v>#VALUE!</v>
      </c>
      <c r="MB137" s="672" t="e">
        <f t="shared" si="710"/>
        <v>#VALUE!</v>
      </c>
      <c r="MC137" s="600" t="e">
        <f t="shared" si="711"/>
        <v>#VALUE!</v>
      </c>
      <c r="MD137" s="672" t="e">
        <f t="shared" si="712"/>
        <v>#VALUE!</v>
      </c>
      <c r="ME137" s="676" t="e">
        <f t="shared" si="713"/>
        <v>#VALUE!</v>
      </c>
      <c r="MF137" s="668"/>
      <c r="MG137" s="669"/>
      <c r="MH137" s="670"/>
      <c r="MI137" s="671"/>
      <c r="MJ137" s="678"/>
      <c r="MK137" s="650"/>
      <c r="ML137" s="650"/>
      <c r="MM137" s="671" t="str">
        <f t="shared" si="714"/>
        <v>rango cal. out</v>
      </c>
      <c r="MN137" s="619" t="e">
        <f t="shared" si="715"/>
        <v>#DIV/0!</v>
      </c>
      <c r="MO137" s="674" t="e">
        <f t="shared" si="716"/>
        <v>#VALUE!</v>
      </c>
      <c r="MP137" s="599" t="e">
        <f>MO137-AVERAGE(MW102:MW103)</f>
        <v>#VALUE!</v>
      </c>
      <c r="MQ137" s="672" t="e">
        <f>ABS(#REF!*MP137*3600)</f>
        <v>#REF!</v>
      </c>
      <c r="MR137" s="675" t="e">
        <f t="shared" si="717"/>
        <v>#VALUE!</v>
      </c>
      <c r="MS137" s="614" t="e">
        <f t="shared" si="718"/>
        <v>#VALUE!</v>
      </c>
      <c r="MT137" s="672" t="e">
        <f t="shared" si="719"/>
        <v>#VALUE!</v>
      </c>
      <c r="MU137" s="600" t="e">
        <f t="shared" si="720"/>
        <v>#VALUE!</v>
      </c>
      <c r="MV137" s="672" t="e">
        <f t="shared" si="721"/>
        <v>#VALUE!</v>
      </c>
      <c r="MW137" s="676" t="e">
        <f t="shared" si="722"/>
        <v>#VALUE!</v>
      </c>
      <c r="MX137" s="668"/>
      <c r="MY137" s="669"/>
      <c r="MZ137" s="680"/>
      <c r="NA137" s="671"/>
      <c r="NB137" s="673"/>
      <c r="NC137" s="650"/>
      <c r="ND137" s="650"/>
      <c r="NE137" s="671" t="str">
        <f t="shared" si="723"/>
        <v>rango cal. out</v>
      </c>
      <c r="NF137" s="619" t="e">
        <f t="shared" si="724"/>
        <v>#DIV/0!</v>
      </c>
      <c r="NG137" s="674" t="e">
        <f t="shared" si="725"/>
        <v>#VALUE!</v>
      </c>
      <c r="NH137" s="599" t="e">
        <f>NG137-AVERAGE(NO102:NO103)</f>
        <v>#VALUE!</v>
      </c>
      <c r="NI137" s="672" t="e">
        <f>ABS(#REF!*NH137*3600)</f>
        <v>#REF!</v>
      </c>
      <c r="NJ137" s="675" t="e">
        <f t="shared" si="726"/>
        <v>#VALUE!</v>
      </c>
      <c r="NK137" s="614" t="e">
        <f t="shared" si="727"/>
        <v>#VALUE!</v>
      </c>
      <c r="NL137" s="672" t="e">
        <f t="shared" si="728"/>
        <v>#VALUE!</v>
      </c>
      <c r="NM137" s="600" t="e">
        <f t="shared" si="729"/>
        <v>#VALUE!</v>
      </c>
      <c r="NN137" s="672" t="e">
        <f t="shared" si="730"/>
        <v>#VALUE!</v>
      </c>
      <c r="NO137" s="676" t="e">
        <f t="shared" si="731"/>
        <v>#VALUE!</v>
      </c>
      <c r="NP137" s="668">
        <v>20.5</v>
      </c>
      <c r="NQ137" s="669">
        <v>54</v>
      </c>
      <c r="NR137" s="670">
        <v>1007</v>
      </c>
      <c r="NS137" s="2011">
        <v>-6.2500000000000004E-11</v>
      </c>
      <c r="NT137" s="678">
        <v>60</v>
      </c>
      <c r="NU137" s="663">
        <v>44334</v>
      </c>
      <c r="NV137" s="650" t="s">
        <v>268</v>
      </c>
      <c r="NW137" s="671">
        <f t="shared" si="732"/>
        <v>-6.2687499999999997E-11</v>
      </c>
      <c r="NX137" s="619">
        <f t="shared" si="733"/>
        <v>1.001093715939642</v>
      </c>
      <c r="NY137" s="674">
        <f t="shared" si="734"/>
        <v>-1.0358245035188099E-12</v>
      </c>
      <c r="NZ137" s="599">
        <f>NY137-AVERAGE(OG102:OG103)</f>
        <v>-1.0365766645907684E-12</v>
      </c>
      <c r="OA137" s="672" t="e">
        <f>ABS(#REF!*NZ137*3600)</f>
        <v>#REF!</v>
      </c>
      <c r="OB137" s="675">
        <f t="shared" si="735"/>
        <v>9.4038235011674505E-5</v>
      </c>
      <c r="OC137" s="614">
        <f t="shared" si="736"/>
        <v>9.4038235011674499E-3</v>
      </c>
      <c r="OD137" s="672">
        <f t="shared" si="737"/>
        <v>1.128458820140094E-4</v>
      </c>
      <c r="OE137" s="600">
        <f t="shared" si="738"/>
        <v>1.1378626436412614E-4</v>
      </c>
      <c r="OF137" s="672">
        <f t="shared" si="739"/>
        <v>1.1378626436412614E-4</v>
      </c>
      <c r="OG137" s="676">
        <f t="shared" si="740"/>
        <v>1.1754779376459314E-4</v>
      </c>
      <c r="OH137" s="668"/>
      <c r="OI137" s="669"/>
      <c r="OJ137" s="670"/>
      <c r="OK137" s="671"/>
      <c r="OL137" s="678"/>
      <c r="OM137" s="650"/>
      <c r="ON137" s="650"/>
      <c r="OO137" s="671" t="str">
        <f t="shared" si="741"/>
        <v>rango cal. out</v>
      </c>
      <c r="OP137" s="619" t="e">
        <f t="shared" si="742"/>
        <v>#DIV/0!</v>
      </c>
      <c r="OQ137" s="674" t="e">
        <f t="shared" si="743"/>
        <v>#VALUE!</v>
      </c>
      <c r="OR137" s="599" t="e">
        <f>OQ137-AVERAGE(OY102:OY103)</f>
        <v>#VALUE!</v>
      </c>
      <c r="OS137" s="672" t="e">
        <f>ABS(#REF!*OR137*3600)</f>
        <v>#REF!</v>
      </c>
      <c r="OT137" s="675" t="e">
        <f t="shared" si="744"/>
        <v>#VALUE!</v>
      </c>
      <c r="OU137" s="614" t="e">
        <f t="shared" si="745"/>
        <v>#VALUE!</v>
      </c>
      <c r="OV137" s="672" t="e">
        <f t="shared" si="746"/>
        <v>#VALUE!</v>
      </c>
      <c r="OW137" s="600" t="e">
        <f t="shared" si="747"/>
        <v>#VALUE!</v>
      </c>
      <c r="OX137" s="672" t="e">
        <f t="shared" si="748"/>
        <v>#VALUE!</v>
      </c>
      <c r="OY137" s="676" t="e">
        <f t="shared" si="749"/>
        <v>#VALUE!</v>
      </c>
      <c r="OZ137" s="668">
        <v>20.5</v>
      </c>
      <c r="PA137" s="669">
        <v>54</v>
      </c>
      <c r="PB137" s="670">
        <v>1007</v>
      </c>
      <c r="PC137" s="2011">
        <v>-1.345E-10</v>
      </c>
      <c r="PD137" s="673">
        <v>60</v>
      </c>
      <c r="PE137" s="663">
        <v>44334</v>
      </c>
      <c r="PF137" s="650" t="s">
        <v>268</v>
      </c>
      <c r="PG137" s="671">
        <f t="shared" si="750"/>
        <v>-1.349035E-10</v>
      </c>
      <c r="PH137" s="619">
        <f t="shared" si="751"/>
        <v>1.001093715939642</v>
      </c>
      <c r="PI137" s="674">
        <f t="shared" si="752"/>
        <v>-2.2290943315724789E-12</v>
      </c>
      <c r="PJ137" s="599">
        <f>PI137-AVERAGE(PQ102:PQ103)</f>
        <v>-2.2274211214760386E-12</v>
      </c>
      <c r="PK137" s="672" t="e">
        <f>ABS(#REF!*PJ137*3600)</f>
        <v>#REF!</v>
      </c>
      <c r="PL137" s="675">
        <f t="shared" si="753"/>
        <v>2.0207164414030624E-4</v>
      </c>
      <c r="PM137" s="614">
        <f t="shared" si="754"/>
        <v>2.0207164414030622E-2</v>
      </c>
      <c r="PN137" s="672">
        <f t="shared" si="755"/>
        <v>2.4248597296836746E-4</v>
      </c>
      <c r="PO137" s="600">
        <f t="shared" si="756"/>
        <v>2.4450668940977056E-4</v>
      </c>
      <c r="PP137" s="672">
        <f t="shared" si="757"/>
        <v>2.4450668940977056E-4</v>
      </c>
      <c r="PQ137" s="676">
        <f t="shared" si="758"/>
        <v>2.5258955517538277E-4</v>
      </c>
      <c r="PR137" s="668"/>
      <c r="PS137" s="669"/>
      <c r="PT137" s="670"/>
      <c r="PU137" s="671"/>
      <c r="PV137" s="678"/>
      <c r="PW137" s="650"/>
      <c r="PX137" s="650"/>
      <c r="PY137" s="671" t="str">
        <f t="shared" si="759"/>
        <v>rango cal. out</v>
      </c>
      <c r="PZ137" s="619" t="e">
        <f t="shared" si="760"/>
        <v>#DIV/0!</v>
      </c>
      <c r="QA137" s="674" t="e">
        <f t="shared" si="761"/>
        <v>#VALUE!</v>
      </c>
      <c r="QB137" s="599" t="e">
        <f>QA137-AVERAGE(QI102:QI103)</f>
        <v>#VALUE!</v>
      </c>
      <c r="QC137" s="672" t="e">
        <f>ABS(#REF!*QB137*3600)</f>
        <v>#REF!</v>
      </c>
      <c r="QD137" s="675" t="e">
        <f t="shared" si="762"/>
        <v>#VALUE!</v>
      </c>
      <c r="QE137" s="614" t="e">
        <f t="shared" si="763"/>
        <v>#VALUE!</v>
      </c>
      <c r="QF137" s="672" t="e">
        <f t="shared" si="764"/>
        <v>#VALUE!</v>
      </c>
      <c r="QG137" s="600" t="e">
        <f t="shared" si="765"/>
        <v>#VALUE!</v>
      </c>
      <c r="QH137" s="672" t="e">
        <f t="shared" si="766"/>
        <v>#VALUE!</v>
      </c>
      <c r="QI137" s="676" t="e">
        <f t="shared" si="767"/>
        <v>#VALUE!</v>
      </c>
      <c r="QJ137" s="668"/>
      <c r="QK137" s="669"/>
      <c r="QL137" s="670"/>
      <c r="QM137" s="671"/>
      <c r="QN137" s="678"/>
      <c r="QO137" s="650"/>
      <c r="QP137" s="650"/>
      <c r="QQ137" s="671" t="str">
        <f t="shared" si="768"/>
        <v>rango cal. out</v>
      </c>
      <c r="QR137" s="619" t="e">
        <f t="shared" si="769"/>
        <v>#DIV/0!</v>
      </c>
      <c r="QS137" s="674" t="e">
        <f t="shared" si="770"/>
        <v>#VALUE!</v>
      </c>
      <c r="QT137" s="599" t="e">
        <f>QS137-AVERAGE(RA102:RA103)</f>
        <v>#VALUE!</v>
      </c>
      <c r="QU137" s="672" t="e">
        <f>ABS(#REF!*QT137*3600)</f>
        <v>#REF!</v>
      </c>
      <c r="QV137" s="675" t="e">
        <f t="shared" si="771"/>
        <v>#VALUE!</v>
      </c>
      <c r="QW137" s="614" t="e">
        <f t="shared" si="772"/>
        <v>#VALUE!</v>
      </c>
      <c r="QX137" s="672" t="e">
        <f t="shared" si="773"/>
        <v>#VALUE!</v>
      </c>
      <c r="QY137" s="600" t="e">
        <f t="shared" si="774"/>
        <v>#VALUE!</v>
      </c>
      <c r="QZ137" s="672" t="e">
        <f t="shared" si="775"/>
        <v>#VALUE!</v>
      </c>
      <c r="RA137" s="676" t="e">
        <f t="shared" si="776"/>
        <v>#VALUE!</v>
      </c>
      <c r="RB137" s="668"/>
      <c r="RC137" s="669"/>
      <c r="RD137" s="673"/>
      <c r="RE137" s="671"/>
      <c r="RF137" s="667"/>
      <c r="RG137" s="650"/>
      <c r="RH137" s="650"/>
      <c r="RI137" s="671" t="str">
        <f t="shared" si="777"/>
        <v>rango cal. out</v>
      </c>
      <c r="RJ137" s="619" t="e">
        <f t="shared" si="778"/>
        <v>#DIV/0!</v>
      </c>
      <c r="RK137" s="674" t="e">
        <f t="shared" si="779"/>
        <v>#VALUE!</v>
      </c>
      <c r="RL137" s="599" t="e">
        <f>RK137-AVERAGE(RS102:RS103)</f>
        <v>#VALUE!</v>
      </c>
      <c r="RM137" s="672" t="e">
        <f>ABS(#REF!*RL137*3600)</f>
        <v>#REF!</v>
      </c>
      <c r="RN137" s="675" t="e">
        <f t="shared" si="780"/>
        <v>#VALUE!</v>
      </c>
      <c r="RO137" s="614" t="e">
        <f t="shared" si="781"/>
        <v>#VALUE!</v>
      </c>
      <c r="RP137" s="672" t="e">
        <f t="shared" si="782"/>
        <v>#VALUE!</v>
      </c>
      <c r="RQ137" s="600" t="e">
        <f t="shared" si="783"/>
        <v>#VALUE!</v>
      </c>
      <c r="RR137" s="672" t="e">
        <f t="shared" si="784"/>
        <v>#VALUE!</v>
      </c>
      <c r="RS137" s="676" t="e">
        <f t="shared" si="785"/>
        <v>#VALUE!</v>
      </c>
      <c r="RT137" s="668"/>
      <c r="RU137" s="669"/>
      <c r="RV137" s="669"/>
      <c r="RW137" s="679"/>
      <c r="RX137" s="673"/>
      <c r="RY137" s="650"/>
      <c r="RZ137" s="650"/>
      <c r="SA137" s="671" t="str">
        <f t="shared" si="786"/>
        <v>rango cal. out</v>
      </c>
      <c r="SB137" s="619" t="e">
        <f t="shared" si="787"/>
        <v>#DIV/0!</v>
      </c>
      <c r="SC137" s="674" t="e">
        <f t="shared" si="788"/>
        <v>#VALUE!</v>
      </c>
      <c r="SD137" s="599" t="e">
        <f>SC137-AVERAGE(SK102:SK103)</f>
        <v>#VALUE!</v>
      </c>
      <c r="SE137" s="672" t="e">
        <f>ABS(#REF!*SD137*3600)</f>
        <v>#REF!</v>
      </c>
      <c r="SF137" s="675" t="e">
        <f t="shared" si="789"/>
        <v>#VALUE!</v>
      </c>
      <c r="SG137" s="614" t="e">
        <f t="shared" si="790"/>
        <v>#VALUE!</v>
      </c>
      <c r="SH137" s="672" t="e">
        <f t="shared" si="791"/>
        <v>#VALUE!</v>
      </c>
      <c r="SI137" s="600" t="e">
        <f t="shared" si="792"/>
        <v>#VALUE!</v>
      </c>
      <c r="SJ137" s="672" t="e">
        <f t="shared" si="793"/>
        <v>#VALUE!</v>
      </c>
      <c r="SK137" s="676" t="e">
        <f t="shared" si="794"/>
        <v>#VALUE!</v>
      </c>
      <c r="SL137" s="668">
        <v>20.5</v>
      </c>
      <c r="SM137" s="669">
        <v>55</v>
      </c>
      <c r="SN137" s="670">
        <v>1007</v>
      </c>
      <c r="SO137" s="2011">
        <v>-1.4E-11</v>
      </c>
      <c r="SP137" s="673">
        <v>60</v>
      </c>
      <c r="SQ137" s="663">
        <v>44334</v>
      </c>
      <c r="SR137" s="650" t="s">
        <v>268</v>
      </c>
      <c r="SS137" s="671">
        <f t="shared" si="795"/>
        <v>-1.4041999999999999E-11</v>
      </c>
      <c r="ST137" s="619">
        <f t="shared" si="796"/>
        <v>1.001093715939642</v>
      </c>
      <c r="SU137" s="674">
        <f t="shared" si="797"/>
        <v>-2.3202468878821338E-13</v>
      </c>
      <c r="SV137" s="599">
        <f>SU137-AVERAGE(TC102:TC103)</f>
        <v>-2.3009201601418109E-13</v>
      </c>
      <c r="SW137" s="672" t="e">
        <f>ABS(#REF!*SV137*3600)</f>
        <v>#REF!</v>
      </c>
      <c r="SX137" s="675">
        <f t="shared" si="798"/>
        <v>2.0873947692806508E-5</v>
      </c>
      <c r="SY137" s="614">
        <f t="shared" si="799"/>
        <v>2.0873947692806507E-3</v>
      </c>
      <c r="SZ137" s="672">
        <f t="shared" si="800"/>
        <v>2.5048737231367809E-5</v>
      </c>
      <c r="TA137" s="600">
        <f t="shared" si="801"/>
        <v>2.5257476708295873E-5</v>
      </c>
      <c r="TB137" s="672">
        <f t="shared" si="802"/>
        <v>2.5257476708295873E-5</v>
      </c>
      <c r="TC137" s="676">
        <f t="shared" si="803"/>
        <v>2.6092434616008134E-5</v>
      </c>
      <c r="TD137" s="668">
        <v>20.5</v>
      </c>
      <c r="TE137" s="669">
        <v>56</v>
      </c>
      <c r="TF137" s="670">
        <v>1008</v>
      </c>
      <c r="TG137" s="2011">
        <v>-3.0700000000000003E-10</v>
      </c>
      <c r="TH137" s="673">
        <v>60</v>
      </c>
      <c r="TI137" s="663">
        <v>44334</v>
      </c>
      <c r="TJ137" s="650" t="s">
        <v>268</v>
      </c>
      <c r="TK137" s="671">
        <f t="shared" si="804"/>
        <v>-3.0792100000000002E-10</v>
      </c>
      <c r="TL137" s="619">
        <f t="shared" si="805"/>
        <v>1.0001005674119241</v>
      </c>
      <c r="TM137" s="674">
        <f t="shared" si="806"/>
        <v>-5.0829223720370888E-12</v>
      </c>
      <c r="TN137" s="599">
        <f>TM137-AVERAGE(TU102:TU103)</f>
        <v>-5.0825559288498841E-12</v>
      </c>
      <c r="TO137" s="672" t="e">
        <f>ABS(#REF!*TN137*3600)</f>
        <v>#REF!</v>
      </c>
      <c r="TP137" s="675">
        <f t="shared" si="807"/>
        <v>4.6108947386526151E-4</v>
      </c>
      <c r="TQ137" s="614">
        <f t="shared" si="808"/>
        <v>4.6108947386526149E-2</v>
      </c>
      <c r="TR137" s="672">
        <f t="shared" si="809"/>
        <v>5.5330736863831384E-4</v>
      </c>
      <c r="TS137" s="600">
        <f t="shared" si="810"/>
        <v>5.5791826337696642E-4</v>
      </c>
      <c r="TT137" s="672">
        <f t="shared" si="811"/>
        <v>5.5791826337696642E-4</v>
      </c>
      <c r="TU137" s="676">
        <f t="shared" si="812"/>
        <v>5.7636184233157695E-4</v>
      </c>
      <c r="TV137" s="668"/>
      <c r="TW137" s="669"/>
      <c r="TX137" s="670"/>
      <c r="TY137" s="671"/>
      <c r="TZ137" s="678"/>
      <c r="UA137" s="650"/>
      <c r="UB137" s="650"/>
      <c r="UC137" s="671" t="str">
        <f t="shared" si="813"/>
        <v>rango cal. out</v>
      </c>
      <c r="UD137" s="619" t="e">
        <f t="shared" si="814"/>
        <v>#DIV/0!</v>
      </c>
      <c r="UE137" s="674" t="e">
        <f t="shared" si="815"/>
        <v>#VALUE!</v>
      </c>
      <c r="UF137" s="599" t="e">
        <f>UE137-AVERAGE(UM102:UM103)</f>
        <v>#VALUE!</v>
      </c>
      <c r="UG137" s="672" t="e">
        <f>ABS(#REF!*UF137*3600)</f>
        <v>#REF!</v>
      </c>
      <c r="UH137" s="675" t="e">
        <f t="shared" si="816"/>
        <v>#VALUE!</v>
      </c>
      <c r="UI137" s="614" t="e">
        <f t="shared" si="817"/>
        <v>#VALUE!</v>
      </c>
      <c r="UJ137" s="672" t="e">
        <f t="shared" si="818"/>
        <v>#VALUE!</v>
      </c>
      <c r="UK137" s="600" t="e">
        <f t="shared" si="819"/>
        <v>#VALUE!</v>
      </c>
      <c r="UL137" s="672" t="e">
        <f t="shared" si="820"/>
        <v>#VALUE!</v>
      </c>
      <c r="UM137" s="676" t="e">
        <f t="shared" si="821"/>
        <v>#VALUE!</v>
      </c>
      <c r="UN137" s="668">
        <v>20.5</v>
      </c>
      <c r="UO137" s="669">
        <v>56</v>
      </c>
      <c r="UP137" s="670">
        <v>1008</v>
      </c>
      <c r="UQ137" s="2011">
        <v>-2.05E-11</v>
      </c>
      <c r="UR137" s="673">
        <v>60</v>
      </c>
      <c r="US137" s="663">
        <v>44334</v>
      </c>
      <c r="UT137" s="650" t="s">
        <v>268</v>
      </c>
      <c r="UU137" s="671">
        <f t="shared" si="822"/>
        <v>-2.0561499999999998E-11</v>
      </c>
      <c r="UV137" s="619">
        <f t="shared" si="823"/>
        <v>1.0001005674119241</v>
      </c>
      <c r="UW137" s="674">
        <f t="shared" si="824"/>
        <v>-3.3941338314905638E-13</v>
      </c>
      <c r="UX137" s="599">
        <f>UW137-AVERAGE(VE102:VE103)</f>
        <v>-3.3925091006679165E-13</v>
      </c>
      <c r="UY137" s="672" t="e">
        <f>ABS(#REF!*UX137*3600)</f>
        <v>#REF!</v>
      </c>
      <c r="UZ137" s="675">
        <f t="shared" si="825"/>
        <v>3.077684256125934E-5</v>
      </c>
      <c r="VA137" s="614">
        <f t="shared" si="826"/>
        <v>3.0776842561259341E-3</v>
      </c>
      <c r="VB137" s="672">
        <f t="shared" si="827"/>
        <v>3.6932211073511206E-5</v>
      </c>
      <c r="VC137" s="600">
        <f t="shared" si="828"/>
        <v>3.7239979499123798E-5</v>
      </c>
      <c r="VD137" s="672">
        <f t="shared" si="829"/>
        <v>3.7239979499123798E-5</v>
      </c>
      <c r="VE137" s="676">
        <f t="shared" si="830"/>
        <v>3.8471053201574173E-5</v>
      </c>
    </row>
    <row r="138" spans="1:577" x14ac:dyDescent="0.25">
      <c r="A138" s="2219"/>
      <c r="B138" s="668">
        <v>20.100000000000001</v>
      </c>
      <c r="C138" s="673">
        <v>52</v>
      </c>
      <c r="D138" s="678">
        <v>1010</v>
      </c>
      <c r="E138" s="2011">
        <v>-4.7939999999999998E-9</v>
      </c>
      <c r="F138" s="673">
        <v>60</v>
      </c>
      <c r="G138" s="663">
        <v>44334</v>
      </c>
      <c r="H138" s="650" t="s">
        <v>1042</v>
      </c>
      <c r="I138" s="671">
        <f t="shared" si="543"/>
        <v>-4.7987939999999993E-9</v>
      </c>
      <c r="J138" s="619">
        <f t="shared" si="544"/>
        <v>0.99676079650648008</v>
      </c>
      <c r="K138" s="674">
        <f t="shared" si="545"/>
        <v>-7.8950257448919522E-11</v>
      </c>
      <c r="L138" s="599">
        <f>K138-AVERAGE(S102:S103)</f>
        <v>-7.8926445481548029E-11</v>
      </c>
      <c r="M138" s="672" t="e">
        <f>ABS(#REF!*L138*3600)</f>
        <v>#REF!</v>
      </c>
      <c r="N138" s="675">
        <f t="shared" si="546"/>
        <v>7.1602071340860374E-3</v>
      </c>
      <c r="O138" s="614">
        <f t="shared" si="547"/>
        <v>0.71602071340860374</v>
      </c>
      <c r="P138" s="672">
        <f t="shared" si="548"/>
        <v>8.5922485609032442E-3</v>
      </c>
      <c r="Q138" s="600">
        <f t="shared" si="549"/>
        <v>8.663850632244105E-3</v>
      </c>
      <c r="R138" s="672">
        <f t="shared" si="550"/>
        <v>8.663850632244105E-3</v>
      </c>
      <c r="S138" s="676">
        <f t="shared" si="551"/>
        <v>8.9502589176075464E-3</v>
      </c>
      <c r="T138" s="677"/>
      <c r="U138" s="669"/>
      <c r="V138" s="670"/>
      <c r="W138" s="671"/>
      <c r="X138" s="678"/>
      <c r="Y138" s="650"/>
      <c r="Z138" s="650"/>
      <c r="AA138" s="671" t="str">
        <f t="shared" si="552"/>
        <v>rango cal. out</v>
      </c>
      <c r="AB138" s="619" t="e">
        <f t="shared" si="553"/>
        <v>#DIV/0!</v>
      </c>
      <c r="AC138" s="674" t="e">
        <f t="shared" si="554"/>
        <v>#VALUE!</v>
      </c>
      <c r="AD138" s="599" t="e">
        <f>AC138-AVERAGE(#REF!)</f>
        <v>#VALUE!</v>
      </c>
      <c r="AE138" s="672" t="e">
        <f>ABS(#REF!*AD138*3600)</f>
        <v>#REF!</v>
      </c>
      <c r="AF138" s="675" t="e">
        <f t="shared" si="555"/>
        <v>#VALUE!</v>
      </c>
      <c r="AG138" s="614" t="e">
        <f t="shared" si="556"/>
        <v>#VALUE!</v>
      </c>
      <c r="AH138" s="672" t="e">
        <f t="shared" si="557"/>
        <v>#VALUE!</v>
      </c>
      <c r="AI138" s="600" t="e">
        <f t="shared" si="558"/>
        <v>#VALUE!</v>
      </c>
      <c r="AJ138" s="672" t="e">
        <f t="shared" si="559"/>
        <v>#VALUE!</v>
      </c>
      <c r="AK138" s="676" t="e">
        <f t="shared" si="560"/>
        <v>#VALUE!</v>
      </c>
      <c r="AL138" s="677"/>
      <c r="AM138" s="669"/>
      <c r="AN138" s="670"/>
      <c r="AO138" s="671"/>
      <c r="AP138" s="678"/>
      <c r="AQ138" s="650"/>
      <c r="AR138" s="650"/>
      <c r="AS138" s="671" t="str">
        <f t="shared" si="561"/>
        <v>rango cal. out</v>
      </c>
      <c r="AT138" s="619" t="e">
        <f t="shared" si="562"/>
        <v>#DIV/0!</v>
      </c>
      <c r="AU138" s="674" t="e">
        <f t="shared" si="563"/>
        <v>#VALUE!</v>
      </c>
      <c r="AV138" s="599" t="e">
        <f>AU138-AVERAGE(BC102:BC103)</f>
        <v>#VALUE!</v>
      </c>
      <c r="AW138" s="672" t="e">
        <f>ABS(#REF!*AV138*3600)</f>
        <v>#REF!</v>
      </c>
      <c r="AX138" s="675" t="e">
        <f t="shared" si="564"/>
        <v>#VALUE!</v>
      </c>
      <c r="AY138" s="614" t="e">
        <f t="shared" si="565"/>
        <v>#VALUE!</v>
      </c>
      <c r="AZ138" s="672" t="e">
        <f t="shared" si="566"/>
        <v>#VALUE!</v>
      </c>
      <c r="BA138" s="600" t="e">
        <f t="shared" si="567"/>
        <v>#VALUE!</v>
      </c>
      <c r="BB138" s="672" t="e">
        <f t="shared" si="568"/>
        <v>#VALUE!</v>
      </c>
      <c r="BC138" s="676" t="e">
        <f t="shared" si="569"/>
        <v>#VALUE!</v>
      </c>
      <c r="BD138" s="668">
        <v>20.7</v>
      </c>
      <c r="BE138" s="669">
        <v>53</v>
      </c>
      <c r="BF138" s="670">
        <v>1009</v>
      </c>
      <c r="BG138" s="2010">
        <v>-7.7950000000000005E-10</v>
      </c>
      <c r="BH138" s="673">
        <v>60</v>
      </c>
      <c r="BI138" s="663">
        <v>44334</v>
      </c>
      <c r="BJ138" s="650" t="s">
        <v>268</v>
      </c>
      <c r="BK138" s="671">
        <f t="shared" si="570"/>
        <v>-7.818385E-10</v>
      </c>
      <c r="BL138" s="619">
        <f t="shared" si="571"/>
        <v>0.9997897479594221</v>
      </c>
      <c r="BM138" s="674">
        <f t="shared" si="572"/>
        <v>-1.2901975906448553E-11</v>
      </c>
      <c r="BN138" s="599">
        <f>BM138-AVERAGE(BU102:BU103)</f>
        <v>-1.2900630722340157E-11</v>
      </c>
      <c r="BO138" s="672" t="e">
        <f>ABS(#REF!*BN138*3600)</f>
        <v>#REF!</v>
      </c>
      <c r="BP138" s="675">
        <f t="shared" si="573"/>
        <v>1.170345219130699E-3</v>
      </c>
      <c r="BQ138" s="614">
        <f t="shared" si="574"/>
        <v>0.1170345219130699</v>
      </c>
      <c r="BR138" s="672">
        <f t="shared" si="575"/>
        <v>1.4044142629568387E-3</v>
      </c>
      <c r="BS138" s="600">
        <f t="shared" si="576"/>
        <v>1.4161177151481457E-3</v>
      </c>
      <c r="BT138" s="672">
        <f t="shared" si="577"/>
        <v>1.4161177151481457E-3</v>
      </c>
      <c r="BU138" s="676">
        <f t="shared" si="578"/>
        <v>1.4629315239133738E-3</v>
      </c>
      <c r="BV138" s="668">
        <v>20.7</v>
      </c>
      <c r="BW138" s="669">
        <v>49</v>
      </c>
      <c r="BX138" s="680">
        <v>1008</v>
      </c>
      <c r="BY138" s="2023">
        <v>-3.55E-11</v>
      </c>
      <c r="BZ138" s="673">
        <v>60</v>
      </c>
      <c r="CA138" s="663">
        <v>44334</v>
      </c>
      <c r="CB138" s="650" t="s">
        <v>268</v>
      </c>
      <c r="CC138" s="671">
        <f t="shared" si="579"/>
        <v>-3.5606499999999996E-11</v>
      </c>
      <c r="CD138" s="619">
        <f t="shared" si="580"/>
        <v>1.000781602868112</v>
      </c>
      <c r="CE138" s="674">
        <f t="shared" si="581"/>
        <v>-5.8816488741897263E-13</v>
      </c>
      <c r="CF138" s="599">
        <f>CE138-AVERAGE(CM102:CM103)</f>
        <v>-5.8636339218383093E-13</v>
      </c>
      <c r="CG138" s="672" t="e">
        <f>ABS(#REF!*CF138*3600)</f>
        <v>#REF!</v>
      </c>
      <c r="CH138" s="675">
        <f t="shared" si="582"/>
        <v>5.319488693891714E-5</v>
      </c>
      <c r="CI138" s="614">
        <f t="shared" si="583"/>
        <v>5.3194886938917139E-3</v>
      </c>
      <c r="CJ138" s="672">
        <f t="shared" si="584"/>
        <v>6.3833864326700567E-5</v>
      </c>
      <c r="CK138" s="600">
        <f t="shared" si="585"/>
        <v>6.4365813196089742E-5</v>
      </c>
      <c r="CL138" s="672">
        <f t="shared" si="586"/>
        <v>6.4365813196089742E-5</v>
      </c>
      <c r="CM138" s="676">
        <f t="shared" si="587"/>
        <v>6.6493608673646426E-5</v>
      </c>
      <c r="CN138" s="668">
        <v>20.5</v>
      </c>
      <c r="CO138" s="669">
        <v>50</v>
      </c>
      <c r="CP138" s="680">
        <v>1007</v>
      </c>
      <c r="CQ138" s="2011">
        <v>-1.8199999999999999E-9</v>
      </c>
      <c r="CR138" s="673">
        <v>60</v>
      </c>
      <c r="CS138" s="663">
        <v>44334</v>
      </c>
      <c r="CT138" s="650" t="s">
        <v>268</v>
      </c>
      <c r="CU138" s="671">
        <f t="shared" si="588"/>
        <v>-1.8254599999999998E-9</v>
      </c>
      <c r="CV138" s="619">
        <f t="shared" si="589"/>
        <v>1.001093715939642</v>
      </c>
      <c r="CW138" s="674">
        <f t="shared" si="590"/>
        <v>-3.0163209542467741E-11</v>
      </c>
      <c r="CX138" s="599">
        <f>CW138-AVERAGE(DE102:DE103)</f>
        <v>-3.0151921855762318E-11</v>
      </c>
      <c r="CY138" s="672" t="e">
        <f>ABS(#REF!*CX138*3600)</f>
        <v>#REF!</v>
      </c>
      <c r="CZ138" s="675">
        <f t="shared" si="591"/>
        <v>2.7353823507547574E-3</v>
      </c>
      <c r="DA138" s="614">
        <f t="shared" si="592"/>
        <v>0.27353823507547576</v>
      </c>
      <c r="DB138" s="672">
        <f t="shared" si="593"/>
        <v>3.2824588209057087E-3</v>
      </c>
      <c r="DC138" s="600">
        <f t="shared" si="594"/>
        <v>3.3098126444132563E-3</v>
      </c>
      <c r="DD138" s="672">
        <f t="shared" si="595"/>
        <v>3.3098126444132563E-3</v>
      </c>
      <c r="DE138" s="676">
        <f t="shared" si="596"/>
        <v>3.4192279384434466E-3</v>
      </c>
      <c r="DF138" s="668"/>
      <c r="DG138" s="669"/>
      <c r="DH138" s="670"/>
      <c r="DI138" s="671"/>
      <c r="DJ138" s="678"/>
      <c r="DK138" s="650"/>
      <c r="DL138" s="650" t="s">
        <v>268</v>
      </c>
      <c r="DM138" s="671">
        <f t="shared" si="597"/>
        <v>0</v>
      </c>
      <c r="DN138" s="619" t="e">
        <f t="shared" si="598"/>
        <v>#DIV/0!</v>
      </c>
      <c r="DO138" s="674" t="e">
        <f t="shared" si="599"/>
        <v>#DIV/0!</v>
      </c>
      <c r="DP138" s="599" t="e">
        <f>DO138-AVERAGE(DW102:DW103)</f>
        <v>#DIV/0!</v>
      </c>
      <c r="DQ138" s="672" t="e">
        <f>ABS(#REF!*DP138*3600)</f>
        <v>#REF!</v>
      </c>
      <c r="DR138" s="675" t="e">
        <f t="shared" si="600"/>
        <v>#DIV/0!</v>
      </c>
      <c r="DS138" s="614" t="e">
        <f t="shared" si="601"/>
        <v>#DIV/0!</v>
      </c>
      <c r="DT138" s="672" t="e">
        <f t="shared" si="602"/>
        <v>#DIV/0!</v>
      </c>
      <c r="DU138" s="600" t="e">
        <f t="shared" si="603"/>
        <v>#DIV/0!</v>
      </c>
      <c r="DV138" s="672" t="e">
        <f t="shared" si="604"/>
        <v>#DIV/0!</v>
      </c>
      <c r="DW138" s="676" t="e">
        <f t="shared" si="605"/>
        <v>#DIV/0!</v>
      </c>
      <c r="DX138" s="668"/>
      <c r="DY138" s="669"/>
      <c r="DZ138" s="677"/>
      <c r="EA138" s="679"/>
      <c r="EB138" s="678"/>
      <c r="EC138" s="650"/>
      <c r="ED138" s="650"/>
      <c r="EE138" s="671" t="str">
        <f t="shared" si="606"/>
        <v>rango cal. out</v>
      </c>
      <c r="EF138" s="619" t="e">
        <f t="shared" si="607"/>
        <v>#DIV/0!</v>
      </c>
      <c r="EG138" s="674" t="e">
        <f t="shared" si="608"/>
        <v>#VALUE!</v>
      </c>
      <c r="EH138" s="599" t="e">
        <f>EG138-AVERAGE(EO102:EO103)</f>
        <v>#VALUE!</v>
      </c>
      <c r="EI138" s="672" t="e">
        <f>ABS(#REF!*EH138*3600)</f>
        <v>#REF!</v>
      </c>
      <c r="EJ138" s="675" t="e">
        <f t="shared" si="609"/>
        <v>#VALUE!</v>
      </c>
      <c r="EK138" s="614" t="e">
        <f t="shared" si="610"/>
        <v>#VALUE!</v>
      </c>
      <c r="EL138" s="672" t="e">
        <f t="shared" si="611"/>
        <v>#VALUE!</v>
      </c>
      <c r="EM138" s="600" t="e">
        <f t="shared" si="612"/>
        <v>#VALUE!</v>
      </c>
      <c r="EN138" s="672" t="e">
        <f t="shared" si="613"/>
        <v>#VALUE!</v>
      </c>
      <c r="EO138" s="676" t="e">
        <f t="shared" si="614"/>
        <v>#VALUE!</v>
      </c>
      <c r="EP138" s="668">
        <v>20.5</v>
      </c>
      <c r="EQ138" s="669">
        <v>53</v>
      </c>
      <c r="ER138" s="670">
        <v>1007</v>
      </c>
      <c r="ES138" s="2023">
        <v>-8.9999999999999996E-12</v>
      </c>
      <c r="ET138" s="673">
        <v>60</v>
      </c>
      <c r="EU138" s="663">
        <v>44334</v>
      </c>
      <c r="EV138" s="650" t="s">
        <v>268</v>
      </c>
      <c r="EW138" s="671">
        <f t="shared" si="615"/>
        <v>-9.0269999999999986E-12</v>
      </c>
      <c r="EX138" s="619">
        <f t="shared" si="616"/>
        <v>1.001093715939642</v>
      </c>
      <c r="EY138" s="674">
        <f t="shared" si="617"/>
        <v>-1.491587285067086E-13</v>
      </c>
      <c r="EZ138" s="599">
        <f>EY138-AVERAGE(FG102:FG103)</f>
        <v>-1.5023929231630833E-13</v>
      </c>
      <c r="FA138" s="672" t="e">
        <f>ABS(#REF!*EZ138*3600)</f>
        <v>#REF!</v>
      </c>
      <c r="FB138" s="675">
        <f t="shared" si="618"/>
        <v>1.3629708598935492E-5</v>
      </c>
      <c r="FC138" s="614">
        <f t="shared" si="619"/>
        <v>1.3629708598935492E-3</v>
      </c>
      <c r="FD138" s="672">
        <f t="shared" si="620"/>
        <v>1.6355650318722591E-5</v>
      </c>
      <c r="FE138" s="600">
        <f t="shared" si="621"/>
        <v>1.6491947404711945E-5</v>
      </c>
      <c r="FF138" s="672">
        <f t="shared" si="622"/>
        <v>1.6491947404711945E-5</v>
      </c>
      <c r="FG138" s="676">
        <f t="shared" si="623"/>
        <v>1.7037135748669365E-5</v>
      </c>
      <c r="FH138" s="668"/>
      <c r="FI138" s="669"/>
      <c r="FJ138" s="670"/>
      <c r="FK138" s="671"/>
      <c r="FL138" s="678"/>
      <c r="FM138" s="650"/>
      <c r="FN138" s="650"/>
      <c r="FO138" s="671" t="str">
        <f t="shared" si="624"/>
        <v>rango cal. out</v>
      </c>
      <c r="FP138" s="619" t="e">
        <f t="shared" si="625"/>
        <v>#DIV/0!</v>
      </c>
      <c r="FQ138" s="674" t="e">
        <f t="shared" si="626"/>
        <v>#VALUE!</v>
      </c>
      <c r="FR138" s="599" t="e">
        <f>FQ138-AVERAGE(FY102:FY103)</f>
        <v>#VALUE!</v>
      </c>
      <c r="FS138" s="672" t="e">
        <f>ABS(#REF!*FR138*3600)</f>
        <v>#REF!</v>
      </c>
      <c r="FT138" s="675" t="e">
        <f t="shared" si="627"/>
        <v>#VALUE!</v>
      </c>
      <c r="FU138" s="614" t="e">
        <f t="shared" si="628"/>
        <v>#VALUE!</v>
      </c>
      <c r="FV138" s="672" t="e">
        <f t="shared" si="629"/>
        <v>#VALUE!</v>
      </c>
      <c r="FW138" s="600" t="e">
        <f t="shared" si="630"/>
        <v>#VALUE!</v>
      </c>
      <c r="FX138" s="672" t="e">
        <f t="shared" si="631"/>
        <v>#VALUE!</v>
      </c>
      <c r="FY138" s="676" t="e">
        <f t="shared" si="632"/>
        <v>#VALUE!</v>
      </c>
      <c r="FZ138" s="668"/>
      <c r="GA138" s="669"/>
      <c r="GB138" s="670"/>
      <c r="GC138" s="671"/>
      <c r="GD138" s="678"/>
      <c r="GE138" s="650"/>
      <c r="GF138" s="650"/>
      <c r="GG138" s="671" t="str">
        <f t="shared" si="633"/>
        <v>rango cal. out</v>
      </c>
      <c r="GH138" s="619" t="e">
        <f t="shared" si="634"/>
        <v>#DIV/0!</v>
      </c>
      <c r="GI138" s="674" t="e">
        <f t="shared" si="635"/>
        <v>#VALUE!</v>
      </c>
      <c r="GJ138" s="599" t="e">
        <f>GI138-AVERAGE(GQ102:GQ103)</f>
        <v>#VALUE!</v>
      </c>
      <c r="GK138" s="672" t="e">
        <f>ABS(#REF!*GJ138*3600)</f>
        <v>#REF!</v>
      </c>
      <c r="GL138" s="675" t="e">
        <f t="shared" si="636"/>
        <v>#VALUE!</v>
      </c>
      <c r="GM138" s="614" t="e">
        <f t="shared" si="637"/>
        <v>#VALUE!</v>
      </c>
      <c r="GN138" s="672" t="e">
        <f t="shared" si="638"/>
        <v>#VALUE!</v>
      </c>
      <c r="GO138" s="600" t="e">
        <f t="shared" si="639"/>
        <v>#VALUE!</v>
      </c>
      <c r="GP138" s="672" t="e">
        <f t="shared" si="640"/>
        <v>#VALUE!</v>
      </c>
      <c r="GQ138" s="676" t="e">
        <f t="shared" si="641"/>
        <v>#VALUE!</v>
      </c>
      <c r="GR138" s="668"/>
      <c r="GS138" s="669"/>
      <c r="GT138" s="677"/>
      <c r="GU138" s="679"/>
      <c r="GV138" s="678"/>
      <c r="GW138" s="650"/>
      <c r="GX138" s="650"/>
      <c r="GY138" s="671" t="str">
        <f t="shared" si="642"/>
        <v>rango cal. out</v>
      </c>
      <c r="GZ138" s="619" t="e">
        <f t="shared" si="643"/>
        <v>#DIV/0!</v>
      </c>
      <c r="HA138" s="674" t="e">
        <f t="shared" si="644"/>
        <v>#VALUE!</v>
      </c>
      <c r="HB138" s="599" t="e">
        <f>HA138-AVERAGE(HI102:HI103)</f>
        <v>#VALUE!</v>
      </c>
      <c r="HC138" s="672" t="e">
        <f>ABS(#REF!*HB138*3600)</f>
        <v>#REF!</v>
      </c>
      <c r="HD138" s="675" t="e">
        <f t="shared" si="645"/>
        <v>#VALUE!</v>
      </c>
      <c r="HE138" s="614" t="e">
        <f t="shared" si="646"/>
        <v>#VALUE!</v>
      </c>
      <c r="HF138" s="672" t="e">
        <f t="shared" si="647"/>
        <v>#VALUE!</v>
      </c>
      <c r="HG138" s="600" t="e">
        <f t="shared" si="648"/>
        <v>#VALUE!</v>
      </c>
      <c r="HH138" s="672" t="e">
        <f t="shared" si="649"/>
        <v>#VALUE!</v>
      </c>
      <c r="HI138" s="676" t="e">
        <f t="shared" si="650"/>
        <v>#VALUE!</v>
      </c>
      <c r="HJ138" s="668"/>
      <c r="HK138" s="669"/>
      <c r="HL138" s="670"/>
      <c r="HM138" s="671"/>
      <c r="HN138" s="678"/>
      <c r="HO138" s="650"/>
      <c r="HP138" s="650"/>
      <c r="HQ138" s="671" t="str">
        <f t="shared" si="651"/>
        <v>rango cal. out</v>
      </c>
      <c r="HR138" s="619" t="e">
        <f t="shared" si="652"/>
        <v>#DIV/0!</v>
      </c>
      <c r="HS138" s="674" t="e">
        <f t="shared" si="653"/>
        <v>#VALUE!</v>
      </c>
      <c r="HT138" s="599" t="e">
        <f>HS138-AVERAGE(IA102:IA103)</f>
        <v>#VALUE!</v>
      </c>
      <c r="HU138" s="672" t="e">
        <f>ABS(#REF!*HT138*3600)</f>
        <v>#REF!</v>
      </c>
      <c r="HV138" s="675" t="e">
        <f t="shared" si="654"/>
        <v>#VALUE!</v>
      </c>
      <c r="HW138" s="614" t="e">
        <f t="shared" si="655"/>
        <v>#VALUE!</v>
      </c>
      <c r="HX138" s="672" t="e">
        <f t="shared" si="656"/>
        <v>#VALUE!</v>
      </c>
      <c r="HY138" s="600" t="e">
        <f t="shared" si="657"/>
        <v>#VALUE!</v>
      </c>
      <c r="HZ138" s="672" t="e">
        <f t="shared" si="658"/>
        <v>#VALUE!</v>
      </c>
      <c r="IA138" s="676" t="e">
        <f t="shared" si="659"/>
        <v>#VALUE!</v>
      </c>
      <c r="IB138" s="668"/>
      <c r="IC138" s="669"/>
      <c r="ID138" s="670"/>
      <c r="IE138" s="671"/>
      <c r="IF138" s="678"/>
      <c r="IG138" s="650"/>
      <c r="IH138" s="650"/>
      <c r="II138" s="671" t="str">
        <f t="shared" si="660"/>
        <v>rango cal. out</v>
      </c>
      <c r="IJ138" s="619" t="e">
        <f t="shared" si="661"/>
        <v>#DIV/0!</v>
      </c>
      <c r="IK138" s="674" t="e">
        <f t="shared" si="662"/>
        <v>#VALUE!</v>
      </c>
      <c r="IL138" s="599" t="e">
        <f>IK138-AVERAGE(IS102:IS103)</f>
        <v>#VALUE!</v>
      </c>
      <c r="IM138" s="672" t="e">
        <f>ABS(#REF!*IL138*3600)</f>
        <v>#REF!</v>
      </c>
      <c r="IN138" s="675" t="e">
        <f t="shared" si="663"/>
        <v>#VALUE!</v>
      </c>
      <c r="IO138" s="614" t="e">
        <f t="shared" si="664"/>
        <v>#VALUE!</v>
      </c>
      <c r="IP138" s="672" t="e">
        <f t="shared" si="665"/>
        <v>#VALUE!</v>
      </c>
      <c r="IQ138" s="600" t="e">
        <f t="shared" si="666"/>
        <v>#VALUE!</v>
      </c>
      <c r="IR138" s="672" t="e">
        <f t="shared" si="667"/>
        <v>#VALUE!</v>
      </c>
      <c r="IS138" s="676" t="e">
        <f t="shared" si="668"/>
        <v>#VALUE!</v>
      </c>
      <c r="IT138" s="668"/>
      <c r="IU138" s="669"/>
      <c r="IV138" s="670"/>
      <c r="IW138" s="671"/>
      <c r="IX138" s="678"/>
      <c r="IY138" s="650"/>
      <c r="IZ138" s="650"/>
      <c r="JA138" s="671" t="str">
        <f t="shared" si="669"/>
        <v>rango cal. out</v>
      </c>
      <c r="JB138" s="619" t="e">
        <f t="shared" si="670"/>
        <v>#DIV/0!</v>
      </c>
      <c r="JC138" s="674" t="e">
        <f t="shared" si="671"/>
        <v>#VALUE!</v>
      </c>
      <c r="JD138" s="599" t="e">
        <f>JC138-AVERAGE(JK102:JK103)</f>
        <v>#VALUE!</v>
      </c>
      <c r="JE138" s="672" t="e">
        <f>ABS(#REF!*JD138*3600)</f>
        <v>#REF!</v>
      </c>
      <c r="JF138" s="675" t="e">
        <f t="shared" si="672"/>
        <v>#VALUE!</v>
      </c>
      <c r="JG138" s="614" t="e">
        <f t="shared" si="673"/>
        <v>#VALUE!</v>
      </c>
      <c r="JH138" s="672" t="e">
        <f t="shared" si="674"/>
        <v>#VALUE!</v>
      </c>
      <c r="JI138" s="600" t="e">
        <f t="shared" si="675"/>
        <v>#VALUE!</v>
      </c>
      <c r="JJ138" s="672" t="e">
        <f t="shared" si="676"/>
        <v>#VALUE!</v>
      </c>
      <c r="JK138" s="676" t="e">
        <f t="shared" si="677"/>
        <v>#VALUE!</v>
      </c>
      <c r="JL138" s="668"/>
      <c r="JM138" s="669"/>
      <c r="JN138" s="670"/>
      <c r="JO138" s="671"/>
      <c r="JP138" s="678"/>
      <c r="JQ138" s="650"/>
      <c r="JR138" s="650"/>
      <c r="JS138" s="671" t="str">
        <f t="shared" si="678"/>
        <v>rango cal. out</v>
      </c>
      <c r="JT138" s="619" t="e">
        <f t="shared" si="679"/>
        <v>#DIV/0!</v>
      </c>
      <c r="JU138" s="674" t="e">
        <f t="shared" si="680"/>
        <v>#VALUE!</v>
      </c>
      <c r="JV138" s="599" t="e">
        <f>JU138-AVERAGE(KC102:KC103)</f>
        <v>#VALUE!</v>
      </c>
      <c r="JW138" s="672" t="e">
        <f>ABS(#REF!*JV138*3600)</f>
        <v>#REF!</v>
      </c>
      <c r="JX138" s="675" t="e">
        <f t="shared" si="681"/>
        <v>#VALUE!</v>
      </c>
      <c r="JY138" s="614" t="e">
        <f t="shared" si="682"/>
        <v>#VALUE!</v>
      </c>
      <c r="JZ138" s="672" t="e">
        <f t="shared" si="683"/>
        <v>#VALUE!</v>
      </c>
      <c r="KA138" s="600" t="e">
        <f t="shared" si="684"/>
        <v>#VALUE!</v>
      </c>
      <c r="KB138" s="672" t="e">
        <f t="shared" si="685"/>
        <v>#VALUE!</v>
      </c>
      <c r="KC138" s="676" t="e">
        <f t="shared" si="686"/>
        <v>#VALUE!</v>
      </c>
      <c r="KD138" s="668"/>
      <c r="KE138" s="669"/>
      <c r="KF138" s="670"/>
      <c r="KG138" s="671"/>
      <c r="KH138" s="678"/>
      <c r="KI138" s="650"/>
      <c r="KJ138" s="650"/>
      <c r="KK138" s="671" t="str">
        <f t="shared" si="687"/>
        <v>rango cal. out</v>
      </c>
      <c r="KL138" s="619" t="e">
        <f t="shared" si="688"/>
        <v>#DIV/0!</v>
      </c>
      <c r="KM138" s="674" t="e">
        <f t="shared" si="689"/>
        <v>#VALUE!</v>
      </c>
      <c r="KN138" s="599" t="e">
        <f>KM138-AVERAGE(KU102:KU103)</f>
        <v>#VALUE!</v>
      </c>
      <c r="KO138" s="672" t="e">
        <f>ABS(#REF!*KN138*3600)</f>
        <v>#REF!</v>
      </c>
      <c r="KP138" s="675" t="e">
        <f t="shared" si="690"/>
        <v>#VALUE!</v>
      </c>
      <c r="KQ138" s="614" t="e">
        <f t="shared" si="691"/>
        <v>#VALUE!</v>
      </c>
      <c r="KR138" s="672" t="e">
        <f t="shared" si="692"/>
        <v>#VALUE!</v>
      </c>
      <c r="KS138" s="600" t="e">
        <f t="shared" si="693"/>
        <v>#VALUE!</v>
      </c>
      <c r="KT138" s="672" t="e">
        <f t="shared" si="694"/>
        <v>#VALUE!</v>
      </c>
      <c r="KU138" s="676" t="e">
        <f t="shared" si="695"/>
        <v>#VALUE!</v>
      </c>
      <c r="KV138" s="668"/>
      <c r="KW138" s="669"/>
      <c r="KX138" s="670"/>
      <c r="KY138" s="671"/>
      <c r="KZ138" s="678"/>
      <c r="LA138" s="650"/>
      <c r="LB138" s="650"/>
      <c r="LC138" s="671" t="str">
        <f t="shared" si="696"/>
        <v>rango cal. out</v>
      </c>
      <c r="LD138" s="619" t="e">
        <f t="shared" si="697"/>
        <v>#DIV/0!</v>
      </c>
      <c r="LE138" s="674" t="e">
        <f t="shared" si="698"/>
        <v>#VALUE!</v>
      </c>
      <c r="LF138" s="599" t="e">
        <f>LE138-AVERAGE(LM102:LM103)</f>
        <v>#VALUE!</v>
      </c>
      <c r="LG138" s="672" t="e">
        <f>ABS(#REF!*LF138*3600)</f>
        <v>#REF!</v>
      </c>
      <c r="LH138" s="675" t="e">
        <f t="shared" si="699"/>
        <v>#VALUE!</v>
      </c>
      <c r="LI138" s="614" t="e">
        <f t="shared" si="700"/>
        <v>#VALUE!</v>
      </c>
      <c r="LJ138" s="672" t="e">
        <f t="shared" si="701"/>
        <v>#VALUE!</v>
      </c>
      <c r="LK138" s="600" t="e">
        <f t="shared" si="702"/>
        <v>#VALUE!</v>
      </c>
      <c r="LL138" s="672" t="e">
        <f t="shared" si="703"/>
        <v>#VALUE!</v>
      </c>
      <c r="LM138" s="676" t="e">
        <f t="shared" si="704"/>
        <v>#VALUE!</v>
      </c>
      <c r="LN138" s="668"/>
      <c r="LO138" s="669"/>
      <c r="LP138" s="670"/>
      <c r="LQ138" s="671"/>
      <c r="LR138" s="678"/>
      <c r="LS138" s="650"/>
      <c r="LT138" s="650"/>
      <c r="LU138" s="671" t="str">
        <f t="shared" si="705"/>
        <v>rango cal. out</v>
      </c>
      <c r="LV138" s="619" t="e">
        <f t="shared" si="706"/>
        <v>#DIV/0!</v>
      </c>
      <c r="LW138" s="674" t="e">
        <f t="shared" si="707"/>
        <v>#VALUE!</v>
      </c>
      <c r="LX138" s="599" t="e">
        <f>LW138-AVERAGE(ME102:ME103)</f>
        <v>#VALUE!</v>
      </c>
      <c r="LY138" s="672" t="e">
        <f>ABS(#REF!*LX138*3600)</f>
        <v>#REF!</v>
      </c>
      <c r="LZ138" s="675" t="e">
        <f t="shared" si="708"/>
        <v>#VALUE!</v>
      </c>
      <c r="MA138" s="614" t="e">
        <f t="shared" si="709"/>
        <v>#VALUE!</v>
      </c>
      <c r="MB138" s="672" t="e">
        <f t="shared" si="710"/>
        <v>#VALUE!</v>
      </c>
      <c r="MC138" s="600" t="e">
        <f t="shared" si="711"/>
        <v>#VALUE!</v>
      </c>
      <c r="MD138" s="672" t="e">
        <f t="shared" si="712"/>
        <v>#VALUE!</v>
      </c>
      <c r="ME138" s="676" t="e">
        <f t="shared" si="713"/>
        <v>#VALUE!</v>
      </c>
      <c r="MF138" s="668"/>
      <c r="MG138" s="669"/>
      <c r="MH138" s="670"/>
      <c r="MI138" s="671"/>
      <c r="MJ138" s="678"/>
      <c r="MK138" s="650"/>
      <c r="ML138" s="650"/>
      <c r="MM138" s="671" t="str">
        <f t="shared" si="714"/>
        <v>rango cal. out</v>
      </c>
      <c r="MN138" s="619" t="e">
        <f t="shared" si="715"/>
        <v>#DIV/0!</v>
      </c>
      <c r="MO138" s="674" t="e">
        <f t="shared" si="716"/>
        <v>#VALUE!</v>
      </c>
      <c r="MP138" s="599" t="e">
        <f>MO138-AVERAGE(MW102:MW103)</f>
        <v>#VALUE!</v>
      </c>
      <c r="MQ138" s="672" t="e">
        <f>ABS(#REF!*MP138*3600)</f>
        <v>#REF!</v>
      </c>
      <c r="MR138" s="675" t="e">
        <f t="shared" si="717"/>
        <v>#VALUE!</v>
      </c>
      <c r="MS138" s="614" t="e">
        <f t="shared" si="718"/>
        <v>#VALUE!</v>
      </c>
      <c r="MT138" s="672" t="e">
        <f t="shared" si="719"/>
        <v>#VALUE!</v>
      </c>
      <c r="MU138" s="600" t="e">
        <f t="shared" si="720"/>
        <v>#VALUE!</v>
      </c>
      <c r="MV138" s="672" t="e">
        <f t="shared" si="721"/>
        <v>#VALUE!</v>
      </c>
      <c r="MW138" s="676" t="e">
        <f t="shared" si="722"/>
        <v>#VALUE!</v>
      </c>
      <c r="MX138" s="668"/>
      <c r="MY138" s="669"/>
      <c r="MZ138" s="680"/>
      <c r="NA138" s="671"/>
      <c r="NB138" s="673"/>
      <c r="NC138" s="650"/>
      <c r="ND138" s="650"/>
      <c r="NE138" s="671" t="str">
        <f t="shared" si="723"/>
        <v>rango cal. out</v>
      </c>
      <c r="NF138" s="619" t="e">
        <f t="shared" si="724"/>
        <v>#DIV/0!</v>
      </c>
      <c r="NG138" s="674" t="e">
        <f t="shared" si="725"/>
        <v>#VALUE!</v>
      </c>
      <c r="NH138" s="599" t="e">
        <f>NG138-AVERAGE(NO102:NO103)</f>
        <v>#VALUE!</v>
      </c>
      <c r="NI138" s="672" t="e">
        <f>ABS(#REF!*NH138*3600)</f>
        <v>#REF!</v>
      </c>
      <c r="NJ138" s="675" t="e">
        <f t="shared" si="726"/>
        <v>#VALUE!</v>
      </c>
      <c r="NK138" s="614" t="e">
        <f t="shared" si="727"/>
        <v>#VALUE!</v>
      </c>
      <c r="NL138" s="672" t="e">
        <f t="shared" si="728"/>
        <v>#VALUE!</v>
      </c>
      <c r="NM138" s="600" t="e">
        <f t="shared" si="729"/>
        <v>#VALUE!</v>
      </c>
      <c r="NN138" s="672" t="e">
        <f t="shared" si="730"/>
        <v>#VALUE!</v>
      </c>
      <c r="NO138" s="676" t="e">
        <f t="shared" si="731"/>
        <v>#VALUE!</v>
      </c>
      <c r="NP138" s="668">
        <v>20.7</v>
      </c>
      <c r="NQ138" s="669">
        <v>53</v>
      </c>
      <c r="NR138" s="670">
        <v>1007</v>
      </c>
      <c r="NS138" s="2011">
        <v>-6.2500000000000004E-11</v>
      </c>
      <c r="NT138" s="678">
        <v>60</v>
      </c>
      <c r="NU138" s="663">
        <v>44334</v>
      </c>
      <c r="NV138" s="650" t="s">
        <v>268</v>
      </c>
      <c r="NW138" s="671">
        <f t="shared" si="732"/>
        <v>-6.2687499999999997E-11</v>
      </c>
      <c r="NX138" s="619">
        <f t="shared" si="733"/>
        <v>1.0017754276971766</v>
      </c>
      <c r="NY138" s="674">
        <f t="shared" si="734"/>
        <v>-1.0365298657956357E-12</v>
      </c>
      <c r="NZ138" s="599">
        <f>NY138-AVERAGE(OG102:OG103)</f>
        <v>-1.0372820268675942E-12</v>
      </c>
      <c r="OA138" s="672" t="e">
        <f>ABS(#REF!*NZ138*3600)</f>
        <v>#REF!</v>
      </c>
      <c r="OB138" s="675">
        <f t="shared" si="735"/>
        <v>9.4102225477428152E-5</v>
      </c>
      <c r="OC138" s="614">
        <f t="shared" si="736"/>
        <v>9.4102225477428157E-3</v>
      </c>
      <c r="OD138" s="672">
        <f t="shared" si="737"/>
        <v>1.1292267057291378E-4</v>
      </c>
      <c r="OE138" s="600">
        <f t="shared" si="738"/>
        <v>1.1386369282768806E-4</v>
      </c>
      <c r="OF138" s="672">
        <f t="shared" si="739"/>
        <v>1.1386369282768806E-4</v>
      </c>
      <c r="OG138" s="676">
        <f t="shared" si="740"/>
        <v>1.1762778184678519E-4</v>
      </c>
      <c r="OH138" s="668"/>
      <c r="OI138" s="669"/>
      <c r="OJ138" s="670"/>
      <c r="OK138" s="671"/>
      <c r="OL138" s="678"/>
      <c r="OM138" s="650"/>
      <c r="ON138" s="650"/>
      <c r="OO138" s="671" t="str">
        <f t="shared" si="741"/>
        <v>rango cal. out</v>
      </c>
      <c r="OP138" s="619" t="e">
        <f t="shared" si="742"/>
        <v>#DIV/0!</v>
      </c>
      <c r="OQ138" s="674" t="e">
        <f t="shared" si="743"/>
        <v>#VALUE!</v>
      </c>
      <c r="OR138" s="599" t="e">
        <f>OQ138-AVERAGE(OY102:OY103)</f>
        <v>#VALUE!</v>
      </c>
      <c r="OS138" s="672" t="e">
        <f>ABS(#REF!*OR138*3600)</f>
        <v>#REF!</v>
      </c>
      <c r="OT138" s="675" t="e">
        <f t="shared" si="744"/>
        <v>#VALUE!</v>
      </c>
      <c r="OU138" s="614" t="e">
        <f t="shared" si="745"/>
        <v>#VALUE!</v>
      </c>
      <c r="OV138" s="672" t="e">
        <f t="shared" si="746"/>
        <v>#VALUE!</v>
      </c>
      <c r="OW138" s="600" t="e">
        <f t="shared" si="747"/>
        <v>#VALUE!</v>
      </c>
      <c r="OX138" s="672" t="e">
        <f t="shared" si="748"/>
        <v>#VALUE!</v>
      </c>
      <c r="OY138" s="676" t="e">
        <f t="shared" si="749"/>
        <v>#VALUE!</v>
      </c>
      <c r="OZ138" s="668">
        <v>20.5</v>
      </c>
      <c r="PA138" s="669">
        <v>52</v>
      </c>
      <c r="PB138" s="670">
        <v>1007</v>
      </c>
      <c r="PC138" s="2011">
        <v>-1.35E-10</v>
      </c>
      <c r="PD138" s="673">
        <v>60</v>
      </c>
      <c r="PE138" s="663">
        <v>44334</v>
      </c>
      <c r="PF138" s="650" t="s">
        <v>268</v>
      </c>
      <c r="PG138" s="671">
        <f t="shared" si="750"/>
        <v>-1.3540499999999998E-10</v>
      </c>
      <c r="PH138" s="619">
        <f t="shared" si="751"/>
        <v>1.001093715939642</v>
      </c>
      <c r="PI138" s="674">
        <f t="shared" si="752"/>
        <v>-2.2373809276006288E-12</v>
      </c>
      <c r="PJ138" s="599">
        <f>PI138-AVERAGE(PQ102:PQ103)</f>
        <v>-2.2357077175041885E-12</v>
      </c>
      <c r="PK138" s="672" t="e">
        <f>ABS(#REF!*PJ138*3600)</f>
        <v>#REF!</v>
      </c>
      <c r="PL138" s="675">
        <f t="shared" si="753"/>
        <v>2.0282340413197998E-4</v>
      </c>
      <c r="PM138" s="614">
        <f t="shared" si="754"/>
        <v>2.0282340413197996E-2</v>
      </c>
      <c r="PN138" s="672">
        <f t="shared" si="755"/>
        <v>2.4338808495837595E-4</v>
      </c>
      <c r="PO138" s="600">
        <f t="shared" si="756"/>
        <v>2.4541631899969578E-4</v>
      </c>
      <c r="PP138" s="672">
        <f t="shared" si="757"/>
        <v>2.4541631899969578E-4</v>
      </c>
      <c r="PQ138" s="676">
        <f t="shared" si="758"/>
        <v>2.5352925516497498E-4</v>
      </c>
      <c r="PR138" s="668"/>
      <c r="PS138" s="669"/>
      <c r="PT138" s="670"/>
      <c r="PU138" s="671"/>
      <c r="PV138" s="678"/>
      <c r="PW138" s="650"/>
      <c r="PX138" s="650"/>
      <c r="PY138" s="671" t="str">
        <f t="shared" si="759"/>
        <v>rango cal. out</v>
      </c>
      <c r="PZ138" s="619" t="e">
        <f t="shared" si="760"/>
        <v>#DIV/0!</v>
      </c>
      <c r="QA138" s="674" t="e">
        <f t="shared" si="761"/>
        <v>#VALUE!</v>
      </c>
      <c r="QB138" s="599" t="e">
        <f>QA138-AVERAGE(QI102:QI103)</f>
        <v>#VALUE!</v>
      </c>
      <c r="QC138" s="672" t="e">
        <f>ABS(#REF!*QB138*3600)</f>
        <v>#REF!</v>
      </c>
      <c r="QD138" s="675" t="e">
        <f t="shared" si="762"/>
        <v>#VALUE!</v>
      </c>
      <c r="QE138" s="614" t="e">
        <f t="shared" si="763"/>
        <v>#VALUE!</v>
      </c>
      <c r="QF138" s="672" t="e">
        <f t="shared" si="764"/>
        <v>#VALUE!</v>
      </c>
      <c r="QG138" s="600" t="e">
        <f t="shared" si="765"/>
        <v>#VALUE!</v>
      </c>
      <c r="QH138" s="672" t="e">
        <f t="shared" si="766"/>
        <v>#VALUE!</v>
      </c>
      <c r="QI138" s="676" t="e">
        <f t="shared" si="767"/>
        <v>#VALUE!</v>
      </c>
      <c r="QJ138" s="668"/>
      <c r="QK138" s="669"/>
      <c r="QL138" s="670"/>
      <c r="QM138" s="671"/>
      <c r="QN138" s="678"/>
      <c r="QO138" s="650"/>
      <c r="QP138" s="650"/>
      <c r="QQ138" s="671" t="str">
        <f t="shared" si="768"/>
        <v>rango cal. out</v>
      </c>
      <c r="QR138" s="619" t="e">
        <f t="shared" si="769"/>
        <v>#DIV/0!</v>
      </c>
      <c r="QS138" s="674" t="e">
        <f t="shared" si="770"/>
        <v>#VALUE!</v>
      </c>
      <c r="QT138" s="599" t="e">
        <f>QS138-AVERAGE(RA102:RA103)</f>
        <v>#VALUE!</v>
      </c>
      <c r="QU138" s="672" t="e">
        <f>ABS(#REF!*QT138*3600)</f>
        <v>#REF!</v>
      </c>
      <c r="QV138" s="675" t="e">
        <f t="shared" si="771"/>
        <v>#VALUE!</v>
      </c>
      <c r="QW138" s="614" t="e">
        <f t="shared" si="772"/>
        <v>#VALUE!</v>
      </c>
      <c r="QX138" s="672" t="e">
        <f t="shared" si="773"/>
        <v>#VALUE!</v>
      </c>
      <c r="QY138" s="600" t="e">
        <f t="shared" si="774"/>
        <v>#VALUE!</v>
      </c>
      <c r="QZ138" s="672" t="e">
        <f t="shared" si="775"/>
        <v>#VALUE!</v>
      </c>
      <c r="RA138" s="676" t="e">
        <f t="shared" si="776"/>
        <v>#VALUE!</v>
      </c>
      <c r="RB138" s="668"/>
      <c r="RC138" s="669"/>
      <c r="RD138" s="666"/>
      <c r="RE138" s="671"/>
      <c r="RF138" s="667"/>
      <c r="RG138" s="650"/>
      <c r="RH138" s="650"/>
      <c r="RI138" s="671" t="str">
        <f t="shared" si="777"/>
        <v>rango cal. out</v>
      </c>
      <c r="RJ138" s="619" t="e">
        <f t="shared" si="778"/>
        <v>#DIV/0!</v>
      </c>
      <c r="RK138" s="674" t="e">
        <f t="shared" si="779"/>
        <v>#VALUE!</v>
      </c>
      <c r="RL138" s="599" t="e">
        <f>RK138-AVERAGE(RS102:RS103)</f>
        <v>#VALUE!</v>
      </c>
      <c r="RM138" s="672" t="e">
        <f>ABS(#REF!*RL138*3600)</f>
        <v>#REF!</v>
      </c>
      <c r="RN138" s="675" t="e">
        <f t="shared" si="780"/>
        <v>#VALUE!</v>
      </c>
      <c r="RO138" s="614" t="e">
        <f t="shared" si="781"/>
        <v>#VALUE!</v>
      </c>
      <c r="RP138" s="672" t="e">
        <f t="shared" si="782"/>
        <v>#VALUE!</v>
      </c>
      <c r="RQ138" s="600" t="e">
        <f t="shared" si="783"/>
        <v>#VALUE!</v>
      </c>
      <c r="RR138" s="672" t="e">
        <f t="shared" si="784"/>
        <v>#VALUE!</v>
      </c>
      <c r="RS138" s="676" t="e">
        <f t="shared" si="785"/>
        <v>#VALUE!</v>
      </c>
      <c r="RT138" s="668"/>
      <c r="RU138" s="669"/>
      <c r="RV138" s="669"/>
      <c r="RW138" s="679"/>
      <c r="RX138" s="673"/>
      <c r="RY138" s="650"/>
      <c r="RZ138" s="650"/>
      <c r="SA138" s="671" t="str">
        <f t="shared" si="786"/>
        <v>rango cal. out</v>
      </c>
      <c r="SB138" s="619" t="e">
        <f t="shared" si="787"/>
        <v>#DIV/0!</v>
      </c>
      <c r="SC138" s="674" t="e">
        <f t="shared" si="788"/>
        <v>#VALUE!</v>
      </c>
      <c r="SD138" s="599" t="e">
        <f>SC138-AVERAGE(SK102:SK103)</f>
        <v>#VALUE!</v>
      </c>
      <c r="SE138" s="672" t="e">
        <f>ABS(#REF!*SD138*3600)</f>
        <v>#REF!</v>
      </c>
      <c r="SF138" s="675" t="e">
        <f t="shared" si="789"/>
        <v>#VALUE!</v>
      </c>
      <c r="SG138" s="614" t="e">
        <f t="shared" si="790"/>
        <v>#VALUE!</v>
      </c>
      <c r="SH138" s="672" t="e">
        <f t="shared" si="791"/>
        <v>#VALUE!</v>
      </c>
      <c r="SI138" s="600" t="e">
        <f t="shared" si="792"/>
        <v>#VALUE!</v>
      </c>
      <c r="SJ138" s="672" t="e">
        <f t="shared" si="793"/>
        <v>#VALUE!</v>
      </c>
      <c r="SK138" s="676" t="e">
        <f t="shared" si="794"/>
        <v>#VALUE!</v>
      </c>
      <c r="SL138" s="668">
        <v>20.5</v>
      </c>
      <c r="SM138" s="669">
        <v>53</v>
      </c>
      <c r="SN138" s="670">
        <v>1007</v>
      </c>
      <c r="SO138" s="2011">
        <v>-1.4E-11</v>
      </c>
      <c r="SP138" s="673">
        <v>60</v>
      </c>
      <c r="SQ138" s="663">
        <v>44334</v>
      </c>
      <c r="SR138" s="650" t="s">
        <v>268</v>
      </c>
      <c r="SS138" s="671">
        <f t="shared" si="795"/>
        <v>-1.4041999999999999E-11</v>
      </c>
      <c r="ST138" s="619">
        <f t="shared" si="796"/>
        <v>1.001093715939642</v>
      </c>
      <c r="SU138" s="674">
        <f t="shared" si="797"/>
        <v>-2.3202468878821338E-13</v>
      </c>
      <c r="SV138" s="599">
        <f>SU138-AVERAGE(TC102:TC103)</f>
        <v>-2.3009201601418109E-13</v>
      </c>
      <c r="SW138" s="672" t="e">
        <f>ABS(#REF!*SV138*3600)</f>
        <v>#REF!</v>
      </c>
      <c r="SX138" s="675">
        <f t="shared" si="798"/>
        <v>2.0873947692806508E-5</v>
      </c>
      <c r="SY138" s="614">
        <f t="shared" si="799"/>
        <v>2.0873947692806507E-3</v>
      </c>
      <c r="SZ138" s="672">
        <f t="shared" si="800"/>
        <v>2.5048737231367809E-5</v>
      </c>
      <c r="TA138" s="600">
        <f t="shared" si="801"/>
        <v>2.5257476708295873E-5</v>
      </c>
      <c r="TB138" s="672">
        <f t="shared" si="802"/>
        <v>2.5257476708295873E-5</v>
      </c>
      <c r="TC138" s="676">
        <f t="shared" si="803"/>
        <v>2.6092434616008134E-5</v>
      </c>
      <c r="TD138" s="668">
        <v>20.5</v>
      </c>
      <c r="TE138" s="669">
        <v>54</v>
      </c>
      <c r="TF138" s="670">
        <v>1008</v>
      </c>
      <c r="TG138" s="2011">
        <v>-3.0599999999999998E-10</v>
      </c>
      <c r="TH138" s="673">
        <v>60</v>
      </c>
      <c r="TI138" s="663">
        <v>44334</v>
      </c>
      <c r="TJ138" s="650" t="s">
        <v>268</v>
      </c>
      <c r="TK138" s="671">
        <f t="shared" si="804"/>
        <v>-3.0691799999999994E-10</v>
      </c>
      <c r="TL138" s="619">
        <f t="shared" si="805"/>
        <v>1.0001005674119241</v>
      </c>
      <c r="TM138" s="674">
        <f t="shared" si="806"/>
        <v>-5.0663656216395721E-12</v>
      </c>
      <c r="TN138" s="599">
        <f>TM138-AVERAGE(TU102:TU103)</f>
        <v>-5.0659991784523675E-12</v>
      </c>
      <c r="TO138" s="672" t="e">
        <f>ABS(#REF!*TN138*3600)</f>
        <v>#REF!</v>
      </c>
      <c r="TP138" s="675">
        <f t="shared" si="807"/>
        <v>4.5958744546919882E-4</v>
      </c>
      <c r="TQ138" s="614">
        <f t="shared" si="808"/>
        <v>4.595874454691988E-2</v>
      </c>
      <c r="TR138" s="672">
        <f t="shared" si="809"/>
        <v>5.5150493456303858E-4</v>
      </c>
      <c r="TS138" s="600">
        <f t="shared" si="810"/>
        <v>5.5610080901773054E-4</v>
      </c>
      <c r="TT138" s="672">
        <f t="shared" si="811"/>
        <v>5.5610080901773054E-4</v>
      </c>
      <c r="TU138" s="676">
        <f t="shared" si="812"/>
        <v>5.7448430683649848E-4</v>
      </c>
      <c r="TV138" s="668"/>
      <c r="TW138" s="669"/>
      <c r="TX138" s="670"/>
      <c r="TY138" s="671"/>
      <c r="TZ138" s="678"/>
      <c r="UA138" s="650"/>
      <c r="UB138" s="650"/>
      <c r="UC138" s="671" t="str">
        <f t="shared" si="813"/>
        <v>rango cal. out</v>
      </c>
      <c r="UD138" s="619" t="e">
        <f t="shared" si="814"/>
        <v>#DIV/0!</v>
      </c>
      <c r="UE138" s="674" t="e">
        <f t="shared" si="815"/>
        <v>#VALUE!</v>
      </c>
      <c r="UF138" s="599" t="e">
        <f>UE138-AVERAGE(UM102:UM103)</f>
        <v>#VALUE!</v>
      </c>
      <c r="UG138" s="672" t="e">
        <f>ABS(#REF!*UF138*3600)</f>
        <v>#REF!</v>
      </c>
      <c r="UH138" s="675" t="e">
        <f t="shared" si="816"/>
        <v>#VALUE!</v>
      </c>
      <c r="UI138" s="614" t="e">
        <f t="shared" si="817"/>
        <v>#VALUE!</v>
      </c>
      <c r="UJ138" s="672" t="e">
        <f t="shared" si="818"/>
        <v>#VALUE!</v>
      </c>
      <c r="UK138" s="600" t="e">
        <f t="shared" si="819"/>
        <v>#VALUE!</v>
      </c>
      <c r="UL138" s="672" t="e">
        <f t="shared" si="820"/>
        <v>#VALUE!</v>
      </c>
      <c r="UM138" s="676" t="e">
        <f t="shared" si="821"/>
        <v>#VALUE!</v>
      </c>
      <c r="UN138" s="668">
        <v>20.5</v>
      </c>
      <c r="UO138" s="669">
        <v>55</v>
      </c>
      <c r="UP138" s="670">
        <v>1008</v>
      </c>
      <c r="UQ138" s="2011">
        <v>-2.15E-11</v>
      </c>
      <c r="UR138" s="673">
        <v>60</v>
      </c>
      <c r="US138" s="663">
        <v>44334</v>
      </c>
      <c r="UT138" s="650" t="s">
        <v>268</v>
      </c>
      <c r="UU138" s="671">
        <f t="shared" si="822"/>
        <v>-2.1564499999999998E-11</v>
      </c>
      <c r="UV138" s="619">
        <f t="shared" si="823"/>
        <v>1.0001005674119241</v>
      </c>
      <c r="UW138" s="674">
        <f t="shared" si="824"/>
        <v>-3.5597013354657132E-13</v>
      </c>
      <c r="UX138" s="599">
        <f>UW138-AVERAGE(VE102:VE103)</f>
        <v>-3.5580766046430658E-13</v>
      </c>
      <c r="UY138" s="672" t="e">
        <f>ABS(#REF!*UX138*3600)</f>
        <v>#REF!</v>
      </c>
      <c r="UZ138" s="675">
        <f t="shared" si="825"/>
        <v>3.2278870957321894E-5</v>
      </c>
      <c r="VA138" s="614">
        <f t="shared" si="826"/>
        <v>3.2278870957321891E-3</v>
      </c>
      <c r="VB138" s="672">
        <f t="shared" si="827"/>
        <v>3.8734645148786274E-5</v>
      </c>
      <c r="VC138" s="600">
        <f t="shared" si="828"/>
        <v>3.9057433858359492E-5</v>
      </c>
      <c r="VD138" s="672">
        <f t="shared" si="829"/>
        <v>3.9057433858359492E-5</v>
      </c>
      <c r="VE138" s="676">
        <f t="shared" si="830"/>
        <v>4.0348588696652367E-5</v>
      </c>
    </row>
    <row r="139" spans="1:577" x14ac:dyDescent="0.25">
      <c r="A139" s="2219"/>
      <c r="B139" s="668">
        <v>20.3</v>
      </c>
      <c r="C139" s="673">
        <v>52</v>
      </c>
      <c r="D139" s="678">
        <v>1010</v>
      </c>
      <c r="E139" s="2011">
        <v>-4.8200000000000003E-9</v>
      </c>
      <c r="F139" s="673">
        <v>60</v>
      </c>
      <c r="G139" s="663">
        <v>44334</v>
      </c>
      <c r="H139" s="663" t="s">
        <v>1042</v>
      </c>
      <c r="I139" s="651">
        <f t="shared" si="543"/>
        <v>-4.8248199999999999E-9</v>
      </c>
      <c r="J139" s="619">
        <f t="shared" si="544"/>
        <v>0.99744048337760605</v>
      </c>
      <c r="K139" s="674">
        <f t="shared" si="545"/>
        <v>-7.9432567719297215E-11</v>
      </c>
      <c r="L139" s="599">
        <f>K139-AVERAGE(S102:S103)</f>
        <v>-7.9408755751925723E-11</v>
      </c>
      <c r="M139" s="672" t="e">
        <f>ABS(#REF!*L139*3600)</f>
        <v>#REF!</v>
      </c>
      <c r="N139" s="675">
        <f t="shared" si="546"/>
        <v>7.203962321814702E-3</v>
      </c>
      <c r="O139" s="614">
        <f t="shared" si="547"/>
        <v>0.7203962321814702</v>
      </c>
      <c r="P139" s="672">
        <f t="shared" si="548"/>
        <v>8.6447547861776414E-3</v>
      </c>
      <c r="Q139" s="600">
        <f t="shared" si="549"/>
        <v>8.7167944093957898E-3</v>
      </c>
      <c r="R139" s="672">
        <f t="shared" si="550"/>
        <v>8.7167944093957898E-3</v>
      </c>
      <c r="S139" s="676">
        <f t="shared" si="551"/>
        <v>9.0049529022683782E-3</v>
      </c>
      <c r="T139" s="677"/>
      <c r="U139" s="669"/>
      <c r="V139" s="670"/>
      <c r="W139" s="671"/>
      <c r="X139" s="678"/>
      <c r="Y139" s="650"/>
      <c r="Z139" s="663"/>
      <c r="AA139" s="651" t="str">
        <f t="shared" si="552"/>
        <v>rango cal. out</v>
      </c>
      <c r="AB139" s="619" t="e">
        <f t="shared" si="553"/>
        <v>#DIV/0!</v>
      </c>
      <c r="AC139" s="674" t="e">
        <f t="shared" si="554"/>
        <v>#VALUE!</v>
      </c>
      <c r="AD139" s="599" t="e">
        <f>AC139-AVERAGE(#REF!)</f>
        <v>#VALUE!</v>
      </c>
      <c r="AE139" s="672" t="e">
        <f>ABS(#REF!*AD139*3600)</f>
        <v>#REF!</v>
      </c>
      <c r="AF139" s="675" t="e">
        <f t="shared" si="555"/>
        <v>#VALUE!</v>
      </c>
      <c r="AG139" s="614" t="e">
        <f t="shared" si="556"/>
        <v>#VALUE!</v>
      </c>
      <c r="AH139" s="672" t="e">
        <f t="shared" si="557"/>
        <v>#VALUE!</v>
      </c>
      <c r="AI139" s="600" t="e">
        <f t="shared" si="558"/>
        <v>#VALUE!</v>
      </c>
      <c r="AJ139" s="672" t="e">
        <f t="shared" si="559"/>
        <v>#VALUE!</v>
      </c>
      <c r="AK139" s="676" t="e">
        <f t="shared" si="560"/>
        <v>#VALUE!</v>
      </c>
      <c r="AL139" s="677"/>
      <c r="AM139" s="669"/>
      <c r="AN139" s="670"/>
      <c r="AO139" s="671"/>
      <c r="AP139" s="678"/>
      <c r="AQ139" s="650"/>
      <c r="AR139" s="663"/>
      <c r="AS139" s="651" t="str">
        <f t="shared" si="561"/>
        <v>rango cal. out</v>
      </c>
      <c r="AT139" s="619" t="e">
        <f t="shared" si="562"/>
        <v>#DIV/0!</v>
      </c>
      <c r="AU139" s="674" t="e">
        <f t="shared" si="563"/>
        <v>#VALUE!</v>
      </c>
      <c r="AV139" s="599" t="e">
        <f>AU139-AVERAGE(BC102:BC103)</f>
        <v>#VALUE!</v>
      </c>
      <c r="AW139" s="672" t="e">
        <f>ABS(#REF!*AV139*3600)</f>
        <v>#REF!</v>
      </c>
      <c r="AX139" s="675" t="e">
        <f t="shared" si="564"/>
        <v>#VALUE!</v>
      </c>
      <c r="AY139" s="614" t="e">
        <f t="shared" si="565"/>
        <v>#VALUE!</v>
      </c>
      <c r="AZ139" s="672" t="e">
        <f t="shared" si="566"/>
        <v>#VALUE!</v>
      </c>
      <c r="BA139" s="600" t="e">
        <f t="shared" si="567"/>
        <v>#VALUE!</v>
      </c>
      <c r="BB139" s="672" t="e">
        <f t="shared" si="568"/>
        <v>#VALUE!</v>
      </c>
      <c r="BC139" s="676" t="e">
        <f t="shared" si="569"/>
        <v>#VALUE!</v>
      </c>
      <c r="BD139" s="668">
        <v>20.6</v>
      </c>
      <c r="BE139" s="669">
        <v>51</v>
      </c>
      <c r="BF139" s="670">
        <v>1009</v>
      </c>
      <c r="BG139" s="2010">
        <v>-7.7999999999999999E-10</v>
      </c>
      <c r="BH139" s="673">
        <v>60</v>
      </c>
      <c r="BI139" s="663">
        <v>44334</v>
      </c>
      <c r="BJ139" s="663" t="s">
        <v>268</v>
      </c>
      <c r="BK139" s="651">
        <f t="shared" si="570"/>
        <v>-7.8233999999999991E-10</v>
      </c>
      <c r="BL139" s="619">
        <f t="shared" si="571"/>
        <v>0.99944956771173277</v>
      </c>
      <c r="BM139" s="674">
        <f t="shared" si="572"/>
        <v>-1.2905858972620215E-11</v>
      </c>
      <c r="BN139" s="599">
        <f>BM139-AVERAGE(BU102:BU103)</f>
        <v>-1.2904513788511818E-11</v>
      </c>
      <c r="BO139" s="672" t="e">
        <f>ABS(#REF!*BN139*3600)</f>
        <v>#REF!</v>
      </c>
      <c r="BP139" s="675">
        <f t="shared" si="573"/>
        <v>1.1706974908937923E-3</v>
      </c>
      <c r="BQ139" s="614">
        <f t="shared" si="574"/>
        <v>0.11706974908937923</v>
      </c>
      <c r="BR139" s="672">
        <f t="shared" si="575"/>
        <v>1.4048369890725507E-3</v>
      </c>
      <c r="BS139" s="600">
        <f t="shared" si="576"/>
        <v>1.4165439639814885E-3</v>
      </c>
      <c r="BT139" s="672">
        <f t="shared" si="577"/>
        <v>1.4165439639814885E-3</v>
      </c>
      <c r="BU139" s="676">
        <f t="shared" si="578"/>
        <v>1.4633718636172404E-3</v>
      </c>
      <c r="BV139" s="668">
        <v>20.5</v>
      </c>
      <c r="BW139" s="669">
        <v>51</v>
      </c>
      <c r="BX139" s="666">
        <v>1008</v>
      </c>
      <c r="BY139" s="2023">
        <v>-3.55E-11</v>
      </c>
      <c r="BZ139" s="667">
        <v>60</v>
      </c>
      <c r="CA139" s="663">
        <v>44334</v>
      </c>
      <c r="CB139" s="663" t="s">
        <v>268</v>
      </c>
      <c r="CC139" s="651">
        <f t="shared" si="579"/>
        <v>-3.5606499999999996E-11</v>
      </c>
      <c r="CD139" s="619">
        <f t="shared" si="580"/>
        <v>1.0001005674119241</v>
      </c>
      <c r="CE139" s="674">
        <f t="shared" si="581"/>
        <v>-5.8776463911178047E-13</v>
      </c>
      <c r="CF139" s="599">
        <f>CE139-AVERAGE(CM102:CM103)</f>
        <v>-5.8596314387663876E-13</v>
      </c>
      <c r="CG139" s="672" t="e">
        <f>ABS(#REF!*CF139*3600)</f>
        <v>#REF!</v>
      </c>
      <c r="CH139" s="675">
        <f t="shared" si="582"/>
        <v>5.3158576412488671E-5</v>
      </c>
      <c r="CI139" s="614">
        <f t="shared" si="583"/>
        <v>5.3158576412488667E-3</v>
      </c>
      <c r="CJ139" s="672">
        <f t="shared" si="584"/>
        <v>6.37902916949864E-5</v>
      </c>
      <c r="CK139" s="600">
        <f t="shared" si="585"/>
        <v>6.4321877459111294E-5</v>
      </c>
      <c r="CL139" s="672">
        <f t="shared" si="586"/>
        <v>6.4321877459111294E-5</v>
      </c>
      <c r="CM139" s="676">
        <f t="shared" si="587"/>
        <v>6.6448220515610842E-5</v>
      </c>
      <c r="CN139" s="668">
        <v>20.3</v>
      </c>
      <c r="CO139" s="669">
        <v>51</v>
      </c>
      <c r="CP139" s="666">
        <v>1007</v>
      </c>
      <c r="CQ139" s="2010">
        <v>-1.819E-9</v>
      </c>
      <c r="CR139" s="667">
        <v>60</v>
      </c>
      <c r="CS139" s="663">
        <v>44334</v>
      </c>
      <c r="CT139" s="663" t="s">
        <v>268</v>
      </c>
      <c r="CU139" s="651">
        <f t="shared" si="588"/>
        <v>-1.8244569999999998E-9</v>
      </c>
      <c r="CV139" s="619">
        <f t="shared" si="589"/>
        <v>1.0004120041821074</v>
      </c>
      <c r="CW139" s="674">
        <f t="shared" si="590"/>
        <v>-3.0126107486706699E-11</v>
      </c>
      <c r="CX139" s="599">
        <f>CW139-AVERAGE(DE102:DE103)</f>
        <v>-3.0114819800001277E-11</v>
      </c>
      <c r="CY139" s="672" t="e">
        <f>ABS(#REF!*CX139*3600)</f>
        <v>#REF!</v>
      </c>
      <c r="CZ139" s="675">
        <f t="shared" si="591"/>
        <v>2.7320164522561157E-3</v>
      </c>
      <c r="DA139" s="614">
        <f t="shared" si="592"/>
        <v>0.27320164522561158</v>
      </c>
      <c r="DB139" s="672">
        <f t="shared" si="593"/>
        <v>3.2784197427073386E-3</v>
      </c>
      <c r="DC139" s="600">
        <f t="shared" si="594"/>
        <v>3.3057399072299E-3</v>
      </c>
      <c r="DD139" s="672">
        <f t="shared" si="595"/>
        <v>3.3057399072299E-3</v>
      </c>
      <c r="DE139" s="676">
        <f t="shared" si="596"/>
        <v>3.4150205653201444E-3</v>
      </c>
      <c r="DF139" s="668"/>
      <c r="DG139" s="669"/>
      <c r="DH139" s="670"/>
      <c r="DI139" s="671"/>
      <c r="DJ139" s="678"/>
      <c r="DK139" s="650"/>
      <c r="DL139" s="663" t="s">
        <v>268</v>
      </c>
      <c r="DM139" s="651">
        <f t="shared" si="597"/>
        <v>0</v>
      </c>
      <c r="DN139" s="619" t="e">
        <f t="shared" si="598"/>
        <v>#DIV/0!</v>
      </c>
      <c r="DO139" s="674" t="e">
        <f t="shared" si="599"/>
        <v>#DIV/0!</v>
      </c>
      <c r="DP139" s="599" t="e">
        <f>DO139-AVERAGE(DW102:DW103)</f>
        <v>#DIV/0!</v>
      </c>
      <c r="DQ139" s="672" t="e">
        <f>ABS(#REF!*DP139*3600)</f>
        <v>#REF!</v>
      </c>
      <c r="DR139" s="675" t="e">
        <f t="shared" si="600"/>
        <v>#DIV/0!</v>
      </c>
      <c r="DS139" s="614" t="e">
        <f t="shared" si="601"/>
        <v>#DIV/0!</v>
      </c>
      <c r="DT139" s="672" t="e">
        <f t="shared" si="602"/>
        <v>#DIV/0!</v>
      </c>
      <c r="DU139" s="600" t="e">
        <f t="shared" si="603"/>
        <v>#DIV/0!</v>
      </c>
      <c r="DV139" s="672" t="e">
        <f t="shared" si="604"/>
        <v>#DIV/0!</v>
      </c>
      <c r="DW139" s="676" t="e">
        <f t="shared" si="605"/>
        <v>#DIV/0!</v>
      </c>
      <c r="DX139" s="668"/>
      <c r="DY139" s="669"/>
      <c r="DZ139" s="677"/>
      <c r="EA139" s="679"/>
      <c r="EB139" s="678"/>
      <c r="EC139" s="650"/>
      <c r="ED139" s="663"/>
      <c r="EE139" s="651" t="str">
        <f t="shared" si="606"/>
        <v>rango cal. out</v>
      </c>
      <c r="EF139" s="619" t="e">
        <f t="shared" si="607"/>
        <v>#DIV/0!</v>
      </c>
      <c r="EG139" s="674" t="e">
        <f t="shared" si="608"/>
        <v>#VALUE!</v>
      </c>
      <c r="EH139" s="599" t="e">
        <f>EG139-AVERAGE(EO102:EO103)</f>
        <v>#VALUE!</v>
      </c>
      <c r="EI139" s="672" t="e">
        <f>ABS(#REF!*EH139*3600)</f>
        <v>#REF!</v>
      </c>
      <c r="EJ139" s="675" t="e">
        <f t="shared" si="609"/>
        <v>#VALUE!</v>
      </c>
      <c r="EK139" s="614" t="e">
        <f t="shared" si="610"/>
        <v>#VALUE!</v>
      </c>
      <c r="EL139" s="672" t="e">
        <f t="shared" si="611"/>
        <v>#VALUE!</v>
      </c>
      <c r="EM139" s="600" t="e">
        <f t="shared" si="612"/>
        <v>#VALUE!</v>
      </c>
      <c r="EN139" s="672" t="e">
        <f t="shared" si="613"/>
        <v>#VALUE!</v>
      </c>
      <c r="EO139" s="676" t="e">
        <f t="shared" si="614"/>
        <v>#VALUE!</v>
      </c>
      <c r="EP139" s="668">
        <v>20.7</v>
      </c>
      <c r="EQ139" s="669">
        <v>52</v>
      </c>
      <c r="ER139" s="661">
        <v>1007</v>
      </c>
      <c r="ES139" s="2022">
        <v>-8.4999999999999997E-12</v>
      </c>
      <c r="ET139" s="667">
        <v>60</v>
      </c>
      <c r="EU139" s="663">
        <v>44334</v>
      </c>
      <c r="EV139" s="663" t="s">
        <v>268</v>
      </c>
      <c r="EW139" s="651">
        <f t="shared" si="615"/>
        <v>-8.5254999999999988E-12</v>
      </c>
      <c r="EX139" s="619">
        <f t="shared" si="616"/>
        <v>1.0017754276971766</v>
      </c>
      <c r="EY139" s="674">
        <f t="shared" si="617"/>
        <v>-1.4096806174820647E-13</v>
      </c>
      <c r="EZ139" s="599">
        <f>EY139-AVERAGE(FG102:FG103)</f>
        <v>-1.420486255578062E-13</v>
      </c>
      <c r="FA139" s="672" t="e">
        <f>ABS(#REF!*EZ139*3600)</f>
        <v>#REF!</v>
      </c>
      <c r="FB139" s="675">
        <f t="shared" si="618"/>
        <v>1.2886651310604179E-5</v>
      </c>
      <c r="FC139" s="614">
        <f t="shared" si="619"/>
        <v>1.288665131060418E-3</v>
      </c>
      <c r="FD139" s="672">
        <f t="shared" si="620"/>
        <v>1.5463981572725015E-5</v>
      </c>
      <c r="FE139" s="600">
        <f t="shared" si="621"/>
        <v>1.5592848085831057E-5</v>
      </c>
      <c r="FF139" s="672">
        <f t="shared" si="622"/>
        <v>1.5592848085831057E-5</v>
      </c>
      <c r="FG139" s="676">
        <f t="shared" si="623"/>
        <v>1.6108314138255223E-5</v>
      </c>
      <c r="FH139" s="668"/>
      <c r="FI139" s="669"/>
      <c r="FJ139" s="670"/>
      <c r="FK139" s="671"/>
      <c r="FL139" s="678"/>
      <c r="FM139" s="650"/>
      <c r="FN139" s="663"/>
      <c r="FO139" s="651" t="str">
        <f t="shared" si="624"/>
        <v>rango cal. out</v>
      </c>
      <c r="FP139" s="619" t="e">
        <f t="shared" si="625"/>
        <v>#DIV/0!</v>
      </c>
      <c r="FQ139" s="674" t="e">
        <f t="shared" si="626"/>
        <v>#VALUE!</v>
      </c>
      <c r="FR139" s="599" t="e">
        <f>FQ139-AVERAGE(FY102:FY103)</f>
        <v>#VALUE!</v>
      </c>
      <c r="FS139" s="672" t="e">
        <f>ABS(#REF!*FR139*3600)</f>
        <v>#REF!</v>
      </c>
      <c r="FT139" s="675" t="e">
        <f t="shared" si="627"/>
        <v>#VALUE!</v>
      </c>
      <c r="FU139" s="614" t="e">
        <f t="shared" si="628"/>
        <v>#VALUE!</v>
      </c>
      <c r="FV139" s="672" t="e">
        <f t="shared" si="629"/>
        <v>#VALUE!</v>
      </c>
      <c r="FW139" s="600" t="e">
        <f t="shared" si="630"/>
        <v>#VALUE!</v>
      </c>
      <c r="FX139" s="672" t="e">
        <f t="shared" si="631"/>
        <v>#VALUE!</v>
      </c>
      <c r="FY139" s="676" t="e">
        <f t="shared" si="632"/>
        <v>#VALUE!</v>
      </c>
      <c r="FZ139" s="668"/>
      <c r="GA139" s="669"/>
      <c r="GB139" s="670"/>
      <c r="GC139" s="671"/>
      <c r="GD139" s="678"/>
      <c r="GE139" s="650"/>
      <c r="GF139" s="663"/>
      <c r="GG139" s="651" t="str">
        <f t="shared" si="633"/>
        <v>rango cal. out</v>
      </c>
      <c r="GH139" s="619" t="e">
        <f t="shared" si="634"/>
        <v>#DIV/0!</v>
      </c>
      <c r="GI139" s="674" t="e">
        <f t="shared" si="635"/>
        <v>#VALUE!</v>
      </c>
      <c r="GJ139" s="599" t="e">
        <f>GI139-AVERAGE(GQ102:GQ103)</f>
        <v>#VALUE!</v>
      </c>
      <c r="GK139" s="672" t="e">
        <f>ABS(#REF!*GJ139*3600)</f>
        <v>#REF!</v>
      </c>
      <c r="GL139" s="675" t="e">
        <f t="shared" si="636"/>
        <v>#VALUE!</v>
      </c>
      <c r="GM139" s="614" t="e">
        <f t="shared" si="637"/>
        <v>#VALUE!</v>
      </c>
      <c r="GN139" s="672" t="e">
        <f t="shared" si="638"/>
        <v>#VALUE!</v>
      </c>
      <c r="GO139" s="600" t="e">
        <f t="shared" si="639"/>
        <v>#VALUE!</v>
      </c>
      <c r="GP139" s="672" t="e">
        <f t="shared" si="640"/>
        <v>#VALUE!</v>
      </c>
      <c r="GQ139" s="676" t="e">
        <f t="shared" si="641"/>
        <v>#VALUE!</v>
      </c>
      <c r="GR139" s="668"/>
      <c r="GS139" s="669"/>
      <c r="GT139" s="677"/>
      <c r="GU139" s="679"/>
      <c r="GV139" s="678"/>
      <c r="GW139" s="650"/>
      <c r="GX139" s="663"/>
      <c r="GY139" s="651" t="str">
        <f t="shared" si="642"/>
        <v>rango cal. out</v>
      </c>
      <c r="GZ139" s="619" t="e">
        <f t="shared" si="643"/>
        <v>#DIV/0!</v>
      </c>
      <c r="HA139" s="674" t="e">
        <f t="shared" si="644"/>
        <v>#VALUE!</v>
      </c>
      <c r="HB139" s="599" t="e">
        <f>HA139-AVERAGE(HI102:HI103)</f>
        <v>#VALUE!</v>
      </c>
      <c r="HC139" s="672" t="e">
        <f>ABS(#REF!*HB139*3600)</f>
        <v>#REF!</v>
      </c>
      <c r="HD139" s="675" t="e">
        <f t="shared" si="645"/>
        <v>#VALUE!</v>
      </c>
      <c r="HE139" s="614" t="e">
        <f t="shared" si="646"/>
        <v>#VALUE!</v>
      </c>
      <c r="HF139" s="672" t="e">
        <f t="shared" si="647"/>
        <v>#VALUE!</v>
      </c>
      <c r="HG139" s="600" t="e">
        <f t="shared" si="648"/>
        <v>#VALUE!</v>
      </c>
      <c r="HH139" s="672" t="e">
        <f t="shared" si="649"/>
        <v>#VALUE!</v>
      </c>
      <c r="HI139" s="676" t="e">
        <f t="shared" si="650"/>
        <v>#VALUE!</v>
      </c>
      <c r="HJ139" s="668"/>
      <c r="HK139" s="669"/>
      <c r="HL139" s="670"/>
      <c r="HM139" s="671"/>
      <c r="HN139" s="678"/>
      <c r="HO139" s="650"/>
      <c r="HP139" s="663"/>
      <c r="HQ139" s="651" t="str">
        <f t="shared" si="651"/>
        <v>rango cal. out</v>
      </c>
      <c r="HR139" s="619" t="e">
        <f t="shared" si="652"/>
        <v>#DIV/0!</v>
      </c>
      <c r="HS139" s="674" t="e">
        <f t="shared" si="653"/>
        <v>#VALUE!</v>
      </c>
      <c r="HT139" s="599" t="e">
        <f>HS139-AVERAGE(IA102:IA103)</f>
        <v>#VALUE!</v>
      </c>
      <c r="HU139" s="672" t="e">
        <f>ABS(#REF!*HT139*3600)</f>
        <v>#REF!</v>
      </c>
      <c r="HV139" s="675" t="e">
        <f t="shared" si="654"/>
        <v>#VALUE!</v>
      </c>
      <c r="HW139" s="614" t="e">
        <f t="shared" si="655"/>
        <v>#VALUE!</v>
      </c>
      <c r="HX139" s="672" t="e">
        <f t="shared" si="656"/>
        <v>#VALUE!</v>
      </c>
      <c r="HY139" s="600" t="e">
        <f t="shared" si="657"/>
        <v>#VALUE!</v>
      </c>
      <c r="HZ139" s="672" t="e">
        <f t="shared" si="658"/>
        <v>#VALUE!</v>
      </c>
      <c r="IA139" s="676" t="e">
        <f t="shared" si="659"/>
        <v>#VALUE!</v>
      </c>
      <c r="IB139" s="668"/>
      <c r="IC139" s="669"/>
      <c r="ID139" s="670"/>
      <c r="IE139" s="671"/>
      <c r="IF139" s="678"/>
      <c r="IG139" s="650"/>
      <c r="IH139" s="663"/>
      <c r="II139" s="651" t="str">
        <f t="shared" si="660"/>
        <v>rango cal. out</v>
      </c>
      <c r="IJ139" s="619" t="e">
        <f t="shared" si="661"/>
        <v>#DIV/0!</v>
      </c>
      <c r="IK139" s="674" t="e">
        <f t="shared" si="662"/>
        <v>#VALUE!</v>
      </c>
      <c r="IL139" s="599" t="e">
        <f>IK139-AVERAGE(IS102:IS103)</f>
        <v>#VALUE!</v>
      </c>
      <c r="IM139" s="672" t="e">
        <f>ABS(#REF!*IL139*3600)</f>
        <v>#REF!</v>
      </c>
      <c r="IN139" s="675" t="e">
        <f t="shared" si="663"/>
        <v>#VALUE!</v>
      </c>
      <c r="IO139" s="614" t="e">
        <f t="shared" si="664"/>
        <v>#VALUE!</v>
      </c>
      <c r="IP139" s="672" t="e">
        <f t="shared" si="665"/>
        <v>#VALUE!</v>
      </c>
      <c r="IQ139" s="600" t="e">
        <f t="shared" si="666"/>
        <v>#VALUE!</v>
      </c>
      <c r="IR139" s="672" t="e">
        <f t="shared" si="667"/>
        <v>#VALUE!</v>
      </c>
      <c r="IS139" s="676" t="e">
        <f t="shared" si="668"/>
        <v>#VALUE!</v>
      </c>
      <c r="IT139" s="668"/>
      <c r="IU139" s="669"/>
      <c r="IV139" s="670"/>
      <c r="IW139" s="671"/>
      <c r="IX139" s="678"/>
      <c r="IY139" s="650"/>
      <c r="IZ139" s="663"/>
      <c r="JA139" s="651" t="str">
        <f t="shared" si="669"/>
        <v>rango cal. out</v>
      </c>
      <c r="JB139" s="619" t="e">
        <f t="shared" si="670"/>
        <v>#DIV/0!</v>
      </c>
      <c r="JC139" s="674" t="e">
        <f t="shared" si="671"/>
        <v>#VALUE!</v>
      </c>
      <c r="JD139" s="599" t="e">
        <f>JC139-AVERAGE(JK102:JK103)</f>
        <v>#VALUE!</v>
      </c>
      <c r="JE139" s="672" t="e">
        <f>ABS(#REF!*JD139*3600)</f>
        <v>#REF!</v>
      </c>
      <c r="JF139" s="675" t="e">
        <f t="shared" si="672"/>
        <v>#VALUE!</v>
      </c>
      <c r="JG139" s="614" t="e">
        <f t="shared" si="673"/>
        <v>#VALUE!</v>
      </c>
      <c r="JH139" s="672" t="e">
        <f t="shared" si="674"/>
        <v>#VALUE!</v>
      </c>
      <c r="JI139" s="600" t="e">
        <f t="shared" si="675"/>
        <v>#VALUE!</v>
      </c>
      <c r="JJ139" s="672" t="e">
        <f t="shared" si="676"/>
        <v>#VALUE!</v>
      </c>
      <c r="JK139" s="676" t="e">
        <f t="shared" si="677"/>
        <v>#VALUE!</v>
      </c>
      <c r="JL139" s="668"/>
      <c r="JM139" s="669"/>
      <c r="JN139" s="670"/>
      <c r="JO139" s="671"/>
      <c r="JP139" s="678"/>
      <c r="JQ139" s="650"/>
      <c r="JR139" s="663"/>
      <c r="JS139" s="651" t="str">
        <f t="shared" si="678"/>
        <v>rango cal. out</v>
      </c>
      <c r="JT139" s="619" t="e">
        <f t="shared" si="679"/>
        <v>#DIV/0!</v>
      </c>
      <c r="JU139" s="674" t="e">
        <f t="shared" si="680"/>
        <v>#VALUE!</v>
      </c>
      <c r="JV139" s="599" t="e">
        <f>JU139-AVERAGE(KC102:KC103)</f>
        <v>#VALUE!</v>
      </c>
      <c r="JW139" s="672" t="e">
        <f>ABS(#REF!*JV139*3600)</f>
        <v>#REF!</v>
      </c>
      <c r="JX139" s="675" t="e">
        <f t="shared" si="681"/>
        <v>#VALUE!</v>
      </c>
      <c r="JY139" s="614" t="e">
        <f t="shared" si="682"/>
        <v>#VALUE!</v>
      </c>
      <c r="JZ139" s="672" t="e">
        <f t="shared" si="683"/>
        <v>#VALUE!</v>
      </c>
      <c r="KA139" s="600" t="e">
        <f t="shared" si="684"/>
        <v>#VALUE!</v>
      </c>
      <c r="KB139" s="672" t="e">
        <f t="shared" si="685"/>
        <v>#VALUE!</v>
      </c>
      <c r="KC139" s="676" t="e">
        <f t="shared" si="686"/>
        <v>#VALUE!</v>
      </c>
      <c r="KD139" s="668"/>
      <c r="KE139" s="669"/>
      <c r="KF139" s="670"/>
      <c r="KG139" s="671"/>
      <c r="KH139" s="678"/>
      <c r="KI139" s="650"/>
      <c r="KJ139" s="663"/>
      <c r="KK139" s="651" t="str">
        <f t="shared" si="687"/>
        <v>rango cal. out</v>
      </c>
      <c r="KL139" s="619" t="e">
        <f t="shared" si="688"/>
        <v>#DIV/0!</v>
      </c>
      <c r="KM139" s="674" t="e">
        <f t="shared" si="689"/>
        <v>#VALUE!</v>
      </c>
      <c r="KN139" s="599" t="e">
        <f>KM139-AVERAGE(KU102:KU103)</f>
        <v>#VALUE!</v>
      </c>
      <c r="KO139" s="672" t="e">
        <f>ABS(#REF!*KN139*3600)</f>
        <v>#REF!</v>
      </c>
      <c r="KP139" s="675" t="e">
        <f t="shared" si="690"/>
        <v>#VALUE!</v>
      </c>
      <c r="KQ139" s="614" t="e">
        <f t="shared" si="691"/>
        <v>#VALUE!</v>
      </c>
      <c r="KR139" s="672" t="e">
        <f t="shared" si="692"/>
        <v>#VALUE!</v>
      </c>
      <c r="KS139" s="600" t="e">
        <f t="shared" si="693"/>
        <v>#VALUE!</v>
      </c>
      <c r="KT139" s="672" t="e">
        <f t="shared" si="694"/>
        <v>#VALUE!</v>
      </c>
      <c r="KU139" s="676" t="e">
        <f t="shared" si="695"/>
        <v>#VALUE!</v>
      </c>
      <c r="KV139" s="668"/>
      <c r="KW139" s="669"/>
      <c r="KX139" s="670"/>
      <c r="KY139" s="671"/>
      <c r="KZ139" s="678"/>
      <c r="LA139" s="650"/>
      <c r="LB139" s="663"/>
      <c r="LC139" s="651" t="str">
        <f t="shared" si="696"/>
        <v>rango cal. out</v>
      </c>
      <c r="LD139" s="619" t="e">
        <f t="shared" si="697"/>
        <v>#DIV/0!</v>
      </c>
      <c r="LE139" s="674" t="e">
        <f t="shared" si="698"/>
        <v>#VALUE!</v>
      </c>
      <c r="LF139" s="599" t="e">
        <f>LE139-AVERAGE(LM102:LM103)</f>
        <v>#VALUE!</v>
      </c>
      <c r="LG139" s="672" t="e">
        <f>ABS(#REF!*LF139*3600)</f>
        <v>#REF!</v>
      </c>
      <c r="LH139" s="675" t="e">
        <f t="shared" si="699"/>
        <v>#VALUE!</v>
      </c>
      <c r="LI139" s="614" t="e">
        <f t="shared" si="700"/>
        <v>#VALUE!</v>
      </c>
      <c r="LJ139" s="672" t="e">
        <f t="shared" si="701"/>
        <v>#VALUE!</v>
      </c>
      <c r="LK139" s="600" t="e">
        <f t="shared" si="702"/>
        <v>#VALUE!</v>
      </c>
      <c r="LL139" s="672" t="e">
        <f t="shared" si="703"/>
        <v>#VALUE!</v>
      </c>
      <c r="LM139" s="676" t="e">
        <f t="shared" si="704"/>
        <v>#VALUE!</v>
      </c>
      <c r="LN139" s="668"/>
      <c r="LO139" s="669"/>
      <c r="LP139" s="670"/>
      <c r="LQ139" s="671"/>
      <c r="LR139" s="678"/>
      <c r="LS139" s="650"/>
      <c r="LT139" s="663"/>
      <c r="LU139" s="651" t="str">
        <f t="shared" si="705"/>
        <v>rango cal. out</v>
      </c>
      <c r="LV139" s="619" t="e">
        <f t="shared" si="706"/>
        <v>#DIV/0!</v>
      </c>
      <c r="LW139" s="674" t="e">
        <f t="shared" si="707"/>
        <v>#VALUE!</v>
      </c>
      <c r="LX139" s="599" t="e">
        <f>LW139-AVERAGE(ME102:ME103)</f>
        <v>#VALUE!</v>
      </c>
      <c r="LY139" s="672" t="e">
        <f>ABS(#REF!*LX139*3600)</f>
        <v>#REF!</v>
      </c>
      <c r="LZ139" s="675" t="e">
        <f t="shared" si="708"/>
        <v>#VALUE!</v>
      </c>
      <c r="MA139" s="614" t="e">
        <f t="shared" si="709"/>
        <v>#VALUE!</v>
      </c>
      <c r="MB139" s="672" t="e">
        <f t="shared" si="710"/>
        <v>#VALUE!</v>
      </c>
      <c r="MC139" s="600" t="e">
        <f t="shared" si="711"/>
        <v>#VALUE!</v>
      </c>
      <c r="MD139" s="672" t="e">
        <f t="shared" si="712"/>
        <v>#VALUE!</v>
      </c>
      <c r="ME139" s="676" t="e">
        <f t="shared" si="713"/>
        <v>#VALUE!</v>
      </c>
      <c r="MF139" s="668"/>
      <c r="MG139" s="669"/>
      <c r="MH139" s="670"/>
      <c r="MI139" s="671"/>
      <c r="MJ139" s="678"/>
      <c r="MK139" s="650"/>
      <c r="ML139" s="663"/>
      <c r="MM139" s="651" t="str">
        <f t="shared" si="714"/>
        <v>rango cal. out</v>
      </c>
      <c r="MN139" s="619" t="e">
        <f t="shared" si="715"/>
        <v>#DIV/0!</v>
      </c>
      <c r="MO139" s="674" t="e">
        <f t="shared" si="716"/>
        <v>#VALUE!</v>
      </c>
      <c r="MP139" s="599" t="e">
        <f>MO139-AVERAGE(MW102:MW103)</f>
        <v>#VALUE!</v>
      </c>
      <c r="MQ139" s="672" t="e">
        <f>ABS(#REF!*MP139*3600)</f>
        <v>#REF!</v>
      </c>
      <c r="MR139" s="675" t="e">
        <f t="shared" si="717"/>
        <v>#VALUE!</v>
      </c>
      <c r="MS139" s="614" t="e">
        <f t="shared" si="718"/>
        <v>#VALUE!</v>
      </c>
      <c r="MT139" s="672" t="e">
        <f t="shared" si="719"/>
        <v>#VALUE!</v>
      </c>
      <c r="MU139" s="600" t="e">
        <f t="shared" si="720"/>
        <v>#VALUE!</v>
      </c>
      <c r="MV139" s="672" t="e">
        <f t="shared" si="721"/>
        <v>#VALUE!</v>
      </c>
      <c r="MW139" s="676" t="e">
        <f t="shared" si="722"/>
        <v>#VALUE!</v>
      </c>
      <c r="MX139" s="668"/>
      <c r="MY139" s="669"/>
      <c r="MZ139" s="680"/>
      <c r="NA139" s="671"/>
      <c r="NB139" s="667"/>
      <c r="NC139" s="650"/>
      <c r="ND139" s="663"/>
      <c r="NE139" s="651" t="str">
        <f t="shared" si="723"/>
        <v>rango cal. out</v>
      </c>
      <c r="NF139" s="619" t="e">
        <f t="shared" si="724"/>
        <v>#DIV/0!</v>
      </c>
      <c r="NG139" s="674" t="e">
        <f t="shared" si="725"/>
        <v>#VALUE!</v>
      </c>
      <c r="NH139" s="599" t="e">
        <f>NG139-AVERAGE(NO102:NO103)</f>
        <v>#VALUE!</v>
      </c>
      <c r="NI139" s="672" t="e">
        <f>ABS(#REF!*NH139*3600)</f>
        <v>#REF!</v>
      </c>
      <c r="NJ139" s="675" t="e">
        <f t="shared" si="726"/>
        <v>#VALUE!</v>
      </c>
      <c r="NK139" s="614" t="e">
        <f t="shared" si="727"/>
        <v>#VALUE!</v>
      </c>
      <c r="NL139" s="672" t="e">
        <f t="shared" si="728"/>
        <v>#VALUE!</v>
      </c>
      <c r="NM139" s="600" t="e">
        <f t="shared" si="729"/>
        <v>#VALUE!</v>
      </c>
      <c r="NN139" s="672" t="e">
        <f t="shared" si="730"/>
        <v>#VALUE!</v>
      </c>
      <c r="NO139" s="676" t="e">
        <f t="shared" si="731"/>
        <v>#VALUE!</v>
      </c>
      <c r="NP139" s="668">
        <v>20.399999999999999</v>
      </c>
      <c r="NQ139" s="669">
        <v>54</v>
      </c>
      <c r="NR139" s="661">
        <v>1007</v>
      </c>
      <c r="NS139" s="2010">
        <v>-6.2500000000000004E-11</v>
      </c>
      <c r="NT139" s="662">
        <v>60</v>
      </c>
      <c r="NU139" s="663">
        <v>44334</v>
      </c>
      <c r="NV139" s="663" t="s">
        <v>268</v>
      </c>
      <c r="NW139" s="651">
        <f t="shared" si="732"/>
        <v>-6.2687499999999997E-11</v>
      </c>
      <c r="NX139" s="619">
        <f t="shared" si="733"/>
        <v>1.0007528600608746</v>
      </c>
      <c r="NY139" s="674">
        <f t="shared" si="734"/>
        <v>-1.0354718223803968E-12</v>
      </c>
      <c r="NZ139" s="599">
        <f>NY139-AVERAGE(OG102:OG103)</f>
        <v>-1.0362239834523553E-12</v>
      </c>
      <c r="OA139" s="672" t="e">
        <f>ABS(#REF!*NZ139*3600)</f>
        <v>#REF!</v>
      </c>
      <c r="OB139" s="675">
        <f t="shared" si="735"/>
        <v>9.4006239778797682E-5</v>
      </c>
      <c r="OC139" s="614">
        <f t="shared" si="736"/>
        <v>9.4006239778797688E-3</v>
      </c>
      <c r="OD139" s="672">
        <f t="shared" si="737"/>
        <v>1.1280748773455722E-4</v>
      </c>
      <c r="OE139" s="600">
        <f t="shared" si="738"/>
        <v>1.1374755013234519E-4</v>
      </c>
      <c r="OF139" s="672">
        <f t="shared" si="739"/>
        <v>1.1374755013234519E-4</v>
      </c>
      <c r="OG139" s="676">
        <f t="shared" si="740"/>
        <v>1.175077997234971E-4</v>
      </c>
      <c r="OH139" s="668"/>
      <c r="OI139" s="669"/>
      <c r="OJ139" s="670"/>
      <c r="OK139" s="671"/>
      <c r="OL139" s="678"/>
      <c r="OM139" s="650"/>
      <c r="ON139" s="663"/>
      <c r="OO139" s="651" t="str">
        <f t="shared" si="741"/>
        <v>rango cal. out</v>
      </c>
      <c r="OP139" s="619" t="e">
        <f t="shared" si="742"/>
        <v>#DIV/0!</v>
      </c>
      <c r="OQ139" s="674" t="e">
        <f t="shared" si="743"/>
        <v>#VALUE!</v>
      </c>
      <c r="OR139" s="599" t="e">
        <f>OQ139-AVERAGE(OY102:OY103)</f>
        <v>#VALUE!</v>
      </c>
      <c r="OS139" s="672" t="e">
        <f>ABS(#REF!*OR139*3600)</f>
        <v>#REF!</v>
      </c>
      <c r="OT139" s="675" t="e">
        <f t="shared" si="744"/>
        <v>#VALUE!</v>
      </c>
      <c r="OU139" s="614" t="e">
        <f t="shared" si="745"/>
        <v>#VALUE!</v>
      </c>
      <c r="OV139" s="672" t="e">
        <f t="shared" si="746"/>
        <v>#VALUE!</v>
      </c>
      <c r="OW139" s="600" t="e">
        <f t="shared" si="747"/>
        <v>#VALUE!</v>
      </c>
      <c r="OX139" s="672" t="e">
        <f t="shared" si="748"/>
        <v>#VALUE!</v>
      </c>
      <c r="OY139" s="676" t="e">
        <f t="shared" si="749"/>
        <v>#VALUE!</v>
      </c>
      <c r="OZ139" s="668">
        <v>20.399999999999999</v>
      </c>
      <c r="PA139" s="669">
        <v>53</v>
      </c>
      <c r="PB139" s="661">
        <v>1007</v>
      </c>
      <c r="PC139" s="2011">
        <v>-1.355E-10</v>
      </c>
      <c r="PD139" s="667">
        <v>60</v>
      </c>
      <c r="PE139" s="663">
        <v>44334</v>
      </c>
      <c r="PF139" s="663" t="s">
        <v>268</v>
      </c>
      <c r="PG139" s="651">
        <f t="shared" si="750"/>
        <v>-1.3590649999999999E-10</v>
      </c>
      <c r="PH139" s="619">
        <f t="shared" si="751"/>
        <v>1.0007528600608746</v>
      </c>
      <c r="PI139" s="674">
        <f t="shared" si="752"/>
        <v>-2.2449029109207005E-12</v>
      </c>
      <c r="PJ139" s="599">
        <f>PI139-AVERAGE(PQ102:PQ103)</f>
        <v>-2.2432297008242602E-12</v>
      </c>
      <c r="PK139" s="672" t="e">
        <f>ABS(#REF!*PJ139*3600)</f>
        <v>#REF!</v>
      </c>
      <c r="PL139" s="675">
        <f t="shared" si="753"/>
        <v>2.0350579845877689E-4</v>
      </c>
      <c r="PM139" s="614">
        <f t="shared" si="754"/>
        <v>2.0350579845877688E-2</v>
      </c>
      <c r="PN139" s="672">
        <f t="shared" si="755"/>
        <v>2.4420695815053224E-4</v>
      </c>
      <c r="PO139" s="600">
        <f t="shared" si="756"/>
        <v>2.4624201613512002E-4</v>
      </c>
      <c r="PP139" s="672">
        <f t="shared" si="757"/>
        <v>2.4624201613512002E-4</v>
      </c>
      <c r="PQ139" s="676">
        <f t="shared" si="758"/>
        <v>2.543822480734711E-4</v>
      </c>
      <c r="PR139" s="668"/>
      <c r="PS139" s="669"/>
      <c r="PT139" s="670"/>
      <c r="PU139" s="671"/>
      <c r="PV139" s="678"/>
      <c r="PW139" s="650"/>
      <c r="PX139" s="663"/>
      <c r="PY139" s="651" t="str">
        <f t="shared" si="759"/>
        <v>rango cal. out</v>
      </c>
      <c r="PZ139" s="619" t="e">
        <f t="shared" si="760"/>
        <v>#DIV/0!</v>
      </c>
      <c r="QA139" s="674" t="e">
        <f t="shared" si="761"/>
        <v>#VALUE!</v>
      </c>
      <c r="QB139" s="599" t="e">
        <f>QA139-AVERAGE(QI102:QI103)</f>
        <v>#VALUE!</v>
      </c>
      <c r="QC139" s="672" t="e">
        <f>ABS(#REF!*QB139*3600)</f>
        <v>#REF!</v>
      </c>
      <c r="QD139" s="675" t="e">
        <f t="shared" si="762"/>
        <v>#VALUE!</v>
      </c>
      <c r="QE139" s="614" t="e">
        <f t="shared" si="763"/>
        <v>#VALUE!</v>
      </c>
      <c r="QF139" s="672" t="e">
        <f t="shared" si="764"/>
        <v>#VALUE!</v>
      </c>
      <c r="QG139" s="600" t="e">
        <f t="shared" si="765"/>
        <v>#VALUE!</v>
      </c>
      <c r="QH139" s="672" t="e">
        <f t="shared" si="766"/>
        <v>#VALUE!</v>
      </c>
      <c r="QI139" s="676" t="e">
        <f t="shared" si="767"/>
        <v>#VALUE!</v>
      </c>
      <c r="QJ139" s="668"/>
      <c r="QK139" s="669"/>
      <c r="QL139" s="670"/>
      <c r="QM139" s="671"/>
      <c r="QN139" s="678"/>
      <c r="QO139" s="650"/>
      <c r="QP139" s="663"/>
      <c r="QQ139" s="651" t="str">
        <f t="shared" si="768"/>
        <v>rango cal. out</v>
      </c>
      <c r="QR139" s="619" t="e">
        <f t="shared" si="769"/>
        <v>#DIV/0!</v>
      </c>
      <c r="QS139" s="674" t="e">
        <f t="shared" si="770"/>
        <v>#VALUE!</v>
      </c>
      <c r="QT139" s="599" t="e">
        <f>QS139-AVERAGE(RA102:RA103)</f>
        <v>#VALUE!</v>
      </c>
      <c r="QU139" s="672" t="e">
        <f>ABS(#REF!*QT139*3600)</f>
        <v>#REF!</v>
      </c>
      <c r="QV139" s="675" t="e">
        <f t="shared" si="771"/>
        <v>#VALUE!</v>
      </c>
      <c r="QW139" s="614" t="e">
        <f t="shared" si="772"/>
        <v>#VALUE!</v>
      </c>
      <c r="QX139" s="672" t="e">
        <f t="shared" si="773"/>
        <v>#VALUE!</v>
      </c>
      <c r="QY139" s="600" t="e">
        <f t="shared" si="774"/>
        <v>#VALUE!</v>
      </c>
      <c r="QZ139" s="672" t="e">
        <f t="shared" si="775"/>
        <v>#VALUE!</v>
      </c>
      <c r="RA139" s="676" t="e">
        <f t="shared" si="776"/>
        <v>#VALUE!</v>
      </c>
      <c r="RB139" s="668"/>
      <c r="RC139" s="669"/>
      <c r="RD139" s="680"/>
      <c r="RE139" s="671"/>
      <c r="RF139" s="673"/>
      <c r="RG139" s="650"/>
      <c r="RH139" s="663"/>
      <c r="RI139" s="651" t="str">
        <f t="shared" si="777"/>
        <v>rango cal. out</v>
      </c>
      <c r="RJ139" s="619" t="e">
        <f t="shared" si="778"/>
        <v>#DIV/0!</v>
      </c>
      <c r="RK139" s="674" t="e">
        <f t="shared" si="779"/>
        <v>#VALUE!</v>
      </c>
      <c r="RL139" s="599" t="e">
        <f>RK139-AVERAGE(RS102:RS103)</f>
        <v>#VALUE!</v>
      </c>
      <c r="RM139" s="672" t="e">
        <f>ABS(#REF!*RL139*3600)</f>
        <v>#REF!</v>
      </c>
      <c r="RN139" s="675" t="e">
        <f t="shared" si="780"/>
        <v>#VALUE!</v>
      </c>
      <c r="RO139" s="614" t="e">
        <f t="shared" si="781"/>
        <v>#VALUE!</v>
      </c>
      <c r="RP139" s="672" t="e">
        <f t="shared" si="782"/>
        <v>#VALUE!</v>
      </c>
      <c r="RQ139" s="600" t="e">
        <f t="shared" si="783"/>
        <v>#VALUE!</v>
      </c>
      <c r="RR139" s="672" t="e">
        <f t="shared" si="784"/>
        <v>#VALUE!</v>
      </c>
      <c r="RS139" s="676" t="e">
        <f t="shared" si="785"/>
        <v>#VALUE!</v>
      </c>
      <c r="RT139" s="664"/>
      <c r="RU139" s="660"/>
      <c r="RV139" s="669"/>
      <c r="RW139" s="679"/>
      <c r="RX139" s="673"/>
      <c r="RY139" s="650"/>
      <c r="RZ139" s="663"/>
      <c r="SA139" s="651" t="str">
        <f t="shared" si="786"/>
        <v>rango cal. out</v>
      </c>
      <c r="SB139" s="619" t="e">
        <f t="shared" si="787"/>
        <v>#DIV/0!</v>
      </c>
      <c r="SC139" s="674" t="e">
        <f t="shared" si="788"/>
        <v>#VALUE!</v>
      </c>
      <c r="SD139" s="599" t="e">
        <f>SC139-AVERAGE(SK102:SK103)</f>
        <v>#VALUE!</v>
      </c>
      <c r="SE139" s="672" t="e">
        <f>ABS(#REF!*SD139*3600)</f>
        <v>#REF!</v>
      </c>
      <c r="SF139" s="675" t="e">
        <f t="shared" si="789"/>
        <v>#VALUE!</v>
      </c>
      <c r="SG139" s="614" t="e">
        <f t="shared" si="790"/>
        <v>#VALUE!</v>
      </c>
      <c r="SH139" s="672" t="e">
        <f t="shared" si="791"/>
        <v>#VALUE!</v>
      </c>
      <c r="SI139" s="600" t="e">
        <f t="shared" si="792"/>
        <v>#VALUE!</v>
      </c>
      <c r="SJ139" s="672" t="e">
        <f t="shared" si="793"/>
        <v>#VALUE!</v>
      </c>
      <c r="SK139" s="676" t="e">
        <f t="shared" si="794"/>
        <v>#VALUE!</v>
      </c>
      <c r="SL139" s="668">
        <v>20.399999999999999</v>
      </c>
      <c r="SM139" s="669">
        <v>54</v>
      </c>
      <c r="SN139" s="661">
        <v>1007</v>
      </c>
      <c r="SO139" s="2010">
        <v>-1.35E-11</v>
      </c>
      <c r="SP139" s="667">
        <v>60</v>
      </c>
      <c r="SQ139" s="663">
        <v>44334</v>
      </c>
      <c r="SR139" s="663" t="s">
        <v>268</v>
      </c>
      <c r="SS139" s="651">
        <f t="shared" si="795"/>
        <v>-1.3540499999999999E-11</v>
      </c>
      <c r="ST139" s="619">
        <f t="shared" si="796"/>
        <v>1.0007528600608746</v>
      </c>
      <c r="SU139" s="674">
        <f t="shared" si="797"/>
        <v>-2.2366191363416569E-13</v>
      </c>
      <c r="SV139" s="599">
        <f>SU139-AVERAGE(TC102:TC103)</f>
        <v>-2.2172924086013343E-13</v>
      </c>
      <c r="SW139" s="672" t="e">
        <f>ABS(#REF!*SV139*3600)</f>
        <v>#REF!</v>
      </c>
      <c r="SX139" s="675">
        <f t="shared" si="798"/>
        <v>2.0115276730831307E-5</v>
      </c>
      <c r="SY139" s="614">
        <f t="shared" si="799"/>
        <v>2.0115276730831308E-3</v>
      </c>
      <c r="SZ139" s="672">
        <f t="shared" si="800"/>
        <v>2.4138332076997568E-5</v>
      </c>
      <c r="TA139" s="600">
        <f t="shared" si="801"/>
        <v>2.433948484430588E-5</v>
      </c>
      <c r="TB139" s="672">
        <f t="shared" si="802"/>
        <v>2.433948484430588E-5</v>
      </c>
      <c r="TC139" s="676">
        <f t="shared" si="803"/>
        <v>2.5144095913539133E-5</v>
      </c>
      <c r="TD139" s="668">
        <v>20.399999999999999</v>
      </c>
      <c r="TE139" s="669">
        <v>55</v>
      </c>
      <c r="TF139" s="670">
        <v>1008</v>
      </c>
      <c r="TG139" s="2011">
        <v>-3.0599999999999998E-10</v>
      </c>
      <c r="TH139" s="667">
        <v>60</v>
      </c>
      <c r="TI139" s="663">
        <v>44334</v>
      </c>
      <c r="TJ139" s="663" t="s">
        <v>268</v>
      </c>
      <c r="TK139" s="651">
        <f t="shared" si="804"/>
        <v>-3.0691799999999994E-10</v>
      </c>
      <c r="TL139" s="619">
        <f t="shared" si="805"/>
        <v>0.99976004968383014</v>
      </c>
      <c r="TM139" s="674">
        <f t="shared" si="806"/>
        <v>-5.0646406078085753E-12</v>
      </c>
      <c r="TN139" s="599">
        <f>TM139-AVERAGE(TU102:TU103)</f>
        <v>-5.0642741646213707E-12</v>
      </c>
      <c r="TO139" s="672" t="e">
        <f>ABS(#REF!*TN139*3600)</f>
        <v>#REF!</v>
      </c>
      <c r="TP139" s="675">
        <f t="shared" si="807"/>
        <v>4.5943095221445077E-4</v>
      </c>
      <c r="TQ139" s="614">
        <f t="shared" si="808"/>
        <v>4.5943095221445074E-2</v>
      </c>
      <c r="TR139" s="672">
        <f t="shared" si="809"/>
        <v>5.5131714265734086E-4</v>
      </c>
      <c r="TS139" s="600">
        <f t="shared" si="810"/>
        <v>5.5591145217948545E-4</v>
      </c>
      <c r="TT139" s="672">
        <f t="shared" si="811"/>
        <v>5.5591145217948545E-4</v>
      </c>
      <c r="TU139" s="676">
        <f t="shared" si="812"/>
        <v>5.7428869026806347E-4</v>
      </c>
      <c r="TV139" s="668"/>
      <c r="TW139" s="669"/>
      <c r="TX139" s="670"/>
      <c r="TY139" s="671"/>
      <c r="TZ139" s="678"/>
      <c r="UA139" s="650"/>
      <c r="UB139" s="663"/>
      <c r="UC139" s="651" t="str">
        <f t="shared" si="813"/>
        <v>rango cal. out</v>
      </c>
      <c r="UD139" s="619" t="e">
        <f t="shared" si="814"/>
        <v>#DIV/0!</v>
      </c>
      <c r="UE139" s="674" t="e">
        <f t="shared" si="815"/>
        <v>#VALUE!</v>
      </c>
      <c r="UF139" s="599" t="e">
        <f>UE139-AVERAGE(UM102:UM103)</f>
        <v>#VALUE!</v>
      </c>
      <c r="UG139" s="672" t="e">
        <f>ABS(#REF!*UF139*3600)</f>
        <v>#REF!</v>
      </c>
      <c r="UH139" s="675" t="e">
        <f t="shared" si="816"/>
        <v>#VALUE!</v>
      </c>
      <c r="UI139" s="614" t="e">
        <f t="shared" si="817"/>
        <v>#VALUE!</v>
      </c>
      <c r="UJ139" s="672" t="e">
        <f t="shared" si="818"/>
        <v>#VALUE!</v>
      </c>
      <c r="UK139" s="600" t="e">
        <f t="shared" si="819"/>
        <v>#VALUE!</v>
      </c>
      <c r="UL139" s="672" t="e">
        <f t="shared" si="820"/>
        <v>#VALUE!</v>
      </c>
      <c r="UM139" s="676" t="e">
        <f t="shared" si="821"/>
        <v>#VALUE!</v>
      </c>
      <c r="UN139" s="668">
        <v>20.5</v>
      </c>
      <c r="UO139" s="669">
        <v>56</v>
      </c>
      <c r="UP139" s="661">
        <v>1008</v>
      </c>
      <c r="UQ139" s="2010">
        <v>-2.2000000000000002E-11</v>
      </c>
      <c r="UR139" s="667">
        <v>60</v>
      </c>
      <c r="US139" s="663">
        <v>44334</v>
      </c>
      <c r="UT139" s="663" t="s">
        <v>268</v>
      </c>
      <c r="UU139" s="651">
        <f t="shared" si="822"/>
        <v>-2.2065999999999999E-11</v>
      </c>
      <c r="UV139" s="619">
        <f t="shared" si="823"/>
        <v>1.0001005674119241</v>
      </c>
      <c r="UW139" s="674">
        <f t="shared" si="824"/>
        <v>-3.6424850874532879E-13</v>
      </c>
      <c r="UX139" s="599">
        <f>UW139-AVERAGE(VE102:VE103)</f>
        <v>-3.6408603566306405E-13</v>
      </c>
      <c r="UY139" s="672" t="e">
        <f>ABS(#REF!*UX139*3600)</f>
        <v>#REF!</v>
      </c>
      <c r="UZ139" s="675">
        <f t="shared" si="825"/>
        <v>3.3029885155353167E-5</v>
      </c>
      <c r="VA139" s="614">
        <f t="shared" si="826"/>
        <v>3.3029885155353169E-3</v>
      </c>
      <c r="VB139" s="672">
        <f t="shared" si="827"/>
        <v>3.96358621864238E-5</v>
      </c>
      <c r="VC139" s="600">
        <f t="shared" si="828"/>
        <v>3.9966161037977329E-5</v>
      </c>
      <c r="VD139" s="672">
        <f t="shared" si="829"/>
        <v>3.9966161037977329E-5</v>
      </c>
      <c r="VE139" s="676">
        <f t="shared" si="830"/>
        <v>4.1287356444191457E-5</v>
      </c>
    </row>
    <row r="140" spans="1:577" x14ac:dyDescent="0.25">
      <c r="A140" s="2219"/>
      <c r="B140" s="668">
        <v>20.3</v>
      </c>
      <c r="C140" s="673">
        <v>52</v>
      </c>
      <c r="D140" s="678">
        <v>1010</v>
      </c>
      <c r="E140" s="2011">
        <v>-4.7980000000000002E-9</v>
      </c>
      <c r="F140" s="673">
        <v>60</v>
      </c>
      <c r="G140" s="663">
        <v>44334</v>
      </c>
      <c r="H140" s="650" t="s">
        <v>1042</v>
      </c>
      <c r="I140" s="671">
        <f t="shared" si="543"/>
        <v>-4.8027979999999994E-9</v>
      </c>
      <c r="J140" s="619">
        <f t="shared" si="544"/>
        <v>0.99744048337760605</v>
      </c>
      <c r="K140" s="674">
        <f t="shared" si="545"/>
        <v>-7.9070012430951882E-11</v>
      </c>
      <c r="L140" s="599">
        <f>K140-AVERAGE(S102:S103)</f>
        <v>-7.904620046358039E-11</v>
      </c>
      <c r="M140" s="672" t="e">
        <f>ABS(#REF!*L140*3600)</f>
        <v>#REF!</v>
      </c>
      <c r="N140" s="675">
        <f t="shared" si="546"/>
        <v>7.1710713060560132E-3</v>
      </c>
      <c r="O140" s="614">
        <f t="shared" si="547"/>
        <v>0.71710713060560127</v>
      </c>
      <c r="P140" s="672">
        <f t="shared" si="548"/>
        <v>8.6052855672672148E-3</v>
      </c>
      <c r="Q140" s="600">
        <f t="shared" si="549"/>
        <v>8.6769962803277759E-3</v>
      </c>
      <c r="R140" s="672">
        <f t="shared" si="550"/>
        <v>8.6769962803277759E-3</v>
      </c>
      <c r="S140" s="676">
        <f t="shared" si="551"/>
        <v>8.963839132570017E-3</v>
      </c>
      <c r="T140" s="677"/>
      <c r="U140" s="669"/>
      <c r="V140" s="670"/>
      <c r="W140" s="671"/>
      <c r="X140" s="678"/>
      <c r="Y140" s="650"/>
      <c r="Z140" s="650"/>
      <c r="AA140" s="671" t="str">
        <f t="shared" si="552"/>
        <v>rango cal. out</v>
      </c>
      <c r="AB140" s="619" t="e">
        <f t="shared" si="553"/>
        <v>#DIV/0!</v>
      </c>
      <c r="AC140" s="674" t="e">
        <f t="shared" si="554"/>
        <v>#VALUE!</v>
      </c>
      <c r="AD140" s="599" t="e">
        <f>AC140-AVERAGE(#REF!)</f>
        <v>#VALUE!</v>
      </c>
      <c r="AE140" s="672" t="e">
        <f>ABS(#REF!*AD140*3600)</f>
        <v>#REF!</v>
      </c>
      <c r="AF140" s="675" t="e">
        <f t="shared" si="555"/>
        <v>#VALUE!</v>
      </c>
      <c r="AG140" s="614" t="e">
        <f t="shared" si="556"/>
        <v>#VALUE!</v>
      </c>
      <c r="AH140" s="672" t="e">
        <f t="shared" si="557"/>
        <v>#VALUE!</v>
      </c>
      <c r="AI140" s="600" t="e">
        <f t="shared" si="558"/>
        <v>#VALUE!</v>
      </c>
      <c r="AJ140" s="672" t="e">
        <f t="shared" si="559"/>
        <v>#VALUE!</v>
      </c>
      <c r="AK140" s="676" t="e">
        <f t="shared" si="560"/>
        <v>#VALUE!</v>
      </c>
      <c r="AL140" s="677"/>
      <c r="AM140" s="669"/>
      <c r="AN140" s="670"/>
      <c r="AO140" s="671"/>
      <c r="AP140" s="678"/>
      <c r="AQ140" s="650"/>
      <c r="AR140" s="650"/>
      <c r="AS140" s="671" t="str">
        <f t="shared" si="561"/>
        <v>rango cal. out</v>
      </c>
      <c r="AT140" s="619" t="e">
        <f t="shared" si="562"/>
        <v>#DIV/0!</v>
      </c>
      <c r="AU140" s="674" t="e">
        <f t="shared" si="563"/>
        <v>#VALUE!</v>
      </c>
      <c r="AV140" s="599" t="e">
        <f>AU140-AVERAGE(BC102:BC103)</f>
        <v>#VALUE!</v>
      </c>
      <c r="AW140" s="672" t="e">
        <f>ABS(#REF!*AV140*3600)</f>
        <v>#REF!</v>
      </c>
      <c r="AX140" s="675" t="e">
        <f t="shared" si="564"/>
        <v>#VALUE!</v>
      </c>
      <c r="AY140" s="614" t="e">
        <f t="shared" si="565"/>
        <v>#VALUE!</v>
      </c>
      <c r="AZ140" s="672" t="e">
        <f t="shared" si="566"/>
        <v>#VALUE!</v>
      </c>
      <c r="BA140" s="600" t="e">
        <f t="shared" si="567"/>
        <v>#VALUE!</v>
      </c>
      <c r="BB140" s="672" t="e">
        <f t="shared" si="568"/>
        <v>#VALUE!</v>
      </c>
      <c r="BC140" s="676" t="e">
        <f t="shared" si="569"/>
        <v>#VALUE!</v>
      </c>
      <c r="BD140" s="668">
        <v>20.399999999999999</v>
      </c>
      <c r="BE140" s="669">
        <v>51</v>
      </c>
      <c r="BF140" s="670">
        <v>1009</v>
      </c>
      <c r="BG140" s="2010">
        <v>-7.7849999999999995E-10</v>
      </c>
      <c r="BH140" s="673">
        <v>60</v>
      </c>
      <c r="BI140" s="663">
        <v>44334</v>
      </c>
      <c r="BJ140" s="650" t="s">
        <v>268</v>
      </c>
      <c r="BK140" s="671">
        <f t="shared" si="570"/>
        <v>-7.8083549999999987E-10</v>
      </c>
      <c r="BL140" s="619">
        <f t="shared" si="571"/>
        <v>0.99876920721635354</v>
      </c>
      <c r="BM140" s="674">
        <f t="shared" si="572"/>
        <v>-1.2872271435785146E-11</v>
      </c>
      <c r="BN140" s="599">
        <f>BM140-AVERAGE(BU102:BU103)</f>
        <v>-1.287092625167675E-11</v>
      </c>
      <c r="BO140" s="672" t="e">
        <f>ABS(#REF!*BN140*3600)</f>
        <v>#REF!</v>
      </c>
      <c r="BP140" s="675">
        <f t="shared" si="573"/>
        <v>1.1676504295521147E-3</v>
      </c>
      <c r="BQ140" s="614">
        <f t="shared" si="574"/>
        <v>0.11676504295521146</v>
      </c>
      <c r="BR140" s="672">
        <f t="shared" si="575"/>
        <v>1.4011805154625376E-3</v>
      </c>
      <c r="BS140" s="600">
        <f t="shared" si="576"/>
        <v>1.4128570197580587E-3</v>
      </c>
      <c r="BT140" s="672">
        <f t="shared" si="577"/>
        <v>1.4128570197580587E-3</v>
      </c>
      <c r="BU140" s="676">
        <f t="shared" si="578"/>
        <v>1.4595630369401433E-3</v>
      </c>
      <c r="BV140" s="668">
        <v>20.7</v>
      </c>
      <c r="BW140" s="669">
        <v>52</v>
      </c>
      <c r="BX140" s="680">
        <v>1008</v>
      </c>
      <c r="BY140" s="2023">
        <v>-3.55E-11</v>
      </c>
      <c r="BZ140" s="673">
        <v>60</v>
      </c>
      <c r="CA140" s="663">
        <v>44334</v>
      </c>
      <c r="CB140" s="650" t="s">
        <v>268</v>
      </c>
      <c r="CC140" s="671">
        <f t="shared" si="579"/>
        <v>-3.5606499999999996E-11</v>
      </c>
      <c r="CD140" s="619">
        <f t="shared" si="580"/>
        <v>1.000781602868112</v>
      </c>
      <c r="CE140" s="674">
        <f t="shared" si="581"/>
        <v>-5.8816488741897263E-13</v>
      </c>
      <c r="CF140" s="599">
        <f>CE140-AVERAGE(CM102:CM103)</f>
        <v>-5.8636339218383093E-13</v>
      </c>
      <c r="CG140" s="672" t="e">
        <f>ABS(#REF!*CF140*3600)</f>
        <v>#REF!</v>
      </c>
      <c r="CH140" s="675">
        <f t="shared" si="582"/>
        <v>5.319488693891714E-5</v>
      </c>
      <c r="CI140" s="614">
        <f t="shared" si="583"/>
        <v>5.3194886938917139E-3</v>
      </c>
      <c r="CJ140" s="672">
        <f t="shared" si="584"/>
        <v>6.3833864326700567E-5</v>
      </c>
      <c r="CK140" s="600">
        <f t="shared" si="585"/>
        <v>6.4365813196089742E-5</v>
      </c>
      <c r="CL140" s="672">
        <f t="shared" si="586"/>
        <v>6.4365813196089742E-5</v>
      </c>
      <c r="CM140" s="676">
        <f t="shared" si="587"/>
        <v>6.6493608673646426E-5</v>
      </c>
      <c r="CN140" s="668">
        <v>20.3</v>
      </c>
      <c r="CO140" s="669">
        <v>52</v>
      </c>
      <c r="CP140" s="680">
        <v>1007</v>
      </c>
      <c r="CQ140" s="2011">
        <v>-1.8199999999999999E-9</v>
      </c>
      <c r="CR140" s="673">
        <v>60</v>
      </c>
      <c r="CS140" s="663">
        <v>44334</v>
      </c>
      <c r="CT140" s="650" t="s">
        <v>268</v>
      </c>
      <c r="CU140" s="671">
        <f t="shared" si="588"/>
        <v>-1.8254599999999998E-9</v>
      </c>
      <c r="CV140" s="619">
        <f t="shared" si="589"/>
        <v>1.0004120041821074</v>
      </c>
      <c r="CW140" s="674">
        <f t="shared" si="590"/>
        <v>-3.0142669392966569E-11</v>
      </c>
      <c r="CX140" s="599">
        <f>CW140-AVERAGE(DE102:DE103)</f>
        <v>-3.0131381706261146E-11</v>
      </c>
      <c r="CY140" s="672" t="e">
        <f>ABS(#REF!*CX140*3600)</f>
        <v>#REF!</v>
      </c>
      <c r="CZ140" s="675">
        <f t="shared" si="591"/>
        <v>2.7335189483920115E-3</v>
      </c>
      <c r="DA140" s="614">
        <f t="shared" si="592"/>
        <v>0.27335189483920114</v>
      </c>
      <c r="DB140" s="672">
        <f t="shared" si="593"/>
        <v>3.2802227380704136E-3</v>
      </c>
      <c r="DC140" s="600">
        <f t="shared" si="594"/>
        <v>3.3075579275543337E-3</v>
      </c>
      <c r="DD140" s="672">
        <f t="shared" si="595"/>
        <v>3.3075579275543337E-3</v>
      </c>
      <c r="DE140" s="676">
        <f t="shared" si="596"/>
        <v>3.4168986854900144E-3</v>
      </c>
      <c r="DF140" s="668"/>
      <c r="DG140" s="669"/>
      <c r="DH140" s="670"/>
      <c r="DI140" s="671"/>
      <c r="DJ140" s="678"/>
      <c r="DK140" s="650"/>
      <c r="DL140" s="650" t="s">
        <v>268</v>
      </c>
      <c r="DM140" s="671">
        <f t="shared" si="597"/>
        <v>0</v>
      </c>
      <c r="DN140" s="619" t="e">
        <f t="shared" si="598"/>
        <v>#DIV/0!</v>
      </c>
      <c r="DO140" s="674" t="e">
        <f t="shared" si="599"/>
        <v>#DIV/0!</v>
      </c>
      <c r="DP140" s="599" t="e">
        <f>DO140-AVERAGE(DW102:DW103)</f>
        <v>#DIV/0!</v>
      </c>
      <c r="DQ140" s="672" t="e">
        <f>ABS(#REF!*DP140*3600)</f>
        <v>#REF!</v>
      </c>
      <c r="DR140" s="675" t="e">
        <f t="shared" si="600"/>
        <v>#DIV/0!</v>
      </c>
      <c r="DS140" s="614" t="e">
        <f t="shared" si="601"/>
        <v>#DIV/0!</v>
      </c>
      <c r="DT140" s="672" t="e">
        <f t="shared" si="602"/>
        <v>#DIV/0!</v>
      </c>
      <c r="DU140" s="600" t="e">
        <f t="shared" si="603"/>
        <v>#DIV/0!</v>
      </c>
      <c r="DV140" s="672" t="e">
        <f t="shared" si="604"/>
        <v>#DIV/0!</v>
      </c>
      <c r="DW140" s="676" t="e">
        <f t="shared" si="605"/>
        <v>#DIV/0!</v>
      </c>
      <c r="DX140" s="668"/>
      <c r="DY140" s="669"/>
      <c r="DZ140" s="677"/>
      <c r="EA140" s="679"/>
      <c r="EB140" s="678"/>
      <c r="EC140" s="650"/>
      <c r="ED140" s="650"/>
      <c r="EE140" s="671" t="str">
        <f t="shared" si="606"/>
        <v>rango cal. out</v>
      </c>
      <c r="EF140" s="619" t="e">
        <f t="shared" si="607"/>
        <v>#DIV/0!</v>
      </c>
      <c r="EG140" s="674" t="e">
        <f t="shared" si="608"/>
        <v>#VALUE!</v>
      </c>
      <c r="EH140" s="599" t="e">
        <f>EG140-AVERAGE(EO102:EO103)</f>
        <v>#VALUE!</v>
      </c>
      <c r="EI140" s="672" t="e">
        <f>ABS(#REF!*EH140*3600)</f>
        <v>#REF!</v>
      </c>
      <c r="EJ140" s="675" t="e">
        <f t="shared" si="609"/>
        <v>#VALUE!</v>
      </c>
      <c r="EK140" s="614" t="e">
        <f t="shared" si="610"/>
        <v>#VALUE!</v>
      </c>
      <c r="EL140" s="672" t="e">
        <f t="shared" si="611"/>
        <v>#VALUE!</v>
      </c>
      <c r="EM140" s="600" t="e">
        <f t="shared" si="612"/>
        <v>#VALUE!</v>
      </c>
      <c r="EN140" s="672" t="e">
        <f t="shared" si="613"/>
        <v>#VALUE!</v>
      </c>
      <c r="EO140" s="676" t="e">
        <f t="shared" si="614"/>
        <v>#VALUE!</v>
      </c>
      <c r="EP140" s="668">
        <v>20.5</v>
      </c>
      <c r="EQ140" s="669">
        <v>51</v>
      </c>
      <c r="ER140" s="670">
        <v>1007</v>
      </c>
      <c r="ES140" s="2023">
        <v>-7.9999999999999998E-12</v>
      </c>
      <c r="ET140" s="673">
        <v>60</v>
      </c>
      <c r="EU140" s="663">
        <v>44334</v>
      </c>
      <c r="EV140" s="650" t="s">
        <v>268</v>
      </c>
      <c r="EW140" s="671">
        <f t="shared" si="615"/>
        <v>-8.0239999999999989E-12</v>
      </c>
      <c r="EX140" s="619">
        <f t="shared" si="616"/>
        <v>1.001093715939642</v>
      </c>
      <c r="EY140" s="674">
        <f t="shared" si="617"/>
        <v>-1.3258553645040766E-13</v>
      </c>
      <c r="EZ140" s="599">
        <f>EY140-AVERAGE(FG102:FG103)</f>
        <v>-1.3366610026000739E-13</v>
      </c>
      <c r="FA140" s="672" t="e">
        <f>ABS(#REF!*EZ140*3600)</f>
        <v>#REF!</v>
      </c>
      <c r="FB140" s="675">
        <f t="shared" si="618"/>
        <v>1.212618861558787E-5</v>
      </c>
      <c r="FC140" s="614">
        <f t="shared" si="619"/>
        <v>1.2126188615587871E-3</v>
      </c>
      <c r="FD140" s="672">
        <f t="shared" si="620"/>
        <v>1.4551426338705444E-5</v>
      </c>
      <c r="FE140" s="600">
        <f t="shared" si="621"/>
        <v>1.4672688224861323E-5</v>
      </c>
      <c r="FF140" s="672">
        <f t="shared" si="622"/>
        <v>1.4672688224861323E-5</v>
      </c>
      <c r="FG140" s="676">
        <f t="shared" si="623"/>
        <v>1.5157735769484838E-5</v>
      </c>
      <c r="FH140" s="668"/>
      <c r="FI140" s="669"/>
      <c r="FJ140" s="670"/>
      <c r="FK140" s="671"/>
      <c r="FL140" s="678"/>
      <c r="FM140" s="650"/>
      <c r="FN140" s="650"/>
      <c r="FO140" s="671" t="str">
        <f t="shared" si="624"/>
        <v>rango cal. out</v>
      </c>
      <c r="FP140" s="619" t="e">
        <f t="shared" si="625"/>
        <v>#DIV/0!</v>
      </c>
      <c r="FQ140" s="674" t="e">
        <f t="shared" si="626"/>
        <v>#VALUE!</v>
      </c>
      <c r="FR140" s="599" t="e">
        <f>FQ140-AVERAGE(FY102:FY103)</f>
        <v>#VALUE!</v>
      </c>
      <c r="FS140" s="672" t="e">
        <f>ABS(#REF!*FR140*3600)</f>
        <v>#REF!</v>
      </c>
      <c r="FT140" s="675" t="e">
        <f t="shared" si="627"/>
        <v>#VALUE!</v>
      </c>
      <c r="FU140" s="614" t="e">
        <f t="shared" si="628"/>
        <v>#VALUE!</v>
      </c>
      <c r="FV140" s="672" t="e">
        <f t="shared" si="629"/>
        <v>#VALUE!</v>
      </c>
      <c r="FW140" s="600" t="e">
        <f t="shared" si="630"/>
        <v>#VALUE!</v>
      </c>
      <c r="FX140" s="672" t="e">
        <f t="shared" si="631"/>
        <v>#VALUE!</v>
      </c>
      <c r="FY140" s="676" t="e">
        <f t="shared" si="632"/>
        <v>#VALUE!</v>
      </c>
      <c r="FZ140" s="668"/>
      <c r="GA140" s="669"/>
      <c r="GB140" s="670"/>
      <c r="GC140" s="671"/>
      <c r="GD140" s="678"/>
      <c r="GE140" s="650"/>
      <c r="GF140" s="650"/>
      <c r="GG140" s="671" t="str">
        <f t="shared" si="633"/>
        <v>rango cal. out</v>
      </c>
      <c r="GH140" s="619" t="e">
        <f t="shared" si="634"/>
        <v>#DIV/0!</v>
      </c>
      <c r="GI140" s="674" t="e">
        <f t="shared" si="635"/>
        <v>#VALUE!</v>
      </c>
      <c r="GJ140" s="599" t="e">
        <f>GI140-AVERAGE(GQ102:GQ103)</f>
        <v>#VALUE!</v>
      </c>
      <c r="GK140" s="672" t="e">
        <f>ABS(#REF!*GJ140*3600)</f>
        <v>#REF!</v>
      </c>
      <c r="GL140" s="675" t="e">
        <f t="shared" si="636"/>
        <v>#VALUE!</v>
      </c>
      <c r="GM140" s="614" t="e">
        <f t="shared" si="637"/>
        <v>#VALUE!</v>
      </c>
      <c r="GN140" s="672" t="e">
        <f t="shared" si="638"/>
        <v>#VALUE!</v>
      </c>
      <c r="GO140" s="600" t="e">
        <f t="shared" si="639"/>
        <v>#VALUE!</v>
      </c>
      <c r="GP140" s="672" t="e">
        <f t="shared" si="640"/>
        <v>#VALUE!</v>
      </c>
      <c r="GQ140" s="676" t="e">
        <f t="shared" si="641"/>
        <v>#VALUE!</v>
      </c>
      <c r="GR140" s="668"/>
      <c r="GS140" s="669"/>
      <c r="GT140" s="677"/>
      <c r="GU140" s="679"/>
      <c r="GV140" s="678"/>
      <c r="GW140" s="650"/>
      <c r="GX140" s="650"/>
      <c r="GY140" s="671" t="str">
        <f t="shared" si="642"/>
        <v>rango cal. out</v>
      </c>
      <c r="GZ140" s="619" t="e">
        <f t="shared" si="643"/>
        <v>#DIV/0!</v>
      </c>
      <c r="HA140" s="674" t="e">
        <f t="shared" si="644"/>
        <v>#VALUE!</v>
      </c>
      <c r="HB140" s="599" t="e">
        <f>HA140-AVERAGE(HI102:HI103)</f>
        <v>#VALUE!</v>
      </c>
      <c r="HC140" s="672" t="e">
        <f>ABS(#REF!*HB140*3600)</f>
        <v>#REF!</v>
      </c>
      <c r="HD140" s="675" t="e">
        <f t="shared" si="645"/>
        <v>#VALUE!</v>
      </c>
      <c r="HE140" s="614" t="e">
        <f t="shared" si="646"/>
        <v>#VALUE!</v>
      </c>
      <c r="HF140" s="672" t="e">
        <f t="shared" si="647"/>
        <v>#VALUE!</v>
      </c>
      <c r="HG140" s="600" t="e">
        <f t="shared" si="648"/>
        <v>#VALUE!</v>
      </c>
      <c r="HH140" s="672" t="e">
        <f t="shared" si="649"/>
        <v>#VALUE!</v>
      </c>
      <c r="HI140" s="676" t="e">
        <f t="shared" si="650"/>
        <v>#VALUE!</v>
      </c>
      <c r="HJ140" s="668"/>
      <c r="HK140" s="669"/>
      <c r="HL140" s="670"/>
      <c r="HM140" s="671"/>
      <c r="HN140" s="678"/>
      <c r="HO140" s="650"/>
      <c r="HP140" s="650"/>
      <c r="HQ140" s="671" t="str">
        <f t="shared" si="651"/>
        <v>rango cal. out</v>
      </c>
      <c r="HR140" s="619" t="e">
        <f t="shared" si="652"/>
        <v>#DIV/0!</v>
      </c>
      <c r="HS140" s="674" t="e">
        <f t="shared" si="653"/>
        <v>#VALUE!</v>
      </c>
      <c r="HT140" s="599" t="e">
        <f>HS140-AVERAGE(IA102:IA103)</f>
        <v>#VALUE!</v>
      </c>
      <c r="HU140" s="672" t="e">
        <f>ABS(#REF!*HT140*3600)</f>
        <v>#REF!</v>
      </c>
      <c r="HV140" s="675" t="e">
        <f t="shared" si="654"/>
        <v>#VALUE!</v>
      </c>
      <c r="HW140" s="614" t="e">
        <f t="shared" si="655"/>
        <v>#VALUE!</v>
      </c>
      <c r="HX140" s="672" t="e">
        <f t="shared" si="656"/>
        <v>#VALUE!</v>
      </c>
      <c r="HY140" s="600" t="e">
        <f t="shared" si="657"/>
        <v>#VALUE!</v>
      </c>
      <c r="HZ140" s="672" t="e">
        <f t="shared" si="658"/>
        <v>#VALUE!</v>
      </c>
      <c r="IA140" s="676" t="e">
        <f t="shared" si="659"/>
        <v>#VALUE!</v>
      </c>
      <c r="IB140" s="668"/>
      <c r="IC140" s="669"/>
      <c r="ID140" s="670"/>
      <c r="IE140" s="671"/>
      <c r="IF140" s="678"/>
      <c r="IG140" s="650"/>
      <c r="IH140" s="650"/>
      <c r="II140" s="671" t="str">
        <f t="shared" si="660"/>
        <v>rango cal. out</v>
      </c>
      <c r="IJ140" s="619" t="e">
        <f t="shared" si="661"/>
        <v>#DIV/0!</v>
      </c>
      <c r="IK140" s="674" t="e">
        <f t="shared" si="662"/>
        <v>#VALUE!</v>
      </c>
      <c r="IL140" s="599" t="e">
        <f>IK140-AVERAGE(IS102:IS103)</f>
        <v>#VALUE!</v>
      </c>
      <c r="IM140" s="672" t="e">
        <f>ABS(#REF!*IL140*3600)</f>
        <v>#REF!</v>
      </c>
      <c r="IN140" s="675" t="e">
        <f t="shared" si="663"/>
        <v>#VALUE!</v>
      </c>
      <c r="IO140" s="614" t="e">
        <f t="shared" si="664"/>
        <v>#VALUE!</v>
      </c>
      <c r="IP140" s="672" t="e">
        <f t="shared" si="665"/>
        <v>#VALUE!</v>
      </c>
      <c r="IQ140" s="600" t="e">
        <f t="shared" si="666"/>
        <v>#VALUE!</v>
      </c>
      <c r="IR140" s="672" t="e">
        <f t="shared" si="667"/>
        <v>#VALUE!</v>
      </c>
      <c r="IS140" s="676" t="e">
        <f t="shared" si="668"/>
        <v>#VALUE!</v>
      </c>
      <c r="IT140" s="668"/>
      <c r="IU140" s="669"/>
      <c r="IV140" s="670"/>
      <c r="IW140" s="671"/>
      <c r="IX140" s="678"/>
      <c r="IY140" s="650"/>
      <c r="IZ140" s="650"/>
      <c r="JA140" s="671" t="str">
        <f t="shared" si="669"/>
        <v>rango cal. out</v>
      </c>
      <c r="JB140" s="619" t="e">
        <f t="shared" si="670"/>
        <v>#DIV/0!</v>
      </c>
      <c r="JC140" s="674" t="e">
        <f t="shared" si="671"/>
        <v>#VALUE!</v>
      </c>
      <c r="JD140" s="599" t="e">
        <f>JC140-AVERAGE(JK102:JK103)</f>
        <v>#VALUE!</v>
      </c>
      <c r="JE140" s="672" t="e">
        <f>ABS(#REF!*JD140*3600)</f>
        <v>#REF!</v>
      </c>
      <c r="JF140" s="675" t="e">
        <f t="shared" si="672"/>
        <v>#VALUE!</v>
      </c>
      <c r="JG140" s="614" t="e">
        <f t="shared" si="673"/>
        <v>#VALUE!</v>
      </c>
      <c r="JH140" s="672" t="e">
        <f t="shared" si="674"/>
        <v>#VALUE!</v>
      </c>
      <c r="JI140" s="600" t="e">
        <f t="shared" si="675"/>
        <v>#VALUE!</v>
      </c>
      <c r="JJ140" s="672" t="e">
        <f t="shared" si="676"/>
        <v>#VALUE!</v>
      </c>
      <c r="JK140" s="676" t="e">
        <f t="shared" si="677"/>
        <v>#VALUE!</v>
      </c>
      <c r="JL140" s="668"/>
      <c r="JM140" s="669"/>
      <c r="JN140" s="670"/>
      <c r="JO140" s="671"/>
      <c r="JP140" s="678"/>
      <c r="JQ140" s="650"/>
      <c r="JR140" s="650"/>
      <c r="JS140" s="671" t="str">
        <f t="shared" si="678"/>
        <v>rango cal. out</v>
      </c>
      <c r="JT140" s="619" t="e">
        <f t="shared" si="679"/>
        <v>#DIV/0!</v>
      </c>
      <c r="JU140" s="674" t="e">
        <f t="shared" si="680"/>
        <v>#VALUE!</v>
      </c>
      <c r="JV140" s="599" t="e">
        <f>JU140-AVERAGE(KC102:KC103)</f>
        <v>#VALUE!</v>
      </c>
      <c r="JW140" s="672" t="e">
        <f>ABS(#REF!*JV140*3600)</f>
        <v>#REF!</v>
      </c>
      <c r="JX140" s="675" t="e">
        <f t="shared" si="681"/>
        <v>#VALUE!</v>
      </c>
      <c r="JY140" s="614" t="e">
        <f t="shared" si="682"/>
        <v>#VALUE!</v>
      </c>
      <c r="JZ140" s="672" t="e">
        <f t="shared" si="683"/>
        <v>#VALUE!</v>
      </c>
      <c r="KA140" s="600" t="e">
        <f t="shared" si="684"/>
        <v>#VALUE!</v>
      </c>
      <c r="KB140" s="672" t="e">
        <f t="shared" si="685"/>
        <v>#VALUE!</v>
      </c>
      <c r="KC140" s="676" t="e">
        <f t="shared" si="686"/>
        <v>#VALUE!</v>
      </c>
      <c r="KD140" s="668"/>
      <c r="KE140" s="669"/>
      <c r="KF140" s="670"/>
      <c r="KG140" s="671"/>
      <c r="KH140" s="678"/>
      <c r="KI140" s="650"/>
      <c r="KJ140" s="650"/>
      <c r="KK140" s="671" t="str">
        <f t="shared" si="687"/>
        <v>rango cal. out</v>
      </c>
      <c r="KL140" s="619" t="e">
        <f t="shared" si="688"/>
        <v>#DIV/0!</v>
      </c>
      <c r="KM140" s="674" t="e">
        <f t="shared" si="689"/>
        <v>#VALUE!</v>
      </c>
      <c r="KN140" s="599" t="e">
        <f>KM140-AVERAGE(KU102:KU103)</f>
        <v>#VALUE!</v>
      </c>
      <c r="KO140" s="672" t="e">
        <f>ABS(#REF!*KN140*3600)</f>
        <v>#REF!</v>
      </c>
      <c r="KP140" s="675" t="e">
        <f t="shared" si="690"/>
        <v>#VALUE!</v>
      </c>
      <c r="KQ140" s="614" t="e">
        <f t="shared" si="691"/>
        <v>#VALUE!</v>
      </c>
      <c r="KR140" s="672" t="e">
        <f t="shared" si="692"/>
        <v>#VALUE!</v>
      </c>
      <c r="KS140" s="600" t="e">
        <f t="shared" si="693"/>
        <v>#VALUE!</v>
      </c>
      <c r="KT140" s="672" t="e">
        <f t="shared" si="694"/>
        <v>#VALUE!</v>
      </c>
      <c r="KU140" s="676" t="e">
        <f t="shared" si="695"/>
        <v>#VALUE!</v>
      </c>
      <c r="KV140" s="668"/>
      <c r="KW140" s="669"/>
      <c r="KX140" s="670"/>
      <c r="KY140" s="671"/>
      <c r="KZ140" s="678"/>
      <c r="LA140" s="650"/>
      <c r="LB140" s="650"/>
      <c r="LC140" s="671" t="str">
        <f t="shared" si="696"/>
        <v>rango cal. out</v>
      </c>
      <c r="LD140" s="619" t="e">
        <f t="shared" si="697"/>
        <v>#DIV/0!</v>
      </c>
      <c r="LE140" s="674" t="e">
        <f t="shared" si="698"/>
        <v>#VALUE!</v>
      </c>
      <c r="LF140" s="599" t="e">
        <f>LE140-AVERAGE(LM102:LM103)</f>
        <v>#VALUE!</v>
      </c>
      <c r="LG140" s="672" t="e">
        <f>ABS(#REF!*LF140*3600)</f>
        <v>#REF!</v>
      </c>
      <c r="LH140" s="675" t="e">
        <f t="shared" si="699"/>
        <v>#VALUE!</v>
      </c>
      <c r="LI140" s="614" t="e">
        <f t="shared" si="700"/>
        <v>#VALUE!</v>
      </c>
      <c r="LJ140" s="672" t="e">
        <f t="shared" si="701"/>
        <v>#VALUE!</v>
      </c>
      <c r="LK140" s="600" t="e">
        <f t="shared" si="702"/>
        <v>#VALUE!</v>
      </c>
      <c r="LL140" s="672" t="e">
        <f t="shared" si="703"/>
        <v>#VALUE!</v>
      </c>
      <c r="LM140" s="676" t="e">
        <f t="shared" si="704"/>
        <v>#VALUE!</v>
      </c>
      <c r="LN140" s="668"/>
      <c r="LO140" s="669"/>
      <c r="LP140" s="670"/>
      <c r="LQ140" s="671"/>
      <c r="LR140" s="678"/>
      <c r="LS140" s="650"/>
      <c r="LT140" s="650"/>
      <c r="LU140" s="671" t="str">
        <f t="shared" si="705"/>
        <v>rango cal. out</v>
      </c>
      <c r="LV140" s="619" t="e">
        <f t="shared" si="706"/>
        <v>#DIV/0!</v>
      </c>
      <c r="LW140" s="674" t="e">
        <f t="shared" si="707"/>
        <v>#VALUE!</v>
      </c>
      <c r="LX140" s="599" t="e">
        <f>LW140-AVERAGE(ME102:ME103)</f>
        <v>#VALUE!</v>
      </c>
      <c r="LY140" s="672" t="e">
        <f>ABS(#REF!*LX140*3600)</f>
        <v>#REF!</v>
      </c>
      <c r="LZ140" s="675" t="e">
        <f t="shared" si="708"/>
        <v>#VALUE!</v>
      </c>
      <c r="MA140" s="614" t="e">
        <f t="shared" si="709"/>
        <v>#VALUE!</v>
      </c>
      <c r="MB140" s="672" t="e">
        <f t="shared" si="710"/>
        <v>#VALUE!</v>
      </c>
      <c r="MC140" s="600" t="e">
        <f t="shared" si="711"/>
        <v>#VALUE!</v>
      </c>
      <c r="MD140" s="672" t="e">
        <f t="shared" si="712"/>
        <v>#VALUE!</v>
      </c>
      <c r="ME140" s="676" t="e">
        <f t="shared" si="713"/>
        <v>#VALUE!</v>
      </c>
      <c r="MF140" s="668"/>
      <c r="MG140" s="669"/>
      <c r="MH140" s="670"/>
      <c r="MI140" s="671"/>
      <c r="MJ140" s="678"/>
      <c r="MK140" s="650"/>
      <c r="ML140" s="650"/>
      <c r="MM140" s="671" t="str">
        <f t="shared" si="714"/>
        <v>rango cal. out</v>
      </c>
      <c r="MN140" s="619" t="e">
        <f t="shared" si="715"/>
        <v>#DIV/0!</v>
      </c>
      <c r="MO140" s="674" t="e">
        <f t="shared" si="716"/>
        <v>#VALUE!</v>
      </c>
      <c r="MP140" s="599" t="e">
        <f>MO140-AVERAGE(MW102:MW103)</f>
        <v>#VALUE!</v>
      </c>
      <c r="MQ140" s="672" t="e">
        <f>ABS(#REF!*MP140*3600)</f>
        <v>#REF!</v>
      </c>
      <c r="MR140" s="675" t="e">
        <f t="shared" si="717"/>
        <v>#VALUE!</v>
      </c>
      <c r="MS140" s="614" t="e">
        <f t="shared" si="718"/>
        <v>#VALUE!</v>
      </c>
      <c r="MT140" s="672" t="e">
        <f t="shared" si="719"/>
        <v>#VALUE!</v>
      </c>
      <c r="MU140" s="600" t="e">
        <f t="shared" si="720"/>
        <v>#VALUE!</v>
      </c>
      <c r="MV140" s="672" t="e">
        <f t="shared" si="721"/>
        <v>#VALUE!</v>
      </c>
      <c r="MW140" s="676" t="e">
        <f t="shared" si="722"/>
        <v>#VALUE!</v>
      </c>
      <c r="MX140" s="668"/>
      <c r="MY140" s="669"/>
      <c r="MZ140" s="680"/>
      <c r="NA140" s="671"/>
      <c r="NB140" s="673"/>
      <c r="NC140" s="650"/>
      <c r="ND140" s="650"/>
      <c r="NE140" s="671" t="str">
        <f t="shared" si="723"/>
        <v>rango cal. out</v>
      </c>
      <c r="NF140" s="619" t="e">
        <f t="shared" si="724"/>
        <v>#DIV/0!</v>
      </c>
      <c r="NG140" s="674" t="e">
        <f t="shared" si="725"/>
        <v>#VALUE!</v>
      </c>
      <c r="NH140" s="599" t="e">
        <f>NG140-AVERAGE(NO102:NO103)</f>
        <v>#VALUE!</v>
      </c>
      <c r="NI140" s="672" t="e">
        <f>ABS(#REF!*NH140*3600)</f>
        <v>#REF!</v>
      </c>
      <c r="NJ140" s="675" t="e">
        <f t="shared" si="726"/>
        <v>#VALUE!</v>
      </c>
      <c r="NK140" s="614" t="e">
        <f t="shared" si="727"/>
        <v>#VALUE!</v>
      </c>
      <c r="NL140" s="672" t="e">
        <f t="shared" si="728"/>
        <v>#VALUE!</v>
      </c>
      <c r="NM140" s="600" t="e">
        <f t="shared" si="729"/>
        <v>#VALUE!</v>
      </c>
      <c r="NN140" s="672" t="e">
        <f t="shared" si="730"/>
        <v>#VALUE!</v>
      </c>
      <c r="NO140" s="676" t="e">
        <f t="shared" si="731"/>
        <v>#VALUE!</v>
      </c>
      <c r="NP140" s="668">
        <v>20.5</v>
      </c>
      <c r="NQ140" s="669">
        <v>54</v>
      </c>
      <c r="NR140" s="670">
        <v>1007</v>
      </c>
      <c r="NS140" s="2011">
        <v>-6.0999999999999996E-11</v>
      </c>
      <c r="NT140" s="678">
        <v>60</v>
      </c>
      <c r="NU140" s="663">
        <v>44334</v>
      </c>
      <c r="NV140" s="650" t="s">
        <v>268</v>
      </c>
      <c r="NW140" s="671">
        <f t="shared" si="732"/>
        <v>-6.1182999999999989E-11</v>
      </c>
      <c r="NX140" s="619">
        <f t="shared" si="733"/>
        <v>1.001093715939642</v>
      </c>
      <c r="NY140" s="674">
        <f t="shared" si="734"/>
        <v>-1.0109647154343583E-12</v>
      </c>
      <c r="NZ140" s="599">
        <f>NY140-AVERAGE(OG102:OG103)</f>
        <v>-1.0117168765063168E-12</v>
      </c>
      <c r="OA140" s="672" t="e">
        <f>ABS(#REF!*NZ140*3600)</f>
        <v>#REF!</v>
      </c>
      <c r="OB140" s="675">
        <f t="shared" si="735"/>
        <v>9.1782955036653056E-5</v>
      </c>
      <c r="OC140" s="614">
        <f t="shared" si="736"/>
        <v>9.1782955036653052E-3</v>
      </c>
      <c r="OD140" s="672">
        <f t="shared" si="737"/>
        <v>1.1013954604398367E-4</v>
      </c>
      <c r="OE140" s="600">
        <f t="shared" si="738"/>
        <v>1.1105737559435019E-4</v>
      </c>
      <c r="OF140" s="672">
        <f t="shared" si="739"/>
        <v>1.1105737559435019E-4</v>
      </c>
      <c r="OG140" s="676">
        <f t="shared" si="740"/>
        <v>1.1472869379581632E-4</v>
      </c>
      <c r="OH140" s="668"/>
      <c r="OI140" s="669"/>
      <c r="OJ140" s="670"/>
      <c r="OK140" s="671"/>
      <c r="OL140" s="678"/>
      <c r="OM140" s="650"/>
      <c r="ON140" s="650"/>
      <c r="OO140" s="671" t="str">
        <f t="shared" si="741"/>
        <v>rango cal. out</v>
      </c>
      <c r="OP140" s="619" t="e">
        <f t="shared" si="742"/>
        <v>#DIV/0!</v>
      </c>
      <c r="OQ140" s="674" t="e">
        <f t="shared" si="743"/>
        <v>#VALUE!</v>
      </c>
      <c r="OR140" s="599" t="e">
        <f>OQ140-AVERAGE(OY102:OY103)</f>
        <v>#VALUE!</v>
      </c>
      <c r="OS140" s="672" t="e">
        <f>ABS(#REF!*OR140*3600)</f>
        <v>#REF!</v>
      </c>
      <c r="OT140" s="675" t="e">
        <f t="shared" si="744"/>
        <v>#VALUE!</v>
      </c>
      <c r="OU140" s="614" t="e">
        <f t="shared" si="745"/>
        <v>#VALUE!</v>
      </c>
      <c r="OV140" s="672" t="e">
        <f t="shared" si="746"/>
        <v>#VALUE!</v>
      </c>
      <c r="OW140" s="600" t="e">
        <f t="shared" si="747"/>
        <v>#VALUE!</v>
      </c>
      <c r="OX140" s="672" t="e">
        <f t="shared" si="748"/>
        <v>#VALUE!</v>
      </c>
      <c r="OY140" s="676" t="e">
        <f t="shared" si="749"/>
        <v>#VALUE!</v>
      </c>
      <c r="OZ140" s="668">
        <v>20.5</v>
      </c>
      <c r="PA140" s="669">
        <v>54</v>
      </c>
      <c r="PB140" s="670">
        <v>1007</v>
      </c>
      <c r="PC140" s="2011">
        <v>-1.345E-10</v>
      </c>
      <c r="PD140" s="673">
        <v>60</v>
      </c>
      <c r="PE140" s="663">
        <v>44334</v>
      </c>
      <c r="PF140" s="650" t="s">
        <v>268</v>
      </c>
      <c r="PG140" s="671">
        <f t="shared" si="750"/>
        <v>-1.349035E-10</v>
      </c>
      <c r="PH140" s="619">
        <f t="shared" si="751"/>
        <v>1.001093715939642</v>
      </c>
      <c r="PI140" s="674">
        <f t="shared" si="752"/>
        <v>-2.2290943315724789E-12</v>
      </c>
      <c r="PJ140" s="599">
        <f>PI140-AVERAGE(PQ102:PQ103)</f>
        <v>-2.2274211214760386E-12</v>
      </c>
      <c r="PK140" s="672" t="e">
        <f>ABS(#REF!*PJ140*3600)</f>
        <v>#REF!</v>
      </c>
      <c r="PL140" s="675">
        <f t="shared" si="753"/>
        <v>2.0207164414030624E-4</v>
      </c>
      <c r="PM140" s="614">
        <f t="shared" si="754"/>
        <v>2.0207164414030622E-2</v>
      </c>
      <c r="PN140" s="672">
        <f t="shared" si="755"/>
        <v>2.4248597296836746E-4</v>
      </c>
      <c r="PO140" s="600">
        <f t="shared" si="756"/>
        <v>2.4450668940977056E-4</v>
      </c>
      <c r="PP140" s="672">
        <f t="shared" si="757"/>
        <v>2.4450668940977056E-4</v>
      </c>
      <c r="PQ140" s="676">
        <f t="shared" si="758"/>
        <v>2.5258955517538277E-4</v>
      </c>
      <c r="PR140" s="668"/>
      <c r="PS140" s="669"/>
      <c r="PT140" s="670"/>
      <c r="PU140" s="671"/>
      <c r="PV140" s="678"/>
      <c r="PW140" s="650"/>
      <c r="PX140" s="650"/>
      <c r="PY140" s="671" t="str">
        <f t="shared" si="759"/>
        <v>rango cal. out</v>
      </c>
      <c r="PZ140" s="619" t="e">
        <f t="shared" si="760"/>
        <v>#DIV/0!</v>
      </c>
      <c r="QA140" s="674" t="e">
        <f t="shared" si="761"/>
        <v>#VALUE!</v>
      </c>
      <c r="QB140" s="599" t="e">
        <f>QA140-AVERAGE(QI102:QI103)</f>
        <v>#VALUE!</v>
      </c>
      <c r="QC140" s="672" t="e">
        <f>ABS(#REF!*QB140*3600)</f>
        <v>#REF!</v>
      </c>
      <c r="QD140" s="675" t="e">
        <f t="shared" si="762"/>
        <v>#VALUE!</v>
      </c>
      <c r="QE140" s="614" t="e">
        <f t="shared" si="763"/>
        <v>#VALUE!</v>
      </c>
      <c r="QF140" s="672" t="e">
        <f t="shared" si="764"/>
        <v>#VALUE!</v>
      </c>
      <c r="QG140" s="600" t="e">
        <f t="shared" si="765"/>
        <v>#VALUE!</v>
      </c>
      <c r="QH140" s="672" t="e">
        <f t="shared" si="766"/>
        <v>#VALUE!</v>
      </c>
      <c r="QI140" s="676" t="e">
        <f t="shared" si="767"/>
        <v>#VALUE!</v>
      </c>
      <c r="QJ140" s="668"/>
      <c r="QK140" s="669"/>
      <c r="QL140" s="670"/>
      <c r="QM140" s="671"/>
      <c r="QN140" s="678"/>
      <c r="QO140" s="650"/>
      <c r="QP140" s="650"/>
      <c r="QQ140" s="671" t="str">
        <f t="shared" si="768"/>
        <v>rango cal. out</v>
      </c>
      <c r="QR140" s="619" t="e">
        <f t="shared" si="769"/>
        <v>#DIV/0!</v>
      </c>
      <c r="QS140" s="674" t="e">
        <f t="shared" si="770"/>
        <v>#VALUE!</v>
      </c>
      <c r="QT140" s="599" t="e">
        <f>QS140-AVERAGE(RA102:RA103)</f>
        <v>#VALUE!</v>
      </c>
      <c r="QU140" s="672" t="e">
        <f>ABS(#REF!*QT140*3600)</f>
        <v>#REF!</v>
      </c>
      <c r="QV140" s="675" t="e">
        <f t="shared" si="771"/>
        <v>#VALUE!</v>
      </c>
      <c r="QW140" s="614" t="e">
        <f t="shared" si="772"/>
        <v>#VALUE!</v>
      </c>
      <c r="QX140" s="672" t="e">
        <f t="shared" si="773"/>
        <v>#VALUE!</v>
      </c>
      <c r="QY140" s="600" t="e">
        <f t="shared" si="774"/>
        <v>#VALUE!</v>
      </c>
      <c r="QZ140" s="672" t="e">
        <f t="shared" si="775"/>
        <v>#VALUE!</v>
      </c>
      <c r="RA140" s="676" t="e">
        <f t="shared" si="776"/>
        <v>#VALUE!</v>
      </c>
      <c r="RB140" s="668"/>
      <c r="RC140" s="669"/>
      <c r="RD140" s="680"/>
      <c r="RE140" s="671"/>
      <c r="RF140" s="673"/>
      <c r="RG140" s="650"/>
      <c r="RH140" s="650"/>
      <c r="RI140" s="671" t="str">
        <f t="shared" si="777"/>
        <v>rango cal. out</v>
      </c>
      <c r="RJ140" s="619" t="e">
        <f t="shared" si="778"/>
        <v>#DIV/0!</v>
      </c>
      <c r="RK140" s="674" t="e">
        <f t="shared" si="779"/>
        <v>#VALUE!</v>
      </c>
      <c r="RL140" s="599" t="e">
        <f>RK140-AVERAGE(RS102:RS103)</f>
        <v>#VALUE!</v>
      </c>
      <c r="RM140" s="672" t="e">
        <f>ABS(#REF!*RL140*3600)</f>
        <v>#REF!</v>
      </c>
      <c r="RN140" s="675" t="e">
        <f t="shared" si="780"/>
        <v>#VALUE!</v>
      </c>
      <c r="RO140" s="614" t="e">
        <f t="shared" si="781"/>
        <v>#VALUE!</v>
      </c>
      <c r="RP140" s="672" t="e">
        <f t="shared" si="782"/>
        <v>#VALUE!</v>
      </c>
      <c r="RQ140" s="600" t="e">
        <f t="shared" si="783"/>
        <v>#VALUE!</v>
      </c>
      <c r="RR140" s="672" t="e">
        <f t="shared" si="784"/>
        <v>#VALUE!</v>
      </c>
      <c r="RS140" s="676" t="e">
        <f t="shared" si="785"/>
        <v>#VALUE!</v>
      </c>
      <c r="RT140" s="668"/>
      <c r="RU140" s="669"/>
      <c r="RV140" s="669"/>
      <c r="RW140" s="679"/>
      <c r="RX140" s="673"/>
      <c r="RY140" s="650"/>
      <c r="RZ140" s="650"/>
      <c r="SA140" s="671" t="str">
        <f t="shared" si="786"/>
        <v>rango cal. out</v>
      </c>
      <c r="SB140" s="619" t="e">
        <f t="shared" si="787"/>
        <v>#DIV/0!</v>
      </c>
      <c r="SC140" s="674" t="e">
        <f t="shared" si="788"/>
        <v>#VALUE!</v>
      </c>
      <c r="SD140" s="599" t="e">
        <f>SC140-AVERAGE(SK102:SK103)</f>
        <v>#VALUE!</v>
      </c>
      <c r="SE140" s="672" t="e">
        <f>ABS(#REF!*SD140*3600)</f>
        <v>#REF!</v>
      </c>
      <c r="SF140" s="675" t="e">
        <f t="shared" si="789"/>
        <v>#VALUE!</v>
      </c>
      <c r="SG140" s="614" t="e">
        <f t="shared" si="790"/>
        <v>#VALUE!</v>
      </c>
      <c r="SH140" s="672" t="e">
        <f t="shared" si="791"/>
        <v>#VALUE!</v>
      </c>
      <c r="SI140" s="600" t="e">
        <f t="shared" si="792"/>
        <v>#VALUE!</v>
      </c>
      <c r="SJ140" s="672" t="e">
        <f t="shared" si="793"/>
        <v>#VALUE!</v>
      </c>
      <c r="SK140" s="676" t="e">
        <f t="shared" si="794"/>
        <v>#VALUE!</v>
      </c>
      <c r="SL140" s="668">
        <v>20.399999999999999</v>
      </c>
      <c r="SM140" s="669">
        <v>54</v>
      </c>
      <c r="SN140" s="670">
        <v>1007</v>
      </c>
      <c r="SO140" s="2011">
        <v>-1.4E-11</v>
      </c>
      <c r="SP140" s="673">
        <v>60</v>
      </c>
      <c r="SQ140" s="663">
        <v>44334</v>
      </c>
      <c r="SR140" s="650" t="s">
        <v>268</v>
      </c>
      <c r="SS140" s="671">
        <f t="shared" si="795"/>
        <v>-1.4041999999999999E-11</v>
      </c>
      <c r="ST140" s="619">
        <f t="shared" si="796"/>
        <v>1.0007528600608746</v>
      </c>
      <c r="SU140" s="674">
        <f t="shared" si="797"/>
        <v>-2.3194568821320884E-13</v>
      </c>
      <c r="SV140" s="599">
        <f>SU140-AVERAGE(TC102:TC103)</f>
        <v>-2.3001301543917655E-13</v>
      </c>
      <c r="SW140" s="672" t="e">
        <f>ABS(#REF!*SV140*3600)</f>
        <v>#REF!</v>
      </c>
      <c r="SX140" s="675">
        <f t="shared" si="798"/>
        <v>2.0866780760642095E-5</v>
      </c>
      <c r="SY140" s="614">
        <f t="shared" si="799"/>
        <v>2.0866780760642094E-3</v>
      </c>
      <c r="SZ140" s="672">
        <f t="shared" si="800"/>
        <v>2.5040136912770513E-5</v>
      </c>
      <c r="TA140" s="600">
        <f t="shared" si="801"/>
        <v>2.5248804720376936E-5</v>
      </c>
      <c r="TB140" s="672">
        <f t="shared" si="802"/>
        <v>2.5248804720376936E-5</v>
      </c>
      <c r="TC140" s="676">
        <f t="shared" si="803"/>
        <v>2.6083475950802618E-5</v>
      </c>
      <c r="TD140" s="668">
        <v>20.399999999999999</v>
      </c>
      <c r="TE140" s="669">
        <v>56</v>
      </c>
      <c r="TF140" s="670">
        <v>1008</v>
      </c>
      <c r="TG140" s="2011">
        <v>-3.0599999999999998E-10</v>
      </c>
      <c r="TH140" s="673">
        <v>60</v>
      </c>
      <c r="TI140" s="663">
        <v>44334</v>
      </c>
      <c r="TJ140" s="650" t="s">
        <v>268</v>
      </c>
      <c r="TK140" s="671">
        <f t="shared" si="804"/>
        <v>-3.0691799999999994E-10</v>
      </c>
      <c r="TL140" s="619">
        <f t="shared" si="805"/>
        <v>0.99976004968383014</v>
      </c>
      <c r="TM140" s="674">
        <f t="shared" si="806"/>
        <v>-5.0646406078085753E-12</v>
      </c>
      <c r="TN140" s="599">
        <f>TM140-AVERAGE(TU102:TU103)</f>
        <v>-5.0642741646213707E-12</v>
      </c>
      <c r="TO140" s="672" t="e">
        <f>ABS(#REF!*TN140*3600)</f>
        <v>#REF!</v>
      </c>
      <c r="TP140" s="675">
        <f t="shared" si="807"/>
        <v>4.5943095221445077E-4</v>
      </c>
      <c r="TQ140" s="614">
        <f t="shared" si="808"/>
        <v>4.5943095221445074E-2</v>
      </c>
      <c r="TR140" s="672">
        <f t="shared" si="809"/>
        <v>5.5131714265734086E-4</v>
      </c>
      <c r="TS140" s="600">
        <f t="shared" si="810"/>
        <v>5.5591145217948545E-4</v>
      </c>
      <c r="TT140" s="672">
        <f t="shared" si="811"/>
        <v>5.5591145217948545E-4</v>
      </c>
      <c r="TU140" s="676">
        <f t="shared" si="812"/>
        <v>5.7428869026806347E-4</v>
      </c>
      <c r="TV140" s="668"/>
      <c r="TW140" s="669"/>
      <c r="TX140" s="670"/>
      <c r="TY140" s="671"/>
      <c r="TZ140" s="678"/>
      <c r="UA140" s="650"/>
      <c r="UB140" s="650"/>
      <c r="UC140" s="671" t="str">
        <f t="shared" si="813"/>
        <v>rango cal. out</v>
      </c>
      <c r="UD140" s="619" t="e">
        <f t="shared" si="814"/>
        <v>#DIV/0!</v>
      </c>
      <c r="UE140" s="674" t="e">
        <f t="shared" si="815"/>
        <v>#VALUE!</v>
      </c>
      <c r="UF140" s="599" t="e">
        <f>UE140-AVERAGE(UM102:UM103)</f>
        <v>#VALUE!</v>
      </c>
      <c r="UG140" s="672" t="e">
        <f>ABS(#REF!*UF140*3600)</f>
        <v>#REF!</v>
      </c>
      <c r="UH140" s="675" t="e">
        <f t="shared" si="816"/>
        <v>#VALUE!</v>
      </c>
      <c r="UI140" s="614" t="e">
        <f t="shared" si="817"/>
        <v>#VALUE!</v>
      </c>
      <c r="UJ140" s="672" t="e">
        <f t="shared" si="818"/>
        <v>#VALUE!</v>
      </c>
      <c r="UK140" s="600" t="e">
        <f t="shared" si="819"/>
        <v>#VALUE!</v>
      </c>
      <c r="UL140" s="672" t="e">
        <f t="shared" si="820"/>
        <v>#VALUE!</v>
      </c>
      <c r="UM140" s="676" t="e">
        <f t="shared" si="821"/>
        <v>#VALUE!</v>
      </c>
      <c r="UN140" s="668">
        <v>20.5</v>
      </c>
      <c r="UO140" s="669">
        <v>55</v>
      </c>
      <c r="UP140" s="670">
        <v>1008</v>
      </c>
      <c r="UQ140" s="2011">
        <v>-2.15E-11</v>
      </c>
      <c r="UR140" s="673">
        <v>60</v>
      </c>
      <c r="US140" s="663">
        <v>44334</v>
      </c>
      <c r="UT140" s="650" t="s">
        <v>268</v>
      </c>
      <c r="UU140" s="671">
        <f t="shared" si="822"/>
        <v>-2.1564499999999998E-11</v>
      </c>
      <c r="UV140" s="619">
        <f t="shared" si="823"/>
        <v>1.0001005674119241</v>
      </c>
      <c r="UW140" s="674">
        <f t="shared" si="824"/>
        <v>-3.5597013354657132E-13</v>
      </c>
      <c r="UX140" s="599">
        <f>UW140-AVERAGE(VE102:VE103)</f>
        <v>-3.5580766046430658E-13</v>
      </c>
      <c r="UY140" s="672" t="e">
        <f>ABS(#REF!*UX140*3600)</f>
        <v>#REF!</v>
      </c>
      <c r="UZ140" s="675">
        <f t="shared" si="825"/>
        <v>3.2278870957321894E-5</v>
      </c>
      <c r="VA140" s="614">
        <f t="shared" si="826"/>
        <v>3.2278870957321891E-3</v>
      </c>
      <c r="VB140" s="672">
        <f t="shared" si="827"/>
        <v>3.8734645148786274E-5</v>
      </c>
      <c r="VC140" s="600">
        <f t="shared" si="828"/>
        <v>3.9057433858359492E-5</v>
      </c>
      <c r="VD140" s="672">
        <f t="shared" si="829"/>
        <v>3.9057433858359492E-5</v>
      </c>
      <c r="VE140" s="676">
        <f t="shared" si="830"/>
        <v>4.0348588696652367E-5</v>
      </c>
    </row>
    <row r="141" spans="1:577" x14ac:dyDescent="0.25">
      <c r="A141" s="2219"/>
      <c r="B141" s="668">
        <v>20.100000000000001</v>
      </c>
      <c r="C141" s="673">
        <v>52</v>
      </c>
      <c r="D141" s="678">
        <v>1010</v>
      </c>
      <c r="E141" s="2011">
        <v>-4.8200000000000003E-9</v>
      </c>
      <c r="F141" s="673">
        <v>60</v>
      </c>
      <c r="G141" s="663">
        <v>44334</v>
      </c>
      <c r="H141" s="663" t="s">
        <v>1042</v>
      </c>
      <c r="I141" s="671">
        <f t="shared" si="543"/>
        <v>-4.8248199999999999E-9</v>
      </c>
      <c r="J141" s="619">
        <f t="shared" si="544"/>
        <v>0.99676079650648008</v>
      </c>
      <c r="K141" s="674">
        <f t="shared" si="545"/>
        <v>-7.9378439904837736E-11</v>
      </c>
      <c r="L141" s="599">
        <f>K141-AVERAGE(S102:S103)</f>
        <v>-7.9354627937466243E-11</v>
      </c>
      <c r="M141" s="672" t="e">
        <f>ABS(#REF!*L141*3600)</f>
        <v>#REF!</v>
      </c>
      <c r="N141" s="675">
        <f t="shared" si="546"/>
        <v>7.1990518464869376E-3</v>
      </c>
      <c r="O141" s="614">
        <f t="shared" si="547"/>
        <v>0.7199051846486938</v>
      </c>
      <c r="P141" s="672">
        <f t="shared" si="548"/>
        <v>8.6388622157843251E-3</v>
      </c>
      <c r="Q141" s="600">
        <f t="shared" si="549"/>
        <v>8.7108527342491943E-3</v>
      </c>
      <c r="R141" s="672">
        <f t="shared" si="550"/>
        <v>8.7108527342491943E-3</v>
      </c>
      <c r="S141" s="676">
        <f t="shared" si="551"/>
        <v>8.9988148081086711E-3</v>
      </c>
      <c r="T141" s="677"/>
      <c r="U141" s="669"/>
      <c r="V141" s="670"/>
      <c r="W141" s="671"/>
      <c r="X141" s="678"/>
      <c r="Y141" s="650"/>
      <c r="Z141" s="663"/>
      <c r="AA141" s="671" t="str">
        <f t="shared" si="552"/>
        <v>rango cal. out</v>
      </c>
      <c r="AB141" s="619" t="e">
        <f t="shared" si="553"/>
        <v>#DIV/0!</v>
      </c>
      <c r="AC141" s="674" t="e">
        <f t="shared" si="554"/>
        <v>#VALUE!</v>
      </c>
      <c r="AD141" s="599" t="e">
        <f>AC141-AVERAGE(#REF!)</f>
        <v>#VALUE!</v>
      </c>
      <c r="AE141" s="672" t="e">
        <f>ABS(#REF!*AD141*3600)</f>
        <v>#REF!</v>
      </c>
      <c r="AF141" s="675" t="e">
        <f t="shared" si="555"/>
        <v>#VALUE!</v>
      </c>
      <c r="AG141" s="614" t="e">
        <f t="shared" si="556"/>
        <v>#VALUE!</v>
      </c>
      <c r="AH141" s="672" t="e">
        <f t="shared" si="557"/>
        <v>#VALUE!</v>
      </c>
      <c r="AI141" s="600" t="e">
        <f t="shared" si="558"/>
        <v>#VALUE!</v>
      </c>
      <c r="AJ141" s="672" t="e">
        <f t="shared" si="559"/>
        <v>#VALUE!</v>
      </c>
      <c r="AK141" s="676" t="e">
        <f t="shared" si="560"/>
        <v>#VALUE!</v>
      </c>
      <c r="AL141" s="677"/>
      <c r="AM141" s="669"/>
      <c r="AN141" s="670"/>
      <c r="AO141" s="671"/>
      <c r="AP141" s="678"/>
      <c r="AQ141" s="650"/>
      <c r="AR141" s="663"/>
      <c r="AS141" s="671" t="str">
        <f t="shared" si="561"/>
        <v>rango cal. out</v>
      </c>
      <c r="AT141" s="619" t="e">
        <f t="shared" si="562"/>
        <v>#DIV/0!</v>
      </c>
      <c r="AU141" s="674" t="e">
        <f t="shared" si="563"/>
        <v>#VALUE!</v>
      </c>
      <c r="AV141" s="599" t="e">
        <f>AU141-AVERAGE(BC102:BC103)</f>
        <v>#VALUE!</v>
      </c>
      <c r="AW141" s="672" t="e">
        <f>ABS(#REF!*AV141*3600)</f>
        <v>#REF!</v>
      </c>
      <c r="AX141" s="675" t="e">
        <f t="shared" si="564"/>
        <v>#VALUE!</v>
      </c>
      <c r="AY141" s="614" t="e">
        <f t="shared" si="565"/>
        <v>#VALUE!</v>
      </c>
      <c r="AZ141" s="672" t="e">
        <f t="shared" si="566"/>
        <v>#VALUE!</v>
      </c>
      <c r="BA141" s="600" t="e">
        <f t="shared" si="567"/>
        <v>#VALUE!</v>
      </c>
      <c r="BB141" s="672" t="e">
        <f t="shared" si="568"/>
        <v>#VALUE!</v>
      </c>
      <c r="BC141" s="676" t="e">
        <f t="shared" si="569"/>
        <v>#VALUE!</v>
      </c>
      <c r="BD141" s="668">
        <v>20.5</v>
      </c>
      <c r="BE141" s="669">
        <v>53</v>
      </c>
      <c r="BF141" s="670">
        <v>1009</v>
      </c>
      <c r="BG141" s="2010">
        <v>-7.7849999999999995E-10</v>
      </c>
      <c r="BH141" s="673">
        <v>60</v>
      </c>
      <c r="BI141" s="663">
        <v>44334</v>
      </c>
      <c r="BJ141" s="663" t="s">
        <v>268</v>
      </c>
      <c r="BK141" s="671">
        <f t="shared" si="570"/>
        <v>-7.8083549999999987E-10</v>
      </c>
      <c r="BL141" s="619">
        <f t="shared" si="571"/>
        <v>0.9991093874640431</v>
      </c>
      <c r="BM141" s="674">
        <f t="shared" si="572"/>
        <v>-1.2876655724421314E-11</v>
      </c>
      <c r="BN141" s="599">
        <f>BM141-AVERAGE(BU102:BU103)</f>
        <v>-1.2875310540312918E-11</v>
      </c>
      <c r="BO141" s="672" t="e">
        <f>ABS(#REF!*BN141*3600)</f>
        <v>#REF!</v>
      </c>
      <c r="BP141" s="675">
        <f t="shared" si="573"/>
        <v>1.1680481722171879E-3</v>
      </c>
      <c r="BQ141" s="614">
        <f t="shared" si="574"/>
        <v>0.11680481722171879</v>
      </c>
      <c r="BR141" s="672">
        <f t="shared" si="575"/>
        <v>1.4016578066606254E-3</v>
      </c>
      <c r="BS141" s="600">
        <f t="shared" si="576"/>
        <v>1.4133382883827973E-3</v>
      </c>
      <c r="BT141" s="672">
        <f t="shared" si="577"/>
        <v>1.4133382883827973E-3</v>
      </c>
      <c r="BU141" s="676">
        <f t="shared" si="578"/>
        <v>1.4600602152714849E-3</v>
      </c>
      <c r="BV141" s="668">
        <v>20.8</v>
      </c>
      <c r="BW141" s="669">
        <v>50</v>
      </c>
      <c r="BX141" s="680">
        <v>1008</v>
      </c>
      <c r="BY141" s="2023">
        <v>-3.55E-11</v>
      </c>
      <c r="BZ141" s="673">
        <v>60</v>
      </c>
      <c r="CA141" s="663">
        <v>44334</v>
      </c>
      <c r="CB141" s="663" t="s">
        <v>268</v>
      </c>
      <c r="CC141" s="671">
        <f t="shared" si="579"/>
        <v>-3.5606499999999996E-11</v>
      </c>
      <c r="CD141" s="619">
        <f t="shared" si="580"/>
        <v>1.001122120596206</v>
      </c>
      <c r="CE141" s="674">
        <f t="shared" si="581"/>
        <v>-5.8836501157256887E-13</v>
      </c>
      <c r="CF141" s="599">
        <f>CE141-AVERAGE(CM102:CM103)</f>
        <v>-5.8656351633742716E-13</v>
      </c>
      <c r="CG141" s="672" t="e">
        <f>ABS(#REF!*CF141*3600)</f>
        <v>#REF!</v>
      </c>
      <c r="CH141" s="675">
        <f t="shared" si="582"/>
        <v>5.3213042202131398E-5</v>
      </c>
      <c r="CI141" s="614">
        <f t="shared" si="583"/>
        <v>5.32130422021314E-3</v>
      </c>
      <c r="CJ141" s="672">
        <f t="shared" si="584"/>
        <v>6.3855650642557672E-5</v>
      </c>
      <c r="CK141" s="600">
        <f t="shared" si="585"/>
        <v>6.4387781064578986E-5</v>
      </c>
      <c r="CL141" s="672">
        <f t="shared" si="586"/>
        <v>6.4387781064578986E-5</v>
      </c>
      <c r="CM141" s="676">
        <f t="shared" si="587"/>
        <v>6.6516302752664245E-5</v>
      </c>
      <c r="CN141" s="668">
        <v>20.5</v>
      </c>
      <c r="CO141" s="669">
        <v>53</v>
      </c>
      <c r="CP141" s="680">
        <v>1007</v>
      </c>
      <c r="CQ141" s="2011">
        <v>-1.8199999999999999E-9</v>
      </c>
      <c r="CR141" s="673">
        <v>60</v>
      </c>
      <c r="CS141" s="663">
        <v>44334</v>
      </c>
      <c r="CT141" s="663" t="s">
        <v>268</v>
      </c>
      <c r="CU141" s="671">
        <f t="shared" si="588"/>
        <v>-1.8254599999999998E-9</v>
      </c>
      <c r="CV141" s="619">
        <f t="shared" si="589"/>
        <v>1.001093715939642</v>
      </c>
      <c r="CW141" s="674">
        <f t="shared" si="590"/>
        <v>-3.0163209542467741E-11</v>
      </c>
      <c r="CX141" s="599">
        <f>CW141-AVERAGE(DE102:DE103)</f>
        <v>-3.0151921855762318E-11</v>
      </c>
      <c r="CY141" s="672" t="e">
        <f>ABS(#REF!*CX141*3600)</f>
        <v>#REF!</v>
      </c>
      <c r="CZ141" s="675">
        <f t="shared" si="591"/>
        <v>2.7353823507547574E-3</v>
      </c>
      <c r="DA141" s="614">
        <f t="shared" si="592"/>
        <v>0.27353823507547576</v>
      </c>
      <c r="DB141" s="672">
        <f t="shared" si="593"/>
        <v>3.2824588209057087E-3</v>
      </c>
      <c r="DC141" s="600">
        <f t="shared" si="594"/>
        <v>3.3098126444132563E-3</v>
      </c>
      <c r="DD141" s="672">
        <f t="shared" si="595"/>
        <v>3.3098126444132563E-3</v>
      </c>
      <c r="DE141" s="676">
        <f t="shared" si="596"/>
        <v>3.4192279384434466E-3</v>
      </c>
      <c r="DF141" s="668"/>
      <c r="DG141" s="669"/>
      <c r="DH141" s="670"/>
      <c r="DI141" s="671"/>
      <c r="DJ141" s="678"/>
      <c r="DK141" s="650"/>
      <c r="DL141" s="663" t="s">
        <v>268</v>
      </c>
      <c r="DM141" s="671">
        <f t="shared" si="597"/>
        <v>0</v>
      </c>
      <c r="DN141" s="619" t="e">
        <f t="shared" si="598"/>
        <v>#DIV/0!</v>
      </c>
      <c r="DO141" s="674" t="e">
        <f t="shared" si="599"/>
        <v>#DIV/0!</v>
      </c>
      <c r="DP141" s="599" t="e">
        <f>DO141-AVERAGE(DW102:DW103)</f>
        <v>#DIV/0!</v>
      </c>
      <c r="DQ141" s="672" t="e">
        <f>ABS(#REF!*DP141*3600)</f>
        <v>#REF!</v>
      </c>
      <c r="DR141" s="675" t="e">
        <f t="shared" si="600"/>
        <v>#DIV/0!</v>
      </c>
      <c r="DS141" s="614" t="e">
        <f t="shared" si="601"/>
        <v>#DIV/0!</v>
      </c>
      <c r="DT141" s="672" t="e">
        <f t="shared" si="602"/>
        <v>#DIV/0!</v>
      </c>
      <c r="DU141" s="600" t="e">
        <f t="shared" si="603"/>
        <v>#DIV/0!</v>
      </c>
      <c r="DV141" s="672" t="e">
        <f t="shared" si="604"/>
        <v>#DIV/0!</v>
      </c>
      <c r="DW141" s="676" t="e">
        <f t="shared" si="605"/>
        <v>#DIV/0!</v>
      </c>
      <c r="DX141" s="668"/>
      <c r="DY141" s="669"/>
      <c r="DZ141" s="677"/>
      <c r="EA141" s="679"/>
      <c r="EB141" s="678"/>
      <c r="EC141" s="650"/>
      <c r="ED141" s="663"/>
      <c r="EE141" s="671" t="str">
        <f t="shared" si="606"/>
        <v>rango cal. out</v>
      </c>
      <c r="EF141" s="619" t="e">
        <f t="shared" si="607"/>
        <v>#DIV/0!</v>
      </c>
      <c r="EG141" s="674" t="e">
        <f t="shared" si="608"/>
        <v>#VALUE!</v>
      </c>
      <c r="EH141" s="599" t="e">
        <f>EG141-AVERAGE(EO102:EO103)</f>
        <v>#VALUE!</v>
      </c>
      <c r="EI141" s="672" t="e">
        <f>ABS(#REF!*EH141*3600)</f>
        <v>#REF!</v>
      </c>
      <c r="EJ141" s="675" t="e">
        <f t="shared" si="609"/>
        <v>#VALUE!</v>
      </c>
      <c r="EK141" s="614" t="e">
        <f t="shared" si="610"/>
        <v>#VALUE!</v>
      </c>
      <c r="EL141" s="672" t="e">
        <f t="shared" si="611"/>
        <v>#VALUE!</v>
      </c>
      <c r="EM141" s="600" t="e">
        <f t="shared" si="612"/>
        <v>#VALUE!</v>
      </c>
      <c r="EN141" s="672" t="e">
        <f t="shared" si="613"/>
        <v>#VALUE!</v>
      </c>
      <c r="EO141" s="676" t="e">
        <f t="shared" si="614"/>
        <v>#VALUE!</v>
      </c>
      <c r="EP141" s="668">
        <v>20.3</v>
      </c>
      <c r="EQ141" s="669">
        <v>53</v>
      </c>
      <c r="ER141" s="670">
        <v>1007</v>
      </c>
      <c r="ES141" s="2023">
        <v>-8.4999999999999997E-12</v>
      </c>
      <c r="ET141" s="673">
        <v>60</v>
      </c>
      <c r="EU141" s="663">
        <v>44334</v>
      </c>
      <c r="EV141" s="663" t="s">
        <v>268</v>
      </c>
      <c r="EW141" s="671">
        <f t="shared" si="615"/>
        <v>-8.5254999999999988E-12</v>
      </c>
      <c r="EX141" s="619">
        <f t="shared" si="616"/>
        <v>1.0004120041821074</v>
      </c>
      <c r="EY141" s="674">
        <f t="shared" si="617"/>
        <v>-1.4077620320890982E-13</v>
      </c>
      <c r="EZ141" s="599">
        <f>EY141-AVERAGE(FG102:FG103)</f>
        <v>-1.4185676701850955E-13</v>
      </c>
      <c r="FA141" s="672" t="e">
        <f>ABS(#REF!*EZ141*3600)</f>
        <v>#REF!</v>
      </c>
      <c r="FB141" s="675">
        <f t="shared" si="618"/>
        <v>1.2869245903919187E-5</v>
      </c>
      <c r="FC141" s="614">
        <f t="shared" si="619"/>
        <v>1.2869245903919188E-3</v>
      </c>
      <c r="FD141" s="672">
        <f t="shared" si="620"/>
        <v>1.5443095084703025E-5</v>
      </c>
      <c r="FE141" s="600">
        <f t="shared" si="621"/>
        <v>1.5571787543742216E-5</v>
      </c>
      <c r="FF141" s="672">
        <f t="shared" si="622"/>
        <v>1.5571787543742216E-5</v>
      </c>
      <c r="FG141" s="676">
        <f t="shared" si="623"/>
        <v>1.6086557379898985E-5</v>
      </c>
      <c r="FH141" s="668"/>
      <c r="FI141" s="669"/>
      <c r="FJ141" s="670"/>
      <c r="FK141" s="671"/>
      <c r="FL141" s="678"/>
      <c r="FM141" s="650"/>
      <c r="FN141" s="663"/>
      <c r="FO141" s="671" t="str">
        <f t="shared" si="624"/>
        <v>rango cal. out</v>
      </c>
      <c r="FP141" s="619" t="e">
        <f t="shared" si="625"/>
        <v>#DIV/0!</v>
      </c>
      <c r="FQ141" s="674" t="e">
        <f t="shared" si="626"/>
        <v>#VALUE!</v>
      </c>
      <c r="FR141" s="599" t="e">
        <f>FQ141-AVERAGE(FY102:FY103)</f>
        <v>#VALUE!</v>
      </c>
      <c r="FS141" s="672" t="e">
        <f>ABS(#REF!*FR141*3600)</f>
        <v>#REF!</v>
      </c>
      <c r="FT141" s="675" t="e">
        <f t="shared" si="627"/>
        <v>#VALUE!</v>
      </c>
      <c r="FU141" s="614" t="e">
        <f t="shared" si="628"/>
        <v>#VALUE!</v>
      </c>
      <c r="FV141" s="672" t="e">
        <f t="shared" si="629"/>
        <v>#VALUE!</v>
      </c>
      <c r="FW141" s="600" t="e">
        <f t="shared" si="630"/>
        <v>#VALUE!</v>
      </c>
      <c r="FX141" s="672" t="e">
        <f t="shared" si="631"/>
        <v>#VALUE!</v>
      </c>
      <c r="FY141" s="676" t="e">
        <f t="shared" si="632"/>
        <v>#VALUE!</v>
      </c>
      <c r="FZ141" s="668"/>
      <c r="GA141" s="669"/>
      <c r="GB141" s="670"/>
      <c r="GC141" s="671"/>
      <c r="GD141" s="678"/>
      <c r="GE141" s="650"/>
      <c r="GF141" s="663"/>
      <c r="GG141" s="671" t="str">
        <f t="shared" si="633"/>
        <v>rango cal. out</v>
      </c>
      <c r="GH141" s="619" t="e">
        <f t="shared" si="634"/>
        <v>#DIV/0!</v>
      </c>
      <c r="GI141" s="674" t="e">
        <f t="shared" si="635"/>
        <v>#VALUE!</v>
      </c>
      <c r="GJ141" s="599" t="e">
        <f>GI141-AVERAGE(GQ102:GQ103)</f>
        <v>#VALUE!</v>
      </c>
      <c r="GK141" s="672" t="e">
        <f>ABS(#REF!*GJ141*3600)</f>
        <v>#REF!</v>
      </c>
      <c r="GL141" s="675" t="e">
        <f t="shared" si="636"/>
        <v>#VALUE!</v>
      </c>
      <c r="GM141" s="614" t="e">
        <f t="shared" si="637"/>
        <v>#VALUE!</v>
      </c>
      <c r="GN141" s="672" t="e">
        <f t="shared" si="638"/>
        <v>#VALUE!</v>
      </c>
      <c r="GO141" s="600" t="e">
        <f t="shared" si="639"/>
        <v>#VALUE!</v>
      </c>
      <c r="GP141" s="672" t="e">
        <f t="shared" si="640"/>
        <v>#VALUE!</v>
      </c>
      <c r="GQ141" s="676" t="e">
        <f t="shared" si="641"/>
        <v>#VALUE!</v>
      </c>
      <c r="GR141" s="668"/>
      <c r="GS141" s="669"/>
      <c r="GT141" s="677"/>
      <c r="GU141" s="679"/>
      <c r="GV141" s="678"/>
      <c r="GW141" s="650"/>
      <c r="GX141" s="663"/>
      <c r="GY141" s="671" t="str">
        <f t="shared" si="642"/>
        <v>rango cal. out</v>
      </c>
      <c r="GZ141" s="619" t="e">
        <f t="shared" si="643"/>
        <v>#DIV/0!</v>
      </c>
      <c r="HA141" s="674" t="e">
        <f t="shared" si="644"/>
        <v>#VALUE!</v>
      </c>
      <c r="HB141" s="599" t="e">
        <f>HA141-AVERAGE(HI102:HI103)</f>
        <v>#VALUE!</v>
      </c>
      <c r="HC141" s="672" t="e">
        <f>ABS(#REF!*HB141*3600)</f>
        <v>#REF!</v>
      </c>
      <c r="HD141" s="675" t="e">
        <f t="shared" si="645"/>
        <v>#VALUE!</v>
      </c>
      <c r="HE141" s="614" t="e">
        <f t="shared" si="646"/>
        <v>#VALUE!</v>
      </c>
      <c r="HF141" s="672" t="e">
        <f t="shared" si="647"/>
        <v>#VALUE!</v>
      </c>
      <c r="HG141" s="600" t="e">
        <f t="shared" si="648"/>
        <v>#VALUE!</v>
      </c>
      <c r="HH141" s="672" t="e">
        <f t="shared" si="649"/>
        <v>#VALUE!</v>
      </c>
      <c r="HI141" s="676" t="e">
        <f t="shared" si="650"/>
        <v>#VALUE!</v>
      </c>
      <c r="HJ141" s="668"/>
      <c r="HK141" s="669"/>
      <c r="HL141" s="670"/>
      <c r="HM141" s="671"/>
      <c r="HN141" s="678"/>
      <c r="HO141" s="650"/>
      <c r="HP141" s="663"/>
      <c r="HQ141" s="671" t="str">
        <f t="shared" si="651"/>
        <v>rango cal. out</v>
      </c>
      <c r="HR141" s="619" t="e">
        <f t="shared" si="652"/>
        <v>#DIV/0!</v>
      </c>
      <c r="HS141" s="674" t="e">
        <f t="shared" si="653"/>
        <v>#VALUE!</v>
      </c>
      <c r="HT141" s="599" t="e">
        <f>HS141-AVERAGE(IA102:IA103)</f>
        <v>#VALUE!</v>
      </c>
      <c r="HU141" s="672" t="e">
        <f>ABS(#REF!*HT141*3600)</f>
        <v>#REF!</v>
      </c>
      <c r="HV141" s="675" t="e">
        <f t="shared" si="654"/>
        <v>#VALUE!</v>
      </c>
      <c r="HW141" s="614" t="e">
        <f t="shared" si="655"/>
        <v>#VALUE!</v>
      </c>
      <c r="HX141" s="672" t="e">
        <f t="shared" si="656"/>
        <v>#VALUE!</v>
      </c>
      <c r="HY141" s="600" t="e">
        <f t="shared" si="657"/>
        <v>#VALUE!</v>
      </c>
      <c r="HZ141" s="672" t="e">
        <f t="shared" si="658"/>
        <v>#VALUE!</v>
      </c>
      <c r="IA141" s="676" t="e">
        <f t="shared" si="659"/>
        <v>#VALUE!</v>
      </c>
      <c r="IB141" s="668"/>
      <c r="IC141" s="669"/>
      <c r="ID141" s="670"/>
      <c r="IE141" s="671"/>
      <c r="IF141" s="678"/>
      <c r="IG141" s="650"/>
      <c r="IH141" s="663"/>
      <c r="II141" s="671" t="str">
        <f t="shared" si="660"/>
        <v>rango cal. out</v>
      </c>
      <c r="IJ141" s="619" t="e">
        <f t="shared" si="661"/>
        <v>#DIV/0!</v>
      </c>
      <c r="IK141" s="674" t="e">
        <f t="shared" si="662"/>
        <v>#VALUE!</v>
      </c>
      <c r="IL141" s="599" t="e">
        <f>IK141-AVERAGE(IS102:IS103)</f>
        <v>#VALUE!</v>
      </c>
      <c r="IM141" s="672" t="e">
        <f>ABS(#REF!*IL141*3600)</f>
        <v>#REF!</v>
      </c>
      <c r="IN141" s="675" t="e">
        <f t="shared" si="663"/>
        <v>#VALUE!</v>
      </c>
      <c r="IO141" s="614" t="e">
        <f t="shared" si="664"/>
        <v>#VALUE!</v>
      </c>
      <c r="IP141" s="672" t="e">
        <f t="shared" si="665"/>
        <v>#VALUE!</v>
      </c>
      <c r="IQ141" s="600" t="e">
        <f t="shared" si="666"/>
        <v>#VALUE!</v>
      </c>
      <c r="IR141" s="672" t="e">
        <f t="shared" si="667"/>
        <v>#VALUE!</v>
      </c>
      <c r="IS141" s="676" t="e">
        <f t="shared" si="668"/>
        <v>#VALUE!</v>
      </c>
      <c r="IT141" s="668"/>
      <c r="IU141" s="669"/>
      <c r="IV141" s="670"/>
      <c r="IW141" s="671"/>
      <c r="IX141" s="678"/>
      <c r="IY141" s="650"/>
      <c r="IZ141" s="663"/>
      <c r="JA141" s="671" t="str">
        <f t="shared" si="669"/>
        <v>rango cal. out</v>
      </c>
      <c r="JB141" s="619" t="e">
        <f t="shared" si="670"/>
        <v>#DIV/0!</v>
      </c>
      <c r="JC141" s="674" t="e">
        <f t="shared" si="671"/>
        <v>#VALUE!</v>
      </c>
      <c r="JD141" s="599" t="e">
        <f>JC141-AVERAGE(JK102:JK103)</f>
        <v>#VALUE!</v>
      </c>
      <c r="JE141" s="672" t="e">
        <f>ABS(#REF!*JD141*3600)</f>
        <v>#REF!</v>
      </c>
      <c r="JF141" s="675" t="e">
        <f t="shared" si="672"/>
        <v>#VALUE!</v>
      </c>
      <c r="JG141" s="614" t="e">
        <f t="shared" si="673"/>
        <v>#VALUE!</v>
      </c>
      <c r="JH141" s="672" t="e">
        <f t="shared" si="674"/>
        <v>#VALUE!</v>
      </c>
      <c r="JI141" s="600" t="e">
        <f t="shared" si="675"/>
        <v>#VALUE!</v>
      </c>
      <c r="JJ141" s="672" t="e">
        <f t="shared" si="676"/>
        <v>#VALUE!</v>
      </c>
      <c r="JK141" s="676" t="e">
        <f t="shared" si="677"/>
        <v>#VALUE!</v>
      </c>
      <c r="JL141" s="668"/>
      <c r="JM141" s="669"/>
      <c r="JN141" s="670"/>
      <c r="JO141" s="671"/>
      <c r="JP141" s="678"/>
      <c r="JQ141" s="650"/>
      <c r="JR141" s="663"/>
      <c r="JS141" s="671" t="str">
        <f t="shared" si="678"/>
        <v>rango cal. out</v>
      </c>
      <c r="JT141" s="619" t="e">
        <f t="shared" si="679"/>
        <v>#DIV/0!</v>
      </c>
      <c r="JU141" s="674" t="e">
        <f t="shared" si="680"/>
        <v>#VALUE!</v>
      </c>
      <c r="JV141" s="599" t="e">
        <f>JU141-AVERAGE(KC102:KC103)</f>
        <v>#VALUE!</v>
      </c>
      <c r="JW141" s="672" t="e">
        <f>ABS(#REF!*JV141*3600)</f>
        <v>#REF!</v>
      </c>
      <c r="JX141" s="675" t="e">
        <f t="shared" si="681"/>
        <v>#VALUE!</v>
      </c>
      <c r="JY141" s="614" t="e">
        <f t="shared" si="682"/>
        <v>#VALUE!</v>
      </c>
      <c r="JZ141" s="672" t="e">
        <f t="shared" si="683"/>
        <v>#VALUE!</v>
      </c>
      <c r="KA141" s="600" t="e">
        <f t="shared" si="684"/>
        <v>#VALUE!</v>
      </c>
      <c r="KB141" s="672" t="e">
        <f t="shared" si="685"/>
        <v>#VALUE!</v>
      </c>
      <c r="KC141" s="676" t="e">
        <f t="shared" si="686"/>
        <v>#VALUE!</v>
      </c>
      <c r="KD141" s="668"/>
      <c r="KE141" s="669"/>
      <c r="KF141" s="670"/>
      <c r="KG141" s="671"/>
      <c r="KH141" s="678"/>
      <c r="KI141" s="650"/>
      <c r="KJ141" s="663"/>
      <c r="KK141" s="671" t="str">
        <f t="shared" si="687"/>
        <v>rango cal. out</v>
      </c>
      <c r="KL141" s="619" t="e">
        <f t="shared" si="688"/>
        <v>#DIV/0!</v>
      </c>
      <c r="KM141" s="674" t="e">
        <f t="shared" si="689"/>
        <v>#VALUE!</v>
      </c>
      <c r="KN141" s="599" t="e">
        <f>KM141-AVERAGE(KU102:KU103)</f>
        <v>#VALUE!</v>
      </c>
      <c r="KO141" s="672" t="e">
        <f>ABS(#REF!*KN141*3600)</f>
        <v>#REF!</v>
      </c>
      <c r="KP141" s="675" t="e">
        <f t="shared" si="690"/>
        <v>#VALUE!</v>
      </c>
      <c r="KQ141" s="614" t="e">
        <f t="shared" si="691"/>
        <v>#VALUE!</v>
      </c>
      <c r="KR141" s="672" t="e">
        <f t="shared" si="692"/>
        <v>#VALUE!</v>
      </c>
      <c r="KS141" s="600" t="e">
        <f t="shared" si="693"/>
        <v>#VALUE!</v>
      </c>
      <c r="KT141" s="672" t="e">
        <f t="shared" si="694"/>
        <v>#VALUE!</v>
      </c>
      <c r="KU141" s="676" t="e">
        <f t="shared" si="695"/>
        <v>#VALUE!</v>
      </c>
      <c r="KV141" s="668"/>
      <c r="KW141" s="669"/>
      <c r="KX141" s="670"/>
      <c r="KY141" s="671"/>
      <c r="KZ141" s="678"/>
      <c r="LA141" s="650"/>
      <c r="LB141" s="663"/>
      <c r="LC141" s="671" t="str">
        <f t="shared" si="696"/>
        <v>rango cal. out</v>
      </c>
      <c r="LD141" s="619" t="e">
        <f t="shared" si="697"/>
        <v>#DIV/0!</v>
      </c>
      <c r="LE141" s="674" t="e">
        <f t="shared" si="698"/>
        <v>#VALUE!</v>
      </c>
      <c r="LF141" s="599" t="e">
        <f>LE141-AVERAGE(LM102:LM103)</f>
        <v>#VALUE!</v>
      </c>
      <c r="LG141" s="672" t="e">
        <f>ABS(#REF!*LF141*3600)</f>
        <v>#REF!</v>
      </c>
      <c r="LH141" s="675" t="e">
        <f t="shared" si="699"/>
        <v>#VALUE!</v>
      </c>
      <c r="LI141" s="614" t="e">
        <f t="shared" si="700"/>
        <v>#VALUE!</v>
      </c>
      <c r="LJ141" s="672" t="e">
        <f t="shared" si="701"/>
        <v>#VALUE!</v>
      </c>
      <c r="LK141" s="600" t="e">
        <f t="shared" si="702"/>
        <v>#VALUE!</v>
      </c>
      <c r="LL141" s="672" t="e">
        <f t="shared" si="703"/>
        <v>#VALUE!</v>
      </c>
      <c r="LM141" s="676" t="e">
        <f t="shared" si="704"/>
        <v>#VALUE!</v>
      </c>
      <c r="LN141" s="668"/>
      <c r="LO141" s="669"/>
      <c r="LP141" s="670"/>
      <c r="LQ141" s="671"/>
      <c r="LR141" s="678"/>
      <c r="LS141" s="650"/>
      <c r="LT141" s="663"/>
      <c r="LU141" s="671" t="str">
        <f t="shared" si="705"/>
        <v>rango cal. out</v>
      </c>
      <c r="LV141" s="619" t="e">
        <f t="shared" si="706"/>
        <v>#DIV/0!</v>
      </c>
      <c r="LW141" s="674" t="e">
        <f t="shared" si="707"/>
        <v>#VALUE!</v>
      </c>
      <c r="LX141" s="599" t="e">
        <f>LW141-AVERAGE(ME102:ME103)</f>
        <v>#VALUE!</v>
      </c>
      <c r="LY141" s="672" t="e">
        <f>ABS(#REF!*LX141*3600)</f>
        <v>#REF!</v>
      </c>
      <c r="LZ141" s="675" t="e">
        <f t="shared" si="708"/>
        <v>#VALUE!</v>
      </c>
      <c r="MA141" s="614" t="e">
        <f t="shared" si="709"/>
        <v>#VALUE!</v>
      </c>
      <c r="MB141" s="672" t="e">
        <f t="shared" si="710"/>
        <v>#VALUE!</v>
      </c>
      <c r="MC141" s="600" t="e">
        <f t="shared" si="711"/>
        <v>#VALUE!</v>
      </c>
      <c r="MD141" s="672" t="e">
        <f t="shared" si="712"/>
        <v>#VALUE!</v>
      </c>
      <c r="ME141" s="676" t="e">
        <f t="shared" si="713"/>
        <v>#VALUE!</v>
      </c>
      <c r="MF141" s="668"/>
      <c r="MG141" s="669"/>
      <c r="MH141" s="670"/>
      <c r="MI141" s="671"/>
      <c r="MJ141" s="678"/>
      <c r="MK141" s="650"/>
      <c r="ML141" s="663"/>
      <c r="MM141" s="671" t="str">
        <f t="shared" si="714"/>
        <v>rango cal. out</v>
      </c>
      <c r="MN141" s="619" t="e">
        <f t="shared" si="715"/>
        <v>#DIV/0!</v>
      </c>
      <c r="MO141" s="674" t="e">
        <f t="shared" si="716"/>
        <v>#VALUE!</v>
      </c>
      <c r="MP141" s="599" t="e">
        <f>MO141-AVERAGE(MW102:MW103)</f>
        <v>#VALUE!</v>
      </c>
      <c r="MQ141" s="672" t="e">
        <f>ABS(#REF!*MP141*3600)</f>
        <v>#REF!</v>
      </c>
      <c r="MR141" s="675" t="e">
        <f t="shared" si="717"/>
        <v>#VALUE!</v>
      </c>
      <c r="MS141" s="614" t="e">
        <f t="shared" si="718"/>
        <v>#VALUE!</v>
      </c>
      <c r="MT141" s="672" t="e">
        <f t="shared" si="719"/>
        <v>#VALUE!</v>
      </c>
      <c r="MU141" s="600" t="e">
        <f t="shared" si="720"/>
        <v>#VALUE!</v>
      </c>
      <c r="MV141" s="672" t="e">
        <f t="shared" si="721"/>
        <v>#VALUE!</v>
      </c>
      <c r="MW141" s="676" t="e">
        <f t="shared" si="722"/>
        <v>#VALUE!</v>
      </c>
      <c r="MX141" s="668"/>
      <c r="MY141" s="669"/>
      <c r="MZ141" s="680"/>
      <c r="NA141" s="671"/>
      <c r="NB141" s="673"/>
      <c r="NC141" s="650"/>
      <c r="ND141" s="663"/>
      <c r="NE141" s="671" t="str">
        <f t="shared" si="723"/>
        <v>rango cal. out</v>
      </c>
      <c r="NF141" s="619" t="e">
        <f t="shared" si="724"/>
        <v>#DIV/0!</v>
      </c>
      <c r="NG141" s="674" t="e">
        <f t="shared" si="725"/>
        <v>#VALUE!</v>
      </c>
      <c r="NH141" s="599" t="e">
        <f>NG141-AVERAGE(NO102:NO103)</f>
        <v>#VALUE!</v>
      </c>
      <c r="NI141" s="672" t="e">
        <f>ABS(#REF!*NH141*3600)</f>
        <v>#REF!</v>
      </c>
      <c r="NJ141" s="675" t="e">
        <f t="shared" si="726"/>
        <v>#VALUE!</v>
      </c>
      <c r="NK141" s="614" t="e">
        <f t="shared" si="727"/>
        <v>#VALUE!</v>
      </c>
      <c r="NL141" s="672" t="e">
        <f t="shared" si="728"/>
        <v>#VALUE!</v>
      </c>
      <c r="NM141" s="600" t="e">
        <f t="shared" si="729"/>
        <v>#VALUE!</v>
      </c>
      <c r="NN141" s="672" t="e">
        <f t="shared" si="730"/>
        <v>#VALUE!</v>
      </c>
      <c r="NO141" s="676" t="e">
        <f t="shared" si="731"/>
        <v>#VALUE!</v>
      </c>
      <c r="NP141" s="668">
        <v>20.5</v>
      </c>
      <c r="NQ141" s="669">
        <v>54</v>
      </c>
      <c r="NR141" s="670">
        <v>1007</v>
      </c>
      <c r="NS141" s="2011">
        <v>-6.2000000000000006E-11</v>
      </c>
      <c r="NT141" s="678">
        <v>60</v>
      </c>
      <c r="NU141" s="663">
        <v>44334</v>
      </c>
      <c r="NV141" s="663" t="s">
        <v>268</v>
      </c>
      <c r="NW141" s="671">
        <f t="shared" si="732"/>
        <v>-6.2185999999999999E-11</v>
      </c>
      <c r="NX141" s="619">
        <f t="shared" si="733"/>
        <v>1.001093715939642</v>
      </c>
      <c r="NY141" s="674">
        <f t="shared" si="734"/>
        <v>-1.0275379074906593E-12</v>
      </c>
      <c r="NZ141" s="599">
        <f>NY141-AVERAGE(OG102:OG103)</f>
        <v>-1.0282900685626178E-12</v>
      </c>
      <c r="OA141" s="672" t="e">
        <f>ABS(#REF!*NZ141*3600)</f>
        <v>#REF!</v>
      </c>
      <c r="OB141" s="675">
        <f t="shared" si="735"/>
        <v>9.3286475020000698E-5</v>
      </c>
      <c r="OC141" s="614">
        <f t="shared" si="736"/>
        <v>9.3286475020000689E-3</v>
      </c>
      <c r="OD141" s="672">
        <f t="shared" si="737"/>
        <v>1.1194377002400083E-4</v>
      </c>
      <c r="OE141" s="600">
        <f t="shared" si="738"/>
        <v>1.1287663477420084E-4</v>
      </c>
      <c r="OF141" s="672">
        <f t="shared" si="739"/>
        <v>1.1287663477420084E-4</v>
      </c>
      <c r="OG141" s="676">
        <f t="shared" si="740"/>
        <v>1.1660809377500087E-4</v>
      </c>
      <c r="OH141" s="668"/>
      <c r="OI141" s="669"/>
      <c r="OJ141" s="670"/>
      <c r="OK141" s="671"/>
      <c r="OL141" s="678"/>
      <c r="OM141" s="650"/>
      <c r="ON141" s="663"/>
      <c r="OO141" s="671" t="str">
        <f t="shared" si="741"/>
        <v>rango cal. out</v>
      </c>
      <c r="OP141" s="619" t="e">
        <f t="shared" si="742"/>
        <v>#DIV/0!</v>
      </c>
      <c r="OQ141" s="674" t="e">
        <f t="shared" si="743"/>
        <v>#VALUE!</v>
      </c>
      <c r="OR141" s="599" t="e">
        <f>OQ141-AVERAGE(OY102:OY103)</f>
        <v>#VALUE!</v>
      </c>
      <c r="OS141" s="672" t="e">
        <f>ABS(#REF!*OR141*3600)</f>
        <v>#REF!</v>
      </c>
      <c r="OT141" s="675" t="e">
        <f t="shared" si="744"/>
        <v>#VALUE!</v>
      </c>
      <c r="OU141" s="614" t="e">
        <f t="shared" si="745"/>
        <v>#VALUE!</v>
      </c>
      <c r="OV141" s="672" t="e">
        <f t="shared" si="746"/>
        <v>#VALUE!</v>
      </c>
      <c r="OW141" s="600" t="e">
        <f t="shared" si="747"/>
        <v>#VALUE!</v>
      </c>
      <c r="OX141" s="672" t="e">
        <f t="shared" si="748"/>
        <v>#VALUE!</v>
      </c>
      <c r="OY141" s="676" t="e">
        <f t="shared" si="749"/>
        <v>#VALUE!</v>
      </c>
      <c r="OZ141" s="668">
        <v>20.5</v>
      </c>
      <c r="PA141" s="669">
        <v>54</v>
      </c>
      <c r="PB141" s="670">
        <v>1007</v>
      </c>
      <c r="PC141" s="2011">
        <v>-1.345E-10</v>
      </c>
      <c r="PD141" s="673">
        <v>60</v>
      </c>
      <c r="PE141" s="663">
        <v>44334</v>
      </c>
      <c r="PF141" s="663" t="s">
        <v>268</v>
      </c>
      <c r="PG141" s="671">
        <f t="shared" si="750"/>
        <v>-1.349035E-10</v>
      </c>
      <c r="PH141" s="619">
        <f t="shared" si="751"/>
        <v>1.001093715939642</v>
      </c>
      <c r="PI141" s="674">
        <f t="shared" si="752"/>
        <v>-2.2290943315724789E-12</v>
      </c>
      <c r="PJ141" s="599">
        <f>PI141-AVERAGE(PQ102:PQ103)</f>
        <v>-2.2274211214760386E-12</v>
      </c>
      <c r="PK141" s="672" t="e">
        <f>ABS(#REF!*PJ141*3600)</f>
        <v>#REF!</v>
      </c>
      <c r="PL141" s="675">
        <f t="shared" si="753"/>
        <v>2.0207164414030624E-4</v>
      </c>
      <c r="PM141" s="614">
        <f t="shared" si="754"/>
        <v>2.0207164414030622E-2</v>
      </c>
      <c r="PN141" s="672">
        <f t="shared" si="755"/>
        <v>2.4248597296836746E-4</v>
      </c>
      <c r="PO141" s="600">
        <f t="shared" si="756"/>
        <v>2.4450668940977056E-4</v>
      </c>
      <c r="PP141" s="672">
        <f t="shared" si="757"/>
        <v>2.4450668940977056E-4</v>
      </c>
      <c r="PQ141" s="676">
        <f t="shared" si="758"/>
        <v>2.5258955517538277E-4</v>
      </c>
      <c r="PR141" s="668"/>
      <c r="PS141" s="669"/>
      <c r="PT141" s="670"/>
      <c r="PU141" s="671"/>
      <c r="PV141" s="678"/>
      <c r="PW141" s="650"/>
      <c r="PX141" s="663"/>
      <c r="PY141" s="671" t="str">
        <f t="shared" si="759"/>
        <v>rango cal. out</v>
      </c>
      <c r="PZ141" s="619" t="e">
        <f t="shared" si="760"/>
        <v>#DIV/0!</v>
      </c>
      <c r="QA141" s="674" t="e">
        <f t="shared" si="761"/>
        <v>#VALUE!</v>
      </c>
      <c r="QB141" s="599" t="e">
        <f>QA141-AVERAGE(QI102:QI103)</f>
        <v>#VALUE!</v>
      </c>
      <c r="QC141" s="672" t="e">
        <f>ABS(#REF!*QB141*3600)</f>
        <v>#REF!</v>
      </c>
      <c r="QD141" s="675" t="e">
        <f t="shared" si="762"/>
        <v>#VALUE!</v>
      </c>
      <c r="QE141" s="614" t="e">
        <f t="shared" si="763"/>
        <v>#VALUE!</v>
      </c>
      <c r="QF141" s="672" t="e">
        <f t="shared" si="764"/>
        <v>#VALUE!</v>
      </c>
      <c r="QG141" s="600" t="e">
        <f t="shared" si="765"/>
        <v>#VALUE!</v>
      </c>
      <c r="QH141" s="672" t="e">
        <f t="shared" si="766"/>
        <v>#VALUE!</v>
      </c>
      <c r="QI141" s="676" t="e">
        <f t="shared" si="767"/>
        <v>#VALUE!</v>
      </c>
      <c r="QJ141" s="668"/>
      <c r="QK141" s="669"/>
      <c r="QL141" s="670"/>
      <c r="QM141" s="671"/>
      <c r="QN141" s="678"/>
      <c r="QO141" s="650"/>
      <c r="QP141" s="663"/>
      <c r="QQ141" s="671" t="str">
        <f t="shared" si="768"/>
        <v>rango cal. out</v>
      </c>
      <c r="QR141" s="619" t="e">
        <f t="shared" si="769"/>
        <v>#DIV/0!</v>
      </c>
      <c r="QS141" s="674" t="e">
        <f t="shared" si="770"/>
        <v>#VALUE!</v>
      </c>
      <c r="QT141" s="599" t="e">
        <f>QS141-AVERAGE(RA102:RA103)</f>
        <v>#VALUE!</v>
      </c>
      <c r="QU141" s="672" t="e">
        <f>ABS(#REF!*QT141*3600)</f>
        <v>#REF!</v>
      </c>
      <c r="QV141" s="675" t="e">
        <f t="shared" si="771"/>
        <v>#VALUE!</v>
      </c>
      <c r="QW141" s="614" t="e">
        <f t="shared" si="772"/>
        <v>#VALUE!</v>
      </c>
      <c r="QX141" s="672" t="e">
        <f t="shared" si="773"/>
        <v>#VALUE!</v>
      </c>
      <c r="QY141" s="600" t="e">
        <f t="shared" si="774"/>
        <v>#VALUE!</v>
      </c>
      <c r="QZ141" s="672" t="e">
        <f t="shared" si="775"/>
        <v>#VALUE!</v>
      </c>
      <c r="RA141" s="676" t="e">
        <f t="shared" si="776"/>
        <v>#VALUE!</v>
      </c>
      <c r="RB141" s="668"/>
      <c r="RC141" s="669"/>
      <c r="RD141" s="680"/>
      <c r="RE141" s="671"/>
      <c r="RF141" s="673"/>
      <c r="RG141" s="650"/>
      <c r="RH141" s="663"/>
      <c r="RI141" s="671" t="str">
        <f t="shared" si="777"/>
        <v>rango cal. out</v>
      </c>
      <c r="RJ141" s="619" t="e">
        <f t="shared" si="778"/>
        <v>#DIV/0!</v>
      </c>
      <c r="RK141" s="674" t="e">
        <f t="shared" si="779"/>
        <v>#VALUE!</v>
      </c>
      <c r="RL141" s="599" t="e">
        <f>RK141-AVERAGE(RS102:RS103)</f>
        <v>#VALUE!</v>
      </c>
      <c r="RM141" s="672" t="e">
        <f>ABS(#REF!*RL141*3600)</f>
        <v>#REF!</v>
      </c>
      <c r="RN141" s="675" t="e">
        <f t="shared" si="780"/>
        <v>#VALUE!</v>
      </c>
      <c r="RO141" s="614" t="e">
        <f t="shared" si="781"/>
        <v>#VALUE!</v>
      </c>
      <c r="RP141" s="672" t="e">
        <f t="shared" si="782"/>
        <v>#VALUE!</v>
      </c>
      <c r="RQ141" s="600" t="e">
        <f t="shared" si="783"/>
        <v>#VALUE!</v>
      </c>
      <c r="RR141" s="672" t="e">
        <f t="shared" si="784"/>
        <v>#VALUE!</v>
      </c>
      <c r="RS141" s="676" t="e">
        <f t="shared" si="785"/>
        <v>#VALUE!</v>
      </c>
      <c r="RT141" s="668"/>
      <c r="RU141" s="669"/>
      <c r="RV141" s="669"/>
      <c r="RW141" s="679"/>
      <c r="RX141" s="673"/>
      <c r="RY141" s="650"/>
      <c r="RZ141" s="663"/>
      <c r="SA141" s="671" t="str">
        <f t="shared" si="786"/>
        <v>rango cal. out</v>
      </c>
      <c r="SB141" s="619" t="e">
        <f t="shared" si="787"/>
        <v>#DIV/0!</v>
      </c>
      <c r="SC141" s="674" t="e">
        <f t="shared" si="788"/>
        <v>#VALUE!</v>
      </c>
      <c r="SD141" s="599" t="e">
        <f>SC141-AVERAGE(SK102:SK103)</f>
        <v>#VALUE!</v>
      </c>
      <c r="SE141" s="672" t="e">
        <f>ABS(#REF!*SD141*3600)</f>
        <v>#REF!</v>
      </c>
      <c r="SF141" s="675" t="e">
        <f t="shared" si="789"/>
        <v>#VALUE!</v>
      </c>
      <c r="SG141" s="614" t="e">
        <f t="shared" si="790"/>
        <v>#VALUE!</v>
      </c>
      <c r="SH141" s="672" t="e">
        <f t="shared" si="791"/>
        <v>#VALUE!</v>
      </c>
      <c r="SI141" s="600" t="e">
        <f t="shared" si="792"/>
        <v>#VALUE!</v>
      </c>
      <c r="SJ141" s="672" t="e">
        <f t="shared" si="793"/>
        <v>#VALUE!</v>
      </c>
      <c r="SK141" s="676" t="e">
        <f t="shared" si="794"/>
        <v>#VALUE!</v>
      </c>
      <c r="SL141" s="668">
        <v>20.5</v>
      </c>
      <c r="SM141" s="669">
        <v>55</v>
      </c>
      <c r="SN141" s="670">
        <v>1007</v>
      </c>
      <c r="SO141" s="2011">
        <v>-1.4E-11</v>
      </c>
      <c r="SP141" s="673">
        <v>60</v>
      </c>
      <c r="SQ141" s="663">
        <v>44334</v>
      </c>
      <c r="SR141" s="663" t="s">
        <v>268</v>
      </c>
      <c r="SS141" s="671">
        <f t="shared" si="795"/>
        <v>-1.4041999999999999E-11</v>
      </c>
      <c r="ST141" s="619">
        <f t="shared" si="796"/>
        <v>1.001093715939642</v>
      </c>
      <c r="SU141" s="674">
        <f t="shared" si="797"/>
        <v>-2.3202468878821338E-13</v>
      </c>
      <c r="SV141" s="599">
        <f>SU141-AVERAGE(TC102:TC103)</f>
        <v>-2.3009201601418109E-13</v>
      </c>
      <c r="SW141" s="672" t="e">
        <f>ABS(#REF!*SV141*3600)</f>
        <v>#REF!</v>
      </c>
      <c r="SX141" s="675">
        <f t="shared" si="798"/>
        <v>2.0873947692806508E-5</v>
      </c>
      <c r="SY141" s="614">
        <f t="shared" si="799"/>
        <v>2.0873947692806507E-3</v>
      </c>
      <c r="SZ141" s="672">
        <f t="shared" si="800"/>
        <v>2.5048737231367809E-5</v>
      </c>
      <c r="TA141" s="600">
        <f t="shared" si="801"/>
        <v>2.5257476708295873E-5</v>
      </c>
      <c r="TB141" s="672">
        <f t="shared" si="802"/>
        <v>2.5257476708295873E-5</v>
      </c>
      <c r="TC141" s="676">
        <f t="shared" si="803"/>
        <v>2.6092434616008134E-5</v>
      </c>
      <c r="TD141" s="668">
        <v>20.5</v>
      </c>
      <c r="TE141" s="669">
        <v>56</v>
      </c>
      <c r="TF141" s="670">
        <v>1008</v>
      </c>
      <c r="TG141" s="2011">
        <v>-3.0700000000000003E-10</v>
      </c>
      <c r="TH141" s="673">
        <v>60</v>
      </c>
      <c r="TI141" s="663">
        <v>44334</v>
      </c>
      <c r="TJ141" s="663" t="s">
        <v>268</v>
      </c>
      <c r="TK141" s="671">
        <f t="shared" si="804"/>
        <v>-3.0792100000000002E-10</v>
      </c>
      <c r="TL141" s="619">
        <f t="shared" si="805"/>
        <v>1.0001005674119241</v>
      </c>
      <c r="TM141" s="674">
        <f t="shared" si="806"/>
        <v>-5.0829223720370888E-12</v>
      </c>
      <c r="TN141" s="599">
        <f>TM141-AVERAGE(TU102:TU103)</f>
        <v>-5.0825559288498841E-12</v>
      </c>
      <c r="TO141" s="672" t="e">
        <f>ABS(#REF!*TN141*3600)</f>
        <v>#REF!</v>
      </c>
      <c r="TP141" s="675">
        <f t="shared" si="807"/>
        <v>4.6108947386526151E-4</v>
      </c>
      <c r="TQ141" s="614">
        <f t="shared" si="808"/>
        <v>4.6108947386526149E-2</v>
      </c>
      <c r="TR141" s="672">
        <f t="shared" si="809"/>
        <v>5.5330736863831384E-4</v>
      </c>
      <c r="TS141" s="600">
        <f t="shared" si="810"/>
        <v>5.5791826337696642E-4</v>
      </c>
      <c r="TT141" s="672">
        <f t="shared" si="811"/>
        <v>5.5791826337696642E-4</v>
      </c>
      <c r="TU141" s="676">
        <f t="shared" si="812"/>
        <v>5.7636184233157695E-4</v>
      </c>
      <c r="TV141" s="668"/>
      <c r="TW141" s="669"/>
      <c r="TX141" s="670"/>
      <c r="TY141" s="671"/>
      <c r="TZ141" s="678"/>
      <c r="UA141" s="650"/>
      <c r="UB141" s="663"/>
      <c r="UC141" s="671" t="str">
        <f t="shared" si="813"/>
        <v>rango cal. out</v>
      </c>
      <c r="UD141" s="619" t="e">
        <f t="shared" si="814"/>
        <v>#DIV/0!</v>
      </c>
      <c r="UE141" s="674" t="e">
        <f t="shared" si="815"/>
        <v>#VALUE!</v>
      </c>
      <c r="UF141" s="599" t="e">
        <f>UE141-AVERAGE(UM102:UM103)</f>
        <v>#VALUE!</v>
      </c>
      <c r="UG141" s="672" t="e">
        <f>ABS(#REF!*UF141*3600)</f>
        <v>#REF!</v>
      </c>
      <c r="UH141" s="675" t="e">
        <f t="shared" si="816"/>
        <v>#VALUE!</v>
      </c>
      <c r="UI141" s="614" t="e">
        <f t="shared" si="817"/>
        <v>#VALUE!</v>
      </c>
      <c r="UJ141" s="672" t="e">
        <f t="shared" si="818"/>
        <v>#VALUE!</v>
      </c>
      <c r="UK141" s="600" t="e">
        <f t="shared" si="819"/>
        <v>#VALUE!</v>
      </c>
      <c r="UL141" s="672" t="e">
        <f t="shared" si="820"/>
        <v>#VALUE!</v>
      </c>
      <c r="UM141" s="676" t="e">
        <f t="shared" si="821"/>
        <v>#VALUE!</v>
      </c>
      <c r="UN141" s="668">
        <v>20.5</v>
      </c>
      <c r="UO141" s="669">
        <v>55</v>
      </c>
      <c r="UP141" s="670">
        <v>1008</v>
      </c>
      <c r="UQ141" s="2011">
        <v>-2.0999999999999999E-11</v>
      </c>
      <c r="UR141" s="673">
        <v>60</v>
      </c>
      <c r="US141" s="663">
        <v>44334</v>
      </c>
      <c r="UT141" s="663" t="s">
        <v>268</v>
      </c>
      <c r="UU141" s="671">
        <f t="shared" si="822"/>
        <v>-2.1062999999999996E-11</v>
      </c>
      <c r="UV141" s="619">
        <f t="shared" si="823"/>
        <v>1.0001005674119241</v>
      </c>
      <c r="UW141" s="674">
        <f t="shared" si="824"/>
        <v>-3.476917583478138E-13</v>
      </c>
      <c r="UX141" s="599">
        <f>UW141-AVERAGE(VE102:VE103)</f>
        <v>-3.4752928526554906E-13</v>
      </c>
      <c r="UY141" s="672" t="e">
        <f>ABS(#REF!*UX141*3600)</f>
        <v>#REF!</v>
      </c>
      <c r="UZ141" s="675">
        <f t="shared" si="825"/>
        <v>3.1527856759290613E-5</v>
      </c>
      <c r="VA141" s="614">
        <f t="shared" si="826"/>
        <v>3.1527856759290614E-3</v>
      </c>
      <c r="VB141" s="672">
        <f t="shared" si="827"/>
        <v>3.7833428111148733E-5</v>
      </c>
      <c r="VC141" s="600">
        <f t="shared" si="828"/>
        <v>3.8148706678741642E-5</v>
      </c>
      <c r="VD141" s="672">
        <f t="shared" si="829"/>
        <v>3.8148706678741642E-5</v>
      </c>
      <c r="VE141" s="676">
        <f t="shared" si="830"/>
        <v>3.940982094911327E-5</v>
      </c>
    </row>
    <row r="142" spans="1:577" x14ac:dyDescent="0.25">
      <c r="A142" s="2219"/>
      <c r="B142" s="668">
        <v>20.2</v>
      </c>
      <c r="C142" s="673">
        <v>52</v>
      </c>
      <c r="D142" s="678">
        <v>1010</v>
      </c>
      <c r="E142" s="2011">
        <v>-4.8300000000000001E-9</v>
      </c>
      <c r="F142" s="673">
        <v>60</v>
      </c>
      <c r="G142" s="663">
        <v>44334</v>
      </c>
      <c r="H142" s="650" t="s">
        <v>1042</v>
      </c>
      <c r="I142" s="671">
        <f t="shared" si="543"/>
        <v>-4.8348299999999995E-9</v>
      </c>
      <c r="J142" s="619">
        <f t="shared" si="544"/>
        <v>0.9971006399420429</v>
      </c>
      <c r="K142" s="674">
        <f t="shared" si="545"/>
        <v>-7.957024552122113E-11</v>
      </c>
      <c r="L142" s="599">
        <f>K142-AVERAGE(S102:S103)</f>
        <v>-7.9546433553849638E-11</v>
      </c>
      <c r="M142" s="672" t="e">
        <f>ABS(#REF!*L142*3600)</f>
        <v>#REF!</v>
      </c>
      <c r="N142" s="675">
        <f t="shared" si="546"/>
        <v>7.2164524520052387E-3</v>
      </c>
      <c r="O142" s="614">
        <f t="shared" si="547"/>
        <v>0.72164524520052387</v>
      </c>
      <c r="P142" s="672">
        <f t="shared" si="548"/>
        <v>8.6597429424062865E-3</v>
      </c>
      <c r="Q142" s="600">
        <f t="shared" si="549"/>
        <v>8.7319074669263384E-3</v>
      </c>
      <c r="R142" s="672">
        <f t="shared" si="550"/>
        <v>8.7319074669263384E-3</v>
      </c>
      <c r="S142" s="676">
        <f t="shared" si="551"/>
        <v>9.020565565006548E-3</v>
      </c>
      <c r="T142" s="677"/>
      <c r="U142" s="669"/>
      <c r="V142" s="670"/>
      <c r="W142" s="671"/>
      <c r="X142" s="678"/>
      <c r="Y142" s="650"/>
      <c r="Z142" s="650"/>
      <c r="AA142" s="671" t="str">
        <f t="shared" si="552"/>
        <v>rango cal. out</v>
      </c>
      <c r="AB142" s="619" t="e">
        <f t="shared" si="553"/>
        <v>#DIV/0!</v>
      </c>
      <c r="AC142" s="674" t="e">
        <f t="shared" si="554"/>
        <v>#VALUE!</v>
      </c>
      <c r="AD142" s="599" t="e">
        <f>AC142-AVERAGE(#REF!)</f>
        <v>#VALUE!</v>
      </c>
      <c r="AE142" s="672" t="e">
        <f>ABS(#REF!*AD142*3600)</f>
        <v>#REF!</v>
      </c>
      <c r="AF142" s="675" t="e">
        <f t="shared" si="555"/>
        <v>#VALUE!</v>
      </c>
      <c r="AG142" s="614" t="e">
        <f t="shared" si="556"/>
        <v>#VALUE!</v>
      </c>
      <c r="AH142" s="672" t="e">
        <f t="shared" si="557"/>
        <v>#VALUE!</v>
      </c>
      <c r="AI142" s="600" t="e">
        <f t="shared" si="558"/>
        <v>#VALUE!</v>
      </c>
      <c r="AJ142" s="672" t="e">
        <f t="shared" si="559"/>
        <v>#VALUE!</v>
      </c>
      <c r="AK142" s="676" t="e">
        <f t="shared" si="560"/>
        <v>#VALUE!</v>
      </c>
      <c r="AL142" s="677"/>
      <c r="AM142" s="669"/>
      <c r="AN142" s="670"/>
      <c r="AO142" s="671"/>
      <c r="AP142" s="678"/>
      <c r="AQ142" s="650"/>
      <c r="AR142" s="650"/>
      <c r="AS142" s="671" t="str">
        <f t="shared" si="561"/>
        <v>rango cal. out</v>
      </c>
      <c r="AT142" s="619" t="e">
        <f t="shared" si="562"/>
        <v>#DIV/0!</v>
      </c>
      <c r="AU142" s="674" t="e">
        <f t="shared" si="563"/>
        <v>#VALUE!</v>
      </c>
      <c r="AV142" s="599" t="e">
        <f>AU142-AVERAGE(BC102:BC103)</f>
        <v>#VALUE!</v>
      </c>
      <c r="AW142" s="672" t="e">
        <f>ABS(#REF!*AV142*3600)</f>
        <v>#REF!</v>
      </c>
      <c r="AX142" s="675" t="e">
        <f t="shared" si="564"/>
        <v>#VALUE!</v>
      </c>
      <c r="AY142" s="614" t="e">
        <f t="shared" si="565"/>
        <v>#VALUE!</v>
      </c>
      <c r="AZ142" s="672" t="e">
        <f t="shared" si="566"/>
        <v>#VALUE!</v>
      </c>
      <c r="BA142" s="600" t="e">
        <f t="shared" si="567"/>
        <v>#VALUE!</v>
      </c>
      <c r="BB142" s="672" t="e">
        <f t="shared" si="568"/>
        <v>#VALUE!</v>
      </c>
      <c r="BC142" s="676" t="e">
        <f t="shared" si="569"/>
        <v>#VALUE!</v>
      </c>
      <c r="BD142" s="668">
        <v>20.7</v>
      </c>
      <c r="BE142" s="669">
        <v>53</v>
      </c>
      <c r="BF142" s="670">
        <v>1009</v>
      </c>
      <c r="BG142" s="2010">
        <v>-7.7950000000000005E-10</v>
      </c>
      <c r="BH142" s="673">
        <v>60</v>
      </c>
      <c r="BI142" s="663">
        <v>44334</v>
      </c>
      <c r="BJ142" s="650" t="s">
        <v>268</v>
      </c>
      <c r="BK142" s="671">
        <f t="shared" si="570"/>
        <v>-7.818385E-10</v>
      </c>
      <c r="BL142" s="619">
        <f t="shared" si="571"/>
        <v>0.9997897479594221</v>
      </c>
      <c r="BM142" s="674">
        <f t="shared" si="572"/>
        <v>-1.2901975906448553E-11</v>
      </c>
      <c r="BN142" s="599">
        <f>BM142-AVERAGE(BU102:BU103)</f>
        <v>-1.2900630722340157E-11</v>
      </c>
      <c r="BO142" s="672" t="e">
        <f>ABS(#REF!*BN142*3600)</f>
        <v>#REF!</v>
      </c>
      <c r="BP142" s="675">
        <f t="shared" si="573"/>
        <v>1.170345219130699E-3</v>
      </c>
      <c r="BQ142" s="614">
        <f t="shared" si="574"/>
        <v>0.1170345219130699</v>
      </c>
      <c r="BR142" s="672">
        <f t="shared" si="575"/>
        <v>1.4044142629568387E-3</v>
      </c>
      <c r="BS142" s="600">
        <f t="shared" si="576"/>
        <v>1.4161177151481457E-3</v>
      </c>
      <c r="BT142" s="672">
        <f t="shared" si="577"/>
        <v>1.4161177151481457E-3</v>
      </c>
      <c r="BU142" s="676">
        <f t="shared" si="578"/>
        <v>1.4629315239133738E-3</v>
      </c>
      <c r="BV142" s="668">
        <v>20.6</v>
      </c>
      <c r="BW142" s="669">
        <v>52</v>
      </c>
      <c r="BX142" s="680">
        <v>1008</v>
      </c>
      <c r="BY142" s="2023">
        <v>-3.55E-11</v>
      </c>
      <c r="BZ142" s="673">
        <v>60</v>
      </c>
      <c r="CA142" s="663">
        <v>44334</v>
      </c>
      <c r="CB142" s="650" t="s">
        <v>268</v>
      </c>
      <c r="CC142" s="671">
        <f t="shared" si="579"/>
        <v>-3.5606499999999996E-11</v>
      </c>
      <c r="CD142" s="619">
        <f t="shared" si="580"/>
        <v>1.0004410851400183</v>
      </c>
      <c r="CE142" s="674">
        <f t="shared" si="581"/>
        <v>-5.879647632653766E-13</v>
      </c>
      <c r="CF142" s="599">
        <f>CE142-AVERAGE(CM102:CM103)</f>
        <v>-5.861632680302349E-13</v>
      </c>
      <c r="CG142" s="672" t="e">
        <f>ABS(#REF!*CF142*3600)</f>
        <v>#REF!</v>
      </c>
      <c r="CH142" s="675">
        <f t="shared" si="582"/>
        <v>5.3176731675702909E-5</v>
      </c>
      <c r="CI142" s="614">
        <f t="shared" si="583"/>
        <v>5.3176731675702912E-3</v>
      </c>
      <c r="CJ142" s="672">
        <f t="shared" si="584"/>
        <v>6.381207801084349E-5</v>
      </c>
      <c r="CK142" s="600">
        <f t="shared" si="585"/>
        <v>6.4343845327600511E-5</v>
      </c>
      <c r="CL142" s="672">
        <f t="shared" si="586"/>
        <v>6.4343845327600511E-5</v>
      </c>
      <c r="CM142" s="676">
        <f t="shared" si="587"/>
        <v>6.6470914594628634E-5</v>
      </c>
      <c r="CN142" s="668">
        <v>20.6</v>
      </c>
      <c r="CO142" s="669">
        <v>52</v>
      </c>
      <c r="CP142" s="680">
        <v>1007</v>
      </c>
      <c r="CQ142" s="2011">
        <v>-1.8199999999999999E-9</v>
      </c>
      <c r="CR142" s="673">
        <v>60</v>
      </c>
      <c r="CS142" s="663">
        <v>44334</v>
      </c>
      <c r="CT142" s="650" t="s">
        <v>268</v>
      </c>
      <c r="CU142" s="671">
        <f t="shared" si="588"/>
        <v>-1.8254599999999998E-9</v>
      </c>
      <c r="CV142" s="619">
        <f t="shared" si="589"/>
        <v>1.0014345718184097</v>
      </c>
      <c r="CW142" s="674">
        <f t="shared" si="590"/>
        <v>-3.0173479617218336E-11</v>
      </c>
      <c r="CX142" s="599">
        <f>CW142-AVERAGE(DE102:DE103)</f>
        <v>-3.0162191930512913E-11</v>
      </c>
      <c r="CY142" s="672" t="e">
        <f>ABS(#REF!*CX142*3600)</f>
        <v>#REF!</v>
      </c>
      <c r="CZ142" s="675">
        <f t="shared" si="591"/>
        <v>2.7363140519361313E-3</v>
      </c>
      <c r="DA142" s="614">
        <f t="shared" si="592"/>
        <v>0.27363140519361312</v>
      </c>
      <c r="DB142" s="672">
        <f t="shared" si="593"/>
        <v>3.2835768623233575E-3</v>
      </c>
      <c r="DC142" s="600">
        <f t="shared" si="594"/>
        <v>3.3109400028427187E-3</v>
      </c>
      <c r="DD142" s="672">
        <f t="shared" si="595"/>
        <v>3.3109400028427187E-3</v>
      </c>
      <c r="DE142" s="676">
        <f t="shared" si="596"/>
        <v>3.420392564920164E-3</v>
      </c>
      <c r="DF142" s="668"/>
      <c r="DG142" s="669"/>
      <c r="DH142" s="670"/>
      <c r="DI142" s="671"/>
      <c r="DJ142" s="678"/>
      <c r="DK142" s="650"/>
      <c r="DL142" s="650" t="s">
        <v>268</v>
      </c>
      <c r="DM142" s="671">
        <f t="shared" si="597"/>
        <v>0</v>
      </c>
      <c r="DN142" s="619" t="e">
        <f t="shared" si="598"/>
        <v>#DIV/0!</v>
      </c>
      <c r="DO142" s="674" t="e">
        <f t="shared" si="599"/>
        <v>#DIV/0!</v>
      </c>
      <c r="DP142" s="599" t="e">
        <f>DO142-AVERAGE(DW102:DW103)</f>
        <v>#DIV/0!</v>
      </c>
      <c r="DQ142" s="672" t="e">
        <f>ABS(#REF!*DP142*3600)</f>
        <v>#REF!</v>
      </c>
      <c r="DR142" s="675" t="e">
        <f t="shared" si="600"/>
        <v>#DIV/0!</v>
      </c>
      <c r="DS142" s="614" t="e">
        <f t="shared" si="601"/>
        <v>#DIV/0!</v>
      </c>
      <c r="DT142" s="672" t="e">
        <f t="shared" si="602"/>
        <v>#DIV/0!</v>
      </c>
      <c r="DU142" s="600" t="e">
        <f t="shared" si="603"/>
        <v>#DIV/0!</v>
      </c>
      <c r="DV142" s="672" t="e">
        <f t="shared" si="604"/>
        <v>#DIV/0!</v>
      </c>
      <c r="DW142" s="676" t="e">
        <f t="shared" si="605"/>
        <v>#DIV/0!</v>
      </c>
      <c r="DX142" s="668"/>
      <c r="DY142" s="669"/>
      <c r="DZ142" s="677"/>
      <c r="EA142" s="679"/>
      <c r="EB142" s="678"/>
      <c r="EC142" s="650"/>
      <c r="ED142" s="650"/>
      <c r="EE142" s="671" t="str">
        <f t="shared" si="606"/>
        <v>rango cal. out</v>
      </c>
      <c r="EF142" s="619" t="e">
        <f t="shared" si="607"/>
        <v>#DIV/0!</v>
      </c>
      <c r="EG142" s="674" t="e">
        <f t="shared" si="608"/>
        <v>#VALUE!</v>
      </c>
      <c r="EH142" s="599" t="e">
        <f>EG142-AVERAGE(EO102:EO103)</f>
        <v>#VALUE!</v>
      </c>
      <c r="EI142" s="672" t="e">
        <f>ABS(#REF!*EH142*3600)</f>
        <v>#REF!</v>
      </c>
      <c r="EJ142" s="675" t="e">
        <f t="shared" si="609"/>
        <v>#VALUE!</v>
      </c>
      <c r="EK142" s="614" t="e">
        <f t="shared" si="610"/>
        <v>#VALUE!</v>
      </c>
      <c r="EL142" s="672" t="e">
        <f t="shared" si="611"/>
        <v>#VALUE!</v>
      </c>
      <c r="EM142" s="600" t="e">
        <f t="shared" si="612"/>
        <v>#VALUE!</v>
      </c>
      <c r="EN142" s="672" t="e">
        <f t="shared" si="613"/>
        <v>#VALUE!</v>
      </c>
      <c r="EO142" s="676" t="e">
        <f t="shared" si="614"/>
        <v>#VALUE!</v>
      </c>
      <c r="EP142" s="668">
        <v>20.5</v>
      </c>
      <c r="EQ142" s="669">
        <v>54</v>
      </c>
      <c r="ER142" s="670">
        <v>1007</v>
      </c>
      <c r="ES142" s="2023">
        <v>-7.5E-12</v>
      </c>
      <c r="ET142" s="673">
        <v>60</v>
      </c>
      <c r="EU142" s="663">
        <v>44334</v>
      </c>
      <c r="EV142" s="650" t="s">
        <v>268</v>
      </c>
      <c r="EW142" s="671">
        <f t="shared" si="615"/>
        <v>-7.5224999999999991E-12</v>
      </c>
      <c r="EX142" s="619">
        <f t="shared" si="616"/>
        <v>1.001093715939642</v>
      </c>
      <c r="EY142" s="674">
        <f t="shared" si="617"/>
        <v>-1.2429894042225715E-13</v>
      </c>
      <c r="EZ142" s="599">
        <f>EY142-AVERAGE(FG102:FG103)</f>
        <v>-1.2537950423185688E-13</v>
      </c>
      <c r="FA142" s="672" t="e">
        <f>ABS(#REF!*EZ142*3600)</f>
        <v>#REF!</v>
      </c>
      <c r="FB142" s="675">
        <f t="shared" si="618"/>
        <v>1.1374428623914056E-5</v>
      </c>
      <c r="FC142" s="614">
        <f t="shared" si="619"/>
        <v>1.1374428623914057E-3</v>
      </c>
      <c r="FD142" s="672">
        <f t="shared" si="620"/>
        <v>1.3649314348696867E-5</v>
      </c>
      <c r="FE142" s="600">
        <f t="shared" si="621"/>
        <v>1.3763058634936008E-5</v>
      </c>
      <c r="FF142" s="672">
        <f t="shared" si="622"/>
        <v>1.3763058634936008E-5</v>
      </c>
      <c r="FG142" s="676">
        <f t="shared" si="623"/>
        <v>1.421803577989257E-5</v>
      </c>
      <c r="FH142" s="668"/>
      <c r="FI142" s="669"/>
      <c r="FJ142" s="670"/>
      <c r="FK142" s="671"/>
      <c r="FL142" s="678"/>
      <c r="FM142" s="650"/>
      <c r="FN142" s="650"/>
      <c r="FO142" s="671" t="str">
        <f t="shared" si="624"/>
        <v>rango cal. out</v>
      </c>
      <c r="FP142" s="619" t="e">
        <f t="shared" si="625"/>
        <v>#DIV/0!</v>
      </c>
      <c r="FQ142" s="674" t="e">
        <f t="shared" si="626"/>
        <v>#VALUE!</v>
      </c>
      <c r="FR142" s="599" t="e">
        <f>FQ142-AVERAGE(FY102:FY103)</f>
        <v>#VALUE!</v>
      </c>
      <c r="FS142" s="672" t="e">
        <f>ABS(#REF!*FR142*3600)</f>
        <v>#REF!</v>
      </c>
      <c r="FT142" s="675" t="e">
        <f t="shared" si="627"/>
        <v>#VALUE!</v>
      </c>
      <c r="FU142" s="614" t="e">
        <f t="shared" si="628"/>
        <v>#VALUE!</v>
      </c>
      <c r="FV142" s="672" t="e">
        <f t="shared" si="629"/>
        <v>#VALUE!</v>
      </c>
      <c r="FW142" s="600" t="e">
        <f t="shared" si="630"/>
        <v>#VALUE!</v>
      </c>
      <c r="FX142" s="672" t="e">
        <f t="shared" si="631"/>
        <v>#VALUE!</v>
      </c>
      <c r="FY142" s="676" t="e">
        <f t="shared" si="632"/>
        <v>#VALUE!</v>
      </c>
      <c r="FZ142" s="668"/>
      <c r="GA142" s="669"/>
      <c r="GB142" s="670"/>
      <c r="GC142" s="671"/>
      <c r="GD142" s="678"/>
      <c r="GE142" s="650"/>
      <c r="GF142" s="650"/>
      <c r="GG142" s="671" t="str">
        <f t="shared" si="633"/>
        <v>rango cal. out</v>
      </c>
      <c r="GH142" s="619" t="e">
        <f t="shared" si="634"/>
        <v>#DIV/0!</v>
      </c>
      <c r="GI142" s="674" t="e">
        <f t="shared" si="635"/>
        <v>#VALUE!</v>
      </c>
      <c r="GJ142" s="599" t="e">
        <f>GI142-AVERAGE(GQ102:GQ103)</f>
        <v>#VALUE!</v>
      </c>
      <c r="GK142" s="672" t="e">
        <f>ABS(#REF!*GJ142*3600)</f>
        <v>#REF!</v>
      </c>
      <c r="GL142" s="675" t="e">
        <f t="shared" si="636"/>
        <v>#VALUE!</v>
      </c>
      <c r="GM142" s="614" t="e">
        <f t="shared" si="637"/>
        <v>#VALUE!</v>
      </c>
      <c r="GN142" s="672" t="e">
        <f t="shared" si="638"/>
        <v>#VALUE!</v>
      </c>
      <c r="GO142" s="600" t="e">
        <f t="shared" si="639"/>
        <v>#VALUE!</v>
      </c>
      <c r="GP142" s="672" t="e">
        <f t="shared" si="640"/>
        <v>#VALUE!</v>
      </c>
      <c r="GQ142" s="676" t="e">
        <f t="shared" si="641"/>
        <v>#VALUE!</v>
      </c>
      <c r="GR142" s="668"/>
      <c r="GS142" s="669"/>
      <c r="GT142" s="677"/>
      <c r="GU142" s="679"/>
      <c r="GV142" s="678"/>
      <c r="GW142" s="650"/>
      <c r="GX142" s="650"/>
      <c r="GY142" s="671" t="str">
        <f t="shared" si="642"/>
        <v>rango cal. out</v>
      </c>
      <c r="GZ142" s="619" t="e">
        <f t="shared" si="643"/>
        <v>#DIV/0!</v>
      </c>
      <c r="HA142" s="674" t="e">
        <f t="shared" si="644"/>
        <v>#VALUE!</v>
      </c>
      <c r="HB142" s="599" t="e">
        <f>HA142-AVERAGE(HI102:HI103)</f>
        <v>#VALUE!</v>
      </c>
      <c r="HC142" s="672" t="e">
        <f>ABS(#REF!*HB142*3600)</f>
        <v>#REF!</v>
      </c>
      <c r="HD142" s="675" t="e">
        <f t="shared" si="645"/>
        <v>#VALUE!</v>
      </c>
      <c r="HE142" s="614" t="e">
        <f t="shared" si="646"/>
        <v>#VALUE!</v>
      </c>
      <c r="HF142" s="672" t="e">
        <f t="shared" si="647"/>
        <v>#VALUE!</v>
      </c>
      <c r="HG142" s="600" t="e">
        <f t="shared" si="648"/>
        <v>#VALUE!</v>
      </c>
      <c r="HH142" s="672" t="e">
        <f t="shared" si="649"/>
        <v>#VALUE!</v>
      </c>
      <c r="HI142" s="676" t="e">
        <f t="shared" si="650"/>
        <v>#VALUE!</v>
      </c>
      <c r="HJ142" s="668"/>
      <c r="HK142" s="669"/>
      <c r="HL142" s="670"/>
      <c r="HM142" s="671"/>
      <c r="HN142" s="678"/>
      <c r="HO142" s="650"/>
      <c r="HP142" s="650"/>
      <c r="HQ142" s="671" t="str">
        <f t="shared" si="651"/>
        <v>rango cal. out</v>
      </c>
      <c r="HR142" s="619" t="e">
        <f t="shared" si="652"/>
        <v>#DIV/0!</v>
      </c>
      <c r="HS142" s="674" t="e">
        <f t="shared" si="653"/>
        <v>#VALUE!</v>
      </c>
      <c r="HT142" s="599" t="e">
        <f>HS142-AVERAGE(IA102:IA103)</f>
        <v>#VALUE!</v>
      </c>
      <c r="HU142" s="672" t="e">
        <f>ABS(#REF!*HT142*3600)</f>
        <v>#REF!</v>
      </c>
      <c r="HV142" s="675" t="e">
        <f t="shared" si="654"/>
        <v>#VALUE!</v>
      </c>
      <c r="HW142" s="614" t="e">
        <f t="shared" si="655"/>
        <v>#VALUE!</v>
      </c>
      <c r="HX142" s="672" t="e">
        <f t="shared" si="656"/>
        <v>#VALUE!</v>
      </c>
      <c r="HY142" s="600" t="e">
        <f t="shared" si="657"/>
        <v>#VALUE!</v>
      </c>
      <c r="HZ142" s="672" t="e">
        <f t="shared" si="658"/>
        <v>#VALUE!</v>
      </c>
      <c r="IA142" s="676" t="e">
        <f t="shared" si="659"/>
        <v>#VALUE!</v>
      </c>
      <c r="IB142" s="668"/>
      <c r="IC142" s="669"/>
      <c r="ID142" s="670"/>
      <c r="IE142" s="671"/>
      <c r="IF142" s="678"/>
      <c r="IG142" s="650"/>
      <c r="IH142" s="650"/>
      <c r="II142" s="671" t="str">
        <f t="shared" si="660"/>
        <v>rango cal. out</v>
      </c>
      <c r="IJ142" s="619" t="e">
        <f t="shared" si="661"/>
        <v>#DIV/0!</v>
      </c>
      <c r="IK142" s="674" t="e">
        <f t="shared" si="662"/>
        <v>#VALUE!</v>
      </c>
      <c r="IL142" s="599" t="e">
        <f>IK142-AVERAGE(IS102:IS103)</f>
        <v>#VALUE!</v>
      </c>
      <c r="IM142" s="672" t="e">
        <f>ABS(#REF!*IL142*3600)</f>
        <v>#REF!</v>
      </c>
      <c r="IN142" s="675" t="e">
        <f t="shared" si="663"/>
        <v>#VALUE!</v>
      </c>
      <c r="IO142" s="614" t="e">
        <f t="shared" si="664"/>
        <v>#VALUE!</v>
      </c>
      <c r="IP142" s="672" t="e">
        <f t="shared" si="665"/>
        <v>#VALUE!</v>
      </c>
      <c r="IQ142" s="600" t="e">
        <f t="shared" si="666"/>
        <v>#VALUE!</v>
      </c>
      <c r="IR142" s="672" t="e">
        <f t="shared" si="667"/>
        <v>#VALUE!</v>
      </c>
      <c r="IS142" s="676" t="e">
        <f t="shared" si="668"/>
        <v>#VALUE!</v>
      </c>
      <c r="IT142" s="668"/>
      <c r="IU142" s="669"/>
      <c r="IV142" s="670"/>
      <c r="IW142" s="671"/>
      <c r="IX142" s="678"/>
      <c r="IY142" s="650"/>
      <c r="IZ142" s="650"/>
      <c r="JA142" s="671" t="str">
        <f t="shared" si="669"/>
        <v>rango cal. out</v>
      </c>
      <c r="JB142" s="619" t="e">
        <f t="shared" si="670"/>
        <v>#DIV/0!</v>
      </c>
      <c r="JC142" s="674" t="e">
        <f t="shared" si="671"/>
        <v>#VALUE!</v>
      </c>
      <c r="JD142" s="599" t="e">
        <f>JC142-AVERAGE(JK102:JK103)</f>
        <v>#VALUE!</v>
      </c>
      <c r="JE142" s="672" t="e">
        <f>ABS(#REF!*JD142*3600)</f>
        <v>#REF!</v>
      </c>
      <c r="JF142" s="675" t="e">
        <f t="shared" si="672"/>
        <v>#VALUE!</v>
      </c>
      <c r="JG142" s="614" t="e">
        <f t="shared" si="673"/>
        <v>#VALUE!</v>
      </c>
      <c r="JH142" s="672" t="e">
        <f t="shared" si="674"/>
        <v>#VALUE!</v>
      </c>
      <c r="JI142" s="600" t="e">
        <f t="shared" si="675"/>
        <v>#VALUE!</v>
      </c>
      <c r="JJ142" s="672" t="e">
        <f t="shared" si="676"/>
        <v>#VALUE!</v>
      </c>
      <c r="JK142" s="676" t="e">
        <f t="shared" si="677"/>
        <v>#VALUE!</v>
      </c>
      <c r="JL142" s="668"/>
      <c r="JM142" s="669"/>
      <c r="JN142" s="670"/>
      <c r="JO142" s="671"/>
      <c r="JP142" s="678"/>
      <c r="JQ142" s="650"/>
      <c r="JR142" s="650"/>
      <c r="JS142" s="671" t="str">
        <f t="shared" si="678"/>
        <v>rango cal. out</v>
      </c>
      <c r="JT142" s="619" t="e">
        <f t="shared" si="679"/>
        <v>#DIV/0!</v>
      </c>
      <c r="JU142" s="674" t="e">
        <f t="shared" si="680"/>
        <v>#VALUE!</v>
      </c>
      <c r="JV142" s="599" t="e">
        <f>JU142-AVERAGE(KC102:KC103)</f>
        <v>#VALUE!</v>
      </c>
      <c r="JW142" s="672" t="e">
        <f>ABS(#REF!*JV142*3600)</f>
        <v>#REF!</v>
      </c>
      <c r="JX142" s="675" t="e">
        <f t="shared" si="681"/>
        <v>#VALUE!</v>
      </c>
      <c r="JY142" s="614" t="e">
        <f t="shared" si="682"/>
        <v>#VALUE!</v>
      </c>
      <c r="JZ142" s="672" t="e">
        <f t="shared" si="683"/>
        <v>#VALUE!</v>
      </c>
      <c r="KA142" s="600" t="e">
        <f t="shared" si="684"/>
        <v>#VALUE!</v>
      </c>
      <c r="KB142" s="672" t="e">
        <f t="shared" si="685"/>
        <v>#VALUE!</v>
      </c>
      <c r="KC142" s="676" t="e">
        <f t="shared" si="686"/>
        <v>#VALUE!</v>
      </c>
      <c r="KD142" s="668"/>
      <c r="KE142" s="669"/>
      <c r="KF142" s="670"/>
      <c r="KG142" s="671"/>
      <c r="KH142" s="678"/>
      <c r="KI142" s="650"/>
      <c r="KJ142" s="650"/>
      <c r="KK142" s="671" t="str">
        <f t="shared" si="687"/>
        <v>rango cal. out</v>
      </c>
      <c r="KL142" s="619" t="e">
        <f t="shared" si="688"/>
        <v>#DIV/0!</v>
      </c>
      <c r="KM142" s="674" t="e">
        <f t="shared" si="689"/>
        <v>#VALUE!</v>
      </c>
      <c r="KN142" s="599" t="e">
        <f>KM142-AVERAGE(KU102:KU103)</f>
        <v>#VALUE!</v>
      </c>
      <c r="KO142" s="672" t="e">
        <f>ABS(#REF!*KN142*3600)</f>
        <v>#REF!</v>
      </c>
      <c r="KP142" s="675" t="e">
        <f t="shared" si="690"/>
        <v>#VALUE!</v>
      </c>
      <c r="KQ142" s="614" t="e">
        <f t="shared" si="691"/>
        <v>#VALUE!</v>
      </c>
      <c r="KR142" s="672" t="e">
        <f t="shared" si="692"/>
        <v>#VALUE!</v>
      </c>
      <c r="KS142" s="600" t="e">
        <f t="shared" si="693"/>
        <v>#VALUE!</v>
      </c>
      <c r="KT142" s="672" t="e">
        <f t="shared" si="694"/>
        <v>#VALUE!</v>
      </c>
      <c r="KU142" s="676" t="e">
        <f t="shared" si="695"/>
        <v>#VALUE!</v>
      </c>
      <c r="KV142" s="668"/>
      <c r="KW142" s="669"/>
      <c r="KX142" s="670"/>
      <c r="KY142" s="671"/>
      <c r="KZ142" s="678"/>
      <c r="LA142" s="650"/>
      <c r="LB142" s="650"/>
      <c r="LC142" s="671" t="str">
        <f t="shared" si="696"/>
        <v>rango cal. out</v>
      </c>
      <c r="LD142" s="619" t="e">
        <f t="shared" si="697"/>
        <v>#DIV/0!</v>
      </c>
      <c r="LE142" s="674" t="e">
        <f t="shared" si="698"/>
        <v>#VALUE!</v>
      </c>
      <c r="LF142" s="599" t="e">
        <f>LE142-AVERAGE(LM102:LM103)</f>
        <v>#VALUE!</v>
      </c>
      <c r="LG142" s="672" t="e">
        <f>ABS(#REF!*LF142*3600)</f>
        <v>#REF!</v>
      </c>
      <c r="LH142" s="675" t="e">
        <f t="shared" si="699"/>
        <v>#VALUE!</v>
      </c>
      <c r="LI142" s="614" t="e">
        <f t="shared" si="700"/>
        <v>#VALUE!</v>
      </c>
      <c r="LJ142" s="672" t="e">
        <f t="shared" si="701"/>
        <v>#VALUE!</v>
      </c>
      <c r="LK142" s="600" t="e">
        <f t="shared" si="702"/>
        <v>#VALUE!</v>
      </c>
      <c r="LL142" s="672" t="e">
        <f t="shared" si="703"/>
        <v>#VALUE!</v>
      </c>
      <c r="LM142" s="676" t="e">
        <f t="shared" si="704"/>
        <v>#VALUE!</v>
      </c>
      <c r="LN142" s="668"/>
      <c r="LO142" s="669"/>
      <c r="LP142" s="670"/>
      <c r="LQ142" s="671"/>
      <c r="LR142" s="678"/>
      <c r="LS142" s="650"/>
      <c r="LT142" s="650"/>
      <c r="LU142" s="671" t="str">
        <f t="shared" si="705"/>
        <v>rango cal. out</v>
      </c>
      <c r="LV142" s="619" t="e">
        <f t="shared" si="706"/>
        <v>#DIV/0!</v>
      </c>
      <c r="LW142" s="674" t="e">
        <f t="shared" si="707"/>
        <v>#VALUE!</v>
      </c>
      <c r="LX142" s="599" t="e">
        <f>LW142-AVERAGE(ME102:ME103)</f>
        <v>#VALUE!</v>
      </c>
      <c r="LY142" s="672" t="e">
        <f>ABS(#REF!*LX142*3600)</f>
        <v>#REF!</v>
      </c>
      <c r="LZ142" s="675" t="e">
        <f t="shared" si="708"/>
        <v>#VALUE!</v>
      </c>
      <c r="MA142" s="614" t="e">
        <f t="shared" si="709"/>
        <v>#VALUE!</v>
      </c>
      <c r="MB142" s="672" t="e">
        <f t="shared" si="710"/>
        <v>#VALUE!</v>
      </c>
      <c r="MC142" s="600" t="e">
        <f t="shared" si="711"/>
        <v>#VALUE!</v>
      </c>
      <c r="MD142" s="672" t="e">
        <f t="shared" si="712"/>
        <v>#VALUE!</v>
      </c>
      <c r="ME142" s="676" t="e">
        <f t="shared" si="713"/>
        <v>#VALUE!</v>
      </c>
      <c r="MF142" s="668"/>
      <c r="MG142" s="669"/>
      <c r="MH142" s="670"/>
      <c r="MI142" s="671"/>
      <c r="MJ142" s="678"/>
      <c r="MK142" s="650"/>
      <c r="ML142" s="650"/>
      <c r="MM142" s="671" t="str">
        <f t="shared" si="714"/>
        <v>rango cal. out</v>
      </c>
      <c r="MN142" s="619" t="e">
        <f t="shared" si="715"/>
        <v>#DIV/0!</v>
      </c>
      <c r="MO142" s="674" t="e">
        <f t="shared" si="716"/>
        <v>#VALUE!</v>
      </c>
      <c r="MP142" s="599" t="e">
        <f>MO142-AVERAGE(MW102:MW103)</f>
        <v>#VALUE!</v>
      </c>
      <c r="MQ142" s="672" t="e">
        <f>ABS(#REF!*MP142*3600)</f>
        <v>#REF!</v>
      </c>
      <c r="MR142" s="675" t="e">
        <f t="shared" si="717"/>
        <v>#VALUE!</v>
      </c>
      <c r="MS142" s="614" t="e">
        <f t="shared" si="718"/>
        <v>#VALUE!</v>
      </c>
      <c r="MT142" s="672" t="e">
        <f t="shared" si="719"/>
        <v>#VALUE!</v>
      </c>
      <c r="MU142" s="600" t="e">
        <f t="shared" si="720"/>
        <v>#VALUE!</v>
      </c>
      <c r="MV142" s="672" t="e">
        <f t="shared" si="721"/>
        <v>#VALUE!</v>
      </c>
      <c r="MW142" s="676" t="e">
        <f t="shared" si="722"/>
        <v>#VALUE!</v>
      </c>
      <c r="MX142" s="668"/>
      <c r="MY142" s="669"/>
      <c r="MZ142" s="680"/>
      <c r="NA142" s="671"/>
      <c r="NB142" s="673"/>
      <c r="NC142" s="650"/>
      <c r="ND142" s="650"/>
      <c r="NE142" s="671" t="str">
        <f t="shared" si="723"/>
        <v>rango cal. out</v>
      </c>
      <c r="NF142" s="619" t="e">
        <f t="shared" si="724"/>
        <v>#DIV/0!</v>
      </c>
      <c r="NG142" s="674" t="e">
        <f t="shared" si="725"/>
        <v>#VALUE!</v>
      </c>
      <c r="NH142" s="599" t="e">
        <f>NG142-AVERAGE(NO102:NO103)</f>
        <v>#VALUE!</v>
      </c>
      <c r="NI142" s="672" t="e">
        <f>ABS(#REF!*NH142*3600)</f>
        <v>#REF!</v>
      </c>
      <c r="NJ142" s="675" t="e">
        <f t="shared" si="726"/>
        <v>#VALUE!</v>
      </c>
      <c r="NK142" s="614" t="e">
        <f t="shared" si="727"/>
        <v>#VALUE!</v>
      </c>
      <c r="NL142" s="672" t="e">
        <f t="shared" si="728"/>
        <v>#VALUE!</v>
      </c>
      <c r="NM142" s="600" t="e">
        <f t="shared" si="729"/>
        <v>#VALUE!</v>
      </c>
      <c r="NN142" s="672" t="e">
        <f t="shared" si="730"/>
        <v>#VALUE!</v>
      </c>
      <c r="NO142" s="676" t="e">
        <f t="shared" si="731"/>
        <v>#VALUE!</v>
      </c>
      <c r="NP142" s="668">
        <v>20.7</v>
      </c>
      <c r="NQ142" s="669">
        <v>53</v>
      </c>
      <c r="NR142" s="670">
        <v>1007</v>
      </c>
      <c r="NS142" s="2011">
        <v>-6.2500000000000004E-11</v>
      </c>
      <c r="NT142" s="678">
        <v>60</v>
      </c>
      <c r="NU142" s="663">
        <v>44334</v>
      </c>
      <c r="NV142" s="650" t="s">
        <v>268</v>
      </c>
      <c r="NW142" s="671">
        <f t="shared" si="732"/>
        <v>-6.2687499999999997E-11</v>
      </c>
      <c r="NX142" s="619">
        <f t="shared" si="733"/>
        <v>1.0017754276971766</v>
      </c>
      <c r="NY142" s="674">
        <f t="shared" si="734"/>
        <v>-1.0365298657956357E-12</v>
      </c>
      <c r="NZ142" s="599">
        <f>NY142-AVERAGE(OG102:OG103)</f>
        <v>-1.0372820268675942E-12</v>
      </c>
      <c r="OA142" s="672" t="e">
        <f>ABS(#REF!*NZ142*3600)</f>
        <v>#REF!</v>
      </c>
      <c r="OB142" s="675">
        <f t="shared" si="735"/>
        <v>9.4102225477428152E-5</v>
      </c>
      <c r="OC142" s="614">
        <f t="shared" si="736"/>
        <v>9.4102225477428157E-3</v>
      </c>
      <c r="OD142" s="672">
        <f t="shared" si="737"/>
        <v>1.1292267057291378E-4</v>
      </c>
      <c r="OE142" s="600">
        <f t="shared" si="738"/>
        <v>1.1386369282768806E-4</v>
      </c>
      <c r="OF142" s="672">
        <f t="shared" si="739"/>
        <v>1.1386369282768806E-4</v>
      </c>
      <c r="OG142" s="676">
        <f t="shared" si="740"/>
        <v>1.1762778184678519E-4</v>
      </c>
      <c r="OH142" s="668"/>
      <c r="OI142" s="669"/>
      <c r="OJ142" s="670"/>
      <c r="OK142" s="671"/>
      <c r="OL142" s="678"/>
      <c r="OM142" s="650"/>
      <c r="ON142" s="650"/>
      <c r="OO142" s="671" t="str">
        <f t="shared" si="741"/>
        <v>rango cal. out</v>
      </c>
      <c r="OP142" s="619" t="e">
        <f t="shared" si="742"/>
        <v>#DIV/0!</v>
      </c>
      <c r="OQ142" s="674" t="e">
        <f t="shared" si="743"/>
        <v>#VALUE!</v>
      </c>
      <c r="OR142" s="599" t="e">
        <f>OQ142-AVERAGE(OY102:OY103)</f>
        <v>#VALUE!</v>
      </c>
      <c r="OS142" s="672" t="e">
        <f>ABS(#REF!*OR142*3600)</f>
        <v>#REF!</v>
      </c>
      <c r="OT142" s="675" t="e">
        <f t="shared" si="744"/>
        <v>#VALUE!</v>
      </c>
      <c r="OU142" s="614" t="e">
        <f t="shared" si="745"/>
        <v>#VALUE!</v>
      </c>
      <c r="OV142" s="672" t="e">
        <f t="shared" si="746"/>
        <v>#VALUE!</v>
      </c>
      <c r="OW142" s="600" t="e">
        <f t="shared" si="747"/>
        <v>#VALUE!</v>
      </c>
      <c r="OX142" s="672" t="e">
        <f t="shared" si="748"/>
        <v>#VALUE!</v>
      </c>
      <c r="OY142" s="676" t="e">
        <f t="shared" si="749"/>
        <v>#VALUE!</v>
      </c>
      <c r="OZ142" s="668">
        <v>20.5</v>
      </c>
      <c r="PA142" s="669">
        <v>52</v>
      </c>
      <c r="PB142" s="670">
        <v>1007</v>
      </c>
      <c r="PC142" s="2011">
        <v>-1.35E-10</v>
      </c>
      <c r="PD142" s="673">
        <v>60</v>
      </c>
      <c r="PE142" s="663">
        <v>44334</v>
      </c>
      <c r="PF142" s="650" t="s">
        <v>268</v>
      </c>
      <c r="PG142" s="671">
        <f t="shared" si="750"/>
        <v>-1.3540499999999998E-10</v>
      </c>
      <c r="PH142" s="619">
        <f t="shared" si="751"/>
        <v>1.001093715939642</v>
      </c>
      <c r="PI142" s="674">
        <f t="shared" si="752"/>
        <v>-2.2373809276006288E-12</v>
      </c>
      <c r="PJ142" s="599">
        <f>PI142-AVERAGE(PQ102:PQ103)</f>
        <v>-2.2357077175041885E-12</v>
      </c>
      <c r="PK142" s="672" t="e">
        <f>ABS(#REF!*PJ142*3600)</f>
        <v>#REF!</v>
      </c>
      <c r="PL142" s="675">
        <f t="shared" si="753"/>
        <v>2.0282340413197998E-4</v>
      </c>
      <c r="PM142" s="614">
        <f t="shared" si="754"/>
        <v>2.0282340413197996E-2</v>
      </c>
      <c r="PN142" s="672">
        <f t="shared" si="755"/>
        <v>2.4338808495837595E-4</v>
      </c>
      <c r="PO142" s="600">
        <f t="shared" si="756"/>
        <v>2.4541631899969578E-4</v>
      </c>
      <c r="PP142" s="672">
        <f t="shared" si="757"/>
        <v>2.4541631899969578E-4</v>
      </c>
      <c r="PQ142" s="676">
        <f t="shared" si="758"/>
        <v>2.5352925516497498E-4</v>
      </c>
      <c r="PR142" s="668"/>
      <c r="PS142" s="669"/>
      <c r="PT142" s="670"/>
      <c r="PU142" s="671"/>
      <c r="PV142" s="678"/>
      <c r="PW142" s="650"/>
      <c r="PX142" s="650"/>
      <c r="PY142" s="671" t="str">
        <f t="shared" si="759"/>
        <v>rango cal. out</v>
      </c>
      <c r="PZ142" s="619" t="e">
        <f t="shared" si="760"/>
        <v>#DIV/0!</v>
      </c>
      <c r="QA142" s="674" t="e">
        <f t="shared" si="761"/>
        <v>#VALUE!</v>
      </c>
      <c r="QB142" s="599" t="e">
        <f>QA142-AVERAGE(QI102:QI103)</f>
        <v>#VALUE!</v>
      </c>
      <c r="QC142" s="672" t="e">
        <f>ABS(#REF!*QB142*3600)</f>
        <v>#REF!</v>
      </c>
      <c r="QD142" s="675" t="e">
        <f t="shared" si="762"/>
        <v>#VALUE!</v>
      </c>
      <c r="QE142" s="614" t="e">
        <f t="shared" si="763"/>
        <v>#VALUE!</v>
      </c>
      <c r="QF142" s="672" t="e">
        <f t="shared" si="764"/>
        <v>#VALUE!</v>
      </c>
      <c r="QG142" s="600" t="e">
        <f t="shared" si="765"/>
        <v>#VALUE!</v>
      </c>
      <c r="QH142" s="672" t="e">
        <f t="shared" si="766"/>
        <v>#VALUE!</v>
      </c>
      <c r="QI142" s="676" t="e">
        <f t="shared" si="767"/>
        <v>#VALUE!</v>
      </c>
      <c r="QJ142" s="668"/>
      <c r="QK142" s="669"/>
      <c r="QL142" s="670"/>
      <c r="QM142" s="671"/>
      <c r="QN142" s="678"/>
      <c r="QO142" s="650"/>
      <c r="QP142" s="650"/>
      <c r="QQ142" s="671" t="str">
        <f t="shared" si="768"/>
        <v>rango cal. out</v>
      </c>
      <c r="QR142" s="619" t="e">
        <f t="shared" si="769"/>
        <v>#DIV/0!</v>
      </c>
      <c r="QS142" s="674" t="e">
        <f t="shared" si="770"/>
        <v>#VALUE!</v>
      </c>
      <c r="QT142" s="599" t="e">
        <f>QS142-AVERAGE(RA102:RA103)</f>
        <v>#VALUE!</v>
      </c>
      <c r="QU142" s="672" t="e">
        <f>ABS(#REF!*QT142*3600)</f>
        <v>#REF!</v>
      </c>
      <c r="QV142" s="675" t="e">
        <f t="shared" si="771"/>
        <v>#VALUE!</v>
      </c>
      <c r="QW142" s="614" t="e">
        <f t="shared" si="772"/>
        <v>#VALUE!</v>
      </c>
      <c r="QX142" s="672" t="e">
        <f t="shared" si="773"/>
        <v>#VALUE!</v>
      </c>
      <c r="QY142" s="600" t="e">
        <f t="shared" si="774"/>
        <v>#VALUE!</v>
      </c>
      <c r="QZ142" s="672" t="e">
        <f t="shared" si="775"/>
        <v>#VALUE!</v>
      </c>
      <c r="RA142" s="676" t="e">
        <f t="shared" si="776"/>
        <v>#VALUE!</v>
      </c>
      <c r="RB142" s="668"/>
      <c r="RC142" s="669"/>
      <c r="RD142" s="680"/>
      <c r="RE142" s="671"/>
      <c r="RF142" s="673"/>
      <c r="RG142" s="650"/>
      <c r="RH142" s="650"/>
      <c r="RI142" s="671" t="str">
        <f t="shared" si="777"/>
        <v>rango cal. out</v>
      </c>
      <c r="RJ142" s="619" t="e">
        <f t="shared" si="778"/>
        <v>#DIV/0!</v>
      </c>
      <c r="RK142" s="674" t="e">
        <f t="shared" si="779"/>
        <v>#VALUE!</v>
      </c>
      <c r="RL142" s="599" t="e">
        <f>RK142-AVERAGE(RS102:RS103)</f>
        <v>#VALUE!</v>
      </c>
      <c r="RM142" s="672" t="e">
        <f>ABS(#REF!*RL142*3600)</f>
        <v>#REF!</v>
      </c>
      <c r="RN142" s="675" t="e">
        <f t="shared" si="780"/>
        <v>#VALUE!</v>
      </c>
      <c r="RO142" s="614" t="e">
        <f t="shared" si="781"/>
        <v>#VALUE!</v>
      </c>
      <c r="RP142" s="672" t="e">
        <f t="shared" si="782"/>
        <v>#VALUE!</v>
      </c>
      <c r="RQ142" s="600" t="e">
        <f t="shared" si="783"/>
        <v>#VALUE!</v>
      </c>
      <c r="RR142" s="672" t="e">
        <f t="shared" si="784"/>
        <v>#VALUE!</v>
      </c>
      <c r="RS142" s="676" t="e">
        <f t="shared" si="785"/>
        <v>#VALUE!</v>
      </c>
      <c r="RT142" s="668"/>
      <c r="RU142" s="669"/>
      <c r="RV142" s="669"/>
      <c r="RW142" s="679"/>
      <c r="RX142" s="673"/>
      <c r="RY142" s="650"/>
      <c r="RZ142" s="650"/>
      <c r="SA142" s="671" t="str">
        <f t="shared" si="786"/>
        <v>rango cal. out</v>
      </c>
      <c r="SB142" s="619" t="e">
        <f t="shared" si="787"/>
        <v>#DIV/0!</v>
      </c>
      <c r="SC142" s="674" t="e">
        <f t="shared" si="788"/>
        <v>#VALUE!</v>
      </c>
      <c r="SD142" s="599" t="e">
        <f>SC142-AVERAGE(SK102:SK103)</f>
        <v>#VALUE!</v>
      </c>
      <c r="SE142" s="672" t="e">
        <f>ABS(#REF!*SD142*3600)</f>
        <v>#REF!</v>
      </c>
      <c r="SF142" s="675" t="e">
        <f t="shared" si="789"/>
        <v>#VALUE!</v>
      </c>
      <c r="SG142" s="614" t="e">
        <f t="shared" si="790"/>
        <v>#VALUE!</v>
      </c>
      <c r="SH142" s="672" t="e">
        <f t="shared" si="791"/>
        <v>#VALUE!</v>
      </c>
      <c r="SI142" s="600" t="e">
        <f t="shared" si="792"/>
        <v>#VALUE!</v>
      </c>
      <c r="SJ142" s="672" t="e">
        <f t="shared" si="793"/>
        <v>#VALUE!</v>
      </c>
      <c r="SK142" s="676" t="e">
        <f t="shared" si="794"/>
        <v>#VALUE!</v>
      </c>
      <c r="SL142" s="668">
        <v>20.5</v>
      </c>
      <c r="SM142" s="669">
        <v>53</v>
      </c>
      <c r="SN142" s="670">
        <v>1007</v>
      </c>
      <c r="SO142" s="2011">
        <v>-1.4E-11</v>
      </c>
      <c r="SP142" s="673">
        <v>60</v>
      </c>
      <c r="SQ142" s="663">
        <v>44334</v>
      </c>
      <c r="SR142" s="650" t="s">
        <v>268</v>
      </c>
      <c r="SS142" s="671">
        <f t="shared" si="795"/>
        <v>-1.4041999999999999E-11</v>
      </c>
      <c r="ST142" s="619">
        <f t="shared" si="796"/>
        <v>1.001093715939642</v>
      </c>
      <c r="SU142" s="674">
        <f t="shared" si="797"/>
        <v>-2.3202468878821338E-13</v>
      </c>
      <c r="SV142" s="599">
        <f>SU142-AVERAGE(TC102:TC103)</f>
        <v>-2.3009201601418109E-13</v>
      </c>
      <c r="SW142" s="672" t="e">
        <f>ABS(#REF!*SV142*3600)</f>
        <v>#REF!</v>
      </c>
      <c r="SX142" s="675">
        <f t="shared" si="798"/>
        <v>2.0873947692806508E-5</v>
      </c>
      <c r="SY142" s="614">
        <f t="shared" si="799"/>
        <v>2.0873947692806507E-3</v>
      </c>
      <c r="SZ142" s="672">
        <f t="shared" si="800"/>
        <v>2.5048737231367809E-5</v>
      </c>
      <c r="TA142" s="600">
        <f t="shared" si="801"/>
        <v>2.5257476708295873E-5</v>
      </c>
      <c r="TB142" s="672">
        <f t="shared" si="802"/>
        <v>2.5257476708295873E-5</v>
      </c>
      <c r="TC142" s="676">
        <f t="shared" si="803"/>
        <v>2.6092434616008134E-5</v>
      </c>
      <c r="TD142" s="668">
        <v>20.5</v>
      </c>
      <c r="TE142" s="669">
        <v>54</v>
      </c>
      <c r="TF142" s="670">
        <v>1008</v>
      </c>
      <c r="TG142" s="2011">
        <v>-3.0599999999999998E-10</v>
      </c>
      <c r="TH142" s="673">
        <v>60</v>
      </c>
      <c r="TI142" s="663">
        <v>44334</v>
      </c>
      <c r="TJ142" s="650" t="s">
        <v>268</v>
      </c>
      <c r="TK142" s="671">
        <f t="shared" si="804"/>
        <v>-3.0691799999999994E-10</v>
      </c>
      <c r="TL142" s="619">
        <f t="shared" si="805"/>
        <v>1.0001005674119241</v>
      </c>
      <c r="TM142" s="674">
        <f t="shared" si="806"/>
        <v>-5.0663656216395721E-12</v>
      </c>
      <c r="TN142" s="599">
        <f>TM142-AVERAGE(TU102:TU103)</f>
        <v>-5.0659991784523675E-12</v>
      </c>
      <c r="TO142" s="672" t="e">
        <f>ABS(#REF!*TN142*3600)</f>
        <v>#REF!</v>
      </c>
      <c r="TP142" s="675">
        <f t="shared" si="807"/>
        <v>4.5958744546919882E-4</v>
      </c>
      <c r="TQ142" s="614">
        <f t="shared" si="808"/>
        <v>4.595874454691988E-2</v>
      </c>
      <c r="TR142" s="672">
        <f t="shared" si="809"/>
        <v>5.5150493456303858E-4</v>
      </c>
      <c r="TS142" s="600">
        <f t="shared" si="810"/>
        <v>5.5610080901773054E-4</v>
      </c>
      <c r="TT142" s="672">
        <f t="shared" si="811"/>
        <v>5.5610080901773054E-4</v>
      </c>
      <c r="TU142" s="676">
        <f t="shared" si="812"/>
        <v>5.7448430683649848E-4</v>
      </c>
      <c r="TV142" s="668"/>
      <c r="TW142" s="669"/>
      <c r="TX142" s="670"/>
      <c r="TY142" s="671"/>
      <c r="TZ142" s="678"/>
      <c r="UA142" s="650"/>
      <c r="UB142" s="650"/>
      <c r="UC142" s="671" t="str">
        <f t="shared" si="813"/>
        <v>rango cal. out</v>
      </c>
      <c r="UD142" s="619" t="e">
        <f t="shared" si="814"/>
        <v>#DIV/0!</v>
      </c>
      <c r="UE142" s="674" t="e">
        <f t="shared" si="815"/>
        <v>#VALUE!</v>
      </c>
      <c r="UF142" s="599" t="e">
        <f>UE142-AVERAGE(UM102:UM103)</f>
        <v>#VALUE!</v>
      </c>
      <c r="UG142" s="672" t="e">
        <f>ABS(#REF!*UF142*3600)</f>
        <v>#REF!</v>
      </c>
      <c r="UH142" s="675" t="e">
        <f t="shared" si="816"/>
        <v>#VALUE!</v>
      </c>
      <c r="UI142" s="614" t="e">
        <f t="shared" si="817"/>
        <v>#VALUE!</v>
      </c>
      <c r="UJ142" s="672" t="e">
        <f t="shared" si="818"/>
        <v>#VALUE!</v>
      </c>
      <c r="UK142" s="600" t="e">
        <f t="shared" si="819"/>
        <v>#VALUE!</v>
      </c>
      <c r="UL142" s="672" t="e">
        <f t="shared" si="820"/>
        <v>#VALUE!</v>
      </c>
      <c r="UM142" s="676" t="e">
        <f t="shared" si="821"/>
        <v>#VALUE!</v>
      </c>
      <c r="UN142" s="668">
        <v>20.399999999999999</v>
      </c>
      <c r="UO142" s="669">
        <v>55</v>
      </c>
      <c r="UP142" s="670">
        <v>1008</v>
      </c>
      <c r="UQ142" s="2011">
        <v>-2.15E-11</v>
      </c>
      <c r="UR142" s="673">
        <v>60</v>
      </c>
      <c r="US142" s="663">
        <v>44334</v>
      </c>
      <c r="UT142" s="650" t="s">
        <v>268</v>
      </c>
      <c r="UU142" s="671">
        <f t="shared" si="822"/>
        <v>-2.1564499999999998E-11</v>
      </c>
      <c r="UV142" s="619">
        <f t="shared" si="823"/>
        <v>0.99976004968383014</v>
      </c>
      <c r="UW142" s="674">
        <f t="shared" si="824"/>
        <v>-3.5584893159439333E-13</v>
      </c>
      <c r="UX142" s="599">
        <f>UW142-AVERAGE(VE102:VE103)</f>
        <v>-3.5568645851212859E-13</v>
      </c>
      <c r="UY142" s="672" t="e">
        <f>ABS(#REF!*UX142*3600)</f>
        <v>#REF!</v>
      </c>
      <c r="UZ142" s="675">
        <f t="shared" si="825"/>
        <v>3.2267875516220308E-5</v>
      </c>
      <c r="VA142" s="614">
        <f t="shared" si="826"/>
        <v>3.2267875516220307E-3</v>
      </c>
      <c r="VB142" s="672">
        <f t="shared" si="827"/>
        <v>3.8721450619464368E-5</v>
      </c>
      <c r="VC142" s="600">
        <f t="shared" si="828"/>
        <v>3.9044129374626573E-5</v>
      </c>
      <c r="VD142" s="672">
        <f t="shared" si="829"/>
        <v>3.9044129374626573E-5</v>
      </c>
      <c r="VE142" s="676">
        <f t="shared" si="830"/>
        <v>4.0334844395275385E-5</v>
      </c>
    </row>
    <row r="143" spans="1:577" ht="15.75" thickBot="1" x14ac:dyDescent="0.3">
      <c r="A143" s="2221"/>
      <c r="B143" s="2013">
        <v>20.2</v>
      </c>
      <c r="C143" s="2014">
        <v>53</v>
      </c>
      <c r="D143" s="2015">
        <v>1010</v>
      </c>
      <c r="E143" s="2011">
        <v>-4.8300000000000001E-9</v>
      </c>
      <c r="F143" s="673">
        <v>60</v>
      </c>
      <c r="G143" s="663">
        <v>44334</v>
      </c>
      <c r="H143" s="650" t="s">
        <v>1042</v>
      </c>
      <c r="I143" s="651">
        <f t="shared" si="543"/>
        <v>-4.8348299999999995E-9</v>
      </c>
      <c r="J143" s="619">
        <f t="shared" si="544"/>
        <v>0.9971006399420429</v>
      </c>
      <c r="K143" s="674">
        <f t="shared" si="545"/>
        <v>-7.957024552122113E-11</v>
      </c>
      <c r="L143" s="599">
        <f>K143-AVERAGE(S102:S103)</f>
        <v>-7.9546433553849638E-11</v>
      </c>
      <c r="M143" s="599" t="e">
        <f>ABS(#REF!*L143*3600)</f>
        <v>#REF!</v>
      </c>
      <c r="N143" s="657">
        <f t="shared" si="546"/>
        <v>7.2164524520052387E-3</v>
      </c>
      <c r="O143" s="614">
        <f t="shared" si="547"/>
        <v>0.72164524520052387</v>
      </c>
      <c r="P143" s="672">
        <f t="shared" si="548"/>
        <v>8.6597429424062865E-3</v>
      </c>
      <c r="Q143" s="600">
        <f t="shared" si="549"/>
        <v>8.7319074669263384E-3</v>
      </c>
      <c r="R143" s="672">
        <f t="shared" si="550"/>
        <v>8.7319074669263384E-3</v>
      </c>
      <c r="S143" s="676">
        <f t="shared" si="551"/>
        <v>9.020565565006548E-3</v>
      </c>
      <c r="T143" s="677"/>
      <c r="U143" s="669"/>
      <c r="V143" s="670"/>
      <c r="W143" s="671"/>
      <c r="X143" s="678"/>
      <c r="Y143" s="663"/>
      <c r="Z143" s="650"/>
      <c r="AA143" s="651" t="str">
        <f t="shared" si="552"/>
        <v>rango cal. out</v>
      </c>
      <c r="AB143" s="619" t="e">
        <f t="shared" si="553"/>
        <v>#DIV/0!</v>
      </c>
      <c r="AC143" s="674" t="e">
        <f t="shared" si="554"/>
        <v>#VALUE!</v>
      </c>
      <c r="AD143" s="599" t="e">
        <f>AC143-AVERAGE(#REF!)</f>
        <v>#VALUE!</v>
      </c>
      <c r="AE143" s="599" t="e">
        <f>ABS(#REF!*AD143*3600)</f>
        <v>#REF!</v>
      </c>
      <c r="AF143" s="657" t="e">
        <f t="shared" si="555"/>
        <v>#VALUE!</v>
      </c>
      <c r="AG143" s="614" t="e">
        <f t="shared" si="556"/>
        <v>#VALUE!</v>
      </c>
      <c r="AH143" s="672" t="e">
        <f t="shared" si="557"/>
        <v>#VALUE!</v>
      </c>
      <c r="AI143" s="600" t="e">
        <f t="shared" si="558"/>
        <v>#VALUE!</v>
      </c>
      <c r="AJ143" s="672" t="e">
        <f t="shared" si="559"/>
        <v>#VALUE!</v>
      </c>
      <c r="AK143" s="676" t="e">
        <f t="shared" si="560"/>
        <v>#VALUE!</v>
      </c>
      <c r="AL143" s="677"/>
      <c r="AM143" s="669"/>
      <c r="AN143" s="670"/>
      <c r="AO143" s="671"/>
      <c r="AP143" s="678"/>
      <c r="AQ143" s="663"/>
      <c r="AR143" s="650"/>
      <c r="AS143" s="651" t="str">
        <f t="shared" si="561"/>
        <v>rango cal. out</v>
      </c>
      <c r="AT143" s="619" t="e">
        <f t="shared" si="562"/>
        <v>#DIV/0!</v>
      </c>
      <c r="AU143" s="674" t="e">
        <f t="shared" si="563"/>
        <v>#VALUE!</v>
      </c>
      <c r="AV143" s="599" t="e">
        <f>AU143-AVERAGE(BC102:BC103)</f>
        <v>#VALUE!</v>
      </c>
      <c r="AW143" s="599" t="e">
        <f>ABS(#REF!*AV143*3600)</f>
        <v>#REF!</v>
      </c>
      <c r="AX143" s="657" t="e">
        <f t="shared" si="564"/>
        <v>#VALUE!</v>
      </c>
      <c r="AY143" s="614" t="e">
        <f t="shared" si="565"/>
        <v>#VALUE!</v>
      </c>
      <c r="AZ143" s="672" t="e">
        <f t="shared" si="566"/>
        <v>#VALUE!</v>
      </c>
      <c r="BA143" s="600" t="e">
        <f t="shared" si="567"/>
        <v>#VALUE!</v>
      </c>
      <c r="BB143" s="672" t="e">
        <f t="shared" si="568"/>
        <v>#VALUE!</v>
      </c>
      <c r="BC143" s="676" t="e">
        <f t="shared" si="569"/>
        <v>#VALUE!</v>
      </c>
      <c r="BD143" s="2013">
        <v>20.7</v>
      </c>
      <c r="BE143" s="2018">
        <v>52</v>
      </c>
      <c r="BF143" s="2019">
        <v>1009</v>
      </c>
      <c r="BG143" s="2010">
        <v>-7.7950000000000005E-10</v>
      </c>
      <c r="BH143" s="673">
        <v>60</v>
      </c>
      <c r="BI143" s="663">
        <v>44334</v>
      </c>
      <c r="BJ143" s="650" t="s">
        <v>268</v>
      </c>
      <c r="BK143" s="651">
        <f t="shared" si="570"/>
        <v>-7.818385E-10</v>
      </c>
      <c r="BL143" s="619">
        <f t="shared" si="571"/>
        <v>0.9997897479594221</v>
      </c>
      <c r="BM143" s="674">
        <f t="shared" si="572"/>
        <v>-1.2901975906448553E-11</v>
      </c>
      <c r="BN143" s="599">
        <f>BM143-AVERAGE(BU102:BU103)</f>
        <v>-1.2900630722340157E-11</v>
      </c>
      <c r="BO143" s="599" t="e">
        <f>ABS(#REF!*BN143*3600)</f>
        <v>#REF!</v>
      </c>
      <c r="BP143" s="657">
        <f t="shared" si="573"/>
        <v>1.170345219130699E-3</v>
      </c>
      <c r="BQ143" s="614">
        <f t="shared" si="574"/>
        <v>0.1170345219130699</v>
      </c>
      <c r="BR143" s="672">
        <f t="shared" si="575"/>
        <v>1.4044142629568387E-3</v>
      </c>
      <c r="BS143" s="600">
        <f t="shared" si="576"/>
        <v>1.4161177151481457E-3</v>
      </c>
      <c r="BT143" s="672">
        <f t="shared" si="577"/>
        <v>1.4161177151481457E-3</v>
      </c>
      <c r="BU143" s="676">
        <f t="shared" si="578"/>
        <v>1.4629315239133738E-3</v>
      </c>
      <c r="BV143" s="2013">
        <v>20.100000000000001</v>
      </c>
      <c r="BW143" s="2018">
        <v>52</v>
      </c>
      <c r="BX143" s="2021">
        <v>1013</v>
      </c>
      <c r="BY143" s="2023">
        <v>-3.5999999999999998E-11</v>
      </c>
      <c r="BZ143" s="673">
        <v>60</v>
      </c>
      <c r="CA143" s="663">
        <v>44334</v>
      </c>
      <c r="CB143" s="650" t="s">
        <v>268</v>
      </c>
      <c r="CC143" s="651">
        <f t="shared" si="579"/>
        <v>-3.6107999999999994E-11</v>
      </c>
      <c r="CD143" s="619">
        <f t="shared" si="580"/>
        <v>0.99380888891564156</v>
      </c>
      <c r="CE143" s="674">
        <f t="shared" si="581"/>
        <v>-5.9229328039557622E-13</v>
      </c>
      <c r="CF143" s="599">
        <f>CE143-AVERAGE(CM102:CM103)</f>
        <v>-5.9049178516043451E-13</v>
      </c>
      <c r="CG143" s="599" t="e">
        <f>ABS(#REF!*CF143*3600)</f>
        <v>#REF!</v>
      </c>
      <c r="CH143" s="657">
        <f t="shared" si="582"/>
        <v>5.3569414749754616E-5</v>
      </c>
      <c r="CI143" s="614">
        <f t="shared" si="583"/>
        <v>5.3569414749754614E-3</v>
      </c>
      <c r="CJ143" s="672">
        <f t="shared" si="584"/>
        <v>6.4283297699705539E-5</v>
      </c>
      <c r="CK143" s="600">
        <f t="shared" si="585"/>
        <v>6.4818991847203085E-5</v>
      </c>
      <c r="CL143" s="672">
        <f t="shared" si="586"/>
        <v>6.4818991847203085E-5</v>
      </c>
      <c r="CM143" s="676">
        <f t="shared" si="587"/>
        <v>6.696176843719327E-5</v>
      </c>
      <c r="CN143" s="2013">
        <v>20</v>
      </c>
      <c r="CO143" s="2018">
        <v>52</v>
      </c>
      <c r="CP143" s="2021">
        <v>1012.8</v>
      </c>
      <c r="CQ143" s="2011">
        <v>-1.8199999999999999E-9</v>
      </c>
      <c r="CR143" s="673">
        <v>60</v>
      </c>
      <c r="CS143" s="663">
        <v>44334</v>
      </c>
      <c r="CT143" s="650" t="s">
        <v>268</v>
      </c>
      <c r="CU143" s="651">
        <f t="shared" si="588"/>
        <v>-1.8254599999999998E-9</v>
      </c>
      <c r="CV143" s="619">
        <f t="shared" si="589"/>
        <v>0.99366623479623406</v>
      </c>
      <c r="CW143" s="674">
        <f t="shared" si="590"/>
        <v>-2.9939417637140418E-11</v>
      </c>
      <c r="CX143" s="599">
        <f>CW143-AVERAGE(DE102:DE103)</f>
        <v>-2.9928129950434995E-11</v>
      </c>
      <c r="CY143" s="599" t="e">
        <f>ABS(#REF!*CX143*3600)</f>
        <v>#REF!</v>
      </c>
      <c r="CZ143" s="657">
        <f t="shared" si="591"/>
        <v>2.7150799491034625E-3</v>
      </c>
      <c r="DA143" s="614">
        <f t="shared" si="592"/>
        <v>0.27150799491034627</v>
      </c>
      <c r="DB143" s="672">
        <f t="shared" si="593"/>
        <v>3.2580959389241549E-3</v>
      </c>
      <c r="DC143" s="600">
        <f t="shared" si="594"/>
        <v>3.2852467384151896E-3</v>
      </c>
      <c r="DD143" s="672">
        <f t="shared" si="595"/>
        <v>3.2852467384151896E-3</v>
      </c>
      <c r="DE143" s="676">
        <f t="shared" si="596"/>
        <v>3.3938499363793282E-3</v>
      </c>
      <c r="DF143" s="668"/>
      <c r="DG143" s="669"/>
      <c r="DH143" s="670"/>
      <c r="DI143" s="671"/>
      <c r="DJ143" s="678"/>
      <c r="DK143" s="663"/>
      <c r="DL143" s="650" t="s">
        <v>268</v>
      </c>
      <c r="DM143" s="651">
        <f t="shared" si="597"/>
        <v>0</v>
      </c>
      <c r="DN143" s="619" t="e">
        <f t="shared" si="598"/>
        <v>#DIV/0!</v>
      </c>
      <c r="DO143" s="674" t="e">
        <f t="shared" si="599"/>
        <v>#DIV/0!</v>
      </c>
      <c r="DP143" s="599" t="e">
        <f>DO143-AVERAGE(DW102:DW103)</f>
        <v>#DIV/0!</v>
      </c>
      <c r="DQ143" s="599" t="e">
        <f>ABS(#REF!*DP143*3600)</f>
        <v>#REF!</v>
      </c>
      <c r="DR143" s="657" t="e">
        <f t="shared" si="600"/>
        <v>#DIV/0!</v>
      </c>
      <c r="DS143" s="614" t="e">
        <f t="shared" si="601"/>
        <v>#DIV/0!</v>
      </c>
      <c r="DT143" s="672" t="e">
        <f t="shared" si="602"/>
        <v>#DIV/0!</v>
      </c>
      <c r="DU143" s="600" t="e">
        <f t="shared" si="603"/>
        <v>#DIV/0!</v>
      </c>
      <c r="DV143" s="672" t="e">
        <f t="shared" si="604"/>
        <v>#DIV/0!</v>
      </c>
      <c r="DW143" s="676" t="e">
        <f t="shared" si="605"/>
        <v>#DIV/0!</v>
      </c>
      <c r="DX143" s="668"/>
      <c r="DY143" s="669"/>
      <c r="DZ143" s="677"/>
      <c r="EA143" s="679"/>
      <c r="EB143" s="678"/>
      <c r="EC143" s="663"/>
      <c r="ED143" s="650"/>
      <c r="EE143" s="651" t="str">
        <f t="shared" si="606"/>
        <v>rango cal. out</v>
      </c>
      <c r="EF143" s="619" t="e">
        <f t="shared" si="607"/>
        <v>#DIV/0!</v>
      </c>
      <c r="EG143" s="674" t="e">
        <f t="shared" si="608"/>
        <v>#VALUE!</v>
      </c>
      <c r="EH143" s="599" t="e">
        <f>EG143-AVERAGE(EO102:EO103)</f>
        <v>#VALUE!</v>
      </c>
      <c r="EI143" s="599" t="e">
        <f>ABS(#REF!*EH143*3600)</f>
        <v>#REF!</v>
      </c>
      <c r="EJ143" s="657" t="e">
        <f t="shared" si="609"/>
        <v>#VALUE!</v>
      </c>
      <c r="EK143" s="614" t="e">
        <f t="shared" si="610"/>
        <v>#VALUE!</v>
      </c>
      <c r="EL143" s="672" t="e">
        <f t="shared" si="611"/>
        <v>#VALUE!</v>
      </c>
      <c r="EM143" s="600" t="e">
        <f t="shared" si="612"/>
        <v>#VALUE!</v>
      </c>
      <c r="EN143" s="672" t="e">
        <f t="shared" si="613"/>
        <v>#VALUE!</v>
      </c>
      <c r="EO143" s="676" t="e">
        <f t="shared" si="614"/>
        <v>#VALUE!</v>
      </c>
      <c r="EP143" s="2013">
        <v>20</v>
      </c>
      <c r="EQ143" s="2018">
        <v>51</v>
      </c>
      <c r="ER143" s="2019">
        <v>1012.5</v>
      </c>
      <c r="ES143" s="2023">
        <v>-8.9999999999999996E-12</v>
      </c>
      <c r="ET143" s="673">
        <v>60</v>
      </c>
      <c r="EU143" s="663">
        <v>44334</v>
      </c>
      <c r="EV143" s="650" t="s">
        <v>268</v>
      </c>
      <c r="EW143" s="651">
        <f t="shared" si="615"/>
        <v>-9.0269999999999986E-12</v>
      </c>
      <c r="EX143" s="619">
        <f t="shared" si="616"/>
        <v>0.99396065442135895</v>
      </c>
      <c r="EY143" s="674">
        <f t="shared" si="617"/>
        <v>-1.4809593251719568E-13</v>
      </c>
      <c r="EZ143" s="599">
        <f>EY143-AVERAGE(FG102:FG103)</f>
        <v>-1.4917649632679541E-13</v>
      </c>
      <c r="FA143" s="599" t="e">
        <f>ABS(#REF!*EZ143*3600)</f>
        <v>#REF!</v>
      </c>
      <c r="FB143" s="657">
        <f t="shared" si="618"/>
        <v>1.3533291746766881E-5</v>
      </c>
      <c r="FC143" s="614">
        <f t="shared" si="619"/>
        <v>1.3533291746766882E-3</v>
      </c>
      <c r="FD143" s="672">
        <f t="shared" si="620"/>
        <v>1.6239950096120256E-5</v>
      </c>
      <c r="FE143" s="600">
        <f t="shared" si="621"/>
        <v>1.6375283013587925E-5</v>
      </c>
      <c r="FF143" s="672">
        <f t="shared" si="622"/>
        <v>1.6375283013587925E-5</v>
      </c>
      <c r="FG143" s="676">
        <f t="shared" si="623"/>
        <v>1.6916614683458601E-5</v>
      </c>
      <c r="FH143" s="668"/>
      <c r="FI143" s="669"/>
      <c r="FJ143" s="670"/>
      <c r="FK143" s="671"/>
      <c r="FL143" s="678"/>
      <c r="FM143" s="663"/>
      <c r="FN143" s="650"/>
      <c r="FO143" s="651" t="str">
        <f t="shared" si="624"/>
        <v>rango cal. out</v>
      </c>
      <c r="FP143" s="619" t="e">
        <f t="shared" si="625"/>
        <v>#DIV/0!</v>
      </c>
      <c r="FQ143" s="674" t="e">
        <f t="shared" si="626"/>
        <v>#VALUE!</v>
      </c>
      <c r="FR143" s="599" t="e">
        <f>FQ143-AVERAGE(FY102:FY103)</f>
        <v>#VALUE!</v>
      </c>
      <c r="FS143" s="599" t="e">
        <f>ABS(#REF!*FR143*3600)</f>
        <v>#REF!</v>
      </c>
      <c r="FT143" s="657" t="e">
        <f t="shared" si="627"/>
        <v>#VALUE!</v>
      </c>
      <c r="FU143" s="614" t="e">
        <f t="shared" si="628"/>
        <v>#VALUE!</v>
      </c>
      <c r="FV143" s="672" t="e">
        <f t="shared" si="629"/>
        <v>#VALUE!</v>
      </c>
      <c r="FW143" s="600" t="e">
        <f t="shared" si="630"/>
        <v>#VALUE!</v>
      </c>
      <c r="FX143" s="672" t="e">
        <f t="shared" si="631"/>
        <v>#VALUE!</v>
      </c>
      <c r="FY143" s="676" t="e">
        <f t="shared" si="632"/>
        <v>#VALUE!</v>
      </c>
      <c r="FZ143" s="668"/>
      <c r="GA143" s="669"/>
      <c r="GB143" s="670"/>
      <c r="GC143" s="671"/>
      <c r="GD143" s="678"/>
      <c r="GE143" s="663"/>
      <c r="GF143" s="650"/>
      <c r="GG143" s="651" t="str">
        <f t="shared" si="633"/>
        <v>rango cal. out</v>
      </c>
      <c r="GH143" s="619" t="e">
        <f t="shared" si="634"/>
        <v>#DIV/0!</v>
      </c>
      <c r="GI143" s="674" t="e">
        <f t="shared" si="635"/>
        <v>#VALUE!</v>
      </c>
      <c r="GJ143" s="599" t="e">
        <f>GI143-AVERAGE(GQ102:GQ103)</f>
        <v>#VALUE!</v>
      </c>
      <c r="GK143" s="599" t="e">
        <f>ABS(#REF!*GJ143*3600)</f>
        <v>#REF!</v>
      </c>
      <c r="GL143" s="657" t="e">
        <f t="shared" si="636"/>
        <v>#VALUE!</v>
      </c>
      <c r="GM143" s="614" t="e">
        <f t="shared" si="637"/>
        <v>#VALUE!</v>
      </c>
      <c r="GN143" s="672" t="e">
        <f t="shared" si="638"/>
        <v>#VALUE!</v>
      </c>
      <c r="GO143" s="600" t="e">
        <f t="shared" si="639"/>
        <v>#VALUE!</v>
      </c>
      <c r="GP143" s="672" t="e">
        <f t="shared" si="640"/>
        <v>#VALUE!</v>
      </c>
      <c r="GQ143" s="676" t="e">
        <f t="shared" si="641"/>
        <v>#VALUE!</v>
      </c>
      <c r="GR143" s="668"/>
      <c r="GS143" s="669"/>
      <c r="GT143" s="677"/>
      <c r="GU143" s="679"/>
      <c r="GV143" s="678"/>
      <c r="GW143" s="663"/>
      <c r="GX143" s="650"/>
      <c r="GY143" s="651" t="str">
        <f t="shared" si="642"/>
        <v>rango cal. out</v>
      </c>
      <c r="GZ143" s="619" t="e">
        <f t="shared" si="643"/>
        <v>#DIV/0!</v>
      </c>
      <c r="HA143" s="674" t="e">
        <f t="shared" si="644"/>
        <v>#VALUE!</v>
      </c>
      <c r="HB143" s="599" t="e">
        <f>HA143-AVERAGE(HI102:HI103)</f>
        <v>#VALUE!</v>
      </c>
      <c r="HC143" s="599" t="e">
        <f>ABS(#REF!*HB143*3600)</f>
        <v>#REF!</v>
      </c>
      <c r="HD143" s="657" t="e">
        <f t="shared" si="645"/>
        <v>#VALUE!</v>
      </c>
      <c r="HE143" s="614" t="e">
        <f t="shared" si="646"/>
        <v>#VALUE!</v>
      </c>
      <c r="HF143" s="672" t="e">
        <f t="shared" si="647"/>
        <v>#VALUE!</v>
      </c>
      <c r="HG143" s="600" t="e">
        <f t="shared" si="648"/>
        <v>#VALUE!</v>
      </c>
      <c r="HH143" s="672" t="e">
        <f t="shared" si="649"/>
        <v>#VALUE!</v>
      </c>
      <c r="HI143" s="676" t="e">
        <f t="shared" si="650"/>
        <v>#VALUE!</v>
      </c>
      <c r="HJ143" s="668"/>
      <c r="HK143" s="669"/>
      <c r="HL143" s="670"/>
      <c r="HM143" s="671"/>
      <c r="HN143" s="678"/>
      <c r="HO143" s="663"/>
      <c r="HP143" s="650"/>
      <c r="HQ143" s="651" t="str">
        <f t="shared" si="651"/>
        <v>rango cal. out</v>
      </c>
      <c r="HR143" s="619" t="e">
        <f t="shared" si="652"/>
        <v>#DIV/0!</v>
      </c>
      <c r="HS143" s="674" t="e">
        <f t="shared" si="653"/>
        <v>#VALUE!</v>
      </c>
      <c r="HT143" s="599" t="e">
        <f>HS143-AVERAGE(IA102:IA103)</f>
        <v>#VALUE!</v>
      </c>
      <c r="HU143" s="599" t="e">
        <f>ABS(#REF!*HT143*3600)</f>
        <v>#REF!</v>
      </c>
      <c r="HV143" s="657" t="e">
        <f t="shared" si="654"/>
        <v>#VALUE!</v>
      </c>
      <c r="HW143" s="614" t="e">
        <f t="shared" si="655"/>
        <v>#VALUE!</v>
      </c>
      <c r="HX143" s="672" t="e">
        <f t="shared" si="656"/>
        <v>#VALUE!</v>
      </c>
      <c r="HY143" s="600" t="e">
        <f t="shared" si="657"/>
        <v>#VALUE!</v>
      </c>
      <c r="HZ143" s="672" t="e">
        <f t="shared" si="658"/>
        <v>#VALUE!</v>
      </c>
      <c r="IA143" s="676" t="e">
        <f t="shared" si="659"/>
        <v>#VALUE!</v>
      </c>
      <c r="IB143" s="668"/>
      <c r="IC143" s="669"/>
      <c r="ID143" s="670"/>
      <c r="IE143" s="671"/>
      <c r="IF143" s="678"/>
      <c r="IG143" s="663"/>
      <c r="IH143" s="650"/>
      <c r="II143" s="651" t="str">
        <f t="shared" si="660"/>
        <v>rango cal. out</v>
      </c>
      <c r="IJ143" s="619" t="e">
        <f t="shared" si="661"/>
        <v>#DIV/0!</v>
      </c>
      <c r="IK143" s="674" t="e">
        <f t="shared" si="662"/>
        <v>#VALUE!</v>
      </c>
      <c r="IL143" s="599" t="e">
        <f>IK143-AVERAGE(IS102:IS103)</f>
        <v>#VALUE!</v>
      </c>
      <c r="IM143" s="599" t="e">
        <f>ABS(#REF!*IL143*3600)</f>
        <v>#REF!</v>
      </c>
      <c r="IN143" s="657" t="e">
        <f t="shared" si="663"/>
        <v>#VALUE!</v>
      </c>
      <c r="IO143" s="614" t="e">
        <f t="shared" si="664"/>
        <v>#VALUE!</v>
      </c>
      <c r="IP143" s="672" t="e">
        <f t="shared" si="665"/>
        <v>#VALUE!</v>
      </c>
      <c r="IQ143" s="600" t="e">
        <f t="shared" si="666"/>
        <v>#VALUE!</v>
      </c>
      <c r="IR143" s="672" t="e">
        <f t="shared" si="667"/>
        <v>#VALUE!</v>
      </c>
      <c r="IS143" s="676" t="e">
        <f t="shared" si="668"/>
        <v>#VALUE!</v>
      </c>
      <c r="IT143" s="668"/>
      <c r="IU143" s="669"/>
      <c r="IV143" s="670"/>
      <c r="IW143" s="671"/>
      <c r="IX143" s="678"/>
      <c r="IY143" s="663"/>
      <c r="IZ143" s="650"/>
      <c r="JA143" s="651" t="str">
        <f t="shared" si="669"/>
        <v>rango cal. out</v>
      </c>
      <c r="JB143" s="619" t="e">
        <f t="shared" si="670"/>
        <v>#DIV/0!</v>
      </c>
      <c r="JC143" s="674" t="e">
        <f t="shared" si="671"/>
        <v>#VALUE!</v>
      </c>
      <c r="JD143" s="599" t="e">
        <f>JC143-AVERAGE(JK102:JK103)</f>
        <v>#VALUE!</v>
      </c>
      <c r="JE143" s="599" t="e">
        <f>ABS(#REF!*JD143*3600)</f>
        <v>#REF!</v>
      </c>
      <c r="JF143" s="657" t="e">
        <f t="shared" si="672"/>
        <v>#VALUE!</v>
      </c>
      <c r="JG143" s="614" t="e">
        <f t="shared" si="673"/>
        <v>#VALUE!</v>
      </c>
      <c r="JH143" s="672" t="e">
        <f t="shared" si="674"/>
        <v>#VALUE!</v>
      </c>
      <c r="JI143" s="600" t="e">
        <f t="shared" si="675"/>
        <v>#VALUE!</v>
      </c>
      <c r="JJ143" s="672" t="e">
        <f t="shared" si="676"/>
        <v>#VALUE!</v>
      </c>
      <c r="JK143" s="676" t="e">
        <f t="shared" si="677"/>
        <v>#VALUE!</v>
      </c>
      <c r="JL143" s="668"/>
      <c r="JM143" s="669"/>
      <c r="JN143" s="670"/>
      <c r="JO143" s="671"/>
      <c r="JP143" s="678"/>
      <c r="JQ143" s="663"/>
      <c r="JR143" s="650"/>
      <c r="JS143" s="651" t="str">
        <f t="shared" si="678"/>
        <v>rango cal. out</v>
      </c>
      <c r="JT143" s="619" t="e">
        <f t="shared" si="679"/>
        <v>#DIV/0!</v>
      </c>
      <c r="JU143" s="674" t="e">
        <f t="shared" si="680"/>
        <v>#VALUE!</v>
      </c>
      <c r="JV143" s="599" t="e">
        <f>JU143-AVERAGE(KC102:KC103)</f>
        <v>#VALUE!</v>
      </c>
      <c r="JW143" s="599" t="e">
        <f>ABS(#REF!*JV143*3600)</f>
        <v>#REF!</v>
      </c>
      <c r="JX143" s="657" t="e">
        <f t="shared" si="681"/>
        <v>#VALUE!</v>
      </c>
      <c r="JY143" s="614" t="e">
        <f t="shared" si="682"/>
        <v>#VALUE!</v>
      </c>
      <c r="JZ143" s="672" t="e">
        <f t="shared" si="683"/>
        <v>#VALUE!</v>
      </c>
      <c r="KA143" s="600" t="e">
        <f t="shared" si="684"/>
        <v>#VALUE!</v>
      </c>
      <c r="KB143" s="672" t="e">
        <f t="shared" si="685"/>
        <v>#VALUE!</v>
      </c>
      <c r="KC143" s="676" t="e">
        <f t="shared" si="686"/>
        <v>#VALUE!</v>
      </c>
      <c r="KD143" s="668"/>
      <c r="KE143" s="669"/>
      <c r="KF143" s="670"/>
      <c r="KG143" s="671"/>
      <c r="KH143" s="678"/>
      <c r="KI143" s="663"/>
      <c r="KJ143" s="650"/>
      <c r="KK143" s="651" t="str">
        <f t="shared" si="687"/>
        <v>rango cal. out</v>
      </c>
      <c r="KL143" s="619" t="e">
        <f t="shared" si="688"/>
        <v>#DIV/0!</v>
      </c>
      <c r="KM143" s="674" t="e">
        <f t="shared" si="689"/>
        <v>#VALUE!</v>
      </c>
      <c r="KN143" s="599" t="e">
        <f>KM143-AVERAGE(KU102:KU103)</f>
        <v>#VALUE!</v>
      </c>
      <c r="KO143" s="599" t="e">
        <f>ABS(#REF!*KN143*3600)</f>
        <v>#REF!</v>
      </c>
      <c r="KP143" s="657" t="e">
        <f t="shared" si="690"/>
        <v>#VALUE!</v>
      </c>
      <c r="KQ143" s="614" t="e">
        <f t="shared" si="691"/>
        <v>#VALUE!</v>
      </c>
      <c r="KR143" s="672" t="e">
        <f t="shared" si="692"/>
        <v>#VALUE!</v>
      </c>
      <c r="KS143" s="600" t="e">
        <f t="shared" si="693"/>
        <v>#VALUE!</v>
      </c>
      <c r="KT143" s="672" t="e">
        <f t="shared" si="694"/>
        <v>#VALUE!</v>
      </c>
      <c r="KU143" s="676" t="e">
        <f t="shared" si="695"/>
        <v>#VALUE!</v>
      </c>
      <c r="KV143" s="668"/>
      <c r="KW143" s="669"/>
      <c r="KX143" s="670"/>
      <c r="KY143" s="671"/>
      <c r="KZ143" s="678"/>
      <c r="LA143" s="663"/>
      <c r="LB143" s="650"/>
      <c r="LC143" s="651" t="str">
        <f t="shared" si="696"/>
        <v>rango cal. out</v>
      </c>
      <c r="LD143" s="619" t="e">
        <f t="shared" si="697"/>
        <v>#DIV/0!</v>
      </c>
      <c r="LE143" s="674" t="e">
        <f t="shared" si="698"/>
        <v>#VALUE!</v>
      </c>
      <c r="LF143" s="599" t="e">
        <f>LE143-AVERAGE(LM102:LM103)</f>
        <v>#VALUE!</v>
      </c>
      <c r="LG143" s="599" t="e">
        <f>ABS(#REF!*LF143*3600)</f>
        <v>#REF!</v>
      </c>
      <c r="LH143" s="657" t="e">
        <f t="shared" si="699"/>
        <v>#VALUE!</v>
      </c>
      <c r="LI143" s="614" t="e">
        <f t="shared" si="700"/>
        <v>#VALUE!</v>
      </c>
      <c r="LJ143" s="672" t="e">
        <f t="shared" si="701"/>
        <v>#VALUE!</v>
      </c>
      <c r="LK143" s="600" t="e">
        <f t="shared" si="702"/>
        <v>#VALUE!</v>
      </c>
      <c r="LL143" s="672" t="e">
        <f t="shared" si="703"/>
        <v>#VALUE!</v>
      </c>
      <c r="LM143" s="676" t="e">
        <f t="shared" si="704"/>
        <v>#VALUE!</v>
      </c>
      <c r="LN143" s="668"/>
      <c r="LO143" s="669"/>
      <c r="LP143" s="670"/>
      <c r="LQ143" s="671"/>
      <c r="LR143" s="678"/>
      <c r="LS143" s="663"/>
      <c r="LT143" s="650"/>
      <c r="LU143" s="651" t="str">
        <f t="shared" si="705"/>
        <v>rango cal. out</v>
      </c>
      <c r="LV143" s="619" t="e">
        <f t="shared" si="706"/>
        <v>#DIV/0!</v>
      </c>
      <c r="LW143" s="674" t="e">
        <f t="shared" si="707"/>
        <v>#VALUE!</v>
      </c>
      <c r="LX143" s="599" t="e">
        <f>LW143-AVERAGE(ME102:ME103)</f>
        <v>#VALUE!</v>
      </c>
      <c r="LY143" s="599" t="e">
        <f>ABS(#REF!*LX143*3600)</f>
        <v>#REF!</v>
      </c>
      <c r="LZ143" s="657" t="e">
        <f t="shared" si="708"/>
        <v>#VALUE!</v>
      </c>
      <c r="MA143" s="614" t="e">
        <f t="shared" si="709"/>
        <v>#VALUE!</v>
      </c>
      <c r="MB143" s="672" t="e">
        <f t="shared" si="710"/>
        <v>#VALUE!</v>
      </c>
      <c r="MC143" s="600" t="e">
        <f t="shared" si="711"/>
        <v>#VALUE!</v>
      </c>
      <c r="MD143" s="672" t="e">
        <f t="shared" si="712"/>
        <v>#VALUE!</v>
      </c>
      <c r="ME143" s="676" t="e">
        <f t="shared" si="713"/>
        <v>#VALUE!</v>
      </c>
      <c r="MF143" s="668"/>
      <c r="MG143" s="669"/>
      <c r="MH143" s="670"/>
      <c r="MI143" s="671"/>
      <c r="MJ143" s="678"/>
      <c r="MK143" s="663"/>
      <c r="ML143" s="650"/>
      <c r="MM143" s="651" t="str">
        <f t="shared" si="714"/>
        <v>rango cal. out</v>
      </c>
      <c r="MN143" s="619" t="e">
        <f t="shared" si="715"/>
        <v>#DIV/0!</v>
      </c>
      <c r="MO143" s="674" t="e">
        <f t="shared" si="716"/>
        <v>#VALUE!</v>
      </c>
      <c r="MP143" s="599" t="e">
        <f>MO143-AVERAGE(MW102:MW103)</f>
        <v>#VALUE!</v>
      </c>
      <c r="MQ143" s="599" t="e">
        <f>ABS(#REF!*MP143*3600)</f>
        <v>#REF!</v>
      </c>
      <c r="MR143" s="657" t="e">
        <f t="shared" si="717"/>
        <v>#VALUE!</v>
      </c>
      <c r="MS143" s="614" t="e">
        <f t="shared" si="718"/>
        <v>#VALUE!</v>
      </c>
      <c r="MT143" s="672" t="e">
        <f t="shared" si="719"/>
        <v>#VALUE!</v>
      </c>
      <c r="MU143" s="600" t="e">
        <f t="shared" si="720"/>
        <v>#VALUE!</v>
      </c>
      <c r="MV143" s="672" t="e">
        <f t="shared" si="721"/>
        <v>#VALUE!</v>
      </c>
      <c r="MW143" s="676" t="e">
        <f t="shared" si="722"/>
        <v>#VALUE!</v>
      </c>
      <c r="MX143" s="668"/>
      <c r="MY143" s="669"/>
      <c r="MZ143" s="680"/>
      <c r="NA143" s="671"/>
      <c r="NB143" s="673"/>
      <c r="NC143" s="650"/>
      <c r="ND143" s="650"/>
      <c r="NE143" s="651" t="str">
        <f t="shared" si="723"/>
        <v>rango cal. out</v>
      </c>
      <c r="NF143" s="619" t="e">
        <f t="shared" si="724"/>
        <v>#DIV/0!</v>
      </c>
      <c r="NG143" s="674" t="e">
        <f t="shared" si="725"/>
        <v>#VALUE!</v>
      </c>
      <c r="NH143" s="599" t="e">
        <f>NG143-AVERAGE(NO102:NO103)</f>
        <v>#VALUE!</v>
      </c>
      <c r="NI143" s="599" t="e">
        <f>ABS(#REF!*NH143*3600)</f>
        <v>#REF!</v>
      </c>
      <c r="NJ143" s="657" t="e">
        <f t="shared" si="726"/>
        <v>#VALUE!</v>
      </c>
      <c r="NK143" s="614" t="e">
        <f t="shared" si="727"/>
        <v>#VALUE!</v>
      </c>
      <c r="NL143" s="672" t="e">
        <f t="shared" si="728"/>
        <v>#VALUE!</v>
      </c>
      <c r="NM143" s="600" t="e">
        <f t="shared" si="729"/>
        <v>#VALUE!</v>
      </c>
      <c r="NN143" s="672" t="e">
        <f t="shared" si="730"/>
        <v>#VALUE!</v>
      </c>
      <c r="NO143" s="676" t="e">
        <f t="shared" si="731"/>
        <v>#VALUE!</v>
      </c>
      <c r="NP143" s="2013">
        <v>20</v>
      </c>
      <c r="NQ143" s="2018">
        <v>52</v>
      </c>
      <c r="NR143" s="2019">
        <v>1012.3</v>
      </c>
      <c r="NS143" s="2011">
        <v>-6.2500000000000004E-11</v>
      </c>
      <c r="NT143" s="678">
        <v>60</v>
      </c>
      <c r="NU143" s="663">
        <v>44334</v>
      </c>
      <c r="NV143" s="650" t="s">
        <v>268</v>
      </c>
      <c r="NW143" s="651">
        <f t="shared" si="732"/>
        <v>-6.2687499999999997E-11</v>
      </c>
      <c r="NX143" s="619">
        <f t="shared" si="733"/>
        <v>0.994157031118864</v>
      </c>
      <c r="NY143" s="674">
        <f t="shared" si="734"/>
        <v>-1.0286471653773906E-12</v>
      </c>
      <c r="NZ143" s="599">
        <f>NY143-AVERAGE(OG102:OG103)</f>
        <v>-1.0293993264493491E-12</v>
      </c>
      <c r="OA143" s="599" t="e">
        <f>ABS(#REF!*NZ143*3600)</f>
        <v>#REF!</v>
      </c>
      <c r="OB143" s="657">
        <f t="shared" si="735"/>
        <v>9.3387106895484955E-5</v>
      </c>
      <c r="OC143" s="614">
        <f t="shared" si="736"/>
        <v>9.3387106895484948E-3</v>
      </c>
      <c r="OD143" s="672">
        <f t="shared" si="737"/>
        <v>1.1206452827458195E-4</v>
      </c>
      <c r="OE143" s="600">
        <f t="shared" si="738"/>
        <v>1.1299839934353679E-4</v>
      </c>
      <c r="OF143" s="672">
        <f t="shared" si="739"/>
        <v>1.1299839934353679E-4</v>
      </c>
      <c r="OG143" s="676">
        <f t="shared" si="740"/>
        <v>1.167338836193562E-4</v>
      </c>
      <c r="OH143" s="668"/>
      <c r="OI143" s="669"/>
      <c r="OJ143" s="670"/>
      <c r="OK143" s="671"/>
      <c r="OL143" s="678"/>
      <c r="OM143" s="663"/>
      <c r="ON143" s="650"/>
      <c r="OO143" s="651" t="str">
        <f t="shared" si="741"/>
        <v>rango cal. out</v>
      </c>
      <c r="OP143" s="619" t="e">
        <f t="shared" si="742"/>
        <v>#DIV/0!</v>
      </c>
      <c r="OQ143" s="674" t="e">
        <f t="shared" si="743"/>
        <v>#VALUE!</v>
      </c>
      <c r="OR143" s="599" t="e">
        <f>OQ143-AVERAGE(OY102:OY103)</f>
        <v>#VALUE!</v>
      </c>
      <c r="OS143" s="599" t="e">
        <f>ABS(#REF!*OR143*3600)</f>
        <v>#REF!</v>
      </c>
      <c r="OT143" s="657" t="e">
        <f t="shared" si="744"/>
        <v>#VALUE!</v>
      </c>
      <c r="OU143" s="614" t="e">
        <f t="shared" si="745"/>
        <v>#VALUE!</v>
      </c>
      <c r="OV143" s="672" t="e">
        <f t="shared" si="746"/>
        <v>#VALUE!</v>
      </c>
      <c r="OW143" s="600" t="e">
        <f t="shared" si="747"/>
        <v>#VALUE!</v>
      </c>
      <c r="OX143" s="672" t="e">
        <f t="shared" si="748"/>
        <v>#VALUE!</v>
      </c>
      <c r="OY143" s="676" t="e">
        <f t="shared" si="749"/>
        <v>#VALUE!</v>
      </c>
      <c r="OZ143" s="2013">
        <v>20</v>
      </c>
      <c r="PA143" s="2018">
        <v>52</v>
      </c>
      <c r="PB143" s="2019">
        <v>1012</v>
      </c>
      <c r="PC143" s="2011">
        <v>-1.308E-10</v>
      </c>
      <c r="PD143" s="673">
        <v>60</v>
      </c>
      <c r="PE143" s="663">
        <v>44334</v>
      </c>
      <c r="PF143" s="650" t="s">
        <v>268</v>
      </c>
      <c r="PG143" s="651">
        <f t="shared" si="750"/>
        <v>-1.3119239999999998E-10</v>
      </c>
      <c r="PH143" s="619">
        <f t="shared" si="751"/>
        <v>0.99445174170121142</v>
      </c>
      <c r="PI143" s="674">
        <f t="shared" si="752"/>
        <v>-2.1533909555242434E-12</v>
      </c>
      <c r="PJ143" s="599">
        <f>PI143-AVERAGE(PQ102:PQ103)</f>
        <v>-2.1517177454278031E-12</v>
      </c>
      <c r="PK143" s="599" t="e">
        <f>ABS(#REF!*PJ143*3600)</f>
        <v>#REF!</v>
      </c>
      <c r="PL143" s="657">
        <f t="shared" si="753"/>
        <v>1.952038338652103E-4</v>
      </c>
      <c r="PM143" s="614">
        <f t="shared" si="754"/>
        <v>1.9520383386521029E-2</v>
      </c>
      <c r="PN143" s="672">
        <f t="shared" si="755"/>
        <v>2.3424460063825234E-4</v>
      </c>
      <c r="PO143" s="600">
        <f t="shared" si="756"/>
        <v>2.3619663897690447E-4</v>
      </c>
      <c r="PP143" s="672">
        <f t="shared" si="757"/>
        <v>2.3619663897690447E-4</v>
      </c>
      <c r="PQ143" s="676">
        <f t="shared" si="758"/>
        <v>2.4400479233151288E-4</v>
      </c>
      <c r="PR143" s="668"/>
      <c r="PS143" s="669"/>
      <c r="PT143" s="670"/>
      <c r="PU143" s="671"/>
      <c r="PV143" s="678"/>
      <c r="PW143" s="663"/>
      <c r="PX143" s="650"/>
      <c r="PY143" s="651" t="str">
        <f t="shared" si="759"/>
        <v>rango cal. out</v>
      </c>
      <c r="PZ143" s="619" t="e">
        <f t="shared" si="760"/>
        <v>#DIV/0!</v>
      </c>
      <c r="QA143" s="674" t="e">
        <f t="shared" si="761"/>
        <v>#VALUE!</v>
      </c>
      <c r="QB143" s="599" t="e">
        <f>QA143-AVERAGE(QI102:QI103)</f>
        <v>#VALUE!</v>
      </c>
      <c r="QC143" s="599" t="e">
        <f>ABS(#REF!*QB143*3600)</f>
        <v>#REF!</v>
      </c>
      <c r="QD143" s="657" t="e">
        <f t="shared" si="762"/>
        <v>#VALUE!</v>
      </c>
      <c r="QE143" s="614" t="e">
        <f t="shared" si="763"/>
        <v>#VALUE!</v>
      </c>
      <c r="QF143" s="672" t="e">
        <f t="shared" si="764"/>
        <v>#VALUE!</v>
      </c>
      <c r="QG143" s="600" t="e">
        <f t="shared" si="765"/>
        <v>#VALUE!</v>
      </c>
      <c r="QH143" s="672" t="e">
        <f t="shared" si="766"/>
        <v>#VALUE!</v>
      </c>
      <c r="QI143" s="676" t="e">
        <f t="shared" si="767"/>
        <v>#VALUE!</v>
      </c>
      <c r="QJ143" s="668"/>
      <c r="QK143" s="669"/>
      <c r="QL143" s="670"/>
      <c r="QM143" s="671"/>
      <c r="QN143" s="678"/>
      <c r="QO143" s="663"/>
      <c r="QP143" s="650"/>
      <c r="QQ143" s="651" t="str">
        <f t="shared" si="768"/>
        <v>rango cal. out</v>
      </c>
      <c r="QR143" s="619" t="e">
        <f t="shared" si="769"/>
        <v>#DIV/0!</v>
      </c>
      <c r="QS143" s="674" t="e">
        <f t="shared" si="770"/>
        <v>#VALUE!</v>
      </c>
      <c r="QT143" s="599" t="e">
        <f>QS143-AVERAGE(RA102:RA103)</f>
        <v>#VALUE!</v>
      </c>
      <c r="QU143" s="599" t="e">
        <f>ABS(#REF!*QT143*3600)</f>
        <v>#REF!</v>
      </c>
      <c r="QV143" s="657" t="e">
        <f t="shared" si="771"/>
        <v>#VALUE!</v>
      </c>
      <c r="QW143" s="614" t="e">
        <f t="shared" si="772"/>
        <v>#VALUE!</v>
      </c>
      <c r="QX143" s="672" t="e">
        <f t="shared" si="773"/>
        <v>#VALUE!</v>
      </c>
      <c r="QY143" s="600" t="e">
        <f t="shared" si="774"/>
        <v>#VALUE!</v>
      </c>
      <c r="QZ143" s="672" t="e">
        <f t="shared" si="775"/>
        <v>#VALUE!</v>
      </c>
      <c r="RA143" s="676" t="e">
        <f t="shared" si="776"/>
        <v>#VALUE!</v>
      </c>
      <c r="RB143" s="668"/>
      <c r="RC143" s="669"/>
      <c r="RD143" s="693"/>
      <c r="RE143" s="671"/>
      <c r="RF143" s="694"/>
      <c r="RG143" s="663"/>
      <c r="RH143" s="650"/>
      <c r="RI143" s="651" t="str">
        <f t="shared" si="777"/>
        <v>rango cal. out</v>
      </c>
      <c r="RJ143" s="619" t="e">
        <f t="shared" si="778"/>
        <v>#DIV/0!</v>
      </c>
      <c r="RK143" s="674" t="e">
        <f t="shared" si="779"/>
        <v>#VALUE!</v>
      </c>
      <c r="RL143" s="599" t="e">
        <f>RK143-AVERAGE(RS102:RS103)</f>
        <v>#VALUE!</v>
      </c>
      <c r="RM143" s="599" t="e">
        <f>ABS(#REF!*RL143*3600)</f>
        <v>#REF!</v>
      </c>
      <c r="RN143" s="657" t="e">
        <f t="shared" si="780"/>
        <v>#VALUE!</v>
      </c>
      <c r="RO143" s="614" t="e">
        <f t="shared" si="781"/>
        <v>#VALUE!</v>
      </c>
      <c r="RP143" s="672" t="e">
        <f t="shared" si="782"/>
        <v>#VALUE!</v>
      </c>
      <c r="RQ143" s="600" t="e">
        <f t="shared" si="783"/>
        <v>#VALUE!</v>
      </c>
      <c r="RR143" s="672" t="e">
        <f t="shared" si="784"/>
        <v>#VALUE!</v>
      </c>
      <c r="RS143" s="676" t="e">
        <f t="shared" si="785"/>
        <v>#VALUE!</v>
      </c>
      <c r="RT143" s="668"/>
      <c r="RU143" s="669"/>
      <c r="RV143" s="669"/>
      <c r="RW143" s="679"/>
      <c r="RX143" s="673"/>
      <c r="RY143" s="663"/>
      <c r="RZ143" s="650"/>
      <c r="SA143" s="651" t="str">
        <f t="shared" si="786"/>
        <v>rango cal. out</v>
      </c>
      <c r="SB143" s="619" t="e">
        <f t="shared" si="787"/>
        <v>#DIV/0!</v>
      </c>
      <c r="SC143" s="674" t="e">
        <f t="shared" si="788"/>
        <v>#VALUE!</v>
      </c>
      <c r="SD143" s="599" t="e">
        <f>SC143-AVERAGE(SK102:SK103)</f>
        <v>#VALUE!</v>
      </c>
      <c r="SE143" s="599" t="e">
        <f>ABS(#REF!*SD143*3600)</f>
        <v>#REF!</v>
      </c>
      <c r="SF143" s="657" t="e">
        <f t="shared" si="789"/>
        <v>#VALUE!</v>
      </c>
      <c r="SG143" s="614" t="e">
        <f t="shared" si="790"/>
        <v>#VALUE!</v>
      </c>
      <c r="SH143" s="672" t="e">
        <f t="shared" si="791"/>
        <v>#VALUE!</v>
      </c>
      <c r="SI143" s="600" t="e">
        <f t="shared" si="792"/>
        <v>#VALUE!</v>
      </c>
      <c r="SJ143" s="672" t="e">
        <f t="shared" si="793"/>
        <v>#VALUE!</v>
      </c>
      <c r="SK143" s="676" t="e">
        <f t="shared" si="794"/>
        <v>#VALUE!</v>
      </c>
      <c r="SL143" s="2013">
        <v>20</v>
      </c>
      <c r="SM143" s="2018">
        <v>52</v>
      </c>
      <c r="SN143" s="2019">
        <v>1011.5</v>
      </c>
      <c r="SO143" s="2011">
        <v>-1.4E-11</v>
      </c>
      <c r="SP143" s="673">
        <v>60</v>
      </c>
      <c r="SQ143" s="663">
        <v>44334</v>
      </c>
      <c r="SR143" s="650" t="s">
        <v>268</v>
      </c>
      <c r="SS143" s="651">
        <f t="shared" si="795"/>
        <v>-1.4041999999999999E-11</v>
      </c>
      <c r="ST143" s="619">
        <f t="shared" si="796"/>
        <v>0.99494331448504791</v>
      </c>
      <c r="SU143" s="674">
        <f t="shared" si="797"/>
        <v>-2.305992028814466E-13</v>
      </c>
      <c r="SV143" s="599">
        <f>SU143-AVERAGE(TC102:TC103)</f>
        <v>-2.2866653010741431E-13</v>
      </c>
      <c r="SW143" s="599" t="e">
        <f>ABS(#REF!*SV143*3600)</f>
        <v>#REF!</v>
      </c>
      <c r="SX143" s="657">
        <f t="shared" si="798"/>
        <v>2.0744627611344625E-5</v>
      </c>
      <c r="SY143" s="614">
        <f t="shared" si="799"/>
        <v>2.0744627611344628E-3</v>
      </c>
      <c r="SZ143" s="672">
        <f t="shared" si="800"/>
        <v>2.4893553133613548E-5</v>
      </c>
      <c r="TA143" s="600">
        <f t="shared" si="801"/>
        <v>2.5100999409726997E-5</v>
      </c>
      <c r="TB143" s="672">
        <f t="shared" si="802"/>
        <v>2.5100999409726997E-5</v>
      </c>
      <c r="TC143" s="676">
        <f t="shared" si="803"/>
        <v>2.5930784514180782E-5</v>
      </c>
      <c r="TD143" s="2013">
        <v>20</v>
      </c>
      <c r="TE143" s="2018">
        <v>52</v>
      </c>
      <c r="TF143" s="2019">
        <v>1011.3</v>
      </c>
      <c r="TG143" s="2011">
        <v>-3.0700000000000003E-10</v>
      </c>
      <c r="TH143" s="673">
        <v>60</v>
      </c>
      <c r="TI143" s="663">
        <v>44334</v>
      </c>
      <c r="TJ143" s="650" t="s">
        <v>268</v>
      </c>
      <c r="TK143" s="651">
        <f t="shared" si="804"/>
        <v>-3.0792100000000002E-10</v>
      </c>
      <c r="TL143" s="619">
        <f t="shared" si="805"/>
        <v>0.99514007970100471</v>
      </c>
      <c r="TM143" s="674">
        <f t="shared" si="806"/>
        <v>-5.0577111335040517E-12</v>
      </c>
      <c r="TN143" s="599">
        <f>TM143-AVERAGE(TU102:TU103)</f>
        <v>-5.0573446903168471E-12</v>
      </c>
      <c r="TO143" s="599" t="e">
        <f>ABS(#REF!*TN143*3600)</f>
        <v>#REF!</v>
      </c>
      <c r="TP143" s="657">
        <f t="shared" si="807"/>
        <v>4.5880231030554441E-4</v>
      </c>
      <c r="TQ143" s="614">
        <f t="shared" si="808"/>
        <v>4.5880231030554441E-2</v>
      </c>
      <c r="TR143" s="672">
        <f t="shared" si="809"/>
        <v>5.5056277236665326E-4</v>
      </c>
      <c r="TS143" s="600">
        <f t="shared" si="810"/>
        <v>5.5515079546970868E-4</v>
      </c>
      <c r="TT143" s="672">
        <f t="shared" si="811"/>
        <v>5.5515079546970868E-4</v>
      </c>
      <c r="TU143" s="676">
        <f t="shared" si="812"/>
        <v>5.7350288788193056E-4</v>
      </c>
      <c r="TV143" s="668"/>
      <c r="TW143" s="669"/>
      <c r="TX143" s="670"/>
      <c r="TY143" s="671"/>
      <c r="TZ143" s="678"/>
      <c r="UA143" s="663"/>
      <c r="UB143" s="650"/>
      <c r="UC143" s="651" t="str">
        <f t="shared" si="813"/>
        <v>rango cal. out</v>
      </c>
      <c r="UD143" s="619" t="e">
        <f t="shared" si="814"/>
        <v>#DIV/0!</v>
      </c>
      <c r="UE143" s="674" t="e">
        <f t="shared" si="815"/>
        <v>#VALUE!</v>
      </c>
      <c r="UF143" s="599" t="e">
        <f>UE143-AVERAGE(UM102:UM103)</f>
        <v>#VALUE!</v>
      </c>
      <c r="UG143" s="599" t="e">
        <f>ABS(#REF!*UF143*3600)</f>
        <v>#REF!</v>
      </c>
      <c r="UH143" s="657" t="e">
        <f t="shared" si="816"/>
        <v>#VALUE!</v>
      </c>
      <c r="UI143" s="614" t="e">
        <f t="shared" si="817"/>
        <v>#VALUE!</v>
      </c>
      <c r="UJ143" s="672" t="e">
        <f t="shared" si="818"/>
        <v>#VALUE!</v>
      </c>
      <c r="UK143" s="600" t="e">
        <f t="shared" si="819"/>
        <v>#VALUE!</v>
      </c>
      <c r="UL143" s="672" t="e">
        <f t="shared" si="820"/>
        <v>#VALUE!</v>
      </c>
      <c r="UM143" s="676" t="e">
        <f t="shared" si="821"/>
        <v>#VALUE!</v>
      </c>
      <c r="UN143" s="2013">
        <v>19.899999999999999</v>
      </c>
      <c r="UO143" s="2018">
        <v>51</v>
      </c>
      <c r="UP143" s="2019">
        <v>1011</v>
      </c>
      <c r="UQ143" s="2011">
        <v>-2.15E-11</v>
      </c>
      <c r="UR143" s="673">
        <v>60</v>
      </c>
      <c r="US143" s="663">
        <v>44334</v>
      </c>
      <c r="UT143" s="650" t="s">
        <v>268</v>
      </c>
      <c r="UU143" s="651">
        <f t="shared" si="822"/>
        <v>-2.1564499999999998E-11</v>
      </c>
      <c r="UV143" s="619">
        <f t="shared" si="823"/>
        <v>0.99509586620346901</v>
      </c>
      <c r="UW143" s="674">
        <f t="shared" si="824"/>
        <v>-3.5418878853429448E-13</v>
      </c>
      <c r="UX143" s="599">
        <f>UW143-AVERAGE(VE102:VE103)</f>
        <v>-3.5402631545202974E-13</v>
      </c>
      <c r="UY143" s="599" t="e">
        <f>ABS(#REF!*UX143*3600)</f>
        <v>#REF!</v>
      </c>
      <c r="UZ143" s="657">
        <f t="shared" si="825"/>
        <v>3.2117267337808138E-5</v>
      </c>
      <c r="VA143" s="614">
        <f t="shared" si="826"/>
        <v>3.2117267337808137E-3</v>
      </c>
      <c r="VB143" s="672">
        <f t="shared" si="827"/>
        <v>3.8540720805369765E-5</v>
      </c>
      <c r="VC143" s="600">
        <f t="shared" si="828"/>
        <v>3.8861893478747849E-5</v>
      </c>
      <c r="VD143" s="672">
        <f t="shared" si="829"/>
        <v>3.8861893478747849E-5</v>
      </c>
      <c r="VE143" s="676">
        <f t="shared" si="830"/>
        <v>4.0146584172260171E-5</v>
      </c>
    </row>
    <row r="144" spans="1:577" x14ac:dyDescent="0.25">
      <c r="A144" s="681" t="s">
        <v>61</v>
      </c>
      <c r="B144" s="709">
        <f>AVERAGE(B134:B143)</f>
        <v>20.209999999999997</v>
      </c>
      <c r="C144" s="710">
        <f>AVERAGE(C134:C143)</f>
        <v>52.1</v>
      </c>
      <c r="D144" s="710">
        <f>AVERAGE(D134:D143)</f>
        <v>1010</v>
      </c>
      <c r="E144" s="672">
        <f>AVERAGE(E134:E143)</f>
        <v>-4.8086999999999989E-9</v>
      </c>
      <c r="F144" s="710">
        <f>AVERAGE(F134:F143)</f>
        <v>60</v>
      </c>
      <c r="G144" s="2116" t="s">
        <v>93</v>
      </c>
      <c r="H144" s="90" t="s">
        <v>93</v>
      </c>
      <c r="I144" s="599">
        <f t="shared" ref="I144:S144" si="831">AVERAGE(I134:I143)</f>
        <v>-4.8135087000000007E-9</v>
      </c>
      <c r="J144" s="619">
        <f t="shared" si="831"/>
        <v>0.99713462428559918</v>
      </c>
      <c r="K144" s="675">
        <f t="shared" si="831"/>
        <v>-7.9222043087577174E-11</v>
      </c>
      <c r="L144" s="672">
        <f t="shared" si="831"/>
        <v>-7.9198231120205694E-11</v>
      </c>
      <c r="M144" s="687" t="e">
        <f t="shared" si="831"/>
        <v>#REF!</v>
      </c>
      <c r="N144" s="686">
        <f t="shared" si="831"/>
        <v>7.1848635272250602E-3</v>
      </c>
      <c r="O144" s="687">
        <f t="shared" si="831"/>
        <v>0.71848635272250605</v>
      </c>
      <c r="P144" s="2123">
        <f t="shared" si="831"/>
        <v>8.621836232670075E-3</v>
      </c>
      <c r="Q144" s="687">
        <f t="shared" si="831"/>
        <v>8.693684867942324E-3</v>
      </c>
      <c r="R144" s="687">
        <f t="shared" si="831"/>
        <v>8.693684867942324E-3</v>
      </c>
      <c r="S144" s="690">
        <f t="shared" si="831"/>
        <v>8.9810794090313256E-3</v>
      </c>
      <c r="T144" s="691" t="e">
        <f t="shared" ref="T144:X144" si="832">AVERAGE(T134:T143)</f>
        <v>#DIV/0!</v>
      </c>
      <c r="U144" s="691" t="e">
        <f t="shared" si="832"/>
        <v>#DIV/0!</v>
      </c>
      <c r="V144" s="695" t="e">
        <f t="shared" si="832"/>
        <v>#DIV/0!</v>
      </c>
      <c r="W144" s="599" t="e">
        <f t="shared" si="832"/>
        <v>#DIV/0!</v>
      </c>
      <c r="X144" s="685" t="e">
        <f t="shared" si="832"/>
        <v>#DIV/0!</v>
      </c>
      <c r="Y144" s="685" t="s">
        <v>93</v>
      </c>
      <c r="Z144" s="90" t="s">
        <v>93</v>
      </c>
      <c r="AA144" s="599" t="e">
        <f t="shared" ref="AA144" si="833">AVERAGE(AA134:AA143)</f>
        <v>#DIV/0!</v>
      </c>
      <c r="AB144" s="619" t="e">
        <f t="shared" ref="AB144:AP144" si="834">AVERAGE(AB134:AB143)</f>
        <v>#DIV/0!</v>
      </c>
      <c r="AC144" s="675" t="e">
        <f t="shared" si="834"/>
        <v>#VALUE!</v>
      </c>
      <c r="AD144" s="672" t="e">
        <f t="shared" si="834"/>
        <v>#VALUE!</v>
      </c>
      <c r="AE144" s="687" t="e">
        <f t="shared" si="834"/>
        <v>#REF!</v>
      </c>
      <c r="AF144" s="686" t="e">
        <f t="shared" si="834"/>
        <v>#VALUE!</v>
      </c>
      <c r="AG144" s="687" t="e">
        <f t="shared" si="834"/>
        <v>#VALUE!</v>
      </c>
      <c r="AH144" s="687" t="e">
        <f t="shared" si="834"/>
        <v>#VALUE!</v>
      </c>
      <c r="AI144" s="687" t="e">
        <f t="shared" si="834"/>
        <v>#VALUE!</v>
      </c>
      <c r="AJ144" s="687" t="e">
        <f t="shared" si="834"/>
        <v>#VALUE!</v>
      </c>
      <c r="AK144" s="690" t="e">
        <f t="shared" si="834"/>
        <v>#VALUE!</v>
      </c>
      <c r="AL144" s="691" t="e">
        <f t="shared" si="834"/>
        <v>#DIV/0!</v>
      </c>
      <c r="AM144" s="691" t="e">
        <f t="shared" si="834"/>
        <v>#DIV/0!</v>
      </c>
      <c r="AN144" s="695" t="e">
        <f t="shared" si="834"/>
        <v>#DIV/0!</v>
      </c>
      <c r="AO144" s="599" t="e">
        <f t="shared" si="834"/>
        <v>#DIV/0!</v>
      </c>
      <c r="AP144" s="685" t="e">
        <f t="shared" si="834"/>
        <v>#DIV/0!</v>
      </c>
      <c r="AQ144" s="685" t="s">
        <v>93</v>
      </c>
      <c r="AR144" s="90" t="s">
        <v>93</v>
      </c>
      <c r="AS144" s="599" t="e">
        <f t="shared" ref="AS144" si="835">AVERAGE(AS134:AS143)</f>
        <v>#DIV/0!</v>
      </c>
      <c r="AT144" s="619" t="e">
        <f t="shared" ref="AT144:BC144" si="836">AVERAGE(AT134:AT143)</f>
        <v>#DIV/0!</v>
      </c>
      <c r="AU144" s="675" t="e">
        <f t="shared" si="836"/>
        <v>#VALUE!</v>
      </c>
      <c r="AV144" s="672" t="e">
        <f t="shared" si="836"/>
        <v>#VALUE!</v>
      </c>
      <c r="AW144" s="687" t="e">
        <f t="shared" si="836"/>
        <v>#REF!</v>
      </c>
      <c r="AX144" s="686" t="e">
        <f t="shared" si="836"/>
        <v>#VALUE!</v>
      </c>
      <c r="AY144" s="687" t="e">
        <f t="shared" si="836"/>
        <v>#VALUE!</v>
      </c>
      <c r="AZ144" s="687" t="e">
        <f t="shared" si="836"/>
        <v>#VALUE!</v>
      </c>
      <c r="BA144" s="687" t="e">
        <f t="shared" si="836"/>
        <v>#VALUE!</v>
      </c>
      <c r="BB144" s="687" t="e">
        <f t="shared" si="836"/>
        <v>#VALUE!</v>
      </c>
      <c r="BC144" s="690" t="e">
        <f t="shared" si="836"/>
        <v>#VALUE!</v>
      </c>
      <c r="BD144" s="692">
        <f>AVERAGE(BD134:BD143)</f>
        <v>20.529999999999998</v>
      </c>
      <c r="BE144" s="711">
        <f>AVERAGE(BE134:BE143)</f>
        <v>52.2</v>
      </c>
      <c r="BF144" s="693">
        <f>AVERAGE(BF134:BF143)</f>
        <v>1009.4200000000001</v>
      </c>
      <c r="BG144" s="599">
        <f>AVERAGE(BG134:BG143)</f>
        <v>-7.7835000000000011E-10</v>
      </c>
      <c r="BH144" s="694">
        <f>AVERAGE(BH134:BH143)</f>
        <v>60</v>
      </c>
      <c r="BI144" s="2116" t="s">
        <v>93</v>
      </c>
      <c r="BJ144" s="90" t="s">
        <v>93</v>
      </c>
      <c r="BK144" s="599">
        <f t="shared" ref="BK144:BZ144" si="837">AVERAGE(BK134:BK143)</f>
        <v>-7.8068504999999999E-10</v>
      </c>
      <c r="BL144" s="619">
        <f t="shared" si="837"/>
        <v>0.99879770553793268</v>
      </c>
      <c r="BM144" s="675">
        <f t="shared" si="837"/>
        <v>-1.287019178488034E-11</v>
      </c>
      <c r="BN144" s="672">
        <f t="shared" si="837"/>
        <v>-1.2868846600771947E-11</v>
      </c>
      <c r="BO144" s="687" t="e">
        <f t="shared" si="837"/>
        <v>#REF!</v>
      </c>
      <c r="BP144" s="686">
        <f t="shared" si="837"/>
        <v>1.1674617636220311E-3</v>
      </c>
      <c r="BQ144" s="687">
        <f t="shared" si="837"/>
        <v>0.11674617636220311</v>
      </c>
      <c r="BR144" s="687">
        <f t="shared" si="837"/>
        <v>1.4009541163464367E-3</v>
      </c>
      <c r="BS144" s="687">
        <f t="shared" si="837"/>
        <v>1.412628733982657E-3</v>
      </c>
      <c r="BT144" s="687">
        <f t="shared" si="837"/>
        <v>1.412628733982657E-3</v>
      </c>
      <c r="BU144" s="690">
        <f t="shared" si="837"/>
        <v>1.4593272045275384E-3</v>
      </c>
      <c r="BV144" s="692">
        <f t="shared" si="837"/>
        <v>20.520000000000003</v>
      </c>
      <c r="BW144" s="711">
        <f t="shared" si="837"/>
        <v>51</v>
      </c>
      <c r="BX144" s="693">
        <f t="shared" si="837"/>
        <v>1008.5799999999999</v>
      </c>
      <c r="BY144" s="599">
        <f t="shared" si="837"/>
        <v>-3.5149999999999996E-11</v>
      </c>
      <c r="BZ144" s="694">
        <f t="shared" si="837"/>
        <v>60</v>
      </c>
      <c r="CA144" s="2116" t="s">
        <v>93</v>
      </c>
      <c r="CB144" s="90" t="s">
        <v>93</v>
      </c>
      <c r="CC144" s="599">
        <f t="shared" ref="CC144:CR144" si="838">AVERAGE(CC134:CC143)</f>
        <v>-3.525545E-11</v>
      </c>
      <c r="CD144" s="619">
        <f t="shared" si="838"/>
        <v>0.99959656210549297</v>
      </c>
      <c r="CE144" s="675">
        <f t="shared" si="838"/>
        <v>-5.8167633784258748E-13</v>
      </c>
      <c r="CF144" s="672">
        <f t="shared" si="838"/>
        <v>-5.7987484260744587E-13</v>
      </c>
      <c r="CG144" s="687" t="e">
        <f t="shared" si="838"/>
        <v>#REF!</v>
      </c>
      <c r="CH144" s="686">
        <f t="shared" si="838"/>
        <v>5.2606245721347489E-5</v>
      </c>
      <c r="CI144" s="687">
        <f t="shared" si="838"/>
        <v>5.2606245721347478E-3</v>
      </c>
      <c r="CJ144" s="687">
        <f t="shared" si="838"/>
        <v>6.3127494865616971E-5</v>
      </c>
      <c r="CK144" s="687">
        <f t="shared" si="838"/>
        <v>6.3653557322830445E-5</v>
      </c>
      <c r="CL144" s="687">
        <f t="shared" si="838"/>
        <v>6.3653557322830445E-5</v>
      </c>
      <c r="CM144" s="690">
        <f t="shared" si="838"/>
        <v>6.5757807151684358E-5</v>
      </c>
      <c r="CN144" s="692">
        <f t="shared" si="838"/>
        <v>20.39</v>
      </c>
      <c r="CO144" s="711">
        <f t="shared" si="838"/>
        <v>51.9</v>
      </c>
      <c r="CP144" s="693">
        <f t="shared" si="838"/>
        <v>1008.18</v>
      </c>
      <c r="CQ144" s="599">
        <f t="shared" si="838"/>
        <v>-1.8191999999999999E-9</v>
      </c>
      <c r="CR144" s="694">
        <f t="shared" si="838"/>
        <v>60</v>
      </c>
      <c r="CS144" s="2116" t="s">
        <v>93</v>
      </c>
      <c r="CT144" s="90" t="s">
        <v>93</v>
      </c>
      <c r="CU144" s="599">
        <f t="shared" ref="CU144:DE144" si="839">AVERAGE(CU134:CU143)</f>
        <v>-1.8246575999999998E-9</v>
      </c>
      <c r="CV144" s="619">
        <f t="shared" si="839"/>
        <v>0.99955431394714778</v>
      </c>
      <c r="CW144" s="675">
        <f t="shared" si="839"/>
        <v>-3.0103592533501998E-11</v>
      </c>
      <c r="CX144" s="672">
        <f t="shared" si="839"/>
        <v>-3.0092304846796576E-11</v>
      </c>
      <c r="CY144" s="687" t="e">
        <f t="shared" si="839"/>
        <v>#REF!</v>
      </c>
      <c r="CZ144" s="686">
        <f t="shared" si="839"/>
        <v>2.7299738957013851E-3</v>
      </c>
      <c r="DA144" s="687">
        <f t="shared" si="839"/>
        <v>0.27299738957013853</v>
      </c>
      <c r="DB144" s="687">
        <f t="shared" si="839"/>
        <v>3.2759686748416623E-3</v>
      </c>
      <c r="DC144" s="687">
        <f t="shared" si="839"/>
        <v>3.3032684137986766E-3</v>
      </c>
      <c r="DD144" s="687">
        <f t="shared" si="839"/>
        <v>3.3032684137986766E-3</v>
      </c>
      <c r="DE144" s="690">
        <f t="shared" si="839"/>
        <v>3.4124673696267309E-3</v>
      </c>
      <c r="DF144" s="682" t="e">
        <f t="shared" ref="DF144:DJ144" si="840">AVERAGE(DF134:DF143)</f>
        <v>#DIV/0!</v>
      </c>
      <c r="DG144" s="691" t="e">
        <f t="shared" si="840"/>
        <v>#DIV/0!</v>
      </c>
      <c r="DH144" s="695" t="e">
        <f t="shared" si="840"/>
        <v>#DIV/0!</v>
      </c>
      <c r="DI144" s="599" t="e">
        <f t="shared" si="840"/>
        <v>#DIV/0!</v>
      </c>
      <c r="DJ144" s="685" t="e">
        <f t="shared" si="840"/>
        <v>#DIV/0!</v>
      </c>
      <c r="DK144" s="685" t="s">
        <v>93</v>
      </c>
      <c r="DL144" s="90" t="s">
        <v>93</v>
      </c>
      <c r="DM144" s="599">
        <f t="shared" ref="DM144" si="841">AVERAGE(DM134:DM143)</f>
        <v>0</v>
      </c>
      <c r="DN144" s="619" t="e">
        <f t="shared" ref="DN144:EB144" si="842">AVERAGE(DN134:DN143)</f>
        <v>#DIV/0!</v>
      </c>
      <c r="DO144" s="675" t="e">
        <f t="shared" si="842"/>
        <v>#DIV/0!</v>
      </c>
      <c r="DP144" s="672" t="e">
        <f t="shared" si="842"/>
        <v>#DIV/0!</v>
      </c>
      <c r="DQ144" s="687" t="e">
        <f t="shared" si="842"/>
        <v>#REF!</v>
      </c>
      <c r="DR144" s="686" t="e">
        <f t="shared" si="842"/>
        <v>#DIV/0!</v>
      </c>
      <c r="DS144" s="687" t="e">
        <f t="shared" si="842"/>
        <v>#DIV/0!</v>
      </c>
      <c r="DT144" s="687" t="e">
        <f t="shared" si="842"/>
        <v>#DIV/0!</v>
      </c>
      <c r="DU144" s="687" t="e">
        <f t="shared" si="842"/>
        <v>#DIV/0!</v>
      </c>
      <c r="DV144" s="687" t="e">
        <f t="shared" si="842"/>
        <v>#DIV/0!</v>
      </c>
      <c r="DW144" s="690" t="e">
        <f t="shared" si="842"/>
        <v>#DIV/0!</v>
      </c>
      <c r="DX144" s="682" t="e">
        <f t="shared" si="842"/>
        <v>#DIV/0!</v>
      </c>
      <c r="DY144" s="691" t="e">
        <f t="shared" si="842"/>
        <v>#DIV/0!</v>
      </c>
      <c r="DZ144" s="695" t="e">
        <f t="shared" si="842"/>
        <v>#DIV/0!</v>
      </c>
      <c r="EA144" s="653" t="e">
        <f t="shared" si="842"/>
        <v>#DIV/0!</v>
      </c>
      <c r="EB144" s="685" t="e">
        <f t="shared" si="842"/>
        <v>#DIV/0!</v>
      </c>
      <c r="EC144" s="685" t="s">
        <v>93</v>
      </c>
      <c r="ED144" s="90" t="s">
        <v>93</v>
      </c>
      <c r="EE144" s="599" t="e">
        <f t="shared" ref="EE144" si="843">AVERAGE(EE134:EE143)</f>
        <v>#DIV/0!</v>
      </c>
      <c r="EF144" s="619" t="e">
        <f t="shared" ref="EF144:EO144" si="844">AVERAGE(EF134:EF143)</f>
        <v>#DIV/0!</v>
      </c>
      <c r="EG144" s="675" t="e">
        <f t="shared" si="844"/>
        <v>#VALUE!</v>
      </c>
      <c r="EH144" s="672" t="e">
        <f t="shared" si="844"/>
        <v>#VALUE!</v>
      </c>
      <c r="EI144" s="687" t="e">
        <f t="shared" si="844"/>
        <v>#REF!</v>
      </c>
      <c r="EJ144" s="686" t="e">
        <f t="shared" si="844"/>
        <v>#VALUE!</v>
      </c>
      <c r="EK144" s="687" t="e">
        <f t="shared" si="844"/>
        <v>#VALUE!</v>
      </c>
      <c r="EL144" s="687" t="e">
        <f t="shared" si="844"/>
        <v>#VALUE!</v>
      </c>
      <c r="EM144" s="687" t="e">
        <f t="shared" si="844"/>
        <v>#VALUE!</v>
      </c>
      <c r="EN144" s="687" t="e">
        <f t="shared" si="844"/>
        <v>#VALUE!</v>
      </c>
      <c r="EO144" s="690" t="e">
        <f t="shared" si="844"/>
        <v>#VALUE!</v>
      </c>
      <c r="EP144" s="682">
        <f>AVERAGE(EP134:EP143)</f>
        <v>20.410000000000004</v>
      </c>
      <c r="EQ144" s="691">
        <f>AVERAGE(EQ134:EQ143)</f>
        <v>52.3</v>
      </c>
      <c r="ER144" s="693">
        <f>AVERAGE(ER134:ER143)</f>
        <v>1008.1299999999999</v>
      </c>
      <c r="ES144" s="599">
        <f>AVERAGE(ES134:ES143)</f>
        <v>-6.3999999999999986E-12</v>
      </c>
      <c r="ET144" s="694">
        <f>AVERAGE(ET134:ET143)</f>
        <v>60</v>
      </c>
      <c r="EU144" s="2116" t="s">
        <v>93</v>
      </c>
      <c r="EV144" s="90" t="s">
        <v>93</v>
      </c>
      <c r="EW144" s="599">
        <f t="shared" ref="EW144:FG144" si="845">AVERAGE(EW134:EW143)</f>
        <v>-6.4191999999999975E-12</v>
      </c>
      <c r="EX144" s="619">
        <f t="shared" si="845"/>
        <v>0.99967174726134966</v>
      </c>
      <c r="EY144" s="675">
        <f t="shared" si="845"/>
        <v>-1.0589175774909678E-13</v>
      </c>
      <c r="EZ144" s="672">
        <f t="shared" si="845"/>
        <v>-1.0697232155869651E-13</v>
      </c>
      <c r="FA144" s="687" t="e">
        <f t="shared" si="845"/>
        <v>#REF!</v>
      </c>
      <c r="FB144" s="686">
        <f t="shared" si="845"/>
        <v>1.1940203237065004E-5</v>
      </c>
      <c r="FC144" s="687">
        <f t="shared" si="845"/>
        <v>1.1940203237065005E-3</v>
      </c>
      <c r="FD144" s="687">
        <f t="shared" si="845"/>
        <v>1.4328243884478004E-5</v>
      </c>
      <c r="FE144" s="687">
        <f t="shared" si="845"/>
        <v>1.4447645916848654E-5</v>
      </c>
      <c r="FF144" s="687">
        <f t="shared" si="845"/>
        <v>1.4447645916848654E-5</v>
      </c>
      <c r="FG144" s="690">
        <f t="shared" si="845"/>
        <v>1.4925254046331256E-5</v>
      </c>
      <c r="FH144" s="682" t="e">
        <f t="shared" ref="FH144:FL144" si="846">AVERAGE(FH134:FH143)</f>
        <v>#DIV/0!</v>
      </c>
      <c r="FI144" s="691" t="e">
        <f t="shared" si="846"/>
        <v>#DIV/0!</v>
      </c>
      <c r="FJ144" s="695" t="e">
        <f t="shared" si="846"/>
        <v>#DIV/0!</v>
      </c>
      <c r="FK144" s="599" t="e">
        <f t="shared" si="846"/>
        <v>#DIV/0!</v>
      </c>
      <c r="FL144" s="685" t="e">
        <f t="shared" si="846"/>
        <v>#DIV/0!</v>
      </c>
      <c r="FM144" s="685" t="s">
        <v>93</v>
      </c>
      <c r="FN144" s="90" t="s">
        <v>93</v>
      </c>
      <c r="FO144" s="599" t="e">
        <f t="shared" ref="FO144" si="847">AVERAGE(FO134:FO143)</f>
        <v>#DIV/0!</v>
      </c>
      <c r="FP144" s="619" t="e">
        <f t="shared" ref="FP144:GD144" si="848">AVERAGE(FP134:FP143)</f>
        <v>#DIV/0!</v>
      </c>
      <c r="FQ144" s="675" t="e">
        <f t="shared" si="848"/>
        <v>#VALUE!</v>
      </c>
      <c r="FR144" s="672" t="e">
        <f t="shared" si="848"/>
        <v>#VALUE!</v>
      </c>
      <c r="FS144" s="687" t="e">
        <f t="shared" si="848"/>
        <v>#REF!</v>
      </c>
      <c r="FT144" s="686" t="e">
        <f t="shared" si="848"/>
        <v>#VALUE!</v>
      </c>
      <c r="FU144" s="687" t="e">
        <f t="shared" si="848"/>
        <v>#VALUE!</v>
      </c>
      <c r="FV144" s="687" t="e">
        <f t="shared" si="848"/>
        <v>#VALUE!</v>
      </c>
      <c r="FW144" s="687" t="e">
        <f t="shared" si="848"/>
        <v>#VALUE!</v>
      </c>
      <c r="FX144" s="687" t="e">
        <f t="shared" si="848"/>
        <v>#VALUE!</v>
      </c>
      <c r="FY144" s="690" t="e">
        <f t="shared" si="848"/>
        <v>#VALUE!</v>
      </c>
      <c r="FZ144" s="682" t="e">
        <f t="shared" si="848"/>
        <v>#DIV/0!</v>
      </c>
      <c r="GA144" s="691" t="e">
        <f t="shared" si="848"/>
        <v>#DIV/0!</v>
      </c>
      <c r="GB144" s="695" t="e">
        <f t="shared" si="848"/>
        <v>#DIV/0!</v>
      </c>
      <c r="GC144" s="599" t="e">
        <f t="shared" si="848"/>
        <v>#DIV/0!</v>
      </c>
      <c r="GD144" s="685" t="e">
        <f t="shared" si="848"/>
        <v>#DIV/0!</v>
      </c>
      <c r="GE144" s="685" t="s">
        <v>93</v>
      </c>
      <c r="GF144" s="90" t="s">
        <v>93</v>
      </c>
      <c r="GG144" s="599" t="e">
        <f t="shared" ref="GG144" si="849">AVERAGE(GG134:GG143)</f>
        <v>#DIV/0!</v>
      </c>
      <c r="GH144" s="619" t="e">
        <f t="shared" ref="GH144:GV144" si="850">AVERAGE(GH134:GH143)</f>
        <v>#DIV/0!</v>
      </c>
      <c r="GI144" s="675" t="e">
        <f t="shared" si="850"/>
        <v>#VALUE!</v>
      </c>
      <c r="GJ144" s="672" t="e">
        <f t="shared" si="850"/>
        <v>#VALUE!</v>
      </c>
      <c r="GK144" s="687" t="e">
        <f t="shared" si="850"/>
        <v>#REF!</v>
      </c>
      <c r="GL144" s="686" t="e">
        <f t="shared" si="850"/>
        <v>#VALUE!</v>
      </c>
      <c r="GM144" s="687" t="e">
        <f t="shared" si="850"/>
        <v>#VALUE!</v>
      </c>
      <c r="GN144" s="687" t="e">
        <f t="shared" si="850"/>
        <v>#VALUE!</v>
      </c>
      <c r="GO144" s="687" t="e">
        <f t="shared" si="850"/>
        <v>#VALUE!</v>
      </c>
      <c r="GP144" s="687" t="e">
        <f t="shared" si="850"/>
        <v>#VALUE!</v>
      </c>
      <c r="GQ144" s="690" t="e">
        <f t="shared" si="850"/>
        <v>#VALUE!</v>
      </c>
      <c r="GR144" s="682" t="e">
        <f t="shared" si="850"/>
        <v>#DIV/0!</v>
      </c>
      <c r="GS144" s="691" t="e">
        <f t="shared" si="850"/>
        <v>#DIV/0!</v>
      </c>
      <c r="GT144" s="695" t="e">
        <f t="shared" si="850"/>
        <v>#DIV/0!</v>
      </c>
      <c r="GU144" s="653" t="e">
        <f t="shared" si="850"/>
        <v>#DIV/0!</v>
      </c>
      <c r="GV144" s="685" t="e">
        <f t="shared" si="850"/>
        <v>#DIV/0!</v>
      </c>
      <c r="GW144" s="685" t="s">
        <v>93</v>
      </c>
      <c r="GX144" s="90" t="s">
        <v>93</v>
      </c>
      <c r="GY144" s="599" t="e">
        <f t="shared" ref="GY144" si="851">AVERAGE(GY134:GY143)</f>
        <v>#DIV/0!</v>
      </c>
      <c r="GZ144" s="619" t="e">
        <f t="shared" ref="GZ144:HN144" si="852">AVERAGE(GZ134:GZ143)</f>
        <v>#DIV/0!</v>
      </c>
      <c r="HA144" s="675" t="e">
        <f t="shared" si="852"/>
        <v>#VALUE!</v>
      </c>
      <c r="HB144" s="672" t="e">
        <f t="shared" si="852"/>
        <v>#VALUE!</v>
      </c>
      <c r="HC144" s="687" t="e">
        <f t="shared" si="852"/>
        <v>#REF!</v>
      </c>
      <c r="HD144" s="686" t="e">
        <f t="shared" si="852"/>
        <v>#VALUE!</v>
      </c>
      <c r="HE144" s="687" t="e">
        <f t="shared" si="852"/>
        <v>#VALUE!</v>
      </c>
      <c r="HF144" s="687" t="e">
        <f t="shared" si="852"/>
        <v>#VALUE!</v>
      </c>
      <c r="HG144" s="687" t="e">
        <f t="shared" si="852"/>
        <v>#VALUE!</v>
      </c>
      <c r="HH144" s="687" t="e">
        <f t="shared" si="852"/>
        <v>#VALUE!</v>
      </c>
      <c r="HI144" s="690" t="e">
        <f t="shared" si="852"/>
        <v>#VALUE!</v>
      </c>
      <c r="HJ144" s="682" t="e">
        <f t="shared" si="852"/>
        <v>#DIV/0!</v>
      </c>
      <c r="HK144" s="691" t="e">
        <f t="shared" si="852"/>
        <v>#DIV/0!</v>
      </c>
      <c r="HL144" s="695" t="e">
        <f t="shared" si="852"/>
        <v>#DIV/0!</v>
      </c>
      <c r="HM144" s="599" t="e">
        <f t="shared" si="852"/>
        <v>#DIV/0!</v>
      </c>
      <c r="HN144" s="685" t="e">
        <f t="shared" si="852"/>
        <v>#DIV/0!</v>
      </c>
      <c r="HO144" s="685" t="s">
        <v>93</v>
      </c>
      <c r="HP144" s="90" t="s">
        <v>93</v>
      </c>
      <c r="HQ144" s="599" t="e">
        <f t="shared" ref="HQ144" si="853">AVERAGE(HQ134:HQ143)</f>
        <v>#DIV/0!</v>
      </c>
      <c r="HR144" s="619" t="e">
        <f t="shared" ref="HR144:IF144" si="854">AVERAGE(HR134:HR143)</f>
        <v>#DIV/0!</v>
      </c>
      <c r="HS144" s="675" t="e">
        <f t="shared" si="854"/>
        <v>#VALUE!</v>
      </c>
      <c r="HT144" s="672" t="e">
        <f t="shared" si="854"/>
        <v>#VALUE!</v>
      </c>
      <c r="HU144" s="687" t="e">
        <f t="shared" si="854"/>
        <v>#REF!</v>
      </c>
      <c r="HV144" s="686" t="e">
        <f t="shared" si="854"/>
        <v>#VALUE!</v>
      </c>
      <c r="HW144" s="687" t="e">
        <f t="shared" si="854"/>
        <v>#VALUE!</v>
      </c>
      <c r="HX144" s="687" t="e">
        <f t="shared" si="854"/>
        <v>#VALUE!</v>
      </c>
      <c r="HY144" s="687" t="e">
        <f t="shared" si="854"/>
        <v>#VALUE!</v>
      </c>
      <c r="HZ144" s="687" t="e">
        <f t="shared" si="854"/>
        <v>#VALUE!</v>
      </c>
      <c r="IA144" s="690" t="e">
        <f t="shared" si="854"/>
        <v>#VALUE!</v>
      </c>
      <c r="IB144" s="682" t="e">
        <f t="shared" si="854"/>
        <v>#DIV/0!</v>
      </c>
      <c r="IC144" s="691" t="e">
        <f t="shared" si="854"/>
        <v>#DIV/0!</v>
      </c>
      <c r="ID144" s="695" t="e">
        <f t="shared" si="854"/>
        <v>#DIV/0!</v>
      </c>
      <c r="IE144" s="599" t="e">
        <f t="shared" si="854"/>
        <v>#DIV/0!</v>
      </c>
      <c r="IF144" s="685" t="e">
        <f t="shared" si="854"/>
        <v>#DIV/0!</v>
      </c>
      <c r="IG144" s="685" t="s">
        <v>93</v>
      </c>
      <c r="IH144" s="90" t="s">
        <v>93</v>
      </c>
      <c r="II144" s="599" t="e">
        <f t="shared" ref="II144" si="855">AVERAGE(II134:II143)</f>
        <v>#DIV/0!</v>
      </c>
      <c r="IJ144" s="619" t="e">
        <f t="shared" ref="IJ144:IX144" si="856">AVERAGE(IJ134:IJ143)</f>
        <v>#DIV/0!</v>
      </c>
      <c r="IK144" s="675" t="e">
        <f t="shared" si="856"/>
        <v>#VALUE!</v>
      </c>
      <c r="IL144" s="672" t="e">
        <f t="shared" si="856"/>
        <v>#VALUE!</v>
      </c>
      <c r="IM144" s="687" t="e">
        <f t="shared" si="856"/>
        <v>#REF!</v>
      </c>
      <c r="IN144" s="686" t="e">
        <f t="shared" si="856"/>
        <v>#VALUE!</v>
      </c>
      <c r="IO144" s="687" t="e">
        <f t="shared" si="856"/>
        <v>#VALUE!</v>
      </c>
      <c r="IP144" s="687" t="e">
        <f t="shared" si="856"/>
        <v>#VALUE!</v>
      </c>
      <c r="IQ144" s="687" t="e">
        <f t="shared" si="856"/>
        <v>#VALUE!</v>
      </c>
      <c r="IR144" s="687" t="e">
        <f t="shared" si="856"/>
        <v>#VALUE!</v>
      </c>
      <c r="IS144" s="690" t="e">
        <f t="shared" si="856"/>
        <v>#VALUE!</v>
      </c>
      <c r="IT144" s="682" t="e">
        <f t="shared" si="856"/>
        <v>#DIV/0!</v>
      </c>
      <c r="IU144" s="691" t="e">
        <f t="shared" si="856"/>
        <v>#DIV/0!</v>
      </c>
      <c r="IV144" s="695" t="e">
        <f t="shared" si="856"/>
        <v>#DIV/0!</v>
      </c>
      <c r="IW144" s="599" t="e">
        <f t="shared" si="856"/>
        <v>#DIV/0!</v>
      </c>
      <c r="IX144" s="685" t="e">
        <f t="shared" si="856"/>
        <v>#DIV/0!</v>
      </c>
      <c r="IY144" s="685" t="s">
        <v>93</v>
      </c>
      <c r="IZ144" s="90" t="s">
        <v>93</v>
      </c>
      <c r="JA144" s="599" t="e">
        <f t="shared" ref="JA144" si="857">AVERAGE(JA134:JA143)</f>
        <v>#DIV/0!</v>
      </c>
      <c r="JB144" s="619" t="e">
        <f t="shared" ref="JB144:JP144" si="858">AVERAGE(JB134:JB143)</f>
        <v>#DIV/0!</v>
      </c>
      <c r="JC144" s="675" t="e">
        <f t="shared" si="858"/>
        <v>#VALUE!</v>
      </c>
      <c r="JD144" s="672" t="e">
        <f t="shared" si="858"/>
        <v>#VALUE!</v>
      </c>
      <c r="JE144" s="687" t="e">
        <f t="shared" si="858"/>
        <v>#REF!</v>
      </c>
      <c r="JF144" s="686" t="e">
        <f t="shared" si="858"/>
        <v>#VALUE!</v>
      </c>
      <c r="JG144" s="687" t="e">
        <f t="shared" si="858"/>
        <v>#VALUE!</v>
      </c>
      <c r="JH144" s="687" t="e">
        <f t="shared" si="858"/>
        <v>#VALUE!</v>
      </c>
      <c r="JI144" s="687" t="e">
        <f t="shared" si="858"/>
        <v>#VALUE!</v>
      </c>
      <c r="JJ144" s="687" t="e">
        <f t="shared" si="858"/>
        <v>#VALUE!</v>
      </c>
      <c r="JK144" s="690" t="e">
        <f t="shared" si="858"/>
        <v>#VALUE!</v>
      </c>
      <c r="JL144" s="682" t="e">
        <f t="shared" si="858"/>
        <v>#DIV/0!</v>
      </c>
      <c r="JM144" s="691" t="e">
        <f t="shared" si="858"/>
        <v>#DIV/0!</v>
      </c>
      <c r="JN144" s="695" t="e">
        <f t="shared" si="858"/>
        <v>#DIV/0!</v>
      </c>
      <c r="JO144" s="599" t="e">
        <f t="shared" si="858"/>
        <v>#DIV/0!</v>
      </c>
      <c r="JP144" s="685" t="e">
        <f t="shared" si="858"/>
        <v>#DIV/0!</v>
      </c>
      <c r="JQ144" s="685" t="s">
        <v>93</v>
      </c>
      <c r="JR144" s="90" t="s">
        <v>93</v>
      </c>
      <c r="JS144" s="599" t="e">
        <f t="shared" ref="JS144" si="859">AVERAGE(JS134:JS143)</f>
        <v>#DIV/0!</v>
      </c>
      <c r="JT144" s="619" t="e">
        <f t="shared" ref="JT144:KH144" si="860">AVERAGE(JT134:JT143)</f>
        <v>#DIV/0!</v>
      </c>
      <c r="JU144" s="675" t="e">
        <f t="shared" si="860"/>
        <v>#VALUE!</v>
      </c>
      <c r="JV144" s="672" t="e">
        <f t="shared" si="860"/>
        <v>#VALUE!</v>
      </c>
      <c r="JW144" s="687" t="e">
        <f t="shared" si="860"/>
        <v>#REF!</v>
      </c>
      <c r="JX144" s="686" t="e">
        <f t="shared" si="860"/>
        <v>#VALUE!</v>
      </c>
      <c r="JY144" s="687" t="e">
        <f t="shared" si="860"/>
        <v>#VALUE!</v>
      </c>
      <c r="JZ144" s="687" t="e">
        <f t="shared" si="860"/>
        <v>#VALUE!</v>
      </c>
      <c r="KA144" s="687" t="e">
        <f t="shared" si="860"/>
        <v>#VALUE!</v>
      </c>
      <c r="KB144" s="687" t="e">
        <f t="shared" si="860"/>
        <v>#VALUE!</v>
      </c>
      <c r="KC144" s="690" t="e">
        <f t="shared" si="860"/>
        <v>#VALUE!</v>
      </c>
      <c r="KD144" s="682" t="e">
        <f t="shared" si="860"/>
        <v>#DIV/0!</v>
      </c>
      <c r="KE144" s="691" t="e">
        <f t="shared" si="860"/>
        <v>#DIV/0!</v>
      </c>
      <c r="KF144" s="695" t="e">
        <f t="shared" si="860"/>
        <v>#DIV/0!</v>
      </c>
      <c r="KG144" s="599" t="e">
        <f t="shared" si="860"/>
        <v>#DIV/0!</v>
      </c>
      <c r="KH144" s="685" t="e">
        <f t="shared" si="860"/>
        <v>#DIV/0!</v>
      </c>
      <c r="KI144" s="685" t="s">
        <v>93</v>
      </c>
      <c r="KJ144" s="90" t="s">
        <v>93</v>
      </c>
      <c r="KK144" s="599" t="e">
        <f t="shared" ref="KK144" si="861">AVERAGE(KK134:KK143)</f>
        <v>#DIV/0!</v>
      </c>
      <c r="KL144" s="619" t="e">
        <f t="shared" ref="KL144:KZ144" si="862">AVERAGE(KL134:KL143)</f>
        <v>#DIV/0!</v>
      </c>
      <c r="KM144" s="675" t="e">
        <f t="shared" si="862"/>
        <v>#VALUE!</v>
      </c>
      <c r="KN144" s="672" t="e">
        <f t="shared" si="862"/>
        <v>#VALUE!</v>
      </c>
      <c r="KO144" s="687" t="e">
        <f t="shared" si="862"/>
        <v>#REF!</v>
      </c>
      <c r="KP144" s="686" t="e">
        <f t="shared" si="862"/>
        <v>#VALUE!</v>
      </c>
      <c r="KQ144" s="687" t="e">
        <f t="shared" si="862"/>
        <v>#VALUE!</v>
      </c>
      <c r="KR144" s="687" t="e">
        <f t="shared" si="862"/>
        <v>#VALUE!</v>
      </c>
      <c r="KS144" s="687" t="e">
        <f t="shared" si="862"/>
        <v>#VALUE!</v>
      </c>
      <c r="KT144" s="687" t="e">
        <f t="shared" si="862"/>
        <v>#VALUE!</v>
      </c>
      <c r="KU144" s="690" t="e">
        <f t="shared" si="862"/>
        <v>#VALUE!</v>
      </c>
      <c r="KV144" s="682" t="e">
        <f t="shared" si="862"/>
        <v>#DIV/0!</v>
      </c>
      <c r="KW144" s="691" t="e">
        <f t="shared" si="862"/>
        <v>#DIV/0!</v>
      </c>
      <c r="KX144" s="695" t="e">
        <f t="shared" si="862"/>
        <v>#DIV/0!</v>
      </c>
      <c r="KY144" s="599" t="e">
        <f t="shared" si="862"/>
        <v>#DIV/0!</v>
      </c>
      <c r="KZ144" s="685" t="e">
        <f t="shared" si="862"/>
        <v>#DIV/0!</v>
      </c>
      <c r="LA144" s="685" t="s">
        <v>93</v>
      </c>
      <c r="LB144" s="90" t="s">
        <v>93</v>
      </c>
      <c r="LC144" s="599" t="e">
        <f t="shared" ref="LC144" si="863">AVERAGE(LC134:LC143)</f>
        <v>#DIV/0!</v>
      </c>
      <c r="LD144" s="619" t="e">
        <f t="shared" ref="LD144:LR144" si="864">AVERAGE(LD134:LD143)</f>
        <v>#DIV/0!</v>
      </c>
      <c r="LE144" s="675" t="e">
        <f t="shared" si="864"/>
        <v>#VALUE!</v>
      </c>
      <c r="LF144" s="672" t="e">
        <f t="shared" si="864"/>
        <v>#VALUE!</v>
      </c>
      <c r="LG144" s="687" t="e">
        <f t="shared" si="864"/>
        <v>#REF!</v>
      </c>
      <c r="LH144" s="686" t="e">
        <f t="shared" si="864"/>
        <v>#VALUE!</v>
      </c>
      <c r="LI144" s="687" t="e">
        <f t="shared" si="864"/>
        <v>#VALUE!</v>
      </c>
      <c r="LJ144" s="687" t="e">
        <f t="shared" si="864"/>
        <v>#VALUE!</v>
      </c>
      <c r="LK144" s="687" t="e">
        <f t="shared" si="864"/>
        <v>#VALUE!</v>
      </c>
      <c r="LL144" s="687" t="e">
        <f t="shared" si="864"/>
        <v>#VALUE!</v>
      </c>
      <c r="LM144" s="690" t="e">
        <f t="shared" si="864"/>
        <v>#VALUE!</v>
      </c>
      <c r="LN144" s="682" t="e">
        <f t="shared" si="864"/>
        <v>#DIV/0!</v>
      </c>
      <c r="LO144" s="691" t="e">
        <f t="shared" si="864"/>
        <v>#DIV/0!</v>
      </c>
      <c r="LP144" s="695" t="e">
        <f t="shared" si="864"/>
        <v>#DIV/0!</v>
      </c>
      <c r="LQ144" s="599" t="e">
        <f t="shared" si="864"/>
        <v>#DIV/0!</v>
      </c>
      <c r="LR144" s="685" t="e">
        <f t="shared" si="864"/>
        <v>#DIV/0!</v>
      </c>
      <c r="LS144" s="685" t="s">
        <v>93</v>
      </c>
      <c r="LT144" s="90" t="s">
        <v>93</v>
      </c>
      <c r="LU144" s="599" t="e">
        <f t="shared" ref="LU144" si="865">AVERAGE(LU134:LU143)</f>
        <v>#DIV/0!</v>
      </c>
      <c r="LV144" s="619" t="e">
        <f t="shared" ref="LV144:MJ144" si="866">AVERAGE(LV134:LV143)</f>
        <v>#DIV/0!</v>
      </c>
      <c r="LW144" s="675" t="e">
        <f t="shared" si="866"/>
        <v>#VALUE!</v>
      </c>
      <c r="LX144" s="672" t="e">
        <f t="shared" si="866"/>
        <v>#VALUE!</v>
      </c>
      <c r="LY144" s="687" t="e">
        <f t="shared" si="866"/>
        <v>#REF!</v>
      </c>
      <c r="LZ144" s="686" t="e">
        <f t="shared" si="866"/>
        <v>#VALUE!</v>
      </c>
      <c r="MA144" s="687" t="e">
        <f t="shared" si="866"/>
        <v>#VALUE!</v>
      </c>
      <c r="MB144" s="687" t="e">
        <f t="shared" si="866"/>
        <v>#VALUE!</v>
      </c>
      <c r="MC144" s="687" t="e">
        <f t="shared" si="866"/>
        <v>#VALUE!</v>
      </c>
      <c r="MD144" s="687" t="e">
        <f t="shared" si="866"/>
        <v>#VALUE!</v>
      </c>
      <c r="ME144" s="690" t="e">
        <f t="shared" si="866"/>
        <v>#VALUE!</v>
      </c>
      <c r="MF144" s="682" t="e">
        <f t="shared" si="866"/>
        <v>#DIV/0!</v>
      </c>
      <c r="MG144" s="691" t="e">
        <f t="shared" si="866"/>
        <v>#DIV/0!</v>
      </c>
      <c r="MH144" s="695" t="e">
        <f t="shared" si="866"/>
        <v>#DIV/0!</v>
      </c>
      <c r="MI144" s="599" t="e">
        <f t="shared" si="866"/>
        <v>#DIV/0!</v>
      </c>
      <c r="MJ144" s="685" t="e">
        <f t="shared" si="866"/>
        <v>#DIV/0!</v>
      </c>
      <c r="MK144" s="685" t="s">
        <v>93</v>
      </c>
      <c r="ML144" s="90" t="s">
        <v>93</v>
      </c>
      <c r="MM144" s="599" t="e">
        <f t="shared" ref="MM144" si="867">AVERAGE(MM134:MM143)</f>
        <v>#DIV/0!</v>
      </c>
      <c r="MN144" s="619" t="e">
        <f t="shared" ref="MN144:NB144" si="868">AVERAGE(MN134:MN143)</f>
        <v>#DIV/0!</v>
      </c>
      <c r="MO144" s="675" t="e">
        <f t="shared" si="868"/>
        <v>#VALUE!</v>
      </c>
      <c r="MP144" s="672" t="e">
        <f t="shared" si="868"/>
        <v>#VALUE!</v>
      </c>
      <c r="MQ144" s="687" t="e">
        <f t="shared" si="868"/>
        <v>#REF!</v>
      </c>
      <c r="MR144" s="686" t="e">
        <f t="shared" si="868"/>
        <v>#VALUE!</v>
      </c>
      <c r="MS144" s="687" t="e">
        <f t="shared" si="868"/>
        <v>#VALUE!</v>
      </c>
      <c r="MT144" s="687" t="e">
        <f t="shared" si="868"/>
        <v>#VALUE!</v>
      </c>
      <c r="MU144" s="687" t="e">
        <f t="shared" si="868"/>
        <v>#VALUE!</v>
      </c>
      <c r="MV144" s="687" t="e">
        <f t="shared" si="868"/>
        <v>#VALUE!</v>
      </c>
      <c r="MW144" s="690" t="e">
        <f t="shared" si="868"/>
        <v>#VALUE!</v>
      </c>
      <c r="MX144" s="692" t="e">
        <f t="shared" si="868"/>
        <v>#DIV/0!</v>
      </c>
      <c r="MY144" s="711" t="e">
        <f t="shared" si="868"/>
        <v>#DIV/0!</v>
      </c>
      <c r="MZ144" s="693" t="e">
        <f t="shared" si="868"/>
        <v>#DIV/0!</v>
      </c>
      <c r="NA144" s="599" t="e">
        <f t="shared" si="868"/>
        <v>#DIV/0!</v>
      </c>
      <c r="NB144" s="685" t="e">
        <f t="shared" si="868"/>
        <v>#DIV/0!</v>
      </c>
      <c r="NC144" s="685" t="s">
        <v>93</v>
      </c>
      <c r="ND144" s="90" t="s">
        <v>93</v>
      </c>
      <c r="NE144" s="599" t="e">
        <f t="shared" ref="NE144" si="869">AVERAGE(NE134:NE143)</f>
        <v>#DIV/0!</v>
      </c>
      <c r="NF144" s="619" t="e">
        <f t="shared" ref="NF144:NO144" si="870">AVERAGE(NF134:NF143)</f>
        <v>#DIV/0!</v>
      </c>
      <c r="NG144" s="675" t="e">
        <f t="shared" si="870"/>
        <v>#VALUE!</v>
      </c>
      <c r="NH144" s="672" t="e">
        <f t="shared" si="870"/>
        <v>#VALUE!</v>
      </c>
      <c r="NI144" s="687" t="e">
        <f t="shared" si="870"/>
        <v>#REF!</v>
      </c>
      <c r="NJ144" s="686" t="e">
        <f t="shared" si="870"/>
        <v>#VALUE!</v>
      </c>
      <c r="NK144" s="687" t="e">
        <f t="shared" si="870"/>
        <v>#VALUE!</v>
      </c>
      <c r="NL144" s="687" t="e">
        <f t="shared" si="870"/>
        <v>#VALUE!</v>
      </c>
      <c r="NM144" s="687" t="e">
        <f t="shared" si="870"/>
        <v>#VALUE!</v>
      </c>
      <c r="NN144" s="687" t="e">
        <f t="shared" si="870"/>
        <v>#VALUE!</v>
      </c>
      <c r="NO144" s="690" t="e">
        <f t="shared" si="870"/>
        <v>#VALUE!</v>
      </c>
      <c r="NP144" s="692">
        <f>AVERAGE(NP134:NP143)</f>
        <v>20.45</v>
      </c>
      <c r="NQ144" s="711">
        <f>AVERAGE(NQ134:NQ143)</f>
        <v>53.3</v>
      </c>
      <c r="NR144" s="693">
        <f>AVERAGE(NR134:NR143)</f>
        <v>1008.0799999999999</v>
      </c>
      <c r="NS144" s="599">
        <f>AVERAGE(NS134:NS143)</f>
        <v>-6.1700000000000004E-11</v>
      </c>
      <c r="NT144" s="685">
        <f>AVERAGE(NT134:NT143)</f>
        <v>60</v>
      </c>
      <c r="NU144" s="2116" t="s">
        <v>93</v>
      </c>
      <c r="NV144" s="90" t="s">
        <v>93</v>
      </c>
      <c r="NW144" s="599">
        <f t="shared" ref="NW144:OG144" si="871">AVERAGE(NW134:NW143)</f>
        <v>-6.1885099999999994E-11</v>
      </c>
      <c r="NX144" s="619">
        <f t="shared" si="871"/>
        <v>0.99985716924511936</v>
      </c>
      <c r="NY144" s="675">
        <f t="shared" si="871"/>
        <v>-1.0213148973895155E-12</v>
      </c>
      <c r="NZ144" s="672">
        <f t="shared" si="871"/>
        <v>-1.0220670584614739E-12</v>
      </c>
      <c r="OA144" s="687" t="e">
        <f t="shared" si="871"/>
        <v>#REF!</v>
      </c>
      <c r="OB144" s="686">
        <f t="shared" si="871"/>
        <v>9.2721923543624926E-5</v>
      </c>
      <c r="OC144" s="687">
        <f t="shared" si="871"/>
        <v>9.272192354362491E-3</v>
      </c>
      <c r="OD144" s="687">
        <f t="shared" si="871"/>
        <v>1.1126630825234988E-4</v>
      </c>
      <c r="OE144" s="687">
        <f t="shared" si="871"/>
        <v>1.1219352748778613E-4</v>
      </c>
      <c r="OF144" s="687">
        <f t="shared" si="871"/>
        <v>1.1219352748778613E-4</v>
      </c>
      <c r="OG144" s="690">
        <f t="shared" si="871"/>
        <v>1.1590240442953114E-4</v>
      </c>
      <c r="OH144" s="682" t="e">
        <f t="shared" ref="OH144:OL144" si="872">AVERAGE(OH134:OH143)</f>
        <v>#DIV/0!</v>
      </c>
      <c r="OI144" s="691" t="e">
        <f t="shared" si="872"/>
        <v>#DIV/0!</v>
      </c>
      <c r="OJ144" s="695" t="e">
        <f t="shared" si="872"/>
        <v>#DIV/0!</v>
      </c>
      <c r="OK144" s="599" t="e">
        <f t="shared" si="872"/>
        <v>#DIV/0!</v>
      </c>
      <c r="OL144" s="685" t="e">
        <f t="shared" si="872"/>
        <v>#DIV/0!</v>
      </c>
      <c r="OM144" s="685" t="s">
        <v>93</v>
      </c>
      <c r="ON144" s="90" t="s">
        <v>93</v>
      </c>
      <c r="OO144" s="599" t="e">
        <f t="shared" ref="OO144" si="873">AVERAGE(OO134:OO143)</f>
        <v>#DIV/0!</v>
      </c>
      <c r="OP144" s="619" t="e">
        <f t="shared" ref="OP144:OY144" si="874">AVERAGE(OP134:OP143)</f>
        <v>#DIV/0!</v>
      </c>
      <c r="OQ144" s="675" t="e">
        <f t="shared" si="874"/>
        <v>#VALUE!</v>
      </c>
      <c r="OR144" s="672" t="e">
        <f t="shared" si="874"/>
        <v>#VALUE!</v>
      </c>
      <c r="OS144" s="687" t="e">
        <f t="shared" si="874"/>
        <v>#REF!</v>
      </c>
      <c r="OT144" s="686" t="e">
        <f t="shared" si="874"/>
        <v>#VALUE!</v>
      </c>
      <c r="OU144" s="687" t="e">
        <f t="shared" si="874"/>
        <v>#VALUE!</v>
      </c>
      <c r="OV144" s="687" t="e">
        <f t="shared" si="874"/>
        <v>#VALUE!</v>
      </c>
      <c r="OW144" s="687" t="e">
        <f t="shared" si="874"/>
        <v>#VALUE!</v>
      </c>
      <c r="OX144" s="687" t="e">
        <f t="shared" si="874"/>
        <v>#VALUE!</v>
      </c>
      <c r="OY144" s="690" t="e">
        <f t="shared" si="874"/>
        <v>#VALUE!</v>
      </c>
      <c r="OZ144" s="682">
        <f>AVERAGE(OZ134:OZ143)</f>
        <v>20.39</v>
      </c>
      <c r="PA144" s="691">
        <f>AVERAGE(PA134:PA143)</f>
        <v>53</v>
      </c>
      <c r="PB144" s="695">
        <f>AVERAGE(PB134:PB143)</f>
        <v>1008.03</v>
      </c>
      <c r="PC144" s="599">
        <f>AVERAGE(PC134:PC143)</f>
        <v>-1.3378E-10</v>
      </c>
      <c r="PD144" s="694">
        <f>AVERAGE(PD134:PD143)</f>
        <v>60</v>
      </c>
      <c r="PE144" s="2116" t="s">
        <v>93</v>
      </c>
      <c r="PF144" s="90" t="s">
        <v>93</v>
      </c>
      <c r="PG144" s="599">
        <f t="shared" ref="PG144:PQ144" si="875">AVERAGE(PG134:PG143)</f>
        <v>-1.3418133999999997E-10</v>
      </c>
      <c r="PH144" s="619">
        <f t="shared" si="875"/>
        <v>0.99970176444584458</v>
      </c>
      <c r="PI144" s="675">
        <f t="shared" si="875"/>
        <v>-2.214131061661674E-12</v>
      </c>
      <c r="PJ144" s="672">
        <f t="shared" si="875"/>
        <v>-2.2124578515652337E-12</v>
      </c>
      <c r="PK144" s="687" t="e">
        <f t="shared" si="875"/>
        <v>#REF!</v>
      </c>
      <c r="PL144" s="686">
        <f t="shared" si="875"/>
        <v>2.0071417629399804E-4</v>
      </c>
      <c r="PM144" s="687">
        <f t="shared" si="875"/>
        <v>2.0071417629399801E-2</v>
      </c>
      <c r="PN144" s="687">
        <f t="shared" si="875"/>
        <v>2.4085701155279765E-4</v>
      </c>
      <c r="PO144" s="687">
        <f t="shared" si="875"/>
        <v>2.4286415331573763E-4</v>
      </c>
      <c r="PP144" s="687">
        <f t="shared" si="875"/>
        <v>2.4286415331573763E-4</v>
      </c>
      <c r="PQ144" s="690">
        <f t="shared" si="875"/>
        <v>2.5089272036749749E-4</v>
      </c>
      <c r="PR144" s="682" t="e">
        <f t="shared" ref="PR144:PV144" si="876">AVERAGE(PR134:PR143)</f>
        <v>#DIV/0!</v>
      </c>
      <c r="PS144" s="691" t="e">
        <f t="shared" si="876"/>
        <v>#DIV/0!</v>
      </c>
      <c r="PT144" s="695" t="e">
        <f t="shared" si="876"/>
        <v>#DIV/0!</v>
      </c>
      <c r="PU144" s="599" t="e">
        <f t="shared" si="876"/>
        <v>#DIV/0!</v>
      </c>
      <c r="PV144" s="685" t="e">
        <f t="shared" si="876"/>
        <v>#DIV/0!</v>
      </c>
      <c r="PW144" s="685" t="s">
        <v>93</v>
      </c>
      <c r="PX144" s="90" t="s">
        <v>93</v>
      </c>
      <c r="PY144" s="599" t="e">
        <f t="shared" ref="PY144" si="877">AVERAGE(PY134:PY143)</f>
        <v>#DIV/0!</v>
      </c>
      <c r="PZ144" s="619" t="e">
        <f t="shared" ref="PZ144:QN144" si="878">AVERAGE(PZ134:PZ143)</f>
        <v>#DIV/0!</v>
      </c>
      <c r="QA144" s="675" t="e">
        <f t="shared" si="878"/>
        <v>#VALUE!</v>
      </c>
      <c r="QB144" s="672" t="e">
        <f t="shared" si="878"/>
        <v>#VALUE!</v>
      </c>
      <c r="QC144" s="687" t="e">
        <f t="shared" si="878"/>
        <v>#REF!</v>
      </c>
      <c r="QD144" s="686" t="e">
        <f t="shared" si="878"/>
        <v>#VALUE!</v>
      </c>
      <c r="QE144" s="687" t="e">
        <f t="shared" si="878"/>
        <v>#VALUE!</v>
      </c>
      <c r="QF144" s="687" t="e">
        <f t="shared" si="878"/>
        <v>#VALUE!</v>
      </c>
      <c r="QG144" s="687" t="e">
        <f t="shared" si="878"/>
        <v>#VALUE!</v>
      </c>
      <c r="QH144" s="687" t="e">
        <f t="shared" si="878"/>
        <v>#VALUE!</v>
      </c>
      <c r="QI144" s="690" t="e">
        <f t="shared" si="878"/>
        <v>#VALUE!</v>
      </c>
      <c r="QJ144" s="682" t="e">
        <f t="shared" si="878"/>
        <v>#DIV/0!</v>
      </c>
      <c r="QK144" s="691" t="e">
        <f t="shared" si="878"/>
        <v>#DIV/0!</v>
      </c>
      <c r="QL144" s="695" t="e">
        <f t="shared" si="878"/>
        <v>#DIV/0!</v>
      </c>
      <c r="QM144" s="599" t="e">
        <f t="shared" si="878"/>
        <v>#DIV/0!</v>
      </c>
      <c r="QN144" s="685" t="e">
        <f t="shared" si="878"/>
        <v>#DIV/0!</v>
      </c>
      <c r="QO144" s="685" t="s">
        <v>93</v>
      </c>
      <c r="QP144" s="90" t="s">
        <v>93</v>
      </c>
      <c r="QQ144" s="599" t="e">
        <f t="shared" ref="QQ144" si="879">AVERAGE(QQ134:QQ143)</f>
        <v>#DIV/0!</v>
      </c>
      <c r="QR144" s="619" t="e">
        <f t="shared" ref="QR144:RF144" si="880">AVERAGE(QR134:QR143)</f>
        <v>#DIV/0!</v>
      </c>
      <c r="QS144" s="675" t="e">
        <f t="shared" si="880"/>
        <v>#VALUE!</v>
      </c>
      <c r="QT144" s="672" t="e">
        <f t="shared" si="880"/>
        <v>#VALUE!</v>
      </c>
      <c r="QU144" s="687" t="e">
        <f t="shared" si="880"/>
        <v>#REF!</v>
      </c>
      <c r="QV144" s="686" t="e">
        <f t="shared" si="880"/>
        <v>#VALUE!</v>
      </c>
      <c r="QW144" s="687" t="e">
        <f t="shared" si="880"/>
        <v>#VALUE!</v>
      </c>
      <c r="QX144" s="687" t="e">
        <f t="shared" si="880"/>
        <v>#VALUE!</v>
      </c>
      <c r="QY144" s="687" t="e">
        <f t="shared" si="880"/>
        <v>#VALUE!</v>
      </c>
      <c r="QZ144" s="687" t="e">
        <f t="shared" si="880"/>
        <v>#VALUE!</v>
      </c>
      <c r="RA144" s="690" t="e">
        <f t="shared" si="880"/>
        <v>#VALUE!</v>
      </c>
      <c r="RB144" s="682" t="e">
        <f t="shared" si="880"/>
        <v>#DIV/0!</v>
      </c>
      <c r="RC144" s="691" t="e">
        <f t="shared" si="880"/>
        <v>#DIV/0!</v>
      </c>
      <c r="RD144" s="695" t="e">
        <f t="shared" si="880"/>
        <v>#DIV/0!</v>
      </c>
      <c r="RE144" s="599" t="e">
        <f t="shared" si="880"/>
        <v>#DIV/0!</v>
      </c>
      <c r="RF144" s="685" t="e">
        <f t="shared" si="880"/>
        <v>#DIV/0!</v>
      </c>
      <c r="RG144" s="685" t="s">
        <v>93</v>
      </c>
      <c r="RH144" s="90" t="s">
        <v>93</v>
      </c>
      <c r="RI144" s="599" t="e">
        <f t="shared" ref="RI144" si="881">AVERAGE(RI134:RI143)</f>
        <v>#DIV/0!</v>
      </c>
      <c r="RJ144" s="619" t="e">
        <f t="shared" ref="RJ144:RX144" si="882">AVERAGE(RJ134:RJ143)</f>
        <v>#DIV/0!</v>
      </c>
      <c r="RK144" s="675" t="e">
        <f t="shared" si="882"/>
        <v>#VALUE!</v>
      </c>
      <c r="RL144" s="672" t="e">
        <f t="shared" si="882"/>
        <v>#VALUE!</v>
      </c>
      <c r="RM144" s="687" t="e">
        <f t="shared" si="882"/>
        <v>#REF!</v>
      </c>
      <c r="RN144" s="686" t="e">
        <f t="shared" si="882"/>
        <v>#VALUE!</v>
      </c>
      <c r="RO144" s="687" t="e">
        <f t="shared" si="882"/>
        <v>#VALUE!</v>
      </c>
      <c r="RP144" s="687" t="e">
        <f t="shared" si="882"/>
        <v>#VALUE!</v>
      </c>
      <c r="RQ144" s="687" t="e">
        <f t="shared" si="882"/>
        <v>#VALUE!</v>
      </c>
      <c r="RR144" s="687" t="e">
        <f t="shared" si="882"/>
        <v>#VALUE!</v>
      </c>
      <c r="RS144" s="690" t="e">
        <f t="shared" si="882"/>
        <v>#VALUE!</v>
      </c>
      <c r="RT144" s="682" t="e">
        <f t="shared" si="882"/>
        <v>#DIV/0!</v>
      </c>
      <c r="RU144" s="711" t="e">
        <f t="shared" si="882"/>
        <v>#DIV/0!</v>
      </c>
      <c r="RV144" s="710" t="e">
        <f t="shared" si="882"/>
        <v>#DIV/0!</v>
      </c>
      <c r="RW144" s="672" t="e">
        <f t="shared" si="882"/>
        <v>#DIV/0!</v>
      </c>
      <c r="RX144" s="694" t="e">
        <f t="shared" si="882"/>
        <v>#DIV/0!</v>
      </c>
      <c r="RY144" s="685" t="s">
        <v>93</v>
      </c>
      <c r="RZ144" s="90" t="s">
        <v>93</v>
      </c>
      <c r="SA144" s="599" t="e">
        <f t="shared" ref="SA144" si="883">AVERAGE(SA134:SA143)</f>
        <v>#DIV/0!</v>
      </c>
      <c r="SB144" s="619" t="e">
        <f t="shared" ref="SB144:SK144" si="884">AVERAGE(SB134:SB143)</f>
        <v>#DIV/0!</v>
      </c>
      <c r="SC144" s="675" t="e">
        <f t="shared" si="884"/>
        <v>#VALUE!</v>
      </c>
      <c r="SD144" s="672" t="e">
        <f t="shared" si="884"/>
        <v>#VALUE!</v>
      </c>
      <c r="SE144" s="687" t="e">
        <f t="shared" si="884"/>
        <v>#REF!</v>
      </c>
      <c r="SF144" s="686" t="e">
        <f t="shared" si="884"/>
        <v>#VALUE!</v>
      </c>
      <c r="SG144" s="687" t="e">
        <f t="shared" si="884"/>
        <v>#VALUE!</v>
      </c>
      <c r="SH144" s="687" t="e">
        <f t="shared" si="884"/>
        <v>#VALUE!</v>
      </c>
      <c r="SI144" s="687" t="e">
        <f t="shared" si="884"/>
        <v>#VALUE!</v>
      </c>
      <c r="SJ144" s="687" t="e">
        <f t="shared" si="884"/>
        <v>#VALUE!</v>
      </c>
      <c r="SK144" s="690" t="e">
        <f t="shared" si="884"/>
        <v>#VALUE!</v>
      </c>
      <c r="SL144" s="682">
        <f>AVERAGE(SL134:SL143)</f>
        <v>20.380000000000003</v>
      </c>
      <c r="SM144" s="691">
        <f>AVERAGE(SM134:SM143)</f>
        <v>53.5</v>
      </c>
      <c r="SN144" s="693">
        <f>AVERAGE(SN134:SN143)</f>
        <v>1007.95</v>
      </c>
      <c r="SO144" s="599">
        <f>AVERAGE(SO134:SO143)</f>
        <v>-1.3500000000000002E-11</v>
      </c>
      <c r="SP144" s="694">
        <f>AVERAGE(SP134:SP143)</f>
        <v>60</v>
      </c>
      <c r="SQ144" s="2116" t="s">
        <v>93</v>
      </c>
      <c r="SR144" s="90" t="s">
        <v>93</v>
      </c>
      <c r="SS144" s="599">
        <f t="shared" ref="SS144:TH144" si="885">AVERAGE(SS134:SS143)</f>
        <v>-1.35405E-11</v>
      </c>
      <c r="ST144" s="619">
        <f t="shared" si="885"/>
        <v>0.99974630719458624</v>
      </c>
      <c r="SU144" s="675">
        <f t="shared" si="885"/>
        <v>-2.2345357398021415E-13</v>
      </c>
      <c r="SV144" s="672">
        <f t="shared" si="885"/>
        <v>-2.2152090120618192E-13</v>
      </c>
      <c r="SW144" s="687" t="e">
        <f t="shared" si="885"/>
        <v>#REF!</v>
      </c>
      <c r="SX144" s="686">
        <f t="shared" si="885"/>
        <v>2.0096376157424818E-5</v>
      </c>
      <c r="SY144" s="687">
        <f t="shared" si="885"/>
        <v>2.0096376157424825E-3</v>
      </c>
      <c r="SZ144" s="687">
        <f t="shared" si="885"/>
        <v>2.4115651388909787E-5</v>
      </c>
      <c r="TA144" s="687">
        <f t="shared" si="885"/>
        <v>2.4316615150484034E-5</v>
      </c>
      <c r="TB144" s="687">
        <f t="shared" si="885"/>
        <v>2.4316615150484034E-5</v>
      </c>
      <c r="TC144" s="690">
        <f t="shared" si="885"/>
        <v>2.5120470196781026E-5</v>
      </c>
      <c r="TD144" s="682">
        <f t="shared" si="885"/>
        <v>20.37</v>
      </c>
      <c r="TE144" s="691">
        <f t="shared" si="885"/>
        <v>54.5</v>
      </c>
      <c r="TF144" s="693">
        <f t="shared" si="885"/>
        <v>1008.68</v>
      </c>
      <c r="TG144" s="599">
        <f t="shared" si="885"/>
        <v>-3.0599999999999998E-10</v>
      </c>
      <c r="TH144" s="685">
        <f t="shared" si="885"/>
        <v>60</v>
      </c>
      <c r="TI144" s="2116" t="s">
        <v>93</v>
      </c>
      <c r="TJ144" s="90" t="s">
        <v>93</v>
      </c>
      <c r="TK144" s="599">
        <f t="shared" ref="TK144:TU144" si="886">AVERAGE(TK134:TK143)</f>
        <v>-3.0691799999999994E-10</v>
      </c>
      <c r="TL144" s="619">
        <f t="shared" si="886"/>
        <v>0.99898663802971632</v>
      </c>
      <c r="TM144" s="675">
        <f t="shared" si="886"/>
        <v>-5.0607351844460893E-12</v>
      </c>
      <c r="TN144" s="672">
        <f t="shared" si="886"/>
        <v>-5.0603687412588838E-12</v>
      </c>
      <c r="TO144" s="687" t="e">
        <f t="shared" si="886"/>
        <v>#REF!</v>
      </c>
      <c r="TP144" s="686">
        <f t="shared" si="886"/>
        <v>4.5907665220700606E-4</v>
      </c>
      <c r="TQ144" s="687">
        <f t="shared" si="886"/>
        <v>4.5907665220700597E-2</v>
      </c>
      <c r="TR144" s="687">
        <f t="shared" si="886"/>
        <v>5.5089198264840716E-4</v>
      </c>
      <c r="TS144" s="687">
        <f t="shared" si="886"/>
        <v>5.5548274917047722E-4</v>
      </c>
      <c r="TT144" s="687">
        <f t="shared" si="886"/>
        <v>5.5548274917047722E-4</v>
      </c>
      <c r="TU144" s="690">
        <f t="shared" si="886"/>
        <v>5.7384581525875744E-4</v>
      </c>
      <c r="TV144" s="682" t="e">
        <f t="shared" ref="TV144:TZ144" si="887">AVERAGE(TV134:TV143)</f>
        <v>#DIV/0!</v>
      </c>
      <c r="TW144" s="691" t="e">
        <f t="shared" si="887"/>
        <v>#DIV/0!</v>
      </c>
      <c r="TX144" s="695" t="e">
        <f t="shared" si="887"/>
        <v>#DIV/0!</v>
      </c>
      <c r="TY144" s="599" t="e">
        <f t="shared" si="887"/>
        <v>#DIV/0!</v>
      </c>
      <c r="TZ144" s="685" t="e">
        <f t="shared" si="887"/>
        <v>#DIV/0!</v>
      </c>
      <c r="UA144" s="685" t="s">
        <v>93</v>
      </c>
      <c r="UB144" s="90" t="s">
        <v>93</v>
      </c>
      <c r="UC144" s="599" t="e">
        <f t="shared" ref="UC144" si="888">AVERAGE(UC134:UC143)</f>
        <v>#DIV/0!</v>
      </c>
      <c r="UD144" s="619" t="e">
        <f t="shared" ref="UD144:UM144" si="889">AVERAGE(UD134:UD143)</f>
        <v>#DIV/0!</v>
      </c>
      <c r="UE144" s="675" t="e">
        <f t="shared" si="889"/>
        <v>#VALUE!</v>
      </c>
      <c r="UF144" s="672" t="e">
        <f t="shared" si="889"/>
        <v>#VALUE!</v>
      </c>
      <c r="UG144" s="687" t="e">
        <f t="shared" si="889"/>
        <v>#REF!</v>
      </c>
      <c r="UH144" s="686" t="e">
        <f t="shared" si="889"/>
        <v>#VALUE!</v>
      </c>
      <c r="UI144" s="687" t="e">
        <f t="shared" si="889"/>
        <v>#VALUE!</v>
      </c>
      <c r="UJ144" s="687" t="e">
        <f t="shared" si="889"/>
        <v>#VALUE!</v>
      </c>
      <c r="UK144" s="687" t="e">
        <f t="shared" si="889"/>
        <v>#VALUE!</v>
      </c>
      <c r="UL144" s="687" t="e">
        <f t="shared" si="889"/>
        <v>#VALUE!</v>
      </c>
      <c r="UM144" s="690" t="e">
        <f t="shared" si="889"/>
        <v>#VALUE!</v>
      </c>
      <c r="UN144" s="692">
        <f>AVERAGE(UN134:UN143)</f>
        <v>20.37</v>
      </c>
      <c r="UO144" s="711">
        <f>AVERAGE(UO134:UO143)</f>
        <v>54.6</v>
      </c>
      <c r="UP144" s="693">
        <f>AVERAGE(UP134:UP143)</f>
        <v>1008.6299999999999</v>
      </c>
      <c r="UQ144" s="599">
        <f>AVERAGE(UQ134:UQ143)</f>
        <v>-2.1000000000000002E-11</v>
      </c>
      <c r="UR144" s="694">
        <f>AVERAGE(UR134:UR143)</f>
        <v>60</v>
      </c>
      <c r="US144" s="2116" t="s">
        <v>93</v>
      </c>
      <c r="UT144" s="90" t="s">
        <v>93</v>
      </c>
      <c r="UU144" s="599">
        <f>AVERAGE(UU134:UU143)</f>
        <v>-2.1062999999999996E-11</v>
      </c>
      <c r="UV144" s="619">
        <f t="shared" ref="UV144" si="890">AVERAGE(UV134:UV143)</f>
        <v>0.99903594497436798</v>
      </c>
      <c r="UW144" s="675">
        <f t="shared" ref="UW144:VE144" si="891">AVERAGE(UW134:UW143)</f>
        <v>-3.4732570458985431E-13</v>
      </c>
      <c r="UX144" s="672">
        <f t="shared" si="891"/>
        <v>-3.4716323150758947E-13</v>
      </c>
      <c r="UY144" s="687" t="e">
        <f t="shared" si="891"/>
        <v>#REF!</v>
      </c>
      <c r="UZ144" s="686">
        <f t="shared" si="891"/>
        <v>3.1494648362368521E-5</v>
      </c>
      <c r="VA144" s="687">
        <f t="shared" si="891"/>
        <v>3.1494648362368517E-3</v>
      </c>
      <c r="VB144" s="687">
        <f t="shared" si="891"/>
        <v>3.7793578034842223E-5</v>
      </c>
      <c r="VC144" s="687">
        <f t="shared" si="891"/>
        <v>3.8108524518465914E-5</v>
      </c>
      <c r="VD144" s="687">
        <f t="shared" si="891"/>
        <v>3.8108524518465914E-5</v>
      </c>
      <c r="VE144" s="690">
        <f t="shared" si="891"/>
        <v>3.9368310452960655E-5</v>
      </c>
    </row>
    <row r="145" spans="1:577" x14ac:dyDescent="0.25">
      <c r="A145" s="681" t="s">
        <v>62</v>
      </c>
      <c r="B145" s="688">
        <f t="shared" ref="B145:F145" si="892">STDEVA(B134:B143)</f>
        <v>8.7559503577091066E-2</v>
      </c>
      <c r="C145" s="619">
        <f t="shared" si="892"/>
        <v>0.31622776601683794</v>
      </c>
      <c r="D145" s="619">
        <f t="shared" si="892"/>
        <v>0</v>
      </c>
      <c r="E145" s="672">
        <f t="shared" si="892"/>
        <v>3.1105733662247373E-11</v>
      </c>
      <c r="F145" s="619">
        <f t="shared" si="892"/>
        <v>0</v>
      </c>
      <c r="G145" s="652" t="s">
        <v>93</v>
      </c>
      <c r="H145" s="40" t="s">
        <v>93</v>
      </c>
      <c r="I145" s="599">
        <f t="shared" ref="I145:X145" si="893">STDEVA(I134:I143)</f>
        <v>3.1136839395909559E-11</v>
      </c>
      <c r="J145" s="652">
        <f t="shared" si="893"/>
        <v>2.9756522511828465E-4</v>
      </c>
      <c r="K145" s="675">
        <f t="shared" si="893"/>
        <v>5.1254978196078033E-13</v>
      </c>
      <c r="L145" s="672">
        <f t="shared" si="893"/>
        <v>5.1254978196078043E-13</v>
      </c>
      <c r="M145" s="672" t="e">
        <f t="shared" si="893"/>
        <v>#REF!</v>
      </c>
      <c r="N145" s="675">
        <f t="shared" si="893"/>
        <v>4.6498516219481753E-5</v>
      </c>
      <c r="O145" s="672">
        <f t="shared" si="893"/>
        <v>4.6498516219481848E-3</v>
      </c>
      <c r="P145" s="672">
        <f t="shared" si="893"/>
        <v>5.5798219463378036E-5</v>
      </c>
      <c r="Q145" s="672">
        <f t="shared" ref="Q145" si="894">STDEVA(Q134:Q143)</f>
        <v>5.6263204625572949E-5</v>
      </c>
      <c r="R145" s="672">
        <f t="shared" si="893"/>
        <v>5.6263204625572949E-5</v>
      </c>
      <c r="S145" s="676">
        <f t="shared" si="893"/>
        <v>5.8123145274351968E-5</v>
      </c>
      <c r="T145" s="691" t="e">
        <f t="shared" si="893"/>
        <v>#DIV/0!</v>
      </c>
      <c r="U145" s="691" t="e">
        <f t="shared" si="893"/>
        <v>#DIV/0!</v>
      </c>
      <c r="V145" s="695" t="e">
        <f t="shared" si="893"/>
        <v>#DIV/0!</v>
      </c>
      <c r="W145" s="599" t="e">
        <f t="shared" si="893"/>
        <v>#DIV/0!</v>
      </c>
      <c r="X145" s="652" t="e">
        <f t="shared" si="893"/>
        <v>#DIV/0!</v>
      </c>
      <c r="Y145" s="652" t="s">
        <v>93</v>
      </c>
      <c r="Z145" s="40" t="s">
        <v>93</v>
      </c>
      <c r="AA145" s="599">
        <f t="shared" ref="AA145" si="895">STDEVA(AA134:AA143)</f>
        <v>0</v>
      </c>
      <c r="AB145" s="652" t="e">
        <f t="shared" ref="AB145:AP145" si="896">STDEVA(AB134:AB143)</f>
        <v>#DIV/0!</v>
      </c>
      <c r="AC145" s="675" t="e">
        <f t="shared" si="896"/>
        <v>#VALUE!</v>
      </c>
      <c r="AD145" s="672" t="e">
        <f t="shared" si="896"/>
        <v>#VALUE!</v>
      </c>
      <c r="AE145" s="672" t="e">
        <f t="shared" si="896"/>
        <v>#REF!</v>
      </c>
      <c r="AF145" s="675" t="e">
        <f t="shared" si="896"/>
        <v>#VALUE!</v>
      </c>
      <c r="AG145" s="672" t="e">
        <f t="shared" si="896"/>
        <v>#VALUE!</v>
      </c>
      <c r="AH145" s="672" t="e">
        <f t="shared" si="896"/>
        <v>#VALUE!</v>
      </c>
      <c r="AI145" s="672" t="e">
        <f t="shared" si="896"/>
        <v>#VALUE!</v>
      </c>
      <c r="AJ145" s="672" t="e">
        <f t="shared" si="896"/>
        <v>#VALUE!</v>
      </c>
      <c r="AK145" s="676" t="e">
        <f t="shared" si="896"/>
        <v>#VALUE!</v>
      </c>
      <c r="AL145" s="691" t="e">
        <f t="shared" si="896"/>
        <v>#DIV/0!</v>
      </c>
      <c r="AM145" s="691" t="e">
        <f t="shared" si="896"/>
        <v>#DIV/0!</v>
      </c>
      <c r="AN145" s="695" t="e">
        <f t="shared" si="896"/>
        <v>#DIV/0!</v>
      </c>
      <c r="AO145" s="599" t="e">
        <f t="shared" si="896"/>
        <v>#DIV/0!</v>
      </c>
      <c r="AP145" s="652" t="e">
        <f t="shared" si="896"/>
        <v>#DIV/0!</v>
      </c>
      <c r="AQ145" s="652" t="s">
        <v>93</v>
      </c>
      <c r="AR145" s="40" t="s">
        <v>93</v>
      </c>
      <c r="AS145" s="599">
        <f t="shared" ref="AS145" si="897">STDEVA(AS134:AS143)</f>
        <v>0</v>
      </c>
      <c r="AT145" s="652" t="e">
        <f t="shared" ref="AT145:BH145" si="898">STDEVA(AT134:AT143)</f>
        <v>#DIV/0!</v>
      </c>
      <c r="AU145" s="675" t="e">
        <f t="shared" si="898"/>
        <v>#VALUE!</v>
      </c>
      <c r="AV145" s="672" t="e">
        <f t="shared" si="898"/>
        <v>#VALUE!</v>
      </c>
      <c r="AW145" s="672" t="e">
        <f t="shared" si="898"/>
        <v>#REF!</v>
      </c>
      <c r="AX145" s="675" t="e">
        <f t="shared" si="898"/>
        <v>#VALUE!</v>
      </c>
      <c r="AY145" s="672" t="e">
        <f t="shared" si="898"/>
        <v>#VALUE!</v>
      </c>
      <c r="AZ145" s="672" t="e">
        <f t="shared" si="898"/>
        <v>#VALUE!</v>
      </c>
      <c r="BA145" s="672" t="e">
        <f t="shared" si="898"/>
        <v>#VALUE!</v>
      </c>
      <c r="BB145" s="672" t="e">
        <f t="shared" si="898"/>
        <v>#VALUE!</v>
      </c>
      <c r="BC145" s="676" t="e">
        <f t="shared" si="898"/>
        <v>#VALUE!</v>
      </c>
      <c r="BD145" s="682">
        <f t="shared" si="898"/>
        <v>0.15670212364724223</v>
      </c>
      <c r="BE145" s="691">
        <f t="shared" si="898"/>
        <v>1.2292725943057181</v>
      </c>
      <c r="BF145" s="695">
        <f t="shared" si="898"/>
        <v>1.3281566172707338</v>
      </c>
      <c r="BG145" s="599">
        <f t="shared" si="898"/>
        <v>1.4916433890176369E-12</v>
      </c>
      <c r="BH145" s="652">
        <f t="shared" si="898"/>
        <v>0</v>
      </c>
      <c r="BI145" s="652" t="s">
        <v>93</v>
      </c>
      <c r="BJ145" s="40" t="s">
        <v>93</v>
      </c>
      <c r="BK145" s="599">
        <f t="shared" ref="BK145" si="899">STDEVA(BK134:BK143)</f>
        <v>1.4961183191847007E-12</v>
      </c>
      <c r="BL145" s="652">
        <f t="shared" ref="BL145:BZ145" si="900">STDEVA(BL134:BL143)</f>
        <v>1.7401341040470645E-3</v>
      </c>
      <c r="BM145" s="675">
        <f t="shared" si="900"/>
        <v>4.5366158239994255E-14</v>
      </c>
      <c r="BN145" s="672">
        <f t="shared" si="900"/>
        <v>4.5366158239994242E-14</v>
      </c>
      <c r="BO145" s="672" t="e">
        <f t="shared" si="900"/>
        <v>#REF!</v>
      </c>
      <c r="BP145" s="675">
        <f t="shared" si="900"/>
        <v>4.1156178755323125E-6</v>
      </c>
      <c r="BQ145" s="672">
        <f t="shared" si="900"/>
        <v>4.1156178755323228E-4</v>
      </c>
      <c r="BR145" s="672">
        <f t="shared" si="900"/>
        <v>4.9387414506387942E-6</v>
      </c>
      <c r="BS145" s="672">
        <f t="shared" si="900"/>
        <v>4.9798976293940788E-6</v>
      </c>
      <c r="BT145" s="672">
        <f t="shared" si="900"/>
        <v>4.9798976293940788E-6</v>
      </c>
      <c r="BU145" s="676">
        <f t="shared" si="900"/>
        <v>5.1445223444154368E-6</v>
      </c>
      <c r="BV145" s="682">
        <f t="shared" si="900"/>
        <v>0.28982753492378893</v>
      </c>
      <c r="BW145" s="691">
        <f t="shared" si="900"/>
        <v>1.247219128924647</v>
      </c>
      <c r="BX145" s="695">
        <f t="shared" si="900"/>
        <v>1.5732485852881319</v>
      </c>
      <c r="BY145" s="599">
        <f t="shared" si="900"/>
        <v>7.8351061823621049E-13</v>
      </c>
      <c r="BZ145" s="652">
        <f t="shared" si="900"/>
        <v>0</v>
      </c>
      <c r="CA145" s="652" t="s">
        <v>93</v>
      </c>
      <c r="CB145" s="40" t="s">
        <v>93</v>
      </c>
      <c r="CC145" s="599">
        <f t="shared" ref="CC145" si="901">STDEVA(CC134:CC143)</f>
        <v>7.8586115009091899E-13</v>
      </c>
      <c r="CD145" s="652">
        <f t="shared" ref="CD145:CR145" si="902">STDEVA(CD134:CD143)</f>
        <v>2.3060968891070164E-3</v>
      </c>
      <c r="CE145" s="675">
        <f t="shared" si="902"/>
        <v>1.3009127161306843E-14</v>
      </c>
      <c r="CF145" s="672">
        <f t="shared" si="902"/>
        <v>1.3009127161306843E-14</v>
      </c>
      <c r="CG145" s="672" t="e">
        <f t="shared" si="902"/>
        <v>#REF!</v>
      </c>
      <c r="CH145" s="675">
        <f t="shared" si="902"/>
        <v>1.1801880160737557E-6</v>
      </c>
      <c r="CI145" s="672">
        <f t="shared" si="902"/>
        <v>1.1801880160737554E-4</v>
      </c>
      <c r="CJ145" s="672">
        <f t="shared" si="902"/>
        <v>1.4162256192885076E-6</v>
      </c>
      <c r="CK145" s="672">
        <f t="shared" si="902"/>
        <v>1.4280274994492449E-6</v>
      </c>
      <c r="CL145" s="672">
        <f t="shared" si="902"/>
        <v>1.4280274994492449E-6</v>
      </c>
      <c r="CM145" s="676">
        <f t="shared" si="902"/>
        <v>1.4752350200921958E-6</v>
      </c>
      <c r="CN145" s="682">
        <f t="shared" si="902"/>
        <v>0.20789954839350239</v>
      </c>
      <c r="CO145" s="691">
        <f t="shared" si="902"/>
        <v>0.99442892601175314</v>
      </c>
      <c r="CP145" s="695">
        <f t="shared" si="902"/>
        <v>2.4881050352962633</v>
      </c>
      <c r="CQ145" s="599">
        <f t="shared" si="902"/>
        <v>9.1893658347267325E-13</v>
      </c>
      <c r="CR145" s="652">
        <f t="shared" si="902"/>
        <v>0</v>
      </c>
      <c r="CS145" s="652" t="s">
        <v>93</v>
      </c>
      <c r="CT145" s="40" t="s">
        <v>93</v>
      </c>
      <c r="CU145" s="599">
        <f t="shared" ref="CU145" si="903">STDEVA(CU134:CU143)</f>
        <v>9.216933932231199E-13</v>
      </c>
      <c r="CV145" s="652">
        <f t="shared" ref="CV145:DJ145" si="904">STDEVA(CV134:CV143)</f>
        <v>3.0858174364742897E-3</v>
      </c>
      <c r="CW145" s="675">
        <f t="shared" si="904"/>
        <v>9.5479646113725383E-14</v>
      </c>
      <c r="CX145" s="672">
        <f t="shared" si="904"/>
        <v>9.5479646113725383E-14</v>
      </c>
      <c r="CY145" s="672" t="e">
        <f t="shared" si="904"/>
        <v>#REF!</v>
      </c>
      <c r="CZ145" s="675">
        <f t="shared" si="904"/>
        <v>8.6619134954371668E-6</v>
      </c>
      <c r="DA145" s="672">
        <f t="shared" si="904"/>
        <v>8.6619134954370723E-4</v>
      </c>
      <c r="DB145" s="672">
        <f t="shared" si="904"/>
        <v>1.0394296194524549E-5</v>
      </c>
      <c r="DC145" s="672">
        <f t="shared" si="904"/>
        <v>1.0480915329478933E-5</v>
      </c>
      <c r="DD145" s="672">
        <f t="shared" si="904"/>
        <v>1.0480915329478933E-5</v>
      </c>
      <c r="DE145" s="676">
        <f t="shared" si="904"/>
        <v>1.0827391869296356E-5</v>
      </c>
      <c r="DF145" s="682" t="e">
        <f t="shared" si="904"/>
        <v>#DIV/0!</v>
      </c>
      <c r="DG145" s="691" t="e">
        <f t="shared" si="904"/>
        <v>#DIV/0!</v>
      </c>
      <c r="DH145" s="695" t="e">
        <f t="shared" si="904"/>
        <v>#DIV/0!</v>
      </c>
      <c r="DI145" s="599" t="e">
        <f t="shared" si="904"/>
        <v>#DIV/0!</v>
      </c>
      <c r="DJ145" s="652" t="e">
        <f t="shared" si="904"/>
        <v>#DIV/0!</v>
      </c>
      <c r="DK145" s="652" t="s">
        <v>93</v>
      </c>
      <c r="DL145" s="40" t="s">
        <v>93</v>
      </c>
      <c r="DM145" s="599">
        <f t="shared" ref="DM145" si="905">STDEVA(DM134:DM143)</f>
        <v>0</v>
      </c>
      <c r="DN145" s="652" t="e">
        <f t="shared" ref="DN145:EB145" si="906">STDEVA(DN134:DN143)</f>
        <v>#DIV/0!</v>
      </c>
      <c r="DO145" s="675" t="e">
        <f t="shared" si="906"/>
        <v>#DIV/0!</v>
      </c>
      <c r="DP145" s="672" t="e">
        <f t="shared" si="906"/>
        <v>#DIV/0!</v>
      </c>
      <c r="DQ145" s="672" t="e">
        <f t="shared" si="906"/>
        <v>#REF!</v>
      </c>
      <c r="DR145" s="675" t="e">
        <f t="shared" si="906"/>
        <v>#DIV/0!</v>
      </c>
      <c r="DS145" s="672" t="e">
        <f t="shared" si="906"/>
        <v>#DIV/0!</v>
      </c>
      <c r="DT145" s="672" t="e">
        <f t="shared" si="906"/>
        <v>#DIV/0!</v>
      </c>
      <c r="DU145" s="672" t="e">
        <f t="shared" si="906"/>
        <v>#DIV/0!</v>
      </c>
      <c r="DV145" s="672" t="e">
        <f t="shared" si="906"/>
        <v>#DIV/0!</v>
      </c>
      <c r="DW145" s="676" t="e">
        <f t="shared" si="906"/>
        <v>#DIV/0!</v>
      </c>
      <c r="DX145" s="682" t="e">
        <f t="shared" si="906"/>
        <v>#DIV/0!</v>
      </c>
      <c r="DY145" s="691" t="e">
        <f t="shared" si="906"/>
        <v>#DIV/0!</v>
      </c>
      <c r="DZ145" s="695" t="e">
        <f t="shared" si="906"/>
        <v>#DIV/0!</v>
      </c>
      <c r="EA145" s="653" t="e">
        <f t="shared" si="906"/>
        <v>#DIV/0!</v>
      </c>
      <c r="EB145" s="652" t="e">
        <f t="shared" si="906"/>
        <v>#DIV/0!</v>
      </c>
      <c r="EC145" s="652" t="s">
        <v>93</v>
      </c>
      <c r="ED145" s="40" t="s">
        <v>93</v>
      </c>
      <c r="EE145" s="599">
        <f t="shared" ref="EE145" si="907">STDEVA(EE134:EE143)</f>
        <v>0</v>
      </c>
      <c r="EF145" s="652" t="e">
        <f t="shared" ref="EF145:ET145" si="908">STDEVA(EF134:EF143)</f>
        <v>#DIV/0!</v>
      </c>
      <c r="EG145" s="675" t="e">
        <f t="shared" si="908"/>
        <v>#VALUE!</v>
      </c>
      <c r="EH145" s="672" t="e">
        <f t="shared" si="908"/>
        <v>#VALUE!</v>
      </c>
      <c r="EI145" s="672" t="e">
        <f t="shared" si="908"/>
        <v>#REF!</v>
      </c>
      <c r="EJ145" s="675" t="e">
        <f t="shared" si="908"/>
        <v>#VALUE!</v>
      </c>
      <c r="EK145" s="672" t="e">
        <f t="shared" si="908"/>
        <v>#VALUE!</v>
      </c>
      <c r="EL145" s="672" t="e">
        <f t="shared" si="908"/>
        <v>#VALUE!</v>
      </c>
      <c r="EM145" s="672" t="e">
        <f t="shared" si="908"/>
        <v>#VALUE!</v>
      </c>
      <c r="EN145" s="672" t="e">
        <f t="shared" si="908"/>
        <v>#VALUE!</v>
      </c>
      <c r="EO145" s="676" t="e">
        <f t="shared" si="908"/>
        <v>#VALUE!</v>
      </c>
      <c r="EP145" s="682">
        <f t="shared" si="908"/>
        <v>0.24698178070456916</v>
      </c>
      <c r="EQ145" s="691">
        <f t="shared" si="908"/>
        <v>1.0593499054713802</v>
      </c>
      <c r="ER145" s="695">
        <f t="shared" si="908"/>
        <v>2.3832983680418747</v>
      </c>
      <c r="ES145" s="599">
        <f t="shared" si="908"/>
        <v>4.9710271686152659E-12</v>
      </c>
      <c r="ET145" s="652">
        <f t="shared" si="908"/>
        <v>0</v>
      </c>
      <c r="EU145" s="652" t="s">
        <v>93</v>
      </c>
      <c r="EV145" s="40" t="s">
        <v>93</v>
      </c>
      <c r="EW145" s="599">
        <f t="shared" ref="EW145" si="909">STDEVA(EW134:EW143)</f>
        <v>4.9859402501211103E-12</v>
      </c>
      <c r="EX145" s="652">
        <f t="shared" ref="EX145:FL145" si="910">STDEVA(EX134:EX143)</f>
        <v>3.1151684282986663E-3</v>
      </c>
      <c r="EY145" s="675">
        <f t="shared" si="910"/>
        <v>8.2330983377887971E-14</v>
      </c>
      <c r="EZ145" s="672">
        <f t="shared" si="910"/>
        <v>8.2330983377887971E-14</v>
      </c>
      <c r="FA145" s="672" t="e">
        <f t="shared" si="910"/>
        <v>#REF!</v>
      </c>
      <c r="FB145" s="675">
        <f t="shared" si="910"/>
        <v>1.4211470863819796E-6</v>
      </c>
      <c r="FC145" s="672">
        <f t="shared" si="910"/>
        <v>1.42114708638198E-4</v>
      </c>
      <c r="FD145" s="672">
        <f t="shared" si="910"/>
        <v>1.7053765036583756E-6</v>
      </c>
      <c r="FE145" s="672">
        <f t="shared" si="910"/>
        <v>1.7195879745221952E-6</v>
      </c>
      <c r="FF145" s="672">
        <f t="shared" si="910"/>
        <v>1.7195879745221952E-6</v>
      </c>
      <c r="FG145" s="676">
        <f t="shared" si="910"/>
        <v>1.7764338579774747E-6</v>
      </c>
      <c r="FH145" s="682" t="e">
        <f t="shared" si="910"/>
        <v>#DIV/0!</v>
      </c>
      <c r="FI145" s="691" t="e">
        <f t="shared" si="910"/>
        <v>#DIV/0!</v>
      </c>
      <c r="FJ145" s="695" t="e">
        <f t="shared" si="910"/>
        <v>#DIV/0!</v>
      </c>
      <c r="FK145" s="599" t="e">
        <f t="shared" si="910"/>
        <v>#DIV/0!</v>
      </c>
      <c r="FL145" s="652" t="e">
        <f t="shared" si="910"/>
        <v>#DIV/0!</v>
      </c>
      <c r="FM145" s="652" t="s">
        <v>93</v>
      </c>
      <c r="FN145" s="40" t="s">
        <v>93</v>
      </c>
      <c r="FO145" s="599">
        <f t="shared" ref="FO145" si="911">STDEVA(FO134:FO143)</f>
        <v>0</v>
      </c>
      <c r="FP145" s="652" t="e">
        <f t="shared" ref="FP145:GD145" si="912">STDEVA(FP134:FP143)</f>
        <v>#DIV/0!</v>
      </c>
      <c r="FQ145" s="675" t="e">
        <f t="shared" si="912"/>
        <v>#VALUE!</v>
      </c>
      <c r="FR145" s="672" t="e">
        <f t="shared" si="912"/>
        <v>#VALUE!</v>
      </c>
      <c r="FS145" s="672" t="e">
        <f t="shared" si="912"/>
        <v>#REF!</v>
      </c>
      <c r="FT145" s="675" t="e">
        <f t="shared" si="912"/>
        <v>#VALUE!</v>
      </c>
      <c r="FU145" s="672" t="e">
        <f t="shared" si="912"/>
        <v>#VALUE!</v>
      </c>
      <c r="FV145" s="672" t="e">
        <f t="shared" si="912"/>
        <v>#VALUE!</v>
      </c>
      <c r="FW145" s="672" t="e">
        <f t="shared" si="912"/>
        <v>#VALUE!</v>
      </c>
      <c r="FX145" s="672" t="e">
        <f t="shared" si="912"/>
        <v>#VALUE!</v>
      </c>
      <c r="FY145" s="676" t="e">
        <f t="shared" si="912"/>
        <v>#VALUE!</v>
      </c>
      <c r="FZ145" s="682" t="e">
        <f t="shared" si="912"/>
        <v>#DIV/0!</v>
      </c>
      <c r="GA145" s="691" t="e">
        <f t="shared" si="912"/>
        <v>#DIV/0!</v>
      </c>
      <c r="GB145" s="695" t="e">
        <f t="shared" si="912"/>
        <v>#DIV/0!</v>
      </c>
      <c r="GC145" s="599" t="e">
        <f t="shared" si="912"/>
        <v>#DIV/0!</v>
      </c>
      <c r="GD145" s="652" t="e">
        <f t="shared" si="912"/>
        <v>#DIV/0!</v>
      </c>
      <c r="GE145" s="652" t="s">
        <v>93</v>
      </c>
      <c r="GF145" s="40" t="s">
        <v>93</v>
      </c>
      <c r="GG145" s="599">
        <f t="shared" ref="GG145" si="913">STDEVA(GG134:GG143)</f>
        <v>0</v>
      </c>
      <c r="GH145" s="652" t="e">
        <f t="shared" ref="GH145:GV145" si="914">STDEVA(GH134:GH143)</f>
        <v>#DIV/0!</v>
      </c>
      <c r="GI145" s="675" t="e">
        <f t="shared" si="914"/>
        <v>#VALUE!</v>
      </c>
      <c r="GJ145" s="672" t="e">
        <f t="shared" si="914"/>
        <v>#VALUE!</v>
      </c>
      <c r="GK145" s="672" t="e">
        <f t="shared" si="914"/>
        <v>#REF!</v>
      </c>
      <c r="GL145" s="675" t="e">
        <f t="shared" si="914"/>
        <v>#VALUE!</v>
      </c>
      <c r="GM145" s="672" t="e">
        <f t="shared" si="914"/>
        <v>#VALUE!</v>
      </c>
      <c r="GN145" s="672" t="e">
        <f t="shared" si="914"/>
        <v>#VALUE!</v>
      </c>
      <c r="GO145" s="672" t="e">
        <f t="shared" si="914"/>
        <v>#VALUE!</v>
      </c>
      <c r="GP145" s="672" t="e">
        <f t="shared" si="914"/>
        <v>#VALUE!</v>
      </c>
      <c r="GQ145" s="676" t="e">
        <f t="shared" si="914"/>
        <v>#VALUE!</v>
      </c>
      <c r="GR145" s="682" t="e">
        <f t="shared" si="914"/>
        <v>#DIV/0!</v>
      </c>
      <c r="GS145" s="691" t="e">
        <f t="shared" si="914"/>
        <v>#DIV/0!</v>
      </c>
      <c r="GT145" s="695" t="e">
        <f t="shared" si="914"/>
        <v>#DIV/0!</v>
      </c>
      <c r="GU145" s="653" t="e">
        <f t="shared" si="914"/>
        <v>#DIV/0!</v>
      </c>
      <c r="GV145" s="652" t="e">
        <f t="shared" si="914"/>
        <v>#DIV/0!</v>
      </c>
      <c r="GW145" s="652" t="s">
        <v>93</v>
      </c>
      <c r="GX145" s="40" t="s">
        <v>93</v>
      </c>
      <c r="GY145" s="599">
        <f t="shared" ref="GY145" si="915">STDEVA(GY134:GY143)</f>
        <v>0</v>
      </c>
      <c r="GZ145" s="652" t="e">
        <f t="shared" ref="GZ145:HN145" si="916">STDEVA(GZ134:GZ143)</f>
        <v>#DIV/0!</v>
      </c>
      <c r="HA145" s="675" t="e">
        <f t="shared" si="916"/>
        <v>#VALUE!</v>
      </c>
      <c r="HB145" s="672" t="e">
        <f t="shared" si="916"/>
        <v>#VALUE!</v>
      </c>
      <c r="HC145" s="672" t="e">
        <f t="shared" si="916"/>
        <v>#REF!</v>
      </c>
      <c r="HD145" s="675" t="e">
        <f t="shared" si="916"/>
        <v>#VALUE!</v>
      </c>
      <c r="HE145" s="672" t="e">
        <f t="shared" si="916"/>
        <v>#VALUE!</v>
      </c>
      <c r="HF145" s="672" t="e">
        <f t="shared" si="916"/>
        <v>#VALUE!</v>
      </c>
      <c r="HG145" s="672" t="e">
        <f t="shared" si="916"/>
        <v>#VALUE!</v>
      </c>
      <c r="HH145" s="672" t="e">
        <f t="shared" si="916"/>
        <v>#VALUE!</v>
      </c>
      <c r="HI145" s="676" t="e">
        <f t="shared" si="916"/>
        <v>#VALUE!</v>
      </c>
      <c r="HJ145" s="682" t="e">
        <f t="shared" si="916"/>
        <v>#DIV/0!</v>
      </c>
      <c r="HK145" s="691" t="e">
        <f t="shared" si="916"/>
        <v>#DIV/0!</v>
      </c>
      <c r="HL145" s="695" t="e">
        <f t="shared" si="916"/>
        <v>#DIV/0!</v>
      </c>
      <c r="HM145" s="599" t="e">
        <f t="shared" si="916"/>
        <v>#DIV/0!</v>
      </c>
      <c r="HN145" s="652" t="e">
        <f t="shared" si="916"/>
        <v>#DIV/0!</v>
      </c>
      <c r="HO145" s="652" t="s">
        <v>93</v>
      </c>
      <c r="HP145" s="40" t="s">
        <v>93</v>
      </c>
      <c r="HQ145" s="599">
        <f t="shared" ref="HQ145" si="917">STDEVA(HQ134:HQ143)</f>
        <v>0</v>
      </c>
      <c r="HR145" s="652" t="e">
        <f t="shared" ref="HR145:IF145" si="918">STDEVA(HR134:HR143)</f>
        <v>#DIV/0!</v>
      </c>
      <c r="HS145" s="675" t="e">
        <f t="shared" si="918"/>
        <v>#VALUE!</v>
      </c>
      <c r="HT145" s="672" t="e">
        <f t="shared" si="918"/>
        <v>#VALUE!</v>
      </c>
      <c r="HU145" s="672" t="e">
        <f t="shared" si="918"/>
        <v>#REF!</v>
      </c>
      <c r="HV145" s="675" t="e">
        <f t="shared" si="918"/>
        <v>#VALUE!</v>
      </c>
      <c r="HW145" s="672" t="e">
        <f t="shared" si="918"/>
        <v>#VALUE!</v>
      </c>
      <c r="HX145" s="672" t="e">
        <f t="shared" si="918"/>
        <v>#VALUE!</v>
      </c>
      <c r="HY145" s="672" t="e">
        <f t="shared" si="918"/>
        <v>#VALUE!</v>
      </c>
      <c r="HZ145" s="672" t="e">
        <f t="shared" si="918"/>
        <v>#VALUE!</v>
      </c>
      <c r="IA145" s="676" t="e">
        <f t="shared" si="918"/>
        <v>#VALUE!</v>
      </c>
      <c r="IB145" s="682" t="e">
        <f t="shared" si="918"/>
        <v>#DIV/0!</v>
      </c>
      <c r="IC145" s="691" t="e">
        <f t="shared" si="918"/>
        <v>#DIV/0!</v>
      </c>
      <c r="ID145" s="695" t="e">
        <f t="shared" si="918"/>
        <v>#DIV/0!</v>
      </c>
      <c r="IE145" s="599" t="e">
        <f t="shared" si="918"/>
        <v>#DIV/0!</v>
      </c>
      <c r="IF145" s="652" t="e">
        <f t="shared" si="918"/>
        <v>#DIV/0!</v>
      </c>
      <c r="IG145" s="652" t="s">
        <v>93</v>
      </c>
      <c r="IH145" s="40" t="s">
        <v>93</v>
      </c>
      <c r="II145" s="599">
        <f t="shared" ref="II145" si="919">STDEVA(II134:II143)</f>
        <v>0</v>
      </c>
      <c r="IJ145" s="652" t="e">
        <f t="shared" ref="IJ145:IX145" si="920">STDEVA(IJ134:IJ143)</f>
        <v>#DIV/0!</v>
      </c>
      <c r="IK145" s="675" t="e">
        <f t="shared" si="920"/>
        <v>#VALUE!</v>
      </c>
      <c r="IL145" s="672" t="e">
        <f t="shared" si="920"/>
        <v>#VALUE!</v>
      </c>
      <c r="IM145" s="672" t="e">
        <f t="shared" si="920"/>
        <v>#REF!</v>
      </c>
      <c r="IN145" s="675" t="e">
        <f t="shared" si="920"/>
        <v>#VALUE!</v>
      </c>
      <c r="IO145" s="672" t="e">
        <f t="shared" si="920"/>
        <v>#VALUE!</v>
      </c>
      <c r="IP145" s="672" t="e">
        <f t="shared" si="920"/>
        <v>#VALUE!</v>
      </c>
      <c r="IQ145" s="672" t="e">
        <f t="shared" si="920"/>
        <v>#VALUE!</v>
      </c>
      <c r="IR145" s="672" t="e">
        <f t="shared" si="920"/>
        <v>#VALUE!</v>
      </c>
      <c r="IS145" s="676" t="e">
        <f t="shared" si="920"/>
        <v>#VALUE!</v>
      </c>
      <c r="IT145" s="682" t="e">
        <f t="shared" si="920"/>
        <v>#DIV/0!</v>
      </c>
      <c r="IU145" s="691" t="e">
        <f t="shared" si="920"/>
        <v>#DIV/0!</v>
      </c>
      <c r="IV145" s="695" t="e">
        <f t="shared" si="920"/>
        <v>#DIV/0!</v>
      </c>
      <c r="IW145" s="599" t="e">
        <f t="shared" si="920"/>
        <v>#DIV/0!</v>
      </c>
      <c r="IX145" s="652" t="e">
        <f t="shared" si="920"/>
        <v>#DIV/0!</v>
      </c>
      <c r="IY145" s="652" t="s">
        <v>93</v>
      </c>
      <c r="IZ145" s="40" t="s">
        <v>93</v>
      </c>
      <c r="JA145" s="599">
        <f t="shared" ref="JA145" si="921">STDEVA(JA134:JA143)</f>
        <v>0</v>
      </c>
      <c r="JB145" s="652" t="e">
        <f t="shared" ref="JB145:JP145" si="922">STDEVA(JB134:JB143)</f>
        <v>#DIV/0!</v>
      </c>
      <c r="JC145" s="675" t="e">
        <f t="shared" si="922"/>
        <v>#VALUE!</v>
      </c>
      <c r="JD145" s="672" t="e">
        <f t="shared" si="922"/>
        <v>#VALUE!</v>
      </c>
      <c r="JE145" s="672" t="e">
        <f t="shared" si="922"/>
        <v>#REF!</v>
      </c>
      <c r="JF145" s="675" t="e">
        <f t="shared" si="922"/>
        <v>#VALUE!</v>
      </c>
      <c r="JG145" s="672" t="e">
        <f t="shared" si="922"/>
        <v>#VALUE!</v>
      </c>
      <c r="JH145" s="672" t="e">
        <f t="shared" si="922"/>
        <v>#VALUE!</v>
      </c>
      <c r="JI145" s="672" t="e">
        <f t="shared" si="922"/>
        <v>#VALUE!</v>
      </c>
      <c r="JJ145" s="672" t="e">
        <f t="shared" si="922"/>
        <v>#VALUE!</v>
      </c>
      <c r="JK145" s="676" t="e">
        <f t="shared" si="922"/>
        <v>#VALUE!</v>
      </c>
      <c r="JL145" s="682" t="e">
        <f t="shared" si="922"/>
        <v>#DIV/0!</v>
      </c>
      <c r="JM145" s="691" t="e">
        <f t="shared" si="922"/>
        <v>#DIV/0!</v>
      </c>
      <c r="JN145" s="695" t="e">
        <f t="shared" si="922"/>
        <v>#DIV/0!</v>
      </c>
      <c r="JO145" s="599" t="e">
        <f t="shared" si="922"/>
        <v>#DIV/0!</v>
      </c>
      <c r="JP145" s="652" t="e">
        <f t="shared" si="922"/>
        <v>#DIV/0!</v>
      </c>
      <c r="JQ145" s="652" t="s">
        <v>93</v>
      </c>
      <c r="JR145" s="40" t="s">
        <v>93</v>
      </c>
      <c r="JS145" s="599">
        <f t="shared" ref="JS145" si="923">STDEVA(JS134:JS143)</f>
        <v>0</v>
      </c>
      <c r="JT145" s="652" t="e">
        <f t="shared" ref="JT145:KH145" si="924">STDEVA(JT134:JT143)</f>
        <v>#DIV/0!</v>
      </c>
      <c r="JU145" s="675" t="e">
        <f t="shared" si="924"/>
        <v>#VALUE!</v>
      </c>
      <c r="JV145" s="672" t="e">
        <f t="shared" si="924"/>
        <v>#VALUE!</v>
      </c>
      <c r="JW145" s="672" t="e">
        <f t="shared" si="924"/>
        <v>#REF!</v>
      </c>
      <c r="JX145" s="675" t="e">
        <f t="shared" si="924"/>
        <v>#VALUE!</v>
      </c>
      <c r="JY145" s="672" t="e">
        <f t="shared" si="924"/>
        <v>#VALUE!</v>
      </c>
      <c r="JZ145" s="672" t="e">
        <f t="shared" si="924"/>
        <v>#VALUE!</v>
      </c>
      <c r="KA145" s="672" t="e">
        <f t="shared" si="924"/>
        <v>#VALUE!</v>
      </c>
      <c r="KB145" s="672" t="e">
        <f t="shared" si="924"/>
        <v>#VALUE!</v>
      </c>
      <c r="KC145" s="676" t="e">
        <f t="shared" si="924"/>
        <v>#VALUE!</v>
      </c>
      <c r="KD145" s="682" t="e">
        <f t="shared" si="924"/>
        <v>#DIV/0!</v>
      </c>
      <c r="KE145" s="691" t="e">
        <f t="shared" si="924"/>
        <v>#DIV/0!</v>
      </c>
      <c r="KF145" s="695" t="e">
        <f t="shared" si="924"/>
        <v>#DIV/0!</v>
      </c>
      <c r="KG145" s="599" t="e">
        <f t="shared" si="924"/>
        <v>#DIV/0!</v>
      </c>
      <c r="KH145" s="652" t="e">
        <f t="shared" si="924"/>
        <v>#DIV/0!</v>
      </c>
      <c r="KI145" s="652" t="s">
        <v>93</v>
      </c>
      <c r="KJ145" s="40" t="s">
        <v>93</v>
      </c>
      <c r="KK145" s="599">
        <f t="shared" ref="KK145" si="925">STDEVA(KK134:KK143)</f>
        <v>0</v>
      </c>
      <c r="KL145" s="652" t="e">
        <f t="shared" ref="KL145:KZ145" si="926">STDEVA(KL134:KL143)</f>
        <v>#DIV/0!</v>
      </c>
      <c r="KM145" s="675" t="e">
        <f t="shared" si="926"/>
        <v>#VALUE!</v>
      </c>
      <c r="KN145" s="672" t="e">
        <f t="shared" si="926"/>
        <v>#VALUE!</v>
      </c>
      <c r="KO145" s="672" t="e">
        <f t="shared" si="926"/>
        <v>#REF!</v>
      </c>
      <c r="KP145" s="675" t="e">
        <f t="shared" si="926"/>
        <v>#VALUE!</v>
      </c>
      <c r="KQ145" s="672" t="e">
        <f t="shared" si="926"/>
        <v>#VALUE!</v>
      </c>
      <c r="KR145" s="672" t="e">
        <f t="shared" si="926"/>
        <v>#VALUE!</v>
      </c>
      <c r="KS145" s="672" t="e">
        <f t="shared" si="926"/>
        <v>#VALUE!</v>
      </c>
      <c r="KT145" s="672" t="e">
        <f t="shared" si="926"/>
        <v>#VALUE!</v>
      </c>
      <c r="KU145" s="676" t="e">
        <f t="shared" si="926"/>
        <v>#VALUE!</v>
      </c>
      <c r="KV145" s="682" t="e">
        <f t="shared" si="926"/>
        <v>#DIV/0!</v>
      </c>
      <c r="KW145" s="691" t="e">
        <f t="shared" si="926"/>
        <v>#DIV/0!</v>
      </c>
      <c r="KX145" s="695" t="e">
        <f t="shared" si="926"/>
        <v>#DIV/0!</v>
      </c>
      <c r="KY145" s="599" t="e">
        <f t="shared" si="926"/>
        <v>#DIV/0!</v>
      </c>
      <c r="KZ145" s="652" t="e">
        <f t="shared" si="926"/>
        <v>#DIV/0!</v>
      </c>
      <c r="LA145" s="652" t="s">
        <v>93</v>
      </c>
      <c r="LB145" s="40" t="s">
        <v>93</v>
      </c>
      <c r="LC145" s="599">
        <f t="shared" ref="LC145" si="927">STDEVA(LC134:LC143)</f>
        <v>0</v>
      </c>
      <c r="LD145" s="652" t="e">
        <f t="shared" ref="LD145:LR145" si="928">STDEVA(LD134:LD143)</f>
        <v>#DIV/0!</v>
      </c>
      <c r="LE145" s="675" t="e">
        <f t="shared" si="928"/>
        <v>#VALUE!</v>
      </c>
      <c r="LF145" s="672" t="e">
        <f t="shared" si="928"/>
        <v>#VALUE!</v>
      </c>
      <c r="LG145" s="672" t="e">
        <f t="shared" si="928"/>
        <v>#REF!</v>
      </c>
      <c r="LH145" s="675" t="e">
        <f t="shared" si="928"/>
        <v>#VALUE!</v>
      </c>
      <c r="LI145" s="672" t="e">
        <f t="shared" si="928"/>
        <v>#VALUE!</v>
      </c>
      <c r="LJ145" s="672" t="e">
        <f t="shared" si="928"/>
        <v>#VALUE!</v>
      </c>
      <c r="LK145" s="672" t="e">
        <f t="shared" si="928"/>
        <v>#VALUE!</v>
      </c>
      <c r="LL145" s="672" t="e">
        <f t="shared" si="928"/>
        <v>#VALUE!</v>
      </c>
      <c r="LM145" s="676" t="e">
        <f t="shared" si="928"/>
        <v>#VALUE!</v>
      </c>
      <c r="LN145" s="682" t="e">
        <f t="shared" si="928"/>
        <v>#DIV/0!</v>
      </c>
      <c r="LO145" s="691" t="e">
        <f t="shared" si="928"/>
        <v>#DIV/0!</v>
      </c>
      <c r="LP145" s="695" t="e">
        <f t="shared" si="928"/>
        <v>#DIV/0!</v>
      </c>
      <c r="LQ145" s="599" t="e">
        <f t="shared" si="928"/>
        <v>#DIV/0!</v>
      </c>
      <c r="LR145" s="652" t="e">
        <f t="shared" si="928"/>
        <v>#DIV/0!</v>
      </c>
      <c r="LS145" s="652" t="s">
        <v>93</v>
      </c>
      <c r="LT145" s="40" t="s">
        <v>93</v>
      </c>
      <c r="LU145" s="599">
        <f t="shared" ref="LU145" si="929">STDEVA(LU134:LU143)</f>
        <v>0</v>
      </c>
      <c r="LV145" s="652" t="e">
        <f t="shared" ref="LV145:MJ145" si="930">STDEVA(LV134:LV143)</f>
        <v>#DIV/0!</v>
      </c>
      <c r="LW145" s="675" t="e">
        <f t="shared" si="930"/>
        <v>#VALUE!</v>
      </c>
      <c r="LX145" s="672" t="e">
        <f t="shared" si="930"/>
        <v>#VALUE!</v>
      </c>
      <c r="LY145" s="672" t="e">
        <f t="shared" si="930"/>
        <v>#REF!</v>
      </c>
      <c r="LZ145" s="675" t="e">
        <f t="shared" si="930"/>
        <v>#VALUE!</v>
      </c>
      <c r="MA145" s="672" t="e">
        <f t="shared" si="930"/>
        <v>#VALUE!</v>
      </c>
      <c r="MB145" s="672" t="e">
        <f t="shared" si="930"/>
        <v>#VALUE!</v>
      </c>
      <c r="MC145" s="672" t="e">
        <f t="shared" si="930"/>
        <v>#VALUE!</v>
      </c>
      <c r="MD145" s="672" t="e">
        <f t="shared" si="930"/>
        <v>#VALUE!</v>
      </c>
      <c r="ME145" s="676" t="e">
        <f t="shared" si="930"/>
        <v>#VALUE!</v>
      </c>
      <c r="MF145" s="682" t="e">
        <f t="shared" si="930"/>
        <v>#DIV/0!</v>
      </c>
      <c r="MG145" s="691" t="e">
        <f t="shared" si="930"/>
        <v>#DIV/0!</v>
      </c>
      <c r="MH145" s="695" t="e">
        <f t="shared" si="930"/>
        <v>#DIV/0!</v>
      </c>
      <c r="MI145" s="599" t="e">
        <f t="shared" si="930"/>
        <v>#DIV/0!</v>
      </c>
      <c r="MJ145" s="652" t="e">
        <f t="shared" si="930"/>
        <v>#DIV/0!</v>
      </c>
      <c r="MK145" s="652" t="s">
        <v>93</v>
      </c>
      <c r="ML145" s="40" t="s">
        <v>93</v>
      </c>
      <c r="MM145" s="599">
        <f t="shared" ref="MM145" si="931">STDEVA(MM134:MM143)</f>
        <v>0</v>
      </c>
      <c r="MN145" s="652" t="e">
        <f t="shared" ref="MN145:NB145" si="932">STDEVA(MN134:MN143)</f>
        <v>#DIV/0!</v>
      </c>
      <c r="MO145" s="675" t="e">
        <f t="shared" si="932"/>
        <v>#VALUE!</v>
      </c>
      <c r="MP145" s="672" t="e">
        <f t="shared" si="932"/>
        <v>#VALUE!</v>
      </c>
      <c r="MQ145" s="672" t="e">
        <f t="shared" si="932"/>
        <v>#REF!</v>
      </c>
      <c r="MR145" s="675" t="e">
        <f t="shared" si="932"/>
        <v>#VALUE!</v>
      </c>
      <c r="MS145" s="672" t="e">
        <f t="shared" si="932"/>
        <v>#VALUE!</v>
      </c>
      <c r="MT145" s="672" t="e">
        <f t="shared" si="932"/>
        <v>#VALUE!</v>
      </c>
      <c r="MU145" s="672" t="e">
        <f t="shared" si="932"/>
        <v>#VALUE!</v>
      </c>
      <c r="MV145" s="672" t="e">
        <f t="shared" si="932"/>
        <v>#VALUE!</v>
      </c>
      <c r="MW145" s="676" t="e">
        <f t="shared" si="932"/>
        <v>#VALUE!</v>
      </c>
      <c r="MX145" s="682" t="e">
        <f t="shared" si="932"/>
        <v>#DIV/0!</v>
      </c>
      <c r="MY145" s="691" t="e">
        <f t="shared" si="932"/>
        <v>#DIV/0!</v>
      </c>
      <c r="MZ145" s="695" t="e">
        <f t="shared" si="932"/>
        <v>#DIV/0!</v>
      </c>
      <c r="NA145" s="599" t="e">
        <f t="shared" si="932"/>
        <v>#DIV/0!</v>
      </c>
      <c r="NB145" s="652" t="e">
        <f t="shared" si="932"/>
        <v>#DIV/0!</v>
      </c>
      <c r="NC145" s="652" t="s">
        <v>93</v>
      </c>
      <c r="ND145" s="40" t="s">
        <v>93</v>
      </c>
      <c r="NE145" s="599">
        <f t="shared" ref="NE145" si="933">STDEVA(NE134:NE143)</f>
        <v>0</v>
      </c>
      <c r="NF145" s="652" t="e">
        <f t="shared" ref="NF145:NT145" si="934">STDEVA(NF134:NF143)</f>
        <v>#DIV/0!</v>
      </c>
      <c r="NG145" s="675" t="e">
        <f t="shared" si="934"/>
        <v>#VALUE!</v>
      </c>
      <c r="NH145" s="672" t="e">
        <f t="shared" si="934"/>
        <v>#VALUE!</v>
      </c>
      <c r="NI145" s="672" t="e">
        <f t="shared" si="934"/>
        <v>#REF!</v>
      </c>
      <c r="NJ145" s="675" t="e">
        <f t="shared" si="934"/>
        <v>#VALUE!</v>
      </c>
      <c r="NK145" s="672" t="e">
        <f t="shared" si="934"/>
        <v>#VALUE!</v>
      </c>
      <c r="NL145" s="672" t="e">
        <f t="shared" si="934"/>
        <v>#VALUE!</v>
      </c>
      <c r="NM145" s="672" t="e">
        <f t="shared" si="934"/>
        <v>#VALUE!</v>
      </c>
      <c r="NN145" s="672" t="e">
        <f t="shared" si="934"/>
        <v>#VALUE!</v>
      </c>
      <c r="NO145" s="676" t="e">
        <f t="shared" si="934"/>
        <v>#VALUE!</v>
      </c>
      <c r="NP145" s="682">
        <f t="shared" si="934"/>
        <v>0.25927248643506723</v>
      </c>
      <c r="NQ145" s="691">
        <f t="shared" si="934"/>
        <v>1.0593499054713802</v>
      </c>
      <c r="NR145" s="695">
        <f t="shared" si="934"/>
        <v>2.2773278688458936</v>
      </c>
      <c r="NS145" s="599">
        <f t="shared" si="934"/>
        <v>1.032795558988647E-12</v>
      </c>
      <c r="NT145" s="652">
        <f t="shared" si="934"/>
        <v>0</v>
      </c>
      <c r="NU145" s="652" t="s">
        <v>93</v>
      </c>
      <c r="NV145" s="40" t="s">
        <v>93</v>
      </c>
      <c r="NW145" s="599">
        <f t="shared" ref="NW145" si="935">STDEVA(NW134:NW143)</f>
        <v>1.0358939456656128E-12</v>
      </c>
      <c r="NX145" s="652">
        <f t="shared" ref="NX145:OL145" si="936">STDEVA(NX134:NX143)</f>
        <v>3.0771209693523575E-3</v>
      </c>
      <c r="NY145" s="675">
        <f t="shared" si="936"/>
        <v>1.812575202574597E-14</v>
      </c>
      <c r="NZ145" s="672">
        <f t="shared" si="936"/>
        <v>1.812575202574597E-14</v>
      </c>
      <c r="OA145" s="672" t="e">
        <f t="shared" si="936"/>
        <v>#REF!</v>
      </c>
      <c r="OB145" s="675">
        <f t="shared" si="936"/>
        <v>1.6443682237756754E-6</v>
      </c>
      <c r="OC145" s="672">
        <f t="shared" si="936"/>
        <v>1.6443682237756742E-4</v>
      </c>
      <c r="OD145" s="672">
        <f t="shared" si="936"/>
        <v>1.9732418685308108E-6</v>
      </c>
      <c r="OE145" s="672">
        <f t="shared" si="936"/>
        <v>1.989685550768566E-6</v>
      </c>
      <c r="OF145" s="672">
        <f t="shared" si="936"/>
        <v>1.989685550768566E-6</v>
      </c>
      <c r="OG145" s="676">
        <f t="shared" si="936"/>
        <v>2.0554602797195944E-6</v>
      </c>
      <c r="OH145" s="682" t="e">
        <f t="shared" si="936"/>
        <v>#DIV/0!</v>
      </c>
      <c r="OI145" s="691" t="e">
        <f t="shared" si="936"/>
        <v>#DIV/0!</v>
      </c>
      <c r="OJ145" s="695" t="e">
        <f t="shared" si="936"/>
        <v>#DIV/0!</v>
      </c>
      <c r="OK145" s="599" t="e">
        <f t="shared" si="936"/>
        <v>#DIV/0!</v>
      </c>
      <c r="OL145" s="652" t="e">
        <f t="shared" si="936"/>
        <v>#DIV/0!</v>
      </c>
      <c r="OM145" s="652" t="s">
        <v>93</v>
      </c>
      <c r="ON145" s="40" t="s">
        <v>93</v>
      </c>
      <c r="OO145" s="599">
        <f t="shared" ref="OO145" si="937">STDEVA(OO134:OO143)</f>
        <v>0</v>
      </c>
      <c r="OP145" s="652" t="e">
        <f t="shared" ref="OP145:PD145" si="938">STDEVA(OP134:OP143)</f>
        <v>#DIV/0!</v>
      </c>
      <c r="OQ145" s="675" t="e">
        <f t="shared" si="938"/>
        <v>#VALUE!</v>
      </c>
      <c r="OR145" s="672" t="e">
        <f t="shared" si="938"/>
        <v>#VALUE!</v>
      </c>
      <c r="OS145" s="672" t="e">
        <f t="shared" si="938"/>
        <v>#REF!</v>
      </c>
      <c r="OT145" s="675" t="e">
        <f t="shared" si="938"/>
        <v>#VALUE!</v>
      </c>
      <c r="OU145" s="672" t="e">
        <f t="shared" si="938"/>
        <v>#VALUE!</v>
      </c>
      <c r="OV145" s="672" t="e">
        <f t="shared" si="938"/>
        <v>#VALUE!</v>
      </c>
      <c r="OW145" s="672" t="e">
        <f t="shared" si="938"/>
        <v>#VALUE!</v>
      </c>
      <c r="OX145" s="672" t="e">
        <f t="shared" si="938"/>
        <v>#VALUE!</v>
      </c>
      <c r="OY145" s="676" t="e">
        <f t="shared" si="938"/>
        <v>#VALUE!</v>
      </c>
      <c r="OZ145" s="682">
        <f t="shared" si="938"/>
        <v>0.20789954839350236</v>
      </c>
      <c r="PA145" s="691">
        <f t="shared" si="938"/>
        <v>0.94280904158206336</v>
      </c>
      <c r="PB145" s="695">
        <f t="shared" si="938"/>
        <v>2.1725816696067075</v>
      </c>
      <c r="PC145" s="599">
        <f t="shared" si="938"/>
        <v>1.5368076580293867E-12</v>
      </c>
      <c r="PD145" s="652">
        <f t="shared" si="938"/>
        <v>0</v>
      </c>
      <c r="PE145" s="652" t="s">
        <v>93</v>
      </c>
      <c r="PF145" s="40" t="s">
        <v>93</v>
      </c>
      <c r="PG145" s="599">
        <f t="shared" ref="PG145" si="939">STDEVA(PG134:PG143)</f>
        <v>1.541418081003479E-12</v>
      </c>
      <c r="PH145" s="652">
        <f t="shared" ref="PH145:PV145" si="940">STDEVA(PH134:PH143)</f>
        <v>2.8475000966934833E-3</v>
      </c>
      <c r="PI145" s="675">
        <f t="shared" si="940"/>
        <v>3.0650732503478805E-14</v>
      </c>
      <c r="PJ145" s="672">
        <f t="shared" si="940"/>
        <v>3.0650732503478805E-14</v>
      </c>
      <c r="PK145" s="672" t="e">
        <f t="shared" si="940"/>
        <v>#REF!</v>
      </c>
      <c r="PL145" s="675">
        <f t="shared" si="940"/>
        <v>2.7806344527156003E-6</v>
      </c>
      <c r="PM145" s="672">
        <f t="shared" si="940"/>
        <v>2.7806344527155942E-4</v>
      </c>
      <c r="PN145" s="672">
        <f t="shared" si="940"/>
        <v>3.336761343258719E-6</v>
      </c>
      <c r="PO145" s="672">
        <f t="shared" si="940"/>
        <v>3.3645676877858786E-6</v>
      </c>
      <c r="PP145" s="672">
        <f t="shared" si="940"/>
        <v>3.3645676877858786E-6</v>
      </c>
      <c r="PQ145" s="676">
        <f t="shared" si="940"/>
        <v>3.475793065894496E-6</v>
      </c>
      <c r="PR145" s="682" t="e">
        <f t="shared" si="940"/>
        <v>#DIV/0!</v>
      </c>
      <c r="PS145" s="691" t="e">
        <f t="shared" si="940"/>
        <v>#DIV/0!</v>
      </c>
      <c r="PT145" s="695" t="e">
        <f t="shared" si="940"/>
        <v>#DIV/0!</v>
      </c>
      <c r="PU145" s="599" t="e">
        <f t="shared" si="940"/>
        <v>#DIV/0!</v>
      </c>
      <c r="PV145" s="652" t="e">
        <f t="shared" si="940"/>
        <v>#DIV/0!</v>
      </c>
      <c r="PW145" s="652" t="s">
        <v>93</v>
      </c>
      <c r="PX145" s="40" t="s">
        <v>93</v>
      </c>
      <c r="PY145" s="599">
        <f t="shared" ref="PY145" si="941">STDEVA(PY134:PY143)</f>
        <v>0</v>
      </c>
      <c r="PZ145" s="652" t="e">
        <f t="shared" ref="PZ145:QN145" si="942">STDEVA(PZ134:PZ143)</f>
        <v>#DIV/0!</v>
      </c>
      <c r="QA145" s="675" t="e">
        <f t="shared" si="942"/>
        <v>#VALUE!</v>
      </c>
      <c r="QB145" s="672" t="e">
        <f t="shared" si="942"/>
        <v>#VALUE!</v>
      </c>
      <c r="QC145" s="672" t="e">
        <f t="shared" si="942"/>
        <v>#REF!</v>
      </c>
      <c r="QD145" s="675" t="e">
        <f t="shared" si="942"/>
        <v>#VALUE!</v>
      </c>
      <c r="QE145" s="672" t="e">
        <f t="shared" si="942"/>
        <v>#VALUE!</v>
      </c>
      <c r="QF145" s="672" t="e">
        <f t="shared" si="942"/>
        <v>#VALUE!</v>
      </c>
      <c r="QG145" s="672" t="e">
        <f t="shared" si="942"/>
        <v>#VALUE!</v>
      </c>
      <c r="QH145" s="672" t="e">
        <f t="shared" si="942"/>
        <v>#VALUE!</v>
      </c>
      <c r="QI145" s="676" t="e">
        <f t="shared" si="942"/>
        <v>#VALUE!</v>
      </c>
      <c r="QJ145" s="682" t="e">
        <f t="shared" si="942"/>
        <v>#DIV/0!</v>
      </c>
      <c r="QK145" s="691" t="e">
        <f t="shared" si="942"/>
        <v>#DIV/0!</v>
      </c>
      <c r="QL145" s="695" t="e">
        <f t="shared" si="942"/>
        <v>#DIV/0!</v>
      </c>
      <c r="QM145" s="599" t="e">
        <f t="shared" si="942"/>
        <v>#DIV/0!</v>
      </c>
      <c r="QN145" s="652" t="e">
        <f t="shared" si="942"/>
        <v>#DIV/0!</v>
      </c>
      <c r="QO145" s="652" t="s">
        <v>93</v>
      </c>
      <c r="QP145" s="40" t="s">
        <v>93</v>
      </c>
      <c r="QQ145" s="599">
        <f t="shared" ref="QQ145" si="943">STDEVA(QQ134:QQ143)</f>
        <v>0</v>
      </c>
      <c r="QR145" s="652" t="e">
        <f t="shared" ref="QR145:RF145" si="944">STDEVA(QR134:QR143)</f>
        <v>#DIV/0!</v>
      </c>
      <c r="QS145" s="675" t="e">
        <f t="shared" si="944"/>
        <v>#VALUE!</v>
      </c>
      <c r="QT145" s="672" t="e">
        <f t="shared" si="944"/>
        <v>#VALUE!</v>
      </c>
      <c r="QU145" s="672" t="e">
        <f t="shared" si="944"/>
        <v>#REF!</v>
      </c>
      <c r="QV145" s="675" t="e">
        <f t="shared" si="944"/>
        <v>#VALUE!</v>
      </c>
      <c r="QW145" s="672" t="e">
        <f t="shared" si="944"/>
        <v>#VALUE!</v>
      </c>
      <c r="QX145" s="672" t="e">
        <f t="shared" si="944"/>
        <v>#VALUE!</v>
      </c>
      <c r="QY145" s="672" t="e">
        <f t="shared" si="944"/>
        <v>#VALUE!</v>
      </c>
      <c r="QZ145" s="672" t="e">
        <f t="shared" si="944"/>
        <v>#VALUE!</v>
      </c>
      <c r="RA145" s="676" t="e">
        <f t="shared" si="944"/>
        <v>#VALUE!</v>
      </c>
      <c r="RB145" s="682" t="e">
        <f t="shared" si="944"/>
        <v>#DIV/0!</v>
      </c>
      <c r="RC145" s="691" t="e">
        <f t="shared" si="944"/>
        <v>#DIV/0!</v>
      </c>
      <c r="RD145" s="695" t="e">
        <f t="shared" si="944"/>
        <v>#DIV/0!</v>
      </c>
      <c r="RE145" s="599" t="e">
        <f t="shared" si="944"/>
        <v>#DIV/0!</v>
      </c>
      <c r="RF145" s="652" t="e">
        <f t="shared" si="944"/>
        <v>#DIV/0!</v>
      </c>
      <c r="RG145" s="652" t="s">
        <v>93</v>
      </c>
      <c r="RH145" s="40" t="s">
        <v>93</v>
      </c>
      <c r="RI145" s="599">
        <f t="shared" ref="RI145" si="945">STDEVA(RI134:RI143)</f>
        <v>0</v>
      </c>
      <c r="RJ145" s="652" t="e">
        <f t="shared" ref="RJ145:RX145" si="946">STDEVA(RJ134:RJ143)</f>
        <v>#DIV/0!</v>
      </c>
      <c r="RK145" s="675" t="e">
        <f t="shared" si="946"/>
        <v>#VALUE!</v>
      </c>
      <c r="RL145" s="672" t="e">
        <f t="shared" si="946"/>
        <v>#VALUE!</v>
      </c>
      <c r="RM145" s="672" t="e">
        <f t="shared" si="946"/>
        <v>#REF!</v>
      </c>
      <c r="RN145" s="675" t="e">
        <f t="shared" si="946"/>
        <v>#VALUE!</v>
      </c>
      <c r="RO145" s="672" t="e">
        <f t="shared" si="946"/>
        <v>#VALUE!</v>
      </c>
      <c r="RP145" s="672" t="e">
        <f t="shared" si="946"/>
        <v>#VALUE!</v>
      </c>
      <c r="RQ145" s="672" t="e">
        <f t="shared" si="946"/>
        <v>#VALUE!</v>
      </c>
      <c r="RR145" s="672" t="e">
        <f t="shared" si="946"/>
        <v>#VALUE!</v>
      </c>
      <c r="RS145" s="676" t="e">
        <f t="shared" si="946"/>
        <v>#VALUE!</v>
      </c>
      <c r="RT145" s="682" t="e">
        <f t="shared" si="946"/>
        <v>#DIV/0!</v>
      </c>
      <c r="RU145" s="691" t="e">
        <f t="shared" si="946"/>
        <v>#DIV/0!</v>
      </c>
      <c r="RV145" s="619" t="e">
        <f t="shared" si="946"/>
        <v>#DIV/0!</v>
      </c>
      <c r="RW145" s="672" t="e">
        <f t="shared" si="946"/>
        <v>#DIV/0!</v>
      </c>
      <c r="RX145" s="652" t="e">
        <f t="shared" si="946"/>
        <v>#DIV/0!</v>
      </c>
      <c r="RY145" s="652" t="s">
        <v>93</v>
      </c>
      <c r="RZ145" s="40" t="s">
        <v>93</v>
      </c>
      <c r="SA145" s="599">
        <f t="shared" ref="SA145" si="947">STDEVA(SA134:SA143)</f>
        <v>0</v>
      </c>
      <c r="SB145" s="652" t="e">
        <f t="shared" ref="SB145:SP145" si="948">STDEVA(SB134:SB143)</f>
        <v>#DIV/0!</v>
      </c>
      <c r="SC145" s="675" t="e">
        <f t="shared" si="948"/>
        <v>#VALUE!</v>
      </c>
      <c r="SD145" s="672" t="e">
        <f t="shared" si="948"/>
        <v>#VALUE!</v>
      </c>
      <c r="SE145" s="672" t="e">
        <f t="shared" si="948"/>
        <v>#REF!</v>
      </c>
      <c r="SF145" s="675" t="e">
        <f t="shared" si="948"/>
        <v>#VALUE!</v>
      </c>
      <c r="SG145" s="672" t="e">
        <f t="shared" si="948"/>
        <v>#VALUE!</v>
      </c>
      <c r="SH145" s="672" t="e">
        <f t="shared" si="948"/>
        <v>#VALUE!</v>
      </c>
      <c r="SI145" s="672" t="e">
        <f t="shared" si="948"/>
        <v>#VALUE!</v>
      </c>
      <c r="SJ145" s="672" t="e">
        <f t="shared" si="948"/>
        <v>#VALUE!</v>
      </c>
      <c r="SK145" s="676" t="e">
        <f t="shared" si="948"/>
        <v>#VALUE!</v>
      </c>
      <c r="SL145" s="682">
        <f t="shared" si="948"/>
        <v>0.20439612955674519</v>
      </c>
      <c r="SM145" s="691">
        <f t="shared" si="948"/>
        <v>1.0801234497346435</v>
      </c>
      <c r="SN145" s="695">
        <f t="shared" si="948"/>
        <v>2.0062402647738877</v>
      </c>
      <c r="SO145" s="599">
        <f t="shared" si="948"/>
        <v>9.4280904158206317E-13</v>
      </c>
      <c r="SP145" s="652">
        <f t="shared" si="948"/>
        <v>0</v>
      </c>
      <c r="SQ145" s="652" t="s">
        <v>93</v>
      </c>
      <c r="SR145" s="40" t="s">
        <v>93</v>
      </c>
      <c r="SS145" s="599">
        <f t="shared" ref="SS145" si="949">STDEVA(SS134:SS143)</f>
        <v>9.4563746870680925E-13</v>
      </c>
      <c r="ST145" s="652">
        <f t="shared" ref="ST145:TH145" si="950">STDEVA(ST134:ST143)</f>
        <v>2.6670941747797597E-3</v>
      </c>
      <c r="SU145" s="675">
        <f t="shared" si="950"/>
        <v>1.5843307924848257E-14</v>
      </c>
      <c r="SV145" s="672">
        <f t="shared" si="950"/>
        <v>1.584330792484825E-14</v>
      </c>
      <c r="SW145" s="672" t="e">
        <f t="shared" si="950"/>
        <v>#REF!</v>
      </c>
      <c r="SX145" s="675">
        <f t="shared" si="950"/>
        <v>1.4373048949422322E-6</v>
      </c>
      <c r="SY145" s="672">
        <f t="shared" si="950"/>
        <v>1.4373048949422318E-4</v>
      </c>
      <c r="SZ145" s="672">
        <f t="shared" si="950"/>
        <v>1.7247658739306783E-6</v>
      </c>
      <c r="TA145" s="672">
        <f t="shared" si="950"/>
        <v>1.7391389228801009E-6</v>
      </c>
      <c r="TB145" s="672">
        <f t="shared" si="950"/>
        <v>1.7391389228801009E-6</v>
      </c>
      <c r="TC145" s="676">
        <f t="shared" si="950"/>
        <v>1.7966311186777889E-6</v>
      </c>
      <c r="TD145" s="682">
        <f t="shared" si="950"/>
        <v>0.20027758514399729</v>
      </c>
      <c r="TE145" s="691">
        <f t="shared" si="950"/>
        <v>1.509230856356236</v>
      </c>
      <c r="TF145" s="695">
        <f t="shared" si="950"/>
        <v>1.4343407312536678</v>
      </c>
      <c r="TG145" s="599">
        <f t="shared" si="950"/>
        <v>1.1785113019775947E-12</v>
      </c>
      <c r="TH145" s="652">
        <f t="shared" si="950"/>
        <v>0</v>
      </c>
      <c r="TI145" s="652" t="s">
        <v>93</v>
      </c>
      <c r="TJ145" s="40" t="s">
        <v>93</v>
      </c>
      <c r="TK145" s="599">
        <f t="shared" ref="TK145" si="951">STDEVA(TK134:TK143)</f>
        <v>1.1820468358835382E-12</v>
      </c>
      <c r="TL145" s="652">
        <f t="shared" ref="TL145:TZ145" si="952">STDEVA(TL134:TL143)</f>
        <v>2.0854833270314856E-3</v>
      </c>
      <c r="TM145" s="675">
        <f t="shared" si="952"/>
        <v>2.5118728843825126E-14</v>
      </c>
      <c r="TN145" s="672">
        <f t="shared" si="952"/>
        <v>2.5118728843825129E-14</v>
      </c>
      <c r="TO145" s="672" t="e">
        <f t="shared" si="952"/>
        <v>#REF!</v>
      </c>
      <c r="TP145" s="675">
        <f t="shared" si="952"/>
        <v>2.2787710807118107E-6</v>
      </c>
      <c r="TQ145" s="672">
        <f t="shared" si="952"/>
        <v>2.2787710807118018E-4</v>
      </c>
      <c r="TR145" s="672">
        <f t="shared" si="952"/>
        <v>2.7345252968541824E-6</v>
      </c>
      <c r="TS145" s="672">
        <f t="shared" si="952"/>
        <v>2.7573130076612851E-6</v>
      </c>
      <c r="TT145" s="672">
        <f t="shared" si="952"/>
        <v>2.7573130076612851E-6</v>
      </c>
      <c r="TU145" s="676">
        <f t="shared" si="952"/>
        <v>2.8484638508897703E-6</v>
      </c>
      <c r="TV145" s="682" t="e">
        <f t="shared" si="952"/>
        <v>#DIV/0!</v>
      </c>
      <c r="TW145" s="691" t="e">
        <f t="shared" si="952"/>
        <v>#DIV/0!</v>
      </c>
      <c r="TX145" s="695" t="e">
        <f t="shared" si="952"/>
        <v>#DIV/0!</v>
      </c>
      <c r="TY145" s="599" t="e">
        <f t="shared" si="952"/>
        <v>#DIV/0!</v>
      </c>
      <c r="TZ145" s="652" t="e">
        <f t="shared" si="952"/>
        <v>#DIV/0!</v>
      </c>
      <c r="UA145" s="652" t="s">
        <v>93</v>
      </c>
      <c r="UB145" s="40" t="s">
        <v>93</v>
      </c>
      <c r="UC145" s="599">
        <f t="shared" ref="UC145" si="953">STDEVA(UC134:UC143)</f>
        <v>0</v>
      </c>
      <c r="UD145" s="652" t="e">
        <f t="shared" ref="UD145:UR145" si="954">STDEVA(UD134:UD143)</f>
        <v>#DIV/0!</v>
      </c>
      <c r="UE145" s="675" t="e">
        <f t="shared" si="954"/>
        <v>#VALUE!</v>
      </c>
      <c r="UF145" s="672" t="e">
        <f t="shared" si="954"/>
        <v>#VALUE!</v>
      </c>
      <c r="UG145" s="672" t="e">
        <f t="shared" si="954"/>
        <v>#REF!</v>
      </c>
      <c r="UH145" s="675" t="e">
        <f t="shared" si="954"/>
        <v>#VALUE!</v>
      </c>
      <c r="UI145" s="672" t="e">
        <f t="shared" si="954"/>
        <v>#VALUE!</v>
      </c>
      <c r="UJ145" s="672" t="e">
        <f t="shared" si="954"/>
        <v>#VALUE!</v>
      </c>
      <c r="UK145" s="672" t="e">
        <f t="shared" si="954"/>
        <v>#VALUE!</v>
      </c>
      <c r="UL145" s="672" t="e">
        <f t="shared" si="954"/>
        <v>#VALUE!</v>
      </c>
      <c r="UM145" s="676" t="e">
        <f t="shared" si="954"/>
        <v>#VALUE!</v>
      </c>
      <c r="UN145" s="682">
        <f t="shared" si="954"/>
        <v>0.22632326929023969</v>
      </c>
      <c r="UO145" s="691">
        <f t="shared" si="954"/>
        <v>1.7126976771553504</v>
      </c>
      <c r="UP145" s="695">
        <f t="shared" si="954"/>
        <v>1.3300375934536486</v>
      </c>
      <c r="UQ145" s="599">
        <f t="shared" si="954"/>
        <v>7.0710678118654808E-13</v>
      </c>
      <c r="UR145" s="652">
        <f t="shared" si="954"/>
        <v>0</v>
      </c>
      <c r="US145" s="652" t="s">
        <v>93</v>
      </c>
      <c r="UT145" s="40" t="s">
        <v>93</v>
      </c>
      <c r="UU145" s="599">
        <f t="shared" ref="UU145" si="955">STDEVA(UU134:UU143)</f>
        <v>7.0922810153010764E-13</v>
      </c>
      <c r="UV145" s="652">
        <f t="shared" ref="UV145:VE145" si="956">STDEVA(UV134:UV143)</f>
        <v>2.0696528913726566E-3</v>
      </c>
      <c r="UW145" s="675">
        <f t="shared" si="956"/>
        <v>1.1845888291582718E-14</v>
      </c>
      <c r="UX145" s="672">
        <f t="shared" si="956"/>
        <v>1.1845888291582718E-14</v>
      </c>
      <c r="UY145" s="672" t="e">
        <f t="shared" si="956"/>
        <v>#REF!</v>
      </c>
      <c r="UZ145" s="675">
        <f t="shared" si="956"/>
        <v>1.0746589858123834E-6</v>
      </c>
      <c r="VA145" s="672">
        <f t="shared" si="956"/>
        <v>1.0746589858123832E-4</v>
      </c>
      <c r="VB145" s="672">
        <f t="shared" si="956"/>
        <v>1.2895907829748605E-6</v>
      </c>
      <c r="VC145" s="672">
        <f t="shared" si="956"/>
        <v>1.3003373728329844E-6</v>
      </c>
      <c r="VD145" s="672">
        <f t="shared" si="956"/>
        <v>1.3003373728329844E-6</v>
      </c>
      <c r="VE145" s="676">
        <f t="shared" si="956"/>
        <v>1.3433237322654796E-6</v>
      </c>
    </row>
    <row r="146" spans="1:577" x14ac:dyDescent="0.25">
      <c r="A146" s="1537" t="s">
        <v>63</v>
      </c>
      <c r="B146" s="688">
        <f t="shared" ref="B146:F146" si="957">B145/B144*100</f>
        <v>0.43324840958481481</v>
      </c>
      <c r="C146" s="619">
        <f t="shared" si="957"/>
        <v>0.6069630825659077</v>
      </c>
      <c r="D146" s="619">
        <f t="shared" si="957"/>
        <v>0</v>
      </c>
      <c r="E146" s="672">
        <f t="shared" si="957"/>
        <v>-0.64686367754793139</v>
      </c>
      <c r="F146" s="619">
        <f t="shared" si="957"/>
        <v>0</v>
      </c>
      <c r="G146" s="619" t="s">
        <v>93</v>
      </c>
      <c r="H146" s="38" t="s">
        <v>93</v>
      </c>
      <c r="I146" s="672">
        <f t="shared" ref="I146:X146" si="958">I145/I144*100</f>
        <v>-0.64686367754792995</v>
      </c>
      <c r="J146" s="619">
        <f t="shared" si="958"/>
        <v>2.9842031143134395E-2</v>
      </c>
      <c r="K146" s="675">
        <f t="shared" si="958"/>
        <v>-0.64697874730922389</v>
      </c>
      <c r="L146" s="672">
        <f t="shared" si="958"/>
        <v>-0.64717326979543432</v>
      </c>
      <c r="M146" s="672" t="e">
        <f t="shared" si="958"/>
        <v>#REF!</v>
      </c>
      <c r="N146" s="675">
        <f t="shared" si="958"/>
        <v>0.64717326979543088</v>
      </c>
      <c r="O146" s="672">
        <f t="shared" si="958"/>
        <v>0.64717326979543222</v>
      </c>
      <c r="P146" s="672">
        <f t="shared" si="958"/>
        <v>0.64717326979543</v>
      </c>
      <c r="Q146" s="672">
        <f t="shared" ref="Q146" si="959">Q145/Q144*100</f>
        <v>0.64717326979543111</v>
      </c>
      <c r="R146" s="672">
        <f t="shared" si="958"/>
        <v>0.64717326979543111</v>
      </c>
      <c r="S146" s="676">
        <f t="shared" si="958"/>
        <v>0.64717326979542833</v>
      </c>
      <c r="T146" s="1538" t="e">
        <f t="shared" si="958"/>
        <v>#DIV/0!</v>
      </c>
      <c r="U146" s="1538" t="e">
        <f t="shared" si="958"/>
        <v>#DIV/0!</v>
      </c>
      <c r="V146" s="1539" t="e">
        <f t="shared" si="958"/>
        <v>#DIV/0!</v>
      </c>
      <c r="W146" s="672" t="e">
        <f t="shared" si="958"/>
        <v>#DIV/0!</v>
      </c>
      <c r="X146" s="619" t="e">
        <f t="shared" si="958"/>
        <v>#DIV/0!</v>
      </c>
      <c r="Y146" s="619" t="s">
        <v>93</v>
      </c>
      <c r="Z146" s="38" t="s">
        <v>93</v>
      </c>
      <c r="AA146" s="672" t="e">
        <f t="shared" ref="AA146" si="960">AA145/AA144*100</f>
        <v>#DIV/0!</v>
      </c>
      <c r="AB146" s="619" t="e">
        <f t="shared" ref="AB146:AP146" si="961">AB145/AB144*100</f>
        <v>#DIV/0!</v>
      </c>
      <c r="AC146" s="675" t="e">
        <f t="shared" si="961"/>
        <v>#VALUE!</v>
      </c>
      <c r="AD146" s="672" t="e">
        <f t="shared" si="961"/>
        <v>#VALUE!</v>
      </c>
      <c r="AE146" s="672" t="e">
        <f t="shared" si="961"/>
        <v>#REF!</v>
      </c>
      <c r="AF146" s="675" t="e">
        <f t="shared" si="961"/>
        <v>#VALUE!</v>
      </c>
      <c r="AG146" s="672" t="e">
        <f t="shared" si="961"/>
        <v>#VALUE!</v>
      </c>
      <c r="AH146" s="672" t="e">
        <f t="shared" si="961"/>
        <v>#VALUE!</v>
      </c>
      <c r="AI146" s="672" t="e">
        <f t="shared" si="961"/>
        <v>#VALUE!</v>
      </c>
      <c r="AJ146" s="672" t="e">
        <f t="shared" si="961"/>
        <v>#VALUE!</v>
      </c>
      <c r="AK146" s="676" t="e">
        <f t="shared" si="961"/>
        <v>#VALUE!</v>
      </c>
      <c r="AL146" s="1538" t="e">
        <f t="shared" si="961"/>
        <v>#DIV/0!</v>
      </c>
      <c r="AM146" s="1538" t="e">
        <f t="shared" si="961"/>
        <v>#DIV/0!</v>
      </c>
      <c r="AN146" s="1539" t="e">
        <f t="shared" si="961"/>
        <v>#DIV/0!</v>
      </c>
      <c r="AO146" s="672" t="e">
        <f t="shared" si="961"/>
        <v>#DIV/0!</v>
      </c>
      <c r="AP146" s="619" t="e">
        <f t="shared" si="961"/>
        <v>#DIV/0!</v>
      </c>
      <c r="AQ146" s="619" t="s">
        <v>93</v>
      </c>
      <c r="AR146" s="38" t="s">
        <v>93</v>
      </c>
      <c r="AS146" s="672" t="e">
        <f t="shared" ref="AS146" si="962">AS145/AS144*100</f>
        <v>#DIV/0!</v>
      </c>
      <c r="AT146" s="619" t="e">
        <f t="shared" ref="AT146:BH146" si="963">AT145/AT144*100</f>
        <v>#DIV/0!</v>
      </c>
      <c r="AU146" s="675" t="e">
        <f t="shared" si="963"/>
        <v>#VALUE!</v>
      </c>
      <c r="AV146" s="672" t="e">
        <f t="shared" si="963"/>
        <v>#VALUE!</v>
      </c>
      <c r="AW146" s="672" t="e">
        <f t="shared" si="963"/>
        <v>#REF!</v>
      </c>
      <c r="AX146" s="675" t="e">
        <f t="shared" si="963"/>
        <v>#VALUE!</v>
      </c>
      <c r="AY146" s="672" t="e">
        <f t="shared" si="963"/>
        <v>#VALUE!</v>
      </c>
      <c r="AZ146" s="672" t="e">
        <f t="shared" si="963"/>
        <v>#VALUE!</v>
      </c>
      <c r="BA146" s="672" t="e">
        <f t="shared" si="963"/>
        <v>#VALUE!</v>
      </c>
      <c r="BB146" s="672" t="e">
        <f t="shared" si="963"/>
        <v>#VALUE!</v>
      </c>
      <c r="BC146" s="676" t="e">
        <f t="shared" si="963"/>
        <v>#VALUE!</v>
      </c>
      <c r="BD146" s="688">
        <f t="shared" si="963"/>
        <v>0.76328360276299201</v>
      </c>
      <c r="BE146" s="1538">
        <f t="shared" si="963"/>
        <v>2.3549283415818354</v>
      </c>
      <c r="BF146" s="1539">
        <f t="shared" si="963"/>
        <v>0.13157621379314197</v>
      </c>
      <c r="BG146" s="672">
        <f t="shared" si="963"/>
        <v>-0.1916417278881784</v>
      </c>
      <c r="BH146" s="619">
        <f t="shared" si="963"/>
        <v>0</v>
      </c>
      <c r="BI146" s="619" t="s">
        <v>93</v>
      </c>
      <c r="BJ146" s="38" t="s">
        <v>93</v>
      </c>
      <c r="BK146" s="672">
        <f t="shared" ref="BK146" si="964">BK145/BK144*100</f>
        <v>-0.19164172788817985</v>
      </c>
      <c r="BL146" s="619">
        <f t="shared" ref="BL146:BZ146" si="965">BL145/BL144*100</f>
        <v>0.17422287760561711</v>
      </c>
      <c r="BM146" s="675">
        <f t="shared" si="965"/>
        <v>-0.35249014931766259</v>
      </c>
      <c r="BN146" s="672">
        <f t="shared" si="965"/>
        <v>-0.35252699521084446</v>
      </c>
      <c r="BO146" s="672" t="e">
        <f t="shared" si="965"/>
        <v>#REF!</v>
      </c>
      <c r="BP146" s="675">
        <f t="shared" si="965"/>
        <v>0.3525269952108474</v>
      </c>
      <c r="BQ146" s="672">
        <f t="shared" si="965"/>
        <v>0.35252699521084835</v>
      </c>
      <c r="BR146" s="672">
        <f t="shared" si="965"/>
        <v>0.35252699521084896</v>
      </c>
      <c r="BS146" s="672">
        <f t="shared" si="965"/>
        <v>0.35252699521084618</v>
      </c>
      <c r="BT146" s="672">
        <f t="shared" si="965"/>
        <v>0.35252699521084618</v>
      </c>
      <c r="BU146" s="676">
        <f t="shared" si="965"/>
        <v>0.35252699521085074</v>
      </c>
      <c r="BV146" s="688">
        <f t="shared" si="965"/>
        <v>1.4124148875428308</v>
      </c>
      <c r="BW146" s="1538">
        <f t="shared" si="965"/>
        <v>2.4455277037738177</v>
      </c>
      <c r="BX146" s="1539">
        <f t="shared" si="965"/>
        <v>0.15598649440680284</v>
      </c>
      <c r="BY146" s="672">
        <f t="shared" si="965"/>
        <v>-2.2290487005297597</v>
      </c>
      <c r="BZ146" s="619">
        <f t="shared" si="965"/>
        <v>0</v>
      </c>
      <c r="CA146" s="619" t="s">
        <v>93</v>
      </c>
      <c r="CB146" s="38" t="s">
        <v>93</v>
      </c>
      <c r="CC146" s="672">
        <f t="shared" ref="CC146" si="966">CC145/CC144*100</f>
        <v>-2.2290487005297592</v>
      </c>
      <c r="CD146" s="619">
        <f t="shared" ref="CD146:CR146" si="967">CD145/CD144*100</f>
        <v>0.23070276314772292</v>
      </c>
      <c r="CE146" s="675">
        <f t="shared" si="967"/>
        <v>-2.2364889741874556</v>
      </c>
      <c r="CF146" s="672">
        <f t="shared" si="967"/>
        <v>-2.2434370670075006</v>
      </c>
      <c r="CG146" s="672" t="e">
        <f t="shared" si="967"/>
        <v>#REF!</v>
      </c>
      <c r="CH146" s="675">
        <f t="shared" si="967"/>
        <v>2.2434370670074983</v>
      </c>
      <c r="CI146" s="672">
        <f t="shared" si="967"/>
        <v>2.2434370670074983</v>
      </c>
      <c r="CJ146" s="672">
        <f t="shared" si="967"/>
        <v>2.2434370670075001</v>
      </c>
      <c r="CK146" s="672">
        <f t="shared" si="967"/>
        <v>2.2434370670074997</v>
      </c>
      <c r="CL146" s="672">
        <f t="shared" si="967"/>
        <v>2.2434370670074997</v>
      </c>
      <c r="CM146" s="676">
        <f t="shared" si="967"/>
        <v>2.2434370670075001</v>
      </c>
      <c r="CN146" s="688">
        <f t="shared" si="967"/>
        <v>1.019615244695941</v>
      </c>
      <c r="CO146" s="1538">
        <f t="shared" si="967"/>
        <v>1.9160480269975977</v>
      </c>
      <c r="CP146" s="1539">
        <f t="shared" si="967"/>
        <v>0.24679174703884857</v>
      </c>
      <c r="CQ146" s="672">
        <f t="shared" si="967"/>
        <v>-5.051322468517333E-2</v>
      </c>
      <c r="CR146" s="619">
        <f t="shared" si="967"/>
        <v>0</v>
      </c>
      <c r="CS146" s="619" t="s">
        <v>93</v>
      </c>
      <c r="CT146" s="38" t="s">
        <v>93</v>
      </c>
      <c r="CU146" s="672">
        <f t="shared" ref="CU146" si="968">CU145/CU144*100</f>
        <v>-5.0513224685174905E-2</v>
      </c>
      <c r="CV146" s="619">
        <f t="shared" ref="CV146:DJ146" si="969">CV145/CV144*100</f>
        <v>0.30871933554952918</v>
      </c>
      <c r="CW146" s="675">
        <f t="shared" si="969"/>
        <v>-0.317170271313854</v>
      </c>
      <c r="CX146" s="672">
        <f t="shared" si="969"/>
        <v>-0.31728924254829716</v>
      </c>
      <c r="CY146" s="672" t="e">
        <f t="shared" si="969"/>
        <v>#REF!</v>
      </c>
      <c r="CZ146" s="675">
        <f t="shared" si="969"/>
        <v>0.31728924254829721</v>
      </c>
      <c r="DA146" s="672">
        <f t="shared" si="969"/>
        <v>0.31728924254829377</v>
      </c>
      <c r="DB146" s="672">
        <f t="shared" si="969"/>
        <v>0.31728924254829566</v>
      </c>
      <c r="DC146" s="672">
        <f t="shared" si="969"/>
        <v>0.31728924254829599</v>
      </c>
      <c r="DD146" s="672">
        <f t="shared" si="969"/>
        <v>0.31728924254829599</v>
      </c>
      <c r="DE146" s="676">
        <f t="shared" si="969"/>
        <v>0.31728924254829427</v>
      </c>
      <c r="DF146" s="688" t="e">
        <f t="shared" si="969"/>
        <v>#DIV/0!</v>
      </c>
      <c r="DG146" s="1538" t="e">
        <f t="shared" si="969"/>
        <v>#DIV/0!</v>
      </c>
      <c r="DH146" s="1539" t="e">
        <f t="shared" si="969"/>
        <v>#DIV/0!</v>
      </c>
      <c r="DI146" s="672" t="e">
        <f t="shared" si="969"/>
        <v>#DIV/0!</v>
      </c>
      <c r="DJ146" s="619" t="e">
        <f t="shared" si="969"/>
        <v>#DIV/0!</v>
      </c>
      <c r="DK146" s="619" t="s">
        <v>93</v>
      </c>
      <c r="DL146" s="38" t="s">
        <v>93</v>
      </c>
      <c r="DM146" s="672" t="e">
        <f t="shared" ref="DM146" si="970">DM145/DM144*100</f>
        <v>#DIV/0!</v>
      </c>
      <c r="DN146" s="619" t="e">
        <f t="shared" ref="DN146:EB146" si="971">DN145/DN144*100</f>
        <v>#DIV/0!</v>
      </c>
      <c r="DO146" s="675" t="e">
        <f t="shared" si="971"/>
        <v>#DIV/0!</v>
      </c>
      <c r="DP146" s="672" t="e">
        <f t="shared" si="971"/>
        <v>#DIV/0!</v>
      </c>
      <c r="DQ146" s="672" t="e">
        <f t="shared" si="971"/>
        <v>#REF!</v>
      </c>
      <c r="DR146" s="675" t="e">
        <f t="shared" si="971"/>
        <v>#DIV/0!</v>
      </c>
      <c r="DS146" s="672" t="e">
        <f t="shared" si="971"/>
        <v>#DIV/0!</v>
      </c>
      <c r="DT146" s="672" t="e">
        <f t="shared" si="971"/>
        <v>#DIV/0!</v>
      </c>
      <c r="DU146" s="672" t="e">
        <f t="shared" si="971"/>
        <v>#DIV/0!</v>
      </c>
      <c r="DV146" s="672" t="e">
        <f t="shared" si="971"/>
        <v>#DIV/0!</v>
      </c>
      <c r="DW146" s="676" t="e">
        <f t="shared" si="971"/>
        <v>#DIV/0!</v>
      </c>
      <c r="DX146" s="688" t="e">
        <f t="shared" si="971"/>
        <v>#DIV/0!</v>
      </c>
      <c r="DY146" s="1538" t="e">
        <f t="shared" si="971"/>
        <v>#DIV/0!</v>
      </c>
      <c r="DZ146" s="1539" t="e">
        <f t="shared" si="971"/>
        <v>#DIV/0!</v>
      </c>
      <c r="EA146" s="674" t="e">
        <f t="shared" si="971"/>
        <v>#DIV/0!</v>
      </c>
      <c r="EB146" s="619" t="e">
        <f t="shared" si="971"/>
        <v>#DIV/0!</v>
      </c>
      <c r="EC146" s="619" t="s">
        <v>93</v>
      </c>
      <c r="ED146" s="38" t="s">
        <v>93</v>
      </c>
      <c r="EE146" s="672" t="e">
        <f t="shared" ref="EE146" si="972">EE145/EE144*100</f>
        <v>#DIV/0!</v>
      </c>
      <c r="EF146" s="619" t="e">
        <f t="shared" ref="EF146:ET146" si="973">EF145/EF144*100</f>
        <v>#DIV/0!</v>
      </c>
      <c r="EG146" s="675" t="e">
        <f t="shared" si="973"/>
        <v>#VALUE!</v>
      </c>
      <c r="EH146" s="672" t="e">
        <f t="shared" si="973"/>
        <v>#VALUE!</v>
      </c>
      <c r="EI146" s="672" t="e">
        <f t="shared" si="973"/>
        <v>#REF!</v>
      </c>
      <c r="EJ146" s="675" t="e">
        <f t="shared" si="973"/>
        <v>#VALUE!</v>
      </c>
      <c r="EK146" s="672" t="e">
        <f t="shared" si="973"/>
        <v>#VALUE!</v>
      </c>
      <c r="EL146" s="672" t="e">
        <f t="shared" si="973"/>
        <v>#VALUE!</v>
      </c>
      <c r="EM146" s="672" t="e">
        <f t="shared" si="973"/>
        <v>#VALUE!</v>
      </c>
      <c r="EN146" s="672" t="e">
        <f t="shared" si="973"/>
        <v>#VALUE!</v>
      </c>
      <c r="EO146" s="676" t="e">
        <f t="shared" si="973"/>
        <v>#VALUE!</v>
      </c>
      <c r="EP146" s="688">
        <f t="shared" si="973"/>
        <v>1.2101018162889225</v>
      </c>
      <c r="EQ146" s="1538">
        <f t="shared" si="973"/>
        <v>2.0255256318764441</v>
      </c>
      <c r="ER146" s="1539">
        <f t="shared" si="973"/>
        <v>0.23640784105639898</v>
      </c>
      <c r="ES146" s="672">
        <f t="shared" si="973"/>
        <v>-77.672299509613552</v>
      </c>
      <c r="ET146" s="619">
        <f t="shared" si="973"/>
        <v>0</v>
      </c>
      <c r="EU146" s="619" t="s">
        <v>93</v>
      </c>
      <c r="EV146" s="38" t="s">
        <v>93</v>
      </c>
      <c r="EW146" s="672">
        <f t="shared" ref="EW146" si="974">EW145/EW144*100</f>
        <v>-77.672299509613538</v>
      </c>
      <c r="EX146" s="619">
        <f t="shared" ref="EX146:FL146" si="975">EX145/EX144*100</f>
        <v>0.31161913266357932</v>
      </c>
      <c r="EY146" s="675">
        <f t="shared" si="975"/>
        <v>-77.750133842301068</v>
      </c>
      <c r="EZ146" s="672">
        <f t="shared" si="975"/>
        <v>-76.964753291544071</v>
      </c>
      <c r="FA146" s="672" t="e">
        <f t="shared" si="975"/>
        <v>#REF!</v>
      </c>
      <c r="FB146" s="675">
        <f t="shared" si="975"/>
        <v>11.902201814877222</v>
      </c>
      <c r="FC146" s="672">
        <f t="shared" si="975"/>
        <v>11.902201814877223</v>
      </c>
      <c r="FD146" s="672">
        <f t="shared" si="975"/>
        <v>11.902201814877223</v>
      </c>
      <c r="FE146" s="672">
        <f t="shared" si="975"/>
        <v>11.902201814877222</v>
      </c>
      <c r="FF146" s="672">
        <f t="shared" si="975"/>
        <v>11.902201814877222</v>
      </c>
      <c r="FG146" s="676">
        <f t="shared" si="975"/>
        <v>11.902201814877223</v>
      </c>
      <c r="FH146" s="688" t="e">
        <f t="shared" si="975"/>
        <v>#DIV/0!</v>
      </c>
      <c r="FI146" s="1538" t="e">
        <f t="shared" si="975"/>
        <v>#DIV/0!</v>
      </c>
      <c r="FJ146" s="1539" t="e">
        <f t="shared" si="975"/>
        <v>#DIV/0!</v>
      </c>
      <c r="FK146" s="672" t="e">
        <f t="shared" si="975"/>
        <v>#DIV/0!</v>
      </c>
      <c r="FL146" s="619" t="e">
        <f t="shared" si="975"/>
        <v>#DIV/0!</v>
      </c>
      <c r="FM146" s="619" t="s">
        <v>93</v>
      </c>
      <c r="FN146" s="38" t="s">
        <v>93</v>
      </c>
      <c r="FO146" s="672" t="e">
        <f t="shared" ref="FO146" si="976">FO145/FO144*100</f>
        <v>#DIV/0!</v>
      </c>
      <c r="FP146" s="619" t="e">
        <f t="shared" ref="FP146:GD146" si="977">FP145/FP144*100</f>
        <v>#DIV/0!</v>
      </c>
      <c r="FQ146" s="675" t="e">
        <f t="shared" si="977"/>
        <v>#VALUE!</v>
      </c>
      <c r="FR146" s="672" t="e">
        <f t="shared" si="977"/>
        <v>#VALUE!</v>
      </c>
      <c r="FS146" s="672" t="e">
        <f t="shared" si="977"/>
        <v>#REF!</v>
      </c>
      <c r="FT146" s="675" t="e">
        <f t="shared" si="977"/>
        <v>#VALUE!</v>
      </c>
      <c r="FU146" s="672" t="e">
        <f t="shared" si="977"/>
        <v>#VALUE!</v>
      </c>
      <c r="FV146" s="672" t="e">
        <f t="shared" si="977"/>
        <v>#VALUE!</v>
      </c>
      <c r="FW146" s="672" t="e">
        <f t="shared" si="977"/>
        <v>#VALUE!</v>
      </c>
      <c r="FX146" s="672" t="e">
        <f t="shared" si="977"/>
        <v>#VALUE!</v>
      </c>
      <c r="FY146" s="676" t="e">
        <f t="shared" si="977"/>
        <v>#VALUE!</v>
      </c>
      <c r="FZ146" s="688" t="e">
        <f t="shared" si="977"/>
        <v>#DIV/0!</v>
      </c>
      <c r="GA146" s="1538" t="e">
        <f t="shared" si="977"/>
        <v>#DIV/0!</v>
      </c>
      <c r="GB146" s="1539" t="e">
        <f t="shared" si="977"/>
        <v>#DIV/0!</v>
      </c>
      <c r="GC146" s="672" t="e">
        <f t="shared" si="977"/>
        <v>#DIV/0!</v>
      </c>
      <c r="GD146" s="619" t="e">
        <f t="shared" si="977"/>
        <v>#DIV/0!</v>
      </c>
      <c r="GE146" s="619" t="s">
        <v>93</v>
      </c>
      <c r="GF146" s="38" t="s">
        <v>93</v>
      </c>
      <c r="GG146" s="672" t="e">
        <f t="shared" ref="GG146" si="978">GG145/GG144*100</f>
        <v>#DIV/0!</v>
      </c>
      <c r="GH146" s="619" t="e">
        <f t="shared" ref="GH146:GV146" si="979">GH145/GH144*100</f>
        <v>#DIV/0!</v>
      </c>
      <c r="GI146" s="675" t="e">
        <f t="shared" si="979"/>
        <v>#VALUE!</v>
      </c>
      <c r="GJ146" s="672" t="e">
        <f t="shared" si="979"/>
        <v>#VALUE!</v>
      </c>
      <c r="GK146" s="672" t="e">
        <f t="shared" si="979"/>
        <v>#REF!</v>
      </c>
      <c r="GL146" s="675" t="e">
        <f t="shared" si="979"/>
        <v>#VALUE!</v>
      </c>
      <c r="GM146" s="672" t="e">
        <f t="shared" si="979"/>
        <v>#VALUE!</v>
      </c>
      <c r="GN146" s="672" t="e">
        <f t="shared" si="979"/>
        <v>#VALUE!</v>
      </c>
      <c r="GO146" s="672" t="e">
        <f t="shared" si="979"/>
        <v>#VALUE!</v>
      </c>
      <c r="GP146" s="672" t="e">
        <f t="shared" si="979"/>
        <v>#VALUE!</v>
      </c>
      <c r="GQ146" s="676" t="e">
        <f t="shared" si="979"/>
        <v>#VALUE!</v>
      </c>
      <c r="GR146" s="688" t="e">
        <f t="shared" si="979"/>
        <v>#DIV/0!</v>
      </c>
      <c r="GS146" s="1538" t="e">
        <f t="shared" si="979"/>
        <v>#DIV/0!</v>
      </c>
      <c r="GT146" s="1539" t="e">
        <f t="shared" si="979"/>
        <v>#DIV/0!</v>
      </c>
      <c r="GU146" s="674" t="e">
        <f t="shared" si="979"/>
        <v>#DIV/0!</v>
      </c>
      <c r="GV146" s="619" t="e">
        <f t="shared" si="979"/>
        <v>#DIV/0!</v>
      </c>
      <c r="GW146" s="619" t="s">
        <v>93</v>
      </c>
      <c r="GX146" s="38" t="s">
        <v>93</v>
      </c>
      <c r="GY146" s="672" t="e">
        <f t="shared" ref="GY146" si="980">GY145/GY144*100</f>
        <v>#DIV/0!</v>
      </c>
      <c r="GZ146" s="619" t="e">
        <f t="shared" ref="GZ146:HN146" si="981">GZ145/GZ144*100</f>
        <v>#DIV/0!</v>
      </c>
      <c r="HA146" s="675" t="e">
        <f t="shared" si="981"/>
        <v>#VALUE!</v>
      </c>
      <c r="HB146" s="672" t="e">
        <f t="shared" si="981"/>
        <v>#VALUE!</v>
      </c>
      <c r="HC146" s="672" t="e">
        <f t="shared" si="981"/>
        <v>#REF!</v>
      </c>
      <c r="HD146" s="675" t="e">
        <f t="shared" si="981"/>
        <v>#VALUE!</v>
      </c>
      <c r="HE146" s="672" t="e">
        <f t="shared" si="981"/>
        <v>#VALUE!</v>
      </c>
      <c r="HF146" s="672" t="e">
        <f t="shared" si="981"/>
        <v>#VALUE!</v>
      </c>
      <c r="HG146" s="672" t="e">
        <f t="shared" si="981"/>
        <v>#VALUE!</v>
      </c>
      <c r="HH146" s="672" t="e">
        <f t="shared" si="981"/>
        <v>#VALUE!</v>
      </c>
      <c r="HI146" s="676" t="e">
        <f t="shared" si="981"/>
        <v>#VALUE!</v>
      </c>
      <c r="HJ146" s="688" t="e">
        <f t="shared" si="981"/>
        <v>#DIV/0!</v>
      </c>
      <c r="HK146" s="1538" t="e">
        <f t="shared" si="981"/>
        <v>#DIV/0!</v>
      </c>
      <c r="HL146" s="1539" t="e">
        <f t="shared" si="981"/>
        <v>#DIV/0!</v>
      </c>
      <c r="HM146" s="672" t="e">
        <f t="shared" si="981"/>
        <v>#DIV/0!</v>
      </c>
      <c r="HN146" s="619" t="e">
        <f t="shared" si="981"/>
        <v>#DIV/0!</v>
      </c>
      <c r="HO146" s="619" t="s">
        <v>93</v>
      </c>
      <c r="HP146" s="38" t="s">
        <v>93</v>
      </c>
      <c r="HQ146" s="672" t="e">
        <f t="shared" ref="HQ146" si="982">HQ145/HQ144*100</f>
        <v>#DIV/0!</v>
      </c>
      <c r="HR146" s="619" t="e">
        <f t="shared" ref="HR146:IF146" si="983">HR145/HR144*100</f>
        <v>#DIV/0!</v>
      </c>
      <c r="HS146" s="675" t="e">
        <f t="shared" si="983"/>
        <v>#VALUE!</v>
      </c>
      <c r="HT146" s="672" t="e">
        <f t="shared" si="983"/>
        <v>#VALUE!</v>
      </c>
      <c r="HU146" s="672" t="e">
        <f t="shared" si="983"/>
        <v>#REF!</v>
      </c>
      <c r="HV146" s="675" t="e">
        <f t="shared" si="983"/>
        <v>#VALUE!</v>
      </c>
      <c r="HW146" s="672" t="e">
        <f t="shared" si="983"/>
        <v>#VALUE!</v>
      </c>
      <c r="HX146" s="672" t="e">
        <f t="shared" si="983"/>
        <v>#VALUE!</v>
      </c>
      <c r="HY146" s="672" t="e">
        <f t="shared" si="983"/>
        <v>#VALUE!</v>
      </c>
      <c r="HZ146" s="672" t="e">
        <f t="shared" si="983"/>
        <v>#VALUE!</v>
      </c>
      <c r="IA146" s="676" t="e">
        <f t="shared" si="983"/>
        <v>#VALUE!</v>
      </c>
      <c r="IB146" s="688" t="e">
        <f t="shared" si="983"/>
        <v>#DIV/0!</v>
      </c>
      <c r="IC146" s="1538" t="e">
        <f t="shared" si="983"/>
        <v>#DIV/0!</v>
      </c>
      <c r="ID146" s="1539" t="e">
        <f t="shared" si="983"/>
        <v>#DIV/0!</v>
      </c>
      <c r="IE146" s="672" t="e">
        <f t="shared" si="983"/>
        <v>#DIV/0!</v>
      </c>
      <c r="IF146" s="619" t="e">
        <f t="shared" si="983"/>
        <v>#DIV/0!</v>
      </c>
      <c r="IG146" s="619" t="s">
        <v>93</v>
      </c>
      <c r="IH146" s="38" t="s">
        <v>93</v>
      </c>
      <c r="II146" s="672" t="e">
        <f t="shared" ref="II146" si="984">II145/II144*100</f>
        <v>#DIV/0!</v>
      </c>
      <c r="IJ146" s="619" t="e">
        <f t="shared" ref="IJ146:IX146" si="985">IJ145/IJ144*100</f>
        <v>#DIV/0!</v>
      </c>
      <c r="IK146" s="675" t="e">
        <f t="shared" si="985"/>
        <v>#VALUE!</v>
      </c>
      <c r="IL146" s="672" t="e">
        <f t="shared" si="985"/>
        <v>#VALUE!</v>
      </c>
      <c r="IM146" s="672" t="e">
        <f t="shared" si="985"/>
        <v>#REF!</v>
      </c>
      <c r="IN146" s="675" t="e">
        <f t="shared" si="985"/>
        <v>#VALUE!</v>
      </c>
      <c r="IO146" s="672" t="e">
        <f t="shared" si="985"/>
        <v>#VALUE!</v>
      </c>
      <c r="IP146" s="672" t="e">
        <f t="shared" si="985"/>
        <v>#VALUE!</v>
      </c>
      <c r="IQ146" s="672" t="e">
        <f t="shared" si="985"/>
        <v>#VALUE!</v>
      </c>
      <c r="IR146" s="672" t="e">
        <f t="shared" si="985"/>
        <v>#VALUE!</v>
      </c>
      <c r="IS146" s="676" t="e">
        <f t="shared" si="985"/>
        <v>#VALUE!</v>
      </c>
      <c r="IT146" s="688" t="e">
        <f t="shared" si="985"/>
        <v>#DIV/0!</v>
      </c>
      <c r="IU146" s="1538" t="e">
        <f t="shared" si="985"/>
        <v>#DIV/0!</v>
      </c>
      <c r="IV146" s="1539" t="e">
        <f t="shared" si="985"/>
        <v>#DIV/0!</v>
      </c>
      <c r="IW146" s="672" t="e">
        <f t="shared" si="985"/>
        <v>#DIV/0!</v>
      </c>
      <c r="IX146" s="619" t="e">
        <f t="shared" si="985"/>
        <v>#DIV/0!</v>
      </c>
      <c r="IY146" s="619" t="s">
        <v>93</v>
      </c>
      <c r="IZ146" s="38" t="s">
        <v>93</v>
      </c>
      <c r="JA146" s="672" t="e">
        <f t="shared" ref="JA146" si="986">JA145/JA144*100</f>
        <v>#DIV/0!</v>
      </c>
      <c r="JB146" s="619" t="e">
        <f t="shared" ref="JB146:JP146" si="987">JB145/JB144*100</f>
        <v>#DIV/0!</v>
      </c>
      <c r="JC146" s="675" t="e">
        <f t="shared" si="987"/>
        <v>#VALUE!</v>
      </c>
      <c r="JD146" s="672" t="e">
        <f t="shared" si="987"/>
        <v>#VALUE!</v>
      </c>
      <c r="JE146" s="672" t="e">
        <f t="shared" si="987"/>
        <v>#REF!</v>
      </c>
      <c r="JF146" s="675" t="e">
        <f t="shared" si="987"/>
        <v>#VALUE!</v>
      </c>
      <c r="JG146" s="672" t="e">
        <f t="shared" si="987"/>
        <v>#VALUE!</v>
      </c>
      <c r="JH146" s="672" t="e">
        <f t="shared" si="987"/>
        <v>#VALUE!</v>
      </c>
      <c r="JI146" s="672" t="e">
        <f t="shared" si="987"/>
        <v>#VALUE!</v>
      </c>
      <c r="JJ146" s="672" t="e">
        <f t="shared" si="987"/>
        <v>#VALUE!</v>
      </c>
      <c r="JK146" s="676" t="e">
        <f t="shared" si="987"/>
        <v>#VALUE!</v>
      </c>
      <c r="JL146" s="688" t="e">
        <f t="shared" si="987"/>
        <v>#DIV/0!</v>
      </c>
      <c r="JM146" s="1538" t="e">
        <f t="shared" si="987"/>
        <v>#DIV/0!</v>
      </c>
      <c r="JN146" s="1539" t="e">
        <f t="shared" si="987"/>
        <v>#DIV/0!</v>
      </c>
      <c r="JO146" s="672" t="e">
        <f t="shared" si="987"/>
        <v>#DIV/0!</v>
      </c>
      <c r="JP146" s="619" t="e">
        <f t="shared" si="987"/>
        <v>#DIV/0!</v>
      </c>
      <c r="JQ146" s="619" t="s">
        <v>93</v>
      </c>
      <c r="JR146" s="38" t="s">
        <v>93</v>
      </c>
      <c r="JS146" s="672" t="e">
        <f t="shared" ref="JS146" si="988">JS145/JS144*100</f>
        <v>#DIV/0!</v>
      </c>
      <c r="JT146" s="619" t="e">
        <f t="shared" ref="JT146:KH146" si="989">JT145/JT144*100</f>
        <v>#DIV/0!</v>
      </c>
      <c r="JU146" s="675" t="e">
        <f t="shared" si="989"/>
        <v>#VALUE!</v>
      </c>
      <c r="JV146" s="672" t="e">
        <f t="shared" si="989"/>
        <v>#VALUE!</v>
      </c>
      <c r="JW146" s="672" t="e">
        <f t="shared" si="989"/>
        <v>#REF!</v>
      </c>
      <c r="JX146" s="675" t="e">
        <f t="shared" si="989"/>
        <v>#VALUE!</v>
      </c>
      <c r="JY146" s="672" t="e">
        <f t="shared" si="989"/>
        <v>#VALUE!</v>
      </c>
      <c r="JZ146" s="672" t="e">
        <f t="shared" si="989"/>
        <v>#VALUE!</v>
      </c>
      <c r="KA146" s="672" t="e">
        <f t="shared" si="989"/>
        <v>#VALUE!</v>
      </c>
      <c r="KB146" s="672" t="e">
        <f t="shared" si="989"/>
        <v>#VALUE!</v>
      </c>
      <c r="KC146" s="676" t="e">
        <f t="shared" si="989"/>
        <v>#VALUE!</v>
      </c>
      <c r="KD146" s="688" t="e">
        <f t="shared" si="989"/>
        <v>#DIV/0!</v>
      </c>
      <c r="KE146" s="1538" t="e">
        <f t="shared" si="989"/>
        <v>#DIV/0!</v>
      </c>
      <c r="KF146" s="1539" t="e">
        <f t="shared" si="989"/>
        <v>#DIV/0!</v>
      </c>
      <c r="KG146" s="672" t="e">
        <f t="shared" si="989"/>
        <v>#DIV/0!</v>
      </c>
      <c r="KH146" s="619" t="e">
        <f t="shared" si="989"/>
        <v>#DIV/0!</v>
      </c>
      <c r="KI146" s="619" t="s">
        <v>93</v>
      </c>
      <c r="KJ146" s="38" t="s">
        <v>93</v>
      </c>
      <c r="KK146" s="672" t="e">
        <f t="shared" ref="KK146" si="990">KK145/KK144*100</f>
        <v>#DIV/0!</v>
      </c>
      <c r="KL146" s="619" t="e">
        <f t="shared" ref="KL146:KZ146" si="991">KL145/KL144*100</f>
        <v>#DIV/0!</v>
      </c>
      <c r="KM146" s="675" t="e">
        <f t="shared" si="991"/>
        <v>#VALUE!</v>
      </c>
      <c r="KN146" s="672" t="e">
        <f t="shared" si="991"/>
        <v>#VALUE!</v>
      </c>
      <c r="KO146" s="672" t="e">
        <f t="shared" si="991"/>
        <v>#REF!</v>
      </c>
      <c r="KP146" s="675" t="e">
        <f t="shared" si="991"/>
        <v>#VALUE!</v>
      </c>
      <c r="KQ146" s="672" t="e">
        <f t="shared" si="991"/>
        <v>#VALUE!</v>
      </c>
      <c r="KR146" s="672" t="e">
        <f t="shared" si="991"/>
        <v>#VALUE!</v>
      </c>
      <c r="KS146" s="672" t="e">
        <f t="shared" si="991"/>
        <v>#VALUE!</v>
      </c>
      <c r="KT146" s="672" t="e">
        <f t="shared" si="991"/>
        <v>#VALUE!</v>
      </c>
      <c r="KU146" s="676" t="e">
        <f t="shared" si="991"/>
        <v>#VALUE!</v>
      </c>
      <c r="KV146" s="688" t="e">
        <f t="shared" si="991"/>
        <v>#DIV/0!</v>
      </c>
      <c r="KW146" s="1538" t="e">
        <f t="shared" si="991"/>
        <v>#DIV/0!</v>
      </c>
      <c r="KX146" s="1539" t="e">
        <f t="shared" si="991"/>
        <v>#DIV/0!</v>
      </c>
      <c r="KY146" s="672" t="e">
        <f t="shared" si="991"/>
        <v>#DIV/0!</v>
      </c>
      <c r="KZ146" s="619" t="e">
        <f t="shared" si="991"/>
        <v>#DIV/0!</v>
      </c>
      <c r="LA146" s="619" t="s">
        <v>93</v>
      </c>
      <c r="LB146" s="38" t="s">
        <v>93</v>
      </c>
      <c r="LC146" s="672" t="e">
        <f t="shared" ref="LC146" si="992">LC145/LC144*100</f>
        <v>#DIV/0!</v>
      </c>
      <c r="LD146" s="619" t="e">
        <f t="shared" ref="LD146:LR146" si="993">LD145/LD144*100</f>
        <v>#DIV/0!</v>
      </c>
      <c r="LE146" s="675" t="e">
        <f t="shared" si="993"/>
        <v>#VALUE!</v>
      </c>
      <c r="LF146" s="672" t="e">
        <f t="shared" si="993"/>
        <v>#VALUE!</v>
      </c>
      <c r="LG146" s="672" t="e">
        <f t="shared" si="993"/>
        <v>#REF!</v>
      </c>
      <c r="LH146" s="675" t="e">
        <f t="shared" si="993"/>
        <v>#VALUE!</v>
      </c>
      <c r="LI146" s="672" t="e">
        <f t="shared" si="993"/>
        <v>#VALUE!</v>
      </c>
      <c r="LJ146" s="672" t="e">
        <f t="shared" si="993"/>
        <v>#VALUE!</v>
      </c>
      <c r="LK146" s="672" t="e">
        <f t="shared" si="993"/>
        <v>#VALUE!</v>
      </c>
      <c r="LL146" s="672" t="e">
        <f t="shared" si="993"/>
        <v>#VALUE!</v>
      </c>
      <c r="LM146" s="676" t="e">
        <f t="shared" si="993"/>
        <v>#VALUE!</v>
      </c>
      <c r="LN146" s="688" t="e">
        <f t="shared" si="993"/>
        <v>#DIV/0!</v>
      </c>
      <c r="LO146" s="1538" t="e">
        <f t="shared" si="993"/>
        <v>#DIV/0!</v>
      </c>
      <c r="LP146" s="1539" t="e">
        <f t="shared" si="993"/>
        <v>#DIV/0!</v>
      </c>
      <c r="LQ146" s="672" t="e">
        <f t="shared" si="993"/>
        <v>#DIV/0!</v>
      </c>
      <c r="LR146" s="619" t="e">
        <f t="shared" si="993"/>
        <v>#DIV/0!</v>
      </c>
      <c r="LS146" s="619" t="s">
        <v>93</v>
      </c>
      <c r="LT146" s="38" t="s">
        <v>93</v>
      </c>
      <c r="LU146" s="672" t="e">
        <f t="shared" ref="LU146" si="994">LU145/LU144*100</f>
        <v>#DIV/0!</v>
      </c>
      <c r="LV146" s="619" t="e">
        <f t="shared" ref="LV146:MJ146" si="995">LV145/LV144*100</f>
        <v>#DIV/0!</v>
      </c>
      <c r="LW146" s="675" t="e">
        <f t="shared" si="995"/>
        <v>#VALUE!</v>
      </c>
      <c r="LX146" s="672" t="e">
        <f t="shared" si="995"/>
        <v>#VALUE!</v>
      </c>
      <c r="LY146" s="672" t="e">
        <f t="shared" si="995"/>
        <v>#REF!</v>
      </c>
      <c r="LZ146" s="675" t="e">
        <f t="shared" si="995"/>
        <v>#VALUE!</v>
      </c>
      <c r="MA146" s="672" t="e">
        <f t="shared" si="995"/>
        <v>#VALUE!</v>
      </c>
      <c r="MB146" s="672" t="e">
        <f t="shared" si="995"/>
        <v>#VALUE!</v>
      </c>
      <c r="MC146" s="672" t="e">
        <f t="shared" si="995"/>
        <v>#VALUE!</v>
      </c>
      <c r="MD146" s="672" t="e">
        <f t="shared" si="995"/>
        <v>#VALUE!</v>
      </c>
      <c r="ME146" s="676" t="e">
        <f t="shared" si="995"/>
        <v>#VALUE!</v>
      </c>
      <c r="MF146" s="688" t="e">
        <f t="shared" si="995"/>
        <v>#DIV/0!</v>
      </c>
      <c r="MG146" s="1538" t="e">
        <f t="shared" si="995"/>
        <v>#DIV/0!</v>
      </c>
      <c r="MH146" s="1539" t="e">
        <f t="shared" si="995"/>
        <v>#DIV/0!</v>
      </c>
      <c r="MI146" s="672" t="e">
        <f t="shared" si="995"/>
        <v>#DIV/0!</v>
      </c>
      <c r="MJ146" s="619" t="e">
        <f t="shared" si="995"/>
        <v>#DIV/0!</v>
      </c>
      <c r="MK146" s="619" t="s">
        <v>93</v>
      </c>
      <c r="ML146" s="38" t="s">
        <v>93</v>
      </c>
      <c r="MM146" s="672" t="e">
        <f t="shared" ref="MM146" si="996">MM145/MM144*100</f>
        <v>#DIV/0!</v>
      </c>
      <c r="MN146" s="619" t="e">
        <f t="shared" ref="MN146:NB146" si="997">MN145/MN144*100</f>
        <v>#DIV/0!</v>
      </c>
      <c r="MO146" s="675" t="e">
        <f t="shared" si="997"/>
        <v>#VALUE!</v>
      </c>
      <c r="MP146" s="672" t="e">
        <f t="shared" si="997"/>
        <v>#VALUE!</v>
      </c>
      <c r="MQ146" s="672" t="e">
        <f t="shared" si="997"/>
        <v>#REF!</v>
      </c>
      <c r="MR146" s="675" t="e">
        <f t="shared" si="997"/>
        <v>#VALUE!</v>
      </c>
      <c r="MS146" s="672" t="e">
        <f t="shared" si="997"/>
        <v>#VALUE!</v>
      </c>
      <c r="MT146" s="672" t="e">
        <f t="shared" si="997"/>
        <v>#VALUE!</v>
      </c>
      <c r="MU146" s="672" t="e">
        <f t="shared" si="997"/>
        <v>#VALUE!</v>
      </c>
      <c r="MV146" s="672" t="e">
        <f t="shared" si="997"/>
        <v>#VALUE!</v>
      </c>
      <c r="MW146" s="676" t="e">
        <f t="shared" si="997"/>
        <v>#VALUE!</v>
      </c>
      <c r="MX146" s="688" t="e">
        <f t="shared" si="997"/>
        <v>#DIV/0!</v>
      </c>
      <c r="MY146" s="1538" t="e">
        <f t="shared" si="997"/>
        <v>#DIV/0!</v>
      </c>
      <c r="MZ146" s="1539" t="e">
        <f t="shared" si="997"/>
        <v>#DIV/0!</v>
      </c>
      <c r="NA146" s="672" t="e">
        <f t="shared" si="997"/>
        <v>#DIV/0!</v>
      </c>
      <c r="NB146" s="619" t="e">
        <f t="shared" si="997"/>
        <v>#DIV/0!</v>
      </c>
      <c r="NC146" s="619" t="s">
        <v>93</v>
      </c>
      <c r="ND146" s="38" t="s">
        <v>93</v>
      </c>
      <c r="NE146" s="672" t="e">
        <f t="shared" ref="NE146" si="998">NE145/NE144*100</f>
        <v>#DIV/0!</v>
      </c>
      <c r="NF146" s="619" t="e">
        <f t="shared" ref="NF146:NT146" si="999">NF145/NF144*100</f>
        <v>#DIV/0!</v>
      </c>
      <c r="NG146" s="675" t="e">
        <f t="shared" si="999"/>
        <v>#VALUE!</v>
      </c>
      <c r="NH146" s="672" t="e">
        <f t="shared" si="999"/>
        <v>#VALUE!</v>
      </c>
      <c r="NI146" s="672" t="e">
        <f t="shared" si="999"/>
        <v>#REF!</v>
      </c>
      <c r="NJ146" s="675" t="e">
        <f t="shared" si="999"/>
        <v>#VALUE!</v>
      </c>
      <c r="NK146" s="672" t="e">
        <f t="shared" si="999"/>
        <v>#VALUE!</v>
      </c>
      <c r="NL146" s="672" t="e">
        <f t="shared" si="999"/>
        <v>#VALUE!</v>
      </c>
      <c r="NM146" s="672" t="e">
        <f t="shared" si="999"/>
        <v>#VALUE!</v>
      </c>
      <c r="NN146" s="672" t="e">
        <f t="shared" si="999"/>
        <v>#VALUE!</v>
      </c>
      <c r="NO146" s="676" t="e">
        <f t="shared" si="999"/>
        <v>#VALUE!</v>
      </c>
      <c r="NP146" s="688">
        <f t="shared" si="999"/>
        <v>1.2678361194868812</v>
      </c>
      <c r="NQ146" s="1538">
        <f t="shared" si="999"/>
        <v>1.9875232748055915</v>
      </c>
      <c r="NR146" s="1539">
        <f t="shared" si="999"/>
        <v>0.22590745465100923</v>
      </c>
      <c r="NS146" s="672">
        <f t="shared" si="999"/>
        <v>-1.6738987990091523</v>
      </c>
      <c r="NT146" s="619">
        <f t="shared" si="999"/>
        <v>0</v>
      </c>
      <c r="NU146" s="619" t="s">
        <v>93</v>
      </c>
      <c r="NV146" s="38" t="s">
        <v>93</v>
      </c>
      <c r="NW146" s="672">
        <f t="shared" ref="NW146" si="1000">NW145/NW144*100</f>
        <v>-1.6738987990091523</v>
      </c>
      <c r="NX146" s="619">
        <f t="shared" ref="NX146:OL146" si="1001">NX145/NX144*100</f>
        <v>0.30775605396474259</v>
      </c>
      <c r="NY146" s="675">
        <f t="shared" si="1001"/>
        <v>-1.7747466596321524</v>
      </c>
      <c r="NZ146" s="672">
        <f t="shared" si="1001"/>
        <v>-1.7734405854964954</v>
      </c>
      <c r="OA146" s="672" t="e">
        <f t="shared" si="1001"/>
        <v>#REF!</v>
      </c>
      <c r="OB146" s="675">
        <f t="shared" si="1001"/>
        <v>1.7734405854964961</v>
      </c>
      <c r="OC146" s="672">
        <f t="shared" si="1001"/>
        <v>1.7734405854964952</v>
      </c>
      <c r="OD146" s="672">
        <f t="shared" si="1001"/>
        <v>1.773440585496497</v>
      </c>
      <c r="OE146" s="672">
        <f t="shared" si="1001"/>
        <v>1.7734405854964954</v>
      </c>
      <c r="OF146" s="672">
        <f t="shared" si="1001"/>
        <v>1.7734405854964954</v>
      </c>
      <c r="OG146" s="676">
        <f t="shared" si="1001"/>
        <v>1.7734405854964965</v>
      </c>
      <c r="OH146" s="688" t="e">
        <f t="shared" si="1001"/>
        <v>#DIV/0!</v>
      </c>
      <c r="OI146" s="1538" t="e">
        <f t="shared" si="1001"/>
        <v>#DIV/0!</v>
      </c>
      <c r="OJ146" s="1539" t="e">
        <f t="shared" si="1001"/>
        <v>#DIV/0!</v>
      </c>
      <c r="OK146" s="672" t="e">
        <f t="shared" si="1001"/>
        <v>#DIV/0!</v>
      </c>
      <c r="OL146" s="619" t="e">
        <f t="shared" si="1001"/>
        <v>#DIV/0!</v>
      </c>
      <c r="OM146" s="619" t="s">
        <v>93</v>
      </c>
      <c r="ON146" s="38" t="s">
        <v>93</v>
      </c>
      <c r="OO146" s="672" t="e">
        <f t="shared" ref="OO146" si="1002">OO145/OO144*100</f>
        <v>#DIV/0!</v>
      </c>
      <c r="OP146" s="619" t="e">
        <f t="shared" ref="OP146:PD146" si="1003">OP145/OP144*100</f>
        <v>#DIV/0!</v>
      </c>
      <c r="OQ146" s="675" t="e">
        <f t="shared" si="1003"/>
        <v>#VALUE!</v>
      </c>
      <c r="OR146" s="672" t="e">
        <f t="shared" si="1003"/>
        <v>#VALUE!</v>
      </c>
      <c r="OS146" s="672" t="e">
        <f t="shared" si="1003"/>
        <v>#REF!</v>
      </c>
      <c r="OT146" s="675" t="e">
        <f t="shared" si="1003"/>
        <v>#VALUE!</v>
      </c>
      <c r="OU146" s="672" t="e">
        <f t="shared" si="1003"/>
        <v>#VALUE!</v>
      </c>
      <c r="OV146" s="672" t="e">
        <f t="shared" si="1003"/>
        <v>#VALUE!</v>
      </c>
      <c r="OW146" s="672" t="e">
        <f t="shared" si="1003"/>
        <v>#VALUE!</v>
      </c>
      <c r="OX146" s="672" t="e">
        <f t="shared" si="1003"/>
        <v>#VALUE!</v>
      </c>
      <c r="OY146" s="676" t="e">
        <f t="shared" si="1003"/>
        <v>#VALUE!</v>
      </c>
      <c r="OZ146" s="688">
        <f t="shared" si="1003"/>
        <v>1.0196152446959408</v>
      </c>
      <c r="PA146" s="1538">
        <f t="shared" si="1003"/>
        <v>1.7788849841171006</v>
      </c>
      <c r="PB146" s="1539">
        <f t="shared" si="1003"/>
        <v>0.21552748128594465</v>
      </c>
      <c r="PC146" s="672">
        <f t="shared" si="1003"/>
        <v>-1.1487574062112325</v>
      </c>
      <c r="PD146" s="619">
        <f t="shared" si="1003"/>
        <v>0</v>
      </c>
      <c r="PE146" s="619" t="s">
        <v>93</v>
      </c>
      <c r="PF146" s="38" t="s">
        <v>93</v>
      </c>
      <c r="PG146" s="672">
        <f t="shared" ref="PG146" si="1004">PG145/PG144*100</f>
        <v>-1.1487574062112358</v>
      </c>
      <c r="PH146" s="619">
        <f t="shared" ref="PH146:PV146" si="1005">PH145/PH144*100</f>
        <v>0.28483495758076527</v>
      </c>
      <c r="PI146" s="675">
        <f t="shared" si="1005"/>
        <v>-1.3843233146494889</v>
      </c>
      <c r="PJ146" s="672">
        <f t="shared" si="1005"/>
        <v>-1.3853702334620532</v>
      </c>
      <c r="PK146" s="672" t="e">
        <f t="shared" si="1005"/>
        <v>#REF!</v>
      </c>
      <c r="PL146" s="675">
        <f t="shared" si="1005"/>
        <v>1.3853702334620546</v>
      </c>
      <c r="PM146" s="672">
        <f t="shared" si="1005"/>
        <v>1.3853702334620517</v>
      </c>
      <c r="PN146" s="672">
        <f t="shared" si="1005"/>
        <v>1.3853702334620541</v>
      </c>
      <c r="PO146" s="672">
        <f t="shared" si="1005"/>
        <v>1.3853702334620555</v>
      </c>
      <c r="PP146" s="672">
        <f t="shared" si="1005"/>
        <v>1.3853702334620555</v>
      </c>
      <c r="PQ146" s="676">
        <f t="shared" si="1005"/>
        <v>1.3853702334620532</v>
      </c>
      <c r="PR146" s="688" t="e">
        <f t="shared" si="1005"/>
        <v>#DIV/0!</v>
      </c>
      <c r="PS146" s="1538" t="e">
        <f t="shared" si="1005"/>
        <v>#DIV/0!</v>
      </c>
      <c r="PT146" s="1539" t="e">
        <f t="shared" si="1005"/>
        <v>#DIV/0!</v>
      </c>
      <c r="PU146" s="672" t="e">
        <f t="shared" si="1005"/>
        <v>#DIV/0!</v>
      </c>
      <c r="PV146" s="619" t="e">
        <f t="shared" si="1005"/>
        <v>#DIV/0!</v>
      </c>
      <c r="PW146" s="619" t="s">
        <v>93</v>
      </c>
      <c r="PX146" s="38" t="s">
        <v>93</v>
      </c>
      <c r="PY146" s="672" t="e">
        <f t="shared" ref="PY146" si="1006">PY145/PY144*100</f>
        <v>#DIV/0!</v>
      </c>
      <c r="PZ146" s="619" t="e">
        <f t="shared" ref="PZ146:QN146" si="1007">PZ145/PZ144*100</f>
        <v>#DIV/0!</v>
      </c>
      <c r="QA146" s="675" t="e">
        <f t="shared" si="1007"/>
        <v>#VALUE!</v>
      </c>
      <c r="QB146" s="672" t="e">
        <f t="shared" si="1007"/>
        <v>#VALUE!</v>
      </c>
      <c r="QC146" s="672" t="e">
        <f t="shared" si="1007"/>
        <v>#REF!</v>
      </c>
      <c r="QD146" s="675" t="e">
        <f t="shared" si="1007"/>
        <v>#VALUE!</v>
      </c>
      <c r="QE146" s="672" t="e">
        <f t="shared" si="1007"/>
        <v>#VALUE!</v>
      </c>
      <c r="QF146" s="672" t="e">
        <f t="shared" si="1007"/>
        <v>#VALUE!</v>
      </c>
      <c r="QG146" s="672" t="e">
        <f t="shared" si="1007"/>
        <v>#VALUE!</v>
      </c>
      <c r="QH146" s="672" t="e">
        <f t="shared" si="1007"/>
        <v>#VALUE!</v>
      </c>
      <c r="QI146" s="676" t="e">
        <f t="shared" si="1007"/>
        <v>#VALUE!</v>
      </c>
      <c r="QJ146" s="688" t="e">
        <f t="shared" si="1007"/>
        <v>#DIV/0!</v>
      </c>
      <c r="QK146" s="1538" t="e">
        <f t="shared" si="1007"/>
        <v>#DIV/0!</v>
      </c>
      <c r="QL146" s="1539" t="e">
        <f t="shared" si="1007"/>
        <v>#DIV/0!</v>
      </c>
      <c r="QM146" s="672" t="e">
        <f t="shared" si="1007"/>
        <v>#DIV/0!</v>
      </c>
      <c r="QN146" s="619" t="e">
        <f t="shared" si="1007"/>
        <v>#DIV/0!</v>
      </c>
      <c r="QO146" s="619" t="s">
        <v>93</v>
      </c>
      <c r="QP146" s="38" t="s">
        <v>93</v>
      </c>
      <c r="QQ146" s="672" t="e">
        <f t="shared" ref="QQ146" si="1008">QQ145/QQ144*100</f>
        <v>#DIV/0!</v>
      </c>
      <c r="QR146" s="619" t="e">
        <f t="shared" ref="QR146:RF146" si="1009">QR145/QR144*100</f>
        <v>#DIV/0!</v>
      </c>
      <c r="QS146" s="675" t="e">
        <f t="shared" si="1009"/>
        <v>#VALUE!</v>
      </c>
      <c r="QT146" s="672" t="e">
        <f t="shared" si="1009"/>
        <v>#VALUE!</v>
      </c>
      <c r="QU146" s="672" t="e">
        <f t="shared" si="1009"/>
        <v>#REF!</v>
      </c>
      <c r="QV146" s="675" t="e">
        <f t="shared" si="1009"/>
        <v>#VALUE!</v>
      </c>
      <c r="QW146" s="672" t="e">
        <f t="shared" si="1009"/>
        <v>#VALUE!</v>
      </c>
      <c r="QX146" s="672" t="e">
        <f t="shared" si="1009"/>
        <v>#VALUE!</v>
      </c>
      <c r="QY146" s="672" t="e">
        <f t="shared" si="1009"/>
        <v>#VALUE!</v>
      </c>
      <c r="QZ146" s="672" t="e">
        <f t="shared" si="1009"/>
        <v>#VALUE!</v>
      </c>
      <c r="RA146" s="676" t="e">
        <f t="shared" si="1009"/>
        <v>#VALUE!</v>
      </c>
      <c r="RB146" s="688" t="e">
        <f t="shared" si="1009"/>
        <v>#DIV/0!</v>
      </c>
      <c r="RC146" s="1538" t="e">
        <f t="shared" si="1009"/>
        <v>#DIV/0!</v>
      </c>
      <c r="RD146" s="1539" t="e">
        <f t="shared" si="1009"/>
        <v>#DIV/0!</v>
      </c>
      <c r="RE146" s="672" t="e">
        <f t="shared" si="1009"/>
        <v>#DIV/0!</v>
      </c>
      <c r="RF146" s="619" t="e">
        <f t="shared" si="1009"/>
        <v>#DIV/0!</v>
      </c>
      <c r="RG146" s="619" t="s">
        <v>93</v>
      </c>
      <c r="RH146" s="38" t="s">
        <v>93</v>
      </c>
      <c r="RI146" s="672" t="e">
        <f t="shared" ref="RI146" si="1010">RI145/RI144*100</f>
        <v>#DIV/0!</v>
      </c>
      <c r="RJ146" s="619" t="e">
        <f t="shared" ref="RJ146:RX146" si="1011">RJ145/RJ144*100</f>
        <v>#DIV/0!</v>
      </c>
      <c r="RK146" s="675" t="e">
        <f t="shared" si="1011"/>
        <v>#VALUE!</v>
      </c>
      <c r="RL146" s="672" t="e">
        <f t="shared" si="1011"/>
        <v>#VALUE!</v>
      </c>
      <c r="RM146" s="672" t="e">
        <f t="shared" si="1011"/>
        <v>#REF!</v>
      </c>
      <c r="RN146" s="675" t="e">
        <f t="shared" si="1011"/>
        <v>#VALUE!</v>
      </c>
      <c r="RO146" s="672" t="e">
        <f t="shared" si="1011"/>
        <v>#VALUE!</v>
      </c>
      <c r="RP146" s="672" t="e">
        <f t="shared" si="1011"/>
        <v>#VALUE!</v>
      </c>
      <c r="RQ146" s="672" t="e">
        <f t="shared" si="1011"/>
        <v>#VALUE!</v>
      </c>
      <c r="RR146" s="672" t="e">
        <f t="shared" si="1011"/>
        <v>#VALUE!</v>
      </c>
      <c r="RS146" s="676" t="e">
        <f t="shared" si="1011"/>
        <v>#VALUE!</v>
      </c>
      <c r="RT146" s="688" t="e">
        <f t="shared" si="1011"/>
        <v>#DIV/0!</v>
      </c>
      <c r="RU146" s="1538" t="e">
        <f t="shared" si="1011"/>
        <v>#DIV/0!</v>
      </c>
      <c r="RV146" s="619" t="e">
        <f t="shared" si="1011"/>
        <v>#DIV/0!</v>
      </c>
      <c r="RW146" s="674" t="e">
        <f t="shared" si="1011"/>
        <v>#DIV/0!</v>
      </c>
      <c r="RX146" s="619" t="e">
        <f t="shared" si="1011"/>
        <v>#DIV/0!</v>
      </c>
      <c r="RY146" s="619" t="s">
        <v>93</v>
      </c>
      <c r="RZ146" s="38" t="s">
        <v>93</v>
      </c>
      <c r="SA146" s="672" t="e">
        <f t="shared" ref="SA146" si="1012">SA145/SA144*100</f>
        <v>#DIV/0!</v>
      </c>
      <c r="SB146" s="619" t="e">
        <f t="shared" ref="SB146:SP146" si="1013">SB145/SB144*100</f>
        <v>#DIV/0!</v>
      </c>
      <c r="SC146" s="675" t="e">
        <f t="shared" si="1013"/>
        <v>#VALUE!</v>
      </c>
      <c r="SD146" s="672" t="e">
        <f t="shared" si="1013"/>
        <v>#VALUE!</v>
      </c>
      <c r="SE146" s="672" t="e">
        <f t="shared" si="1013"/>
        <v>#REF!</v>
      </c>
      <c r="SF146" s="675" t="e">
        <f t="shared" si="1013"/>
        <v>#VALUE!</v>
      </c>
      <c r="SG146" s="672" t="e">
        <f t="shared" si="1013"/>
        <v>#VALUE!</v>
      </c>
      <c r="SH146" s="672" t="e">
        <f t="shared" si="1013"/>
        <v>#VALUE!</v>
      </c>
      <c r="SI146" s="672" t="e">
        <f t="shared" si="1013"/>
        <v>#VALUE!</v>
      </c>
      <c r="SJ146" s="672" t="e">
        <f t="shared" si="1013"/>
        <v>#VALUE!</v>
      </c>
      <c r="SK146" s="676" t="e">
        <f t="shared" si="1013"/>
        <v>#VALUE!</v>
      </c>
      <c r="SL146" s="688">
        <f t="shared" si="1013"/>
        <v>1.00292507142662</v>
      </c>
      <c r="SM146" s="1538">
        <f t="shared" si="1013"/>
        <v>2.0189223359526047</v>
      </c>
      <c r="SN146" s="1539">
        <f t="shared" si="1013"/>
        <v>0.19904164539648669</v>
      </c>
      <c r="SO146" s="672">
        <f t="shared" si="1013"/>
        <v>-6.9837706783856524</v>
      </c>
      <c r="SP146" s="619">
        <f t="shared" si="1013"/>
        <v>0</v>
      </c>
      <c r="SQ146" s="619" t="s">
        <v>93</v>
      </c>
      <c r="SR146" s="38" t="s">
        <v>93</v>
      </c>
      <c r="SS146" s="672">
        <f t="shared" ref="SS146" si="1014">SS145/SS144*100</f>
        <v>-6.9837706783856524</v>
      </c>
      <c r="ST146" s="619">
        <f t="shared" ref="ST146:TH146" si="1015">ST145/ST144*100</f>
        <v>0.26677709690811074</v>
      </c>
      <c r="SU146" s="675">
        <f t="shared" si="1015"/>
        <v>-7.0902011736232575</v>
      </c>
      <c r="SV146" s="672">
        <f t="shared" si="1015"/>
        <v>-7.1520600713437856</v>
      </c>
      <c r="SW146" s="672" t="e">
        <f t="shared" si="1015"/>
        <v>#REF!</v>
      </c>
      <c r="SX146" s="675">
        <f t="shared" si="1015"/>
        <v>7.152060071343783</v>
      </c>
      <c r="SY146" s="672">
        <f t="shared" si="1015"/>
        <v>7.1520600713437767</v>
      </c>
      <c r="SZ146" s="672">
        <f t="shared" si="1015"/>
        <v>7.1520600713437785</v>
      </c>
      <c r="TA146" s="672">
        <f t="shared" si="1015"/>
        <v>7.1520600713437794</v>
      </c>
      <c r="TB146" s="672">
        <f t="shared" si="1015"/>
        <v>7.1520600713437794</v>
      </c>
      <c r="TC146" s="676">
        <f t="shared" si="1015"/>
        <v>7.1520600713437759</v>
      </c>
      <c r="TD146" s="688">
        <f t="shared" si="1015"/>
        <v>0.98319874886596603</v>
      </c>
      <c r="TE146" s="1538">
        <f t="shared" si="1015"/>
        <v>2.7692309290940109</v>
      </c>
      <c r="TF146" s="1539">
        <f t="shared" si="1015"/>
        <v>0.14219977904327119</v>
      </c>
      <c r="TG146" s="672">
        <f t="shared" si="1015"/>
        <v>-0.38513441241097868</v>
      </c>
      <c r="TH146" s="619">
        <f t="shared" si="1015"/>
        <v>0</v>
      </c>
      <c r="TI146" s="619" t="s">
        <v>93</v>
      </c>
      <c r="TJ146" s="38" t="s">
        <v>93</v>
      </c>
      <c r="TK146" s="672">
        <f t="shared" ref="TK146" si="1016">TK145/TK144*100</f>
        <v>-0.38513441241098223</v>
      </c>
      <c r="TL146" s="619">
        <f t="shared" ref="TL146:TZ146" si="1017">TL145/TL144*100</f>
        <v>0.20875988202851717</v>
      </c>
      <c r="TM146" s="675">
        <f t="shared" si="1017"/>
        <v>-0.49634545038092992</v>
      </c>
      <c r="TN146" s="672">
        <f t="shared" si="1017"/>
        <v>-0.49638139290174066</v>
      </c>
      <c r="TO146" s="672" t="e">
        <f t="shared" si="1017"/>
        <v>#REF!</v>
      </c>
      <c r="TP146" s="675">
        <f t="shared" si="1017"/>
        <v>0.49638139290173944</v>
      </c>
      <c r="TQ146" s="672">
        <f t="shared" si="1017"/>
        <v>0.49638139290173761</v>
      </c>
      <c r="TR146" s="672">
        <f t="shared" si="1017"/>
        <v>0.49638139290174127</v>
      </c>
      <c r="TS146" s="672">
        <f t="shared" si="1017"/>
        <v>0.49638139290173849</v>
      </c>
      <c r="TT146" s="672">
        <f t="shared" si="1017"/>
        <v>0.49638139290173849</v>
      </c>
      <c r="TU146" s="676">
        <f t="shared" si="1017"/>
        <v>0.49638139290174071</v>
      </c>
      <c r="TV146" s="688" t="e">
        <f t="shared" si="1017"/>
        <v>#DIV/0!</v>
      </c>
      <c r="TW146" s="1538" t="e">
        <f t="shared" si="1017"/>
        <v>#DIV/0!</v>
      </c>
      <c r="TX146" s="1539" t="e">
        <f t="shared" si="1017"/>
        <v>#DIV/0!</v>
      </c>
      <c r="TY146" s="672" t="e">
        <f t="shared" si="1017"/>
        <v>#DIV/0!</v>
      </c>
      <c r="TZ146" s="619" t="e">
        <f t="shared" si="1017"/>
        <v>#DIV/0!</v>
      </c>
      <c r="UA146" s="619" t="s">
        <v>93</v>
      </c>
      <c r="UB146" s="38" t="s">
        <v>93</v>
      </c>
      <c r="UC146" s="672" t="e">
        <f t="shared" ref="UC146" si="1018">UC145/UC144*100</f>
        <v>#DIV/0!</v>
      </c>
      <c r="UD146" s="619" t="e">
        <f t="shared" ref="UD146:UR146" si="1019">UD145/UD144*100</f>
        <v>#DIV/0!</v>
      </c>
      <c r="UE146" s="675" t="e">
        <f t="shared" si="1019"/>
        <v>#VALUE!</v>
      </c>
      <c r="UF146" s="672" t="e">
        <f t="shared" si="1019"/>
        <v>#VALUE!</v>
      </c>
      <c r="UG146" s="672" t="e">
        <f t="shared" si="1019"/>
        <v>#REF!</v>
      </c>
      <c r="UH146" s="675" t="e">
        <f t="shared" si="1019"/>
        <v>#VALUE!</v>
      </c>
      <c r="UI146" s="672" t="e">
        <f t="shared" si="1019"/>
        <v>#VALUE!</v>
      </c>
      <c r="UJ146" s="672" t="e">
        <f t="shared" si="1019"/>
        <v>#VALUE!</v>
      </c>
      <c r="UK146" s="672" t="e">
        <f t="shared" si="1019"/>
        <v>#VALUE!</v>
      </c>
      <c r="UL146" s="672" t="e">
        <f t="shared" si="1019"/>
        <v>#VALUE!</v>
      </c>
      <c r="UM146" s="676" t="e">
        <f t="shared" si="1019"/>
        <v>#VALUE!</v>
      </c>
      <c r="UN146" s="688">
        <f t="shared" si="1019"/>
        <v>1.1110617049103568</v>
      </c>
      <c r="UO146" s="1538">
        <f t="shared" si="1019"/>
        <v>3.1368089325189565</v>
      </c>
      <c r="UP146" s="1539">
        <f t="shared" si="1019"/>
        <v>0.13186575785507557</v>
      </c>
      <c r="UQ146" s="672">
        <f t="shared" si="1019"/>
        <v>-3.3671751485073718</v>
      </c>
      <c r="UR146" s="619">
        <f t="shared" si="1019"/>
        <v>0</v>
      </c>
      <c r="US146" s="619" t="s">
        <v>93</v>
      </c>
      <c r="UT146" s="38" t="s">
        <v>93</v>
      </c>
      <c r="UU146" s="672">
        <f t="shared" ref="UU146" si="1020">UU145/UU144*100</f>
        <v>-3.3671751485073718</v>
      </c>
      <c r="UV146" s="619">
        <f t="shared" ref="UV146:VE146" si="1021">UV145/UV144*100</f>
        <v>0.20716500760398138</v>
      </c>
      <c r="UW146" s="675">
        <f t="shared" si="1021"/>
        <v>-3.4105993697100954</v>
      </c>
      <c r="UX146" s="672">
        <f t="shared" si="1021"/>
        <v>-3.4121955369930212</v>
      </c>
      <c r="UY146" s="672" t="e">
        <f t="shared" si="1021"/>
        <v>#REF!</v>
      </c>
      <c r="UZ146" s="675">
        <f t="shared" si="1021"/>
        <v>3.4121955369930186</v>
      </c>
      <c r="VA146" s="672">
        <f t="shared" si="1021"/>
        <v>3.4121955369930177</v>
      </c>
      <c r="VB146" s="672">
        <f t="shared" si="1021"/>
        <v>3.4121955369930199</v>
      </c>
      <c r="VC146" s="672">
        <f t="shared" si="1021"/>
        <v>3.4121955369930195</v>
      </c>
      <c r="VD146" s="672">
        <f t="shared" si="1021"/>
        <v>3.4121955369930195</v>
      </c>
      <c r="VE146" s="676">
        <f t="shared" si="1021"/>
        <v>3.4121955369930195</v>
      </c>
    </row>
    <row r="147" spans="1:577" ht="15.75" thickBot="1" x14ac:dyDescent="0.3">
      <c r="A147" s="1541" t="s">
        <v>1059</v>
      </c>
      <c r="B147" s="699"/>
      <c r="C147" s="700"/>
      <c r="D147" s="700"/>
      <c r="E147" s="604"/>
      <c r="F147" s="700"/>
      <c r="G147" s="700"/>
      <c r="H147" s="700"/>
      <c r="I147" s="604"/>
      <c r="J147" s="700"/>
      <c r="K147" s="698"/>
      <c r="L147" s="604"/>
      <c r="M147" s="604"/>
      <c r="N147" s="697"/>
      <c r="O147" s="604"/>
      <c r="P147" s="19"/>
      <c r="Q147" s="604"/>
      <c r="R147" s="604"/>
      <c r="S147" s="607"/>
      <c r="T147" s="1535"/>
      <c r="U147" s="1535"/>
      <c r="V147" s="1536"/>
      <c r="W147" s="604"/>
      <c r="X147" s="700"/>
      <c r="Y147" s="700"/>
      <c r="Z147" s="700"/>
      <c r="AA147" s="604"/>
      <c r="AB147" s="700"/>
      <c r="AC147" s="698"/>
      <c r="AD147" s="604"/>
      <c r="AE147" s="604"/>
      <c r="AF147" s="697"/>
      <c r="AG147" s="604"/>
      <c r="AH147" s="604"/>
      <c r="AI147" s="604"/>
      <c r="AJ147" s="604"/>
      <c r="AK147" s="607"/>
      <c r="AL147" s="1535"/>
      <c r="AM147" s="1535"/>
      <c r="AN147" s="1536"/>
      <c r="AO147" s="604"/>
      <c r="AP147" s="700"/>
      <c r="AQ147" s="700"/>
      <c r="AR147" s="700"/>
      <c r="AS147" s="604"/>
      <c r="AT147" s="700"/>
      <c r="AU147" s="698"/>
      <c r="AV147" s="604"/>
      <c r="AW147" s="604"/>
      <c r="AX147" s="697"/>
      <c r="AY147" s="604"/>
      <c r="AZ147" s="604"/>
      <c r="BA147" s="604"/>
      <c r="BB147" s="604"/>
      <c r="BC147" s="607"/>
      <c r="BD147" s="699"/>
      <c r="BE147" s="1535"/>
      <c r="BF147" s="1536"/>
      <c r="BG147" s="604"/>
      <c r="BH147" s="700"/>
      <c r="BI147" s="700"/>
      <c r="BJ147" s="700"/>
      <c r="BK147" s="604"/>
      <c r="BL147" s="700"/>
      <c r="BM147" s="698"/>
      <c r="BN147" s="604"/>
      <c r="BO147" s="604"/>
      <c r="BP147" s="697"/>
      <c r="BQ147" s="604"/>
      <c r="BR147" s="19"/>
      <c r="BS147" s="604"/>
      <c r="BT147" s="604"/>
      <c r="BU147" s="607"/>
      <c r="BV147" s="699"/>
      <c r="BW147" s="1535"/>
      <c r="BX147" s="1536"/>
      <c r="BY147" s="604"/>
      <c r="BZ147" s="700"/>
      <c r="CA147" s="700"/>
      <c r="CB147" s="700"/>
      <c r="CC147" s="604"/>
      <c r="CD147" s="700"/>
      <c r="CE147" s="698"/>
      <c r="CF147" s="604"/>
      <c r="CG147" s="604"/>
      <c r="CH147" s="697"/>
      <c r="CI147" s="604"/>
      <c r="CJ147" s="19"/>
      <c r="CK147" s="604"/>
      <c r="CL147" s="604"/>
      <c r="CM147" s="607"/>
      <c r="CN147" s="699"/>
      <c r="CO147" s="1535"/>
      <c r="CP147" s="1536"/>
      <c r="CQ147" s="604"/>
      <c r="CR147" s="700"/>
      <c r="CS147" s="700"/>
      <c r="CT147" s="700"/>
      <c r="CU147" s="604"/>
      <c r="CV147" s="700"/>
      <c r="CW147" s="698"/>
      <c r="CX147" s="604"/>
      <c r="CY147" s="604"/>
      <c r="CZ147" s="697"/>
      <c r="DA147" s="604"/>
      <c r="DB147" s="19"/>
      <c r="DC147" s="604"/>
      <c r="DD147" s="604"/>
      <c r="DE147" s="607"/>
      <c r="DF147" s="699"/>
      <c r="DG147" s="1535"/>
      <c r="DH147" s="1536"/>
      <c r="DI147" s="604"/>
      <c r="DJ147" s="700"/>
      <c r="DK147" s="700"/>
      <c r="DL147" s="700"/>
      <c r="DM147" s="604"/>
      <c r="DN147" s="700"/>
      <c r="DO147" s="698"/>
      <c r="DP147" s="604"/>
      <c r="DQ147" s="604"/>
      <c r="DR147" s="697"/>
      <c r="DS147" s="604"/>
      <c r="DT147" s="604"/>
      <c r="DU147" s="604"/>
      <c r="DV147" s="604"/>
      <c r="DW147" s="607"/>
      <c r="DX147" s="699"/>
      <c r="DY147" s="1535"/>
      <c r="DZ147" s="1536"/>
      <c r="EA147" s="698"/>
      <c r="EB147" s="700"/>
      <c r="EC147" s="700"/>
      <c r="ED147" s="700"/>
      <c r="EE147" s="604"/>
      <c r="EF147" s="700"/>
      <c r="EG147" s="698"/>
      <c r="EH147" s="604"/>
      <c r="EI147" s="604"/>
      <c r="EJ147" s="697"/>
      <c r="EK147" s="604"/>
      <c r="EL147" s="604"/>
      <c r="EM147" s="604"/>
      <c r="EN147" s="604"/>
      <c r="EO147" s="607"/>
      <c r="EP147" s="699"/>
      <c r="EQ147" s="1535"/>
      <c r="ER147" s="1536"/>
      <c r="ES147" s="604"/>
      <c r="ET147" s="700"/>
      <c r="EU147" s="700"/>
      <c r="EV147" s="700"/>
      <c r="EW147" s="604"/>
      <c r="EX147" s="700"/>
      <c r="EY147" s="698"/>
      <c r="EZ147" s="604"/>
      <c r="FA147" s="604"/>
      <c r="FB147" s="697"/>
      <c r="FC147" s="604"/>
      <c r="FD147" s="19"/>
      <c r="FE147" s="604"/>
      <c r="FF147" s="604"/>
      <c r="FG147" s="607"/>
      <c r="FH147" s="699"/>
      <c r="FI147" s="1535"/>
      <c r="FJ147" s="1536"/>
      <c r="FK147" s="604"/>
      <c r="FL147" s="700"/>
      <c r="FM147" s="700"/>
      <c r="FN147" s="700"/>
      <c r="FO147" s="604"/>
      <c r="FP147" s="700"/>
      <c r="FQ147" s="698"/>
      <c r="FR147" s="604"/>
      <c r="FS147" s="604"/>
      <c r="FT147" s="697"/>
      <c r="FU147" s="604"/>
      <c r="FV147" s="604"/>
      <c r="FW147" s="604"/>
      <c r="FX147" s="604"/>
      <c r="FY147" s="607"/>
      <c r="FZ147" s="699"/>
      <c r="GA147" s="1535"/>
      <c r="GB147" s="1536"/>
      <c r="GC147" s="604"/>
      <c r="GD147" s="700"/>
      <c r="GE147" s="700"/>
      <c r="GF147" s="700"/>
      <c r="GG147" s="604"/>
      <c r="GH147" s="700"/>
      <c r="GI147" s="698"/>
      <c r="GJ147" s="604"/>
      <c r="GK147" s="604"/>
      <c r="GL147" s="697"/>
      <c r="GM147" s="604"/>
      <c r="GN147" s="604"/>
      <c r="GO147" s="604"/>
      <c r="GP147" s="604"/>
      <c r="GQ147" s="607"/>
      <c r="GR147" s="699"/>
      <c r="GS147" s="1535"/>
      <c r="GT147" s="1536"/>
      <c r="GU147" s="698"/>
      <c r="GV147" s="700"/>
      <c r="GW147" s="700"/>
      <c r="GX147" s="700"/>
      <c r="GY147" s="604"/>
      <c r="GZ147" s="700"/>
      <c r="HA147" s="698"/>
      <c r="HB147" s="604"/>
      <c r="HC147" s="604"/>
      <c r="HD147" s="697"/>
      <c r="HE147" s="604"/>
      <c r="HF147" s="604"/>
      <c r="HG147" s="604"/>
      <c r="HH147" s="604"/>
      <c r="HI147" s="607"/>
      <c r="HJ147" s="699"/>
      <c r="HK147" s="1535"/>
      <c r="HL147" s="1536"/>
      <c r="HM147" s="604"/>
      <c r="HN147" s="700"/>
      <c r="HO147" s="700"/>
      <c r="HP147" s="700"/>
      <c r="HQ147" s="604"/>
      <c r="HR147" s="700"/>
      <c r="HS147" s="698"/>
      <c r="HT147" s="604"/>
      <c r="HU147" s="604"/>
      <c r="HV147" s="697"/>
      <c r="HW147" s="604"/>
      <c r="HX147" s="604"/>
      <c r="HY147" s="604"/>
      <c r="HZ147" s="604"/>
      <c r="IA147" s="607"/>
      <c r="IB147" s="699"/>
      <c r="IC147" s="1535"/>
      <c r="ID147" s="1536"/>
      <c r="IE147" s="604"/>
      <c r="IF147" s="700"/>
      <c r="IG147" s="700"/>
      <c r="IH147" s="700"/>
      <c r="II147" s="604"/>
      <c r="IJ147" s="700"/>
      <c r="IK147" s="698"/>
      <c r="IL147" s="604"/>
      <c r="IM147" s="604"/>
      <c r="IN147" s="697"/>
      <c r="IO147" s="604"/>
      <c r="IP147" s="604"/>
      <c r="IQ147" s="604"/>
      <c r="IR147" s="604"/>
      <c r="IS147" s="607"/>
      <c r="IT147" s="699"/>
      <c r="IU147" s="1535"/>
      <c r="IV147" s="1536"/>
      <c r="IW147" s="604"/>
      <c r="IX147" s="700"/>
      <c r="IY147" s="700"/>
      <c r="IZ147" s="700"/>
      <c r="JA147" s="604"/>
      <c r="JB147" s="700"/>
      <c r="JC147" s="698"/>
      <c r="JD147" s="604"/>
      <c r="JE147" s="604"/>
      <c r="JF147" s="697"/>
      <c r="JG147" s="604"/>
      <c r="JH147" s="604"/>
      <c r="JI147" s="604"/>
      <c r="JJ147" s="604"/>
      <c r="JK147" s="607"/>
      <c r="JL147" s="699"/>
      <c r="JM147" s="1535"/>
      <c r="JN147" s="1536"/>
      <c r="JO147" s="604"/>
      <c r="JP147" s="700"/>
      <c r="JQ147" s="700"/>
      <c r="JR147" s="700"/>
      <c r="JS147" s="604"/>
      <c r="JT147" s="700"/>
      <c r="JU147" s="698"/>
      <c r="JV147" s="604"/>
      <c r="JW147" s="604"/>
      <c r="JX147" s="697"/>
      <c r="JY147" s="604"/>
      <c r="JZ147" s="604"/>
      <c r="KA147" s="604"/>
      <c r="KB147" s="604"/>
      <c r="KC147" s="607"/>
      <c r="KD147" s="699"/>
      <c r="KE147" s="1535"/>
      <c r="KF147" s="1536"/>
      <c r="KG147" s="604"/>
      <c r="KH147" s="700"/>
      <c r="KI147" s="700"/>
      <c r="KJ147" s="700"/>
      <c r="KK147" s="604"/>
      <c r="KL147" s="700"/>
      <c r="KM147" s="698"/>
      <c r="KN147" s="604"/>
      <c r="KO147" s="604"/>
      <c r="KP147" s="697"/>
      <c r="KQ147" s="604"/>
      <c r="KR147" s="604"/>
      <c r="KS147" s="604"/>
      <c r="KT147" s="604"/>
      <c r="KU147" s="607"/>
      <c r="KV147" s="699"/>
      <c r="KW147" s="1535"/>
      <c r="KX147" s="1536"/>
      <c r="KY147" s="604"/>
      <c r="KZ147" s="700"/>
      <c r="LA147" s="700"/>
      <c r="LB147" s="700"/>
      <c r="LC147" s="604"/>
      <c r="LD147" s="700"/>
      <c r="LE147" s="698"/>
      <c r="LF147" s="604"/>
      <c r="LG147" s="604"/>
      <c r="LH147" s="697"/>
      <c r="LI147" s="604"/>
      <c r="LJ147" s="604"/>
      <c r="LK147" s="604"/>
      <c r="LL147" s="604"/>
      <c r="LM147" s="607"/>
      <c r="LN147" s="699"/>
      <c r="LO147" s="1535"/>
      <c r="LP147" s="1536"/>
      <c r="LQ147" s="604"/>
      <c r="LR147" s="700"/>
      <c r="LS147" s="700"/>
      <c r="LT147" s="700"/>
      <c r="LU147" s="604"/>
      <c r="LV147" s="700"/>
      <c r="LW147" s="698"/>
      <c r="LX147" s="604"/>
      <c r="LY147" s="604"/>
      <c r="LZ147" s="697"/>
      <c r="MA147" s="604"/>
      <c r="MB147" s="604"/>
      <c r="MC147" s="604"/>
      <c r="MD147" s="604"/>
      <c r="ME147" s="607"/>
      <c r="MF147" s="699"/>
      <c r="MG147" s="1535"/>
      <c r="MH147" s="1536"/>
      <c r="MI147" s="604"/>
      <c r="MJ147" s="700"/>
      <c r="MK147" s="700"/>
      <c r="ML147" s="700"/>
      <c r="MM147" s="604"/>
      <c r="MN147" s="700"/>
      <c r="MO147" s="698"/>
      <c r="MP147" s="604"/>
      <c r="MQ147" s="604"/>
      <c r="MR147" s="697"/>
      <c r="MS147" s="604"/>
      <c r="MT147" s="604"/>
      <c r="MU147" s="604"/>
      <c r="MV147" s="604"/>
      <c r="MW147" s="607"/>
      <c r="MX147" s="699"/>
      <c r="MY147" s="1535"/>
      <c r="MZ147" s="1536"/>
      <c r="NA147" s="604"/>
      <c r="NB147" s="700"/>
      <c r="NC147" s="700"/>
      <c r="ND147" s="700"/>
      <c r="NE147" s="604"/>
      <c r="NF147" s="700"/>
      <c r="NG147" s="698"/>
      <c r="NH147" s="604"/>
      <c r="NI147" s="604"/>
      <c r="NJ147" s="697"/>
      <c r="NK147" s="604"/>
      <c r="NL147" s="604"/>
      <c r="NM147" s="604"/>
      <c r="NN147" s="604"/>
      <c r="NO147" s="607"/>
      <c r="NP147" s="699"/>
      <c r="NQ147" s="1535"/>
      <c r="NR147" s="1536"/>
      <c r="NS147" s="604"/>
      <c r="NT147" s="700"/>
      <c r="NU147" s="700"/>
      <c r="NV147" s="700"/>
      <c r="NW147" s="604"/>
      <c r="NX147" s="700"/>
      <c r="NY147" s="698"/>
      <c r="NZ147" s="604"/>
      <c r="OA147" s="604"/>
      <c r="OB147" s="697"/>
      <c r="OC147" s="604"/>
      <c r="OD147" s="19"/>
      <c r="OE147" s="604"/>
      <c r="OF147" s="604"/>
      <c r="OG147" s="607"/>
      <c r="OH147" s="699"/>
      <c r="OI147" s="1535"/>
      <c r="OJ147" s="1536"/>
      <c r="OK147" s="604"/>
      <c r="OL147" s="700"/>
      <c r="OM147" s="700"/>
      <c r="ON147" s="700"/>
      <c r="OO147" s="604"/>
      <c r="OP147" s="700"/>
      <c r="OQ147" s="698"/>
      <c r="OR147" s="604"/>
      <c r="OS147" s="604"/>
      <c r="OT147" s="697"/>
      <c r="OU147" s="604"/>
      <c r="OV147" s="604"/>
      <c r="OW147" s="604"/>
      <c r="OX147" s="604"/>
      <c r="OY147" s="607"/>
      <c r="OZ147" s="699"/>
      <c r="PA147" s="1535"/>
      <c r="PB147" s="1536"/>
      <c r="PC147" s="604"/>
      <c r="PD147" s="700"/>
      <c r="PE147" s="700"/>
      <c r="PF147" s="700"/>
      <c r="PG147" s="604"/>
      <c r="PH147" s="700"/>
      <c r="PI147" s="698"/>
      <c r="PJ147" s="604"/>
      <c r="PK147" s="604"/>
      <c r="PL147" s="697"/>
      <c r="PM147" s="604"/>
      <c r="PN147" s="19"/>
      <c r="PO147" s="604"/>
      <c r="PP147" s="604"/>
      <c r="PQ147" s="607"/>
      <c r="PR147" s="699"/>
      <c r="PS147" s="1535"/>
      <c r="PT147" s="1536"/>
      <c r="PU147" s="604"/>
      <c r="PV147" s="700"/>
      <c r="PW147" s="700"/>
      <c r="PX147" s="700"/>
      <c r="PY147" s="604"/>
      <c r="PZ147" s="700"/>
      <c r="QA147" s="698"/>
      <c r="QB147" s="604"/>
      <c r="QC147" s="604"/>
      <c r="QD147" s="697"/>
      <c r="QE147" s="604"/>
      <c r="QF147" s="604"/>
      <c r="QG147" s="604"/>
      <c r="QH147" s="604"/>
      <c r="QI147" s="607"/>
      <c r="QJ147" s="699"/>
      <c r="QK147" s="1535"/>
      <c r="QL147" s="1536"/>
      <c r="QM147" s="604"/>
      <c r="QN147" s="700"/>
      <c r="QO147" s="700"/>
      <c r="QP147" s="700"/>
      <c r="QQ147" s="604"/>
      <c r="QR147" s="700"/>
      <c r="QS147" s="698"/>
      <c r="QT147" s="604"/>
      <c r="QU147" s="604"/>
      <c r="QV147" s="697"/>
      <c r="QW147" s="604"/>
      <c r="QX147" s="604"/>
      <c r="QY147" s="604"/>
      <c r="QZ147" s="604"/>
      <c r="RA147" s="607"/>
      <c r="RB147" s="699"/>
      <c r="RC147" s="1535"/>
      <c r="RD147" s="1536"/>
      <c r="RE147" s="604"/>
      <c r="RF147" s="700"/>
      <c r="RG147" s="700"/>
      <c r="RH147" s="700"/>
      <c r="RI147" s="604"/>
      <c r="RJ147" s="700"/>
      <c r="RK147" s="698"/>
      <c r="RL147" s="604"/>
      <c r="RM147" s="604"/>
      <c r="RN147" s="697"/>
      <c r="RO147" s="604"/>
      <c r="RP147" s="604"/>
      <c r="RQ147" s="604"/>
      <c r="RR147" s="604"/>
      <c r="RS147" s="607"/>
      <c r="RT147" s="699"/>
      <c r="RU147" s="1535"/>
      <c r="RV147" s="1535"/>
      <c r="RW147" s="698"/>
      <c r="RX147" s="700"/>
      <c r="RY147" s="700"/>
      <c r="RZ147" s="700"/>
      <c r="SA147" s="604"/>
      <c r="SB147" s="700"/>
      <c r="SC147" s="698"/>
      <c r="SD147" s="604"/>
      <c r="SE147" s="604"/>
      <c r="SF147" s="697"/>
      <c r="SG147" s="604"/>
      <c r="SH147" s="604"/>
      <c r="SI147" s="604"/>
      <c r="SJ147" s="604"/>
      <c r="SK147" s="607"/>
      <c r="SL147" s="699"/>
      <c r="SM147" s="1535"/>
      <c r="SN147" s="1536"/>
      <c r="SO147" s="604"/>
      <c r="SP147" s="700"/>
      <c r="SQ147" s="700"/>
      <c r="SR147" s="700"/>
      <c r="SS147" s="604"/>
      <c r="ST147" s="700"/>
      <c r="SU147" s="698"/>
      <c r="SV147" s="604"/>
      <c r="SW147" s="604"/>
      <c r="SX147" s="697"/>
      <c r="SY147" s="604"/>
      <c r="SZ147" s="19"/>
      <c r="TA147" s="604"/>
      <c r="TB147" s="604"/>
      <c r="TC147" s="607"/>
      <c r="TD147" s="699"/>
      <c r="TE147" s="1535"/>
      <c r="TF147" s="1536"/>
      <c r="TG147" s="604"/>
      <c r="TH147" s="700"/>
      <c r="TI147" s="700"/>
      <c r="TJ147" s="700"/>
      <c r="TK147" s="604"/>
      <c r="TL147" s="700"/>
      <c r="TM147" s="698"/>
      <c r="TN147" s="604"/>
      <c r="TO147" s="604"/>
      <c r="TP147" s="697"/>
      <c r="TQ147" s="604"/>
      <c r="TR147" s="19"/>
      <c r="TS147" s="604"/>
      <c r="TT147" s="604"/>
      <c r="TU147" s="607"/>
      <c r="TV147" s="699"/>
      <c r="TW147" s="1535"/>
      <c r="TX147" s="1536"/>
      <c r="TY147" s="604"/>
      <c r="TZ147" s="700"/>
      <c r="UA147" s="700"/>
      <c r="UB147" s="700"/>
      <c r="UC147" s="604"/>
      <c r="UD147" s="700"/>
      <c r="UE147" s="698"/>
      <c r="UF147" s="604"/>
      <c r="UG147" s="604"/>
      <c r="UH147" s="697"/>
      <c r="UI147" s="604"/>
      <c r="UJ147" s="604"/>
      <c r="UK147" s="604"/>
      <c r="UL147" s="604"/>
      <c r="UM147" s="607"/>
      <c r="UN147" s="699"/>
      <c r="UO147" s="1535"/>
      <c r="UP147" s="1536"/>
      <c r="UQ147" s="604"/>
      <c r="UR147" s="700"/>
      <c r="US147" s="700"/>
      <c r="UT147" s="700"/>
      <c r="UU147" s="604"/>
      <c r="UV147" s="700"/>
      <c r="UW147" s="698"/>
      <c r="UX147" s="604"/>
      <c r="UY147" s="604"/>
      <c r="UZ147" s="697"/>
      <c r="VA147" s="604"/>
      <c r="VB147" s="19"/>
      <c r="VC147" s="604"/>
      <c r="VD147" s="604"/>
      <c r="VE147" s="607"/>
    </row>
    <row r="148" spans="1:577" x14ac:dyDescent="0.25">
      <c r="A148" s="2218">
        <v>250</v>
      </c>
      <c r="B148" s="2008">
        <v>19.899999999999999</v>
      </c>
      <c r="C148" s="2009">
        <v>52</v>
      </c>
      <c r="D148" s="2012">
        <v>1009.6</v>
      </c>
      <c r="E148" s="2010">
        <v>-3.1329999999999998E-9</v>
      </c>
      <c r="F148" s="667">
        <v>60</v>
      </c>
      <c r="G148" s="663">
        <v>44334</v>
      </c>
      <c r="H148" s="656" t="s">
        <v>1042</v>
      </c>
      <c r="I148" s="649">
        <f>IF(H148="Low",E148*$D$42,IF(H148="Med",E148*$D$43,IF(H148="High",E148*$D$44,"rango cal. out")))</f>
        <v>-3.1361329999999993E-9</v>
      </c>
      <c r="J148" s="652">
        <f>((273.2+B148)*$F$33/((273.2+$F$32)*D148))</f>
        <v>0.99647575349812523</v>
      </c>
      <c r="K148" s="653">
        <f>I148/F148*J148*EXP(-LN(2)/10990*($F$96-G148))</f>
        <v>-5.1581231069070232E-11</v>
      </c>
      <c r="L148" s="599">
        <f>K148-AVERAGE(S102:S103)</f>
        <v>-5.1557419101698732E-11</v>
      </c>
      <c r="M148" s="599" t="e">
        <f>ABS(#REF!*L148*3600)</f>
        <v>#REF!</v>
      </c>
      <c r="N148" s="657">
        <f>ABS($B$34*L148*3600)</f>
        <v>4.6772890609061094E-3</v>
      </c>
      <c r="O148" s="600">
        <f>N148*$C$87</f>
        <v>0.46772890609061096</v>
      </c>
      <c r="P148" s="599">
        <f>N148*$F$78</f>
        <v>5.6127468730873308E-3</v>
      </c>
      <c r="Q148" s="600">
        <f>N148*$F$83</f>
        <v>5.6595197636963926E-3</v>
      </c>
      <c r="R148" s="599">
        <f>N148*$F$80</f>
        <v>5.6595197636963926E-3</v>
      </c>
      <c r="S148" s="658">
        <f>N148*$F$79</f>
        <v>5.8466113261326363E-3</v>
      </c>
      <c r="T148" s="659"/>
      <c r="U148" s="660"/>
      <c r="V148" s="661"/>
      <c r="W148" s="651"/>
      <c r="X148" s="662"/>
      <c r="Y148" s="663"/>
      <c r="Z148" s="656"/>
      <c r="AA148" s="649" t="str">
        <f>IF(Z148="Low",W148*$D$42,IF(Z148="Med",W148*$D$43,IF(Z148="High",W148*$D$44,"rango cal. out")))</f>
        <v>rango cal. out</v>
      </c>
      <c r="AB148" s="652" t="e">
        <f>((273.2+T148)*$F$33/((273.2+$F$32)*V148))</f>
        <v>#DIV/0!</v>
      </c>
      <c r="AC148" s="653" t="e">
        <f>AA148/X148*AB148*EXP(-LN(2)/10990*($F$96-Y148))</f>
        <v>#VALUE!</v>
      </c>
      <c r="AD148" s="599" t="e">
        <f>AC148-AVERAGE(#REF!)</f>
        <v>#VALUE!</v>
      </c>
      <c r="AE148" s="599" t="e">
        <f>ABS(#REF!*AD148*3600)</f>
        <v>#REF!</v>
      </c>
      <c r="AF148" s="657" t="e">
        <f>ABS($B$34*AD148*3600)</f>
        <v>#VALUE!</v>
      </c>
      <c r="AG148" s="600" t="e">
        <f>AF148*$C$87</f>
        <v>#VALUE!</v>
      </c>
      <c r="AH148" s="599" t="e">
        <f>AF148*$F$78</f>
        <v>#VALUE!</v>
      </c>
      <c r="AI148" s="600" t="e">
        <f>AF148*$F$83</f>
        <v>#VALUE!</v>
      </c>
      <c r="AJ148" s="599" t="e">
        <f>AF148*$F$80</f>
        <v>#VALUE!</v>
      </c>
      <c r="AK148" s="658" t="e">
        <f>AF148*$F$79</f>
        <v>#VALUE!</v>
      </c>
      <c r="AL148" s="659"/>
      <c r="AM148" s="660"/>
      <c r="AN148" s="661"/>
      <c r="AO148" s="651"/>
      <c r="AP148" s="662"/>
      <c r="AQ148" s="663"/>
      <c r="AR148" s="656"/>
      <c r="AS148" s="649" t="str">
        <f>IF(AR148="Low",AO148*$D$42,IF(AR148="Med",AO148*$D$43,IF(AR148="High",AO148*$D$44,"rango cal. out")))</f>
        <v>rango cal. out</v>
      </c>
      <c r="AT148" s="652" t="e">
        <f>((273.2+AL148)*$F$33/((273.2+$F$32)*AN148))</f>
        <v>#DIV/0!</v>
      </c>
      <c r="AU148" s="653" t="e">
        <f>AS148/AP148*AT148*EXP(-LN(2)/10990*($F$96-AQ148))</f>
        <v>#VALUE!</v>
      </c>
      <c r="AV148" s="599" t="e">
        <f>AU148-AVERAGE(BC102:BC103)</f>
        <v>#VALUE!</v>
      </c>
      <c r="AW148" s="599" t="e">
        <f>ABS(#REF!*AV148*3600)</f>
        <v>#REF!</v>
      </c>
      <c r="AX148" s="657" t="e">
        <f>ABS($B$34*AV148*3600)</f>
        <v>#VALUE!</v>
      </c>
      <c r="AY148" s="600" t="e">
        <f>AX148*$C$87</f>
        <v>#VALUE!</v>
      </c>
      <c r="AZ148" s="599" t="e">
        <f>AX148*$F$78</f>
        <v>#VALUE!</v>
      </c>
      <c r="BA148" s="600" t="e">
        <f>AX148*$F$83</f>
        <v>#VALUE!</v>
      </c>
      <c r="BB148" s="599" t="e">
        <f>AX148*$F$80</f>
        <v>#VALUE!</v>
      </c>
      <c r="BC148" s="658" t="e">
        <f>AX148*$F$79</f>
        <v>#VALUE!</v>
      </c>
      <c r="BD148" s="2008">
        <v>19.899999999999999</v>
      </c>
      <c r="BE148" s="2016">
        <v>52</v>
      </c>
      <c r="BF148" s="2017">
        <v>1009.9</v>
      </c>
      <c r="BG148" s="2010">
        <v>-5.0049999999999998E-10</v>
      </c>
      <c r="BH148" s="667">
        <v>60</v>
      </c>
      <c r="BI148" s="663">
        <v>44334</v>
      </c>
      <c r="BJ148" s="656" t="s">
        <v>268</v>
      </c>
      <c r="BK148" s="649">
        <f>IF(BJ148="Low",BG148*$D$42,IF(BJ148="Med",BG148*$D$43,IF(BJ148="High",BG148*$D$44,"rango cal. out")))</f>
        <v>-5.0200149999999988E-10</v>
      </c>
      <c r="BL148" s="652">
        <f>((273.2+BD148)*$F$33/((273.2+$F$32)*BF148))</f>
        <v>0.99617974129290743</v>
      </c>
      <c r="BM148" s="653">
        <f>BK148/BH148*BL148*EXP(-LN(2)/10990*($F$96-BI148))</f>
        <v>-8.2541663133439371E-12</v>
      </c>
      <c r="BN148" s="599">
        <f>BM148-AVERAGE(BU102:BU103)</f>
        <v>-8.252821129235541E-12</v>
      </c>
      <c r="BO148" s="599" t="e">
        <f>ABS(#REF!*BN148*3600)</f>
        <v>#REF!</v>
      </c>
      <c r="BP148" s="657">
        <f>ABS($B$34*BN148*3600)</f>
        <v>7.4869593284424831E-4</v>
      </c>
      <c r="BQ148" s="600">
        <f>BP148*$C$87</f>
        <v>7.4869593284424829E-2</v>
      </c>
      <c r="BR148" s="599">
        <f>BP148*$F$78</f>
        <v>8.9843511941309795E-4</v>
      </c>
      <c r="BS148" s="600">
        <f>BP148*$F$83</f>
        <v>9.0592207874154039E-4</v>
      </c>
      <c r="BT148" s="599">
        <f>BP148*$F$80</f>
        <v>9.0592207874154039E-4</v>
      </c>
      <c r="BU148" s="658">
        <f>BP148*$F$79</f>
        <v>9.3586991605531036E-4</v>
      </c>
      <c r="BV148" s="2008">
        <v>19.899999999999999</v>
      </c>
      <c r="BW148" s="2016">
        <v>52</v>
      </c>
      <c r="BX148" s="2020">
        <v>1009.6</v>
      </c>
      <c r="BY148" s="2010">
        <v>-2.5499999999999999E-11</v>
      </c>
      <c r="BZ148" s="667">
        <v>60</v>
      </c>
      <c r="CA148" s="663">
        <v>44334</v>
      </c>
      <c r="CB148" s="656" t="s">
        <v>268</v>
      </c>
      <c r="CC148" s="649">
        <f>IF(CB148="Low",BY148*$D$42,IF(CB148="Med",BY148*$D$43,IF(CB148="High",BY148*$D$44,"rango cal. out")))</f>
        <v>-2.5576499999999996E-11</v>
      </c>
      <c r="CD148" s="652">
        <f>((273.2+BV148)*$F$33/((273.2+$F$32)*BX148))</f>
        <v>0.99647575349812523</v>
      </c>
      <c r="CE148" s="653">
        <f>CC148/BZ148*CD148*EXP(-LN(2)/10990*($F$96-CA148))</f>
        <v>-4.2066690297830953E-13</v>
      </c>
      <c r="CF148" s="599">
        <f>CE148-AVERAGE(CM102:CM103)</f>
        <v>-4.1886540774316782E-13</v>
      </c>
      <c r="CG148" s="599" t="e">
        <f>ABS(#REF!*CF148*3600)</f>
        <v>#REF!</v>
      </c>
      <c r="CH148" s="657">
        <f>ABS($B$34*CF148*3600)</f>
        <v>3.7999469790460182E-5</v>
      </c>
      <c r="CI148" s="600">
        <f>CH148*$C$87</f>
        <v>3.7999469790460181E-3</v>
      </c>
      <c r="CJ148" s="599">
        <f>CH148*$F$78</f>
        <v>4.5599363748552216E-5</v>
      </c>
      <c r="CK148" s="600">
        <f>CH148*$F$83</f>
        <v>4.5979358446456817E-5</v>
      </c>
      <c r="CL148" s="599">
        <f>CH148*$F$80</f>
        <v>4.5979358446456817E-5</v>
      </c>
      <c r="CM148" s="658">
        <f>CH148*$F$79</f>
        <v>4.7499337238075228E-5</v>
      </c>
      <c r="CN148" s="2008">
        <v>19.899999999999999</v>
      </c>
      <c r="CO148" s="2016">
        <v>52</v>
      </c>
      <c r="CP148" s="2020">
        <v>1009.8</v>
      </c>
      <c r="CQ148" s="2010">
        <v>-1.161E-9</v>
      </c>
      <c r="CR148" s="667">
        <v>60</v>
      </c>
      <c r="CS148" s="663">
        <v>44334</v>
      </c>
      <c r="CT148" s="656" t="s">
        <v>268</v>
      </c>
      <c r="CU148" s="649">
        <f>IF(CT148="Low",CQ148*$D$42,IF(CT148="Med",CQ148*$D$43,IF(CT148="High",CQ148*$D$44,"rango cal. out")))</f>
        <v>-1.1644829999999998E-9</v>
      </c>
      <c r="CV148" s="652">
        <f>((273.2+CN148)*$F$33/((273.2+$F$32)*CP148))</f>
        <v>0.99627839248535088</v>
      </c>
      <c r="CW148" s="653">
        <f>CU148/CR148*CV148*EXP(-LN(2)/10990*($F$96-CS148))</f>
        <v>-1.9148923273164263E-11</v>
      </c>
      <c r="CX148" s="599">
        <f>CW148-AVERAGE(DE102:DE103)</f>
        <v>-1.9137635586458837E-11</v>
      </c>
      <c r="CY148" s="599" t="e">
        <f>ABS(#REF!*CX148*3600)</f>
        <v>#REF!</v>
      </c>
      <c r="CZ148" s="657">
        <f>ABS($B$34*CX148*3600)</f>
        <v>1.7361663004035455E-3</v>
      </c>
      <c r="DA148" s="600">
        <f>CZ148*$C$87</f>
        <v>0.17361663004035455</v>
      </c>
      <c r="DB148" s="599">
        <f>CZ148*$F$78</f>
        <v>2.0833995604842546E-3</v>
      </c>
      <c r="DC148" s="600">
        <f>CZ148*$F$83</f>
        <v>2.10076122348829E-3</v>
      </c>
      <c r="DD148" s="599">
        <f>CZ148*$F$80</f>
        <v>2.10076122348829E-3</v>
      </c>
      <c r="DE148" s="658">
        <f>CZ148*$F$79</f>
        <v>2.1702078755044319E-3</v>
      </c>
      <c r="DF148" s="664"/>
      <c r="DG148" s="660"/>
      <c r="DH148" s="661"/>
      <c r="DI148" s="651"/>
      <c r="DJ148" s="662"/>
      <c r="DK148" s="663"/>
      <c r="DL148" s="656" t="s">
        <v>268</v>
      </c>
      <c r="DM148" s="649">
        <f>IF(DL148="Low",DI148*$D$42,IF(DL148="Med",DI148*$D$43,IF(DL148="High",DI148*$D$44,"rango cal. out")))</f>
        <v>0</v>
      </c>
      <c r="DN148" s="652" t="e">
        <f>((273.2+DF148)*$F$33/((273.2+$F$32)*DH148))</f>
        <v>#DIV/0!</v>
      </c>
      <c r="DO148" s="653" t="e">
        <f>DM148/DJ148*DN148*EXP(-LN(2)/10990*($F$96-DK148))</f>
        <v>#DIV/0!</v>
      </c>
      <c r="DP148" s="599" t="e">
        <f>DO148-AVERAGE(DW102:DW103)</f>
        <v>#DIV/0!</v>
      </c>
      <c r="DQ148" s="599" t="e">
        <f>ABS(#REF!*DP148*3600)</f>
        <v>#REF!</v>
      </c>
      <c r="DR148" s="657" t="e">
        <f>ABS($B$34*DP148*3600)</f>
        <v>#DIV/0!</v>
      </c>
      <c r="DS148" s="600" t="e">
        <f>DR148*$C$87</f>
        <v>#DIV/0!</v>
      </c>
      <c r="DT148" s="599" t="e">
        <f>DR148*$F$78</f>
        <v>#DIV/0!</v>
      </c>
      <c r="DU148" s="600" t="e">
        <f>DR148*$F$83</f>
        <v>#DIV/0!</v>
      </c>
      <c r="DV148" s="599" t="e">
        <f>DR148*$F$80</f>
        <v>#DIV/0!</v>
      </c>
      <c r="DW148" s="658" t="e">
        <f>DR148*$F$79</f>
        <v>#DIV/0!</v>
      </c>
      <c r="DX148" s="664"/>
      <c r="DY148" s="660"/>
      <c r="DZ148" s="659"/>
      <c r="EA148" s="665"/>
      <c r="EB148" s="662"/>
      <c r="EC148" s="663"/>
      <c r="ED148" s="656"/>
      <c r="EE148" s="649" t="str">
        <f>IF(ED148="Low",EA148*$D$42,IF(ED148="Med",EA148*$D$43,IF(ED148="High",EA148*$D$44,"rango cal. out")))</f>
        <v>rango cal. out</v>
      </c>
      <c r="EF148" s="652" t="e">
        <f>((273.2+DX148)*$F$33/((273.2+$F$32)*DZ148))</f>
        <v>#DIV/0!</v>
      </c>
      <c r="EG148" s="653" t="e">
        <f>EE148/EB148*EF148*EXP(-LN(2)/10990*($F$96-EC148))</f>
        <v>#VALUE!</v>
      </c>
      <c r="EH148" s="599" t="e">
        <f>EG148-AVERAGE(EO102:EO103)</f>
        <v>#VALUE!</v>
      </c>
      <c r="EI148" s="599" t="e">
        <f>ABS(#REF!*EH148*3600)</f>
        <v>#REF!</v>
      </c>
      <c r="EJ148" s="657" t="e">
        <f>ABS($B$34*EH148*3600)</f>
        <v>#VALUE!</v>
      </c>
      <c r="EK148" s="600" t="e">
        <f>EJ148*$C$87</f>
        <v>#VALUE!</v>
      </c>
      <c r="EL148" s="599" t="e">
        <f>EJ148*$F$78</f>
        <v>#VALUE!</v>
      </c>
      <c r="EM148" s="600" t="e">
        <f>EJ148*$F$83</f>
        <v>#VALUE!</v>
      </c>
      <c r="EN148" s="599" t="e">
        <f>EJ148*$F$80</f>
        <v>#VALUE!</v>
      </c>
      <c r="EO148" s="658" t="e">
        <f>EJ148*$F$79</f>
        <v>#VALUE!</v>
      </c>
      <c r="EP148" s="2008">
        <v>20</v>
      </c>
      <c r="EQ148" s="2016">
        <v>53</v>
      </c>
      <c r="ER148" s="2020">
        <v>1009.9</v>
      </c>
      <c r="ES148" s="2010">
        <v>-9.4999999999999995E-12</v>
      </c>
      <c r="ET148" s="667">
        <v>60</v>
      </c>
      <c r="EU148" s="663">
        <v>44334</v>
      </c>
      <c r="EV148" s="656" t="s">
        <v>268</v>
      </c>
      <c r="EW148" s="649">
        <f>IF(EV148="Low",ES148*$D$42,IF(EV148="Med",ES148*$D$43,IF(EV148="High",ES148*$D$44,"rango cal. out")))</f>
        <v>-9.5284999999999984E-12</v>
      </c>
      <c r="EX148" s="652">
        <f>((273.2+EP148)*$F$33/((273.2+$F$32)*ER148))</f>
        <v>0.99651961837966729</v>
      </c>
      <c r="EY148" s="653">
        <f>EW148/ET148*EX148*EXP(-LN(2)/10990*($F$96-EU148))</f>
        <v>-1.5672594106124655E-13</v>
      </c>
      <c r="EZ148" s="599">
        <f>EY148-AVERAGE(FG102:FG103)</f>
        <v>-1.5780650487084628E-13</v>
      </c>
      <c r="FA148" s="599" t="e">
        <f>ABS(#REF!*EZ148*3600)</f>
        <v>#REF!</v>
      </c>
      <c r="FB148" s="657">
        <f>ABS($B$34*EZ148*3600)</f>
        <v>1.4316206121883176E-5</v>
      </c>
      <c r="FC148" s="600">
        <f>FB148*$C$87</f>
        <v>1.4316206121883176E-3</v>
      </c>
      <c r="FD148" s="599">
        <f>FB148*$F$78</f>
        <v>1.717944734625981E-5</v>
      </c>
      <c r="FE148" s="600">
        <f>FB148*$F$83</f>
        <v>1.7322609407478644E-5</v>
      </c>
      <c r="FF148" s="599">
        <f>FB148*$F$80</f>
        <v>1.7322609407478644E-5</v>
      </c>
      <c r="FG148" s="658">
        <f>FB148*$F$79</f>
        <v>1.7895257652353971E-5</v>
      </c>
      <c r="FH148" s="664"/>
      <c r="FI148" s="660"/>
      <c r="FJ148" s="661"/>
      <c r="FK148" s="651"/>
      <c r="FL148" s="662"/>
      <c r="FM148" s="663"/>
      <c r="FN148" s="656"/>
      <c r="FO148" s="649" t="str">
        <f>IF(FN148="Low",FK148*$D$42,IF(FN148="Med",FK148*$D$43,IF(FN148="High",FK148*$D$44,"rango cal. out")))</f>
        <v>rango cal. out</v>
      </c>
      <c r="FP148" s="652" t="e">
        <f>((273.2+FH148)*$F$33/((273.2+$F$32)*FJ148))</f>
        <v>#DIV/0!</v>
      </c>
      <c r="FQ148" s="653" t="e">
        <f>FO148/FL148*FP148*EXP(-LN(2)/10990*($F$96-FM148))</f>
        <v>#VALUE!</v>
      </c>
      <c r="FR148" s="599" t="e">
        <f>FQ148-AVERAGE(FY102:FY103)</f>
        <v>#VALUE!</v>
      </c>
      <c r="FS148" s="599" t="e">
        <f>ABS(#REF!*FR148*3600)</f>
        <v>#REF!</v>
      </c>
      <c r="FT148" s="657" t="e">
        <f>ABS($B$34*FR148*3600)</f>
        <v>#VALUE!</v>
      </c>
      <c r="FU148" s="600" t="e">
        <f>FT148*$C$87</f>
        <v>#VALUE!</v>
      </c>
      <c r="FV148" s="599" t="e">
        <f>FT148*$F$78</f>
        <v>#VALUE!</v>
      </c>
      <c r="FW148" s="600" t="e">
        <f>FT148*$F$83</f>
        <v>#VALUE!</v>
      </c>
      <c r="FX148" s="599" t="e">
        <f>FT148*$F$80</f>
        <v>#VALUE!</v>
      </c>
      <c r="FY148" s="658" t="e">
        <f>FT148*$F$79</f>
        <v>#VALUE!</v>
      </c>
      <c r="FZ148" s="664"/>
      <c r="GA148" s="660"/>
      <c r="GB148" s="661"/>
      <c r="GC148" s="651"/>
      <c r="GD148" s="662"/>
      <c r="GE148" s="663"/>
      <c r="GF148" s="656"/>
      <c r="GG148" s="649" t="str">
        <f>IF(GF148="Low",GC148*$D$42,IF(GF148="Med",GC148*$D$43,IF(GF148="High",GC148*$D$44,"rango cal. out")))</f>
        <v>rango cal. out</v>
      </c>
      <c r="GH148" s="652" t="e">
        <f>((273.2+FZ148)*$F$33/((273.2+$F$32)*GB148))</f>
        <v>#DIV/0!</v>
      </c>
      <c r="GI148" s="653" t="e">
        <f>GG148/GD148*GH148*EXP(-LN(2)/10990*($F$96-GE148))</f>
        <v>#VALUE!</v>
      </c>
      <c r="GJ148" s="599" t="e">
        <f>GI148-AVERAGE(GQ102:GQ103)</f>
        <v>#VALUE!</v>
      </c>
      <c r="GK148" s="599" t="e">
        <f>ABS(#REF!*GJ148*3600)</f>
        <v>#REF!</v>
      </c>
      <c r="GL148" s="657" t="e">
        <f>ABS($B$34*GJ148*3600)</f>
        <v>#VALUE!</v>
      </c>
      <c r="GM148" s="600" t="e">
        <f>GL148*$C$87</f>
        <v>#VALUE!</v>
      </c>
      <c r="GN148" s="599" t="e">
        <f>GL148*$F$78</f>
        <v>#VALUE!</v>
      </c>
      <c r="GO148" s="600" t="e">
        <f>GL148*$F$83</f>
        <v>#VALUE!</v>
      </c>
      <c r="GP148" s="599" t="e">
        <f>GL148*$F$80</f>
        <v>#VALUE!</v>
      </c>
      <c r="GQ148" s="658" t="e">
        <f>GL148*$F$79</f>
        <v>#VALUE!</v>
      </c>
      <c r="GR148" s="664"/>
      <c r="GS148" s="660"/>
      <c r="GT148" s="659"/>
      <c r="GU148" s="665"/>
      <c r="GV148" s="662"/>
      <c r="GW148" s="663"/>
      <c r="GX148" s="656"/>
      <c r="GY148" s="649" t="str">
        <f>IF(GX148="Low",GU148*$D$42,IF(GX148="Med",GU148*$D$43,IF(GX148="High",GU148*$D$44,"rango cal. out")))</f>
        <v>rango cal. out</v>
      </c>
      <c r="GZ148" s="652" t="e">
        <f>((273.2+GR148)*$F$33/((273.2+$F$32)*GT148))</f>
        <v>#DIV/0!</v>
      </c>
      <c r="HA148" s="653" t="e">
        <f>GY148/GV148*GZ148*EXP(-LN(2)/10990*($F$96-GW148))</f>
        <v>#VALUE!</v>
      </c>
      <c r="HB148" s="599" t="e">
        <f>HA148-AVERAGE(HI102:HI103)</f>
        <v>#VALUE!</v>
      </c>
      <c r="HC148" s="599" t="e">
        <f>ABS(#REF!*HB148*3600)</f>
        <v>#REF!</v>
      </c>
      <c r="HD148" s="657" t="e">
        <f>ABS($B$34*HB148*3600)</f>
        <v>#VALUE!</v>
      </c>
      <c r="HE148" s="600" t="e">
        <f>HD148*$C$87</f>
        <v>#VALUE!</v>
      </c>
      <c r="HF148" s="599" t="e">
        <f>HD148*$F$78</f>
        <v>#VALUE!</v>
      </c>
      <c r="HG148" s="600" t="e">
        <f>HD148*$F$83</f>
        <v>#VALUE!</v>
      </c>
      <c r="HH148" s="599" t="e">
        <f>HD148*$F$80</f>
        <v>#VALUE!</v>
      </c>
      <c r="HI148" s="658" t="e">
        <f>HD148*$F$79</f>
        <v>#VALUE!</v>
      </c>
      <c r="HJ148" s="664"/>
      <c r="HK148" s="660"/>
      <c r="HL148" s="661"/>
      <c r="HM148" s="651"/>
      <c r="HN148" s="662"/>
      <c r="HO148" s="663"/>
      <c r="HP148" s="656"/>
      <c r="HQ148" s="649" t="str">
        <f>IF(HP148="Low",HM148*$D$42,IF(HP148="Med",HM148*$D$43,IF(HP148="High",HM148*$D$44,"rango cal. out")))</f>
        <v>rango cal. out</v>
      </c>
      <c r="HR148" s="652" t="e">
        <f>((273.2+HJ148)*$F$33/((273.2+$F$32)*HL148))</f>
        <v>#DIV/0!</v>
      </c>
      <c r="HS148" s="653" t="e">
        <f>HQ148/HN148*HR148*EXP(-LN(2)/10990*($F$96-HO148))</f>
        <v>#VALUE!</v>
      </c>
      <c r="HT148" s="599" t="e">
        <f>HS148-AVERAGE(IA102:IA103)</f>
        <v>#VALUE!</v>
      </c>
      <c r="HU148" s="599" t="e">
        <f>ABS(#REF!*HT148*3600)</f>
        <v>#REF!</v>
      </c>
      <c r="HV148" s="657" t="e">
        <f>ABS($B$34*HT148*3600)</f>
        <v>#VALUE!</v>
      </c>
      <c r="HW148" s="600" t="e">
        <f>HV148*$C$87</f>
        <v>#VALUE!</v>
      </c>
      <c r="HX148" s="599" t="e">
        <f>HV148*$F$78</f>
        <v>#VALUE!</v>
      </c>
      <c r="HY148" s="600" t="e">
        <f>HV148*$F$83</f>
        <v>#VALUE!</v>
      </c>
      <c r="HZ148" s="599" t="e">
        <f>HV148*$F$80</f>
        <v>#VALUE!</v>
      </c>
      <c r="IA148" s="658" t="e">
        <f>HV148*$F$79</f>
        <v>#VALUE!</v>
      </c>
      <c r="IB148" s="664"/>
      <c r="IC148" s="660"/>
      <c r="ID148" s="661"/>
      <c r="IE148" s="651"/>
      <c r="IF148" s="662"/>
      <c r="IG148" s="663"/>
      <c r="IH148" s="656"/>
      <c r="II148" s="649" t="str">
        <f>IF(IH148="Low",IE148*$D$42,IF(IH148="Med",IE148*$D$43,IF(IH148="High",IE148*$D$44,"rango cal. out")))</f>
        <v>rango cal. out</v>
      </c>
      <c r="IJ148" s="652" t="e">
        <f>((273.2+IB148)*$F$33/((273.2+$F$32)*ID148))</f>
        <v>#DIV/0!</v>
      </c>
      <c r="IK148" s="653" t="e">
        <f>II148/IF148*IJ148*EXP(-LN(2)/10990*($F$96-IG148))</f>
        <v>#VALUE!</v>
      </c>
      <c r="IL148" s="599" t="e">
        <f>IK148-AVERAGE(IS102:IS103)</f>
        <v>#VALUE!</v>
      </c>
      <c r="IM148" s="599" t="e">
        <f>ABS(#REF!*IL148*3600)</f>
        <v>#REF!</v>
      </c>
      <c r="IN148" s="657" t="e">
        <f>ABS($B$34*IL148*3600)</f>
        <v>#VALUE!</v>
      </c>
      <c r="IO148" s="600" t="e">
        <f>IN148*$C$87</f>
        <v>#VALUE!</v>
      </c>
      <c r="IP148" s="599" t="e">
        <f>IN148*$F$78</f>
        <v>#VALUE!</v>
      </c>
      <c r="IQ148" s="600" t="e">
        <f>IN148*$F$83</f>
        <v>#VALUE!</v>
      </c>
      <c r="IR148" s="599" t="e">
        <f>IN148*$F$80</f>
        <v>#VALUE!</v>
      </c>
      <c r="IS148" s="658" t="e">
        <f>IN148*$F$79</f>
        <v>#VALUE!</v>
      </c>
      <c r="IT148" s="664"/>
      <c r="IU148" s="660"/>
      <c r="IV148" s="661"/>
      <c r="IW148" s="651"/>
      <c r="IX148" s="662"/>
      <c r="IY148" s="663"/>
      <c r="IZ148" s="656"/>
      <c r="JA148" s="649" t="str">
        <f>IF(IZ148="Low",IW148*$D$42,IF(IZ148="Med",IW148*$D$43,IF(IZ148="High",IW148*$D$44,"rango cal. out")))</f>
        <v>rango cal. out</v>
      </c>
      <c r="JB148" s="652" t="e">
        <f>((273.2+IT148)*$F$33/((273.2+$F$32)*IV148))</f>
        <v>#DIV/0!</v>
      </c>
      <c r="JC148" s="653" t="e">
        <f>JA148/IX148*JB148*EXP(-LN(2)/10990*($F$96-IY148))</f>
        <v>#VALUE!</v>
      </c>
      <c r="JD148" s="599" t="e">
        <f>JC148-AVERAGE(JK102:JK103)</f>
        <v>#VALUE!</v>
      </c>
      <c r="JE148" s="599" t="e">
        <f>ABS(#REF!*JD148*3600)</f>
        <v>#REF!</v>
      </c>
      <c r="JF148" s="657" t="e">
        <f>ABS($B$34*JD148*3600)</f>
        <v>#VALUE!</v>
      </c>
      <c r="JG148" s="600" t="e">
        <f>JF148*$C$87</f>
        <v>#VALUE!</v>
      </c>
      <c r="JH148" s="599" t="e">
        <f>JF148*$F$78</f>
        <v>#VALUE!</v>
      </c>
      <c r="JI148" s="600" t="e">
        <f>JF148*$F$83</f>
        <v>#VALUE!</v>
      </c>
      <c r="JJ148" s="599" t="e">
        <f>JF148*$F$80</f>
        <v>#VALUE!</v>
      </c>
      <c r="JK148" s="658" t="e">
        <f>JF148*$F$79</f>
        <v>#VALUE!</v>
      </c>
      <c r="JL148" s="664"/>
      <c r="JM148" s="660"/>
      <c r="JN148" s="661"/>
      <c r="JO148" s="651"/>
      <c r="JP148" s="662"/>
      <c r="JQ148" s="663"/>
      <c r="JR148" s="656"/>
      <c r="JS148" s="649" t="str">
        <f>IF(JR148="Low",JO148*$D$42,IF(JR148="Med",JO148*$D$43,IF(JR148="High",JO148*$D$44,"rango cal. out")))</f>
        <v>rango cal. out</v>
      </c>
      <c r="JT148" s="652" t="e">
        <f>((273.2+JL148)*$F$33/((273.2+$F$32)*JN148))</f>
        <v>#DIV/0!</v>
      </c>
      <c r="JU148" s="653" t="e">
        <f>JS148/JP148*JT148*EXP(-LN(2)/10990*($F$96-JQ148))</f>
        <v>#VALUE!</v>
      </c>
      <c r="JV148" s="599" t="e">
        <f>JU148-AVERAGE(KC102:KC103)</f>
        <v>#VALUE!</v>
      </c>
      <c r="JW148" s="599" t="e">
        <f>ABS(#REF!*JV148*3600)</f>
        <v>#REF!</v>
      </c>
      <c r="JX148" s="657" t="e">
        <f>ABS($B$34*JV148*3600)</f>
        <v>#VALUE!</v>
      </c>
      <c r="JY148" s="600" t="e">
        <f>JX148*$C$87</f>
        <v>#VALUE!</v>
      </c>
      <c r="JZ148" s="599" t="e">
        <f>JX148*$F$78</f>
        <v>#VALUE!</v>
      </c>
      <c r="KA148" s="600" t="e">
        <f>JX148*$F$83</f>
        <v>#VALUE!</v>
      </c>
      <c r="KB148" s="599" t="e">
        <f>JX148*$F$80</f>
        <v>#VALUE!</v>
      </c>
      <c r="KC148" s="658" t="e">
        <f>JX148*$F$79</f>
        <v>#VALUE!</v>
      </c>
      <c r="KD148" s="664"/>
      <c r="KE148" s="660"/>
      <c r="KF148" s="661"/>
      <c r="KG148" s="651"/>
      <c r="KH148" s="662"/>
      <c r="KI148" s="663"/>
      <c r="KJ148" s="656"/>
      <c r="KK148" s="649" t="str">
        <f>IF(KJ148="Low",KG148*$D$42,IF(KJ148="Med",KG148*$D$43,IF(KJ148="High",KG148*$D$44,"rango cal. out")))</f>
        <v>rango cal. out</v>
      </c>
      <c r="KL148" s="652" t="e">
        <f>((273.2+KD148)*$F$33/((273.2+$F$32)*KF148))</f>
        <v>#DIV/0!</v>
      </c>
      <c r="KM148" s="653" t="e">
        <f>KK148/KH148*KL148*EXP(-LN(2)/10990*($F$96-KI148))</f>
        <v>#VALUE!</v>
      </c>
      <c r="KN148" s="599" t="e">
        <f>KM148-AVERAGE(KU102:KU103)</f>
        <v>#VALUE!</v>
      </c>
      <c r="KO148" s="599" t="e">
        <f>ABS(#REF!*KN148*3600)</f>
        <v>#REF!</v>
      </c>
      <c r="KP148" s="657" t="e">
        <f>ABS($B$34*KN148*3600)</f>
        <v>#VALUE!</v>
      </c>
      <c r="KQ148" s="600" t="e">
        <f>KP148*$C$87</f>
        <v>#VALUE!</v>
      </c>
      <c r="KR148" s="599" t="e">
        <f>KP148*$F$78</f>
        <v>#VALUE!</v>
      </c>
      <c r="KS148" s="600" t="e">
        <f>KP148*$F$83</f>
        <v>#VALUE!</v>
      </c>
      <c r="KT148" s="599" t="e">
        <f>KP148*$F$80</f>
        <v>#VALUE!</v>
      </c>
      <c r="KU148" s="658" t="e">
        <f>KP148*$F$79</f>
        <v>#VALUE!</v>
      </c>
      <c r="KV148" s="664"/>
      <c r="KW148" s="660"/>
      <c r="KX148" s="661"/>
      <c r="KY148" s="651"/>
      <c r="KZ148" s="662"/>
      <c r="LA148" s="663"/>
      <c r="LB148" s="656"/>
      <c r="LC148" s="649" t="str">
        <f>IF(LB148="Low",KY148*$D$42,IF(LB148="Med",KY148*$D$43,IF(LB148="High",KY148*$D$44,"rango cal. out")))</f>
        <v>rango cal. out</v>
      </c>
      <c r="LD148" s="652" t="e">
        <f>((273.2+KV148)*$F$33/((273.2+$F$32)*KX148))</f>
        <v>#DIV/0!</v>
      </c>
      <c r="LE148" s="653" t="e">
        <f>LC148/KZ148*LD148*EXP(-LN(2)/10990*($F$96-LA148))</f>
        <v>#VALUE!</v>
      </c>
      <c r="LF148" s="599" t="e">
        <f>LE148-AVERAGE(LM102:LM103)</f>
        <v>#VALUE!</v>
      </c>
      <c r="LG148" s="599" t="e">
        <f>ABS(#REF!*LF148*3600)</f>
        <v>#REF!</v>
      </c>
      <c r="LH148" s="657" t="e">
        <f>ABS($B$34*LF148*3600)</f>
        <v>#VALUE!</v>
      </c>
      <c r="LI148" s="600" t="e">
        <f>LH148*$C$87</f>
        <v>#VALUE!</v>
      </c>
      <c r="LJ148" s="599" t="e">
        <f>LH148*$F$78</f>
        <v>#VALUE!</v>
      </c>
      <c r="LK148" s="600" t="e">
        <f>LH148*$F$83</f>
        <v>#VALUE!</v>
      </c>
      <c r="LL148" s="599" t="e">
        <f>LH148*$F$80</f>
        <v>#VALUE!</v>
      </c>
      <c r="LM148" s="658" t="e">
        <f>LH148*$F$79</f>
        <v>#VALUE!</v>
      </c>
      <c r="LN148" s="664"/>
      <c r="LO148" s="660"/>
      <c r="LP148" s="661"/>
      <c r="LQ148" s="651"/>
      <c r="LR148" s="662"/>
      <c r="LS148" s="663"/>
      <c r="LT148" s="656"/>
      <c r="LU148" s="649" t="str">
        <f>IF(LT148="Low",LQ148*$D$42,IF(LT148="Med",LQ148*$D$43,IF(LT148="High",LQ148*$D$44,"rango cal. out")))</f>
        <v>rango cal. out</v>
      </c>
      <c r="LV148" s="652" t="e">
        <f>((273.2+LN148)*$F$33/((273.2+$F$32)*LP148))</f>
        <v>#DIV/0!</v>
      </c>
      <c r="LW148" s="653" t="e">
        <f>LU148/LR148*LV148*EXP(-LN(2)/10990*($F$96-LS148))</f>
        <v>#VALUE!</v>
      </c>
      <c r="LX148" s="599" t="e">
        <f>LW148-AVERAGE(ME102:ME103)</f>
        <v>#VALUE!</v>
      </c>
      <c r="LY148" s="599" t="e">
        <f>ABS(#REF!*LX148*3600)</f>
        <v>#REF!</v>
      </c>
      <c r="LZ148" s="657" t="e">
        <f>ABS($B$34*LX148*3600)</f>
        <v>#VALUE!</v>
      </c>
      <c r="MA148" s="600" t="e">
        <f>LZ148*$C$87</f>
        <v>#VALUE!</v>
      </c>
      <c r="MB148" s="599" t="e">
        <f>LZ148*$F$78</f>
        <v>#VALUE!</v>
      </c>
      <c r="MC148" s="600" t="e">
        <f>LZ148*$F$83</f>
        <v>#VALUE!</v>
      </c>
      <c r="MD148" s="599" t="e">
        <f>LZ148*$F$80</f>
        <v>#VALUE!</v>
      </c>
      <c r="ME148" s="658" t="e">
        <f>LZ148*$F$79</f>
        <v>#VALUE!</v>
      </c>
      <c r="MF148" s="664"/>
      <c r="MG148" s="660"/>
      <c r="MH148" s="661"/>
      <c r="MI148" s="651"/>
      <c r="MJ148" s="662"/>
      <c r="MK148" s="663"/>
      <c r="ML148" s="656"/>
      <c r="MM148" s="649" t="str">
        <f>IF(ML148="Low",MI148*$D$42,IF(ML148="Med",MI148*$D$43,IF(ML148="High",MI148*$D$44,"rango cal. out")))</f>
        <v>rango cal. out</v>
      </c>
      <c r="MN148" s="652" t="e">
        <f>((273.2+MF148)*$F$33/((273.2+$F$32)*MH148))</f>
        <v>#DIV/0!</v>
      </c>
      <c r="MO148" s="653" t="e">
        <f>MM148/MJ148*MN148*EXP(-LN(2)/10990*($F$96-MK148))</f>
        <v>#VALUE!</v>
      </c>
      <c r="MP148" s="599" t="e">
        <f>MO148-AVERAGE(MW102:MW103)</f>
        <v>#VALUE!</v>
      </c>
      <c r="MQ148" s="599" t="e">
        <f>ABS(#REF!*MP148*3600)</f>
        <v>#REF!</v>
      </c>
      <c r="MR148" s="657" t="e">
        <f>ABS($B$34*MP148*3600)</f>
        <v>#VALUE!</v>
      </c>
      <c r="MS148" s="600" t="e">
        <f>MR148*$C$87</f>
        <v>#VALUE!</v>
      </c>
      <c r="MT148" s="599" t="e">
        <f>MR148*$F$78</f>
        <v>#VALUE!</v>
      </c>
      <c r="MU148" s="600" t="e">
        <f>MR148*$F$83</f>
        <v>#VALUE!</v>
      </c>
      <c r="MV148" s="599" t="e">
        <f>MR148*$F$80</f>
        <v>#VALUE!</v>
      </c>
      <c r="MW148" s="658" t="e">
        <f>MR148*$F$79</f>
        <v>#VALUE!</v>
      </c>
      <c r="MX148" s="664"/>
      <c r="MY148" s="660"/>
      <c r="MZ148" s="666"/>
      <c r="NA148" s="651"/>
      <c r="NB148" s="667"/>
      <c r="NC148" s="663"/>
      <c r="ND148" s="656"/>
      <c r="NE148" s="649" t="str">
        <f>IF(ND148="Low",NA148*$D$42,IF(ND148="Med",NA148*$D$43,IF(ND148="High",NA148*$D$44,"rango cal. out")))</f>
        <v>rango cal. out</v>
      </c>
      <c r="NF148" s="652" t="e">
        <f>((273.2+MX148)*$F$33/((273.2+$F$32)*MZ148))</f>
        <v>#DIV/0!</v>
      </c>
      <c r="NG148" s="653" t="e">
        <f>NE148/NB148*NF148*EXP(-LN(2)/10990*($F$96-NC148))</f>
        <v>#VALUE!</v>
      </c>
      <c r="NH148" s="599" t="e">
        <f>NG148-AVERAGE(NO102:NO103)</f>
        <v>#VALUE!</v>
      </c>
      <c r="NI148" s="599" t="e">
        <f>ABS(#REF!*NH148*3600)</f>
        <v>#REF!</v>
      </c>
      <c r="NJ148" s="657" t="e">
        <f>ABS($B$34*NH148*3600)</f>
        <v>#VALUE!</v>
      </c>
      <c r="NK148" s="600" t="e">
        <f>NJ148*$C$87</f>
        <v>#VALUE!</v>
      </c>
      <c r="NL148" s="599" t="e">
        <f>NJ148*$F$78</f>
        <v>#VALUE!</v>
      </c>
      <c r="NM148" s="600" t="e">
        <f>NJ148*$F$83</f>
        <v>#VALUE!</v>
      </c>
      <c r="NN148" s="599" t="e">
        <f>NJ148*$F$80</f>
        <v>#VALUE!</v>
      </c>
      <c r="NO148" s="658" t="e">
        <f>NJ148*$F$79</f>
        <v>#VALUE!</v>
      </c>
      <c r="NP148" s="2008">
        <v>20</v>
      </c>
      <c r="NQ148" s="2016">
        <v>53</v>
      </c>
      <c r="NR148" s="2020">
        <v>1010</v>
      </c>
      <c r="NS148" s="2010">
        <v>-4.1999999999999997E-11</v>
      </c>
      <c r="NT148" s="662">
        <v>60</v>
      </c>
      <c r="NU148" s="663">
        <v>44334</v>
      </c>
      <c r="NV148" s="656" t="s">
        <v>268</v>
      </c>
      <c r="NW148" s="649">
        <f>IF(NV148="Low",NS148*$D$42,IF(NV148="Med",NS148*$D$43,IF(NV148="High",NS148*$D$44,"rango cal. out")))</f>
        <v>-4.2125999999999992E-11</v>
      </c>
      <c r="NX148" s="652">
        <f>((273.2+NP148)*$F$33/((273.2+$F$32)*NR148))</f>
        <v>0.99642095307091672</v>
      </c>
      <c r="NY148" s="653">
        <f>NW148/NT148*NX148*EXP(-LN(2)/10990*($F$96-NU148))</f>
        <v>-6.9282503083539556E-13</v>
      </c>
      <c r="NZ148" s="599">
        <f>NY148-AVERAGE(OG102:OG103)</f>
        <v>-6.9357719190735406E-13</v>
      </c>
      <c r="OA148" s="599" t="e">
        <f>ABS(#REF!*NZ148*3600)</f>
        <v>#REF!</v>
      </c>
      <c r="OB148" s="657">
        <f>ABS($B$34*NZ148*3600)</f>
        <v>6.2921322849835166E-5</v>
      </c>
      <c r="OC148" s="600">
        <f>OB148*$C$87</f>
        <v>6.2921322849835166E-3</v>
      </c>
      <c r="OD148" s="599">
        <f>OB148*$F$78</f>
        <v>7.5505587419802202E-5</v>
      </c>
      <c r="OE148" s="600">
        <f>OB148*$F$83</f>
        <v>7.6134800648300547E-5</v>
      </c>
      <c r="OF148" s="599">
        <f>OB148*$F$80</f>
        <v>7.6134800648300547E-5</v>
      </c>
      <c r="OG148" s="658">
        <f>OB148*$F$79</f>
        <v>7.8651653562293955E-5</v>
      </c>
      <c r="OH148" s="664"/>
      <c r="OI148" s="660"/>
      <c r="OJ148" s="661"/>
      <c r="OK148" s="651"/>
      <c r="OL148" s="662"/>
      <c r="OM148" s="663"/>
      <c r="ON148" s="656"/>
      <c r="OO148" s="649" t="str">
        <f>IF(ON148="Low",OK148*$D$42,IF(ON148="Med",OK148*$D$43,IF(ON148="High",OK148*$D$44,"rango cal. out")))</f>
        <v>rango cal. out</v>
      </c>
      <c r="OP148" s="652" t="e">
        <f>((273.2+OH148)*$F$33/((273.2+$F$32)*OJ148))</f>
        <v>#DIV/0!</v>
      </c>
      <c r="OQ148" s="653" t="e">
        <f>OO148/OL148*OP148*EXP(-LN(2)/10990*($F$96-OM148))</f>
        <v>#VALUE!</v>
      </c>
      <c r="OR148" s="599" t="e">
        <f>OQ148-AVERAGE(OY102:OY103)</f>
        <v>#VALUE!</v>
      </c>
      <c r="OS148" s="599" t="e">
        <f>ABS(#REF!*OR148*3600)</f>
        <v>#REF!</v>
      </c>
      <c r="OT148" s="657" t="e">
        <f>ABS($B$34*OR148*3600)</f>
        <v>#VALUE!</v>
      </c>
      <c r="OU148" s="600" t="e">
        <f>OT148*$C$87</f>
        <v>#VALUE!</v>
      </c>
      <c r="OV148" s="599" t="e">
        <f>OT148*$F$78</f>
        <v>#VALUE!</v>
      </c>
      <c r="OW148" s="600" t="e">
        <f>OT148*$F$83</f>
        <v>#VALUE!</v>
      </c>
      <c r="OX148" s="599" t="e">
        <f>OT148*$F$80</f>
        <v>#VALUE!</v>
      </c>
      <c r="OY148" s="658" t="e">
        <f>OT148*$F$79</f>
        <v>#VALUE!</v>
      </c>
      <c r="OZ148" s="2008">
        <v>20</v>
      </c>
      <c r="PA148" s="2016">
        <v>52</v>
      </c>
      <c r="PB148" s="2020">
        <v>1010.1</v>
      </c>
      <c r="PC148" s="2010">
        <v>-8.5000000000000004E-11</v>
      </c>
      <c r="PD148" s="667">
        <v>60</v>
      </c>
      <c r="PE148" s="663">
        <v>44334</v>
      </c>
      <c r="PF148" s="656" t="s">
        <v>268</v>
      </c>
      <c r="PG148" s="649">
        <f>IF(PF148="Low",PC148*$D$42,IF(PF148="Med",PC148*$D$43,IF(PF148="High",PC148*$D$44,"rango cal. out")))</f>
        <v>-8.5254999999999994E-11</v>
      </c>
      <c r="PH148" s="652">
        <f>((273.2+OZ148)*$F$33/((273.2+$F$32)*PB148))</f>
        <v>0.99632230729791682</v>
      </c>
      <c r="PI148" s="653">
        <f>PG148/PD148*PH148*EXP(-LN(2)/10990*($F$96-PE148))</f>
        <v>-1.4020070831558099E-12</v>
      </c>
      <c r="PJ148" s="599">
        <f>PI148-AVERAGE(PQ102:PQ103)</f>
        <v>-1.4003338730593694E-12</v>
      </c>
      <c r="PK148" s="599" t="e">
        <f>ABS(#REF!*PJ148*3600)</f>
        <v>#REF!</v>
      </c>
      <c r="PL148" s="657">
        <f>ABS($B$34*PJ148*3600)</f>
        <v>1.27038288963946E-4</v>
      </c>
      <c r="PM148" s="600">
        <f>PL148*$C$87</f>
        <v>1.2703828896394601E-2</v>
      </c>
      <c r="PN148" s="599">
        <f>PL148*$F$78</f>
        <v>1.5244594675673521E-4</v>
      </c>
      <c r="PO148" s="600">
        <f>PL148*$F$83</f>
        <v>1.5371632964637465E-4</v>
      </c>
      <c r="PP148" s="599">
        <f>PL148*$F$80</f>
        <v>1.5371632964637465E-4</v>
      </c>
      <c r="PQ148" s="658">
        <f>PL148*$F$79</f>
        <v>1.587978612049325E-4</v>
      </c>
      <c r="PR148" s="664"/>
      <c r="PS148" s="660"/>
      <c r="PT148" s="661"/>
      <c r="PU148" s="651"/>
      <c r="PV148" s="662"/>
      <c r="PW148" s="663"/>
      <c r="PX148" s="656"/>
      <c r="PY148" s="649" t="str">
        <f>IF(PX148="Low",PU148*$D$42,IF(PX148="Med",PU148*$D$43,IF(PX148="High",PU148*$D$44,"rango cal. out")))</f>
        <v>rango cal. out</v>
      </c>
      <c r="PZ148" s="652" t="e">
        <f>((273.2+PR148)*$F$33/((273.2+$F$32)*PT148))</f>
        <v>#DIV/0!</v>
      </c>
      <c r="QA148" s="653" t="e">
        <f>PY148/PV148*PZ148*EXP(-LN(2)/10990*($F$96-PW148))</f>
        <v>#VALUE!</v>
      </c>
      <c r="QB148" s="599" t="e">
        <f>QA148-AVERAGE(QI102:QI103)</f>
        <v>#VALUE!</v>
      </c>
      <c r="QC148" s="599" t="e">
        <f>ABS(#REF!*QB148*3600)</f>
        <v>#REF!</v>
      </c>
      <c r="QD148" s="657" t="e">
        <f>ABS($B$34*QB148*3600)</f>
        <v>#VALUE!</v>
      </c>
      <c r="QE148" s="600" t="e">
        <f>QD148*$C$87</f>
        <v>#VALUE!</v>
      </c>
      <c r="QF148" s="599" t="e">
        <f>QD148*$F$78</f>
        <v>#VALUE!</v>
      </c>
      <c r="QG148" s="600" t="e">
        <f>QD148*$F$83</f>
        <v>#VALUE!</v>
      </c>
      <c r="QH148" s="599" t="e">
        <f>QD148*$F$80</f>
        <v>#VALUE!</v>
      </c>
      <c r="QI148" s="658" t="e">
        <f>QD148*$F$79</f>
        <v>#VALUE!</v>
      </c>
      <c r="QJ148" s="664"/>
      <c r="QK148" s="660"/>
      <c r="QL148" s="661"/>
      <c r="QM148" s="651"/>
      <c r="QN148" s="662"/>
      <c r="QO148" s="663"/>
      <c r="QP148" s="656"/>
      <c r="QQ148" s="649" t="str">
        <f>IF(QP148="Low",QM148*$D$42,IF(QP148="Med",QM148*$D$43,IF(QP148="High",QM148*$D$44,"rango cal. out")))</f>
        <v>rango cal. out</v>
      </c>
      <c r="QR148" s="652" t="e">
        <f>((273.2+QJ148)*$F$33/((273.2+$F$32)*QL148))</f>
        <v>#DIV/0!</v>
      </c>
      <c r="QS148" s="653" t="e">
        <f>QQ148/QN148*QR148*EXP(-LN(2)/10990*($F$96-QO148))</f>
        <v>#VALUE!</v>
      </c>
      <c r="QT148" s="599" t="e">
        <f>QS148-AVERAGE(RA102:RA103)</f>
        <v>#VALUE!</v>
      </c>
      <c r="QU148" s="599" t="e">
        <f>ABS(#REF!*QT148*3600)</f>
        <v>#REF!</v>
      </c>
      <c r="QV148" s="657" t="e">
        <f>ABS($B$34*QT148*3600)</f>
        <v>#VALUE!</v>
      </c>
      <c r="QW148" s="600" t="e">
        <f>QV148*$C$87</f>
        <v>#VALUE!</v>
      </c>
      <c r="QX148" s="599" t="e">
        <f>QV148*$F$78</f>
        <v>#VALUE!</v>
      </c>
      <c r="QY148" s="600" t="e">
        <f>QV148*$F$83</f>
        <v>#VALUE!</v>
      </c>
      <c r="QZ148" s="599" t="e">
        <f>QV148*$F$80</f>
        <v>#VALUE!</v>
      </c>
      <c r="RA148" s="658" t="e">
        <f>QV148*$F$79</f>
        <v>#VALUE!</v>
      </c>
      <c r="RB148" s="664"/>
      <c r="RC148" s="660"/>
      <c r="RD148" s="666"/>
      <c r="RE148" s="651"/>
      <c r="RF148" s="667"/>
      <c r="RG148" s="663"/>
      <c r="RH148" s="656"/>
      <c r="RI148" s="649" t="str">
        <f>IF(RH148="Low",RE148*$D$42,IF(RH148="Med",RE148*$D$43,IF(RH148="High",RE148*$D$44,"rango cal. out")))</f>
        <v>rango cal. out</v>
      </c>
      <c r="RJ148" s="652" t="e">
        <f>((273.2+RB148)*$F$33/((273.2+$F$32)*RD148))</f>
        <v>#DIV/0!</v>
      </c>
      <c r="RK148" s="653" t="e">
        <f>RI148/RF148*RJ148*EXP(-LN(2)/10990*($F$96-RG148))</f>
        <v>#VALUE!</v>
      </c>
      <c r="RL148" s="599" t="e">
        <f>RK148-AVERAGE(RS102:RS103)</f>
        <v>#VALUE!</v>
      </c>
      <c r="RM148" s="599" t="e">
        <f>ABS(#REF!*RL148*3600)</f>
        <v>#REF!</v>
      </c>
      <c r="RN148" s="657" t="e">
        <f>ABS($B$34*RL148*3600)</f>
        <v>#VALUE!</v>
      </c>
      <c r="RO148" s="600" t="e">
        <f>RN148*$C$87</f>
        <v>#VALUE!</v>
      </c>
      <c r="RP148" s="599" t="e">
        <f>RN148*$F$78</f>
        <v>#VALUE!</v>
      </c>
      <c r="RQ148" s="600" t="e">
        <f>RN148*$F$83</f>
        <v>#VALUE!</v>
      </c>
      <c r="RR148" s="599" t="e">
        <f>RN148*$F$80</f>
        <v>#VALUE!</v>
      </c>
      <c r="RS148" s="658" t="e">
        <f>RN148*$F$79</f>
        <v>#VALUE!</v>
      </c>
      <c r="RT148" s="664"/>
      <c r="RU148" s="660"/>
      <c r="RV148" s="660"/>
      <c r="RW148" s="665"/>
      <c r="RX148" s="667"/>
      <c r="RY148" s="663"/>
      <c r="RZ148" s="656"/>
      <c r="SA148" s="649" t="str">
        <f>IF(RZ148="Low",RW148*$D$42,IF(RZ148="Med",RW148*$D$43,IF(RZ148="High",RW148*$D$44,"rango cal. out")))</f>
        <v>rango cal. out</v>
      </c>
      <c r="SB148" s="652" t="e">
        <f>((273.2+RT148)*$F$33/((273.2+$F$32)*RV148))</f>
        <v>#DIV/0!</v>
      </c>
      <c r="SC148" s="653" t="e">
        <f>SA148/RX148*SB148*EXP(-LN(2)/10990*($F$96-RY148))</f>
        <v>#VALUE!</v>
      </c>
      <c r="SD148" s="599" t="e">
        <f>SC148-AVERAGE(SK102:SK103)</f>
        <v>#VALUE!</v>
      </c>
      <c r="SE148" s="599" t="e">
        <f>ABS(#REF!*SD148*3600)</f>
        <v>#REF!</v>
      </c>
      <c r="SF148" s="657" t="e">
        <f>ABS($B$34*SD148*3600)</f>
        <v>#VALUE!</v>
      </c>
      <c r="SG148" s="600" t="e">
        <f>SF148*$C$87</f>
        <v>#VALUE!</v>
      </c>
      <c r="SH148" s="599" t="e">
        <f>SF148*$F$78</f>
        <v>#VALUE!</v>
      </c>
      <c r="SI148" s="600" t="e">
        <f>SF148*$F$83</f>
        <v>#VALUE!</v>
      </c>
      <c r="SJ148" s="599" t="e">
        <f>SF148*$F$80</f>
        <v>#VALUE!</v>
      </c>
      <c r="SK148" s="658" t="e">
        <f>SF148*$F$79</f>
        <v>#VALUE!</v>
      </c>
      <c r="SL148" s="2008">
        <v>19.899999999999999</v>
      </c>
      <c r="SM148" s="2016">
        <v>52</v>
      </c>
      <c r="SN148" s="2020">
        <v>1010.6</v>
      </c>
      <c r="SO148" s="2010">
        <v>-1.1500000000000001E-11</v>
      </c>
      <c r="SP148" s="667">
        <v>60</v>
      </c>
      <c r="SQ148" s="663">
        <v>44334</v>
      </c>
      <c r="SR148" s="656" t="s">
        <v>268</v>
      </c>
      <c r="SS148" s="649">
        <f>IF(SR148="Low",SO148*$D$42,IF(SR148="Med",SO148*$D$43,IF(SR148="High",SO148*$D$44,"rango cal. out")))</f>
        <v>-1.1534499999999999E-11</v>
      </c>
      <c r="ST148" s="652">
        <f>((273.2+SL148)*$F$33/((273.2+$F$32)*SN148))</f>
        <v>0.99548972959796866</v>
      </c>
      <c r="SU148" s="653">
        <f>SS148/SP148*ST148*EXP(-LN(2)/10990*($F$96-SQ148))</f>
        <v>-1.8952480220794347E-13</v>
      </c>
      <c r="SV148" s="599">
        <f>SU148-AVERAGE(TC102:TC103)</f>
        <v>-1.8759212943391121E-13</v>
      </c>
      <c r="SW148" s="599" t="e">
        <f>ABS(#REF!*SV148*3600)</f>
        <v>#REF!</v>
      </c>
      <c r="SX148" s="657">
        <f>ABS($B$34*SV148*3600)</f>
        <v>1.7018357982244426E-5</v>
      </c>
      <c r="SY148" s="600">
        <f>SX148*$C$87</f>
        <v>1.7018357982244426E-3</v>
      </c>
      <c r="SZ148" s="599">
        <f>SX148*$F$78</f>
        <v>2.0422029578693311E-5</v>
      </c>
      <c r="TA148" s="600">
        <f>SX148*$F$83</f>
        <v>2.0592213158515753E-5</v>
      </c>
      <c r="TB148" s="599">
        <f>SX148*$F$80</f>
        <v>2.0592213158515753E-5</v>
      </c>
      <c r="TC148" s="658">
        <f>SX148*$F$79</f>
        <v>2.1272947477805532E-5</v>
      </c>
      <c r="TD148" s="2008">
        <v>19.899999999999999</v>
      </c>
      <c r="TE148" s="2016">
        <v>52</v>
      </c>
      <c r="TF148" s="2020">
        <v>1010.6</v>
      </c>
      <c r="TG148" s="2010">
        <v>-1.9799999999999999E-10</v>
      </c>
      <c r="TH148" s="667">
        <v>60</v>
      </c>
      <c r="TI148" s="663">
        <v>44334</v>
      </c>
      <c r="TJ148" s="656" t="s">
        <v>268</v>
      </c>
      <c r="TK148" s="649">
        <f>IF(TJ148="Low",TG148*$D$42,IF(TJ148="Med",TG148*$D$43,IF(TJ148="High",TG148*$D$44,"rango cal. out")))</f>
        <v>-1.9859399999999997E-10</v>
      </c>
      <c r="TL148" s="652">
        <f>((273.2+TD148)*$F$33/((273.2+$F$32)*TF148))</f>
        <v>0.99548972959796866</v>
      </c>
      <c r="TM148" s="653">
        <f>TK148/TH148*TL148*EXP(-LN(2)/10990*($F$96-TI148))</f>
        <v>-3.2631226814932869E-12</v>
      </c>
      <c r="TN148" s="599">
        <f>TM148-AVERAGE(TU102:TU103)</f>
        <v>-3.2627562383060818E-12</v>
      </c>
      <c r="TO148" s="599" t="e">
        <f>ABS(#REF!*TN148*3600)</f>
        <v>#REF!</v>
      </c>
      <c r="TP148" s="657">
        <f>ABS($B$34*TN148*3600)</f>
        <v>2.9599724593912778E-4</v>
      </c>
      <c r="TQ148" s="600">
        <f>TP148*$C$87</f>
        <v>2.9599724593912777E-2</v>
      </c>
      <c r="TR148" s="599">
        <f>TP148*$F$78</f>
        <v>3.5519669512695335E-4</v>
      </c>
      <c r="TS148" s="600">
        <f>TP148*$F$83</f>
        <v>3.5815666758634459E-4</v>
      </c>
      <c r="TT148" s="599">
        <f>TP148*$F$80</f>
        <v>3.5815666758634459E-4</v>
      </c>
      <c r="TU148" s="658">
        <f>TP148*$F$79</f>
        <v>3.699965574239097E-4</v>
      </c>
      <c r="TV148" s="664"/>
      <c r="TW148" s="660"/>
      <c r="TX148" s="661"/>
      <c r="TY148" s="651"/>
      <c r="TZ148" s="662"/>
      <c r="UA148" s="663"/>
      <c r="UB148" s="656"/>
      <c r="UC148" s="649" t="str">
        <f>IF(UB148="Low",TY148*$D$42,IF(UB148="Med",TY148*$D$43,IF(UB148="High",TY148*$D$44,"rango cal. out")))</f>
        <v>rango cal. out</v>
      </c>
      <c r="UD148" s="652" t="e">
        <f>((273.2+TV148)*$F$33/((273.2+$F$32)*TX148))</f>
        <v>#DIV/0!</v>
      </c>
      <c r="UE148" s="653" t="e">
        <f>UC148/TZ148*UD148*EXP(-LN(2)/10990*($F$96-UA148))</f>
        <v>#VALUE!</v>
      </c>
      <c r="UF148" s="599" t="e">
        <f>UE148-AVERAGE(UM102:UM103)</f>
        <v>#VALUE!</v>
      </c>
      <c r="UG148" s="599" t="e">
        <f>ABS(#REF!*UF148*3600)</f>
        <v>#REF!</v>
      </c>
      <c r="UH148" s="657" t="e">
        <f>ABS($B$34*UF148*3600)</f>
        <v>#VALUE!</v>
      </c>
      <c r="UI148" s="600" t="e">
        <f>UH148*$C$87</f>
        <v>#VALUE!</v>
      </c>
      <c r="UJ148" s="599" t="e">
        <f>UH148*$F$78</f>
        <v>#VALUE!</v>
      </c>
      <c r="UK148" s="600" t="e">
        <f>UH148*$F$83</f>
        <v>#VALUE!</v>
      </c>
      <c r="UL148" s="599" t="e">
        <f>UH148*$F$80</f>
        <v>#VALUE!</v>
      </c>
      <c r="UM148" s="658" t="e">
        <f>UH148*$F$79</f>
        <v>#VALUE!</v>
      </c>
      <c r="UN148" s="2008">
        <v>19.899999999999999</v>
      </c>
      <c r="UO148" s="2016">
        <v>51</v>
      </c>
      <c r="UP148" s="2020">
        <v>1011</v>
      </c>
      <c r="UQ148" s="2010">
        <v>-1.35E-11</v>
      </c>
      <c r="UR148" s="667">
        <v>60</v>
      </c>
      <c r="US148" s="663">
        <v>44334</v>
      </c>
      <c r="UT148" s="656" t="s">
        <v>268</v>
      </c>
      <c r="UU148" s="649">
        <f>IF(UT148="Low",UQ148*$D$42,IF(UT148="Med",UQ148*$D$43,IF(UT148="High",UQ148*$D$44,"rango cal. out")))</f>
        <v>-1.3540499999999999E-11</v>
      </c>
      <c r="UV148" s="652">
        <f>((273.2+UN148)*$F$33/((273.2+$F$32)*UP148))</f>
        <v>0.99509586620346901</v>
      </c>
      <c r="UW148" s="653">
        <f>UU148/UR148*UV148*EXP(-LN(2)/10990*($F$96-US148))</f>
        <v>-2.2239761140525466E-13</v>
      </c>
      <c r="UX148" s="599">
        <f>UW148-AVERAGE(VE102:VE103)</f>
        <v>-2.2223513832298992E-13</v>
      </c>
      <c r="UY148" s="599" t="e">
        <f>ABS(#REF!*UX148*3600)</f>
        <v>#REF!</v>
      </c>
      <c r="UZ148" s="657">
        <f>ABS($B$34*UX148*3600)</f>
        <v>2.0161171748661644E-5</v>
      </c>
      <c r="VA148" s="600">
        <f>UZ148*$C$87</f>
        <v>2.0161171748661645E-3</v>
      </c>
      <c r="VB148" s="599">
        <f>UZ148*$F$78</f>
        <v>2.4193406098393974E-5</v>
      </c>
      <c r="VC148" s="600">
        <f>UZ148*$F$83</f>
        <v>2.4395017815880589E-5</v>
      </c>
      <c r="VD148" s="599">
        <f>UZ148*$F$80</f>
        <v>2.4395017815880589E-5</v>
      </c>
      <c r="VE148" s="658">
        <f>UZ148*$F$79</f>
        <v>2.5201464685827054E-5</v>
      </c>
    </row>
    <row r="149" spans="1:577" x14ac:dyDescent="0.25">
      <c r="A149" s="2219"/>
      <c r="B149" s="668">
        <v>20.5</v>
      </c>
      <c r="C149" s="673">
        <v>59</v>
      </c>
      <c r="D149" s="678">
        <v>1010</v>
      </c>
      <c r="E149" s="2011">
        <v>-3.1359999999999999E-9</v>
      </c>
      <c r="F149" s="673">
        <v>60</v>
      </c>
      <c r="G149" s="663">
        <v>44334</v>
      </c>
      <c r="H149" s="650" t="s">
        <v>1042</v>
      </c>
      <c r="I149" s="671">
        <f>IF(H149="Low",E149*$D$42,IF(H149="Med",E149*$D$43,IF(H149="High",E149*$D$44,"rango cal. out")))</f>
        <v>-3.1391359999999995E-9</v>
      </c>
      <c r="J149" s="619">
        <f>((273.2+B149)*$F$33/((273.2+$F$32)*D149))</f>
        <v>0.99812017024873212</v>
      </c>
      <c r="K149" s="674">
        <f>I149/F149*J149*EXP(-LN(2)/10990*($F$96-G149))</f>
        <v>-5.1715825143954562E-11</v>
      </c>
      <c r="L149" s="599">
        <f>K149-AVERAGE(S102:S103)</f>
        <v>-5.1692013176583063E-11</v>
      </c>
      <c r="M149" s="672" t="e">
        <f>ABS(#REF!*L149*3600)</f>
        <v>#REF!</v>
      </c>
      <c r="N149" s="675">
        <f>ABS($B$34*L149*3600)</f>
        <v>4.6894994353796149E-3</v>
      </c>
      <c r="O149" s="614">
        <f>N149*$C$87</f>
        <v>0.46894994353796149</v>
      </c>
      <c r="P149" s="672">
        <f>N149*$F$78</f>
        <v>5.6273993224555379E-3</v>
      </c>
      <c r="Q149" s="600">
        <f>N149*$F$83</f>
        <v>5.6742943168093338E-3</v>
      </c>
      <c r="R149" s="672">
        <f>N149*$F$80</f>
        <v>5.6742943168093338E-3</v>
      </c>
      <c r="S149" s="676">
        <f>N149*$F$79</f>
        <v>5.8618742942245184E-3</v>
      </c>
      <c r="T149" s="677"/>
      <c r="U149" s="669"/>
      <c r="V149" s="670"/>
      <c r="W149" s="671"/>
      <c r="X149" s="678"/>
      <c r="Y149" s="650"/>
      <c r="Z149" s="650"/>
      <c r="AA149" s="671" t="str">
        <f>IF(Z149="Low",W149*$D$42,IF(Z149="Med",W149*$D$43,IF(Z149="High",W149*$D$44,"rango cal. out")))</f>
        <v>rango cal. out</v>
      </c>
      <c r="AB149" s="619" t="e">
        <f>((273.2+T149)*$F$33/((273.2+$F$32)*V149))</f>
        <v>#DIV/0!</v>
      </c>
      <c r="AC149" s="674" t="e">
        <f>AA149/X149*AB149*EXP(-LN(2)/10990*($F$96-Y149))</f>
        <v>#VALUE!</v>
      </c>
      <c r="AD149" s="599" t="e">
        <f>AC149-AVERAGE(#REF!)</f>
        <v>#VALUE!</v>
      </c>
      <c r="AE149" s="672" t="e">
        <f>ABS(#REF!*AD149*3600)</f>
        <v>#REF!</v>
      </c>
      <c r="AF149" s="675" t="e">
        <f>ABS($B$34*AD149*3600)</f>
        <v>#VALUE!</v>
      </c>
      <c r="AG149" s="614" t="e">
        <f>AF149*$C$87</f>
        <v>#VALUE!</v>
      </c>
      <c r="AH149" s="672" t="e">
        <f>AF149*$F$78</f>
        <v>#VALUE!</v>
      </c>
      <c r="AI149" s="600" t="e">
        <f>AF149*$F$83</f>
        <v>#VALUE!</v>
      </c>
      <c r="AJ149" s="672" t="e">
        <f>AF149*$F$80</f>
        <v>#VALUE!</v>
      </c>
      <c r="AK149" s="676" t="e">
        <f>AF149*$F$79</f>
        <v>#VALUE!</v>
      </c>
      <c r="AL149" s="677"/>
      <c r="AM149" s="669"/>
      <c r="AN149" s="670"/>
      <c r="AO149" s="671"/>
      <c r="AP149" s="678"/>
      <c r="AQ149" s="650"/>
      <c r="AR149" s="650"/>
      <c r="AS149" s="671" t="str">
        <f>IF(AR149="Low",AO149*$D$42,IF(AR149="Med",AO149*$D$43,IF(AR149="High",AO149*$D$44,"rango cal. out")))</f>
        <v>rango cal. out</v>
      </c>
      <c r="AT149" s="619" t="e">
        <f>((273.2+AL149)*$F$33/((273.2+$F$32)*AN149))</f>
        <v>#DIV/0!</v>
      </c>
      <c r="AU149" s="674" t="e">
        <f>AS149/AP149*AT149*EXP(-LN(2)/10990*($F$96-AQ149))</f>
        <v>#VALUE!</v>
      </c>
      <c r="AV149" s="599" t="e">
        <f>AU149-AVERAGE(BC102:BC103)</f>
        <v>#VALUE!</v>
      </c>
      <c r="AW149" s="672" t="e">
        <f>ABS(#REF!*AV149*3600)</f>
        <v>#REF!</v>
      </c>
      <c r="AX149" s="675" t="e">
        <f>ABS($B$34*AV149*3600)</f>
        <v>#VALUE!</v>
      </c>
      <c r="AY149" s="614" t="e">
        <f>AX149*$C$87</f>
        <v>#VALUE!</v>
      </c>
      <c r="AZ149" s="672" t="e">
        <f>AX149*$F$78</f>
        <v>#VALUE!</v>
      </c>
      <c r="BA149" s="600" t="e">
        <f>AX149*$F$83</f>
        <v>#VALUE!</v>
      </c>
      <c r="BB149" s="672" t="e">
        <f>AX149*$F$80</f>
        <v>#VALUE!</v>
      </c>
      <c r="BC149" s="676" t="e">
        <f>AX149*$F$79</f>
        <v>#VALUE!</v>
      </c>
      <c r="BD149" s="668">
        <v>20.7</v>
      </c>
      <c r="BE149" s="669">
        <v>54</v>
      </c>
      <c r="BF149" s="670">
        <v>1009</v>
      </c>
      <c r="BG149" s="2010">
        <v>-5.0000000000000003E-10</v>
      </c>
      <c r="BH149" s="673">
        <v>60</v>
      </c>
      <c r="BI149" s="663">
        <v>44334</v>
      </c>
      <c r="BJ149" s="650" t="s">
        <v>268</v>
      </c>
      <c r="BK149" s="671">
        <f>IF(BJ149="Low",BG149*$D$42,IF(BJ149="Med",BG149*$D$43,IF(BJ149="High",BG149*$D$44,"rango cal. out")))</f>
        <v>-5.0149999999999997E-10</v>
      </c>
      <c r="BL149" s="619">
        <f>((273.2+BD149)*$F$33/((273.2+$F$32)*BF149))</f>
        <v>0.9997897479594221</v>
      </c>
      <c r="BM149" s="674">
        <f>BK149/BH149*BL149*EXP(-LN(2)/10990*($F$96-BI149))</f>
        <v>-8.2758023774525684E-12</v>
      </c>
      <c r="BN149" s="599">
        <f>BM149-AVERAGE(BU102:BU103)</f>
        <v>-8.2744571933441722E-12</v>
      </c>
      <c r="BO149" s="672" t="e">
        <f>ABS(#REF!*BN149*3600)</f>
        <v>#REF!</v>
      </c>
      <c r="BP149" s="675">
        <f>ABS($B$34*BN149*3600)</f>
        <v>7.5065875658018334E-4</v>
      </c>
      <c r="BQ149" s="614">
        <f>BP149*$C$87</f>
        <v>7.5065875658018338E-2</v>
      </c>
      <c r="BR149" s="672">
        <f>BP149*$F$78</f>
        <v>9.0079050789621993E-4</v>
      </c>
      <c r="BS149" s="600">
        <f>BP149*$F$83</f>
        <v>9.0829709546202183E-4</v>
      </c>
      <c r="BT149" s="672">
        <f>BP149*$F$80</f>
        <v>9.0829709546202183E-4</v>
      </c>
      <c r="BU149" s="676">
        <f>BP149*$F$79</f>
        <v>9.3832344572522921E-4</v>
      </c>
      <c r="BV149" s="668">
        <v>20.7</v>
      </c>
      <c r="BW149" s="669">
        <v>51</v>
      </c>
      <c r="BX149" s="680">
        <v>1008</v>
      </c>
      <c r="BY149" s="2010">
        <v>-2.7499999999999999E-11</v>
      </c>
      <c r="BZ149" s="673">
        <v>60</v>
      </c>
      <c r="CA149" s="663">
        <v>44334</v>
      </c>
      <c r="CB149" s="650" t="s">
        <v>268</v>
      </c>
      <c r="CC149" s="671">
        <f>IF(CB149="Low",BY149*$D$42,IF(CB149="Med",BY149*$D$43,IF(CB149="High",BY149*$D$44,"rango cal. out")))</f>
        <v>-2.7582499999999996E-11</v>
      </c>
      <c r="CD149" s="619">
        <f>((273.2+BV149)*$F$33/((273.2+$F$32)*BX149))</f>
        <v>1.000781602868112</v>
      </c>
      <c r="CE149" s="674">
        <f>CC149/BZ149*CD149*EXP(-LN(2)/10990*($F$96-CA149))</f>
        <v>-4.5562068743723234E-13</v>
      </c>
      <c r="CF149" s="599">
        <f>CE149-AVERAGE(CM102:CM103)</f>
        <v>-4.5381919220209064E-13</v>
      </c>
      <c r="CG149" s="672" t="e">
        <f>ABS(#REF!*CF149*3600)</f>
        <v>#REF!</v>
      </c>
      <c r="CH149" s="675">
        <f>ABS($B$34*CF149*3600)</f>
        <v>4.117047711657366E-5</v>
      </c>
      <c r="CI149" s="614">
        <f>CH149*$C$87</f>
        <v>4.1170477116573663E-3</v>
      </c>
      <c r="CJ149" s="672">
        <f>CH149*$F$78</f>
        <v>4.9404572539888394E-5</v>
      </c>
      <c r="CK149" s="600">
        <f>CH149*$F$83</f>
        <v>4.981627731105413E-5</v>
      </c>
      <c r="CL149" s="672">
        <f>CH149*$F$80</f>
        <v>4.981627731105413E-5</v>
      </c>
      <c r="CM149" s="676">
        <f>CH149*$F$79</f>
        <v>5.1463096395717077E-5</v>
      </c>
      <c r="CN149" s="668">
        <v>20.399999999999999</v>
      </c>
      <c r="CO149" s="669">
        <v>51</v>
      </c>
      <c r="CP149" s="680">
        <v>1007</v>
      </c>
      <c r="CQ149" s="2011">
        <v>-1.1599999999999999E-9</v>
      </c>
      <c r="CR149" s="673">
        <v>60</v>
      </c>
      <c r="CS149" s="663">
        <v>44334</v>
      </c>
      <c r="CT149" s="650" t="s">
        <v>268</v>
      </c>
      <c r="CU149" s="671">
        <f>IF(CT149="Low",CQ149*$D$42,IF(CT149="Med",CQ149*$D$43,IF(CT149="High",CQ149*$D$44,"rango cal. out")))</f>
        <v>-1.1634799999999998E-9</v>
      </c>
      <c r="CV149" s="619">
        <f>((273.2+CN149)*$F$33/((273.2+$F$32)*CP149))</f>
        <v>1.0007528600608746</v>
      </c>
      <c r="CW149" s="674">
        <f>CU149/CR149*CV149*EXP(-LN(2)/10990*($F$96-CS149))</f>
        <v>-1.9218357023380164E-11</v>
      </c>
      <c r="CX149" s="599">
        <f>CW149-AVERAGE(DE102:DE103)</f>
        <v>-1.9207069336674738E-11</v>
      </c>
      <c r="CY149" s="672" t="e">
        <f>ABS(#REF!*CX149*3600)</f>
        <v>#REF!</v>
      </c>
      <c r="CZ149" s="675">
        <f>ABS($B$34*CX149*3600)</f>
        <v>1.7424653302231322E-3</v>
      </c>
      <c r="DA149" s="614">
        <f>CZ149*$C$87</f>
        <v>0.17424653302231322</v>
      </c>
      <c r="DB149" s="672">
        <f>CZ149*$F$78</f>
        <v>2.0909583962677586E-3</v>
      </c>
      <c r="DC149" s="600">
        <f>CZ149*$F$83</f>
        <v>2.1083830495699897E-3</v>
      </c>
      <c r="DD149" s="672">
        <f>CZ149*$F$80</f>
        <v>2.1083830495699897E-3</v>
      </c>
      <c r="DE149" s="676">
        <f>CZ149*$F$79</f>
        <v>2.1780816627789152E-3</v>
      </c>
      <c r="DF149" s="668"/>
      <c r="DG149" s="669"/>
      <c r="DH149" s="670"/>
      <c r="DI149" s="671"/>
      <c r="DJ149" s="678"/>
      <c r="DK149" s="650"/>
      <c r="DL149" s="650" t="s">
        <v>268</v>
      </c>
      <c r="DM149" s="671">
        <f>IF(DL149="Low",DI149*$D$42,IF(DL149="Med",DI149*$D$43,IF(DL149="High",DI149*$D$44,"rango cal. out")))</f>
        <v>0</v>
      </c>
      <c r="DN149" s="619" t="e">
        <f>((273.2+DF149)*$F$33/((273.2+$F$32)*DH149))</f>
        <v>#DIV/0!</v>
      </c>
      <c r="DO149" s="674" t="e">
        <f>DM149/DJ149*DN149*EXP(-LN(2)/10990*($F$96-DK149))</f>
        <v>#DIV/0!</v>
      </c>
      <c r="DP149" s="599" t="e">
        <f>DO149-AVERAGE(DW102:DW103)</f>
        <v>#DIV/0!</v>
      </c>
      <c r="DQ149" s="672" t="e">
        <f>ABS(#REF!*DP149*3600)</f>
        <v>#REF!</v>
      </c>
      <c r="DR149" s="675" t="e">
        <f>ABS($B$34*DP149*3600)</f>
        <v>#DIV/0!</v>
      </c>
      <c r="DS149" s="614" t="e">
        <f>DR149*$C$87</f>
        <v>#DIV/0!</v>
      </c>
      <c r="DT149" s="672" t="e">
        <f>DR149*$F$78</f>
        <v>#DIV/0!</v>
      </c>
      <c r="DU149" s="600" t="e">
        <f>DR149*$F$83</f>
        <v>#DIV/0!</v>
      </c>
      <c r="DV149" s="672" t="e">
        <f>DR149*$F$80</f>
        <v>#DIV/0!</v>
      </c>
      <c r="DW149" s="676" t="e">
        <f>DR149*$F$79</f>
        <v>#DIV/0!</v>
      </c>
      <c r="DX149" s="668"/>
      <c r="DY149" s="669"/>
      <c r="DZ149" s="677"/>
      <c r="EA149" s="679"/>
      <c r="EB149" s="678"/>
      <c r="EC149" s="650"/>
      <c r="ED149" s="650"/>
      <c r="EE149" s="671" t="str">
        <f>IF(ED149="Low",EA149*$D$42,IF(ED149="Med",EA149*$D$43,IF(ED149="High",EA149*$D$44,"rango cal. out")))</f>
        <v>rango cal. out</v>
      </c>
      <c r="EF149" s="619" t="e">
        <f>((273.2+DX149)*$F$33/((273.2+$F$32)*DZ149))</f>
        <v>#DIV/0!</v>
      </c>
      <c r="EG149" s="674" t="e">
        <f>EE149/EB149*EF149*EXP(-LN(2)/10990*($F$96-EC149))</f>
        <v>#VALUE!</v>
      </c>
      <c r="EH149" s="599" t="e">
        <f>EG149-AVERAGE(EO102:EO103)</f>
        <v>#VALUE!</v>
      </c>
      <c r="EI149" s="672" t="e">
        <f>ABS(#REF!*EH149*3600)</f>
        <v>#REF!</v>
      </c>
      <c r="EJ149" s="675" t="e">
        <f>ABS($B$34*EH149*3600)</f>
        <v>#VALUE!</v>
      </c>
      <c r="EK149" s="614" t="e">
        <f>EJ149*$C$87</f>
        <v>#VALUE!</v>
      </c>
      <c r="EL149" s="672" t="e">
        <f>EJ149*$F$78</f>
        <v>#VALUE!</v>
      </c>
      <c r="EM149" s="600" t="e">
        <f>EJ149*$F$83</f>
        <v>#VALUE!</v>
      </c>
      <c r="EN149" s="672" t="e">
        <f>EJ149*$F$80</f>
        <v>#VALUE!</v>
      </c>
      <c r="EO149" s="676" t="e">
        <f>EJ149*$F$79</f>
        <v>#VALUE!</v>
      </c>
      <c r="EP149" s="668">
        <v>20.399999999999999</v>
      </c>
      <c r="EQ149" s="669">
        <v>52</v>
      </c>
      <c r="ER149" s="680">
        <v>1007</v>
      </c>
      <c r="ES149" s="2011">
        <v>-9.4999999999999995E-12</v>
      </c>
      <c r="ET149" s="673">
        <v>60</v>
      </c>
      <c r="EU149" s="663">
        <v>44334</v>
      </c>
      <c r="EV149" s="650" t="s">
        <v>268</v>
      </c>
      <c r="EW149" s="671">
        <f>IF(EV149="Low",ES149*$D$42,IF(EV149="Med",ES149*$D$43,IF(EV149="High",ES149*$D$44,"rango cal. out")))</f>
        <v>-9.5284999999999984E-12</v>
      </c>
      <c r="EX149" s="619">
        <f>((273.2+EP149)*$F$33/((273.2+$F$32)*ER149))</f>
        <v>1.0007528600608746</v>
      </c>
      <c r="EY149" s="674">
        <f>EW149/ET149*EX149*EXP(-LN(2)/10990*($F$96-EU149))</f>
        <v>-1.573917170018203E-13</v>
      </c>
      <c r="EZ149" s="599">
        <f>EY149-AVERAGE(FG102:FG103)</f>
        <v>-1.5847228081142003E-13</v>
      </c>
      <c r="FA149" s="672" t="e">
        <f>ABS(#REF!*EZ149*3600)</f>
        <v>#REF!</v>
      </c>
      <c r="FB149" s="675">
        <f>ABS($B$34*EZ149*3600)</f>
        <v>1.4376605315212025E-5</v>
      </c>
      <c r="FC149" s="614">
        <f>FB149*$C$87</f>
        <v>1.4376605315212024E-3</v>
      </c>
      <c r="FD149" s="672">
        <f>FB149*$F$78</f>
        <v>1.7251926378254429E-5</v>
      </c>
      <c r="FE149" s="600">
        <f>FB149*$F$83</f>
        <v>1.739569243140655E-5</v>
      </c>
      <c r="FF149" s="672">
        <f>FB149*$F$80</f>
        <v>1.739569243140655E-5</v>
      </c>
      <c r="FG149" s="676">
        <f>FB149*$F$79</f>
        <v>1.797075664401503E-5</v>
      </c>
      <c r="FH149" s="668"/>
      <c r="FI149" s="669"/>
      <c r="FJ149" s="670"/>
      <c r="FK149" s="671"/>
      <c r="FL149" s="678"/>
      <c r="FM149" s="650"/>
      <c r="FN149" s="650"/>
      <c r="FO149" s="671" t="str">
        <f>IF(FN149="Low",FK149*$D$42,IF(FN149="Med",FK149*$D$43,IF(FN149="High",FK149*$D$44,"rango cal. out")))</f>
        <v>rango cal. out</v>
      </c>
      <c r="FP149" s="619" t="e">
        <f>((273.2+FH149)*$F$33/((273.2+$F$32)*FJ149))</f>
        <v>#DIV/0!</v>
      </c>
      <c r="FQ149" s="674" t="e">
        <f>FO149/FL149*FP149*EXP(-LN(2)/10990*($F$96-FM149))</f>
        <v>#VALUE!</v>
      </c>
      <c r="FR149" s="599" t="e">
        <f>FQ149-AVERAGE(FY102:FY103)</f>
        <v>#VALUE!</v>
      </c>
      <c r="FS149" s="672" t="e">
        <f>ABS(#REF!*FR149*3600)</f>
        <v>#REF!</v>
      </c>
      <c r="FT149" s="675" t="e">
        <f>ABS($B$34*FR149*3600)</f>
        <v>#VALUE!</v>
      </c>
      <c r="FU149" s="614" t="e">
        <f>FT149*$C$87</f>
        <v>#VALUE!</v>
      </c>
      <c r="FV149" s="672" t="e">
        <f>FT149*$F$78</f>
        <v>#VALUE!</v>
      </c>
      <c r="FW149" s="600" t="e">
        <f>FT149*$F$83</f>
        <v>#VALUE!</v>
      </c>
      <c r="FX149" s="672" t="e">
        <f>FT149*$F$80</f>
        <v>#VALUE!</v>
      </c>
      <c r="FY149" s="676" t="e">
        <f>FT149*$F$79</f>
        <v>#VALUE!</v>
      </c>
      <c r="FZ149" s="668"/>
      <c r="GA149" s="669"/>
      <c r="GB149" s="670"/>
      <c r="GC149" s="671"/>
      <c r="GD149" s="678"/>
      <c r="GE149" s="650"/>
      <c r="GF149" s="650"/>
      <c r="GG149" s="671" t="str">
        <f>IF(GF149="Low",GC149*$D$42,IF(GF149="Med",GC149*$D$43,IF(GF149="High",GC149*$D$44,"rango cal. out")))</f>
        <v>rango cal. out</v>
      </c>
      <c r="GH149" s="619" t="e">
        <f>((273.2+FZ149)*$F$33/((273.2+$F$32)*GB149))</f>
        <v>#DIV/0!</v>
      </c>
      <c r="GI149" s="674" t="e">
        <f>GG149/GD149*GH149*EXP(-LN(2)/10990*($F$96-GE149))</f>
        <v>#VALUE!</v>
      </c>
      <c r="GJ149" s="599" t="e">
        <f>GI149-AVERAGE(GQ102:GQ103)</f>
        <v>#VALUE!</v>
      </c>
      <c r="GK149" s="672" t="e">
        <f>ABS(#REF!*GJ149*3600)</f>
        <v>#REF!</v>
      </c>
      <c r="GL149" s="675" t="e">
        <f>ABS($B$34*GJ149*3600)</f>
        <v>#VALUE!</v>
      </c>
      <c r="GM149" s="614" t="e">
        <f>GL149*$C$87</f>
        <v>#VALUE!</v>
      </c>
      <c r="GN149" s="672" t="e">
        <f>GL149*$F$78</f>
        <v>#VALUE!</v>
      </c>
      <c r="GO149" s="600" t="e">
        <f>GL149*$F$83</f>
        <v>#VALUE!</v>
      </c>
      <c r="GP149" s="672" t="e">
        <f>GL149*$F$80</f>
        <v>#VALUE!</v>
      </c>
      <c r="GQ149" s="676" t="e">
        <f>GL149*$F$79</f>
        <v>#VALUE!</v>
      </c>
      <c r="GR149" s="668"/>
      <c r="GS149" s="669"/>
      <c r="GT149" s="677"/>
      <c r="GU149" s="679"/>
      <c r="GV149" s="678"/>
      <c r="GW149" s="650"/>
      <c r="GX149" s="650"/>
      <c r="GY149" s="671" t="str">
        <f>IF(GX149="Low",GU149*$D$42,IF(GX149="Med",GU149*$D$43,IF(GX149="High",GU149*$D$44,"rango cal. out")))</f>
        <v>rango cal. out</v>
      </c>
      <c r="GZ149" s="619" t="e">
        <f>((273.2+GR149)*$F$33/((273.2+$F$32)*GT149))</f>
        <v>#DIV/0!</v>
      </c>
      <c r="HA149" s="674" t="e">
        <f>GY149/GV149*GZ149*EXP(-LN(2)/10990*($F$96-GW149))</f>
        <v>#VALUE!</v>
      </c>
      <c r="HB149" s="599" t="e">
        <f>HA149-AVERAGE(HI102:HI103)</f>
        <v>#VALUE!</v>
      </c>
      <c r="HC149" s="672" t="e">
        <f>ABS(#REF!*HB149*3600)</f>
        <v>#REF!</v>
      </c>
      <c r="HD149" s="675" t="e">
        <f>ABS($B$34*HB149*3600)</f>
        <v>#VALUE!</v>
      </c>
      <c r="HE149" s="614" t="e">
        <f>HD149*$C$87</f>
        <v>#VALUE!</v>
      </c>
      <c r="HF149" s="672" t="e">
        <f>HD149*$F$78</f>
        <v>#VALUE!</v>
      </c>
      <c r="HG149" s="600" t="e">
        <f>HD149*$F$83</f>
        <v>#VALUE!</v>
      </c>
      <c r="HH149" s="672" t="e">
        <f>HD149*$F$80</f>
        <v>#VALUE!</v>
      </c>
      <c r="HI149" s="676" t="e">
        <f>HD149*$F$79</f>
        <v>#VALUE!</v>
      </c>
      <c r="HJ149" s="668"/>
      <c r="HK149" s="669"/>
      <c r="HL149" s="670"/>
      <c r="HM149" s="671"/>
      <c r="HN149" s="678"/>
      <c r="HO149" s="650"/>
      <c r="HP149" s="650"/>
      <c r="HQ149" s="671" t="str">
        <f>IF(HP149="Low",HM149*$D$42,IF(HP149="Med",HM149*$D$43,IF(HP149="High",HM149*$D$44,"rango cal. out")))</f>
        <v>rango cal. out</v>
      </c>
      <c r="HR149" s="619" t="e">
        <f>((273.2+HJ149)*$F$33/((273.2+$F$32)*HL149))</f>
        <v>#DIV/0!</v>
      </c>
      <c r="HS149" s="674" t="e">
        <f>HQ149/HN149*HR149*EXP(-LN(2)/10990*($F$96-HO149))</f>
        <v>#VALUE!</v>
      </c>
      <c r="HT149" s="599" t="e">
        <f>HS149-AVERAGE(IA102:IA103)</f>
        <v>#VALUE!</v>
      </c>
      <c r="HU149" s="672" t="e">
        <f>ABS(#REF!*HT149*3600)</f>
        <v>#REF!</v>
      </c>
      <c r="HV149" s="675" t="e">
        <f>ABS($B$34*HT149*3600)</f>
        <v>#VALUE!</v>
      </c>
      <c r="HW149" s="614" t="e">
        <f>HV149*$C$87</f>
        <v>#VALUE!</v>
      </c>
      <c r="HX149" s="672" t="e">
        <f>HV149*$F$78</f>
        <v>#VALUE!</v>
      </c>
      <c r="HY149" s="600" t="e">
        <f>HV149*$F$83</f>
        <v>#VALUE!</v>
      </c>
      <c r="HZ149" s="672" t="e">
        <f>HV149*$F$80</f>
        <v>#VALUE!</v>
      </c>
      <c r="IA149" s="676" t="e">
        <f>HV149*$F$79</f>
        <v>#VALUE!</v>
      </c>
      <c r="IB149" s="668"/>
      <c r="IC149" s="669"/>
      <c r="ID149" s="670"/>
      <c r="IE149" s="671"/>
      <c r="IF149" s="678"/>
      <c r="IG149" s="650"/>
      <c r="IH149" s="650"/>
      <c r="II149" s="671" t="str">
        <f>IF(IH149="Low",IE149*$D$42,IF(IH149="Med",IE149*$D$43,IF(IH149="High",IE149*$D$44,"rango cal. out")))</f>
        <v>rango cal. out</v>
      </c>
      <c r="IJ149" s="619" t="e">
        <f>((273.2+IB149)*$F$33/((273.2+$F$32)*ID149))</f>
        <v>#DIV/0!</v>
      </c>
      <c r="IK149" s="674" t="e">
        <f>II149/IF149*IJ149*EXP(-LN(2)/10990*($F$96-IG149))</f>
        <v>#VALUE!</v>
      </c>
      <c r="IL149" s="599" t="e">
        <f>IK149-AVERAGE(IS102:IS103)</f>
        <v>#VALUE!</v>
      </c>
      <c r="IM149" s="672" t="e">
        <f>ABS(#REF!*IL149*3600)</f>
        <v>#REF!</v>
      </c>
      <c r="IN149" s="675" t="e">
        <f>ABS($B$34*IL149*3600)</f>
        <v>#VALUE!</v>
      </c>
      <c r="IO149" s="614" t="e">
        <f>IN149*$C$87</f>
        <v>#VALUE!</v>
      </c>
      <c r="IP149" s="672" t="e">
        <f>IN149*$F$78</f>
        <v>#VALUE!</v>
      </c>
      <c r="IQ149" s="600" t="e">
        <f>IN149*$F$83</f>
        <v>#VALUE!</v>
      </c>
      <c r="IR149" s="672" t="e">
        <f>IN149*$F$80</f>
        <v>#VALUE!</v>
      </c>
      <c r="IS149" s="676" t="e">
        <f>IN149*$F$79</f>
        <v>#VALUE!</v>
      </c>
      <c r="IT149" s="668"/>
      <c r="IU149" s="669"/>
      <c r="IV149" s="670"/>
      <c r="IW149" s="671"/>
      <c r="IX149" s="678"/>
      <c r="IY149" s="650"/>
      <c r="IZ149" s="650"/>
      <c r="JA149" s="671" t="str">
        <f>IF(IZ149="Low",IW149*$D$42,IF(IZ149="Med",IW149*$D$43,IF(IZ149="High",IW149*$D$44,"rango cal. out")))</f>
        <v>rango cal. out</v>
      </c>
      <c r="JB149" s="619" t="e">
        <f>((273.2+IT149)*$F$33/((273.2+$F$32)*IV149))</f>
        <v>#DIV/0!</v>
      </c>
      <c r="JC149" s="674" t="e">
        <f>JA149/IX149*JB149*EXP(-LN(2)/10990*($F$96-IY149))</f>
        <v>#VALUE!</v>
      </c>
      <c r="JD149" s="599" t="e">
        <f>JC149-AVERAGE(JK102:JK103)</f>
        <v>#VALUE!</v>
      </c>
      <c r="JE149" s="672" t="e">
        <f>ABS(#REF!*JD149*3600)</f>
        <v>#REF!</v>
      </c>
      <c r="JF149" s="675" t="e">
        <f>ABS($B$34*JD149*3600)</f>
        <v>#VALUE!</v>
      </c>
      <c r="JG149" s="614" t="e">
        <f>JF149*$C$87</f>
        <v>#VALUE!</v>
      </c>
      <c r="JH149" s="672" t="e">
        <f>JF149*$F$78</f>
        <v>#VALUE!</v>
      </c>
      <c r="JI149" s="600" t="e">
        <f>JF149*$F$83</f>
        <v>#VALUE!</v>
      </c>
      <c r="JJ149" s="672" t="e">
        <f>JF149*$F$80</f>
        <v>#VALUE!</v>
      </c>
      <c r="JK149" s="676" t="e">
        <f>JF149*$F$79</f>
        <v>#VALUE!</v>
      </c>
      <c r="JL149" s="668"/>
      <c r="JM149" s="669"/>
      <c r="JN149" s="670"/>
      <c r="JO149" s="671"/>
      <c r="JP149" s="678"/>
      <c r="JQ149" s="650"/>
      <c r="JR149" s="650"/>
      <c r="JS149" s="671" t="str">
        <f>IF(JR149="Low",JO149*$D$42,IF(JR149="Med",JO149*$D$43,IF(JR149="High",JO149*$D$44,"rango cal. out")))</f>
        <v>rango cal. out</v>
      </c>
      <c r="JT149" s="619" t="e">
        <f>((273.2+JL149)*$F$33/((273.2+$F$32)*JN149))</f>
        <v>#DIV/0!</v>
      </c>
      <c r="JU149" s="674" t="e">
        <f>JS149/JP149*JT149*EXP(-LN(2)/10990*($F$96-JQ149))</f>
        <v>#VALUE!</v>
      </c>
      <c r="JV149" s="599" t="e">
        <f>JU149-AVERAGE(KC102:KC103)</f>
        <v>#VALUE!</v>
      </c>
      <c r="JW149" s="672" t="e">
        <f>ABS(#REF!*JV149*3600)</f>
        <v>#REF!</v>
      </c>
      <c r="JX149" s="675" t="e">
        <f>ABS($B$34*JV149*3600)</f>
        <v>#VALUE!</v>
      </c>
      <c r="JY149" s="614" t="e">
        <f>JX149*$C$87</f>
        <v>#VALUE!</v>
      </c>
      <c r="JZ149" s="672" t="e">
        <f>JX149*$F$78</f>
        <v>#VALUE!</v>
      </c>
      <c r="KA149" s="600" t="e">
        <f>JX149*$F$83</f>
        <v>#VALUE!</v>
      </c>
      <c r="KB149" s="672" t="e">
        <f>JX149*$F$80</f>
        <v>#VALUE!</v>
      </c>
      <c r="KC149" s="676" t="e">
        <f>JX149*$F$79</f>
        <v>#VALUE!</v>
      </c>
      <c r="KD149" s="668"/>
      <c r="KE149" s="669"/>
      <c r="KF149" s="670"/>
      <c r="KG149" s="671"/>
      <c r="KH149" s="678"/>
      <c r="KI149" s="650"/>
      <c r="KJ149" s="650"/>
      <c r="KK149" s="671" t="str">
        <f>IF(KJ149="Low",KG149*$D$42,IF(KJ149="Med",KG149*$D$43,IF(KJ149="High",KG149*$D$44,"rango cal. out")))</f>
        <v>rango cal. out</v>
      </c>
      <c r="KL149" s="619" t="e">
        <f>((273.2+KD149)*$F$33/((273.2+$F$32)*KF149))</f>
        <v>#DIV/0!</v>
      </c>
      <c r="KM149" s="674" t="e">
        <f>KK149/KH149*KL149*EXP(-LN(2)/10990*($F$96-KI149))</f>
        <v>#VALUE!</v>
      </c>
      <c r="KN149" s="599" t="e">
        <f>KM149-AVERAGE(KU102:KU103)</f>
        <v>#VALUE!</v>
      </c>
      <c r="KO149" s="672" t="e">
        <f>ABS(#REF!*KN149*3600)</f>
        <v>#REF!</v>
      </c>
      <c r="KP149" s="675" t="e">
        <f>ABS($B$34*KN149*3600)</f>
        <v>#VALUE!</v>
      </c>
      <c r="KQ149" s="614" t="e">
        <f>KP149*$C$87</f>
        <v>#VALUE!</v>
      </c>
      <c r="KR149" s="672" t="e">
        <f>KP149*$F$78</f>
        <v>#VALUE!</v>
      </c>
      <c r="KS149" s="600" t="e">
        <f>KP149*$F$83</f>
        <v>#VALUE!</v>
      </c>
      <c r="KT149" s="672" t="e">
        <f>KP149*$F$80</f>
        <v>#VALUE!</v>
      </c>
      <c r="KU149" s="676" t="e">
        <f>KP149*$F$79</f>
        <v>#VALUE!</v>
      </c>
      <c r="KV149" s="668"/>
      <c r="KW149" s="669"/>
      <c r="KX149" s="670"/>
      <c r="KY149" s="671"/>
      <c r="KZ149" s="678"/>
      <c r="LA149" s="650"/>
      <c r="LB149" s="650"/>
      <c r="LC149" s="671" t="str">
        <f>IF(LB149="Low",KY149*$D$42,IF(LB149="Med",KY149*$D$43,IF(LB149="High",KY149*$D$44,"rango cal. out")))</f>
        <v>rango cal. out</v>
      </c>
      <c r="LD149" s="619" t="e">
        <f>((273.2+KV149)*$F$33/((273.2+$F$32)*KX149))</f>
        <v>#DIV/0!</v>
      </c>
      <c r="LE149" s="674" t="e">
        <f>LC149/KZ149*LD149*EXP(-LN(2)/10990*($F$96-LA149))</f>
        <v>#VALUE!</v>
      </c>
      <c r="LF149" s="599" t="e">
        <f>LE149-AVERAGE(LM102:LM103)</f>
        <v>#VALUE!</v>
      </c>
      <c r="LG149" s="672" t="e">
        <f>ABS(#REF!*LF149*3600)</f>
        <v>#REF!</v>
      </c>
      <c r="LH149" s="675" t="e">
        <f>ABS($B$34*LF149*3600)</f>
        <v>#VALUE!</v>
      </c>
      <c r="LI149" s="614" t="e">
        <f>LH149*$C$87</f>
        <v>#VALUE!</v>
      </c>
      <c r="LJ149" s="672" t="e">
        <f>LH149*$F$78</f>
        <v>#VALUE!</v>
      </c>
      <c r="LK149" s="600" t="e">
        <f>LH149*$F$83</f>
        <v>#VALUE!</v>
      </c>
      <c r="LL149" s="672" t="e">
        <f>LH149*$F$80</f>
        <v>#VALUE!</v>
      </c>
      <c r="LM149" s="676" t="e">
        <f>LH149*$F$79</f>
        <v>#VALUE!</v>
      </c>
      <c r="LN149" s="668"/>
      <c r="LO149" s="669"/>
      <c r="LP149" s="670"/>
      <c r="LQ149" s="671"/>
      <c r="LR149" s="678"/>
      <c r="LS149" s="650"/>
      <c r="LT149" s="650"/>
      <c r="LU149" s="671" t="str">
        <f>IF(LT149="Low",LQ149*$D$42,IF(LT149="Med",LQ149*$D$43,IF(LT149="High",LQ149*$D$44,"rango cal. out")))</f>
        <v>rango cal. out</v>
      </c>
      <c r="LV149" s="619" t="e">
        <f>((273.2+LN149)*$F$33/((273.2+$F$32)*LP149))</f>
        <v>#DIV/0!</v>
      </c>
      <c r="LW149" s="674" t="e">
        <f>LU149/LR149*LV149*EXP(-LN(2)/10990*($F$96-LS149))</f>
        <v>#VALUE!</v>
      </c>
      <c r="LX149" s="599" t="e">
        <f>LW149-AVERAGE(ME102:ME103)</f>
        <v>#VALUE!</v>
      </c>
      <c r="LY149" s="672" t="e">
        <f>ABS(#REF!*LX149*3600)</f>
        <v>#REF!</v>
      </c>
      <c r="LZ149" s="675" t="e">
        <f>ABS($B$34*LX149*3600)</f>
        <v>#VALUE!</v>
      </c>
      <c r="MA149" s="614" t="e">
        <f>LZ149*$C$87</f>
        <v>#VALUE!</v>
      </c>
      <c r="MB149" s="672" t="e">
        <f>LZ149*$F$78</f>
        <v>#VALUE!</v>
      </c>
      <c r="MC149" s="600" t="e">
        <f>LZ149*$F$83</f>
        <v>#VALUE!</v>
      </c>
      <c r="MD149" s="672" t="e">
        <f>LZ149*$F$80</f>
        <v>#VALUE!</v>
      </c>
      <c r="ME149" s="676" t="e">
        <f>LZ149*$F$79</f>
        <v>#VALUE!</v>
      </c>
      <c r="MF149" s="668"/>
      <c r="MG149" s="669"/>
      <c r="MH149" s="670"/>
      <c r="MI149" s="671"/>
      <c r="MJ149" s="678"/>
      <c r="MK149" s="650"/>
      <c r="ML149" s="650"/>
      <c r="MM149" s="671" t="str">
        <f>IF(ML149="Low",MI149*$D$42,IF(ML149="Med",MI149*$D$43,IF(ML149="High",MI149*$D$44,"rango cal. out")))</f>
        <v>rango cal. out</v>
      </c>
      <c r="MN149" s="619" t="e">
        <f>((273.2+MF149)*$F$33/((273.2+$F$32)*MH149))</f>
        <v>#DIV/0!</v>
      </c>
      <c r="MO149" s="674" t="e">
        <f>MM149/MJ149*MN149*EXP(-LN(2)/10990*($F$96-MK149))</f>
        <v>#VALUE!</v>
      </c>
      <c r="MP149" s="599" t="e">
        <f>MO149-AVERAGE(MW102:MW103)</f>
        <v>#VALUE!</v>
      </c>
      <c r="MQ149" s="672" t="e">
        <f>ABS(#REF!*MP149*3600)</f>
        <v>#REF!</v>
      </c>
      <c r="MR149" s="675" t="e">
        <f>ABS($B$34*MP149*3600)</f>
        <v>#VALUE!</v>
      </c>
      <c r="MS149" s="614" t="e">
        <f>MR149*$C$87</f>
        <v>#VALUE!</v>
      </c>
      <c r="MT149" s="672" t="e">
        <f>MR149*$F$78</f>
        <v>#VALUE!</v>
      </c>
      <c r="MU149" s="600" t="e">
        <f>MR149*$F$83</f>
        <v>#VALUE!</v>
      </c>
      <c r="MV149" s="672" t="e">
        <f>MR149*$F$80</f>
        <v>#VALUE!</v>
      </c>
      <c r="MW149" s="676" t="e">
        <f>MR149*$F$79</f>
        <v>#VALUE!</v>
      </c>
      <c r="MX149" s="668"/>
      <c r="MY149" s="669"/>
      <c r="MZ149" s="680"/>
      <c r="NA149" s="671"/>
      <c r="NB149" s="673"/>
      <c r="NC149" s="650"/>
      <c r="ND149" s="650"/>
      <c r="NE149" s="671" t="str">
        <f>IF(ND149="Low",NA149*$D$42,IF(ND149="Med",NA149*$D$43,IF(ND149="High",NA149*$D$44,"rango cal. out")))</f>
        <v>rango cal. out</v>
      </c>
      <c r="NF149" s="619" t="e">
        <f>((273.2+MX149)*$F$33/((273.2+$F$32)*MZ149))</f>
        <v>#DIV/0!</v>
      </c>
      <c r="NG149" s="674" t="e">
        <f>NE149/NB149*NF149*EXP(-LN(2)/10990*($F$96-NC149))</f>
        <v>#VALUE!</v>
      </c>
      <c r="NH149" s="599" t="e">
        <f>NG149-AVERAGE(NO102:NO103)</f>
        <v>#VALUE!</v>
      </c>
      <c r="NI149" s="672" t="e">
        <f>ABS(#REF!*NH149*3600)</f>
        <v>#REF!</v>
      </c>
      <c r="NJ149" s="675" t="e">
        <f>ABS($B$34*NH149*3600)</f>
        <v>#VALUE!</v>
      </c>
      <c r="NK149" s="614" t="e">
        <f>NJ149*$C$87</f>
        <v>#VALUE!</v>
      </c>
      <c r="NL149" s="672" t="e">
        <f>NJ149*$F$78</f>
        <v>#VALUE!</v>
      </c>
      <c r="NM149" s="600" t="e">
        <f>NJ149*$F$83</f>
        <v>#VALUE!</v>
      </c>
      <c r="NN149" s="672" t="e">
        <f>NJ149*$F$80</f>
        <v>#VALUE!</v>
      </c>
      <c r="NO149" s="676" t="e">
        <f>NJ149*$F$79</f>
        <v>#VALUE!</v>
      </c>
      <c r="NP149" s="668">
        <v>20.3</v>
      </c>
      <c r="NQ149" s="669">
        <v>52</v>
      </c>
      <c r="NR149" s="680">
        <v>1007</v>
      </c>
      <c r="NS149" s="2011">
        <v>-4.1999999999999997E-11</v>
      </c>
      <c r="NT149" s="678">
        <v>60</v>
      </c>
      <c r="NU149" s="663">
        <v>44334</v>
      </c>
      <c r="NV149" s="650" t="s">
        <v>268</v>
      </c>
      <c r="NW149" s="671">
        <f>IF(NV149="Low",NS149*$D$42,IF(NV149="Med",NS149*$D$43,IF(NV149="High",NS149*$D$44,"rango cal. out")))</f>
        <v>-4.2125999999999992E-11</v>
      </c>
      <c r="NX149" s="619">
        <f>((273.2+NP149)*$F$33/((273.2+$F$32)*NR149))</f>
        <v>1.0004120041821074</v>
      </c>
      <c r="NY149" s="674">
        <f>NW149/NT149*NX149*EXP(-LN(2)/10990*($F$96-NU149))</f>
        <v>-6.956000629146132E-13</v>
      </c>
      <c r="NZ149" s="599">
        <f>NY149-AVERAGE(OG102:OG103)</f>
        <v>-6.963522239865717E-13</v>
      </c>
      <c r="OA149" s="672" t="e">
        <f>ABS(#REF!*NZ149*3600)</f>
        <v>#REF!</v>
      </c>
      <c r="OB149" s="675">
        <f>ABS($B$34*NZ149*3600)</f>
        <v>6.3173073760061779E-5</v>
      </c>
      <c r="OC149" s="614">
        <f>OB149*$C$87</f>
        <v>6.3173073760061779E-3</v>
      </c>
      <c r="OD149" s="672">
        <f>OB149*$F$78</f>
        <v>7.5807688512074137E-5</v>
      </c>
      <c r="OE149" s="600">
        <f>OB149*$F$83</f>
        <v>7.6439419249674749E-5</v>
      </c>
      <c r="OF149" s="672">
        <f>OB149*$F$80</f>
        <v>7.6439419249674749E-5</v>
      </c>
      <c r="OG149" s="676">
        <f>OB149*$F$79</f>
        <v>7.8966342200077224E-5</v>
      </c>
      <c r="OH149" s="668"/>
      <c r="OI149" s="669"/>
      <c r="OJ149" s="670"/>
      <c r="OK149" s="671"/>
      <c r="OL149" s="678"/>
      <c r="OM149" s="650"/>
      <c r="ON149" s="650"/>
      <c r="OO149" s="671" t="str">
        <f>IF(ON149="Low",OK149*$D$42,IF(ON149="Med",OK149*$D$43,IF(ON149="High",OK149*$D$44,"rango cal. out")))</f>
        <v>rango cal. out</v>
      </c>
      <c r="OP149" s="619" t="e">
        <f>((273.2+OH149)*$F$33/((273.2+$F$32)*OJ149))</f>
        <v>#DIV/0!</v>
      </c>
      <c r="OQ149" s="674" t="e">
        <f>OO149/OL149*OP149*EXP(-LN(2)/10990*($F$96-OM149))</f>
        <v>#VALUE!</v>
      </c>
      <c r="OR149" s="599" t="e">
        <f>OQ149-AVERAGE(OY102:OY103)</f>
        <v>#VALUE!</v>
      </c>
      <c r="OS149" s="672" t="e">
        <f>ABS(#REF!*OR149*3600)</f>
        <v>#REF!</v>
      </c>
      <c r="OT149" s="675" t="e">
        <f>ABS($B$34*OR149*3600)</f>
        <v>#VALUE!</v>
      </c>
      <c r="OU149" s="614" t="e">
        <f>OT149*$C$87</f>
        <v>#VALUE!</v>
      </c>
      <c r="OV149" s="672" t="e">
        <f>OT149*$F$78</f>
        <v>#VALUE!</v>
      </c>
      <c r="OW149" s="600" t="e">
        <f>OT149*$F$83</f>
        <v>#VALUE!</v>
      </c>
      <c r="OX149" s="672" t="e">
        <f>OT149*$F$80</f>
        <v>#VALUE!</v>
      </c>
      <c r="OY149" s="676" t="e">
        <f>OT149*$F$79</f>
        <v>#VALUE!</v>
      </c>
      <c r="OZ149" s="668">
        <v>20.5</v>
      </c>
      <c r="PA149" s="669">
        <v>53</v>
      </c>
      <c r="PB149" s="680">
        <v>1007</v>
      </c>
      <c r="PC149" s="2011">
        <v>-8.6E-11</v>
      </c>
      <c r="PD149" s="673">
        <v>60</v>
      </c>
      <c r="PE149" s="663">
        <v>44334</v>
      </c>
      <c r="PF149" s="650" t="s">
        <v>268</v>
      </c>
      <c r="PG149" s="671">
        <f>IF(PF149="Low",PC149*$D$42,IF(PF149="Med",PC149*$D$43,IF(PF149="High",PC149*$D$44,"rango cal. out")))</f>
        <v>-8.6257999999999991E-11</v>
      </c>
      <c r="PH149" s="619">
        <f>((273.2+OZ149)*$F$33/((273.2+$F$32)*PB149))</f>
        <v>1.001093715939642</v>
      </c>
      <c r="PI149" s="674">
        <f>PG149/PD149*PH149*EXP(-LN(2)/10990*($F$96-PE149))</f>
        <v>-1.4252945168418824E-12</v>
      </c>
      <c r="PJ149" s="599">
        <f>PI149-AVERAGE(PQ102:PQ103)</f>
        <v>-1.4236213067454419E-12</v>
      </c>
      <c r="PK149" s="672" t="e">
        <f>ABS(#REF!*PJ149*3600)</f>
        <v>#REF!</v>
      </c>
      <c r="PL149" s="675">
        <f>ABS($B$34*PJ149*3600)</f>
        <v>1.2915092494794649E-4</v>
      </c>
      <c r="PM149" s="614">
        <f>PL149*$C$87</f>
        <v>1.2915092494794649E-2</v>
      </c>
      <c r="PN149" s="672">
        <f>PL149*$F$78</f>
        <v>1.5498110993753577E-4</v>
      </c>
      <c r="PO149" s="600">
        <f>PL149*$F$83</f>
        <v>1.5627261918701524E-4</v>
      </c>
      <c r="PP149" s="672">
        <f>PL149*$F$80</f>
        <v>1.5627261918701524E-4</v>
      </c>
      <c r="PQ149" s="676">
        <f>PL149*$F$79</f>
        <v>1.6143865618493313E-4</v>
      </c>
      <c r="PR149" s="668"/>
      <c r="PS149" s="669"/>
      <c r="PT149" s="670"/>
      <c r="PU149" s="671"/>
      <c r="PV149" s="678"/>
      <c r="PW149" s="650"/>
      <c r="PX149" s="650"/>
      <c r="PY149" s="671" t="str">
        <f>IF(PX149="Low",PU149*$D$42,IF(PX149="Med",PU149*$D$43,IF(PX149="High",PU149*$D$44,"rango cal. out")))</f>
        <v>rango cal. out</v>
      </c>
      <c r="PZ149" s="619" t="e">
        <f>((273.2+PR149)*$F$33/((273.2+$F$32)*PT149))</f>
        <v>#DIV/0!</v>
      </c>
      <c r="QA149" s="674" t="e">
        <f>PY149/PV149*PZ149*EXP(-LN(2)/10990*($F$96-PW149))</f>
        <v>#VALUE!</v>
      </c>
      <c r="QB149" s="599" t="e">
        <f>QA149-AVERAGE(QI102:QI103)</f>
        <v>#VALUE!</v>
      </c>
      <c r="QC149" s="672" t="e">
        <f>ABS(#REF!*QB149*3600)</f>
        <v>#REF!</v>
      </c>
      <c r="QD149" s="675" t="e">
        <f>ABS($B$34*QB149*3600)</f>
        <v>#VALUE!</v>
      </c>
      <c r="QE149" s="614" t="e">
        <f>QD149*$C$87</f>
        <v>#VALUE!</v>
      </c>
      <c r="QF149" s="672" t="e">
        <f>QD149*$F$78</f>
        <v>#VALUE!</v>
      </c>
      <c r="QG149" s="600" t="e">
        <f>QD149*$F$83</f>
        <v>#VALUE!</v>
      </c>
      <c r="QH149" s="672" t="e">
        <f>QD149*$F$80</f>
        <v>#VALUE!</v>
      </c>
      <c r="QI149" s="676" t="e">
        <f>QD149*$F$79</f>
        <v>#VALUE!</v>
      </c>
      <c r="QJ149" s="668"/>
      <c r="QK149" s="669"/>
      <c r="QL149" s="670"/>
      <c r="QM149" s="671"/>
      <c r="QN149" s="678"/>
      <c r="QO149" s="650"/>
      <c r="QP149" s="650"/>
      <c r="QQ149" s="671" t="str">
        <f>IF(QP149="Low",QM149*$D$42,IF(QP149="Med",QM149*$D$43,IF(QP149="High",QM149*$D$44,"rango cal. out")))</f>
        <v>rango cal. out</v>
      </c>
      <c r="QR149" s="619" t="e">
        <f>((273.2+QJ149)*$F$33/((273.2+$F$32)*QL149))</f>
        <v>#DIV/0!</v>
      </c>
      <c r="QS149" s="674" t="e">
        <f>QQ149/QN149*QR149*EXP(-LN(2)/10990*($F$96-QO149))</f>
        <v>#VALUE!</v>
      </c>
      <c r="QT149" s="599" t="e">
        <f>QS149-AVERAGE(RA102:RA103)</f>
        <v>#VALUE!</v>
      </c>
      <c r="QU149" s="672" t="e">
        <f>ABS(#REF!*QT149*3600)</f>
        <v>#REF!</v>
      </c>
      <c r="QV149" s="675" t="e">
        <f>ABS($B$34*QT149*3600)</f>
        <v>#VALUE!</v>
      </c>
      <c r="QW149" s="614" t="e">
        <f>QV149*$C$87</f>
        <v>#VALUE!</v>
      </c>
      <c r="QX149" s="672" t="e">
        <f>QV149*$F$78</f>
        <v>#VALUE!</v>
      </c>
      <c r="QY149" s="600" t="e">
        <f>QV149*$F$83</f>
        <v>#VALUE!</v>
      </c>
      <c r="QZ149" s="672" t="e">
        <f>QV149*$F$80</f>
        <v>#VALUE!</v>
      </c>
      <c r="RA149" s="676" t="e">
        <f>QV149*$F$79</f>
        <v>#VALUE!</v>
      </c>
      <c r="RB149" s="668"/>
      <c r="RC149" s="669"/>
      <c r="RD149" s="680"/>
      <c r="RE149" s="671"/>
      <c r="RF149" s="673"/>
      <c r="RG149" s="650"/>
      <c r="RH149" s="650"/>
      <c r="RI149" s="671" t="str">
        <f>IF(RH149="Low",RE149*$D$42,IF(RH149="Med",RE149*$D$43,IF(RH149="High",RE149*$D$44,"rango cal. out")))</f>
        <v>rango cal. out</v>
      </c>
      <c r="RJ149" s="619" t="e">
        <f>((273.2+RB149)*$F$33/((273.2+$F$32)*RD149))</f>
        <v>#DIV/0!</v>
      </c>
      <c r="RK149" s="674" t="e">
        <f>RI149/RF149*RJ149*EXP(-LN(2)/10990*($F$96-RG149))</f>
        <v>#VALUE!</v>
      </c>
      <c r="RL149" s="599" t="e">
        <f>RK149-AVERAGE(RS102:RS103)</f>
        <v>#VALUE!</v>
      </c>
      <c r="RM149" s="672" t="e">
        <f>ABS(#REF!*RL149*3600)</f>
        <v>#REF!</v>
      </c>
      <c r="RN149" s="675" t="e">
        <f>ABS($B$34*RL149*3600)</f>
        <v>#VALUE!</v>
      </c>
      <c r="RO149" s="614" t="e">
        <f>RN149*$C$87</f>
        <v>#VALUE!</v>
      </c>
      <c r="RP149" s="672" t="e">
        <f>RN149*$F$78</f>
        <v>#VALUE!</v>
      </c>
      <c r="RQ149" s="600" t="e">
        <f>RN149*$F$83</f>
        <v>#VALUE!</v>
      </c>
      <c r="RR149" s="672" t="e">
        <f>RN149*$F$80</f>
        <v>#VALUE!</v>
      </c>
      <c r="RS149" s="676" t="e">
        <f>RN149*$F$79</f>
        <v>#VALUE!</v>
      </c>
      <c r="RT149" s="668"/>
      <c r="RU149" s="669"/>
      <c r="RV149" s="669"/>
      <c r="RW149" s="679"/>
      <c r="RX149" s="673"/>
      <c r="RY149" s="650"/>
      <c r="RZ149" s="650"/>
      <c r="SA149" s="671" t="str">
        <f>IF(RZ149="Low",RW149*$D$42,IF(RZ149="Med",RW149*$D$43,IF(RZ149="High",RW149*$D$44,"rango cal. out")))</f>
        <v>rango cal. out</v>
      </c>
      <c r="SB149" s="619" t="e">
        <f>((273.2+RT149)*$F$33/((273.2+$F$32)*RV149))</f>
        <v>#DIV/0!</v>
      </c>
      <c r="SC149" s="674" t="e">
        <f>SA149/RX149*SB149*EXP(-LN(2)/10990*($F$96-RY149))</f>
        <v>#VALUE!</v>
      </c>
      <c r="SD149" s="599" t="e">
        <f>SC149-AVERAGE(SK102:SK103)</f>
        <v>#VALUE!</v>
      </c>
      <c r="SE149" s="672" t="e">
        <f>ABS(#REF!*SD149*3600)</f>
        <v>#REF!</v>
      </c>
      <c r="SF149" s="675" t="e">
        <f>ABS($B$34*SD149*3600)</f>
        <v>#VALUE!</v>
      </c>
      <c r="SG149" s="614" t="e">
        <f>SF149*$C$87</f>
        <v>#VALUE!</v>
      </c>
      <c r="SH149" s="672" t="e">
        <f>SF149*$F$78</f>
        <v>#VALUE!</v>
      </c>
      <c r="SI149" s="600" t="e">
        <f>SF149*$F$83</f>
        <v>#VALUE!</v>
      </c>
      <c r="SJ149" s="672" t="e">
        <f>SF149*$F$80</f>
        <v>#VALUE!</v>
      </c>
      <c r="SK149" s="676" t="e">
        <f>SF149*$F$79</f>
        <v>#VALUE!</v>
      </c>
      <c r="SL149" s="668">
        <v>20.5</v>
      </c>
      <c r="SM149" s="669">
        <v>54</v>
      </c>
      <c r="SN149" s="680">
        <v>1007</v>
      </c>
      <c r="SO149" s="2011">
        <v>-1.1000000000000001E-11</v>
      </c>
      <c r="SP149" s="673">
        <v>60</v>
      </c>
      <c r="SQ149" s="663">
        <v>44334</v>
      </c>
      <c r="SR149" s="650" t="s">
        <v>268</v>
      </c>
      <c r="SS149" s="671">
        <f>IF(SR149="Low",SO149*$D$42,IF(SR149="Med",SO149*$D$43,IF(SR149="High",SO149*$D$44,"rango cal. out")))</f>
        <v>-1.1033E-11</v>
      </c>
      <c r="ST149" s="619">
        <f>((273.2+SL149)*$F$33/((273.2+$F$32)*SN149))</f>
        <v>1.001093715939642</v>
      </c>
      <c r="SU149" s="674">
        <f>SS149/SP149*ST149*EXP(-LN(2)/10990*($F$96-SQ149))</f>
        <v>-1.8230511261931057E-13</v>
      </c>
      <c r="SV149" s="599">
        <f>SU149-AVERAGE(TC102:TC103)</f>
        <v>-1.8037243984527831E-13</v>
      </c>
      <c r="SW149" s="672" t="e">
        <f>ABS(#REF!*SV149*3600)</f>
        <v>#REF!</v>
      </c>
      <c r="SX149" s="675">
        <f>ABS($B$34*SV149*3600)</f>
        <v>1.636338774276365E-5</v>
      </c>
      <c r="SY149" s="614">
        <f>SX149*$C$87</f>
        <v>1.636338774276365E-3</v>
      </c>
      <c r="SZ149" s="672">
        <f>SX149*$F$78</f>
        <v>1.963606529131638E-5</v>
      </c>
      <c r="TA149" s="600">
        <f>SX149*$F$83</f>
        <v>1.9799699168744017E-5</v>
      </c>
      <c r="TB149" s="672">
        <f>SX149*$F$80</f>
        <v>1.9799699168744017E-5</v>
      </c>
      <c r="TC149" s="676">
        <f>SX149*$F$79</f>
        <v>2.0454234678454564E-5</v>
      </c>
      <c r="TD149" s="668">
        <v>20.5</v>
      </c>
      <c r="TE149" s="669">
        <v>55</v>
      </c>
      <c r="TF149" s="680">
        <v>1008</v>
      </c>
      <c r="TG149" s="2011">
        <v>-1.9749999999999999E-10</v>
      </c>
      <c r="TH149" s="673">
        <v>60</v>
      </c>
      <c r="TI149" s="663">
        <v>44334</v>
      </c>
      <c r="TJ149" s="650" t="s">
        <v>268</v>
      </c>
      <c r="TK149" s="671">
        <f>IF(TJ149="Low",TG149*$D$42,IF(TJ149="Med",TG149*$D$43,IF(TJ149="High",TG149*$D$44,"rango cal. out")))</f>
        <v>-1.9809249999999998E-10</v>
      </c>
      <c r="TL149" s="619">
        <f>((273.2+TD149)*$F$33/((273.2+$F$32)*TF149))</f>
        <v>1.0001005674119241</v>
      </c>
      <c r="TM149" s="674">
        <f>TK149/TH149*TL149*EXP(-LN(2)/10990*($F$96-TI149))</f>
        <v>-3.2699582035092016E-12</v>
      </c>
      <c r="TN149" s="599">
        <f>TM149-AVERAGE(TU102:TU103)</f>
        <v>-3.2695917603219965E-12</v>
      </c>
      <c r="TO149" s="672" t="e">
        <f>ABS(#REF!*TN149*3600)</f>
        <v>#REF!</v>
      </c>
      <c r="TP149" s="675">
        <f>ABS($B$34*TN149*3600)</f>
        <v>2.9661736449641151E-4</v>
      </c>
      <c r="TQ149" s="614">
        <f>TP149*$C$87</f>
        <v>2.9661736449641152E-2</v>
      </c>
      <c r="TR149" s="672">
        <f>TP149*$F$78</f>
        <v>3.5594083739569381E-4</v>
      </c>
      <c r="TS149" s="600">
        <f>TP149*$F$83</f>
        <v>3.5890701104065791E-4</v>
      </c>
      <c r="TT149" s="672">
        <f>TP149*$F$80</f>
        <v>3.5890701104065791E-4</v>
      </c>
      <c r="TU149" s="676">
        <f>TP149*$F$79</f>
        <v>3.7077170562051438E-4</v>
      </c>
      <c r="TV149" s="668"/>
      <c r="TW149" s="669"/>
      <c r="TX149" s="670"/>
      <c r="TY149" s="671"/>
      <c r="TZ149" s="678"/>
      <c r="UA149" s="650"/>
      <c r="UB149" s="650"/>
      <c r="UC149" s="671" t="str">
        <f>IF(UB149="Low",TY149*$D$42,IF(UB149="Med",TY149*$D$43,IF(UB149="High",TY149*$D$44,"rango cal. out")))</f>
        <v>rango cal. out</v>
      </c>
      <c r="UD149" s="619" t="e">
        <f>((273.2+TV149)*$F$33/((273.2+$F$32)*TX149))</f>
        <v>#DIV/0!</v>
      </c>
      <c r="UE149" s="674" t="e">
        <f>UC149/TZ149*UD149*EXP(-LN(2)/10990*($F$96-UA149))</f>
        <v>#VALUE!</v>
      </c>
      <c r="UF149" s="599" t="e">
        <f>UE149-AVERAGE(UM102:UM103)</f>
        <v>#VALUE!</v>
      </c>
      <c r="UG149" s="672" t="e">
        <f>ABS(#REF!*UF149*3600)</f>
        <v>#REF!</v>
      </c>
      <c r="UH149" s="675" t="e">
        <f>ABS($B$34*UF149*3600)</f>
        <v>#VALUE!</v>
      </c>
      <c r="UI149" s="614" t="e">
        <f>UH149*$C$87</f>
        <v>#VALUE!</v>
      </c>
      <c r="UJ149" s="672" t="e">
        <f>UH149*$F$78</f>
        <v>#VALUE!</v>
      </c>
      <c r="UK149" s="600" t="e">
        <f>UH149*$F$83</f>
        <v>#VALUE!</v>
      </c>
      <c r="UL149" s="672" t="e">
        <f>UH149*$F$80</f>
        <v>#VALUE!</v>
      </c>
      <c r="UM149" s="676" t="e">
        <f>UH149*$F$79</f>
        <v>#VALUE!</v>
      </c>
      <c r="UN149" s="668">
        <v>20.5</v>
      </c>
      <c r="UO149" s="669">
        <v>55</v>
      </c>
      <c r="UP149" s="680">
        <v>1008</v>
      </c>
      <c r="UQ149" s="2011">
        <v>-1.5500000000000001E-11</v>
      </c>
      <c r="UR149" s="673">
        <v>60</v>
      </c>
      <c r="US149" s="663">
        <v>44334</v>
      </c>
      <c r="UT149" s="650" t="s">
        <v>268</v>
      </c>
      <c r="UU149" s="671">
        <f>IF(UT149="Low",UQ149*$D$42,IF(UT149="Med",UQ149*$D$43,IF(UT149="High",UQ149*$D$44,"rango cal. out")))</f>
        <v>-1.55465E-11</v>
      </c>
      <c r="UV149" s="619">
        <f>((273.2+UN149)*$F$33/((273.2+$F$32)*UP149))</f>
        <v>1.0001005674119241</v>
      </c>
      <c r="UW149" s="674">
        <f>UU149/UR149*UV149*EXP(-LN(2)/10990*($F$96-US149))</f>
        <v>-2.566296311614816E-13</v>
      </c>
      <c r="UX149" s="599">
        <f>UW149-AVERAGE(VE102:VE103)</f>
        <v>-2.5646715807921687E-13</v>
      </c>
      <c r="UY149" s="672" t="e">
        <f>ABS(#REF!*UX149*3600)</f>
        <v>#REF!</v>
      </c>
      <c r="UZ149" s="675">
        <f>ABS($B$34*UX149*3600)</f>
        <v>2.3266700580946555E-5</v>
      </c>
      <c r="VA149" s="614">
        <f>UZ149*$C$87</f>
        <v>2.3266700580946553E-3</v>
      </c>
      <c r="VB149" s="672">
        <f>UZ149*$F$78</f>
        <v>2.7920040697135864E-5</v>
      </c>
      <c r="VC149" s="600">
        <f>UZ149*$F$83</f>
        <v>2.8152707702945329E-5</v>
      </c>
      <c r="VD149" s="672">
        <f>UZ149*$F$80</f>
        <v>2.8152707702945329E-5</v>
      </c>
      <c r="VE149" s="676">
        <f>UZ149*$F$79</f>
        <v>2.9083375726183194E-5</v>
      </c>
    </row>
    <row r="150" spans="1:577" x14ac:dyDescent="0.25">
      <c r="A150" s="2219"/>
      <c r="B150" s="668">
        <v>20.2</v>
      </c>
      <c r="C150" s="673">
        <v>57</v>
      </c>
      <c r="D150" s="678">
        <v>1010</v>
      </c>
      <c r="E150" s="2011">
        <v>-3.1340000000000001E-9</v>
      </c>
      <c r="F150" s="673">
        <v>60</v>
      </c>
      <c r="G150" s="663">
        <v>44334</v>
      </c>
      <c r="H150" s="663" t="s">
        <v>1042</v>
      </c>
      <c r="I150" s="671">
        <f>IF(H150="Low",E150*$D$42,IF(H150="Med",E150*$D$43,IF(H150="High",E150*$D$44,"rango cal. out")))</f>
        <v>-3.1371339999999999E-9</v>
      </c>
      <c r="J150" s="619">
        <f>((273.2+B150)*$F$33/((273.2+$F$32)*D150))</f>
        <v>0.9971006399420429</v>
      </c>
      <c r="K150" s="674">
        <f>I150/F150*J150*EXP(-LN(2)/10990*($F$96-G150))</f>
        <v>-5.1630051648759225E-11</v>
      </c>
      <c r="L150" s="599">
        <f>K150-AVERAGE(S102:S103)</f>
        <v>-5.1606239681387726E-11</v>
      </c>
      <c r="M150" s="672" t="e">
        <f>ABS(#REF!*L150*3600)</f>
        <v>#REF!</v>
      </c>
      <c r="N150" s="675">
        <f>ABS($B$34*L150*3600)</f>
        <v>4.6817180638954944E-3</v>
      </c>
      <c r="O150" s="672">
        <f>N150*$C$87</f>
        <v>0.46817180638954947</v>
      </c>
      <c r="P150" s="672">
        <f>N150*$F$78</f>
        <v>5.6180616766745928E-3</v>
      </c>
      <c r="Q150" s="600">
        <f>N150*$F$83</f>
        <v>5.6648788573135482E-3</v>
      </c>
      <c r="R150" s="672">
        <f>N150*$F$80</f>
        <v>5.6648788573135482E-3</v>
      </c>
      <c r="S150" s="676">
        <f>N150*$F$79</f>
        <v>5.8521475798693681E-3</v>
      </c>
      <c r="T150" s="677"/>
      <c r="U150" s="669"/>
      <c r="V150" s="670"/>
      <c r="W150" s="671"/>
      <c r="X150" s="678"/>
      <c r="Y150" s="650"/>
      <c r="Z150" s="663"/>
      <c r="AA150" s="671" t="str">
        <f>IF(Z150="Low",W150*$D$42,IF(Z150="Med",W150*$D$43,IF(Z150="High",W150*$D$44,"rango cal. out")))</f>
        <v>rango cal. out</v>
      </c>
      <c r="AB150" s="619" t="e">
        <f>((273.2+T150)*$F$33/((273.2+$F$32)*V150))</f>
        <v>#DIV/0!</v>
      </c>
      <c r="AC150" s="674" t="e">
        <f>AA150/X150*AB150*EXP(-LN(2)/10990*($F$96-Y150))</f>
        <v>#VALUE!</v>
      </c>
      <c r="AD150" s="599" t="e">
        <f>AC150-AVERAGE(#REF!)</f>
        <v>#VALUE!</v>
      </c>
      <c r="AE150" s="672" t="e">
        <f>ABS(#REF!*AD150*3600)</f>
        <v>#REF!</v>
      </c>
      <c r="AF150" s="675" t="e">
        <f>ABS($B$34*AD150*3600)</f>
        <v>#VALUE!</v>
      </c>
      <c r="AG150" s="672" t="e">
        <f>AF150*$C$87</f>
        <v>#VALUE!</v>
      </c>
      <c r="AH150" s="672" t="e">
        <f>AF150*$F$78</f>
        <v>#VALUE!</v>
      </c>
      <c r="AI150" s="600" t="e">
        <f>AF150*$F$83</f>
        <v>#VALUE!</v>
      </c>
      <c r="AJ150" s="672" t="e">
        <f>AF150*$F$80</f>
        <v>#VALUE!</v>
      </c>
      <c r="AK150" s="676" t="e">
        <f>AF150*$F$79</f>
        <v>#VALUE!</v>
      </c>
      <c r="AL150" s="677"/>
      <c r="AM150" s="669"/>
      <c r="AN150" s="670"/>
      <c r="AO150" s="671"/>
      <c r="AP150" s="678"/>
      <c r="AQ150" s="650"/>
      <c r="AR150" s="663"/>
      <c r="AS150" s="671" t="str">
        <f>IF(AR150="Low",AO150*$D$42,IF(AR150="Med",AO150*$D$43,IF(AR150="High",AO150*$D$44,"rango cal. out")))</f>
        <v>rango cal. out</v>
      </c>
      <c r="AT150" s="619" t="e">
        <f>((273.2+AL150)*$F$33/((273.2+$F$32)*AN150))</f>
        <v>#DIV/0!</v>
      </c>
      <c r="AU150" s="674" t="e">
        <f>AS150/AP150*AT150*EXP(-LN(2)/10990*($F$96-AQ150))</f>
        <v>#VALUE!</v>
      </c>
      <c r="AV150" s="599" t="e">
        <f>AU150-AVERAGE(BC102:BC103)</f>
        <v>#VALUE!</v>
      </c>
      <c r="AW150" s="672" t="e">
        <f>ABS(#REF!*AV150*3600)</f>
        <v>#REF!</v>
      </c>
      <c r="AX150" s="675" t="e">
        <f>ABS($B$34*AV150*3600)</f>
        <v>#VALUE!</v>
      </c>
      <c r="AY150" s="672" t="e">
        <f>AX150*$C$87</f>
        <v>#VALUE!</v>
      </c>
      <c r="AZ150" s="672" t="e">
        <f>AX150*$F$78</f>
        <v>#VALUE!</v>
      </c>
      <c r="BA150" s="600" t="e">
        <f>AX150*$F$83</f>
        <v>#VALUE!</v>
      </c>
      <c r="BB150" s="672" t="e">
        <f>AX150*$F$80</f>
        <v>#VALUE!</v>
      </c>
      <c r="BC150" s="676" t="e">
        <f>AX150*$F$79</f>
        <v>#VALUE!</v>
      </c>
      <c r="BD150" s="668">
        <v>20.7</v>
      </c>
      <c r="BE150" s="669">
        <v>53</v>
      </c>
      <c r="BF150" s="670">
        <v>1009</v>
      </c>
      <c r="BG150" s="2010">
        <v>-5.0000000000000003E-10</v>
      </c>
      <c r="BH150" s="673">
        <v>60</v>
      </c>
      <c r="BI150" s="663">
        <v>44334</v>
      </c>
      <c r="BJ150" s="663" t="s">
        <v>268</v>
      </c>
      <c r="BK150" s="671">
        <f>IF(BJ150="Low",BG150*$D$42,IF(BJ150="Med",BG150*$D$43,IF(BJ150="High",BG150*$D$44,"rango cal. out")))</f>
        <v>-5.0149999999999997E-10</v>
      </c>
      <c r="BL150" s="619">
        <f>((273.2+BD150)*$F$33/((273.2+$F$32)*BF150))</f>
        <v>0.9997897479594221</v>
      </c>
      <c r="BM150" s="674">
        <f>BK150/BH150*BL150*EXP(-LN(2)/10990*($F$96-BI150))</f>
        <v>-8.2758023774525684E-12</v>
      </c>
      <c r="BN150" s="599">
        <f>BM150-AVERAGE(BU102:BU103)</f>
        <v>-8.2744571933441722E-12</v>
      </c>
      <c r="BO150" s="672" t="e">
        <f>ABS(#REF!*BN150*3600)</f>
        <v>#REF!</v>
      </c>
      <c r="BP150" s="675">
        <f>ABS($B$34*BN150*3600)</f>
        <v>7.5065875658018334E-4</v>
      </c>
      <c r="BQ150" s="672">
        <f>BP150*$C$87</f>
        <v>7.5065875658018338E-2</v>
      </c>
      <c r="BR150" s="672">
        <f>BP150*$F$78</f>
        <v>9.0079050789621993E-4</v>
      </c>
      <c r="BS150" s="600">
        <f>BP150*$F$83</f>
        <v>9.0829709546202183E-4</v>
      </c>
      <c r="BT150" s="672">
        <f>BP150*$F$80</f>
        <v>9.0829709546202183E-4</v>
      </c>
      <c r="BU150" s="676">
        <f>BP150*$F$79</f>
        <v>9.3832344572522921E-4</v>
      </c>
      <c r="BV150" s="668">
        <v>20.5</v>
      </c>
      <c r="BW150" s="669">
        <v>50</v>
      </c>
      <c r="BX150" s="680">
        <v>1008</v>
      </c>
      <c r="BY150" s="2010">
        <v>-2.8499999999999999E-11</v>
      </c>
      <c r="BZ150" s="673">
        <v>60</v>
      </c>
      <c r="CA150" s="663">
        <v>44334</v>
      </c>
      <c r="CB150" s="663" t="s">
        <v>268</v>
      </c>
      <c r="CC150" s="671">
        <f>IF(CB150="Low",BY150*$D$42,IF(CB150="Med",BY150*$D$43,IF(CB150="High",BY150*$D$44,"rango cal. out")))</f>
        <v>-2.8585499999999995E-11</v>
      </c>
      <c r="CD150" s="619">
        <f>((273.2+BV150)*$F$33/((273.2+$F$32)*BX150))</f>
        <v>1.0001005674119241</v>
      </c>
      <c r="CE150" s="674">
        <f>CC150/BZ150*CD150*EXP(-LN(2)/10990*($F$96-CA150))</f>
        <v>-4.7186738632917592E-13</v>
      </c>
      <c r="CF150" s="599">
        <f>CE150-AVERAGE(CM102:CM103)</f>
        <v>-4.7006589109403421E-13</v>
      </c>
      <c r="CG150" s="672" t="e">
        <f>ABS(#REF!*CF150*3600)</f>
        <v>#REF!</v>
      </c>
      <c r="CH150" s="675">
        <f>ABS($B$34*CF150*3600)</f>
        <v>4.2644377640050789E-5</v>
      </c>
      <c r="CI150" s="672">
        <f>CH150*$C$87</f>
        <v>4.2644377640050791E-3</v>
      </c>
      <c r="CJ150" s="672">
        <f>CH150*$F$78</f>
        <v>5.1173253168060944E-5</v>
      </c>
      <c r="CK150" s="600">
        <f>CH150*$F$83</f>
        <v>5.1599696944461451E-5</v>
      </c>
      <c r="CL150" s="672">
        <f>CH150*$F$80</f>
        <v>5.1599696944461451E-5</v>
      </c>
      <c r="CM150" s="676">
        <f>CH150*$F$79</f>
        <v>5.3305472050063486E-5</v>
      </c>
      <c r="CN150" s="668">
        <v>20.5</v>
      </c>
      <c r="CO150" s="669">
        <v>52</v>
      </c>
      <c r="CP150" s="680">
        <v>1007</v>
      </c>
      <c r="CQ150" s="2011">
        <v>-1.159E-9</v>
      </c>
      <c r="CR150" s="673">
        <v>60</v>
      </c>
      <c r="CS150" s="663">
        <v>44334</v>
      </c>
      <c r="CT150" s="663" t="s">
        <v>268</v>
      </c>
      <c r="CU150" s="671">
        <f>IF(CT150="Low",CQ150*$D$42,IF(CT150="Med",CQ150*$D$43,IF(CT150="High",CQ150*$D$44,"rango cal. out")))</f>
        <v>-1.162477E-9</v>
      </c>
      <c r="CV150" s="619">
        <f>((273.2+CN150)*$F$33/((273.2+$F$32)*CP150))</f>
        <v>1.001093715939642</v>
      </c>
      <c r="CW150" s="674">
        <f>CU150/CR150*CV150*EXP(-LN(2)/10990*($F$96-CS150))</f>
        <v>-1.920832959325281E-11</v>
      </c>
      <c r="CX150" s="599">
        <f>CW150-AVERAGE(DE102:DE103)</f>
        <v>-1.9197041906547384E-11</v>
      </c>
      <c r="CY150" s="672" t="e">
        <f>ABS(#REF!*CX150*3600)</f>
        <v>#REF!</v>
      </c>
      <c r="CZ150" s="675">
        <f>ABS($B$34*CX150*3600)</f>
        <v>1.7415556417619785E-3</v>
      </c>
      <c r="DA150" s="672">
        <f>CZ150*$C$87</f>
        <v>0.17415556417619785</v>
      </c>
      <c r="DB150" s="672">
        <f>CZ150*$F$78</f>
        <v>2.0898667701143743E-3</v>
      </c>
      <c r="DC150" s="600">
        <f>CZ150*$F$83</f>
        <v>2.107282326531994E-3</v>
      </c>
      <c r="DD150" s="672">
        <f>CZ150*$F$80</f>
        <v>2.107282326531994E-3</v>
      </c>
      <c r="DE150" s="676">
        <f>CZ150*$F$79</f>
        <v>2.1769445522024731E-3</v>
      </c>
      <c r="DF150" s="668"/>
      <c r="DG150" s="669"/>
      <c r="DH150" s="670"/>
      <c r="DI150" s="671"/>
      <c r="DJ150" s="678"/>
      <c r="DK150" s="650"/>
      <c r="DL150" s="663" t="s">
        <v>268</v>
      </c>
      <c r="DM150" s="671">
        <f>IF(DL150="Low",DI150*$D$42,IF(DL150="Med",DI150*$D$43,IF(DL150="High",DI150*$D$44,"rango cal. out")))</f>
        <v>0</v>
      </c>
      <c r="DN150" s="619" t="e">
        <f>((273.2+DF150)*$F$33/((273.2+$F$32)*DH150))</f>
        <v>#DIV/0!</v>
      </c>
      <c r="DO150" s="674" t="e">
        <f>DM150/DJ150*DN150*EXP(-LN(2)/10990*($F$96-DK150))</f>
        <v>#DIV/0!</v>
      </c>
      <c r="DP150" s="599" t="e">
        <f>DO150-AVERAGE(DW102:DW103)</f>
        <v>#DIV/0!</v>
      </c>
      <c r="DQ150" s="672" t="e">
        <f>ABS(#REF!*DP150*3600)</f>
        <v>#REF!</v>
      </c>
      <c r="DR150" s="675" t="e">
        <f>ABS($B$34*DP150*3600)</f>
        <v>#DIV/0!</v>
      </c>
      <c r="DS150" s="672" t="e">
        <f>DR150*$C$87</f>
        <v>#DIV/0!</v>
      </c>
      <c r="DT150" s="672" t="e">
        <f>DR150*$F$78</f>
        <v>#DIV/0!</v>
      </c>
      <c r="DU150" s="600" t="e">
        <f>DR150*$F$83</f>
        <v>#DIV/0!</v>
      </c>
      <c r="DV150" s="672" t="e">
        <f>DR150*$F$80</f>
        <v>#DIV/0!</v>
      </c>
      <c r="DW150" s="676" t="e">
        <f>DR150*$F$79</f>
        <v>#DIV/0!</v>
      </c>
      <c r="DX150" s="668"/>
      <c r="DY150" s="669"/>
      <c r="DZ150" s="677"/>
      <c r="EA150" s="679"/>
      <c r="EB150" s="678"/>
      <c r="EC150" s="650"/>
      <c r="ED150" s="663"/>
      <c r="EE150" s="671" t="str">
        <f>IF(ED150="Low",EA150*$D$42,IF(ED150="Med",EA150*$D$43,IF(ED150="High",EA150*$D$44,"rango cal. out")))</f>
        <v>rango cal. out</v>
      </c>
      <c r="EF150" s="619" t="e">
        <f>((273.2+DX150)*$F$33/((273.2+$F$32)*DZ150))</f>
        <v>#DIV/0!</v>
      </c>
      <c r="EG150" s="674" t="e">
        <f>EE150/EB150*EF150*EXP(-LN(2)/10990*($F$96-EC150))</f>
        <v>#VALUE!</v>
      </c>
      <c r="EH150" s="599" t="e">
        <f>EG150-AVERAGE(EO102:EO103)</f>
        <v>#VALUE!</v>
      </c>
      <c r="EI150" s="672" t="e">
        <f>ABS(#REF!*EH150*3600)</f>
        <v>#REF!</v>
      </c>
      <c r="EJ150" s="675" t="e">
        <f>ABS($B$34*EH150*3600)</f>
        <v>#VALUE!</v>
      </c>
      <c r="EK150" s="672" t="e">
        <f>EJ150*$C$87</f>
        <v>#VALUE!</v>
      </c>
      <c r="EL150" s="672" t="e">
        <f>EJ150*$F$78</f>
        <v>#VALUE!</v>
      </c>
      <c r="EM150" s="600" t="e">
        <f>EJ150*$F$83</f>
        <v>#VALUE!</v>
      </c>
      <c r="EN150" s="672" t="e">
        <f>EJ150*$F$80</f>
        <v>#VALUE!</v>
      </c>
      <c r="EO150" s="676" t="e">
        <f>EJ150*$F$79</f>
        <v>#VALUE!</v>
      </c>
      <c r="EP150" s="668">
        <v>20.5</v>
      </c>
      <c r="EQ150" s="669">
        <v>53</v>
      </c>
      <c r="ER150" s="680">
        <v>1007</v>
      </c>
      <c r="ES150" s="2011">
        <v>-9.9999999999999994E-12</v>
      </c>
      <c r="ET150" s="673">
        <v>60</v>
      </c>
      <c r="EU150" s="663">
        <v>44334</v>
      </c>
      <c r="EV150" s="663" t="s">
        <v>268</v>
      </c>
      <c r="EW150" s="671">
        <f>IF(EV150="Low",ES150*$D$42,IF(EV150="Med",ES150*$D$43,IF(EV150="High",ES150*$D$44,"rango cal. out")))</f>
        <v>-1.0029999999999998E-11</v>
      </c>
      <c r="EX150" s="619">
        <f>((273.2+EP150)*$F$33/((273.2+$F$32)*ER150))</f>
        <v>1.001093715939642</v>
      </c>
      <c r="EY150" s="674">
        <f>EW150/ET150*EX150*EXP(-LN(2)/10990*($F$96-EU150))</f>
        <v>-1.6573192056300957E-13</v>
      </c>
      <c r="EZ150" s="599">
        <f>EY150-AVERAGE(FG102:FG103)</f>
        <v>-1.668124843726093E-13</v>
      </c>
      <c r="FA150" s="672" t="e">
        <f>ABS(#REF!*EZ150*3600)</f>
        <v>#REF!</v>
      </c>
      <c r="FB150" s="675">
        <f>ABS($B$34*EZ150*3600)</f>
        <v>1.5133228582283116E-5</v>
      </c>
      <c r="FC150" s="672">
        <f>FB150*$C$87</f>
        <v>1.5133228582283117E-3</v>
      </c>
      <c r="FD150" s="672">
        <f>FB150*$F$78</f>
        <v>1.8159874298739739E-5</v>
      </c>
      <c r="FE150" s="600">
        <f>FB150*$F$83</f>
        <v>1.8311206584562568E-5</v>
      </c>
      <c r="FF150" s="672">
        <f>FB150*$F$80</f>
        <v>1.8311206584562568E-5</v>
      </c>
      <c r="FG150" s="676">
        <f>FB150*$F$79</f>
        <v>1.8916535727853894E-5</v>
      </c>
      <c r="FH150" s="668"/>
      <c r="FI150" s="669"/>
      <c r="FJ150" s="670"/>
      <c r="FK150" s="671"/>
      <c r="FL150" s="678"/>
      <c r="FM150" s="650"/>
      <c r="FN150" s="663"/>
      <c r="FO150" s="671" t="str">
        <f>IF(FN150="Low",FK150*$D$42,IF(FN150="Med",FK150*$D$43,IF(FN150="High",FK150*$D$44,"rango cal. out")))</f>
        <v>rango cal. out</v>
      </c>
      <c r="FP150" s="619" t="e">
        <f>((273.2+FH150)*$F$33/((273.2+$F$32)*FJ150))</f>
        <v>#DIV/0!</v>
      </c>
      <c r="FQ150" s="674" t="e">
        <f>FO150/FL150*FP150*EXP(-LN(2)/10990*($F$96-FM150))</f>
        <v>#VALUE!</v>
      </c>
      <c r="FR150" s="599" t="e">
        <f>FQ150-AVERAGE(FY102:FY103)</f>
        <v>#VALUE!</v>
      </c>
      <c r="FS150" s="672" t="e">
        <f>ABS(#REF!*FR150*3600)</f>
        <v>#REF!</v>
      </c>
      <c r="FT150" s="675" t="e">
        <f>ABS($B$34*FR150*3600)</f>
        <v>#VALUE!</v>
      </c>
      <c r="FU150" s="672" t="e">
        <f>FT150*$C$87</f>
        <v>#VALUE!</v>
      </c>
      <c r="FV150" s="672" t="e">
        <f>FT150*$F$78</f>
        <v>#VALUE!</v>
      </c>
      <c r="FW150" s="600" t="e">
        <f>FT150*$F$83</f>
        <v>#VALUE!</v>
      </c>
      <c r="FX150" s="672" t="e">
        <f>FT150*$F$80</f>
        <v>#VALUE!</v>
      </c>
      <c r="FY150" s="676" t="e">
        <f>FT150*$F$79</f>
        <v>#VALUE!</v>
      </c>
      <c r="FZ150" s="668"/>
      <c r="GA150" s="669"/>
      <c r="GB150" s="670"/>
      <c r="GC150" s="671"/>
      <c r="GD150" s="678"/>
      <c r="GE150" s="650"/>
      <c r="GF150" s="663"/>
      <c r="GG150" s="671" t="str">
        <f>IF(GF150="Low",GC150*$D$42,IF(GF150="Med",GC150*$D$43,IF(GF150="High",GC150*$D$44,"rango cal. out")))</f>
        <v>rango cal. out</v>
      </c>
      <c r="GH150" s="619" t="e">
        <f>((273.2+FZ150)*$F$33/((273.2+$F$32)*GB150))</f>
        <v>#DIV/0!</v>
      </c>
      <c r="GI150" s="674" t="e">
        <f>GG150/GD150*GH150*EXP(-LN(2)/10990*($F$96-GE150))</f>
        <v>#VALUE!</v>
      </c>
      <c r="GJ150" s="599" t="e">
        <f>GI150-AVERAGE(GQ102:GQ103)</f>
        <v>#VALUE!</v>
      </c>
      <c r="GK150" s="672" t="e">
        <f>ABS(#REF!*GJ150*3600)</f>
        <v>#REF!</v>
      </c>
      <c r="GL150" s="675" t="e">
        <f>ABS($B$34*GJ150*3600)</f>
        <v>#VALUE!</v>
      </c>
      <c r="GM150" s="672" t="e">
        <f>GL150*$C$87</f>
        <v>#VALUE!</v>
      </c>
      <c r="GN150" s="672" t="e">
        <f>GL150*$F$78</f>
        <v>#VALUE!</v>
      </c>
      <c r="GO150" s="600" t="e">
        <f>GL150*$F$83</f>
        <v>#VALUE!</v>
      </c>
      <c r="GP150" s="672" t="e">
        <f>GL150*$F$80</f>
        <v>#VALUE!</v>
      </c>
      <c r="GQ150" s="676" t="e">
        <f>GL150*$F$79</f>
        <v>#VALUE!</v>
      </c>
      <c r="GR150" s="668"/>
      <c r="GS150" s="669"/>
      <c r="GT150" s="677"/>
      <c r="GU150" s="679"/>
      <c r="GV150" s="678"/>
      <c r="GW150" s="650"/>
      <c r="GX150" s="663"/>
      <c r="GY150" s="671" t="str">
        <f>IF(GX150="Low",GU150*$D$42,IF(GX150="Med",GU150*$D$43,IF(GX150="High",GU150*$D$44,"rango cal. out")))</f>
        <v>rango cal. out</v>
      </c>
      <c r="GZ150" s="619" t="e">
        <f>((273.2+GR150)*$F$33/((273.2+$F$32)*GT150))</f>
        <v>#DIV/0!</v>
      </c>
      <c r="HA150" s="674" t="e">
        <f>GY150/GV150*GZ150*EXP(-LN(2)/10990*($F$96-GW150))</f>
        <v>#VALUE!</v>
      </c>
      <c r="HB150" s="599" t="e">
        <f>HA150-AVERAGE(HI102:HI103)</f>
        <v>#VALUE!</v>
      </c>
      <c r="HC150" s="672" t="e">
        <f>ABS(#REF!*HB150*3600)</f>
        <v>#REF!</v>
      </c>
      <c r="HD150" s="675" t="e">
        <f>ABS($B$34*HB150*3600)</f>
        <v>#VALUE!</v>
      </c>
      <c r="HE150" s="672" t="e">
        <f>HD150*$C$87</f>
        <v>#VALUE!</v>
      </c>
      <c r="HF150" s="672" t="e">
        <f>HD150*$F$78</f>
        <v>#VALUE!</v>
      </c>
      <c r="HG150" s="600" t="e">
        <f>HD150*$F$83</f>
        <v>#VALUE!</v>
      </c>
      <c r="HH150" s="672" t="e">
        <f>HD150*$F$80</f>
        <v>#VALUE!</v>
      </c>
      <c r="HI150" s="676" t="e">
        <f>HD150*$F$79</f>
        <v>#VALUE!</v>
      </c>
      <c r="HJ150" s="668"/>
      <c r="HK150" s="669"/>
      <c r="HL150" s="670"/>
      <c r="HM150" s="671"/>
      <c r="HN150" s="678"/>
      <c r="HO150" s="650"/>
      <c r="HP150" s="663"/>
      <c r="HQ150" s="671" t="str">
        <f>IF(HP150="Low",HM150*$D$42,IF(HP150="Med",HM150*$D$43,IF(HP150="High",HM150*$D$44,"rango cal. out")))</f>
        <v>rango cal. out</v>
      </c>
      <c r="HR150" s="619" t="e">
        <f>((273.2+HJ150)*$F$33/((273.2+$F$32)*HL150))</f>
        <v>#DIV/0!</v>
      </c>
      <c r="HS150" s="674" t="e">
        <f>HQ150/HN150*HR150*EXP(-LN(2)/10990*($F$96-HO150))</f>
        <v>#VALUE!</v>
      </c>
      <c r="HT150" s="599" t="e">
        <f>HS150-AVERAGE(IA102:IA103)</f>
        <v>#VALUE!</v>
      </c>
      <c r="HU150" s="672" t="e">
        <f>ABS(#REF!*HT150*3600)</f>
        <v>#REF!</v>
      </c>
      <c r="HV150" s="675" t="e">
        <f>ABS($B$34*HT150*3600)</f>
        <v>#VALUE!</v>
      </c>
      <c r="HW150" s="672" t="e">
        <f>HV150*$C$87</f>
        <v>#VALUE!</v>
      </c>
      <c r="HX150" s="672" t="e">
        <f>HV150*$F$78</f>
        <v>#VALUE!</v>
      </c>
      <c r="HY150" s="600" t="e">
        <f>HV150*$F$83</f>
        <v>#VALUE!</v>
      </c>
      <c r="HZ150" s="672" t="e">
        <f>HV150*$F$80</f>
        <v>#VALUE!</v>
      </c>
      <c r="IA150" s="676" t="e">
        <f>HV150*$F$79</f>
        <v>#VALUE!</v>
      </c>
      <c r="IB150" s="668"/>
      <c r="IC150" s="669"/>
      <c r="ID150" s="670"/>
      <c r="IE150" s="671"/>
      <c r="IF150" s="678"/>
      <c r="IG150" s="650"/>
      <c r="IH150" s="663"/>
      <c r="II150" s="671" t="str">
        <f>IF(IH150="Low",IE150*$D$42,IF(IH150="Med",IE150*$D$43,IF(IH150="High",IE150*$D$44,"rango cal. out")))</f>
        <v>rango cal. out</v>
      </c>
      <c r="IJ150" s="619" t="e">
        <f>((273.2+IB150)*$F$33/((273.2+$F$32)*ID150))</f>
        <v>#DIV/0!</v>
      </c>
      <c r="IK150" s="674" t="e">
        <f>II150/IF150*IJ150*EXP(-LN(2)/10990*($F$96-IG150))</f>
        <v>#VALUE!</v>
      </c>
      <c r="IL150" s="599" t="e">
        <f>IK150-AVERAGE(IS102:IS103)</f>
        <v>#VALUE!</v>
      </c>
      <c r="IM150" s="672" t="e">
        <f>ABS(#REF!*IL150*3600)</f>
        <v>#REF!</v>
      </c>
      <c r="IN150" s="675" t="e">
        <f>ABS($B$34*IL150*3600)</f>
        <v>#VALUE!</v>
      </c>
      <c r="IO150" s="672" t="e">
        <f>IN150*$C$87</f>
        <v>#VALUE!</v>
      </c>
      <c r="IP150" s="672" t="e">
        <f>IN150*$F$78</f>
        <v>#VALUE!</v>
      </c>
      <c r="IQ150" s="600" t="e">
        <f>IN150*$F$83</f>
        <v>#VALUE!</v>
      </c>
      <c r="IR150" s="672" t="e">
        <f>IN150*$F$80</f>
        <v>#VALUE!</v>
      </c>
      <c r="IS150" s="676" t="e">
        <f>IN150*$F$79</f>
        <v>#VALUE!</v>
      </c>
      <c r="IT150" s="668"/>
      <c r="IU150" s="669"/>
      <c r="IV150" s="670"/>
      <c r="IW150" s="671"/>
      <c r="IX150" s="678"/>
      <c r="IY150" s="650"/>
      <c r="IZ150" s="663"/>
      <c r="JA150" s="671" t="str">
        <f>IF(IZ150="Low",IW150*$D$42,IF(IZ150="Med",IW150*$D$43,IF(IZ150="High",IW150*$D$44,"rango cal. out")))</f>
        <v>rango cal. out</v>
      </c>
      <c r="JB150" s="619" t="e">
        <f>((273.2+IT150)*$F$33/((273.2+$F$32)*IV150))</f>
        <v>#DIV/0!</v>
      </c>
      <c r="JC150" s="674" t="e">
        <f>JA150/IX150*JB150*EXP(-LN(2)/10990*($F$96-IY150))</f>
        <v>#VALUE!</v>
      </c>
      <c r="JD150" s="599" t="e">
        <f>JC150-AVERAGE(JK102:JK103)</f>
        <v>#VALUE!</v>
      </c>
      <c r="JE150" s="672" t="e">
        <f>ABS(#REF!*JD150*3600)</f>
        <v>#REF!</v>
      </c>
      <c r="JF150" s="675" t="e">
        <f>ABS($B$34*JD150*3600)</f>
        <v>#VALUE!</v>
      </c>
      <c r="JG150" s="672" t="e">
        <f>JF150*$C$87</f>
        <v>#VALUE!</v>
      </c>
      <c r="JH150" s="672" t="e">
        <f>JF150*$F$78</f>
        <v>#VALUE!</v>
      </c>
      <c r="JI150" s="600" t="e">
        <f>JF150*$F$83</f>
        <v>#VALUE!</v>
      </c>
      <c r="JJ150" s="672" t="e">
        <f>JF150*$F$80</f>
        <v>#VALUE!</v>
      </c>
      <c r="JK150" s="676" t="e">
        <f>JF150*$F$79</f>
        <v>#VALUE!</v>
      </c>
      <c r="JL150" s="668"/>
      <c r="JM150" s="669"/>
      <c r="JN150" s="670"/>
      <c r="JO150" s="671"/>
      <c r="JP150" s="678"/>
      <c r="JQ150" s="650"/>
      <c r="JR150" s="663"/>
      <c r="JS150" s="671" t="str">
        <f>IF(JR150="Low",JO150*$D$42,IF(JR150="Med",JO150*$D$43,IF(JR150="High",JO150*$D$44,"rango cal. out")))</f>
        <v>rango cal. out</v>
      </c>
      <c r="JT150" s="619" t="e">
        <f>((273.2+JL150)*$F$33/((273.2+$F$32)*JN150))</f>
        <v>#DIV/0!</v>
      </c>
      <c r="JU150" s="674" t="e">
        <f>JS150/JP150*JT150*EXP(-LN(2)/10990*($F$96-JQ150))</f>
        <v>#VALUE!</v>
      </c>
      <c r="JV150" s="599" t="e">
        <f>JU150-AVERAGE(KC102:KC103)</f>
        <v>#VALUE!</v>
      </c>
      <c r="JW150" s="672" t="e">
        <f>ABS(#REF!*JV150*3600)</f>
        <v>#REF!</v>
      </c>
      <c r="JX150" s="675" t="e">
        <f>ABS($B$34*JV150*3600)</f>
        <v>#VALUE!</v>
      </c>
      <c r="JY150" s="672" t="e">
        <f>JX150*$C$87</f>
        <v>#VALUE!</v>
      </c>
      <c r="JZ150" s="672" t="e">
        <f>JX150*$F$78</f>
        <v>#VALUE!</v>
      </c>
      <c r="KA150" s="600" t="e">
        <f>JX150*$F$83</f>
        <v>#VALUE!</v>
      </c>
      <c r="KB150" s="672" t="e">
        <f>JX150*$F$80</f>
        <v>#VALUE!</v>
      </c>
      <c r="KC150" s="676" t="e">
        <f>JX150*$F$79</f>
        <v>#VALUE!</v>
      </c>
      <c r="KD150" s="668"/>
      <c r="KE150" s="669"/>
      <c r="KF150" s="670"/>
      <c r="KG150" s="671"/>
      <c r="KH150" s="678"/>
      <c r="KI150" s="650"/>
      <c r="KJ150" s="663"/>
      <c r="KK150" s="671" t="str">
        <f>IF(KJ150="Low",KG150*$D$42,IF(KJ150="Med",KG150*$D$43,IF(KJ150="High",KG150*$D$44,"rango cal. out")))</f>
        <v>rango cal. out</v>
      </c>
      <c r="KL150" s="619" t="e">
        <f>((273.2+KD150)*$F$33/((273.2+$F$32)*KF150))</f>
        <v>#DIV/0!</v>
      </c>
      <c r="KM150" s="674" t="e">
        <f>KK150/KH150*KL150*EXP(-LN(2)/10990*($F$96-KI150))</f>
        <v>#VALUE!</v>
      </c>
      <c r="KN150" s="599" t="e">
        <f>KM150-AVERAGE(KU102:KU103)</f>
        <v>#VALUE!</v>
      </c>
      <c r="KO150" s="672" t="e">
        <f>ABS(#REF!*KN150*3600)</f>
        <v>#REF!</v>
      </c>
      <c r="KP150" s="675" t="e">
        <f>ABS($B$34*KN150*3600)</f>
        <v>#VALUE!</v>
      </c>
      <c r="KQ150" s="672" t="e">
        <f>KP150*$C$87</f>
        <v>#VALUE!</v>
      </c>
      <c r="KR150" s="672" t="e">
        <f>KP150*$F$78</f>
        <v>#VALUE!</v>
      </c>
      <c r="KS150" s="600" t="e">
        <f>KP150*$F$83</f>
        <v>#VALUE!</v>
      </c>
      <c r="KT150" s="672" t="e">
        <f>KP150*$F$80</f>
        <v>#VALUE!</v>
      </c>
      <c r="KU150" s="676" t="e">
        <f>KP150*$F$79</f>
        <v>#VALUE!</v>
      </c>
      <c r="KV150" s="668"/>
      <c r="KW150" s="669"/>
      <c r="KX150" s="670"/>
      <c r="KY150" s="671"/>
      <c r="KZ150" s="678"/>
      <c r="LA150" s="650"/>
      <c r="LB150" s="663"/>
      <c r="LC150" s="671" t="str">
        <f>IF(LB150="Low",KY150*$D$42,IF(LB150="Med",KY150*$D$43,IF(LB150="High",KY150*$D$44,"rango cal. out")))</f>
        <v>rango cal. out</v>
      </c>
      <c r="LD150" s="619" t="e">
        <f>((273.2+KV150)*$F$33/((273.2+$F$32)*KX150))</f>
        <v>#DIV/0!</v>
      </c>
      <c r="LE150" s="674" t="e">
        <f>LC150/KZ150*LD150*EXP(-LN(2)/10990*($F$96-LA150))</f>
        <v>#VALUE!</v>
      </c>
      <c r="LF150" s="599" t="e">
        <f>LE150-AVERAGE(LM102:LM103)</f>
        <v>#VALUE!</v>
      </c>
      <c r="LG150" s="672" t="e">
        <f>ABS(#REF!*LF150*3600)</f>
        <v>#REF!</v>
      </c>
      <c r="LH150" s="675" t="e">
        <f>ABS($B$34*LF150*3600)</f>
        <v>#VALUE!</v>
      </c>
      <c r="LI150" s="672" t="e">
        <f>LH150*$C$87</f>
        <v>#VALUE!</v>
      </c>
      <c r="LJ150" s="672" t="e">
        <f>LH150*$F$78</f>
        <v>#VALUE!</v>
      </c>
      <c r="LK150" s="600" t="e">
        <f>LH150*$F$83</f>
        <v>#VALUE!</v>
      </c>
      <c r="LL150" s="672" t="e">
        <f>LH150*$F$80</f>
        <v>#VALUE!</v>
      </c>
      <c r="LM150" s="676" t="e">
        <f>LH150*$F$79</f>
        <v>#VALUE!</v>
      </c>
      <c r="LN150" s="668"/>
      <c r="LO150" s="669"/>
      <c r="LP150" s="670"/>
      <c r="LQ150" s="671"/>
      <c r="LR150" s="678"/>
      <c r="LS150" s="650"/>
      <c r="LT150" s="663"/>
      <c r="LU150" s="671" t="str">
        <f>IF(LT150="Low",LQ150*$D$42,IF(LT150="Med",LQ150*$D$43,IF(LT150="High",LQ150*$D$44,"rango cal. out")))</f>
        <v>rango cal. out</v>
      </c>
      <c r="LV150" s="619" t="e">
        <f>((273.2+LN150)*$F$33/((273.2+$F$32)*LP150))</f>
        <v>#DIV/0!</v>
      </c>
      <c r="LW150" s="674" t="e">
        <f>LU150/LR150*LV150*EXP(-LN(2)/10990*($F$96-LS150))</f>
        <v>#VALUE!</v>
      </c>
      <c r="LX150" s="599" t="e">
        <f>LW150-AVERAGE(ME102:ME103)</f>
        <v>#VALUE!</v>
      </c>
      <c r="LY150" s="672" t="e">
        <f>ABS(#REF!*LX150*3600)</f>
        <v>#REF!</v>
      </c>
      <c r="LZ150" s="675" t="e">
        <f>ABS($B$34*LX150*3600)</f>
        <v>#VALUE!</v>
      </c>
      <c r="MA150" s="672" t="e">
        <f>LZ150*$C$87</f>
        <v>#VALUE!</v>
      </c>
      <c r="MB150" s="672" t="e">
        <f>LZ150*$F$78</f>
        <v>#VALUE!</v>
      </c>
      <c r="MC150" s="600" t="e">
        <f>LZ150*$F$83</f>
        <v>#VALUE!</v>
      </c>
      <c r="MD150" s="672" t="e">
        <f>LZ150*$F$80</f>
        <v>#VALUE!</v>
      </c>
      <c r="ME150" s="676" t="e">
        <f>LZ150*$F$79</f>
        <v>#VALUE!</v>
      </c>
      <c r="MF150" s="668"/>
      <c r="MG150" s="669"/>
      <c r="MH150" s="670"/>
      <c r="MI150" s="671"/>
      <c r="MJ150" s="678"/>
      <c r="MK150" s="650"/>
      <c r="ML150" s="663"/>
      <c r="MM150" s="671" t="str">
        <f>IF(ML150="Low",MI150*$D$42,IF(ML150="Med",MI150*$D$43,IF(ML150="High",MI150*$D$44,"rango cal. out")))</f>
        <v>rango cal. out</v>
      </c>
      <c r="MN150" s="619" t="e">
        <f>((273.2+MF150)*$F$33/((273.2+$F$32)*MH150))</f>
        <v>#DIV/0!</v>
      </c>
      <c r="MO150" s="674" t="e">
        <f>MM150/MJ150*MN150*EXP(-LN(2)/10990*($F$96-MK150))</f>
        <v>#VALUE!</v>
      </c>
      <c r="MP150" s="599" t="e">
        <f>MO150-AVERAGE(MW102:MW103)</f>
        <v>#VALUE!</v>
      </c>
      <c r="MQ150" s="672" t="e">
        <f>ABS(#REF!*MP150*3600)</f>
        <v>#REF!</v>
      </c>
      <c r="MR150" s="675" t="e">
        <f>ABS($B$34*MP150*3600)</f>
        <v>#VALUE!</v>
      </c>
      <c r="MS150" s="672" t="e">
        <f>MR150*$C$87</f>
        <v>#VALUE!</v>
      </c>
      <c r="MT150" s="672" t="e">
        <f>MR150*$F$78</f>
        <v>#VALUE!</v>
      </c>
      <c r="MU150" s="600" t="e">
        <f>MR150*$F$83</f>
        <v>#VALUE!</v>
      </c>
      <c r="MV150" s="672" t="e">
        <f>MR150*$F$80</f>
        <v>#VALUE!</v>
      </c>
      <c r="MW150" s="676" t="e">
        <f>MR150*$F$79</f>
        <v>#VALUE!</v>
      </c>
      <c r="MX150" s="668"/>
      <c r="MY150" s="669"/>
      <c r="MZ150" s="680"/>
      <c r="NA150" s="671"/>
      <c r="NB150" s="673"/>
      <c r="NC150" s="650"/>
      <c r="ND150" s="663"/>
      <c r="NE150" s="671" t="str">
        <f>IF(ND150="Low",NA150*$D$42,IF(ND150="Med",NA150*$D$43,IF(ND150="High",NA150*$D$44,"rango cal. out")))</f>
        <v>rango cal. out</v>
      </c>
      <c r="NF150" s="619" t="e">
        <f>((273.2+MX150)*$F$33/((273.2+$F$32)*MZ150))</f>
        <v>#DIV/0!</v>
      </c>
      <c r="NG150" s="674" t="e">
        <f>NE150/NB150*NF150*EXP(-LN(2)/10990*($F$96-NC150))</f>
        <v>#VALUE!</v>
      </c>
      <c r="NH150" s="599" t="e">
        <f>NG150-AVERAGE(NO102:NO103)</f>
        <v>#VALUE!</v>
      </c>
      <c r="NI150" s="672" t="e">
        <f>ABS(#REF!*NH150*3600)</f>
        <v>#REF!</v>
      </c>
      <c r="NJ150" s="675" t="e">
        <f>ABS($B$34*NH150*3600)</f>
        <v>#VALUE!</v>
      </c>
      <c r="NK150" s="672" t="e">
        <f>NJ150*$C$87</f>
        <v>#VALUE!</v>
      </c>
      <c r="NL150" s="672" t="e">
        <f>NJ150*$F$78</f>
        <v>#VALUE!</v>
      </c>
      <c r="NM150" s="600" t="e">
        <f>NJ150*$F$83</f>
        <v>#VALUE!</v>
      </c>
      <c r="NN150" s="672" t="e">
        <f>NJ150*$F$80</f>
        <v>#VALUE!</v>
      </c>
      <c r="NO150" s="676" t="e">
        <f>NJ150*$F$79</f>
        <v>#VALUE!</v>
      </c>
      <c r="NP150" s="668">
        <v>20.5</v>
      </c>
      <c r="NQ150" s="669">
        <v>53</v>
      </c>
      <c r="NR150" s="680">
        <v>1007</v>
      </c>
      <c r="NS150" s="2011">
        <v>-4.2500000000000002E-11</v>
      </c>
      <c r="NT150" s="678">
        <v>60</v>
      </c>
      <c r="NU150" s="663">
        <v>44334</v>
      </c>
      <c r="NV150" s="663" t="s">
        <v>268</v>
      </c>
      <c r="NW150" s="671">
        <f>IF(NV150="Low",NS150*$D$42,IF(NV150="Med",NS150*$D$43,IF(NV150="High",NS150*$D$44,"rango cal. out")))</f>
        <v>-4.2627499999999997E-11</v>
      </c>
      <c r="NX150" s="619">
        <f>((273.2+NP150)*$F$33/((273.2+$F$32)*NR150))</f>
        <v>1.001093715939642</v>
      </c>
      <c r="NY150" s="674">
        <f>NW150/NT150*NX150*EXP(-LN(2)/10990*($F$96-NU150))</f>
        <v>-7.0436066239279067E-13</v>
      </c>
      <c r="NZ150" s="599">
        <f>NY150-AVERAGE(OG102:OG103)</f>
        <v>-7.0511282346474917E-13</v>
      </c>
      <c r="OA150" s="672" t="e">
        <f>ABS(#REF!*NZ150*3600)</f>
        <v>#REF!</v>
      </c>
      <c r="OB150" s="675">
        <f>ABS($B$34*NZ150*3600)</f>
        <v>6.3967835344722057E-5</v>
      </c>
      <c r="OC150" s="672">
        <f>OB150*$C$87</f>
        <v>6.3967835344722057E-3</v>
      </c>
      <c r="OD150" s="672">
        <f>OB150*$F$78</f>
        <v>7.6761402413666469E-5</v>
      </c>
      <c r="OE150" s="600">
        <f>OB150*$F$83</f>
        <v>7.7401080767113686E-5</v>
      </c>
      <c r="OF150" s="672">
        <f>OB150*$F$80</f>
        <v>7.7401080767113686E-5</v>
      </c>
      <c r="OG150" s="676">
        <f>OB150*$F$79</f>
        <v>7.9959794180902571E-5</v>
      </c>
      <c r="OH150" s="668"/>
      <c r="OI150" s="669"/>
      <c r="OJ150" s="670"/>
      <c r="OK150" s="671"/>
      <c r="OL150" s="678"/>
      <c r="OM150" s="650"/>
      <c r="ON150" s="663"/>
      <c r="OO150" s="671" t="str">
        <f>IF(ON150="Low",OK150*$D$42,IF(ON150="Med",OK150*$D$43,IF(ON150="High",OK150*$D$44,"rango cal. out")))</f>
        <v>rango cal. out</v>
      </c>
      <c r="OP150" s="619" t="e">
        <f>((273.2+OH150)*$F$33/((273.2+$F$32)*OJ150))</f>
        <v>#DIV/0!</v>
      </c>
      <c r="OQ150" s="674" t="e">
        <f>OO150/OL150*OP150*EXP(-LN(2)/10990*($F$96-OM150))</f>
        <v>#VALUE!</v>
      </c>
      <c r="OR150" s="599" t="e">
        <f>OQ150-AVERAGE(OY102:OY103)</f>
        <v>#VALUE!</v>
      </c>
      <c r="OS150" s="672" t="e">
        <f>ABS(#REF!*OR150*3600)</f>
        <v>#REF!</v>
      </c>
      <c r="OT150" s="675" t="e">
        <f>ABS($B$34*OR150*3600)</f>
        <v>#VALUE!</v>
      </c>
      <c r="OU150" s="672" t="e">
        <f>OT150*$C$87</f>
        <v>#VALUE!</v>
      </c>
      <c r="OV150" s="672" t="e">
        <f>OT150*$F$78</f>
        <v>#VALUE!</v>
      </c>
      <c r="OW150" s="600" t="e">
        <f>OT150*$F$83</f>
        <v>#VALUE!</v>
      </c>
      <c r="OX150" s="672" t="e">
        <f>OT150*$F$80</f>
        <v>#VALUE!</v>
      </c>
      <c r="OY150" s="676" t="e">
        <f>OT150*$F$79</f>
        <v>#VALUE!</v>
      </c>
      <c r="OZ150" s="668">
        <v>20.5</v>
      </c>
      <c r="PA150" s="669">
        <v>53</v>
      </c>
      <c r="PB150" s="680">
        <v>1007</v>
      </c>
      <c r="PC150" s="2011">
        <v>-8.6999999999999997E-11</v>
      </c>
      <c r="PD150" s="673">
        <v>60</v>
      </c>
      <c r="PE150" s="663">
        <v>44334</v>
      </c>
      <c r="PF150" s="663" t="s">
        <v>268</v>
      </c>
      <c r="PG150" s="671">
        <f>IF(PF150="Low",PC150*$D$42,IF(PF150="Med",PC150*$D$43,IF(PF150="High",PC150*$D$44,"rango cal. out")))</f>
        <v>-8.7260999999999987E-11</v>
      </c>
      <c r="PH150" s="619">
        <f>((273.2+OZ150)*$F$33/((273.2+$F$32)*PB150))</f>
        <v>1.001093715939642</v>
      </c>
      <c r="PI150" s="674">
        <f>PG150/PD150*PH150*EXP(-LN(2)/10990*($F$96-PE150))</f>
        <v>-1.4418677088981833E-12</v>
      </c>
      <c r="PJ150" s="599">
        <f>PI150-AVERAGE(PQ102:PQ103)</f>
        <v>-1.4401944988017428E-12</v>
      </c>
      <c r="PK150" s="672" t="e">
        <f>ABS(#REF!*PJ150*3600)</f>
        <v>#REF!</v>
      </c>
      <c r="PL150" s="675">
        <f>ABS($B$34*PJ150*3600)</f>
        <v>1.3065444493129411E-4</v>
      </c>
      <c r="PM150" s="672">
        <f>PL150*$C$87</f>
        <v>1.3065444493129411E-2</v>
      </c>
      <c r="PN150" s="672">
        <f>PL150*$F$78</f>
        <v>1.5678533391755292E-4</v>
      </c>
      <c r="PO150" s="600">
        <f>PL150*$F$83</f>
        <v>1.5809187836686586E-4</v>
      </c>
      <c r="PP150" s="672">
        <f>PL150*$F$80</f>
        <v>1.5809187836686586E-4</v>
      </c>
      <c r="PQ150" s="676">
        <f>PL150*$F$79</f>
        <v>1.6331805616411762E-4</v>
      </c>
      <c r="PR150" s="668"/>
      <c r="PS150" s="669"/>
      <c r="PT150" s="670"/>
      <c r="PU150" s="671"/>
      <c r="PV150" s="678"/>
      <c r="PW150" s="650"/>
      <c r="PX150" s="663"/>
      <c r="PY150" s="671" t="str">
        <f>IF(PX150="Low",PU150*$D$42,IF(PX150="Med",PU150*$D$43,IF(PX150="High",PU150*$D$44,"rango cal. out")))</f>
        <v>rango cal. out</v>
      </c>
      <c r="PZ150" s="619" t="e">
        <f>((273.2+PR150)*$F$33/((273.2+$F$32)*PT150))</f>
        <v>#DIV/0!</v>
      </c>
      <c r="QA150" s="674" t="e">
        <f>PY150/PV150*PZ150*EXP(-LN(2)/10990*($F$96-PW150))</f>
        <v>#VALUE!</v>
      </c>
      <c r="QB150" s="599" t="e">
        <f>QA150-AVERAGE(QI102:QI103)</f>
        <v>#VALUE!</v>
      </c>
      <c r="QC150" s="672" t="e">
        <f>ABS(#REF!*QB150*3600)</f>
        <v>#REF!</v>
      </c>
      <c r="QD150" s="675" t="e">
        <f>ABS($B$34*QB150*3600)</f>
        <v>#VALUE!</v>
      </c>
      <c r="QE150" s="672" t="e">
        <f>QD150*$C$87</f>
        <v>#VALUE!</v>
      </c>
      <c r="QF150" s="672" t="e">
        <f>QD150*$F$78</f>
        <v>#VALUE!</v>
      </c>
      <c r="QG150" s="600" t="e">
        <f>QD150*$F$83</f>
        <v>#VALUE!</v>
      </c>
      <c r="QH150" s="672" t="e">
        <f>QD150*$F$80</f>
        <v>#VALUE!</v>
      </c>
      <c r="QI150" s="676" t="e">
        <f>QD150*$F$79</f>
        <v>#VALUE!</v>
      </c>
      <c r="QJ150" s="668"/>
      <c r="QK150" s="669"/>
      <c r="QL150" s="670"/>
      <c r="QM150" s="671"/>
      <c r="QN150" s="678"/>
      <c r="QO150" s="650"/>
      <c r="QP150" s="663"/>
      <c r="QQ150" s="671" t="str">
        <f>IF(QP150="Low",QM150*$D$42,IF(QP150="Med",QM150*$D$43,IF(QP150="High",QM150*$D$44,"rango cal. out")))</f>
        <v>rango cal. out</v>
      </c>
      <c r="QR150" s="619" t="e">
        <f>((273.2+QJ150)*$F$33/((273.2+$F$32)*QL150))</f>
        <v>#DIV/0!</v>
      </c>
      <c r="QS150" s="674" t="e">
        <f>QQ150/QN150*QR150*EXP(-LN(2)/10990*($F$96-QO150))</f>
        <v>#VALUE!</v>
      </c>
      <c r="QT150" s="599" t="e">
        <f>QS150-AVERAGE(RA102:RA103)</f>
        <v>#VALUE!</v>
      </c>
      <c r="QU150" s="672" t="e">
        <f>ABS(#REF!*QT150*3600)</f>
        <v>#REF!</v>
      </c>
      <c r="QV150" s="675" t="e">
        <f>ABS($B$34*QT150*3600)</f>
        <v>#VALUE!</v>
      </c>
      <c r="QW150" s="672" t="e">
        <f>QV150*$C$87</f>
        <v>#VALUE!</v>
      </c>
      <c r="QX150" s="672" t="e">
        <f>QV150*$F$78</f>
        <v>#VALUE!</v>
      </c>
      <c r="QY150" s="600" t="e">
        <f>QV150*$F$83</f>
        <v>#VALUE!</v>
      </c>
      <c r="QZ150" s="672" t="e">
        <f>QV150*$F$80</f>
        <v>#VALUE!</v>
      </c>
      <c r="RA150" s="676" t="e">
        <f>QV150*$F$79</f>
        <v>#VALUE!</v>
      </c>
      <c r="RB150" s="668"/>
      <c r="RC150" s="669"/>
      <c r="RD150" s="680"/>
      <c r="RE150" s="671"/>
      <c r="RF150" s="673"/>
      <c r="RG150" s="650"/>
      <c r="RH150" s="663"/>
      <c r="RI150" s="671" t="str">
        <f>IF(RH150="Low",RE150*$D$42,IF(RH150="Med",RE150*$D$43,IF(RH150="High",RE150*$D$44,"rango cal. out")))</f>
        <v>rango cal. out</v>
      </c>
      <c r="RJ150" s="619" t="e">
        <f>((273.2+RB150)*$F$33/((273.2+$F$32)*RD150))</f>
        <v>#DIV/0!</v>
      </c>
      <c r="RK150" s="674" t="e">
        <f>RI150/RF150*RJ150*EXP(-LN(2)/10990*($F$96-RG150))</f>
        <v>#VALUE!</v>
      </c>
      <c r="RL150" s="599" t="e">
        <f>RK150-AVERAGE(RS102:RS103)</f>
        <v>#VALUE!</v>
      </c>
      <c r="RM150" s="672" t="e">
        <f>ABS(#REF!*RL150*3600)</f>
        <v>#REF!</v>
      </c>
      <c r="RN150" s="675" t="e">
        <f>ABS($B$34*RL150*3600)</f>
        <v>#VALUE!</v>
      </c>
      <c r="RO150" s="672" t="e">
        <f>RN150*$C$87</f>
        <v>#VALUE!</v>
      </c>
      <c r="RP150" s="672" t="e">
        <f>RN150*$F$78</f>
        <v>#VALUE!</v>
      </c>
      <c r="RQ150" s="600" t="e">
        <f>RN150*$F$83</f>
        <v>#VALUE!</v>
      </c>
      <c r="RR150" s="672" t="e">
        <f>RN150*$F$80</f>
        <v>#VALUE!</v>
      </c>
      <c r="RS150" s="676" t="e">
        <f>RN150*$F$79</f>
        <v>#VALUE!</v>
      </c>
      <c r="RT150" s="668"/>
      <c r="RU150" s="669"/>
      <c r="RV150" s="669"/>
      <c r="RW150" s="679"/>
      <c r="RX150" s="673"/>
      <c r="RY150" s="650"/>
      <c r="RZ150" s="663"/>
      <c r="SA150" s="671" t="str">
        <f>IF(RZ150="Low",RW150*$D$42,IF(RZ150="Med",RW150*$D$43,IF(RZ150="High",RW150*$D$44,"rango cal. out")))</f>
        <v>rango cal. out</v>
      </c>
      <c r="SB150" s="619" t="e">
        <f>((273.2+RT150)*$F$33/((273.2+$F$32)*RV150))</f>
        <v>#DIV/0!</v>
      </c>
      <c r="SC150" s="674" t="e">
        <f>SA150/RX150*SB150*EXP(-LN(2)/10990*($F$96-RY150))</f>
        <v>#VALUE!</v>
      </c>
      <c r="SD150" s="599" t="e">
        <f>SC150-AVERAGE(SK102:SK103)</f>
        <v>#VALUE!</v>
      </c>
      <c r="SE150" s="672" t="e">
        <f>ABS(#REF!*SD150*3600)</f>
        <v>#REF!</v>
      </c>
      <c r="SF150" s="675" t="e">
        <f>ABS($B$34*SD150*3600)</f>
        <v>#VALUE!</v>
      </c>
      <c r="SG150" s="672" t="e">
        <f>SF150*$C$87</f>
        <v>#VALUE!</v>
      </c>
      <c r="SH150" s="672" t="e">
        <f>SF150*$F$78</f>
        <v>#VALUE!</v>
      </c>
      <c r="SI150" s="600" t="e">
        <f>SF150*$F$83</f>
        <v>#VALUE!</v>
      </c>
      <c r="SJ150" s="672" t="e">
        <f>SF150*$F$80</f>
        <v>#VALUE!</v>
      </c>
      <c r="SK150" s="676" t="e">
        <f>SF150*$F$79</f>
        <v>#VALUE!</v>
      </c>
      <c r="SL150" s="668">
        <v>20.399999999999999</v>
      </c>
      <c r="SM150" s="669">
        <v>54</v>
      </c>
      <c r="SN150" s="680">
        <v>1007</v>
      </c>
      <c r="SO150" s="2011">
        <v>-1.3E-11</v>
      </c>
      <c r="SP150" s="673">
        <v>60</v>
      </c>
      <c r="SQ150" s="663">
        <v>44334</v>
      </c>
      <c r="SR150" s="663" t="s">
        <v>268</v>
      </c>
      <c r="SS150" s="671">
        <f>IF(SR150="Low",SO150*$D$42,IF(SR150="Med",SO150*$D$43,IF(SR150="High",SO150*$D$44,"rango cal. out")))</f>
        <v>-1.3038999999999999E-11</v>
      </c>
      <c r="ST150" s="619">
        <f>((273.2+SL150)*$F$33/((273.2+$F$32)*SN150))</f>
        <v>1.0007528600608746</v>
      </c>
      <c r="SU150" s="674">
        <f>SS150/SP150*ST150*EXP(-LN(2)/10990*($F$96-SQ150))</f>
        <v>-2.1537813905512252E-13</v>
      </c>
      <c r="SV150" s="599">
        <f>SU150-AVERAGE(TC102:TC103)</f>
        <v>-2.1344546628109026E-13</v>
      </c>
      <c r="SW150" s="672" t="e">
        <f>ABS(#REF!*SV150*3600)</f>
        <v>#REF!</v>
      </c>
      <c r="SX150" s="675">
        <f>ABS($B$34*SV150*3600)</f>
        <v>1.9363772701020509E-5</v>
      </c>
      <c r="SY150" s="672">
        <f>SX150*$C$87</f>
        <v>1.9363772701020509E-3</v>
      </c>
      <c r="SZ150" s="672">
        <f>SX150*$F$78</f>
        <v>2.323652724122461E-5</v>
      </c>
      <c r="TA150" s="600">
        <f>SX150*$F$83</f>
        <v>2.3430164968234817E-5</v>
      </c>
      <c r="TB150" s="672">
        <f>SX150*$F$80</f>
        <v>2.3430164968234817E-5</v>
      </c>
      <c r="TC150" s="676">
        <f>SX150*$F$79</f>
        <v>2.4204715876275638E-5</v>
      </c>
      <c r="TD150" s="668">
        <v>20.399999999999999</v>
      </c>
      <c r="TE150" s="669">
        <v>55</v>
      </c>
      <c r="TF150" s="680">
        <v>1008</v>
      </c>
      <c r="TG150" s="2011">
        <v>-1.9699999999999999E-10</v>
      </c>
      <c r="TH150" s="673">
        <v>60</v>
      </c>
      <c r="TI150" s="663">
        <v>44334</v>
      </c>
      <c r="TJ150" s="663" t="s">
        <v>268</v>
      </c>
      <c r="TK150" s="671">
        <f>IF(TJ150="Low",TG150*$D$42,IF(TJ150="Med",TG150*$D$43,IF(TJ150="High",TG150*$D$44,"rango cal. out")))</f>
        <v>-1.9759099999999997E-10</v>
      </c>
      <c r="TL150" s="619">
        <f>((273.2+TD150)*$F$33/((273.2+$F$32)*TF150))</f>
        <v>0.99976004968383014</v>
      </c>
      <c r="TM150" s="674">
        <f>TK150/TH150*TL150*EXP(-LN(2)/10990*($F$96-TI150))</f>
        <v>-3.2605692801904878E-12</v>
      </c>
      <c r="TN150" s="599">
        <f>TM150-AVERAGE(TU102:TU103)</f>
        <v>-3.2602028370032827E-12</v>
      </c>
      <c r="TO150" s="672" t="e">
        <f>ABS(#REF!*TN150*3600)</f>
        <v>#REF!</v>
      </c>
      <c r="TP150" s="675">
        <f>ABS($B$34*TN150*3600)</f>
        <v>2.957656013729378E-4</v>
      </c>
      <c r="TQ150" s="672">
        <f>TP150*$C$87</f>
        <v>2.9576560137293779E-2</v>
      </c>
      <c r="TR150" s="672">
        <f>TP150*$F$78</f>
        <v>3.5491872164752534E-4</v>
      </c>
      <c r="TS150" s="600">
        <f>TP150*$F$83</f>
        <v>3.5787637766125473E-4</v>
      </c>
      <c r="TT150" s="672">
        <f>TP150*$F$80</f>
        <v>3.5787637766125473E-4</v>
      </c>
      <c r="TU150" s="676">
        <f>TP150*$F$79</f>
        <v>3.6970700171617228E-4</v>
      </c>
      <c r="TV150" s="668"/>
      <c r="TW150" s="669"/>
      <c r="TX150" s="670"/>
      <c r="TY150" s="671"/>
      <c r="TZ150" s="678"/>
      <c r="UA150" s="650"/>
      <c r="UB150" s="663"/>
      <c r="UC150" s="671" t="str">
        <f>IF(UB150="Low",TY150*$D$42,IF(UB150="Med",TY150*$D$43,IF(UB150="High",TY150*$D$44,"rango cal. out")))</f>
        <v>rango cal. out</v>
      </c>
      <c r="UD150" s="619" t="e">
        <f>((273.2+TV150)*$F$33/((273.2+$F$32)*TX150))</f>
        <v>#DIV/0!</v>
      </c>
      <c r="UE150" s="674" t="e">
        <f>UC150/TZ150*UD150*EXP(-LN(2)/10990*($F$96-UA150))</f>
        <v>#VALUE!</v>
      </c>
      <c r="UF150" s="599" t="e">
        <f>UE150-AVERAGE(UM102:UM103)</f>
        <v>#VALUE!</v>
      </c>
      <c r="UG150" s="672" t="e">
        <f>ABS(#REF!*UF150*3600)</f>
        <v>#REF!</v>
      </c>
      <c r="UH150" s="675" t="e">
        <f>ABS($B$34*UF150*3600)</f>
        <v>#VALUE!</v>
      </c>
      <c r="UI150" s="672" t="e">
        <f>UH150*$C$87</f>
        <v>#VALUE!</v>
      </c>
      <c r="UJ150" s="672" t="e">
        <f>UH150*$F$78</f>
        <v>#VALUE!</v>
      </c>
      <c r="UK150" s="600" t="e">
        <f>UH150*$F$83</f>
        <v>#VALUE!</v>
      </c>
      <c r="UL150" s="672" t="e">
        <f>UH150*$F$80</f>
        <v>#VALUE!</v>
      </c>
      <c r="UM150" s="676" t="e">
        <f>UH150*$F$79</f>
        <v>#VALUE!</v>
      </c>
      <c r="UN150" s="668">
        <v>20.5</v>
      </c>
      <c r="UO150" s="669">
        <v>55</v>
      </c>
      <c r="UP150" s="680">
        <v>1008</v>
      </c>
      <c r="UQ150" s="2011">
        <v>-1.7500000000000001E-11</v>
      </c>
      <c r="UR150" s="673">
        <v>60</v>
      </c>
      <c r="US150" s="663">
        <v>44334</v>
      </c>
      <c r="UT150" s="663" t="s">
        <v>268</v>
      </c>
      <c r="UU150" s="671">
        <f>IF(UT150="Low",UQ150*$D$42,IF(UT150="Med",UQ150*$D$43,IF(UT150="High",UQ150*$D$44,"rango cal. out")))</f>
        <v>-1.7552499999999999E-11</v>
      </c>
      <c r="UV150" s="619">
        <f>((273.2+UN150)*$F$33/((273.2+$F$32)*UP150))</f>
        <v>1.0001005674119241</v>
      </c>
      <c r="UW150" s="674">
        <f>UU150/UR150*UV150*EXP(-LN(2)/10990*($F$96-US150))</f>
        <v>-2.8974313195651153E-13</v>
      </c>
      <c r="UX150" s="599">
        <f>UW150-AVERAGE(VE102:VE103)</f>
        <v>-2.8958065887424679E-13</v>
      </c>
      <c r="UY150" s="672" t="e">
        <f>ABS(#REF!*UX150*3600)</f>
        <v>#REF!</v>
      </c>
      <c r="UZ150" s="675">
        <f>ABS($B$34*UX150*3600)</f>
        <v>2.6270757373071669E-5</v>
      </c>
      <c r="VA150" s="672">
        <f>UZ150*$C$87</f>
        <v>2.6270757373071667E-3</v>
      </c>
      <c r="VB150" s="672">
        <f>UZ150*$F$78</f>
        <v>3.1524908847685998E-5</v>
      </c>
      <c r="VC150" s="600">
        <f>UZ150*$F$83</f>
        <v>3.1787616421416717E-5</v>
      </c>
      <c r="VD150" s="672">
        <f>UZ150*$F$80</f>
        <v>3.1787616421416717E-5</v>
      </c>
      <c r="VE150" s="676">
        <f>UZ150*$F$79</f>
        <v>3.2838446716339585E-5</v>
      </c>
    </row>
    <row r="151" spans="1:577" x14ac:dyDescent="0.25">
      <c r="A151" s="2219"/>
      <c r="B151" s="668">
        <v>20.3</v>
      </c>
      <c r="C151" s="673">
        <v>57</v>
      </c>
      <c r="D151" s="678">
        <v>1010</v>
      </c>
      <c r="E151" s="2011">
        <v>-3.1359999999999999E-9</v>
      </c>
      <c r="F151" s="673">
        <v>60</v>
      </c>
      <c r="G151" s="663">
        <v>44334</v>
      </c>
      <c r="H151" s="650" t="s">
        <v>1042</v>
      </c>
      <c r="I151" s="671">
        <f>IF(H151="Low",E151*$D$42,IF(H151="Med",E151*$D$43,IF(H151="High",E151*$D$44,"rango cal. out")))</f>
        <v>-3.1391359999999995E-9</v>
      </c>
      <c r="J151" s="619">
        <f>((273.2+B151)*$F$33/((273.2+$F$32)*D151))</f>
        <v>0.99744048337760605</v>
      </c>
      <c r="K151" s="674">
        <f>I151/F151*J151*EXP(-LN(2)/10990*($F$96-G151))</f>
        <v>-5.1680608375044825E-11</v>
      </c>
      <c r="L151" s="599">
        <f>K151-AVERAGE(S102:S103)</f>
        <v>-5.1656796407673326E-11</v>
      </c>
      <c r="M151" s="672" t="e">
        <f>ABS(#REF!*L151*3600)</f>
        <v>#REF!</v>
      </c>
      <c r="N151" s="675">
        <f>ABS($B$34*L151*3600)</f>
        <v>4.6863045701041241E-3</v>
      </c>
      <c r="O151" s="614">
        <f>N151*$C$87</f>
        <v>0.46863045701041239</v>
      </c>
      <c r="P151" s="672">
        <f>N151*$F$78</f>
        <v>5.623565484124949E-3</v>
      </c>
      <c r="Q151" s="600">
        <f>N151*$F$83</f>
        <v>5.6704285298259903E-3</v>
      </c>
      <c r="R151" s="672">
        <f>N151*$F$80</f>
        <v>5.6704285298259903E-3</v>
      </c>
      <c r="S151" s="676">
        <f>N151*$F$79</f>
        <v>5.8578807126301556E-3</v>
      </c>
      <c r="T151" s="677"/>
      <c r="U151" s="669"/>
      <c r="V151" s="670"/>
      <c r="W151" s="671"/>
      <c r="X151" s="678"/>
      <c r="Y151" s="650"/>
      <c r="Z151" s="650"/>
      <c r="AA151" s="671" t="str">
        <f>IF(Z151="Low",W151*$D$42,IF(Z151="Med",W151*$D$43,IF(Z151="High",W151*$D$44,"rango cal. out")))</f>
        <v>rango cal. out</v>
      </c>
      <c r="AB151" s="619" t="e">
        <f>((273.2+T151)*$F$33/((273.2+$F$32)*V151))</f>
        <v>#DIV/0!</v>
      </c>
      <c r="AC151" s="674" t="e">
        <f>AA151/X151*AB151*EXP(-LN(2)/10990*($F$96-Y151))</f>
        <v>#VALUE!</v>
      </c>
      <c r="AD151" s="599" t="e">
        <f>AC151-AVERAGE(#REF!)</f>
        <v>#VALUE!</v>
      </c>
      <c r="AE151" s="672" t="e">
        <f>ABS(#REF!*AD151*3600)</f>
        <v>#REF!</v>
      </c>
      <c r="AF151" s="675" t="e">
        <f>ABS($B$34*AD151*3600)</f>
        <v>#VALUE!</v>
      </c>
      <c r="AG151" s="614" t="e">
        <f>AF151*$C$87</f>
        <v>#VALUE!</v>
      </c>
      <c r="AH151" s="672" t="e">
        <f>AF151*$F$78</f>
        <v>#VALUE!</v>
      </c>
      <c r="AI151" s="600" t="e">
        <f>AF151*$F$83</f>
        <v>#VALUE!</v>
      </c>
      <c r="AJ151" s="672" t="e">
        <f>AF151*$F$80</f>
        <v>#VALUE!</v>
      </c>
      <c r="AK151" s="676" t="e">
        <f>AF151*$F$79</f>
        <v>#VALUE!</v>
      </c>
      <c r="AL151" s="677"/>
      <c r="AM151" s="669"/>
      <c r="AN151" s="670"/>
      <c r="AO151" s="671"/>
      <c r="AP151" s="678"/>
      <c r="AQ151" s="650"/>
      <c r="AR151" s="650"/>
      <c r="AS151" s="671" t="str">
        <f>IF(AR151="Low",AO151*$D$42,IF(AR151="Med",AO151*$D$43,IF(AR151="High",AO151*$D$44,"rango cal. out")))</f>
        <v>rango cal. out</v>
      </c>
      <c r="AT151" s="619" t="e">
        <f>((273.2+AL151)*$F$33/((273.2+$F$32)*AN151))</f>
        <v>#DIV/0!</v>
      </c>
      <c r="AU151" s="674" t="e">
        <f>AS151/AP151*AT151*EXP(-LN(2)/10990*($F$96-AQ151))</f>
        <v>#VALUE!</v>
      </c>
      <c r="AV151" s="599" t="e">
        <f>AU151-AVERAGE(BC102:BC103)</f>
        <v>#VALUE!</v>
      </c>
      <c r="AW151" s="672" t="e">
        <f>ABS(#REF!*AV151*3600)</f>
        <v>#REF!</v>
      </c>
      <c r="AX151" s="675" t="e">
        <f>ABS($B$34*AV151*3600)</f>
        <v>#VALUE!</v>
      </c>
      <c r="AY151" s="614" t="e">
        <f>AX151*$C$87</f>
        <v>#VALUE!</v>
      </c>
      <c r="AZ151" s="672" t="e">
        <f>AX151*$F$78</f>
        <v>#VALUE!</v>
      </c>
      <c r="BA151" s="600" t="e">
        <f>AX151*$F$83</f>
        <v>#VALUE!</v>
      </c>
      <c r="BB151" s="672" t="e">
        <f>AX151*$F$80</f>
        <v>#VALUE!</v>
      </c>
      <c r="BC151" s="676" t="e">
        <f>AX151*$F$79</f>
        <v>#VALUE!</v>
      </c>
      <c r="BD151" s="668">
        <v>20.5</v>
      </c>
      <c r="BE151" s="669">
        <v>52</v>
      </c>
      <c r="BF151" s="670">
        <v>1009</v>
      </c>
      <c r="BG151" s="2010">
        <v>-4.9849999999999998E-10</v>
      </c>
      <c r="BH151" s="673">
        <v>60</v>
      </c>
      <c r="BI151" s="663">
        <v>44334</v>
      </c>
      <c r="BJ151" s="650" t="s">
        <v>268</v>
      </c>
      <c r="BK151" s="671">
        <f>IF(BJ151="Low",BG151*$D$42,IF(BJ151="Med",BG151*$D$43,IF(BJ151="High",BG151*$D$44,"rango cal. out")))</f>
        <v>-4.9999549999999994E-10</v>
      </c>
      <c r="BL151" s="619">
        <f>((273.2+BD151)*$F$33/((273.2+$F$32)*BF151))</f>
        <v>0.9991093874640431</v>
      </c>
      <c r="BM151" s="674">
        <f>BK151/BH151*BL151*EXP(-LN(2)/10990*($F$96-BI151))</f>
        <v>-8.2453601523751126E-12</v>
      </c>
      <c r="BN151" s="599">
        <f>BM151-AVERAGE(BU102:BU103)</f>
        <v>-8.2440149682667165E-12</v>
      </c>
      <c r="BO151" s="672" t="e">
        <f>ABS(#REF!*BN151*3600)</f>
        <v>#REF!</v>
      </c>
      <c r="BP151" s="675">
        <f>ABS($B$34*BN151*3600)</f>
        <v>7.4789703792115653E-4</v>
      </c>
      <c r="BQ151" s="614">
        <f>BP151*$C$87</f>
        <v>7.478970379211565E-2</v>
      </c>
      <c r="BR151" s="672">
        <f>BP151*$F$78</f>
        <v>8.9747644550538781E-4</v>
      </c>
      <c r="BS151" s="600">
        <f>BP151*$F$83</f>
        <v>9.0495541588459937E-4</v>
      </c>
      <c r="BT151" s="672">
        <f>BP151*$F$80</f>
        <v>9.0495541588459937E-4</v>
      </c>
      <c r="BU151" s="676">
        <f>BP151*$F$79</f>
        <v>9.3487129740144569E-4</v>
      </c>
      <c r="BV151" s="668">
        <v>20.5</v>
      </c>
      <c r="BW151" s="669">
        <v>51</v>
      </c>
      <c r="BX151" s="680">
        <v>1008</v>
      </c>
      <c r="BY151" s="2010">
        <v>-2.9E-11</v>
      </c>
      <c r="BZ151" s="673">
        <v>60</v>
      </c>
      <c r="CA151" s="663">
        <v>44334</v>
      </c>
      <c r="CB151" s="650" t="s">
        <v>268</v>
      </c>
      <c r="CC151" s="671">
        <f>IF(CB151="Low",BY151*$D$42,IF(CB151="Med",BY151*$D$43,IF(CB151="High",BY151*$D$44,"rango cal. out")))</f>
        <v>-2.9086999999999997E-11</v>
      </c>
      <c r="CD151" s="619">
        <f>((273.2+BV151)*$F$33/((273.2+$F$32)*BX151))</f>
        <v>1.0001005674119241</v>
      </c>
      <c r="CE151" s="674">
        <f>CC151/BZ151*CD151*EXP(-LN(2)/10990*($F$96-CA151))</f>
        <v>-4.8014576152793344E-13</v>
      </c>
      <c r="CF151" s="599">
        <f>CE151-AVERAGE(CM102:CM103)</f>
        <v>-4.7834426629279173E-13</v>
      </c>
      <c r="CG151" s="672" t="e">
        <f>ABS(#REF!*CF151*3600)</f>
        <v>#REF!</v>
      </c>
      <c r="CH151" s="675">
        <f>ABS($B$34*CF151*3600)</f>
        <v>4.3395391838082062E-5</v>
      </c>
      <c r="CI151" s="614">
        <f>CH151*$C$87</f>
        <v>4.3395391838082064E-3</v>
      </c>
      <c r="CJ151" s="672">
        <f>CH151*$F$78</f>
        <v>5.207447020569847E-5</v>
      </c>
      <c r="CK151" s="600">
        <f>CH151*$F$83</f>
        <v>5.2508424124079294E-5</v>
      </c>
      <c r="CL151" s="672">
        <f>CH151*$F$80</f>
        <v>5.2508424124079294E-5</v>
      </c>
      <c r="CM151" s="676">
        <f>CH151*$F$79</f>
        <v>5.4244239797602576E-5</v>
      </c>
      <c r="CN151" s="668">
        <v>20.6</v>
      </c>
      <c r="CO151" s="669">
        <v>52</v>
      </c>
      <c r="CP151" s="680">
        <v>1007</v>
      </c>
      <c r="CQ151" s="2011">
        <v>-1.161E-9</v>
      </c>
      <c r="CR151" s="673">
        <v>60</v>
      </c>
      <c r="CS151" s="663">
        <v>44334</v>
      </c>
      <c r="CT151" s="650" t="s">
        <v>268</v>
      </c>
      <c r="CU151" s="671">
        <f>IF(CT151="Low",CQ151*$D$42,IF(CT151="Med",CQ151*$D$43,IF(CT151="High",CQ151*$D$44,"rango cal. out")))</f>
        <v>-1.1644829999999998E-9</v>
      </c>
      <c r="CV151" s="619">
        <f>((273.2+CN151)*$F$33/((273.2+$F$32)*CP151))</f>
        <v>1.0014345718184097</v>
      </c>
      <c r="CW151" s="674">
        <f>CU151/CR151*CV151*EXP(-LN(2)/10990*($F$96-CS151))</f>
        <v>-1.9248027382192575E-11</v>
      </c>
      <c r="CX151" s="599">
        <f>CW151-AVERAGE(DE102:DE103)</f>
        <v>-1.9236739695487149E-11</v>
      </c>
      <c r="CY151" s="672" t="e">
        <f>ABS(#REF!*CX151*3600)</f>
        <v>#REF!</v>
      </c>
      <c r="CZ151" s="675">
        <f>ABS($B$34*CX151*3600)</f>
        <v>1.7451570251745944E-3</v>
      </c>
      <c r="DA151" s="614">
        <f>CZ151*$C$87</f>
        <v>0.17451570251745943</v>
      </c>
      <c r="DB151" s="672">
        <f>CZ151*$F$78</f>
        <v>2.0941884302095133E-3</v>
      </c>
      <c r="DC151" s="600">
        <f>CZ151*$F$83</f>
        <v>2.1116400004612592E-3</v>
      </c>
      <c r="DD151" s="672">
        <f>CZ151*$F$80</f>
        <v>2.1116400004612592E-3</v>
      </c>
      <c r="DE151" s="676">
        <f>CZ151*$F$79</f>
        <v>2.1814462814682429E-3</v>
      </c>
      <c r="DF151" s="668"/>
      <c r="DG151" s="669"/>
      <c r="DH151" s="670"/>
      <c r="DI151" s="671"/>
      <c r="DJ151" s="678"/>
      <c r="DK151" s="650"/>
      <c r="DL151" s="650" t="s">
        <v>268</v>
      </c>
      <c r="DM151" s="671">
        <f>IF(DL151="Low",DI151*$D$42,IF(DL151="Med",DI151*$D$43,IF(DL151="High",DI151*$D$44,"rango cal. out")))</f>
        <v>0</v>
      </c>
      <c r="DN151" s="619" t="e">
        <f>((273.2+DF151)*$F$33/((273.2+$F$32)*DH151))</f>
        <v>#DIV/0!</v>
      </c>
      <c r="DO151" s="674" t="e">
        <f>DM151/DJ151*DN151*EXP(-LN(2)/10990*($F$96-DK151))</f>
        <v>#DIV/0!</v>
      </c>
      <c r="DP151" s="599" t="e">
        <f>DO151-AVERAGE(DW102:DW103)</f>
        <v>#DIV/0!</v>
      </c>
      <c r="DQ151" s="672" t="e">
        <f>ABS(#REF!*DP151*3600)</f>
        <v>#REF!</v>
      </c>
      <c r="DR151" s="675" t="e">
        <f>ABS($B$34*DP151*3600)</f>
        <v>#DIV/0!</v>
      </c>
      <c r="DS151" s="614" t="e">
        <f>DR151*$C$87</f>
        <v>#DIV/0!</v>
      </c>
      <c r="DT151" s="672" t="e">
        <f>DR151*$F$78</f>
        <v>#DIV/0!</v>
      </c>
      <c r="DU151" s="600" t="e">
        <f>DR151*$F$83</f>
        <v>#DIV/0!</v>
      </c>
      <c r="DV151" s="672" t="e">
        <f>DR151*$F$80</f>
        <v>#DIV/0!</v>
      </c>
      <c r="DW151" s="676" t="e">
        <f>DR151*$F$79</f>
        <v>#DIV/0!</v>
      </c>
      <c r="DX151" s="668"/>
      <c r="DY151" s="669"/>
      <c r="DZ151" s="677"/>
      <c r="EA151" s="679"/>
      <c r="EB151" s="678"/>
      <c r="EC151" s="650"/>
      <c r="ED151" s="650"/>
      <c r="EE151" s="671" t="str">
        <f>IF(ED151="Low",EA151*$D$42,IF(ED151="Med",EA151*$D$43,IF(ED151="High",EA151*$D$44,"rango cal. out")))</f>
        <v>rango cal. out</v>
      </c>
      <c r="EF151" s="619" t="e">
        <f>((273.2+DX151)*$F$33/((273.2+$F$32)*DZ151))</f>
        <v>#DIV/0!</v>
      </c>
      <c r="EG151" s="674" t="e">
        <f>EE151/EB151*EF151*EXP(-LN(2)/10990*($F$96-EC151))</f>
        <v>#VALUE!</v>
      </c>
      <c r="EH151" s="599" t="e">
        <f>EG151-AVERAGE(EO102:EO103)</f>
        <v>#VALUE!</v>
      </c>
      <c r="EI151" s="672" t="e">
        <f>ABS(#REF!*EH151*3600)</f>
        <v>#REF!</v>
      </c>
      <c r="EJ151" s="675" t="e">
        <f>ABS($B$34*EH151*3600)</f>
        <v>#VALUE!</v>
      </c>
      <c r="EK151" s="614" t="e">
        <f>EJ151*$C$87</f>
        <v>#VALUE!</v>
      </c>
      <c r="EL151" s="672" t="e">
        <f>EJ151*$F$78</f>
        <v>#VALUE!</v>
      </c>
      <c r="EM151" s="600" t="e">
        <f>EJ151*$F$83</f>
        <v>#VALUE!</v>
      </c>
      <c r="EN151" s="672" t="e">
        <f>EJ151*$F$80</f>
        <v>#VALUE!</v>
      </c>
      <c r="EO151" s="676" t="e">
        <f>EJ151*$F$79</f>
        <v>#VALUE!</v>
      </c>
      <c r="EP151" s="668">
        <v>20.6</v>
      </c>
      <c r="EQ151" s="669">
        <v>53</v>
      </c>
      <c r="ER151" s="680">
        <v>1007</v>
      </c>
      <c r="ES151" s="2011">
        <v>-1.0499999999999999E-11</v>
      </c>
      <c r="ET151" s="673">
        <v>60</v>
      </c>
      <c r="EU151" s="663">
        <v>44334</v>
      </c>
      <c r="EV151" s="650" t="s">
        <v>268</v>
      </c>
      <c r="EW151" s="671">
        <f>IF(EV151="Low",ES151*$D$42,IF(EV151="Med",ES151*$D$43,IF(EV151="High",ES151*$D$44,"rango cal. out")))</f>
        <v>-1.0531499999999998E-11</v>
      </c>
      <c r="EX151" s="619">
        <f>((273.2+EP151)*$F$33/((273.2+$F$32)*ER151))</f>
        <v>1.0014345718184097</v>
      </c>
      <c r="EY151" s="674">
        <f>EW151/ET151*EX151*EXP(-LN(2)/10990*($F$96-EU151))</f>
        <v>-1.7407776702241348E-13</v>
      </c>
      <c r="EZ151" s="599">
        <f>EY151-AVERAGE(FG102:FG103)</f>
        <v>-1.7515833083201321E-13</v>
      </c>
      <c r="FA151" s="672" t="e">
        <f>ABS(#REF!*EZ151*3600)</f>
        <v>#REF!</v>
      </c>
      <c r="FB151" s="675">
        <f>ABS($B$34*EZ151*3600)</f>
        <v>1.5890363773080237E-5</v>
      </c>
      <c r="FC151" s="614">
        <f>FB151*$C$87</f>
        <v>1.5890363773080236E-3</v>
      </c>
      <c r="FD151" s="672">
        <f>FB151*$F$78</f>
        <v>1.9068436527696285E-5</v>
      </c>
      <c r="FE151" s="600">
        <f>FB151*$F$83</f>
        <v>1.9227340165427087E-5</v>
      </c>
      <c r="FF151" s="672">
        <f>FB151*$F$80</f>
        <v>1.9227340165427087E-5</v>
      </c>
      <c r="FG151" s="676">
        <f>FB151*$F$79</f>
        <v>1.9862954716350295E-5</v>
      </c>
      <c r="FH151" s="668"/>
      <c r="FI151" s="669"/>
      <c r="FJ151" s="670"/>
      <c r="FK151" s="671"/>
      <c r="FL151" s="678"/>
      <c r="FM151" s="650"/>
      <c r="FN151" s="650"/>
      <c r="FO151" s="671" t="str">
        <f>IF(FN151="Low",FK151*$D$42,IF(FN151="Med",FK151*$D$43,IF(FN151="High",FK151*$D$44,"rango cal. out")))</f>
        <v>rango cal. out</v>
      </c>
      <c r="FP151" s="619" t="e">
        <f>((273.2+FH151)*$F$33/((273.2+$F$32)*FJ151))</f>
        <v>#DIV/0!</v>
      </c>
      <c r="FQ151" s="674" t="e">
        <f>FO151/FL151*FP151*EXP(-LN(2)/10990*($F$96-FM151))</f>
        <v>#VALUE!</v>
      </c>
      <c r="FR151" s="599" t="e">
        <f>FQ151-AVERAGE(FY102:FY103)</f>
        <v>#VALUE!</v>
      </c>
      <c r="FS151" s="672" t="e">
        <f>ABS(#REF!*FR151*3600)</f>
        <v>#REF!</v>
      </c>
      <c r="FT151" s="675" t="e">
        <f>ABS($B$34*FR151*3600)</f>
        <v>#VALUE!</v>
      </c>
      <c r="FU151" s="614" t="e">
        <f>FT151*$C$87</f>
        <v>#VALUE!</v>
      </c>
      <c r="FV151" s="672" t="e">
        <f>FT151*$F$78</f>
        <v>#VALUE!</v>
      </c>
      <c r="FW151" s="600" t="e">
        <f>FT151*$F$83</f>
        <v>#VALUE!</v>
      </c>
      <c r="FX151" s="672" t="e">
        <f>FT151*$F$80</f>
        <v>#VALUE!</v>
      </c>
      <c r="FY151" s="676" t="e">
        <f>FT151*$F$79</f>
        <v>#VALUE!</v>
      </c>
      <c r="FZ151" s="668"/>
      <c r="GA151" s="669"/>
      <c r="GB151" s="670"/>
      <c r="GC151" s="671"/>
      <c r="GD151" s="678"/>
      <c r="GE151" s="650"/>
      <c r="GF151" s="650"/>
      <c r="GG151" s="671" t="str">
        <f>IF(GF151="Low",GC151*$D$42,IF(GF151="Med",GC151*$D$43,IF(GF151="High",GC151*$D$44,"rango cal. out")))</f>
        <v>rango cal. out</v>
      </c>
      <c r="GH151" s="619" t="e">
        <f>((273.2+FZ151)*$F$33/((273.2+$F$32)*GB151))</f>
        <v>#DIV/0!</v>
      </c>
      <c r="GI151" s="674" t="e">
        <f>GG151/GD151*GH151*EXP(-LN(2)/10990*($F$96-GE151))</f>
        <v>#VALUE!</v>
      </c>
      <c r="GJ151" s="599" t="e">
        <f>GI151-AVERAGE(GQ102:GQ103)</f>
        <v>#VALUE!</v>
      </c>
      <c r="GK151" s="672" t="e">
        <f>ABS(#REF!*GJ151*3600)</f>
        <v>#REF!</v>
      </c>
      <c r="GL151" s="675" t="e">
        <f>ABS($B$34*GJ151*3600)</f>
        <v>#VALUE!</v>
      </c>
      <c r="GM151" s="614" t="e">
        <f>GL151*$C$87</f>
        <v>#VALUE!</v>
      </c>
      <c r="GN151" s="672" t="e">
        <f>GL151*$F$78</f>
        <v>#VALUE!</v>
      </c>
      <c r="GO151" s="600" t="e">
        <f>GL151*$F$83</f>
        <v>#VALUE!</v>
      </c>
      <c r="GP151" s="672" t="e">
        <f>GL151*$F$80</f>
        <v>#VALUE!</v>
      </c>
      <c r="GQ151" s="676" t="e">
        <f>GL151*$F$79</f>
        <v>#VALUE!</v>
      </c>
      <c r="GR151" s="668"/>
      <c r="GS151" s="669"/>
      <c r="GT151" s="677"/>
      <c r="GU151" s="679"/>
      <c r="GV151" s="678"/>
      <c r="GW151" s="650"/>
      <c r="GX151" s="650"/>
      <c r="GY151" s="671" t="str">
        <f>IF(GX151="Low",GU151*$D$42,IF(GX151="Med",GU151*$D$43,IF(GX151="High",GU151*$D$44,"rango cal. out")))</f>
        <v>rango cal. out</v>
      </c>
      <c r="GZ151" s="619" t="e">
        <f>((273.2+GR151)*$F$33/((273.2+$F$32)*GT151))</f>
        <v>#DIV/0!</v>
      </c>
      <c r="HA151" s="674" t="e">
        <f>GY151/GV151*GZ151*EXP(-LN(2)/10990*($F$96-GW151))</f>
        <v>#VALUE!</v>
      </c>
      <c r="HB151" s="599" t="e">
        <f>HA151-AVERAGE(HI102:HI103)</f>
        <v>#VALUE!</v>
      </c>
      <c r="HC151" s="672" t="e">
        <f>ABS(#REF!*HB151*3600)</f>
        <v>#REF!</v>
      </c>
      <c r="HD151" s="675" t="e">
        <f>ABS($B$34*HB151*3600)</f>
        <v>#VALUE!</v>
      </c>
      <c r="HE151" s="614" t="e">
        <f>HD151*$C$87</f>
        <v>#VALUE!</v>
      </c>
      <c r="HF151" s="672" t="e">
        <f>HD151*$F$78</f>
        <v>#VALUE!</v>
      </c>
      <c r="HG151" s="600" t="e">
        <f>HD151*$F$83</f>
        <v>#VALUE!</v>
      </c>
      <c r="HH151" s="672" t="e">
        <f>HD151*$F$80</f>
        <v>#VALUE!</v>
      </c>
      <c r="HI151" s="676" t="e">
        <f>HD151*$F$79</f>
        <v>#VALUE!</v>
      </c>
      <c r="HJ151" s="668"/>
      <c r="HK151" s="669"/>
      <c r="HL151" s="670"/>
      <c r="HM151" s="671"/>
      <c r="HN151" s="678"/>
      <c r="HO151" s="650"/>
      <c r="HP151" s="650"/>
      <c r="HQ151" s="671" t="str">
        <f>IF(HP151="Low",HM151*$D$42,IF(HP151="Med",HM151*$D$43,IF(HP151="High",HM151*$D$44,"rango cal. out")))</f>
        <v>rango cal. out</v>
      </c>
      <c r="HR151" s="619" t="e">
        <f>((273.2+HJ151)*$F$33/((273.2+$F$32)*HL151))</f>
        <v>#DIV/0!</v>
      </c>
      <c r="HS151" s="674" t="e">
        <f>HQ151/HN151*HR151*EXP(-LN(2)/10990*($F$96-HO151))</f>
        <v>#VALUE!</v>
      </c>
      <c r="HT151" s="599" t="e">
        <f>HS151-AVERAGE(IA102:IA103)</f>
        <v>#VALUE!</v>
      </c>
      <c r="HU151" s="672" t="e">
        <f>ABS(#REF!*HT151*3600)</f>
        <v>#REF!</v>
      </c>
      <c r="HV151" s="675" t="e">
        <f>ABS($B$34*HT151*3600)</f>
        <v>#VALUE!</v>
      </c>
      <c r="HW151" s="614" t="e">
        <f>HV151*$C$87</f>
        <v>#VALUE!</v>
      </c>
      <c r="HX151" s="672" t="e">
        <f>HV151*$F$78</f>
        <v>#VALUE!</v>
      </c>
      <c r="HY151" s="600" t="e">
        <f>HV151*$F$83</f>
        <v>#VALUE!</v>
      </c>
      <c r="HZ151" s="672" t="e">
        <f>HV151*$F$80</f>
        <v>#VALUE!</v>
      </c>
      <c r="IA151" s="676" t="e">
        <f>HV151*$F$79</f>
        <v>#VALUE!</v>
      </c>
      <c r="IB151" s="668"/>
      <c r="IC151" s="669"/>
      <c r="ID151" s="670"/>
      <c r="IE151" s="671"/>
      <c r="IF151" s="678"/>
      <c r="IG151" s="650"/>
      <c r="IH151" s="650"/>
      <c r="II151" s="671" t="str">
        <f>IF(IH151="Low",IE151*$D$42,IF(IH151="Med",IE151*$D$43,IF(IH151="High",IE151*$D$44,"rango cal. out")))</f>
        <v>rango cal. out</v>
      </c>
      <c r="IJ151" s="619" t="e">
        <f>((273.2+IB151)*$F$33/((273.2+$F$32)*ID151))</f>
        <v>#DIV/0!</v>
      </c>
      <c r="IK151" s="674" t="e">
        <f>II151/IF151*IJ151*EXP(-LN(2)/10990*($F$96-IG151))</f>
        <v>#VALUE!</v>
      </c>
      <c r="IL151" s="599" t="e">
        <f>IK151-AVERAGE(IS102:IS103)</f>
        <v>#VALUE!</v>
      </c>
      <c r="IM151" s="672" t="e">
        <f>ABS(#REF!*IL151*3600)</f>
        <v>#REF!</v>
      </c>
      <c r="IN151" s="675" t="e">
        <f>ABS($B$34*IL151*3600)</f>
        <v>#VALUE!</v>
      </c>
      <c r="IO151" s="614" t="e">
        <f>IN151*$C$87</f>
        <v>#VALUE!</v>
      </c>
      <c r="IP151" s="672" t="e">
        <f>IN151*$F$78</f>
        <v>#VALUE!</v>
      </c>
      <c r="IQ151" s="600" t="e">
        <f>IN151*$F$83</f>
        <v>#VALUE!</v>
      </c>
      <c r="IR151" s="672" t="e">
        <f>IN151*$F$80</f>
        <v>#VALUE!</v>
      </c>
      <c r="IS151" s="676" t="e">
        <f>IN151*$F$79</f>
        <v>#VALUE!</v>
      </c>
      <c r="IT151" s="668"/>
      <c r="IU151" s="669"/>
      <c r="IV151" s="670"/>
      <c r="IW151" s="671"/>
      <c r="IX151" s="678"/>
      <c r="IY151" s="650"/>
      <c r="IZ151" s="650"/>
      <c r="JA151" s="671" t="str">
        <f>IF(IZ151="Low",IW151*$D$42,IF(IZ151="Med",IW151*$D$43,IF(IZ151="High",IW151*$D$44,"rango cal. out")))</f>
        <v>rango cal. out</v>
      </c>
      <c r="JB151" s="619" t="e">
        <f>((273.2+IT151)*$F$33/((273.2+$F$32)*IV151))</f>
        <v>#DIV/0!</v>
      </c>
      <c r="JC151" s="674" t="e">
        <f>JA151/IX151*JB151*EXP(-LN(2)/10990*($F$96-IY151))</f>
        <v>#VALUE!</v>
      </c>
      <c r="JD151" s="599" t="e">
        <f>JC151-AVERAGE(JK102:JK103)</f>
        <v>#VALUE!</v>
      </c>
      <c r="JE151" s="672" t="e">
        <f>ABS(#REF!*JD151*3600)</f>
        <v>#REF!</v>
      </c>
      <c r="JF151" s="675" t="e">
        <f>ABS($B$34*JD151*3600)</f>
        <v>#VALUE!</v>
      </c>
      <c r="JG151" s="614" t="e">
        <f>JF151*$C$87</f>
        <v>#VALUE!</v>
      </c>
      <c r="JH151" s="672" t="e">
        <f>JF151*$F$78</f>
        <v>#VALUE!</v>
      </c>
      <c r="JI151" s="600" t="e">
        <f>JF151*$F$83</f>
        <v>#VALUE!</v>
      </c>
      <c r="JJ151" s="672" t="e">
        <f>JF151*$F$80</f>
        <v>#VALUE!</v>
      </c>
      <c r="JK151" s="676" t="e">
        <f>JF151*$F$79</f>
        <v>#VALUE!</v>
      </c>
      <c r="JL151" s="668"/>
      <c r="JM151" s="669"/>
      <c r="JN151" s="670"/>
      <c r="JO151" s="671"/>
      <c r="JP151" s="678"/>
      <c r="JQ151" s="650"/>
      <c r="JR151" s="650"/>
      <c r="JS151" s="671" t="str">
        <f>IF(JR151="Low",JO151*$D$42,IF(JR151="Med",JO151*$D$43,IF(JR151="High",JO151*$D$44,"rango cal. out")))</f>
        <v>rango cal. out</v>
      </c>
      <c r="JT151" s="619" t="e">
        <f>((273.2+JL151)*$F$33/((273.2+$F$32)*JN151))</f>
        <v>#DIV/0!</v>
      </c>
      <c r="JU151" s="674" t="e">
        <f>JS151/JP151*JT151*EXP(-LN(2)/10990*($F$96-JQ151))</f>
        <v>#VALUE!</v>
      </c>
      <c r="JV151" s="599" t="e">
        <f>JU151-AVERAGE(KC102:KC103)</f>
        <v>#VALUE!</v>
      </c>
      <c r="JW151" s="672" t="e">
        <f>ABS(#REF!*JV151*3600)</f>
        <v>#REF!</v>
      </c>
      <c r="JX151" s="675" t="e">
        <f>ABS($B$34*JV151*3600)</f>
        <v>#VALUE!</v>
      </c>
      <c r="JY151" s="614" t="e">
        <f>JX151*$C$87</f>
        <v>#VALUE!</v>
      </c>
      <c r="JZ151" s="672" t="e">
        <f>JX151*$F$78</f>
        <v>#VALUE!</v>
      </c>
      <c r="KA151" s="600" t="e">
        <f>JX151*$F$83</f>
        <v>#VALUE!</v>
      </c>
      <c r="KB151" s="672" t="e">
        <f>JX151*$F$80</f>
        <v>#VALUE!</v>
      </c>
      <c r="KC151" s="676" t="e">
        <f>JX151*$F$79</f>
        <v>#VALUE!</v>
      </c>
      <c r="KD151" s="668"/>
      <c r="KE151" s="669"/>
      <c r="KF151" s="670"/>
      <c r="KG151" s="671"/>
      <c r="KH151" s="678"/>
      <c r="KI151" s="650"/>
      <c r="KJ151" s="650"/>
      <c r="KK151" s="671" t="str">
        <f>IF(KJ151="Low",KG151*$D$42,IF(KJ151="Med",KG151*$D$43,IF(KJ151="High",KG151*$D$44,"rango cal. out")))</f>
        <v>rango cal. out</v>
      </c>
      <c r="KL151" s="619" t="e">
        <f>((273.2+KD151)*$F$33/((273.2+$F$32)*KF151))</f>
        <v>#DIV/0!</v>
      </c>
      <c r="KM151" s="674" t="e">
        <f>KK151/KH151*KL151*EXP(-LN(2)/10990*($F$96-KI151))</f>
        <v>#VALUE!</v>
      </c>
      <c r="KN151" s="599" t="e">
        <f>KM151-AVERAGE(KU102:KU103)</f>
        <v>#VALUE!</v>
      </c>
      <c r="KO151" s="672" t="e">
        <f>ABS(#REF!*KN151*3600)</f>
        <v>#REF!</v>
      </c>
      <c r="KP151" s="675" t="e">
        <f>ABS($B$34*KN151*3600)</f>
        <v>#VALUE!</v>
      </c>
      <c r="KQ151" s="614" t="e">
        <f>KP151*$C$87</f>
        <v>#VALUE!</v>
      </c>
      <c r="KR151" s="672" t="e">
        <f>KP151*$F$78</f>
        <v>#VALUE!</v>
      </c>
      <c r="KS151" s="600" t="e">
        <f>KP151*$F$83</f>
        <v>#VALUE!</v>
      </c>
      <c r="KT151" s="672" t="e">
        <f>KP151*$F$80</f>
        <v>#VALUE!</v>
      </c>
      <c r="KU151" s="676" t="e">
        <f>KP151*$F$79</f>
        <v>#VALUE!</v>
      </c>
      <c r="KV151" s="668"/>
      <c r="KW151" s="669"/>
      <c r="KX151" s="670"/>
      <c r="KY151" s="671"/>
      <c r="KZ151" s="678"/>
      <c r="LA151" s="650"/>
      <c r="LB151" s="650"/>
      <c r="LC151" s="671" t="str">
        <f>IF(LB151="Low",KY151*$D$42,IF(LB151="Med",KY151*$D$43,IF(LB151="High",KY151*$D$44,"rango cal. out")))</f>
        <v>rango cal. out</v>
      </c>
      <c r="LD151" s="619" t="e">
        <f>((273.2+KV151)*$F$33/((273.2+$F$32)*KX151))</f>
        <v>#DIV/0!</v>
      </c>
      <c r="LE151" s="674" t="e">
        <f>LC151/KZ151*LD151*EXP(-LN(2)/10990*($F$96-LA151))</f>
        <v>#VALUE!</v>
      </c>
      <c r="LF151" s="599" t="e">
        <f>LE151-AVERAGE(LM102:LM103)</f>
        <v>#VALUE!</v>
      </c>
      <c r="LG151" s="672" t="e">
        <f>ABS(#REF!*LF151*3600)</f>
        <v>#REF!</v>
      </c>
      <c r="LH151" s="675" t="e">
        <f>ABS($B$34*LF151*3600)</f>
        <v>#VALUE!</v>
      </c>
      <c r="LI151" s="614" t="e">
        <f>LH151*$C$87</f>
        <v>#VALUE!</v>
      </c>
      <c r="LJ151" s="672" t="e">
        <f>LH151*$F$78</f>
        <v>#VALUE!</v>
      </c>
      <c r="LK151" s="600" t="e">
        <f>LH151*$F$83</f>
        <v>#VALUE!</v>
      </c>
      <c r="LL151" s="672" t="e">
        <f>LH151*$F$80</f>
        <v>#VALUE!</v>
      </c>
      <c r="LM151" s="676" t="e">
        <f>LH151*$F$79</f>
        <v>#VALUE!</v>
      </c>
      <c r="LN151" s="668"/>
      <c r="LO151" s="669"/>
      <c r="LP151" s="670"/>
      <c r="LQ151" s="671"/>
      <c r="LR151" s="678"/>
      <c r="LS151" s="650"/>
      <c r="LT151" s="650"/>
      <c r="LU151" s="671" t="str">
        <f>IF(LT151="Low",LQ151*$D$42,IF(LT151="Med",LQ151*$D$43,IF(LT151="High",LQ151*$D$44,"rango cal. out")))</f>
        <v>rango cal. out</v>
      </c>
      <c r="LV151" s="619" t="e">
        <f>((273.2+LN151)*$F$33/((273.2+$F$32)*LP151))</f>
        <v>#DIV/0!</v>
      </c>
      <c r="LW151" s="674" t="e">
        <f>LU151/LR151*LV151*EXP(-LN(2)/10990*($F$96-LS151))</f>
        <v>#VALUE!</v>
      </c>
      <c r="LX151" s="599" t="e">
        <f>LW151-AVERAGE(ME102:ME103)</f>
        <v>#VALUE!</v>
      </c>
      <c r="LY151" s="672" t="e">
        <f>ABS(#REF!*LX151*3600)</f>
        <v>#REF!</v>
      </c>
      <c r="LZ151" s="675" t="e">
        <f>ABS($B$34*LX151*3600)</f>
        <v>#VALUE!</v>
      </c>
      <c r="MA151" s="614" t="e">
        <f>LZ151*$C$87</f>
        <v>#VALUE!</v>
      </c>
      <c r="MB151" s="672" t="e">
        <f>LZ151*$F$78</f>
        <v>#VALUE!</v>
      </c>
      <c r="MC151" s="600" t="e">
        <f>LZ151*$F$83</f>
        <v>#VALUE!</v>
      </c>
      <c r="MD151" s="672" t="e">
        <f>LZ151*$F$80</f>
        <v>#VALUE!</v>
      </c>
      <c r="ME151" s="676" t="e">
        <f>LZ151*$F$79</f>
        <v>#VALUE!</v>
      </c>
      <c r="MF151" s="668"/>
      <c r="MG151" s="669"/>
      <c r="MH151" s="670"/>
      <c r="MI151" s="671"/>
      <c r="MJ151" s="678"/>
      <c r="MK151" s="650"/>
      <c r="ML151" s="650"/>
      <c r="MM151" s="671" t="str">
        <f>IF(ML151="Low",MI151*$D$42,IF(ML151="Med",MI151*$D$43,IF(ML151="High",MI151*$D$44,"rango cal. out")))</f>
        <v>rango cal. out</v>
      </c>
      <c r="MN151" s="619" t="e">
        <f>((273.2+MF151)*$F$33/((273.2+$F$32)*MH151))</f>
        <v>#DIV/0!</v>
      </c>
      <c r="MO151" s="674" t="e">
        <f>MM151/MJ151*MN151*EXP(-LN(2)/10990*($F$96-MK151))</f>
        <v>#VALUE!</v>
      </c>
      <c r="MP151" s="599" t="e">
        <f>MO151-AVERAGE(MW102:MW103)</f>
        <v>#VALUE!</v>
      </c>
      <c r="MQ151" s="672" t="e">
        <f>ABS(#REF!*MP151*3600)</f>
        <v>#REF!</v>
      </c>
      <c r="MR151" s="675" t="e">
        <f>ABS($B$34*MP151*3600)</f>
        <v>#VALUE!</v>
      </c>
      <c r="MS151" s="614" t="e">
        <f>MR151*$C$87</f>
        <v>#VALUE!</v>
      </c>
      <c r="MT151" s="672" t="e">
        <f>MR151*$F$78</f>
        <v>#VALUE!</v>
      </c>
      <c r="MU151" s="600" t="e">
        <f>MR151*$F$83</f>
        <v>#VALUE!</v>
      </c>
      <c r="MV151" s="672" t="e">
        <f>MR151*$F$80</f>
        <v>#VALUE!</v>
      </c>
      <c r="MW151" s="676" t="e">
        <f>MR151*$F$79</f>
        <v>#VALUE!</v>
      </c>
      <c r="MX151" s="668"/>
      <c r="MY151" s="669"/>
      <c r="MZ151" s="680"/>
      <c r="NA151" s="671"/>
      <c r="NB151" s="673"/>
      <c r="NC151" s="650"/>
      <c r="ND151" s="650"/>
      <c r="NE151" s="671" t="str">
        <f>IF(ND151="Low",NA151*$D$42,IF(ND151="Med",NA151*$D$43,IF(ND151="High",NA151*$D$44,"rango cal. out")))</f>
        <v>rango cal. out</v>
      </c>
      <c r="NF151" s="619" t="e">
        <f>((273.2+MX151)*$F$33/((273.2+$F$32)*MZ151))</f>
        <v>#DIV/0!</v>
      </c>
      <c r="NG151" s="674" t="e">
        <f>NE151/NB151*NF151*EXP(-LN(2)/10990*($F$96-NC151))</f>
        <v>#VALUE!</v>
      </c>
      <c r="NH151" s="599" t="e">
        <f>NG151-AVERAGE(NO102:NO103)</f>
        <v>#VALUE!</v>
      </c>
      <c r="NI151" s="672" t="e">
        <f>ABS(#REF!*NH151*3600)</f>
        <v>#REF!</v>
      </c>
      <c r="NJ151" s="675" t="e">
        <f>ABS($B$34*NH151*3600)</f>
        <v>#VALUE!</v>
      </c>
      <c r="NK151" s="614" t="e">
        <f>NJ151*$C$87</f>
        <v>#VALUE!</v>
      </c>
      <c r="NL151" s="672" t="e">
        <f>NJ151*$F$78</f>
        <v>#VALUE!</v>
      </c>
      <c r="NM151" s="600" t="e">
        <f>NJ151*$F$83</f>
        <v>#VALUE!</v>
      </c>
      <c r="NN151" s="672" t="e">
        <f>NJ151*$F$80</f>
        <v>#VALUE!</v>
      </c>
      <c r="NO151" s="676" t="e">
        <f>NJ151*$F$79</f>
        <v>#VALUE!</v>
      </c>
      <c r="NP151" s="668">
        <v>20.6</v>
      </c>
      <c r="NQ151" s="669">
        <v>54</v>
      </c>
      <c r="NR151" s="680">
        <v>1007</v>
      </c>
      <c r="NS151" s="2011">
        <v>-4.3499999999999998E-11</v>
      </c>
      <c r="NT151" s="678">
        <v>60</v>
      </c>
      <c r="NU151" s="663">
        <v>44334</v>
      </c>
      <c r="NV151" s="650" t="s">
        <v>268</v>
      </c>
      <c r="NW151" s="671">
        <f>IF(NV151="Low",NS151*$D$42,IF(NV151="Med",NS151*$D$43,IF(NV151="High",NS151*$D$44,"rango cal. out")))</f>
        <v>-4.3630499999999993E-11</v>
      </c>
      <c r="NX151" s="619">
        <f>((273.2+NP151)*$F$33/((273.2+$F$32)*NR151))</f>
        <v>1.0014345718184097</v>
      </c>
      <c r="NY151" s="674">
        <f>NW151/NT151*NX151*EXP(-LN(2)/10990*($F$96-NU151))</f>
        <v>-7.2117932052142725E-13</v>
      </c>
      <c r="NZ151" s="599">
        <f>NY151-AVERAGE(OG102:OG103)</f>
        <v>-7.2193148159338576E-13</v>
      </c>
      <c r="OA151" s="672" t="e">
        <f>ABS(#REF!*NZ151*3600)</f>
        <v>#REF!</v>
      </c>
      <c r="OB151" s="675">
        <f>ABS($B$34*NZ151*3600)</f>
        <v>6.5493624010151959E-5</v>
      </c>
      <c r="OC151" s="614">
        <f>OB151*$C$87</f>
        <v>6.5493624010151963E-3</v>
      </c>
      <c r="OD151" s="672">
        <f>OB151*$F$78</f>
        <v>7.8592348812182354E-5</v>
      </c>
      <c r="OE151" s="600">
        <f>OB151*$F$83</f>
        <v>7.9247285052283869E-5</v>
      </c>
      <c r="OF151" s="672">
        <f>OB151*$F$80</f>
        <v>7.9247285052283869E-5</v>
      </c>
      <c r="OG151" s="676">
        <f>OB151*$F$79</f>
        <v>8.1867030012689945E-5</v>
      </c>
      <c r="OH151" s="668"/>
      <c r="OI151" s="669"/>
      <c r="OJ151" s="670"/>
      <c r="OK151" s="671"/>
      <c r="OL151" s="678"/>
      <c r="OM151" s="650"/>
      <c r="ON151" s="650"/>
      <c r="OO151" s="671" t="str">
        <f>IF(ON151="Low",OK151*$D$42,IF(ON151="Med",OK151*$D$43,IF(ON151="High",OK151*$D$44,"rango cal. out")))</f>
        <v>rango cal. out</v>
      </c>
      <c r="OP151" s="619" t="e">
        <f>((273.2+OH151)*$F$33/((273.2+$F$32)*OJ151))</f>
        <v>#DIV/0!</v>
      </c>
      <c r="OQ151" s="674" t="e">
        <f>OO151/OL151*OP151*EXP(-LN(2)/10990*($F$96-OM151))</f>
        <v>#VALUE!</v>
      </c>
      <c r="OR151" s="599" t="e">
        <f>OQ151-AVERAGE(OY102:OY103)</f>
        <v>#VALUE!</v>
      </c>
      <c r="OS151" s="672" t="e">
        <f>ABS(#REF!*OR151*3600)</f>
        <v>#REF!</v>
      </c>
      <c r="OT151" s="675" t="e">
        <f>ABS($B$34*OR151*3600)</f>
        <v>#VALUE!</v>
      </c>
      <c r="OU151" s="614" t="e">
        <f>OT151*$C$87</f>
        <v>#VALUE!</v>
      </c>
      <c r="OV151" s="672" t="e">
        <f>OT151*$F$78</f>
        <v>#VALUE!</v>
      </c>
      <c r="OW151" s="600" t="e">
        <f>OT151*$F$83</f>
        <v>#VALUE!</v>
      </c>
      <c r="OX151" s="672" t="e">
        <f>OT151*$F$80</f>
        <v>#VALUE!</v>
      </c>
      <c r="OY151" s="676" t="e">
        <f>OT151*$F$79</f>
        <v>#VALUE!</v>
      </c>
      <c r="OZ151" s="668">
        <v>20.5</v>
      </c>
      <c r="PA151" s="669">
        <v>54</v>
      </c>
      <c r="PB151" s="680">
        <v>1007</v>
      </c>
      <c r="PC151" s="2011">
        <v>-8.8000000000000006E-11</v>
      </c>
      <c r="PD151" s="673">
        <v>60</v>
      </c>
      <c r="PE151" s="663">
        <v>44334</v>
      </c>
      <c r="PF151" s="650" t="s">
        <v>268</v>
      </c>
      <c r="PG151" s="671">
        <f>IF(PF151="Low",PC151*$D$42,IF(PF151="Med",PC151*$D$43,IF(PF151="High",PC151*$D$44,"rango cal. out")))</f>
        <v>-8.8263999999999996E-11</v>
      </c>
      <c r="PH151" s="619">
        <f>((273.2+OZ151)*$F$33/((273.2+$F$32)*PB151))</f>
        <v>1.001093715939642</v>
      </c>
      <c r="PI151" s="674">
        <f>PG151/PD151*PH151*EXP(-LN(2)/10990*($F$96-PE151))</f>
        <v>-1.4584409009544845E-12</v>
      </c>
      <c r="PJ151" s="599">
        <f>PI151-AVERAGE(PQ102:PQ103)</f>
        <v>-1.456767690858044E-12</v>
      </c>
      <c r="PK151" s="672" t="e">
        <f>ABS(#REF!*PJ151*3600)</f>
        <v>#REF!</v>
      </c>
      <c r="PL151" s="675">
        <f>ABS($B$34*PJ151*3600)</f>
        <v>1.3215796491464177E-4</v>
      </c>
      <c r="PM151" s="614">
        <f>PL151*$C$87</f>
        <v>1.3215796491464177E-2</v>
      </c>
      <c r="PN151" s="672">
        <f>PL151*$F$78</f>
        <v>1.5858955789757012E-4</v>
      </c>
      <c r="PO151" s="600">
        <f>PL151*$F$83</f>
        <v>1.5991113754671655E-4</v>
      </c>
      <c r="PP151" s="672">
        <f>PL151*$F$80</f>
        <v>1.5991113754671655E-4</v>
      </c>
      <c r="PQ151" s="676">
        <f>PL151*$F$79</f>
        <v>1.6519745614330223E-4</v>
      </c>
      <c r="PR151" s="668"/>
      <c r="PS151" s="669"/>
      <c r="PT151" s="670"/>
      <c r="PU151" s="671"/>
      <c r="PV151" s="678"/>
      <c r="PW151" s="650"/>
      <c r="PX151" s="650"/>
      <c r="PY151" s="671" t="str">
        <f>IF(PX151="Low",PU151*$D$42,IF(PX151="Med",PU151*$D$43,IF(PX151="High",PU151*$D$44,"rango cal. out")))</f>
        <v>rango cal. out</v>
      </c>
      <c r="PZ151" s="619" t="e">
        <f>((273.2+PR151)*$F$33/((273.2+$F$32)*PT151))</f>
        <v>#DIV/0!</v>
      </c>
      <c r="QA151" s="674" t="e">
        <f>PY151/PV151*PZ151*EXP(-LN(2)/10990*($F$96-PW151))</f>
        <v>#VALUE!</v>
      </c>
      <c r="QB151" s="599" t="e">
        <f>QA151-AVERAGE(QI102:QI103)</f>
        <v>#VALUE!</v>
      </c>
      <c r="QC151" s="672" t="e">
        <f>ABS(#REF!*QB151*3600)</f>
        <v>#REF!</v>
      </c>
      <c r="QD151" s="675" t="e">
        <f>ABS($B$34*QB151*3600)</f>
        <v>#VALUE!</v>
      </c>
      <c r="QE151" s="614" t="e">
        <f>QD151*$C$87</f>
        <v>#VALUE!</v>
      </c>
      <c r="QF151" s="672" t="e">
        <f>QD151*$F$78</f>
        <v>#VALUE!</v>
      </c>
      <c r="QG151" s="600" t="e">
        <f>QD151*$F$83</f>
        <v>#VALUE!</v>
      </c>
      <c r="QH151" s="672" t="e">
        <f>QD151*$F$80</f>
        <v>#VALUE!</v>
      </c>
      <c r="QI151" s="676" t="e">
        <f>QD151*$F$79</f>
        <v>#VALUE!</v>
      </c>
      <c r="QJ151" s="668"/>
      <c r="QK151" s="669"/>
      <c r="QL151" s="670"/>
      <c r="QM151" s="671"/>
      <c r="QN151" s="678"/>
      <c r="QO151" s="650"/>
      <c r="QP151" s="650"/>
      <c r="QQ151" s="671" t="str">
        <f>IF(QP151="Low",QM151*$D$42,IF(QP151="Med",QM151*$D$43,IF(QP151="High",QM151*$D$44,"rango cal. out")))</f>
        <v>rango cal. out</v>
      </c>
      <c r="QR151" s="619" t="e">
        <f>((273.2+QJ151)*$F$33/((273.2+$F$32)*QL151))</f>
        <v>#DIV/0!</v>
      </c>
      <c r="QS151" s="674" t="e">
        <f>QQ151/QN151*QR151*EXP(-LN(2)/10990*($F$96-QO151))</f>
        <v>#VALUE!</v>
      </c>
      <c r="QT151" s="599" t="e">
        <f>QS151-AVERAGE(RA102:RA103)</f>
        <v>#VALUE!</v>
      </c>
      <c r="QU151" s="672" t="e">
        <f>ABS(#REF!*QT151*3600)</f>
        <v>#REF!</v>
      </c>
      <c r="QV151" s="675" t="e">
        <f>ABS($B$34*QT151*3600)</f>
        <v>#VALUE!</v>
      </c>
      <c r="QW151" s="614" t="e">
        <f>QV151*$C$87</f>
        <v>#VALUE!</v>
      </c>
      <c r="QX151" s="672" t="e">
        <f>QV151*$F$78</f>
        <v>#VALUE!</v>
      </c>
      <c r="QY151" s="600" t="e">
        <f>QV151*$F$83</f>
        <v>#VALUE!</v>
      </c>
      <c r="QZ151" s="672" t="e">
        <f>QV151*$F$80</f>
        <v>#VALUE!</v>
      </c>
      <c r="RA151" s="676" t="e">
        <f>QV151*$F$79</f>
        <v>#VALUE!</v>
      </c>
      <c r="RB151" s="668"/>
      <c r="RC151" s="669"/>
      <c r="RD151" s="680"/>
      <c r="RE151" s="671"/>
      <c r="RF151" s="673"/>
      <c r="RG151" s="650"/>
      <c r="RH151" s="650"/>
      <c r="RI151" s="671" t="str">
        <f>IF(RH151="Low",RE151*$D$42,IF(RH151="Med",RE151*$D$43,IF(RH151="High",RE151*$D$44,"rango cal. out")))</f>
        <v>rango cal. out</v>
      </c>
      <c r="RJ151" s="619" t="e">
        <f>((273.2+RB151)*$F$33/((273.2+$F$32)*RD151))</f>
        <v>#DIV/0!</v>
      </c>
      <c r="RK151" s="674" t="e">
        <f>RI151/RF151*RJ151*EXP(-LN(2)/10990*($F$96-RG151))</f>
        <v>#VALUE!</v>
      </c>
      <c r="RL151" s="599" t="e">
        <f>RK151-AVERAGE(RS102:RS103)</f>
        <v>#VALUE!</v>
      </c>
      <c r="RM151" s="672" t="e">
        <f>ABS(#REF!*RL151*3600)</f>
        <v>#REF!</v>
      </c>
      <c r="RN151" s="675" t="e">
        <f>ABS($B$34*RL151*3600)</f>
        <v>#VALUE!</v>
      </c>
      <c r="RO151" s="614" t="e">
        <f>RN151*$C$87</f>
        <v>#VALUE!</v>
      </c>
      <c r="RP151" s="672" t="e">
        <f>RN151*$F$78</f>
        <v>#VALUE!</v>
      </c>
      <c r="RQ151" s="600" t="e">
        <f>RN151*$F$83</f>
        <v>#VALUE!</v>
      </c>
      <c r="RR151" s="672" t="e">
        <f>RN151*$F$80</f>
        <v>#VALUE!</v>
      </c>
      <c r="RS151" s="676" t="e">
        <f>RN151*$F$79</f>
        <v>#VALUE!</v>
      </c>
      <c r="RT151" s="668"/>
      <c r="RU151" s="669"/>
      <c r="RV151" s="669"/>
      <c r="RW151" s="679"/>
      <c r="RX151" s="673"/>
      <c r="RY151" s="650"/>
      <c r="RZ151" s="650"/>
      <c r="SA151" s="671" t="str">
        <f>IF(RZ151="Low",RW151*$D$42,IF(RZ151="Med",RW151*$D$43,IF(RZ151="High",RW151*$D$44,"rango cal. out")))</f>
        <v>rango cal. out</v>
      </c>
      <c r="SB151" s="619" t="e">
        <f>((273.2+RT151)*$F$33/((273.2+$F$32)*RV151))</f>
        <v>#DIV/0!</v>
      </c>
      <c r="SC151" s="674" t="e">
        <f>SA151/RX151*SB151*EXP(-LN(2)/10990*($F$96-RY151))</f>
        <v>#VALUE!</v>
      </c>
      <c r="SD151" s="599" t="e">
        <f>SC151-AVERAGE(SK102:SK103)</f>
        <v>#VALUE!</v>
      </c>
      <c r="SE151" s="672" t="e">
        <f>ABS(#REF!*SD151*3600)</f>
        <v>#REF!</v>
      </c>
      <c r="SF151" s="675" t="e">
        <f>ABS($B$34*SD151*3600)</f>
        <v>#VALUE!</v>
      </c>
      <c r="SG151" s="614" t="e">
        <f>SF151*$C$87</f>
        <v>#VALUE!</v>
      </c>
      <c r="SH151" s="672" t="e">
        <f>SF151*$F$78</f>
        <v>#VALUE!</v>
      </c>
      <c r="SI151" s="600" t="e">
        <f>SF151*$F$83</f>
        <v>#VALUE!</v>
      </c>
      <c r="SJ151" s="672" t="e">
        <f>SF151*$F$80</f>
        <v>#VALUE!</v>
      </c>
      <c r="SK151" s="676" t="e">
        <f>SF151*$F$79</f>
        <v>#VALUE!</v>
      </c>
      <c r="SL151" s="668">
        <v>20.5</v>
      </c>
      <c r="SM151" s="669">
        <v>53</v>
      </c>
      <c r="SN151" s="680">
        <v>1007</v>
      </c>
      <c r="SO151" s="2011">
        <v>-1.2000000000000001E-11</v>
      </c>
      <c r="SP151" s="673">
        <v>60</v>
      </c>
      <c r="SQ151" s="663">
        <v>44334</v>
      </c>
      <c r="SR151" s="650" t="s">
        <v>268</v>
      </c>
      <c r="SS151" s="671">
        <f>IF(SR151="Low",SO151*$D$42,IF(SR151="Med",SO151*$D$43,IF(SR151="High",SO151*$D$44,"rango cal. out")))</f>
        <v>-1.2035999999999999E-11</v>
      </c>
      <c r="ST151" s="619">
        <f>((273.2+SL151)*$F$33/((273.2+$F$32)*SN151))</f>
        <v>1.001093715939642</v>
      </c>
      <c r="SU151" s="674">
        <f>SS151/SP151*ST151*EXP(-LN(2)/10990*($F$96-SQ151))</f>
        <v>-1.9887830467561149E-13</v>
      </c>
      <c r="SV151" s="599">
        <f>SU151-AVERAGE(TC102:TC103)</f>
        <v>-1.9694563190157923E-13</v>
      </c>
      <c r="SW151" s="672" t="e">
        <f>ABS(#REF!*SV151*3600)</f>
        <v>#REF!</v>
      </c>
      <c r="SX151" s="675">
        <f>ABS($B$34*SV151*3600)</f>
        <v>1.7866907726111268E-5</v>
      </c>
      <c r="SY151" s="614">
        <f>SX151*$C$87</f>
        <v>1.7866907726111268E-3</v>
      </c>
      <c r="SZ151" s="672">
        <f>SX151*$F$78</f>
        <v>2.1440289271333522E-5</v>
      </c>
      <c r="TA151" s="600">
        <f>SX151*$F$83</f>
        <v>2.1618958348594633E-5</v>
      </c>
      <c r="TB151" s="672">
        <f>SX151*$F$80</f>
        <v>2.1618958348594633E-5</v>
      </c>
      <c r="TC151" s="676">
        <f>SX151*$F$79</f>
        <v>2.2333634657639086E-5</v>
      </c>
      <c r="TD151" s="668">
        <v>20.5</v>
      </c>
      <c r="TE151" s="669">
        <v>55</v>
      </c>
      <c r="TF151" s="680">
        <v>1008</v>
      </c>
      <c r="TG151" s="2011">
        <v>-1.9699999999999999E-10</v>
      </c>
      <c r="TH151" s="673">
        <v>60</v>
      </c>
      <c r="TI151" s="663">
        <v>44334</v>
      </c>
      <c r="TJ151" s="650" t="s">
        <v>268</v>
      </c>
      <c r="TK151" s="671">
        <f>IF(TJ151="Low",TG151*$D$42,IF(TJ151="Med",TG151*$D$43,IF(TJ151="High",TG151*$D$44,"rango cal. out")))</f>
        <v>-1.9759099999999997E-10</v>
      </c>
      <c r="TL151" s="619">
        <f>((273.2+TD151)*$F$33/((273.2+$F$32)*TF151))</f>
        <v>1.0001005674119241</v>
      </c>
      <c r="TM151" s="674">
        <f>TK151/TH151*TL151*EXP(-LN(2)/10990*($F$96-TI151))</f>
        <v>-3.2616798283104436E-12</v>
      </c>
      <c r="TN151" s="599">
        <f>TM151-AVERAGE(TU102:TU103)</f>
        <v>-3.2613133851232386E-12</v>
      </c>
      <c r="TO151" s="672" t="e">
        <f>ABS(#REF!*TN151*3600)</f>
        <v>#REF!</v>
      </c>
      <c r="TP151" s="675">
        <f>ABS($B$34*TN151*3600)</f>
        <v>2.9586635029838019E-4</v>
      </c>
      <c r="TQ151" s="614">
        <f>TP151*$C$87</f>
        <v>2.9586635029838017E-2</v>
      </c>
      <c r="TR151" s="672">
        <f>TP151*$F$78</f>
        <v>3.5503962035805624E-4</v>
      </c>
      <c r="TS151" s="600">
        <f>TP151*$F$83</f>
        <v>3.5799828386104003E-4</v>
      </c>
      <c r="TT151" s="672">
        <f>TP151*$F$80</f>
        <v>3.5799828386104003E-4</v>
      </c>
      <c r="TU151" s="676">
        <f>TP151*$F$79</f>
        <v>3.6983293787297525E-4</v>
      </c>
      <c r="TV151" s="668"/>
      <c r="TW151" s="669"/>
      <c r="TX151" s="670"/>
      <c r="TY151" s="671"/>
      <c r="TZ151" s="678"/>
      <c r="UA151" s="650"/>
      <c r="UB151" s="650"/>
      <c r="UC151" s="671" t="str">
        <f>IF(UB151="Low",TY151*$D$42,IF(UB151="Med",TY151*$D$43,IF(UB151="High",TY151*$D$44,"rango cal. out")))</f>
        <v>rango cal. out</v>
      </c>
      <c r="UD151" s="619" t="e">
        <f>((273.2+TV151)*$F$33/((273.2+$F$32)*TX151))</f>
        <v>#DIV/0!</v>
      </c>
      <c r="UE151" s="674" t="e">
        <f>UC151/TZ151*UD151*EXP(-LN(2)/10990*($F$96-UA151))</f>
        <v>#VALUE!</v>
      </c>
      <c r="UF151" s="599" t="e">
        <f>UE151-AVERAGE(UM102:UM103)</f>
        <v>#VALUE!</v>
      </c>
      <c r="UG151" s="672" t="e">
        <f>ABS(#REF!*UF151*3600)</f>
        <v>#REF!</v>
      </c>
      <c r="UH151" s="675" t="e">
        <f>ABS($B$34*UF151*3600)</f>
        <v>#VALUE!</v>
      </c>
      <c r="UI151" s="614" t="e">
        <f>UH151*$C$87</f>
        <v>#VALUE!</v>
      </c>
      <c r="UJ151" s="672" t="e">
        <f>UH151*$F$78</f>
        <v>#VALUE!</v>
      </c>
      <c r="UK151" s="600" t="e">
        <f>UH151*$F$83</f>
        <v>#VALUE!</v>
      </c>
      <c r="UL151" s="672" t="e">
        <f>UH151*$F$80</f>
        <v>#VALUE!</v>
      </c>
      <c r="UM151" s="676" t="e">
        <f>UH151*$F$79</f>
        <v>#VALUE!</v>
      </c>
      <c r="UN151" s="668">
        <v>20.5</v>
      </c>
      <c r="UO151" s="669">
        <v>55</v>
      </c>
      <c r="UP151" s="680">
        <v>1008</v>
      </c>
      <c r="UQ151" s="2011">
        <v>-1.7999999999999999E-11</v>
      </c>
      <c r="UR151" s="673">
        <v>60</v>
      </c>
      <c r="US151" s="663">
        <v>44334</v>
      </c>
      <c r="UT151" s="650" t="s">
        <v>268</v>
      </c>
      <c r="UU151" s="671">
        <f>IF(UT151="Low",UQ151*$D$42,IF(UT151="Med",UQ151*$D$43,IF(UT151="High",UQ151*$D$44,"rango cal. out")))</f>
        <v>-1.8053999999999997E-11</v>
      </c>
      <c r="UV151" s="619">
        <f>((273.2+UN151)*$F$33/((273.2+$F$32)*UP151))</f>
        <v>1.0001005674119241</v>
      </c>
      <c r="UW151" s="674">
        <f>UU151/UR151*UV151*EXP(-LN(2)/10990*($F$96-US151))</f>
        <v>-2.9802150715526899E-13</v>
      </c>
      <c r="UX151" s="599">
        <f>UW151-AVERAGE(VE102:VE103)</f>
        <v>-2.9785903407300426E-13</v>
      </c>
      <c r="UY151" s="672" t="e">
        <f>ABS(#REF!*UX151*3600)</f>
        <v>#REF!</v>
      </c>
      <c r="UZ151" s="675">
        <f>ABS($B$34*UX151*3600)</f>
        <v>2.7021771571102946E-5</v>
      </c>
      <c r="VA151" s="614">
        <f>UZ151*$C$87</f>
        <v>2.7021771571102944E-3</v>
      </c>
      <c r="VB151" s="672">
        <f>UZ151*$F$78</f>
        <v>3.2426125885323532E-5</v>
      </c>
      <c r="VC151" s="600">
        <f>UZ151*$F$83</f>
        <v>3.2696343601034561E-5</v>
      </c>
      <c r="VD151" s="672">
        <f>UZ151*$F$80</f>
        <v>3.2696343601034561E-5</v>
      </c>
      <c r="VE151" s="676">
        <f>UZ151*$F$79</f>
        <v>3.3777214463878682E-5</v>
      </c>
    </row>
    <row r="152" spans="1:577" x14ac:dyDescent="0.25">
      <c r="A152" s="2220"/>
      <c r="B152" s="2013">
        <v>19.899999999999999</v>
      </c>
      <c r="C152" s="2014">
        <v>52</v>
      </c>
      <c r="D152" s="2015">
        <v>1009.6</v>
      </c>
      <c r="E152" s="2011">
        <v>-3.1359999999999999E-9</v>
      </c>
      <c r="F152" s="673">
        <v>60</v>
      </c>
      <c r="G152" s="663">
        <v>44334</v>
      </c>
      <c r="H152" s="650" t="s">
        <v>1042</v>
      </c>
      <c r="I152" s="651">
        <f>IF(H152="Low",E152*$D$42,IF(H152="Med",E152*$D$43,IF(H152="High",E152*$D$44,"rango cal. out")))</f>
        <v>-3.1391359999999995E-9</v>
      </c>
      <c r="J152" s="619">
        <f>((273.2+B152)*$F$33/((273.2+$F$32)*D152))</f>
        <v>0.99647575349812523</v>
      </c>
      <c r="K152" s="674">
        <f>I152/F152*J152*EXP(-LN(2)/10990*($F$96-G152))</f>
        <v>-5.1630622608555456E-11</v>
      </c>
      <c r="L152" s="599">
        <f>K152-AVERAGE(S102:S103)</f>
        <v>-5.1606810641183957E-11</v>
      </c>
      <c r="M152" s="599" t="e">
        <f>ABS(#REF!*L152*3600)</f>
        <v>#REF!</v>
      </c>
      <c r="N152" s="657">
        <f>ABS($B$34*L152*3600)</f>
        <v>4.6817698613682082E-3</v>
      </c>
      <c r="O152" s="614">
        <f>N152*$C$87</f>
        <v>0.46817698613682079</v>
      </c>
      <c r="P152" s="672">
        <f>N152*$F$78</f>
        <v>5.61812383364185E-3</v>
      </c>
      <c r="Q152" s="600">
        <f>N152*$F$83</f>
        <v>5.6649415322555319E-3</v>
      </c>
      <c r="R152" s="672">
        <f>N152*$F$80</f>
        <v>5.6649415322555319E-3</v>
      </c>
      <c r="S152" s="676">
        <f>N152*$F$79</f>
        <v>5.8522123267102603E-3</v>
      </c>
      <c r="T152" s="677"/>
      <c r="U152" s="669"/>
      <c r="V152" s="670"/>
      <c r="W152" s="671"/>
      <c r="X152" s="678"/>
      <c r="Y152" s="663"/>
      <c r="Z152" s="650"/>
      <c r="AA152" s="651" t="str">
        <f>IF(Z152="Low",W152*$D$42,IF(Z152="Med",W152*$D$43,IF(Z152="High",W152*$D$44,"rango cal. out")))</f>
        <v>rango cal. out</v>
      </c>
      <c r="AB152" s="619" t="e">
        <f>((273.2+T152)*$F$33/((273.2+$F$32)*V152))</f>
        <v>#DIV/0!</v>
      </c>
      <c r="AC152" s="674" t="e">
        <f>AA152/X152*AB152*EXP(-LN(2)/10990*($F$96-Y152))</f>
        <v>#VALUE!</v>
      </c>
      <c r="AD152" s="599" t="e">
        <f>AC152-AVERAGE(#REF!)</f>
        <v>#VALUE!</v>
      </c>
      <c r="AE152" s="599" t="e">
        <f>ABS(#REF!*AD152*3600)</f>
        <v>#REF!</v>
      </c>
      <c r="AF152" s="657" t="e">
        <f>ABS($B$34*AD152*3600)</f>
        <v>#VALUE!</v>
      </c>
      <c r="AG152" s="614" t="e">
        <f>AF152*$C$87</f>
        <v>#VALUE!</v>
      </c>
      <c r="AH152" s="672" t="e">
        <f>AF152*$F$78</f>
        <v>#VALUE!</v>
      </c>
      <c r="AI152" s="600" t="e">
        <f>AF152*$F$83</f>
        <v>#VALUE!</v>
      </c>
      <c r="AJ152" s="672" t="e">
        <f>AF152*$F$80</f>
        <v>#VALUE!</v>
      </c>
      <c r="AK152" s="676" t="e">
        <f>AF152*$F$79</f>
        <v>#VALUE!</v>
      </c>
      <c r="AL152" s="677"/>
      <c r="AM152" s="669"/>
      <c r="AN152" s="670"/>
      <c r="AO152" s="671"/>
      <c r="AP152" s="678"/>
      <c r="AQ152" s="663"/>
      <c r="AR152" s="650"/>
      <c r="AS152" s="651" t="str">
        <f>IF(AR152="Low",AO152*$D$42,IF(AR152="Med",AO152*$D$43,IF(AR152="High",AO152*$D$44,"rango cal. out")))</f>
        <v>rango cal. out</v>
      </c>
      <c r="AT152" s="619" t="e">
        <f>((273.2+AL152)*$F$33/((273.2+$F$32)*AN152))</f>
        <v>#DIV/0!</v>
      </c>
      <c r="AU152" s="674" t="e">
        <f>AS152/AP152*AT152*EXP(-LN(2)/10990*($F$96-AQ152))</f>
        <v>#VALUE!</v>
      </c>
      <c r="AV152" s="599" t="e">
        <f>AU152-AVERAGE(BC102:BC103)</f>
        <v>#VALUE!</v>
      </c>
      <c r="AW152" s="599" t="e">
        <f>ABS(#REF!*AV152*3600)</f>
        <v>#REF!</v>
      </c>
      <c r="AX152" s="657" t="e">
        <f>ABS($B$34*AV152*3600)</f>
        <v>#VALUE!</v>
      </c>
      <c r="AY152" s="614" t="e">
        <f>AX152*$C$87</f>
        <v>#VALUE!</v>
      </c>
      <c r="AZ152" s="672" t="e">
        <f>AX152*$F$78</f>
        <v>#VALUE!</v>
      </c>
      <c r="BA152" s="600" t="e">
        <f>AX152*$F$83</f>
        <v>#VALUE!</v>
      </c>
      <c r="BB152" s="672" t="e">
        <f>AX152*$F$80</f>
        <v>#VALUE!</v>
      </c>
      <c r="BC152" s="676" t="e">
        <f>AX152*$F$79</f>
        <v>#VALUE!</v>
      </c>
      <c r="BD152" s="2013">
        <v>19.899999999999999</v>
      </c>
      <c r="BE152" s="2018">
        <v>52</v>
      </c>
      <c r="BF152" s="2019">
        <v>1009.6</v>
      </c>
      <c r="BG152" s="2010">
        <v>-5.0000000000000003E-10</v>
      </c>
      <c r="BH152" s="673">
        <v>60</v>
      </c>
      <c r="BI152" s="663">
        <v>44334</v>
      </c>
      <c r="BJ152" s="650" t="s">
        <v>268</v>
      </c>
      <c r="BK152" s="651">
        <f>IF(BJ152="Low",BG152*$D$42,IF(BJ152="Med",BG152*$D$43,IF(BJ152="High",BG152*$D$44,"rango cal. out")))</f>
        <v>-5.0149999999999997E-10</v>
      </c>
      <c r="BL152" s="619">
        <f>((273.2+BD152)*$F$33/((273.2+$F$32)*BF152))</f>
        <v>0.99647575349812523</v>
      </c>
      <c r="BM152" s="674">
        <f>BK152/BH152*BL152*EXP(-LN(2)/10990*($F$96-BI152))</f>
        <v>-8.2483706466335206E-12</v>
      </c>
      <c r="BN152" s="599">
        <f>BM152-AVERAGE(BU102:BU103)</f>
        <v>-8.2470254625251245E-12</v>
      </c>
      <c r="BO152" s="599" t="e">
        <f>ABS(#REF!*BN152*3600)</f>
        <v>#REF!</v>
      </c>
      <c r="BP152" s="657">
        <f>ABS($B$34*BN152*3600)</f>
        <v>7.4817014996027926E-4</v>
      </c>
      <c r="BQ152" s="614">
        <f>BP152*$C$87</f>
        <v>7.4817014996027928E-2</v>
      </c>
      <c r="BR152" s="672">
        <f>BP152*$F$78</f>
        <v>8.9780417995233503E-4</v>
      </c>
      <c r="BS152" s="600">
        <f>BP152*$F$83</f>
        <v>9.0528588145193784E-4</v>
      </c>
      <c r="BT152" s="672">
        <f>BP152*$F$80</f>
        <v>9.0528588145193784E-4</v>
      </c>
      <c r="BU152" s="676">
        <f>BP152*$F$79</f>
        <v>9.3521268745034908E-4</v>
      </c>
      <c r="BV152" s="2013">
        <v>19.899999999999999</v>
      </c>
      <c r="BW152" s="2018">
        <v>52</v>
      </c>
      <c r="BX152" s="2021">
        <v>1009.6</v>
      </c>
      <c r="BY152" s="2010">
        <v>-2.9E-11</v>
      </c>
      <c r="BZ152" s="673">
        <v>60</v>
      </c>
      <c r="CA152" s="663">
        <v>44334</v>
      </c>
      <c r="CB152" s="650" t="s">
        <v>268</v>
      </c>
      <c r="CC152" s="651">
        <f>IF(CB152="Low",BY152*$D$42,IF(CB152="Med",BY152*$D$43,IF(CB152="High",BY152*$D$44,"rango cal. out")))</f>
        <v>-2.9086999999999997E-11</v>
      </c>
      <c r="CD152" s="619">
        <f>((273.2+BV152)*$F$33/((273.2+$F$32)*BX152))</f>
        <v>0.99647575349812523</v>
      </c>
      <c r="CE152" s="674">
        <f>CC152/BZ152*CD152*EXP(-LN(2)/10990*($F$96-CA152))</f>
        <v>-4.7840549750474426E-13</v>
      </c>
      <c r="CF152" s="599">
        <f>CE152-AVERAGE(CM102:CM103)</f>
        <v>-4.7660400226960255E-13</v>
      </c>
      <c r="CG152" s="599" t="e">
        <f>ABS(#REF!*CF152*3600)</f>
        <v>#REF!</v>
      </c>
      <c r="CH152" s="657">
        <f>ABS($B$34*CF152*3600)</f>
        <v>4.3237515085898345E-5</v>
      </c>
      <c r="CI152" s="614">
        <f>CH152*$C$87</f>
        <v>4.3237515085898341E-3</v>
      </c>
      <c r="CJ152" s="672">
        <f>CH152*$F$78</f>
        <v>5.1885018103078012E-5</v>
      </c>
      <c r="CK152" s="600">
        <f>CH152*$F$83</f>
        <v>5.2317393253936997E-5</v>
      </c>
      <c r="CL152" s="672">
        <f>CH152*$F$80</f>
        <v>5.2317393253936997E-5</v>
      </c>
      <c r="CM152" s="676">
        <f>CH152*$F$79</f>
        <v>5.4046893857372929E-5</v>
      </c>
      <c r="CN152" s="2013">
        <v>19.899999999999999</v>
      </c>
      <c r="CO152" s="2018">
        <v>52</v>
      </c>
      <c r="CP152" s="2021">
        <v>1009.6</v>
      </c>
      <c r="CQ152" s="2011">
        <v>-1.161E-9</v>
      </c>
      <c r="CR152" s="673">
        <v>60</v>
      </c>
      <c r="CS152" s="663">
        <v>44334</v>
      </c>
      <c r="CT152" s="650" t="s">
        <v>268</v>
      </c>
      <c r="CU152" s="651">
        <f>IF(CT152="Low",CQ152*$D$42,IF(CT152="Med",CQ152*$D$43,IF(CT152="High",CQ152*$D$44,"rango cal. out")))</f>
        <v>-1.1644829999999998E-9</v>
      </c>
      <c r="CV152" s="619">
        <f>((273.2+CN152)*$F$33/((273.2+$F$32)*CP152))</f>
        <v>0.99647575349812523</v>
      </c>
      <c r="CW152" s="674">
        <f>CU152/CR152*CV152*EXP(-LN(2)/10990*($F$96-CS152))</f>
        <v>-1.9152716641483034E-11</v>
      </c>
      <c r="CX152" s="599">
        <f>CW152-AVERAGE(DE102:DE103)</f>
        <v>-1.9141428954777608E-11</v>
      </c>
      <c r="CY152" s="599" t="e">
        <f>ABS(#REF!*CX152*3600)</f>
        <v>#REF!</v>
      </c>
      <c r="CZ152" s="657">
        <f>ABS($B$34*CX152*3600)</f>
        <v>1.7365104347774245E-3</v>
      </c>
      <c r="DA152" s="614">
        <f>CZ152*$C$87</f>
        <v>0.17365104347774246</v>
      </c>
      <c r="DB152" s="672">
        <f>CZ152*$F$78</f>
        <v>2.0838125217329095E-3</v>
      </c>
      <c r="DC152" s="600">
        <f>CZ152*$F$83</f>
        <v>2.1011776260806835E-3</v>
      </c>
      <c r="DD152" s="672">
        <f>CZ152*$F$80</f>
        <v>2.1011776260806835E-3</v>
      </c>
      <c r="DE152" s="676">
        <f>CZ152*$F$79</f>
        <v>2.1706380434717808E-3</v>
      </c>
      <c r="DF152" s="668"/>
      <c r="DG152" s="669"/>
      <c r="DH152" s="670"/>
      <c r="DI152" s="671"/>
      <c r="DJ152" s="678"/>
      <c r="DK152" s="663"/>
      <c r="DL152" s="650" t="s">
        <v>268</v>
      </c>
      <c r="DM152" s="651">
        <f>IF(DL152="Low",DI152*$D$42,IF(DL152="Med",DI152*$D$43,IF(DL152="High",DI152*$D$44,"rango cal. out")))</f>
        <v>0</v>
      </c>
      <c r="DN152" s="619" t="e">
        <f>((273.2+DF152)*$F$33/((273.2+$F$32)*DH152))</f>
        <v>#DIV/0!</v>
      </c>
      <c r="DO152" s="674" t="e">
        <f>DM152/DJ152*DN152*EXP(-LN(2)/10990*($F$96-DK152))</f>
        <v>#DIV/0!</v>
      </c>
      <c r="DP152" s="599" t="e">
        <f>DO152-AVERAGE(DW102:DW103)</f>
        <v>#DIV/0!</v>
      </c>
      <c r="DQ152" s="599" t="e">
        <f>ABS(#REF!*DP152*3600)</f>
        <v>#REF!</v>
      </c>
      <c r="DR152" s="657" t="e">
        <f>ABS($B$34*DP152*3600)</f>
        <v>#DIV/0!</v>
      </c>
      <c r="DS152" s="614" t="e">
        <f>DR152*$C$87</f>
        <v>#DIV/0!</v>
      </c>
      <c r="DT152" s="672" t="e">
        <f>DR152*$F$78</f>
        <v>#DIV/0!</v>
      </c>
      <c r="DU152" s="600" t="e">
        <f>DR152*$F$83</f>
        <v>#DIV/0!</v>
      </c>
      <c r="DV152" s="672" t="e">
        <f>DR152*$F$80</f>
        <v>#DIV/0!</v>
      </c>
      <c r="DW152" s="676" t="e">
        <f>DR152*$F$79</f>
        <v>#DIV/0!</v>
      </c>
      <c r="DX152" s="668"/>
      <c r="DY152" s="669"/>
      <c r="DZ152" s="677"/>
      <c r="EA152" s="679"/>
      <c r="EB152" s="678"/>
      <c r="EC152" s="663"/>
      <c r="ED152" s="650"/>
      <c r="EE152" s="651" t="str">
        <f>IF(ED152="Low",EA152*$D$42,IF(ED152="Med",EA152*$D$43,IF(ED152="High",EA152*$D$44,"rango cal. out")))</f>
        <v>rango cal. out</v>
      </c>
      <c r="EF152" s="619" t="e">
        <f>((273.2+DX152)*$F$33/((273.2+$F$32)*DZ152))</f>
        <v>#DIV/0!</v>
      </c>
      <c r="EG152" s="674" t="e">
        <f>EE152/EB152*EF152*EXP(-LN(2)/10990*($F$96-EC152))</f>
        <v>#VALUE!</v>
      </c>
      <c r="EH152" s="599" t="e">
        <f>EG152-AVERAGE(EO102:EO103)</f>
        <v>#VALUE!</v>
      </c>
      <c r="EI152" s="599" t="e">
        <f>ABS(#REF!*EH152*3600)</f>
        <v>#REF!</v>
      </c>
      <c r="EJ152" s="657" t="e">
        <f>ABS($B$34*EH152*3600)</f>
        <v>#VALUE!</v>
      </c>
      <c r="EK152" s="614" t="e">
        <f>EJ152*$C$87</f>
        <v>#VALUE!</v>
      </c>
      <c r="EL152" s="672" t="e">
        <f>EJ152*$F$78</f>
        <v>#VALUE!</v>
      </c>
      <c r="EM152" s="600" t="e">
        <f>EJ152*$F$83</f>
        <v>#VALUE!</v>
      </c>
      <c r="EN152" s="672" t="e">
        <f>EJ152*$F$80</f>
        <v>#VALUE!</v>
      </c>
      <c r="EO152" s="676" t="e">
        <f>EJ152*$F$79</f>
        <v>#VALUE!</v>
      </c>
      <c r="EP152" s="2013">
        <v>19.899999999999999</v>
      </c>
      <c r="EQ152" s="2018">
        <v>52</v>
      </c>
      <c r="ER152" s="2021">
        <v>1009.8</v>
      </c>
      <c r="ES152" s="2011">
        <v>-1.0499999999999999E-11</v>
      </c>
      <c r="ET152" s="673">
        <v>60</v>
      </c>
      <c r="EU152" s="663">
        <v>44334</v>
      </c>
      <c r="EV152" s="650" t="s">
        <v>268</v>
      </c>
      <c r="EW152" s="651">
        <f>IF(EV152="Low",ES152*$D$42,IF(EV152="Med",ES152*$D$43,IF(EV152="High",ES152*$D$44,"rango cal. out")))</f>
        <v>-1.0531499999999998E-11</v>
      </c>
      <c r="EX152" s="619">
        <f>((273.2+EP152)*$F$33/((273.2+$F$32)*ER152))</f>
        <v>0.99627839248535088</v>
      </c>
      <c r="EY152" s="674">
        <f>EW152/ET152*EX152*EXP(-LN(2)/10990*($F$96-EU152))</f>
        <v>-1.7318147663068456E-13</v>
      </c>
      <c r="EZ152" s="599">
        <f>EY152-AVERAGE(FG102:FG103)</f>
        <v>-1.7426204044028429E-13</v>
      </c>
      <c r="FA152" s="599" t="e">
        <f>ABS(#REF!*EZ152*3600)</f>
        <v>#REF!</v>
      </c>
      <c r="FB152" s="657">
        <f>ABS($B$34*EZ152*3600)</f>
        <v>1.5809052308742591E-5</v>
      </c>
      <c r="FC152" s="614">
        <f>FB152*$C$87</f>
        <v>1.580905230874259E-3</v>
      </c>
      <c r="FD152" s="672">
        <f>FB152*$F$78</f>
        <v>1.8970862770491107E-5</v>
      </c>
      <c r="FE152" s="600">
        <f>FB152*$F$83</f>
        <v>1.9128953293578534E-5</v>
      </c>
      <c r="FF152" s="672">
        <f>FB152*$F$80</f>
        <v>1.9128953293578534E-5</v>
      </c>
      <c r="FG152" s="676">
        <f>FB152*$F$79</f>
        <v>1.9761315385928239E-5</v>
      </c>
      <c r="FH152" s="668"/>
      <c r="FI152" s="669"/>
      <c r="FJ152" s="670"/>
      <c r="FK152" s="671"/>
      <c r="FL152" s="678"/>
      <c r="FM152" s="663"/>
      <c r="FN152" s="650"/>
      <c r="FO152" s="651" t="str">
        <f>IF(FN152="Low",FK152*$D$42,IF(FN152="Med",FK152*$D$43,IF(FN152="High",FK152*$D$44,"rango cal. out")))</f>
        <v>rango cal. out</v>
      </c>
      <c r="FP152" s="619" t="e">
        <f>((273.2+FH152)*$F$33/((273.2+$F$32)*FJ152))</f>
        <v>#DIV/0!</v>
      </c>
      <c r="FQ152" s="674" t="e">
        <f>FO152/FL152*FP152*EXP(-LN(2)/10990*($F$96-FM152))</f>
        <v>#VALUE!</v>
      </c>
      <c r="FR152" s="599" t="e">
        <f>FQ152-AVERAGE(FY102:FY103)</f>
        <v>#VALUE!</v>
      </c>
      <c r="FS152" s="599" t="e">
        <f>ABS(#REF!*FR152*3600)</f>
        <v>#REF!</v>
      </c>
      <c r="FT152" s="657" t="e">
        <f>ABS($B$34*FR152*3600)</f>
        <v>#VALUE!</v>
      </c>
      <c r="FU152" s="614" t="e">
        <f>FT152*$C$87</f>
        <v>#VALUE!</v>
      </c>
      <c r="FV152" s="672" t="e">
        <f>FT152*$F$78</f>
        <v>#VALUE!</v>
      </c>
      <c r="FW152" s="600" t="e">
        <f>FT152*$F$83</f>
        <v>#VALUE!</v>
      </c>
      <c r="FX152" s="672" t="e">
        <f>FT152*$F$80</f>
        <v>#VALUE!</v>
      </c>
      <c r="FY152" s="676" t="e">
        <f>FT152*$F$79</f>
        <v>#VALUE!</v>
      </c>
      <c r="FZ152" s="668"/>
      <c r="GA152" s="669"/>
      <c r="GB152" s="670"/>
      <c r="GC152" s="671"/>
      <c r="GD152" s="678"/>
      <c r="GE152" s="663"/>
      <c r="GF152" s="650"/>
      <c r="GG152" s="651" t="str">
        <f>IF(GF152="Low",GC152*$D$42,IF(GF152="Med",GC152*$D$43,IF(GF152="High",GC152*$D$44,"rango cal. out")))</f>
        <v>rango cal. out</v>
      </c>
      <c r="GH152" s="619" t="e">
        <f>((273.2+FZ152)*$F$33/((273.2+$F$32)*GB152))</f>
        <v>#DIV/0!</v>
      </c>
      <c r="GI152" s="674" t="e">
        <f>GG152/GD152*GH152*EXP(-LN(2)/10990*($F$96-GE152))</f>
        <v>#VALUE!</v>
      </c>
      <c r="GJ152" s="599" t="e">
        <f>GI152-AVERAGE(GQ102:GQ103)</f>
        <v>#VALUE!</v>
      </c>
      <c r="GK152" s="599" t="e">
        <f>ABS(#REF!*GJ152*3600)</f>
        <v>#REF!</v>
      </c>
      <c r="GL152" s="657" t="e">
        <f>ABS($B$34*GJ152*3600)</f>
        <v>#VALUE!</v>
      </c>
      <c r="GM152" s="614" t="e">
        <f>GL152*$C$87</f>
        <v>#VALUE!</v>
      </c>
      <c r="GN152" s="672" t="e">
        <f>GL152*$F$78</f>
        <v>#VALUE!</v>
      </c>
      <c r="GO152" s="600" t="e">
        <f>GL152*$F$83</f>
        <v>#VALUE!</v>
      </c>
      <c r="GP152" s="672" t="e">
        <f>GL152*$F$80</f>
        <v>#VALUE!</v>
      </c>
      <c r="GQ152" s="676" t="e">
        <f>GL152*$F$79</f>
        <v>#VALUE!</v>
      </c>
      <c r="GR152" s="668"/>
      <c r="GS152" s="669"/>
      <c r="GT152" s="677"/>
      <c r="GU152" s="679"/>
      <c r="GV152" s="678"/>
      <c r="GW152" s="663"/>
      <c r="GX152" s="650"/>
      <c r="GY152" s="651" t="str">
        <f>IF(GX152="Low",GU152*$D$42,IF(GX152="Med",GU152*$D$43,IF(GX152="High",GU152*$D$44,"rango cal. out")))</f>
        <v>rango cal. out</v>
      </c>
      <c r="GZ152" s="619" t="e">
        <f>((273.2+GR152)*$F$33/((273.2+$F$32)*GT152))</f>
        <v>#DIV/0!</v>
      </c>
      <c r="HA152" s="674" t="e">
        <f>GY152/GV152*GZ152*EXP(-LN(2)/10990*($F$96-GW152))</f>
        <v>#VALUE!</v>
      </c>
      <c r="HB152" s="599" t="e">
        <f>HA152-AVERAGE(HI102:HI103)</f>
        <v>#VALUE!</v>
      </c>
      <c r="HC152" s="599" t="e">
        <f>ABS(#REF!*HB152*3600)</f>
        <v>#REF!</v>
      </c>
      <c r="HD152" s="657" t="e">
        <f>ABS($B$34*HB152*3600)</f>
        <v>#VALUE!</v>
      </c>
      <c r="HE152" s="614" t="e">
        <f>HD152*$C$87</f>
        <v>#VALUE!</v>
      </c>
      <c r="HF152" s="672" t="e">
        <f>HD152*$F$78</f>
        <v>#VALUE!</v>
      </c>
      <c r="HG152" s="600" t="e">
        <f>HD152*$F$83</f>
        <v>#VALUE!</v>
      </c>
      <c r="HH152" s="672" t="e">
        <f>HD152*$F$80</f>
        <v>#VALUE!</v>
      </c>
      <c r="HI152" s="676" t="e">
        <f>HD152*$F$79</f>
        <v>#VALUE!</v>
      </c>
      <c r="HJ152" s="668"/>
      <c r="HK152" s="669"/>
      <c r="HL152" s="670"/>
      <c r="HM152" s="671"/>
      <c r="HN152" s="678"/>
      <c r="HO152" s="663"/>
      <c r="HP152" s="650"/>
      <c r="HQ152" s="651" t="str">
        <f>IF(HP152="Low",HM152*$D$42,IF(HP152="Med",HM152*$D$43,IF(HP152="High",HM152*$D$44,"rango cal. out")))</f>
        <v>rango cal. out</v>
      </c>
      <c r="HR152" s="619" t="e">
        <f>((273.2+HJ152)*$F$33/((273.2+$F$32)*HL152))</f>
        <v>#DIV/0!</v>
      </c>
      <c r="HS152" s="674" t="e">
        <f>HQ152/HN152*HR152*EXP(-LN(2)/10990*($F$96-HO152))</f>
        <v>#VALUE!</v>
      </c>
      <c r="HT152" s="599" t="e">
        <f>HS152-AVERAGE(IA102:IA103)</f>
        <v>#VALUE!</v>
      </c>
      <c r="HU152" s="599" t="e">
        <f>ABS(#REF!*HT152*3600)</f>
        <v>#REF!</v>
      </c>
      <c r="HV152" s="657" t="e">
        <f>ABS($B$34*HT152*3600)</f>
        <v>#VALUE!</v>
      </c>
      <c r="HW152" s="614" t="e">
        <f>HV152*$C$87</f>
        <v>#VALUE!</v>
      </c>
      <c r="HX152" s="672" t="e">
        <f>HV152*$F$78</f>
        <v>#VALUE!</v>
      </c>
      <c r="HY152" s="600" t="e">
        <f>HV152*$F$83</f>
        <v>#VALUE!</v>
      </c>
      <c r="HZ152" s="672" t="e">
        <f>HV152*$F$80</f>
        <v>#VALUE!</v>
      </c>
      <c r="IA152" s="676" t="e">
        <f>HV152*$F$79</f>
        <v>#VALUE!</v>
      </c>
      <c r="IB152" s="668"/>
      <c r="IC152" s="669"/>
      <c r="ID152" s="670"/>
      <c r="IE152" s="671"/>
      <c r="IF152" s="678"/>
      <c r="IG152" s="663"/>
      <c r="IH152" s="650"/>
      <c r="II152" s="651" t="str">
        <f>IF(IH152="Low",IE152*$D$42,IF(IH152="Med",IE152*$D$43,IF(IH152="High",IE152*$D$44,"rango cal. out")))</f>
        <v>rango cal. out</v>
      </c>
      <c r="IJ152" s="619" t="e">
        <f>((273.2+IB152)*$F$33/((273.2+$F$32)*ID152))</f>
        <v>#DIV/0!</v>
      </c>
      <c r="IK152" s="674" t="e">
        <f>II152/IF152*IJ152*EXP(-LN(2)/10990*($F$96-IG152))</f>
        <v>#VALUE!</v>
      </c>
      <c r="IL152" s="599" t="e">
        <f>IK152-AVERAGE(IS102:IS103)</f>
        <v>#VALUE!</v>
      </c>
      <c r="IM152" s="599" t="e">
        <f>ABS(#REF!*IL152*3600)</f>
        <v>#REF!</v>
      </c>
      <c r="IN152" s="657" t="e">
        <f>ABS($B$34*IL152*3600)</f>
        <v>#VALUE!</v>
      </c>
      <c r="IO152" s="614" t="e">
        <f>IN152*$C$87</f>
        <v>#VALUE!</v>
      </c>
      <c r="IP152" s="672" t="e">
        <f>IN152*$F$78</f>
        <v>#VALUE!</v>
      </c>
      <c r="IQ152" s="600" t="e">
        <f>IN152*$F$83</f>
        <v>#VALUE!</v>
      </c>
      <c r="IR152" s="672" t="e">
        <f>IN152*$F$80</f>
        <v>#VALUE!</v>
      </c>
      <c r="IS152" s="676" t="e">
        <f>IN152*$F$79</f>
        <v>#VALUE!</v>
      </c>
      <c r="IT152" s="668"/>
      <c r="IU152" s="669"/>
      <c r="IV152" s="670"/>
      <c r="IW152" s="671"/>
      <c r="IX152" s="678"/>
      <c r="IY152" s="663"/>
      <c r="IZ152" s="650"/>
      <c r="JA152" s="651" t="str">
        <f>IF(IZ152="Low",IW152*$D$42,IF(IZ152="Med",IW152*$D$43,IF(IZ152="High",IW152*$D$44,"rango cal. out")))</f>
        <v>rango cal. out</v>
      </c>
      <c r="JB152" s="619" t="e">
        <f>((273.2+IT152)*$F$33/((273.2+$F$32)*IV152))</f>
        <v>#DIV/0!</v>
      </c>
      <c r="JC152" s="674" t="e">
        <f>JA152/IX152*JB152*EXP(-LN(2)/10990*($F$96-IY152))</f>
        <v>#VALUE!</v>
      </c>
      <c r="JD152" s="599" t="e">
        <f>JC152-AVERAGE(JK102:JK103)</f>
        <v>#VALUE!</v>
      </c>
      <c r="JE152" s="599" t="e">
        <f>ABS(#REF!*JD152*3600)</f>
        <v>#REF!</v>
      </c>
      <c r="JF152" s="657" t="e">
        <f>ABS($B$34*JD152*3600)</f>
        <v>#VALUE!</v>
      </c>
      <c r="JG152" s="614" t="e">
        <f>JF152*$C$87</f>
        <v>#VALUE!</v>
      </c>
      <c r="JH152" s="672" t="e">
        <f>JF152*$F$78</f>
        <v>#VALUE!</v>
      </c>
      <c r="JI152" s="600" t="e">
        <f>JF152*$F$83</f>
        <v>#VALUE!</v>
      </c>
      <c r="JJ152" s="672" t="e">
        <f>JF152*$F$80</f>
        <v>#VALUE!</v>
      </c>
      <c r="JK152" s="676" t="e">
        <f>JF152*$F$79</f>
        <v>#VALUE!</v>
      </c>
      <c r="JL152" s="668"/>
      <c r="JM152" s="669"/>
      <c r="JN152" s="670"/>
      <c r="JO152" s="671"/>
      <c r="JP152" s="678"/>
      <c r="JQ152" s="663"/>
      <c r="JR152" s="650"/>
      <c r="JS152" s="651" t="str">
        <f>IF(JR152="Low",JO152*$D$42,IF(JR152="Med",JO152*$D$43,IF(JR152="High",JO152*$D$44,"rango cal. out")))</f>
        <v>rango cal. out</v>
      </c>
      <c r="JT152" s="619" t="e">
        <f>((273.2+JL152)*$F$33/((273.2+$F$32)*JN152))</f>
        <v>#DIV/0!</v>
      </c>
      <c r="JU152" s="674" t="e">
        <f>JS152/JP152*JT152*EXP(-LN(2)/10990*($F$96-JQ152))</f>
        <v>#VALUE!</v>
      </c>
      <c r="JV152" s="599" t="e">
        <f>JU152-AVERAGE(KC102:KC103)</f>
        <v>#VALUE!</v>
      </c>
      <c r="JW152" s="599" t="e">
        <f>ABS(#REF!*JV152*3600)</f>
        <v>#REF!</v>
      </c>
      <c r="JX152" s="657" t="e">
        <f>ABS($B$34*JV152*3600)</f>
        <v>#VALUE!</v>
      </c>
      <c r="JY152" s="614" t="e">
        <f>JX152*$C$87</f>
        <v>#VALUE!</v>
      </c>
      <c r="JZ152" s="672" t="e">
        <f>JX152*$F$78</f>
        <v>#VALUE!</v>
      </c>
      <c r="KA152" s="600" t="e">
        <f>JX152*$F$83</f>
        <v>#VALUE!</v>
      </c>
      <c r="KB152" s="672" t="e">
        <f>JX152*$F$80</f>
        <v>#VALUE!</v>
      </c>
      <c r="KC152" s="676" t="e">
        <f>JX152*$F$79</f>
        <v>#VALUE!</v>
      </c>
      <c r="KD152" s="668"/>
      <c r="KE152" s="669"/>
      <c r="KF152" s="670"/>
      <c r="KG152" s="671"/>
      <c r="KH152" s="678"/>
      <c r="KI152" s="663"/>
      <c r="KJ152" s="650"/>
      <c r="KK152" s="651" t="str">
        <f>IF(KJ152="Low",KG152*$D$42,IF(KJ152="Med",KG152*$D$43,IF(KJ152="High",KG152*$D$44,"rango cal. out")))</f>
        <v>rango cal. out</v>
      </c>
      <c r="KL152" s="619" t="e">
        <f>((273.2+KD152)*$F$33/((273.2+$F$32)*KF152))</f>
        <v>#DIV/0!</v>
      </c>
      <c r="KM152" s="674" t="e">
        <f>KK152/KH152*KL152*EXP(-LN(2)/10990*($F$96-KI152))</f>
        <v>#VALUE!</v>
      </c>
      <c r="KN152" s="599" t="e">
        <f>KM152-AVERAGE(KU102:KU103)</f>
        <v>#VALUE!</v>
      </c>
      <c r="KO152" s="599" t="e">
        <f>ABS(#REF!*KN152*3600)</f>
        <v>#REF!</v>
      </c>
      <c r="KP152" s="657" t="e">
        <f>ABS($B$34*KN152*3600)</f>
        <v>#VALUE!</v>
      </c>
      <c r="KQ152" s="614" t="e">
        <f>KP152*$C$87</f>
        <v>#VALUE!</v>
      </c>
      <c r="KR152" s="672" t="e">
        <f>KP152*$F$78</f>
        <v>#VALUE!</v>
      </c>
      <c r="KS152" s="600" t="e">
        <f>KP152*$F$83</f>
        <v>#VALUE!</v>
      </c>
      <c r="KT152" s="672" t="e">
        <f>KP152*$F$80</f>
        <v>#VALUE!</v>
      </c>
      <c r="KU152" s="676" t="e">
        <f>KP152*$F$79</f>
        <v>#VALUE!</v>
      </c>
      <c r="KV152" s="668"/>
      <c r="KW152" s="669"/>
      <c r="KX152" s="670"/>
      <c r="KY152" s="671"/>
      <c r="KZ152" s="678"/>
      <c r="LA152" s="663"/>
      <c r="LB152" s="650"/>
      <c r="LC152" s="651" t="str">
        <f>IF(LB152="Low",KY152*$D$42,IF(LB152="Med",KY152*$D$43,IF(LB152="High",KY152*$D$44,"rango cal. out")))</f>
        <v>rango cal. out</v>
      </c>
      <c r="LD152" s="619" t="e">
        <f>((273.2+KV152)*$F$33/((273.2+$F$32)*KX152))</f>
        <v>#DIV/0!</v>
      </c>
      <c r="LE152" s="674" t="e">
        <f>LC152/KZ152*LD152*EXP(-LN(2)/10990*($F$96-LA152))</f>
        <v>#VALUE!</v>
      </c>
      <c r="LF152" s="599" t="e">
        <f>LE152-AVERAGE(LM102:LM103)</f>
        <v>#VALUE!</v>
      </c>
      <c r="LG152" s="599" t="e">
        <f>ABS(#REF!*LF152*3600)</f>
        <v>#REF!</v>
      </c>
      <c r="LH152" s="657" t="e">
        <f>ABS($B$34*LF152*3600)</f>
        <v>#VALUE!</v>
      </c>
      <c r="LI152" s="614" t="e">
        <f>LH152*$C$87</f>
        <v>#VALUE!</v>
      </c>
      <c r="LJ152" s="672" t="e">
        <f>LH152*$F$78</f>
        <v>#VALUE!</v>
      </c>
      <c r="LK152" s="600" t="e">
        <f>LH152*$F$83</f>
        <v>#VALUE!</v>
      </c>
      <c r="LL152" s="672" t="e">
        <f>LH152*$F$80</f>
        <v>#VALUE!</v>
      </c>
      <c r="LM152" s="676" t="e">
        <f>LH152*$F$79</f>
        <v>#VALUE!</v>
      </c>
      <c r="LN152" s="668"/>
      <c r="LO152" s="669"/>
      <c r="LP152" s="670"/>
      <c r="LQ152" s="671"/>
      <c r="LR152" s="678"/>
      <c r="LS152" s="663"/>
      <c r="LT152" s="650"/>
      <c r="LU152" s="651" t="str">
        <f>IF(LT152="Low",LQ152*$D$42,IF(LT152="Med",LQ152*$D$43,IF(LT152="High",LQ152*$D$44,"rango cal. out")))</f>
        <v>rango cal. out</v>
      </c>
      <c r="LV152" s="619" t="e">
        <f>((273.2+LN152)*$F$33/((273.2+$F$32)*LP152))</f>
        <v>#DIV/0!</v>
      </c>
      <c r="LW152" s="674" t="e">
        <f>LU152/LR152*LV152*EXP(-LN(2)/10990*($F$96-LS152))</f>
        <v>#VALUE!</v>
      </c>
      <c r="LX152" s="599" t="e">
        <f>LW152-AVERAGE(ME102:ME103)</f>
        <v>#VALUE!</v>
      </c>
      <c r="LY152" s="599" t="e">
        <f>ABS(#REF!*LX152*3600)</f>
        <v>#REF!</v>
      </c>
      <c r="LZ152" s="657" t="e">
        <f>ABS($B$34*LX152*3600)</f>
        <v>#VALUE!</v>
      </c>
      <c r="MA152" s="614" t="e">
        <f>LZ152*$C$87</f>
        <v>#VALUE!</v>
      </c>
      <c r="MB152" s="672" t="e">
        <f>LZ152*$F$78</f>
        <v>#VALUE!</v>
      </c>
      <c r="MC152" s="600" t="e">
        <f>LZ152*$F$83</f>
        <v>#VALUE!</v>
      </c>
      <c r="MD152" s="672" t="e">
        <f>LZ152*$F$80</f>
        <v>#VALUE!</v>
      </c>
      <c r="ME152" s="676" t="e">
        <f>LZ152*$F$79</f>
        <v>#VALUE!</v>
      </c>
      <c r="MF152" s="668"/>
      <c r="MG152" s="669"/>
      <c r="MH152" s="670"/>
      <c r="MI152" s="671"/>
      <c r="MJ152" s="678"/>
      <c r="MK152" s="663"/>
      <c r="ML152" s="650"/>
      <c r="MM152" s="651" t="str">
        <f>IF(ML152="Low",MI152*$D$42,IF(ML152="Med",MI152*$D$43,IF(ML152="High",MI152*$D$44,"rango cal. out")))</f>
        <v>rango cal. out</v>
      </c>
      <c r="MN152" s="619" t="e">
        <f>((273.2+MF152)*$F$33/((273.2+$F$32)*MH152))</f>
        <v>#DIV/0!</v>
      </c>
      <c r="MO152" s="674" t="e">
        <f>MM152/MJ152*MN152*EXP(-LN(2)/10990*($F$96-MK152))</f>
        <v>#VALUE!</v>
      </c>
      <c r="MP152" s="599" t="e">
        <f>MO152-AVERAGE(MW102:MW103)</f>
        <v>#VALUE!</v>
      </c>
      <c r="MQ152" s="599" t="e">
        <f>ABS(#REF!*MP152*3600)</f>
        <v>#REF!</v>
      </c>
      <c r="MR152" s="657" t="e">
        <f>ABS($B$34*MP152*3600)</f>
        <v>#VALUE!</v>
      </c>
      <c r="MS152" s="614" t="e">
        <f>MR152*$C$87</f>
        <v>#VALUE!</v>
      </c>
      <c r="MT152" s="672" t="e">
        <f>MR152*$F$78</f>
        <v>#VALUE!</v>
      </c>
      <c r="MU152" s="600" t="e">
        <f>MR152*$F$83</f>
        <v>#VALUE!</v>
      </c>
      <c r="MV152" s="672" t="e">
        <f>MR152*$F$80</f>
        <v>#VALUE!</v>
      </c>
      <c r="MW152" s="676" t="e">
        <f>MR152*$F$79</f>
        <v>#VALUE!</v>
      </c>
      <c r="MX152" s="668"/>
      <c r="MY152" s="669"/>
      <c r="MZ152" s="680"/>
      <c r="NA152" s="671"/>
      <c r="NB152" s="673"/>
      <c r="NC152" s="650"/>
      <c r="ND152" s="650"/>
      <c r="NE152" s="651" t="str">
        <f>IF(ND152="Low",NA152*$D$42,IF(ND152="Med",NA152*$D$43,IF(ND152="High",NA152*$D$44,"rango cal. out")))</f>
        <v>rango cal. out</v>
      </c>
      <c r="NF152" s="619" t="e">
        <f>((273.2+MX152)*$F$33/((273.2+$F$32)*MZ152))</f>
        <v>#DIV/0!</v>
      </c>
      <c r="NG152" s="674" t="e">
        <f>NE152/NB152*NF152*EXP(-LN(2)/10990*($F$96-NC152))</f>
        <v>#VALUE!</v>
      </c>
      <c r="NH152" s="599" t="e">
        <f>NG152-AVERAGE(NO102:NO103)</f>
        <v>#VALUE!</v>
      </c>
      <c r="NI152" s="599" t="e">
        <f>ABS(#REF!*NH152*3600)</f>
        <v>#REF!</v>
      </c>
      <c r="NJ152" s="657" t="e">
        <f>ABS($B$34*NH152*3600)</f>
        <v>#VALUE!</v>
      </c>
      <c r="NK152" s="614" t="e">
        <f>NJ152*$C$87</f>
        <v>#VALUE!</v>
      </c>
      <c r="NL152" s="672" t="e">
        <f>NJ152*$F$78</f>
        <v>#VALUE!</v>
      </c>
      <c r="NM152" s="600" t="e">
        <f>NJ152*$F$83</f>
        <v>#VALUE!</v>
      </c>
      <c r="NN152" s="672" t="e">
        <f>NJ152*$F$80</f>
        <v>#VALUE!</v>
      </c>
      <c r="NO152" s="676" t="e">
        <f>NJ152*$F$79</f>
        <v>#VALUE!</v>
      </c>
      <c r="NP152" s="2013">
        <v>20</v>
      </c>
      <c r="NQ152" s="2018">
        <v>53</v>
      </c>
      <c r="NR152" s="2021">
        <v>1009.9</v>
      </c>
      <c r="NS152" s="2011">
        <v>-4.4000000000000003E-11</v>
      </c>
      <c r="NT152" s="678">
        <v>60</v>
      </c>
      <c r="NU152" s="663">
        <v>44334</v>
      </c>
      <c r="NV152" s="650" t="s">
        <v>268</v>
      </c>
      <c r="NW152" s="651">
        <f>IF(NV152="Low",NS152*$D$42,IF(NV152="Med",NS152*$D$43,IF(NV152="High",NS152*$D$44,"rango cal. out")))</f>
        <v>-4.4131999999999998E-11</v>
      </c>
      <c r="NX152" s="619">
        <f>((273.2+NP152)*$F$33/((273.2+$F$32)*NR152))</f>
        <v>0.99651961837966729</v>
      </c>
      <c r="NY152" s="674">
        <f>NW152/NT152*NX152*EXP(-LN(2)/10990*($F$96-NU152))</f>
        <v>-7.2588856912577358E-13</v>
      </c>
      <c r="NZ152" s="599">
        <f>NY152-AVERAGE(OG102:OG103)</f>
        <v>-7.2664073019773209E-13</v>
      </c>
      <c r="OA152" s="599" t="e">
        <f>ABS(#REF!*NZ152*3600)</f>
        <v>#REF!</v>
      </c>
      <c r="OB152" s="657">
        <f>ABS($B$34*NZ152*3600)</f>
        <v>6.5920847043538248E-5</v>
      </c>
      <c r="OC152" s="614">
        <f>OB152*$C$87</f>
        <v>6.5920847043538251E-3</v>
      </c>
      <c r="OD152" s="672">
        <f>OB152*$F$78</f>
        <v>7.9105016452245893E-5</v>
      </c>
      <c r="OE152" s="600">
        <f>OB152*$F$83</f>
        <v>7.9764224922681274E-5</v>
      </c>
      <c r="OF152" s="672">
        <f>OB152*$F$80</f>
        <v>7.9764224922681274E-5</v>
      </c>
      <c r="OG152" s="676">
        <f>OB152*$F$79</f>
        <v>8.240105880442281E-5</v>
      </c>
      <c r="OH152" s="668"/>
      <c r="OI152" s="669"/>
      <c r="OJ152" s="670"/>
      <c r="OK152" s="671"/>
      <c r="OL152" s="678"/>
      <c r="OM152" s="663"/>
      <c r="ON152" s="650"/>
      <c r="OO152" s="651" t="str">
        <f>IF(ON152="Low",OK152*$D$42,IF(ON152="Med",OK152*$D$43,IF(ON152="High",OK152*$D$44,"rango cal. out")))</f>
        <v>rango cal. out</v>
      </c>
      <c r="OP152" s="619" t="e">
        <f>((273.2+OH152)*$F$33/((273.2+$F$32)*OJ152))</f>
        <v>#DIV/0!</v>
      </c>
      <c r="OQ152" s="674" t="e">
        <f>OO152/OL152*OP152*EXP(-LN(2)/10990*($F$96-OM152))</f>
        <v>#VALUE!</v>
      </c>
      <c r="OR152" s="599" t="e">
        <f>OQ152-AVERAGE(OY102:OY103)</f>
        <v>#VALUE!</v>
      </c>
      <c r="OS152" s="599" t="e">
        <f>ABS(#REF!*OR152*3600)</f>
        <v>#REF!</v>
      </c>
      <c r="OT152" s="657" t="e">
        <f>ABS($B$34*OR152*3600)</f>
        <v>#VALUE!</v>
      </c>
      <c r="OU152" s="614" t="e">
        <f>OT152*$C$87</f>
        <v>#VALUE!</v>
      </c>
      <c r="OV152" s="672" t="e">
        <f>OT152*$F$78</f>
        <v>#VALUE!</v>
      </c>
      <c r="OW152" s="600" t="e">
        <f>OT152*$F$83</f>
        <v>#VALUE!</v>
      </c>
      <c r="OX152" s="672" t="e">
        <f>OT152*$F$80</f>
        <v>#VALUE!</v>
      </c>
      <c r="OY152" s="676" t="e">
        <f>OT152*$F$79</f>
        <v>#VALUE!</v>
      </c>
      <c r="OZ152" s="2013">
        <v>20</v>
      </c>
      <c r="PA152" s="2018">
        <v>53</v>
      </c>
      <c r="PB152" s="2021">
        <v>1010</v>
      </c>
      <c r="PC152" s="2011">
        <v>-8.8500000000000005E-11</v>
      </c>
      <c r="PD152" s="673">
        <v>60</v>
      </c>
      <c r="PE152" s="663">
        <v>44334</v>
      </c>
      <c r="PF152" s="650" t="s">
        <v>268</v>
      </c>
      <c r="PG152" s="651">
        <f>IF(PF152="Low",PC152*$D$42,IF(PF152="Med",PC152*$D$43,IF(PF152="High",PC152*$D$44,"rango cal. out")))</f>
        <v>-8.8765499999999995E-11</v>
      </c>
      <c r="PH152" s="619">
        <f>((273.2+OZ152)*$F$33/((273.2+$F$32)*PB152))</f>
        <v>0.99642095307091672</v>
      </c>
      <c r="PI152" s="674">
        <f>PG152/PD152*PH152*EXP(-LN(2)/10990*($F$96-PE152))</f>
        <v>-1.4598813149745837E-12</v>
      </c>
      <c r="PJ152" s="599">
        <f>PI152-AVERAGE(PQ102:PQ103)</f>
        <v>-1.4582081048781432E-12</v>
      </c>
      <c r="PK152" s="599" t="e">
        <f>ABS(#REF!*PJ152*3600)</f>
        <v>#REF!</v>
      </c>
      <c r="PL152" s="657">
        <f>ABS($B$34*PJ152*3600)</f>
        <v>1.3228863927454516E-4</v>
      </c>
      <c r="PM152" s="614">
        <f>PL152*$C$87</f>
        <v>1.3228863927454516E-2</v>
      </c>
      <c r="PN152" s="672">
        <f>PL152*$F$78</f>
        <v>1.5874636712945417E-4</v>
      </c>
      <c r="PO152" s="600">
        <f>PL152*$F$83</f>
        <v>1.6006925352219964E-4</v>
      </c>
      <c r="PP152" s="672">
        <f>PL152*$F$80</f>
        <v>1.6006925352219964E-4</v>
      </c>
      <c r="PQ152" s="676">
        <f>PL152*$F$79</f>
        <v>1.6536079909318144E-4</v>
      </c>
      <c r="PR152" s="668"/>
      <c r="PS152" s="669"/>
      <c r="PT152" s="670"/>
      <c r="PU152" s="671"/>
      <c r="PV152" s="678"/>
      <c r="PW152" s="663"/>
      <c r="PX152" s="650"/>
      <c r="PY152" s="651" t="str">
        <f>IF(PX152="Low",PU152*$D$42,IF(PX152="Med",PU152*$D$43,IF(PX152="High",PU152*$D$44,"rango cal. out")))</f>
        <v>rango cal. out</v>
      </c>
      <c r="PZ152" s="619" t="e">
        <f>((273.2+PR152)*$F$33/((273.2+$F$32)*PT152))</f>
        <v>#DIV/0!</v>
      </c>
      <c r="QA152" s="674" t="e">
        <f>PY152/PV152*PZ152*EXP(-LN(2)/10990*($F$96-PW152))</f>
        <v>#VALUE!</v>
      </c>
      <c r="QB152" s="599" t="e">
        <f>QA152-AVERAGE(QI102:QI103)</f>
        <v>#VALUE!</v>
      </c>
      <c r="QC152" s="599" t="e">
        <f>ABS(#REF!*QB152*3600)</f>
        <v>#REF!</v>
      </c>
      <c r="QD152" s="657" t="e">
        <f>ABS($B$34*QB152*3600)</f>
        <v>#VALUE!</v>
      </c>
      <c r="QE152" s="614" t="e">
        <f>QD152*$C$87</f>
        <v>#VALUE!</v>
      </c>
      <c r="QF152" s="672" t="e">
        <f>QD152*$F$78</f>
        <v>#VALUE!</v>
      </c>
      <c r="QG152" s="600" t="e">
        <f>QD152*$F$83</f>
        <v>#VALUE!</v>
      </c>
      <c r="QH152" s="672" t="e">
        <f>QD152*$F$80</f>
        <v>#VALUE!</v>
      </c>
      <c r="QI152" s="676" t="e">
        <f>QD152*$F$79</f>
        <v>#VALUE!</v>
      </c>
      <c r="QJ152" s="668"/>
      <c r="QK152" s="669"/>
      <c r="QL152" s="670"/>
      <c r="QM152" s="671"/>
      <c r="QN152" s="678"/>
      <c r="QO152" s="663"/>
      <c r="QP152" s="650"/>
      <c r="QQ152" s="651" t="str">
        <f>IF(QP152="Low",QM152*$D$42,IF(QP152="Med",QM152*$D$43,IF(QP152="High",QM152*$D$44,"rango cal. out")))</f>
        <v>rango cal. out</v>
      </c>
      <c r="QR152" s="619" t="e">
        <f>((273.2+QJ152)*$F$33/((273.2+$F$32)*QL152))</f>
        <v>#DIV/0!</v>
      </c>
      <c r="QS152" s="674" t="e">
        <f>QQ152/QN152*QR152*EXP(-LN(2)/10990*($F$96-QO152))</f>
        <v>#VALUE!</v>
      </c>
      <c r="QT152" s="599" t="e">
        <f>QS152-AVERAGE(RA102:RA103)</f>
        <v>#VALUE!</v>
      </c>
      <c r="QU152" s="599" t="e">
        <f>ABS(#REF!*QT152*3600)</f>
        <v>#REF!</v>
      </c>
      <c r="QV152" s="657" t="e">
        <f>ABS($B$34*QT152*3600)</f>
        <v>#VALUE!</v>
      </c>
      <c r="QW152" s="614" t="e">
        <f>QV152*$C$87</f>
        <v>#VALUE!</v>
      </c>
      <c r="QX152" s="672" t="e">
        <f>QV152*$F$78</f>
        <v>#VALUE!</v>
      </c>
      <c r="QY152" s="600" t="e">
        <f>QV152*$F$83</f>
        <v>#VALUE!</v>
      </c>
      <c r="QZ152" s="672" t="e">
        <f>QV152*$F$80</f>
        <v>#VALUE!</v>
      </c>
      <c r="RA152" s="676" t="e">
        <f>QV152*$F$79</f>
        <v>#VALUE!</v>
      </c>
      <c r="RB152" s="668"/>
      <c r="RC152" s="669"/>
      <c r="RD152" s="680"/>
      <c r="RE152" s="671"/>
      <c r="RF152" s="673"/>
      <c r="RG152" s="663"/>
      <c r="RH152" s="650"/>
      <c r="RI152" s="651" t="str">
        <f>IF(RH152="Low",RE152*$D$42,IF(RH152="Med",RE152*$D$43,IF(RH152="High",RE152*$D$44,"rango cal. out")))</f>
        <v>rango cal. out</v>
      </c>
      <c r="RJ152" s="619" t="e">
        <f>((273.2+RB152)*$F$33/((273.2+$F$32)*RD152))</f>
        <v>#DIV/0!</v>
      </c>
      <c r="RK152" s="674" t="e">
        <f>RI152/RF152*RJ152*EXP(-LN(2)/10990*($F$96-RG152))</f>
        <v>#VALUE!</v>
      </c>
      <c r="RL152" s="599" t="e">
        <f>RK152-AVERAGE(RS102:RS103)</f>
        <v>#VALUE!</v>
      </c>
      <c r="RM152" s="599" t="e">
        <f>ABS(#REF!*RL152*3600)</f>
        <v>#REF!</v>
      </c>
      <c r="RN152" s="657" t="e">
        <f>ABS($B$34*RL152*3600)</f>
        <v>#VALUE!</v>
      </c>
      <c r="RO152" s="614" t="e">
        <f>RN152*$C$87</f>
        <v>#VALUE!</v>
      </c>
      <c r="RP152" s="672" t="e">
        <f>RN152*$F$78</f>
        <v>#VALUE!</v>
      </c>
      <c r="RQ152" s="600" t="e">
        <f>RN152*$F$83</f>
        <v>#VALUE!</v>
      </c>
      <c r="RR152" s="672" t="e">
        <f>RN152*$F$80</f>
        <v>#VALUE!</v>
      </c>
      <c r="RS152" s="676" t="e">
        <f>RN152*$F$79</f>
        <v>#VALUE!</v>
      </c>
      <c r="RT152" s="668"/>
      <c r="RU152" s="669"/>
      <c r="RV152" s="669"/>
      <c r="RW152" s="679"/>
      <c r="RX152" s="673"/>
      <c r="RY152" s="663"/>
      <c r="RZ152" s="650"/>
      <c r="SA152" s="651" t="str">
        <f>IF(RZ152="Low",RW152*$D$42,IF(RZ152="Med",RW152*$D$43,IF(RZ152="High",RW152*$D$44,"rango cal. out")))</f>
        <v>rango cal. out</v>
      </c>
      <c r="SB152" s="619" t="e">
        <f>((273.2+RT152)*$F$33/((273.2+$F$32)*RV152))</f>
        <v>#DIV/0!</v>
      </c>
      <c r="SC152" s="674" t="e">
        <f>SA152/RX152*SB152*EXP(-LN(2)/10990*($F$96-RY152))</f>
        <v>#VALUE!</v>
      </c>
      <c r="SD152" s="599" t="e">
        <f>SC152-AVERAGE(SK102:SK103)</f>
        <v>#VALUE!</v>
      </c>
      <c r="SE152" s="599" t="e">
        <f>ABS(#REF!*SD152*3600)</f>
        <v>#REF!</v>
      </c>
      <c r="SF152" s="657" t="e">
        <f>ABS($B$34*SD152*3600)</f>
        <v>#VALUE!</v>
      </c>
      <c r="SG152" s="614" t="e">
        <f>SF152*$C$87</f>
        <v>#VALUE!</v>
      </c>
      <c r="SH152" s="672" t="e">
        <f>SF152*$F$78</f>
        <v>#VALUE!</v>
      </c>
      <c r="SI152" s="600" t="e">
        <f>SF152*$F$83</f>
        <v>#VALUE!</v>
      </c>
      <c r="SJ152" s="672" t="e">
        <f>SF152*$F$80</f>
        <v>#VALUE!</v>
      </c>
      <c r="SK152" s="676" t="e">
        <f>SF152*$F$79</f>
        <v>#VALUE!</v>
      </c>
      <c r="SL152" s="2013">
        <v>20</v>
      </c>
      <c r="SM152" s="2018">
        <v>52</v>
      </c>
      <c r="SN152" s="2021">
        <v>1010.1</v>
      </c>
      <c r="SO152" s="2011">
        <v>-1.25E-11</v>
      </c>
      <c r="SP152" s="673">
        <v>60</v>
      </c>
      <c r="SQ152" s="663">
        <v>44334</v>
      </c>
      <c r="SR152" s="650" t="s">
        <v>268</v>
      </c>
      <c r="SS152" s="651">
        <f>IF(SR152="Low",SO152*$D$42,IF(SR152="Med",SO152*$D$43,IF(SR152="High",SO152*$D$44,"rango cal. out")))</f>
        <v>-1.2537499999999999E-11</v>
      </c>
      <c r="ST152" s="619">
        <f>((273.2+SL152)*$F$33/((273.2+$F$32)*SN152))</f>
        <v>0.99632230729791682</v>
      </c>
      <c r="SU152" s="674">
        <f>SS152/SP152*ST152*EXP(-LN(2)/10990*($F$96-SQ152))</f>
        <v>-2.0617751222879557E-13</v>
      </c>
      <c r="SV152" s="599">
        <f>SU152-AVERAGE(TC102:TC103)</f>
        <v>-2.0424483945476331E-13</v>
      </c>
      <c r="SW152" s="599" t="e">
        <f>ABS(#REF!*SV152*3600)</f>
        <v>#REF!</v>
      </c>
      <c r="SX152" s="657">
        <f>ABS($B$34*SV152*3600)</f>
        <v>1.8529091835336128E-5</v>
      </c>
      <c r="SY152" s="614">
        <f>SX152*$C$87</f>
        <v>1.8529091835336128E-3</v>
      </c>
      <c r="SZ152" s="672">
        <f>SX152*$F$78</f>
        <v>2.2234910202403351E-5</v>
      </c>
      <c r="TA152" s="600">
        <f>SX152*$F$83</f>
        <v>2.2420201120756712E-5</v>
      </c>
      <c r="TB152" s="672">
        <f>SX152*$F$80</f>
        <v>2.2420201120756712E-5</v>
      </c>
      <c r="TC152" s="676">
        <f>SX152*$F$79</f>
        <v>2.3161364794170159E-5</v>
      </c>
      <c r="TD152" s="2013">
        <v>19.899999999999999</v>
      </c>
      <c r="TE152" s="2018">
        <v>52</v>
      </c>
      <c r="TF152" s="2021">
        <v>1010.6</v>
      </c>
      <c r="TG152" s="2011">
        <v>-1.9699999999999999E-10</v>
      </c>
      <c r="TH152" s="673">
        <v>60</v>
      </c>
      <c r="TI152" s="663">
        <v>44334</v>
      </c>
      <c r="TJ152" s="650" t="s">
        <v>268</v>
      </c>
      <c r="TK152" s="651">
        <f>IF(TJ152="Low",TG152*$D$42,IF(TJ152="Med",TG152*$D$43,IF(TJ152="High",TG152*$D$44,"rango cal. out")))</f>
        <v>-1.9759099999999997E-10</v>
      </c>
      <c r="TL152" s="619">
        <f>((273.2+TD152)*$F$33/((273.2+$F$32)*TF152))</f>
        <v>0.99548972959796866</v>
      </c>
      <c r="TM152" s="674">
        <f>TK152/TH152*TL152*EXP(-LN(2)/10990*($F$96-TI152))</f>
        <v>-3.2466422639099872E-12</v>
      </c>
      <c r="TN152" s="599">
        <f>TM152-AVERAGE(TU102:TU103)</f>
        <v>-3.2462758207227821E-12</v>
      </c>
      <c r="TO152" s="599" t="e">
        <f>ABS(#REF!*TN152*3600)</f>
        <v>#REF!</v>
      </c>
      <c r="TP152" s="657">
        <f>ABS($B$34*TN152*3600)</f>
        <v>2.9450214245597083E-4</v>
      </c>
      <c r="TQ152" s="614">
        <f>TP152*$C$87</f>
        <v>2.9450214245597083E-2</v>
      </c>
      <c r="TR152" s="672">
        <f>TP152*$F$78</f>
        <v>3.5340257094716498E-4</v>
      </c>
      <c r="TS152" s="600">
        <f>TP152*$F$83</f>
        <v>3.5634759237172467E-4</v>
      </c>
      <c r="TT152" s="672">
        <f>TP152*$F$80</f>
        <v>3.5634759237172467E-4</v>
      </c>
      <c r="TU152" s="676">
        <f>TP152*$F$79</f>
        <v>3.6812767806996356E-4</v>
      </c>
      <c r="TV152" s="668"/>
      <c r="TW152" s="669"/>
      <c r="TX152" s="670"/>
      <c r="TY152" s="671"/>
      <c r="TZ152" s="678"/>
      <c r="UA152" s="663"/>
      <c r="UB152" s="650"/>
      <c r="UC152" s="651" t="str">
        <f>IF(UB152="Low",TY152*$D$42,IF(UB152="Med",TY152*$D$43,IF(UB152="High",TY152*$D$44,"rango cal. out")))</f>
        <v>rango cal. out</v>
      </c>
      <c r="UD152" s="619" t="e">
        <f>((273.2+TV152)*$F$33/((273.2+$F$32)*TX152))</f>
        <v>#DIV/0!</v>
      </c>
      <c r="UE152" s="674" t="e">
        <f>UC152/TZ152*UD152*EXP(-LN(2)/10990*($F$96-UA152))</f>
        <v>#VALUE!</v>
      </c>
      <c r="UF152" s="599" t="e">
        <f>UE152-AVERAGE(UM102:UM103)</f>
        <v>#VALUE!</v>
      </c>
      <c r="UG152" s="599" t="e">
        <f>ABS(#REF!*UF152*3600)</f>
        <v>#REF!</v>
      </c>
      <c r="UH152" s="657" t="e">
        <f>ABS($B$34*UF152*3600)</f>
        <v>#VALUE!</v>
      </c>
      <c r="UI152" s="614" t="e">
        <f>UH152*$C$87</f>
        <v>#VALUE!</v>
      </c>
      <c r="UJ152" s="672" t="e">
        <f>UH152*$F$78</f>
        <v>#VALUE!</v>
      </c>
      <c r="UK152" s="600" t="e">
        <f>UH152*$F$83</f>
        <v>#VALUE!</v>
      </c>
      <c r="UL152" s="672" t="e">
        <f>UH152*$F$80</f>
        <v>#VALUE!</v>
      </c>
      <c r="UM152" s="676" t="e">
        <f>UH152*$F$79</f>
        <v>#VALUE!</v>
      </c>
      <c r="UN152" s="2013">
        <v>20.3</v>
      </c>
      <c r="UO152" s="2018">
        <v>55</v>
      </c>
      <c r="UP152" s="2021">
        <v>1008</v>
      </c>
      <c r="UQ152" s="2011">
        <v>-1.6999999999999999E-11</v>
      </c>
      <c r="UR152" s="673">
        <v>60</v>
      </c>
      <c r="US152" s="663">
        <v>44334</v>
      </c>
      <c r="UT152" s="650" t="s">
        <v>268</v>
      </c>
      <c r="UU152" s="651">
        <f>IF(UT152="Low",UQ152*$D$42,IF(UT152="Med",UQ152*$D$43,IF(UT152="High",UQ152*$D$44,"rango cal. out")))</f>
        <v>-1.7050999999999998E-11</v>
      </c>
      <c r="UV152" s="619">
        <f>((273.2+UN152)*$F$33/((273.2+$F$32)*UP152))</f>
        <v>0.9994195319557363</v>
      </c>
      <c r="UW152" s="674">
        <f>UU152/UR152*UV152*EXP(-LN(2)/10990*($F$96-US152))</f>
        <v>-2.8127308855430989E-13</v>
      </c>
      <c r="UX152" s="599">
        <f>UW152-AVERAGE(VE102:VE103)</f>
        <v>-2.8111061547204515E-13</v>
      </c>
      <c r="UY152" s="599" t="e">
        <f>ABS(#REF!*UX152*3600)</f>
        <v>#REF!</v>
      </c>
      <c r="UZ152" s="657">
        <f>ABS($B$34*UX152*3600)</f>
        <v>2.5502355035623938E-5</v>
      </c>
      <c r="VA152" s="614">
        <f>UZ152*$C$87</f>
        <v>2.5502355035623937E-3</v>
      </c>
      <c r="VB152" s="672">
        <f>UZ152*$F$78</f>
        <v>3.0602826042748725E-5</v>
      </c>
      <c r="VC152" s="600">
        <f>UZ152*$F$83</f>
        <v>3.085784959310496E-5</v>
      </c>
      <c r="VD152" s="672">
        <f>UZ152*$F$80</f>
        <v>3.085784959310496E-5</v>
      </c>
      <c r="VE152" s="676">
        <f>UZ152*$F$79</f>
        <v>3.1877943794529921E-5</v>
      </c>
    </row>
    <row r="153" spans="1:577" x14ac:dyDescent="0.25">
      <c r="A153" s="681" t="s">
        <v>61</v>
      </c>
      <c r="B153" s="709">
        <f t="shared" ref="B153:F153" si="1022">AVERAGE(B148:B152)</f>
        <v>20.159999999999997</v>
      </c>
      <c r="C153" s="710">
        <f t="shared" si="1022"/>
        <v>55.4</v>
      </c>
      <c r="D153" s="710">
        <f t="shared" si="1022"/>
        <v>1009.8399999999999</v>
      </c>
      <c r="E153" s="672">
        <f t="shared" si="1022"/>
        <v>-3.135E-9</v>
      </c>
      <c r="F153" s="689">
        <f t="shared" si="1022"/>
        <v>60</v>
      </c>
      <c r="G153" s="685" t="s">
        <v>93</v>
      </c>
      <c r="H153" s="90" t="s">
        <v>93</v>
      </c>
      <c r="I153" s="599">
        <f t="shared" ref="I153" si="1023">AVERAGE(I148:I152)</f>
        <v>-3.1381349999999993E-9</v>
      </c>
      <c r="J153" s="619">
        <f t="shared" ref="J153:X153" si="1024">AVERAGE(J148:J152)</f>
        <v>0.99712256011292622</v>
      </c>
      <c r="K153" s="675">
        <f t="shared" si="1024"/>
        <v>-5.1647667769076863E-11</v>
      </c>
      <c r="L153" s="672">
        <f t="shared" si="1024"/>
        <v>-5.1623855801705357E-11</v>
      </c>
      <c r="M153" s="687" t="e">
        <f t="shared" si="1024"/>
        <v>#REF!</v>
      </c>
      <c r="N153" s="686">
        <f t="shared" si="1024"/>
        <v>4.6833161983307102E-3</v>
      </c>
      <c r="O153" s="687">
        <f t="shared" si="1024"/>
        <v>0.46833161983307103</v>
      </c>
      <c r="P153" s="2122">
        <f t="shared" si="1024"/>
        <v>5.6199794379968521E-3</v>
      </c>
      <c r="Q153" s="687">
        <f t="shared" si="1024"/>
        <v>5.6668125999801595E-3</v>
      </c>
      <c r="R153" s="687">
        <f t="shared" si="1024"/>
        <v>5.6668125999801595E-3</v>
      </c>
      <c r="S153" s="690">
        <f t="shared" si="1024"/>
        <v>5.8541452479133876E-3</v>
      </c>
      <c r="T153" s="691" t="e">
        <f t="shared" si="1024"/>
        <v>#DIV/0!</v>
      </c>
      <c r="U153" s="683" t="e">
        <f t="shared" si="1024"/>
        <v>#DIV/0!</v>
      </c>
      <c r="V153" s="684" t="e">
        <f t="shared" si="1024"/>
        <v>#DIV/0!</v>
      </c>
      <c r="W153" s="599" t="e">
        <f t="shared" si="1024"/>
        <v>#DIV/0!</v>
      </c>
      <c r="X153" s="685" t="e">
        <f t="shared" si="1024"/>
        <v>#DIV/0!</v>
      </c>
      <c r="Y153" s="685" t="s">
        <v>93</v>
      </c>
      <c r="Z153" s="90" t="s">
        <v>93</v>
      </c>
      <c r="AA153" s="599" t="e">
        <f t="shared" ref="AA153" si="1025">AVERAGE(AA148:AA152)</f>
        <v>#DIV/0!</v>
      </c>
      <c r="AB153" s="619" t="e">
        <f t="shared" ref="AB153:AP153" si="1026">AVERAGE(AB148:AB152)</f>
        <v>#DIV/0!</v>
      </c>
      <c r="AC153" s="675" t="e">
        <f t="shared" si="1026"/>
        <v>#VALUE!</v>
      </c>
      <c r="AD153" s="672" t="e">
        <f t="shared" si="1026"/>
        <v>#VALUE!</v>
      </c>
      <c r="AE153" s="687" t="e">
        <f t="shared" si="1026"/>
        <v>#REF!</v>
      </c>
      <c r="AF153" s="686" t="e">
        <f t="shared" si="1026"/>
        <v>#VALUE!</v>
      </c>
      <c r="AG153" s="687" t="e">
        <f t="shared" si="1026"/>
        <v>#VALUE!</v>
      </c>
      <c r="AH153" s="687" t="e">
        <f t="shared" si="1026"/>
        <v>#VALUE!</v>
      </c>
      <c r="AI153" s="687" t="e">
        <f t="shared" si="1026"/>
        <v>#VALUE!</v>
      </c>
      <c r="AJ153" s="687" t="e">
        <f t="shared" si="1026"/>
        <v>#VALUE!</v>
      </c>
      <c r="AK153" s="690" t="e">
        <f t="shared" si="1026"/>
        <v>#VALUE!</v>
      </c>
      <c r="AL153" s="691" t="e">
        <f t="shared" si="1026"/>
        <v>#DIV/0!</v>
      </c>
      <c r="AM153" s="683" t="e">
        <f t="shared" si="1026"/>
        <v>#DIV/0!</v>
      </c>
      <c r="AN153" s="684" t="e">
        <f t="shared" si="1026"/>
        <v>#DIV/0!</v>
      </c>
      <c r="AO153" s="599" t="e">
        <f t="shared" si="1026"/>
        <v>#DIV/0!</v>
      </c>
      <c r="AP153" s="685" t="e">
        <f t="shared" si="1026"/>
        <v>#DIV/0!</v>
      </c>
      <c r="AQ153" s="685" t="s">
        <v>93</v>
      </c>
      <c r="AR153" s="90" t="s">
        <v>93</v>
      </c>
      <c r="AS153" s="599" t="e">
        <f t="shared" ref="AS153" si="1027">AVERAGE(AS148:AS152)</f>
        <v>#DIV/0!</v>
      </c>
      <c r="AT153" s="619" t="e">
        <f t="shared" ref="AT153:BH153" si="1028">AVERAGE(AT148:AT152)</f>
        <v>#DIV/0!</v>
      </c>
      <c r="AU153" s="675" t="e">
        <f t="shared" si="1028"/>
        <v>#VALUE!</v>
      </c>
      <c r="AV153" s="672" t="e">
        <f t="shared" si="1028"/>
        <v>#VALUE!</v>
      </c>
      <c r="AW153" s="687" t="e">
        <f t="shared" si="1028"/>
        <v>#REF!</v>
      </c>
      <c r="AX153" s="686" t="e">
        <f t="shared" si="1028"/>
        <v>#VALUE!</v>
      </c>
      <c r="AY153" s="687" t="e">
        <f t="shared" si="1028"/>
        <v>#VALUE!</v>
      </c>
      <c r="AZ153" s="687" t="e">
        <f t="shared" si="1028"/>
        <v>#VALUE!</v>
      </c>
      <c r="BA153" s="687" t="e">
        <f t="shared" si="1028"/>
        <v>#VALUE!</v>
      </c>
      <c r="BB153" s="687" t="e">
        <f t="shared" si="1028"/>
        <v>#VALUE!</v>
      </c>
      <c r="BC153" s="690" t="e">
        <f t="shared" si="1028"/>
        <v>#VALUE!</v>
      </c>
      <c r="BD153" s="692">
        <f t="shared" si="1028"/>
        <v>20.339999999999996</v>
      </c>
      <c r="BE153" s="711">
        <f t="shared" si="1028"/>
        <v>52.6</v>
      </c>
      <c r="BF153" s="684">
        <f t="shared" si="1028"/>
        <v>1009.3</v>
      </c>
      <c r="BG153" s="599">
        <f t="shared" si="1028"/>
        <v>-4.9979999999999997E-10</v>
      </c>
      <c r="BH153" s="694">
        <f t="shared" si="1028"/>
        <v>60</v>
      </c>
      <c r="BI153" s="685" t="s">
        <v>93</v>
      </c>
      <c r="BJ153" s="90" t="s">
        <v>93</v>
      </c>
      <c r="BK153" s="599">
        <f t="shared" ref="BK153" si="1029">AVERAGE(BK148:BK152)</f>
        <v>-5.0129939999999993E-10</v>
      </c>
      <c r="BL153" s="619">
        <f t="shared" ref="BL153:BZ153" si="1030">AVERAGE(BL148:BL152)</f>
        <v>0.99826887563478406</v>
      </c>
      <c r="BM153" s="675">
        <f t="shared" si="1030"/>
        <v>-8.2599003734515411E-12</v>
      </c>
      <c r="BN153" s="672">
        <f t="shared" si="1030"/>
        <v>-8.2585551893431433E-12</v>
      </c>
      <c r="BO153" s="687" t="e">
        <f t="shared" si="1030"/>
        <v>#REF!</v>
      </c>
      <c r="BP153" s="686">
        <f t="shared" si="1030"/>
        <v>7.4921612677721018E-4</v>
      </c>
      <c r="BQ153" s="687">
        <f t="shared" si="1030"/>
        <v>7.4921612677721017E-2</v>
      </c>
      <c r="BR153" s="687">
        <f t="shared" si="1030"/>
        <v>8.9905935213265215E-4</v>
      </c>
      <c r="BS153" s="687">
        <f t="shared" si="1030"/>
        <v>9.0655151340042429E-4</v>
      </c>
      <c r="BT153" s="687">
        <f t="shared" si="1030"/>
        <v>9.0655151340042429E-4</v>
      </c>
      <c r="BU153" s="690">
        <f t="shared" si="1030"/>
        <v>9.3652015847151275E-4</v>
      </c>
      <c r="BV153" s="692">
        <f t="shared" si="1030"/>
        <v>20.3</v>
      </c>
      <c r="BW153" s="711">
        <f t="shared" si="1030"/>
        <v>51.2</v>
      </c>
      <c r="BX153" s="693">
        <f t="shared" si="1030"/>
        <v>1008.64</v>
      </c>
      <c r="BY153" s="599">
        <f t="shared" si="1030"/>
        <v>-2.7900000000000002E-11</v>
      </c>
      <c r="BZ153" s="694">
        <f t="shared" si="1030"/>
        <v>60</v>
      </c>
      <c r="CA153" s="685" t="s">
        <v>93</v>
      </c>
      <c r="CB153" s="90" t="s">
        <v>93</v>
      </c>
      <c r="CC153" s="599">
        <f t="shared" ref="CC153" si="1031">AVERAGE(CC148:CC152)</f>
        <v>-2.7983699999999997E-11</v>
      </c>
      <c r="CD153" s="619">
        <f t="shared" ref="CD153:CR153" si="1032">AVERAGE(CD148:CD152)</f>
        <v>0.99878684893764225</v>
      </c>
      <c r="CE153" s="675">
        <f t="shared" si="1032"/>
        <v>-4.613412471554792E-13</v>
      </c>
      <c r="CF153" s="672">
        <f t="shared" si="1032"/>
        <v>-4.5953975192033739E-13</v>
      </c>
      <c r="CG153" s="687" t="e">
        <f t="shared" si="1032"/>
        <v>#REF!</v>
      </c>
      <c r="CH153" s="686">
        <f t="shared" si="1032"/>
        <v>4.1689446294213005E-5</v>
      </c>
      <c r="CI153" s="687">
        <f t="shared" si="1032"/>
        <v>4.1689446294213006E-3</v>
      </c>
      <c r="CJ153" s="687">
        <f t="shared" si="1032"/>
        <v>5.0027335553055604E-5</v>
      </c>
      <c r="CK153" s="687">
        <f t="shared" si="1032"/>
        <v>5.0444230015997738E-5</v>
      </c>
      <c r="CL153" s="687">
        <f t="shared" si="1032"/>
        <v>5.0444230015997738E-5</v>
      </c>
      <c r="CM153" s="690">
        <f t="shared" si="1032"/>
        <v>5.2111807867766258E-5</v>
      </c>
      <c r="CN153" s="692">
        <f t="shared" si="1032"/>
        <v>20.260000000000002</v>
      </c>
      <c r="CO153" s="711">
        <f t="shared" si="1032"/>
        <v>51.8</v>
      </c>
      <c r="CP153" s="693">
        <f t="shared" si="1032"/>
        <v>1008.0800000000002</v>
      </c>
      <c r="CQ153" s="599">
        <f t="shared" si="1032"/>
        <v>-1.1603999999999998E-9</v>
      </c>
      <c r="CR153" s="694">
        <f t="shared" si="1032"/>
        <v>60</v>
      </c>
      <c r="CS153" s="685" t="s">
        <v>93</v>
      </c>
      <c r="CT153" s="90" t="s">
        <v>93</v>
      </c>
      <c r="CU153" s="599">
        <f t="shared" ref="CU153" si="1033">AVERAGE(CU148:CU152)</f>
        <v>-1.1638811999999999E-9</v>
      </c>
      <c r="CV153" s="619">
        <f t="shared" ref="CV153:DJ153" si="1034">AVERAGE(CV148:CV152)</f>
        <v>0.99920705876048044</v>
      </c>
      <c r="CW153" s="675">
        <f t="shared" si="1034"/>
        <v>-1.919527078269457E-11</v>
      </c>
      <c r="CX153" s="672">
        <f t="shared" si="1034"/>
        <v>-1.9183983095989144E-11</v>
      </c>
      <c r="CY153" s="687" t="e">
        <f t="shared" si="1034"/>
        <v>#REF!</v>
      </c>
      <c r="CZ153" s="686">
        <f t="shared" si="1034"/>
        <v>1.740370946468135E-3</v>
      </c>
      <c r="DA153" s="687">
        <f t="shared" si="1034"/>
        <v>0.17403709464681349</v>
      </c>
      <c r="DB153" s="687">
        <f t="shared" si="1034"/>
        <v>2.0884451357617616E-3</v>
      </c>
      <c r="DC153" s="687">
        <f t="shared" si="1034"/>
        <v>2.1058488452264431E-3</v>
      </c>
      <c r="DD153" s="687">
        <f t="shared" si="1034"/>
        <v>2.1058488452264431E-3</v>
      </c>
      <c r="DE153" s="690">
        <f t="shared" si="1034"/>
        <v>2.1754636830851686E-3</v>
      </c>
      <c r="DF153" s="682" t="e">
        <f t="shared" si="1034"/>
        <v>#DIV/0!</v>
      </c>
      <c r="DG153" s="683" t="e">
        <f t="shared" si="1034"/>
        <v>#DIV/0!</v>
      </c>
      <c r="DH153" s="684" t="e">
        <f t="shared" si="1034"/>
        <v>#DIV/0!</v>
      </c>
      <c r="DI153" s="599" t="e">
        <f t="shared" si="1034"/>
        <v>#DIV/0!</v>
      </c>
      <c r="DJ153" s="685" t="e">
        <f t="shared" si="1034"/>
        <v>#DIV/0!</v>
      </c>
      <c r="DK153" s="685" t="s">
        <v>93</v>
      </c>
      <c r="DL153" s="90" t="s">
        <v>93</v>
      </c>
      <c r="DM153" s="599">
        <f t="shared" ref="DM153" si="1035">AVERAGE(DM148:DM152)</f>
        <v>0</v>
      </c>
      <c r="DN153" s="619" t="e">
        <f t="shared" ref="DN153:EB153" si="1036">AVERAGE(DN148:DN152)</f>
        <v>#DIV/0!</v>
      </c>
      <c r="DO153" s="675" t="e">
        <f t="shared" si="1036"/>
        <v>#DIV/0!</v>
      </c>
      <c r="DP153" s="672" t="e">
        <f t="shared" si="1036"/>
        <v>#DIV/0!</v>
      </c>
      <c r="DQ153" s="687" t="e">
        <f t="shared" si="1036"/>
        <v>#REF!</v>
      </c>
      <c r="DR153" s="686" t="e">
        <f t="shared" si="1036"/>
        <v>#DIV/0!</v>
      </c>
      <c r="DS153" s="687" t="e">
        <f t="shared" si="1036"/>
        <v>#DIV/0!</v>
      </c>
      <c r="DT153" s="687" t="e">
        <f t="shared" si="1036"/>
        <v>#DIV/0!</v>
      </c>
      <c r="DU153" s="687" t="e">
        <f t="shared" si="1036"/>
        <v>#DIV/0!</v>
      </c>
      <c r="DV153" s="687" t="e">
        <f t="shared" si="1036"/>
        <v>#DIV/0!</v>
      </c>
      <c r="DW153" s="690" t="e">
        <f t="shared" si="1036"/>
        <v>#DIV/0!</v>
      </c>
      <c r="DX153" s="682" t="e">
        <f t="shared" si="1036"/>
        <v>#DIV/0!</v>
      </c>
      <c r="DY153" s="683" t="e">
        <f t="shared" si="1036"/>
        <v>#DIV/0!</v>
      </c>
      <c r="DZ153" s="684" t="e">
        <f t="shared" si="1036"/>
        <v>#DIV/0!</v>
      </c>
      <c r="EA153" s="653" t="e">
        <f t="shared" si="1036"/>
        <v>#DIV/0!</v>
      </c>
      <c r="EB153" s="685" t="e">
        <f t="shared" si="1036"/>
        <v>#DIV/0!</v>
      </c>
      <c r="EC153" s="685" t="s">
        <v>93</v>
      </c>
      <c r="ED153" s="90" t="s">
        <v>93</v>
      </c>
      <c r="EE153" s="599" t="e">
        <f t="shared" ref="EE153" si="1037">AVERAGE(EE148:EE152)</f>
        <v>#DIV/0!</v>
      </c>
      <c r="EF153" s="619" t="e">
        <f t="shared" ref="EF153:ET153" si="1038">AVERAGE(EF148:EF152)</f>
        <v>#DIV/0!</v>
      </c>
      <c r="EG153" s="675" t="e">
        <f t="shared" si="1038"/>
        <v>#VALUE!</v>
      </c>
      <c r="EH153" s="672" t="e">
        <f t="shared" si="1038"/>
        <v>#VALUE!</v>
      </c>
      <c r="EI153" s="687" t="e">
        <f t="shared" si="1038"/>
        <v>#REF!</v>
      </c>
      <c r="EJ153" s="686" t="e">
        <f t="shared" si="1038"/>
        <v>#VALUE!</v>
      </c>
      <c r="EK153" s="687" t="e">
        <f t="shared" si="1038"/>
        <v>#VALUE!</v>
      </c>
      <c r="EL153" s="687" t="e">
        <f t="shared" si="1038"/>
        <v>#VALUE!</v>
      </c>
      <c r="EM153" s="687" t="e">
        <f t="shared" si="1038"/>
        <v>#VALUE!</v>
      </c>
      <c r="EN153" s="687" t="e">
        <f t="shared" si="1038"/>
        <v>#VALUE!</v>
      </c>
      <c r="EO153" s="690" t="e">
        <f t="shared" si="1038"/>
        <v>#VALUE!</v>
      </c>
      <c r="EP153" s="692">
        <f t="shared" si="1038"/>
        <v>20.28</v>
      </c>
      <c r="EQ153" s="683">
        <f t="shared" si="1038"/>
        <v>52.6</v>
      </c>
      <c r="ER153" s="693">
        <f t="shared" si="1038"/>
        <v>1008.14</v>
      </c>
      <c r="ES153" s="599">
        <f t="shared" si="1038"/>
        <v>-9.9999999999999994E-12</v>
      </c>
      <c r="ET153" s="694">
        <f t="shared" si="1038"/>
        <v>60</v>
      </c>
      <c r="EU153" s="685" t="s">
        <v>93</v>
      </c>
      <c r="EV153" s="90" t="s">
        <v>93</v>
      </c>
      <c r="EW153" s="599">
        <f t="shared" ref="EW153" si="1039">AVERAGE(EW148:EW152)</f>
        <v>-1.0029999999999998E-11</v>
      </c>
      <c r="EX153" s="619">
        <f t="shared" ref="EX153:FL153" si="1040">AVERAGE(EX148:EX152)</f>
        <v>0.99921583173678885</v>
      </c>
      <c r="EY153" s="675">
        <f t="shared" si="1040"/>
        <v>-1.6542176445583488E-13</v>
      </c>
      <c r="EZ153" s="672">
        <f t="shared" si="1040"/>
        <v>-1.6650232826543461E-13</v>
      </c>
      <c r="FA153" s="687" t="e">
        <f t="shared" si="1040"/>
        <v>#REF!</v>
      </c>
      <c r="FB153" s="686">
        <f t="shared" si="1040"/>
        <v>1.5105091220240227E-5</v>
      </c>
      <c r="FC153" s="687">
        <f t="shared" si="1040"/>
        <v>1.510509122024023E-3</v>
      </c>
      <c r="FD153" s="687">
        <f t="shared" si="1040"/>
        <v>1.8126109464288276E-5</v>
      </c>
      <c r="FE153" s="687">
        <f t="shared" si="1040"/>
        <v>1.8277160376490674E-5</v>
      </c>
      <c r="FF153" s="687">
        <f t="shared" si="1040"/>
        <v>1.8277160376490674E-5</v>
      </c>
      <c r="FG153" s="690">
        <f t="shared" si="1040"/>
        <v>1.8881364025300288E-5</v>
      </c>
      <c r="FH153" s="682" t="e">
        <f t="shared" si="1040"/>
        <v>#DIV/0!</v>
      </c>
      <c r="FI153" s="683" t="e">
        <f t="shared" si="1040"/>
        <v>#DIV/0!</v>
      </c>
      <c r="FJ153" s="684" t="e">
        <f t="shared" si="1040"/>
        <v>#DIV/0!</v>
      </c>
      <c r="FK153" s="599" t="e">
        <f t="shared" si="1040"/>
        <v>#DIV/0!</v>
      </c>
      <c r="FL153" s="685" t="e">
        <f t="shared" si="1040"/>
        <v>#DIV/0!</v>
      </c>
      <c r="FM153" s="685" t="s">
        <v>93</v>
      </c>
      <c r="FN153" s="90" t="s">
        <v>93</v>
      </c>
      <c r="FO153" s="599" t="e">
        <f t="shared" ref="FO153" si="1041">AVERAGE(FO148:FO152)</f>
        <v>#DIV/0!</v>
      </c>
      <c r="FP153" s="619" t="e">
        <f t="shared" ref="FP153:GD153" si="1042">AVERAGE(FP148:FP152)</f>
        <v>#DIV/0!</v>
      </c>
      <c r="FQ153" s="675" t="e">
        <f t="shared" si="1042"/>
        <v>#VALUE!</v>
      </c>
      <c r="FR153" s="672" t="e">
        <f t="shared" si="1042"/>
        <v>#VALUE!</v>
      </c>
      <c r="FS153" s="687" t="e">
        <f t="shared" si="1042"/>
        <v>#REF!</v>
      </c>
      <c r="FT153" s="686" t="e">
        <f t="shared" si="1042"/>
        <v>#VALUE!</v>
      </c>
      <c r="FU153" s="687" t="e">
        <f t="shared" si="1042"/>
        <v>#VALUE!</v>
      </c>
      <c r="FV153" s="687" t="e">
        <f t="shared" si="1042"/>
        <v>#VALUE!</v>
      </c>
      <c r="FW153" s="687" t="e">
        <f t="shared" si="1042"/>
        <v>#VALUE!</v>
      </c>
      <c r="FX153" s="687" t="e">
        <f t="shared" si="1042"/>
        <v>#VALUE!</v>
      </c>
      <c r="FY153" s="690" t="e">
        <f t="shared" si="1042"/>
        <v>#VALUE!</v>
      </c>
      <c r="FZ153" s="682" t="e">
        <f t="shared" si="1042"/>
        <v>#DIV/0!</v>
      </c>
      <c r="GA153" s="683" t="e">
        <f t="shared" si="1042"/>
        <v>#DIV/0!</v>
      </c>
      <c r="GB153" s="684" t="e">
        <f t="shared" si="1042"/>
        <v>#DIV/0!</v>
      </c>
      <c r="GC153" s="599" t="e">
        <f t="shared" si="1042"/>
        <v>#DIV/0!</v>
      </c>
      <c r="GD153" s="685" t="e">
        <f t="shared" si="1042"/>
        <v>#DIV/0!</v>
      </c>
      <c r="GE153" s="685" t="s">
        <v>93</v>
      </c>
      <c r="GF153" s="90" t="s">
        <v>93</v>
      </c>
      <c r="GG153" s="599" t="e">
        <f t="shared" ref="GG153" si="1043">AVERAGE(GG148:GG152)</f>
        <v>#DIV/0!</v>
      </c>
      <c r="GH153" s="619" t="e">
        <f t="shared" ref="GH153:GV153" si="1044">AVERAGE(GH148:GH152)</f>
        <v>#DIV/0!</v>
      </c>
      <c r="GI153" s="675" t="e">
        <f t="shared" si="1044"/>
        <v>#VALUE!</v>
      </c>
      <c r="GJ153" s="672" t="e">
        <f t="shared" si="1044"/>
        <v>#VALUE!</v>
      </c>
      <c r="GK153" s="687" t="e">
        <f t="shared" si="1044"/>
        <v>#REF!</v>
      </c>
      <c r="GL153" s="686" t="e">
        <f t="shared" si="1044"/>
        <v>#VALUE!</v>
      </c>
      <c r="GM153" s="687" t="e">
        <f t="shared" si="1044"/>
        <v>#VALUE!</v>
      </c>
      <c r="GN153" s="687" t="e">
        <f t="shared" si="1044"/>
        <v>#VALUE!</v>
      </c>
      <c r="GO153" s="687" t="e">
        <f t="shared" si="1044"/>
        <v>#VALUE!</v>
      </c>
      <c r="GP153" s="687" t="e">
        <f t="shared" si="1044"/>
        <v>#VALUE!</v>
      </c>
      <c r="GQ153" s="690" t="e">
        <f t="shared" si="1044"/>
        <v>#VALUE!</v>
      </c>
      <c r="GR153" s="682" t="e">
        <f t="shared" si="1044"/>
        <v>#DIV/0!</v>
      </c>
      <c r="GS153" s="683" t="e">
        <f t="shared" si="1044"/>
        <v>#DIV/0!</v>
      </c>
      <c r="GT153" s="684" t="e">
        <f t="shared" si="1044"/>
        <v>#DIV/0!</v>
      </c>
      <c r="GU153" s="653" t="e">
        <f t="shared" si="1044"/>
        <v>#DIV/0!</v>
      </c>
      <c r="GV153" s="685" t="e">
        <f t="shared" si="1044"/>
        <v>#DIV/0!</v>
      </c>
      <c r="GW153" s="685" t="s">
        <v>93</v>
      </c>
      <c r="GX153" s="90" t="s">
        <v>93</v>
      </c>
      <c r="GY153" s="599" t="e">
        <f t="shared" ref="GY153" si="1045">AVERAGE(GY148:GY152)</f>
        <v>#DIV/0!</v>
      </c>
      <c r="GZ153" s="619" t="e">
        <f t="shared" ref="GZ153:HN153" si="1046">AVERAGE(GZ148:GZ152)</f>
        <v>#DIV/0!</v>
      </c>
      <c r="HA153" s="675" t="e">
        <f t="shared" si="1046"/>
        <v>#VALUE!</v>
      </c>
      <c r="HB153" s="672" t="e">
        <f t="shared" si="1046"/>
        <v>#VALUE!</v>
      </c>
      <c r="HC153" s="687" t="e">
        <f t="shared" si="1046"/>
        <v>#REF!</v>
      </c>
      <c r="HD153" s="686" t="e">
        <f t="shared" si="1046"/>
        <v>#VALUE!</v>
      </c>
      <c r="HE153" s="687" t="e">
        <f t="shared" si="1046"/>
        <v>#VALUE!</v>
      </c>
      <c r="HF153" s="687" t="e">
        <f t="shared" si="1046"/>
        <v>#VALUE!</v>
      </c>
      <c r="HG153" s="687" t="e">
        <f t="shared" si="1046"/>
        <v>#VALUE!</v>
      </c>
      <c r="HH153" s="687" t="e">
        <f t="shared" si="1046"/>
        <v>#VALUE!</v>
      </c>
      <c r="HI153" s="690" t="e">
        <f t="shared" si="1046"/>
        <v>#VALUE!</v>
      </c>
      <c r="HJ153" s="682" t="e">
        <f t="shared" si="1046"/>
        <v>#DIV/0!</v>
      </c>
      <c r="HK153" s="683" t="e">
        <f t="shared" si="1046"/>
        <v>#DIV/0!</v>
      </c>
      <c r="HL153" s="684" t="e">
        <f t="shared" si="1046"/>
        <v>#DIV/0!</v>
      </c>
      <c r="HM153" s="599" t="e">
        <f t="shared" si="1046"/>
        <v>#DIV/0!</v>
      </c>
      <c r="HN153" s="685" t="e">
        <f t="shared" si="1046"/>
        <v>#DIV/0!</v>
      </c>
      <c r="HO153" s="685" t="s">
        <v>93</v>
      </c>
      <c r="HP153" s="90" t="s">
        <v>93</v>
      </c>
      <c r="HQ153" s="599" t="e">
        <f t="shared" ref="HQ153" si="1047">AVERAGE(HQ148:HQ152)</f>
        <v>#DIV/0!</v>
      </c>
      <c r="HR153" s="619" t="e">
        <f t="shared" ref="HR153:IF153" si="1048">AVERAGE(HR148:HR152)</f>
        <v>#DIV/0!</v>
      </c>
      <c r="HS153" s="675" t="e">
        <f t="shared" si="1048"/>
        <v>#VALUE!</v>
      </c>
      <c r="HT153" s="672" t="e">
        <f t="shared" si="1048"/>
        <v>#VALUE!</v>
      </c>
      <c r="HU153" s="687" t="e">
        <f t="shared" si="1048"/>
        <v>#REF!</v>
      </c>
      <c r="HV153" s="686" t="e">
        <f t="shared" si="1048"/>
        <v>#VALUE!</v>
      </c>
      <c r="HW153" s="687" t="e">
        <f t="shared" si="1048"/>
        <v>#VALUE!</v>
      </c>
      <c r="HX153" s="687" t="e">
        <f t="shared" si="1048"/>
        <v>#VALUE!</v>
      </c>
      <c r="HY153" s="687" t="e">
        <f t="shared" si="1048"/>
        <v>#VALUE!</v>
      </c>
      <c r="HZ153" s="687" t="e">
        <f t="shared" si="1048"/>
        <v>#VALUE!</v>
      </c>
      <c r="IA153" s="690" t="e">
        <f t="shared" si="1048"/>
        <v>#VALUE!</v>
      </c>
      <c r="IB153" s="682" t="e">
        <f t="shared" si="1048"/>
        <v>#DIV/0!</v>
      </c>
      <c r="IC153" s="683" t="e">
        <f t="shared" si="1048"/>
        <v>#DIV/0!</v>
      </c>
      <c r="ID153" s="684" t="e">
        <f t="shared" si="1048"/>
        <v>#DIV/0!</v>
      </c>
      <c r="IE153" s="599" t="e">
        <f t="shared" si="1048"/>
        <v>#DIV/0!</v>
      </c>
      <c r="IF153" s="685" t="e">
        <f t="shared" si="1048"/>
        <v>#DIV/0!</v>
      </c>
      <c r="IG153" s="685" t="s">
        <v>93</v>
      </c>
      <c r="IH153" s="90" t="s">
        <v>93</v>
      </c>
      <c r="II153" s="599" t="e">
        <f t="shared" ref="II153" si="1049">AVERAGE(II148:II152)</f>
        <v>#DIV/0!</v>
      </c>
      <c r="IJ153" s="619" t="e">
        <f t="shared" ref="IJ153:IX153" si="1050">AVERAGE(IJ148:IJ152)</f>
        <v>#DIV/0!</v>
      </c>
      <c r="IK153" s="675" t="e">
        <f t="shared" si="1050"/>
        <v>#VALUE!</v>
      </c>
      <c r="IL153" s="672" t="e">
        <f t="shared" si="1050"/>
        <v>#VALUE!</v>
      </c>
      <c r="IM153" s="687" t="e">
        <f t="shared" si="1050"/>
        <v>#REF!</v>
      </c>
      <c r="IN153" s="686" t="e">
        <f t="shared" si="1050"/>
        <v>#VALUE!</v>
      </c>
      <c r="IO153" s="687" t="e">
        <f t="shared" si="1050"/>
        <v>#VALUE!</v>
      </c>
      <c r="IP153" s="687" t="e">
        <f t="shared" si="1050"/>
        <v>#VALUE!</v>
      </c>
      <c r="IQ153" s="687" t="e">
        <f t="shared" si="1050"/>
        <v>#VALUE!</v>
      </c>
      <c r="IR153" s="687" t="e">
        <f t="shared" si="1050"/>
        <v>#VALUE!</v>
      </c>
      <c r="IS153" s="690" t="e">
        <f t="shared" si="1050"/>
        <v>#VALUE!</v>
      </c>
      <c r="IT153" s="682" t="e">
        <f t="shared" si="1050"/>
        <v>#DIV/0!</v>
      </c>
      <c r="IU153" s="683" t="e">
        <f t="shared" si="1050"/>
        <v>#DIV/0!</v>
      </c>
      <c r="IV153" s="684" t="e">
        <f t="shared" si="1050"/>
        <v>#DIV/0!</v>
      </c>
      <c r="IW153" s="599" t="e">
        <f t="shared" si="1050"/>
        <v>#DIV/0!</v>
      </c>
      <c r="IX153" s="685" t="e">
        <f t="shared" si="1050"/>
        <v>#DIV/0!</v>
      </c>
      <c r="IY153" s="685" t="s">
        <v>93</v>
      </c>
      <c r="IZ153" s="90" t="s">
        <v>93</v>
      </c>
      <c r="JA153" s="599" t="e">
        <f t="shared" ref="JA153" si="1051">AVERAGE(JA148:JA152)</f>
        <v>#DIV/0!</v>
      </c>
      <c r="JB153" s="619" t="e">
        <f t="shared" ref="JB153:JP153" si="1052">AVERAGE(JB148:JB152)</f>
        <v>#DIV/0!</v>
      </c>
      <c r="JC153" s="675" t="e">
        <f t="shared" si="1052"/>
        <v>#VALUE!</v>
      </c>
      <c r="JD153" s="672" t="e">
        <f t="shared" si="1052"/>
        <v>#VALUE!</v>
      </c>
      <c r="JE153" s="687" t="e">
        <f t="shared" si="1052"/>
        <v>#REF!</v>
      </c>
      <c r="JF153" s="686" t="e">
        <f t="shared" si="1052"/>
        <v>#VALUE!</v>
      </c>
      <c r="JG153" s="687" t="e">
        <f t="shared" si="1052"/>
        <v>#VALUE!</v>
      </c>
      <c r="JH153" s="687" t="e">
        <f t="shared" si="1052"/>
        <v>#VALUE!</v>
      </c>
      <c r="JI153" s="687" t="e">
        <f t="shared" si="1052"/>
        <v>#VALUE!</v>
      </c>
      <c r="JJ153" s="687" t="e">
        <f t="shared" si="1052"/>
        <v>#VALUE!</v>
      </c>
      <c r="JK153" s="690" t="e">
        <f t="shared" si="1052"/>
        <v>#VALUE!</v>
      </c>
      <c r="JL153" s="682" t="e">
        <f t="shared" si="1052"/>
        <v>#DIV/0!</v>
      </c>
      <c r="JM153" s="683" t="e">
        <f t="shared" si="1052"/>
        <v>#DIV/0!</v>
      </c>
      <c r="JN153" s="684" t="e">
        <f t="shared" si="1052"/>
        <v>#DIV/0!</v>
      </c>
      <c r="JO153" s="599" t="e">
        <f t="shared" si="1052"/>
        <v>#DIV/0!</v>
      </c>
      <c r="JP153" s="685" t="e">
        <f t="shared" si="1052"/>
        <v>#DIV/0!</v>
      </c>
      <c r="JQ153" s="685" t="s">
        <v>93</v>
      </c>
      <c r="JR153" s="90" t="s">
        <v>93</v>
      </c>
      <c r="JS153" s="599" t="e">
        <f t="shared" ref="JS153" si="1053">AVERAGE(JS148:JS152)</f>
        <v>#DIV/0!</v>
      </c>
      <c r="JT153" s="619" t="e">
        <f t="shared" ref="JT153:KH153" si="1054">AVERAGE(JT148:JT152)</f>
        <v>#DIV/0!</v>
      </c>
      <c r="JU153" s="675" t="e">
        <f t="shared" si="1054"/>
        <v>#VALUE!</v>
      </c>
      <c r="JV153" s="672" t="e">
        <f t="shared" si="1054"/>
        <v>#VALUE!</v>
      </c>
      <c r="JW153" s="687" t="e">
        <f t="shared" si="1054"/>
        <v>#REF!</v>
      </c>
      <c r="JX153" s="686" t="e">
        <f t="shared" si="1054"/>
        <v>#VALUE!</v>
      </c>
      <c r="JY153" s="687" t="e">
        <f t="shared" si="1054"/>
        <v>#VALUE!</v>
      </c>
      <c r="JZ153" s="687" t="e">
        <f t="shared" si="1054"/>
        <v>#VALUE!</v>
      </c>
      <c r="KA153" s="687" t="e">
        <f t="shared" si="1054"/>
        <v>#VALUE!</v>
      </c>
      <c r="KB153" s="687" t="e">
        <f t="shared" si="1054"/>
        <v>#VALUE!</v>
      </c>
      <c r="KC153" s="690" t="e">
        <f t="shared" si="1054"/>
        <v>#VALUE!</v>
      </c>
      <c r="KD153" s="682" t="e">
        <f t="shared" si="1054"/>
        <v>#DIV/0!</v>
      </c>
      <c r="KE153" s="683" t="e">
        <f t="shared" si="1054"/>
        <v>#DIV/0!</v>
      </c>
      <c r="KF153" s="684" t="e">
        <f t="shared" si="1054"/>
        <v>#DIV/0!</v>
      </c>
      <c r="KG153" s="599" t="e">
        <f t="shared" si="1054"/>
        <v>#DIV/0!</v>
      </c>
      <c r="KH153" s="685" t="e">
        <f t="shared" si="1054"/>
        <v>#DIV/0!</v>
      </c>
      <c r="KI153" s="685" t="s">
        <v>93</v>
      </c>
      <c r="KJ153" s="90" t="s">
        <v>93</v>
      </c>
      <c r="KK153" s="599" t="e">
        <f t="shared" ref="KK153" si="1055">AVERAGE(KK148:KK152)</f>
        <v>#DIV/0!</v>
      </c>
      <c r="KL153" s="619" t="e">
        <f t="shared" ref="KL153:KZ153" si="1056">AVERAGE(KL148:KL152)</f>
        <v>#DIV/0!</v>
      </c>
      <c r="KM153" s="675" t="e">
        <f t="shared" si="1056"/>
        <v>#VALUE!</v>
      </c>
      <c r="KN153" s="672" t="e">
        <f t="shared" si="1056"/>
        <v>#VALUE!</v>
      </c>
      <c r="KO153" s="687" t="e">
        <f t="shared" si="1056"/>
        <v>#REF!</v>
      </c>
      <c r="KP153" s="686" t="e">
        <f t="shared" si="1056"/>
        <v>#VALUE!</v>
      </c>
      <c r="KQ153" s="687" t="e">
        <f t="shared" si="1056"/>
        <v>#VALUE!</v>
      </c>
      <c r="KR153" s="687" t="e">
        <f t="shared" si="1056"/>
        <v>#VALUE!</v>
      </c>
      <c r="KS153" s="687" t="e">
        <f t="shared" si="1056"/>
        <v>#VALUE!</v>
      </c>
      <c r="KT153" s="687" t="e">
        <f t="shared" si="1056"/>
        <v>#VALUE!</v>
      </c>
      <c r="KU153" s="690" t="e">
        <f t="shared" si="1056"/>
        <v>#VALUE!</v>
      </c>
      <c r="KV153" s="682" t="e">
        <f t="shared" si="1056"/>
        <v>#DIV/0!</v>
      </c>
      <c r="KW153" s="683" t="e">
        <f t="shared" si="1056"/>
        <v>#DIV/0!</v>
      </c>
      <c r="KX153" s="684" t="e">
        <f t="shared" si="1056"/>
        <v>#DIV/0!</v>
      </c>
      <c r="KY153" s="599" t="e">
        <f t="shared" si="1056"/>
        <v>#DIV/0!</v>
      </c>
      <c r="KZ153" s="685" t="e">
        <f t="shared" si="1056"/>
        <v>#DIV/0!</v>
      </c>
      <c r="LA153" s="685" t="s">
        <v>93</v>
      </c>
      <c r="LB153" s="90" t="s">
        <v>93</v>
      </c>
      <c r="LC153" s="599" t="e">
        <f t="shared" ref="LC153" si="1057">AVERAGE(LC148:LC152)</f>
        <v>#DIV/0!</v>
      </c>
      <c r="LD153" s="619" t="e">
        <f t="shared" ref="LD153:LR153" si="1058">AVERAGE(LD148:LD152)</f>
        <v>#DIV/0!</v>
      </c>
      <c r="LE153" s="675" t="e">
        <f t="shared" si="1058"/>
        <v>#VALUE!</v>
      </c>
      <c r="LF153" s="672" t="e">
        <f t="shared" si="1058"/>
        <v>#VALUE!</v>
      </c>
      <c r="LG153" s="687" t="e">
        <f t="shared" si="1058"/>
        <v>#REF!</v>
      </c>
      <c r="LH153" s="686" t="e">
        <f t="shared" si="1058"/>
        <v>#VALUE!</v>
      </c>
      <c r="LI153" s="687" t="e">
        <f t="shared" si="1058"/>
        <v>#VALUE!</v>
      </c>
      <c r="LJ153" s="687" t="e">
        <f t="shared" si="1058"/>
        <v>#VALUE!</v>
      </c>
      <c r="LK153" s="687" t="e">
        <f t="shared" si="1058"/>
        <v>#VALUE!</v>
      </c>
      <c r="LL153" s="687" t="e">
        <f t="shared" si="1058"/>
        <v>#VALUE!</v>
      </c>
      <c r="LM153" s="690" t="e">
        <f t="shared" si="1058"/>
        <v>#VALUE!</v>
      </c>
      <c r="LN153" s="682" t="e">
        <f t="shared" si="1058"/>
        <v>#DIV/0!</v>
      </c>
      <c r="LO153" s="683" t="e">
        <f t="shared" si="1058"/>
        <v>#DIV/0!</v>
      </c>
      <c r="LP153" s="684" t="e">
        <f t="shared" si="1058"/>
        <v>#DIV/0!</v>
      </c>
      <c r="LQ153" s="599" t="e">
        <f t="shared" si="1058"/>
        <v>#DIV/0!</v>
      </c>
      <c r="LR153" s="685" t="e">
        <f t="shared" si="1058"/>
        <v>#DIV/0!</v>
      </c>
      <c r="LS153" s="685" t="s">
        <v>93</v>
      </c>
      <c r="LT153" s="90" t="s">
        <v>93</v>
      </c>
      <c r="LU153" s="599" t="e">
        <f t="shared" ref="LU153" si="1059">AVERAGE(LU148:LU152)</f>
        <v>#DIV/0!</v>
      </c>
      <c r="LV153" s="619" t="e">
        <f t="shared" ref="LV153:MJ153" si="1060">AVERAGE(LV148:LV152)</f>
        <v>#DIV/0!</v>
      </c>
      <c r="LW153" s="675" t="e">
        <f t="shared" si="1060"/>
        <v>#VALUE!</v>
      </c>
      <c r="LX153" s="672" t="e">
        <f t="shared" si="1060"/>
        <v>#VALUE!</v>
      </c>
      <c r="LY153" s="687" t="e">
        <f t="shared" si="1060"/>
        <v>#REF!</v>
      </c>
      <c r="LZ153" s="686" t="e">
        <f t="shared" si="1060"/>
        <v>#VALUE!</v>
      </c>
      <c r="MA153" s="687" t="e">
        <f t="shared" si="1060"/>
        <v>#VALUE!</v>
      </c>
      <c r="MB153" s="687" t="e">
        <f t="shared" si="1060"/>
        <v>#VALUE!</v>
      </c>
      <c r="MC153" s="687" t="e">
        <f t="shared" si="1060"/>
        <v>#VALUE!</v>
      </c>
      <c r="MD153" s="687" t="e">
        <f t="shared" si="1060"/>
        <v>#VALUE!</v>
      </c>
      <c r="ME153" s="690" t="e">
        <f t="shared" si="1060"/>
        <v>#VALUE!</v>
      </c>
      <c r="MF153" s="682" t="e">
        <f t="shared" si="1060"/>
        <v>#DIV/0!</v>
      </c>
      <c r="MG153" s="683" t="e">
        <f t="shared" si="1060"/>
        <v>#DIV/0!</v>
      </c>
      <c r="MH153" s="684" t="e">
        <f t="shared" si="1060"/>
        <v>#DIV/0!</v>
      </c>
      <c r="MI153" s="599" t="e">
        <f t="shared" si="1060"/>
        <v>#DIV/0!</v>
      </c>
      <c r="MJ153" s="685" t="e">
        <f t="shared" si="1060"/>
        <v>#DIV/0!</v>
      </c>
      <c r="MK153" s="685" t="s">
        <v>93</v>
      </c>
      <c r="ML153" s="90" t="s">
        <v>93</v>
      </c>
      <c r="MM153" s="599" t="e">
        <f t="shared" ref="MM153" si="1061">AVERAGE(MM148:MM152)</f>
        <v>#DIV/0!</v>
      </c>
      <c r="MN153" s="619" t="e">
        <f t="shared" ref="MN153:MW153" si="1062">AVERAGE(MN148:MN152)</f>
        <v>#DIV/0!</v>
      </c>
      <c r="MO153" s="675" t="e">
        <f t="shared" si="1062"/>
        <v>#VALUE!</v>
      </c>
      <c r="MP153" s="672" t="e">
        <f t="shared" si="1062"/>
        <v>#VALUE!</v>
      </c>
      <c r="MQ153" s="687" t="e">
        <f t="shared" si="1062"/>
        <v>#REF!</v>
      </c>
      <c r="MR153" s="686" t="e">
        <f t="shared" si="1062"/>
        <v>#VALUE!</v>
      </c>
      <c r="MS153" s="687" t="e">
        <f t="shared" si="1062"/>
        <v>#VALUE!</v>
      </c>
      <c r="MT153" s="687" t="e">
        <f t="shared" si="1062"/>
        <v>#VALUE!</v>
      </c>
      <c r="MU153" s="687" t="e">
        <f t="shared" si="1062"/>
        <v>#VALUE!</v>
      </c>
      <c r="MV153" s="687" t="e">
        <f t="shared" si="1062"/>
        <v>#VALUE!</v>
      </c>
      <c r="MW153" s="690" t="e">
        <f t="shared" si="1062"/>
        <v>#VALUE!</v>
      </c>
      <c r="MX153" s="682">
        <v>19.64</v>
      </c>
      <c r="MY153" s="683">
        <v>53.4</v>
      </c>
      <c r="MZ153" s="711" t="e">
        <f>AVERAGE(MZ148:MZ152)</f>
        <v>#DIV/0!</v>
      </c>
      <c r="NA153" s="599" t="e">
        <f>AVERAGE(NA148:NA152)</f>
        <v>#DIV/0!</v>
      </c>
      <c r="NB153" s="694" t="e">
        <f>AVERAGE(NB148:NB152)</f>
        <v>#DIV/0!</v>
      </c>
      <c r="NC153" s="685" t="s">
        <v>93</v>
      </c>
      <c r="ND153" s="90" t="s">
        <v>93</v>
      </c>
      <c r="NE153" s="599" t="e">
        <f t="shared" ref="NE153" si="1063">AVERAGE(NE148:NE152)</f>
        <v>#DIV/0!</v>
      </c>
      <c r="NF153" s="619" t="e">
        <f t="shared" ref="NF153:NT153" si="1064">AVERAGE(NF148:NF152)</f>
        <v>#DIV/0!</v>
      </c>
      <c r="NG153" s="675" t="e">
        <f t="shared" si="1064"/>
        <v>#VALUE!</v>
      </c>
      <c r="NH153" s="672" t="e">
        <f t="shared" si="1064"/>
        <v>#VALUE!</v>
      </c>
      <c r="NI153" s="687" t="e">
        <f t="shared" si="1064"/>
        <v>#REF!</v>
      </c>
      <c r="NJ153" s="686" t="e">
        <f t="shared" si="1064"/>
        <v>#VALUE!</v>
      </c>
      <c r="NK153" s="687" t="e">
        <f t="shared" si="1064"/>
        <v>#VALUE!</v>
      </c>
      <c r="NL153" s="687" t="e">
        <f t="shared" si="1064"/>
        <v>#VALUE!</v>
      </c>
      <c r="NM153" s="687" t="e">
        <f t="shared" si="1064"/>
        <v>#VALUE!</v>
      </c>
      <c r="NN153" s="687" t="e">
        <f t="shared" si="1064"/>
        <v>#VALUE!</v>
      </c>
      <c r="NO153" s="690" t="e">
        <f t="shared" si="1064"/>
        <v>#VALUE!</v>
      </c>
      <c r="NP153" s="692">
        <f t="shared" si="1064"/>
        <v>20.28</v>
      </c>
      <c r="NQ153" s="711">
        <f t="shared" si="1064"/>
        <v>53</v>
      </c>
      <c r="NR153" s="693">
        <f t="shared" si="1064"/>
        <v>1008.18</v>
      </c>
      <c r="NS153" s="599">
        <f t="shared" si="1064"/>
        <v>-4.2800000000000003E-11</v>
      </c>
      <c r="NT153" s="685">
        <f t="shared" si="1064"/>
        <v>60</v>
      </c>
      <c r="NU153" s="685" t="s">
        <v>93</v>
      </c>
      <c r="NV153" s="90" t="s">
        <v>93</v>
      </c>
      <c r="NW153" s="599">
        <f t="shared" ref="NW153" si="1065">AVERAGE(NW148:NW152)</f>
        <v>-4.2928399999999995E-11</v>
      </c>
      <c r="NX153" s="619">
        <f t="shared" ref="NX153:OL153" si="1066">AVERAGE(NX148:NX152)</f>
        <v>0.99917617267814873</v>
      </c>
      <c r="NY153" s="675">
        <f t="shared" si="1066"/>
        <v>-7.0797072915799993E-13</v>
      </c>
      <c r="NZ153" s="672">
        <f t="shared" si="1066"/>
        <v>-7.0872289022995864E-13</v>
      </c>
      <c r="OA153" s="687" t="e">
        <f t="shared" si="1066"/>
        <v>#REF!</v>
      </c>
      <c r="OB153" s="686">
        <f t="shared" si="1066"/>
        <v>6.4295340601661831E-5</v>
      </c>
      <c r="OC153" s="687">
        <f t="shared" si="1066"/>
        <v>6.4295340601661834E-3</v>
      </c>
      <c r="OD153" s="687">
        <f t="shared" si="1066"/>
        <v>7.7154408721994211E-5</v>
      </c>
      <c r="OE153" s="687">
        <f t="shared" si="1066"/>
        <v>7.779736212801082E-5</v>
      </c>
      <c r="OF153" s="687">
        <f t="shared" si="1066"/>
        <v>7.779736212801082E-5</v>
      </c>
      <c r="OG153" s="690">
        <f t="shared" si="1066"/>
        <v>8.0369175752077309E-5</v>
      </c>
      <c r="OH153" s="682" t="e">
        <f t="shared" si="1066"/>
        <v>#DIV/0!</v>
      </c>
      <c r="OI153" s="683" t="e">
        <f t="shared" si="1066"/>
        <v>#DIV/0!</v>
      </c>
      <c r="OJ153" s="684" t="e">
        <f t="shared" si="1066"/>
        <v>#DIV/0!</v>
      </c>
      <c r="OK153" s="599" t="e">
        <f t="shared" si="1066"/>
        <v>#DIV/0!</v>
      </c>
      <c r="OL153" s="685" t="e">
        <f t="shared" si="1066"/>
        <v>#DIV/0!</v>
      </c>
      <c r="OM153" s="685" t="s">
        <v>93</v>
      </c>
      <c r="ON153" s="90" t="s">
        <v>93</v>
      </c>
      <c r="OO153" s="599" t="e">
        <f t="shared" ref="OO153" si="1067">AVERAGE(OO148:OO152)</f>
        <v>#DIV/0!</v>
      </c>
      <c r="OP153" s="619" t="e">
        <f t="shared" ref="OP153:PD153" si="1068">AVERAGE(OP148:OP152)</f>
        <v>#DIV/0!</v>
      </c>
      <c r="OQ153" s="675" t="e">
        <f t="shared" si="1068"/>
        <v>#VALUE!</v>
      </c>
      <c r="OR153" s="672" t="e">
        <f t="shared" si="1068"/>
        <v>#VALUE!</v>
      </c>
      <c r="OS153" s="687" t="e">
        <f t="shared" si="1068"/>
        <v>#REF!</v>
      </c>
      <c r="OT153" s="686" t="e">
        <f t="shared" si="1068"/>
        <v>#VALUE!</v>
      </c>
      <c r="OU153" s="687" t="e">
        <f t="shared" si="1068"/>
        <v>#VALUE!</v>
      </c>
      <c r="OV153" s="687" t="e">
        <f t="shared" si="1068"/>
        <v>#VALUE!</v>
      </c>
      <c r="OW153" s="687" t="e">
        <f t="shared" si="1068"/>
        <v>#VALUE!</v>
      </c>
      <c r="OX153" s="687" t="e">
        <f t="shared" si="1068"/>
        <v>#VALUE!</v>
      </c>
      <c r="OY153" s="690" t="e">
        <f t="shared" si="1068"/>
        <v>#VALUE!</v>
      </c>
      <c r="OZ153" s="692">
        <f t="shared" si="1068"/>
        <v>20.3</v>
      </c>
      <c r="PA153" s="711">
        <f t="shared" si="1068"/>
        <v>53</v>
      </c>
      <c r="PB153" s="693">
        <f t="shared" si="1068"/>
        <v>1008.22</v>
      </c>
      <c r="PC153" s="599">
        <f t="shared" si="1068"/>
        <v>-8.6900000000000005E-11</v>
      </c>
      <c r="PD153" s="694">
        <f t="shared" si="1068"/>
        <v>60</v>
      </c>
      <c r="PE153" s="685" t="s">
        <v>93</v>
      </c>
      <c r="PF153" s="90" t="s">
        <v>93</v>
      </c>
      <c r="PG153" s="599">
        <f t="shared" ref="PG153" si="1069">AVERAGE(PG148:PG152)</f>
        <v>-8.716069999999999E-11</v>
      </c>
      <c r="PH153" s="619">
        <f t="shared" ref="PH153:PV153" si="1070">AVERAGE(PH148:PH152)</f>
        <v>0.99920488163755183</v>
      </c>
      <c r="PI153" s="675">
        <f t="shared" si="1070"/>
        <v>-1.4374983049649888E-12</v>
      </c>
      <c r="PJ153" s="672">
        <f t="shared" si="1070"/>
        <v>-1.4358250948685483E-12</v>
      </c>
      <c r="PK153" s="687" t="e">
        <f t="shared" si="1070"/>
        <v>#REF!</v>
      </c>
      <c r="PL153" s="686">
        <f t="shared" si="1070"/>
        <v>1.3025805260647472E-4</v>
      </c>
      <c r="PM153" s="687">
        <f t="shared" si="1070"/>
        <v>1.3025805260647472E-2</v>
      </c>
      <c r="PN153" s="687">
        <f t="shared" si="1070"/>
        <v>1.5630966312776964E-4</v>
      </c>
      <c r="PO153" s="687">
        <f t="shared" si="1070"/>
        <v>1.5761224365383437E-4</v>
      </c>
      <c r="PP153" s="687">
        <f t="shared" si="1070"/>
        <v>1.5761224365383437E-4</v>
      </c>
      <c r="PQ153" s="690">
        <f t="shared" si="1070"/>
        <v>1.6282256575809339E-4</v>
      </c>
      <c r="PR153" s="682" t="e">
        <f t="shared" si="1070"/>
        <v>#DIV/0!</v>
      </c>
      <c r="PS153" s="683" t="e">
        <f t="shared" si="1070"/>
        <v>#DIV/0!</v>
      </c>
      <c r="PT153" s="684" t="e">
        <f t="shared" si="1070"/>
        <v>#DIV/0!</v>
      </c>
      <c r="PU153" s="599" t="e">
        <f t="shared" si="1070"/>
        <v>#DIV/0!</v>
      </c>
      <c r="PV153" s="685" t="e">
        <f t="shared" si="1070"/>
        <v>#DIV/0!</v>
      </c>
      <c r="PW153" s="685" t="s">
        <v>93</v>
      </c>
      <c r="PX153" s="90" t="s">
        <v>93</v>
      </c>
      <c r="PY153" s="599" t="e">
        <f t="shared" ref="PY153" si="1071">AVERAGE(PY148:PY152)</f>
        <v>#DIV/0!</v>
      </c>
      <c r="PZ153" s="619" t="e">
        <f t="shared" ref="PZ153:QN153" si="1072">AVERAGE(PZ148:PZ152)</f>
        <v>#DIV/0!</v>
      </c>
      <c r="QA153" s="675" t="e">
        <f t="shared" si="1072"/>
        <v>#VALUE!</v>
      </c>
      <c r="QB153" s="672" t="e">
        <f t="shared" si="1072"/>
        <v>#VALUE!</v>
      </c>
      <c r="QC153" s="687" t="e">
        <f t="shared" si="1072"/>
        <v>#REF!</v>
      </c>
      <c r="QD153" s="686" t="e">
        <f t="shared" si="1072"/>
        <v>#VALUE!</v>
      </c>
      <c r="QE153" s="687" t="e">
        <f t="shared" si="1072"/>
        <v>#VALUE!</v>
      </c>
      <c r="QF153" s="687" t="e">
        <f t="shared" si="1072"/>
        <v>#VALUE!</v>
      </c>
      <c r="QG153" s="687" t="e">
        <f t="shared" si="1072"/>
        <v>#VALUE!</v>
      </c>
      <c r="QH153" s="687" t="e">
        <f t="shared" si="1072"/>
        <v>#VALUE!</v>
      </c>
      <c r="QI153" s="690" t="e">
        <f t="shared" si="1072"/>
        <v>#VALUE!</v>
      </c>
      <c r="QJ153" s="682" t="e">
        <f t="shared" si="1072"/>
        <v>#DIV/0!</v>
      </c>
      <c r="QK153" s="683" t="e">
        <f t="shared" si="1072"/>
        <v>#DIV/0!</v>
      </c>
      <c r="QL153" s="684" t="e">
        <f t="shared" si="1072"/>
        <v>#DIV/0!</v>
      </c>
      <c r="QM153" s="599" t="e">
        <f t="shared" si="1072"/>
        <v>#DIV/0!</v>
      </c>
      <c r="QN153" s="685" t="e">
        <f t="shared" si="1072"/>
        <v>#DIV/0!</v>
      </c>
      <c r="QO153" s="685" t="s">
        <v>93</v>
      </c>
      <c r="QP153" s="90" t="s">
        <v>93</v>
      </c>
      <c r="QQ153" s="599" t="e">
        <f t="shared" ref="QQ153" si="1073">AVERAGE(QQ148:QQ152)</f>
        <v>#DIV/0!</v>
      </c>
      <c r="QR153" s="619" t="e">
        <f t="shared" ref="QR153:RF153" si="1074">AVERAGE(QR148:QR152)</f>
        <v>#DIV/0!</v>
      </c>
      <c r="QS153" s="675" t="e">
        <f t="shared" si="1074"/>
        <v>#VALUE!</v>
      </c>
      <c r="QT153" s="672" t="e">
        <f t="shared" si="1074"/>
        <v>#VALUE!</v>
      </c>
      <c r="QU153" s="687" t="e">
        <f t="shared" si="1074"/>
        <v>#REF!</v>
      </c>
      <c r="QV153" s="686" t="e">
        <f t="shared" si="1074"/>
        <v>#VALUE!</v>
      </c>
      <c r="QW153" s="687" t="e">
        <f t="shared" si="1074"/>
        <v>#VALUE!</v>
      </c>
      <c r="QX153" s="687" t="e">
        <f t="shared" si="1074"/>
        <v>#VALUE!</v>
      </c>
      <c r="QY153" s="687" t="e">
        <f t="shared" si="1074"/>
        <v>#VALUE!</v>
      </c>
      <c r="QZ153" s="687" t="e">
        <f t="shared" si="1074"/>
        <v>#VALUE!</v>
      </c>
      <c r="RA153" s="690" t="e">
        <f t="shared" si="1074"/>
        <v>#VALUE!</v>
      </c>
      <c r="RB153" s="682" t="e">
        <f t="shared" si="1074"/>
        <v>#DIV/0!</v>
      </c>
      <c r="RC153" s="683" t="e">
        <f t="shared" si="1074"/>
        <v>#DIV/0!</v>
      </c>
      <c r="RD153" s="693" t="e">
        <f t="shared" si="1074"/>
        <v>#DIV/0!</v>
      </c>
      <c r="RE153" s="599" t="e">
        <f t="shared" si="1074"/>
        <v>#DIV/0!</v>
      </c>
      <c r="RF153" s="694" t="e">
        <f t="shared" si="1074"/>
        <v>#DIV/0!</v>
      </c>
      <c r="RG153" s="685" t="s">
        <v>93</v>
      </c>
      <c r="RH153" s="90" t="s">
        <v>93</v>
      </c>
      <c r="RI153" s="599" t="e">
        <f t="shared" ref="RI153" si="1075">AVERAGE(RI148:RI152)</f>
        <v>#DIV/0!</v>
      </c>
      <c r="RJ153" s="619" t="e">
        <f t="shared" ref="RJ153:RX153" si="1076">AVERAGE(RJ148:RJ152)</f>
        <v>#DIV/0!</v>
      </c>
      <c r="RK153" s="675" t="e">
        <f t="shared" si="1076"/>
        <v>#VALUE!</v>
      </c>
      <c r="RL153" s="672" t="e">
        <f t="shared" si="1076"/>
        <v>#VALUE!</v>
      </c>
      <c r="RM153" s="687" t="e">
        <f t="shared" si="1076"/>
        <v>#REF!</v>
      </c>
      <c r="RN153" s="686" t="e">
        <f t="shared" si="1076"/>
        <v>#VALUE!</v>
      </c>
      <c r="RO153" s="687" t="e">
        <f t="shared" si="1076"/>
        <v>#VALUE!</v>
      </c>
      <c r="RP153" s="687" t="e">
        <f t="shared" si="1076"/>
        <v>#VALUE!</v>
      </c>
      <c r="RQ153" s="687" t="e">
        <f t="shared" si="1076"/>
        <v>#VALUE!</v>
      </c>
      <c r="RR153" s="687" t="e">
        <f t="shared" si="1076"/>
        <v>#VALUE!</v>
      </c>
      <c r="RS153" s="690" t="e">
        <f t="shared" si="1076"/>
        <v>#VALUE!</v>
      </c>
      <c r="RT153" s="692" t="e">
        <f t="shared" si="1076"/>
        <v>#DIV/0!</v>
      </c>
      <c r="RU153" s="711" t="e">
        <f t="shared" si="1076"/>
        <v>#DIV/0!</v>
      </c>
      <c r="RV153" s="710" t="e">
        <f t="shared" si="1076"/>
        <v>#DIV/0!</v>
      </c>
      <c r="RW153" s="672" t="e">
        <f t="shared" si="1076"/>
        <v>#DIV/0!</v>
      </c>
      <c r="RX153" s="694" t="e">
        <f t="shared" si="1076"/>
        <v>#DIV/0!</v>
      </c>
      <c r="RY153" s="685" t="s">
        <v>93</v>
      </c>
      <c r="RZ153" s="90" t="s">
        <v>93</v>
      </c>
      <c r="SA153" s="599" t="e">
        <f t="shared" ref="SA153" si="1077">AVERAGE(SA148:SA152)</f>
        <v>#DIV/0!</v>
      </c>
      <c r="SB153" s="619" t="e">
        <f t="shared" ref="SB153:SP153" si="1078">AVERAGE(SB148:SB152)</f>
        <v>#DIV/0!</v>
      </c>
      <c r="SC153" s="675" t="e">
        <f t="shared" si="1078"/>
        <v>#VALUE!</v>
      </c>
      <c r="SD153" s="672" t="e">
        <f t="shared" si="1078"/>
        <v>#VALUE!</v>
      </c>
      <c r="SE153" s="687" t="e">
        <f t="shared" si="1078"/>
        <v>#REF!</v>
      </c>
      <c r="SF153" s="686" t="e">
        <f t="shared" si="1078"/>
        <v>#VALUE!</v>
      </c>
      <c r="SG153" s="687" t="e">
        <f t="shared" si="1078"/>
        <v>#VALUE!</v>
      </c>
      <c r="SH153" s="687" t="e">
        <f t="shared" si="1078"/>
        <v>#VALUE!</v>
      </c>
      <c r="SI153" s="687" t="e">
        <f t="shared" si="1078"/>
        <v>#VALUE!</v>
      </c>
      <c r="SJ153" s="687" t="e">
        <f t="shared" si="1078"/>
        <v>#VALUE!</v>
      </c>
      <c r="SK153" s="690" t="e">
        <f t="shared" si="1078"/>
        <v>#VALUE!</v>
      </c>
      <c r="SL153" s="682">
        <f t="shared" si="1078"/>
        <v>20.259999999999998</v>
      </c>
      <c r="SM153" s="683">
        <f t="shared" si="1078"/>
        <v>53</v>
      </c>
      <c r="SN153" s="684">
        <f t="shared" si="1078"/>
        <v>1008.3399999999999</v>
      </c>
      <c r="SO153" s="599">
        <f t="shared" si="1078"/>
        <v>-1.2000000000000001E-11</v>
      </c>
      <c r="SP153" s="694">
        <f t="shared" si="1078"/>
        <v>60</v>
      </c>
      <c r="SQ153" s="685" t="s">
        <v>93</v>
      </c>
      <c r="SR153" s="90" t="s">
        <v>93</v>
      </c>
      <c r="SS153" s="599">
        <f t="shared" ref="SS153" si="1079">AVERAGE(SS148:SS152)</f>
        <v>-1.2035999999999999E-11</v>
      </c>
      <c r="ST153" s="619">
        <f t="shared" ref="ST153:TH153" si="1080">AVERAGE(ST148:ST152)</f>
        <v>0.99895046576720881</v>
      </c>
      <c r="SU153" s="675">
        <f t="shared" si="1080"/>
        <v>-1.9845277415735674E-13</v>
      </c>
      <c r="SV153" s="672">
        <f t="shared" si="1080"/>
        <v>-1.9652010138332446E-13</v>
      </c>
      <c r="SW153" s="687" t="e">
        <f t="shared" si="1080"/>
        <v>#REF!</v>
      </c>
      <c r="SX153" s="686">
        <f t="shared" si="1080"/>
        <v>1.7828303597495196E-5</v>
      </c>
      <c r="SY153" s="687">
        <f t="shared" si="1080"/>
        <v>1.7828303597495197E-3</v>
      </c>
      <c r="SZ153" s="687">
        <f t="shared" si="1080"/>
        <v>2.1393964316994234E-5</v>
      </c>
      <c r="TA153" s="687">
        <f t="shared" si="1080"/>
        <v>2.1572247352969185E-5</v>
      </c>
      <c r="TB153" s="687">
        <f t="shared" si="1080"/>
        <v>2.1572247352969185E-5</v>
      </c>
      <c r="TC153" s="690">
        <f t="shared" si="1080"/>
        <v>2.2285379496868996E-5</v>
      </c>
      <c r="TD153" s="682">
        <f t="shared" si="1080"/>
        <v>20.239999999999998</v>
      </c>
      <c r="TE153" s="683">
        <f t="shared" si="1080"/>
        <v>53.8</v>
      </c>
      <c r="TF153" s="693">
        <f t="shared" si="1080"/>
        <v>1009.04</v>
      </c>
      <c r="TG153" s="599">
        <f t="shared" si="1080"/>
        <v>-1.9730000000000001E-10</v>
      </c>
      <c r="TH153" s="685">
        <f t="shared" si="1080"/>
        <v>60</v>
      </c>
      <c r="TI153" s="685" t="s">
        <v>93</v>
      </c>
      <c r="TJ153" s="90" t="s">
        <v>93</v>
      </c>
      <c r="TK153" s="599">
        <f t="shared" ref="TK153" si="1081">AVERAGE(TK148:TK152)</f>
        <v>-1.9789189999999996E-10</v>
      </c>
      <c r="TL153" s="619">
        <f t="shared" ref="TL153:TZ153" si="1082">AVERAGE(TL148:TL152)</f>
        <v>0.99818812874072316</v>
      </c>
      <c r="TM153" s="675">
        <f t="shared" si="1082"/>
        <v>-3.2603944514826814E-12</v>
      </c>
      <c r="TN153" s="672">
        <f t="shared" si="1082"/>
        <v>-3.2600280082954759E-12</v>
      </c>
      <c r="TO153" s="687" t="e">
        <f t="shared" si="1082"/>
        <v>#REF!</v>
      </c>
      <c r="TP153" s="686">
        <f t="shared" si="1082"/>
        <v>2.9574974091256561E-4</v>
      </c>
      <c r="TQ153" s="687">
        <f t="shared" si="1082"/>
        <v>2.9574974091256562E-2</v>
      </c>
      <c r="TR153" s="687">
        <f t="shared" si="1082"/>
        <v>3.5489968909507873E-4</v>
      </c>
      <c r="TS153" s="687">
        <f t="shared" si="1082"/>
        <v>3.5785718650420439E-4</v>
      </c>
      <c r="TT153" s="687">
        <f t="shared" si="1082"/>
        <v>3.5785718650420439E-4</v>
      </c>
      <c r="TU153" s="690">
        <f t="shared" si="1082"/>
        <v>3.69687176140707E-4</v>
      </c>
      <c r="TV153" s="682" t="e">
        <f t="shared" si="1082"/>
        <v>#DIV/0!</v>
      </c>
      <c r="TW153" s="683" t="e">
        <f t="shared" si="1082"/>
        <v>#DIV/0!</v>
      </c>
      <c r="TX153" s="684" t="e">
        <f t="shared" si="1082"/>
        <v>#DIV/0!</v>
      </c>
      <c r="TY153" s="599" t="e">
        <f t="shared" si="1082"/>
        <v>#DIV/0!</v>
      </c>
      <c r="TZ153" s="685" t="e">
        <f t="shared" si="1082"/>
        <v>#DIV/0!</v>
      </c>
      <c r="UA153" s="685" t="s">
        <v>93</v>
      </c>
      <c r="UB153" s="90" t="s">
        <v>93</v>
      </c>
      <c r="UC153" s="599" t="e">
        <f t="shared" ref="UC153" si="1083">AVERAGE(UC148:UC152)</f>
        <v>#DIV/0!</v>
      </c>
      <c r="UD153" s="619" t="e">
        <f t="shared" ref="UD153:UR153" si="1084">AVERAGE(UD148:UD152)</f>
        <v>#DIV/0!</v>
      </c>
      <c r="UE153" s="675" t="e">
        <f t="shared" si="1084"/>
        <v>#VALUE!</v>
      </c>
      <c r="UF153" s="672" t="e">
        <f t="shared" si="1084"/>
        <v>#VALUE!</v>
      </c>
      <c r="UG153" s="687" t="e">
        <f t="shared" si="1084"/>
        <v>#REF!</v>
      </c>
      <c r="UH153" s="686" t="e">
        <f t="shared" si="1084"/>
        <v>#VALUE!</v>
      </c>
      <c r="UI153" s="687" t="e">
        <f t="shared" si="1084"/>
        <v>#VALUE!</v>
      </c>
      <c r="UJ153" s="687" t="e">
        <f t="shared" si="1084"/>
        <v>#VALUE!</v>
      </c>
      <c r="UK153" s="687" t="e">
        <f t="shared" si="1084"/>
        <v>#VALUE!</v>
      </c>
      <c r="UL153" s="687" t="e">
        <f t="shared" si="1084"/>
        <v>#VALUE!</v>
      </c>
      <c r="UM153" s="690" t="e">
        <f t="shared" si="1084"/>
        <v>#VALUE!</v>
      </c>
      <c r="UN153" s="692">
        <f t="shared" si="1084"/>
        <v>20.34</v>
      </c>
      <c r="UO153" s="711">
        <f t="shared" si="1084"/>
        <v>54.2</v>
      </c>
      <c r="UP153" s="693">
        <f t="shared" si="1084"/>
        <v>1008.6</v>
      </c>
      <c r="UQ153" s="599">
        <f t="shared" si="1084"/>
        <v>-1.6300000000000001E-11</v>
      </c>
      <c r="UR153" s="694">
        <f t="shared" si="1084"/>
        <v>60</v>
      </c>
      <c r="US153" s="685" t="s">
        <v>93</v>
      </c>
      <c r="UT153" s="90" t="s">
        <v>93</v>
      </c>
      <c r="UU153" s="599">
        <f t="shared" ref="UU153" si="1085">AVERAGE(UU148:UU152)</f>
        <v>-1.6348900000000002E-11</v>
      </c>
      <c r="UV153" s="619">
        <f t="shared" ref="UV153:VE153" si="1086">AVERAGE(UV148:UV152)</f>
        <v>0.99896342007899541</v>
      </c>
      <c r="UW153" s="675">
        <f t="shared" si="1086"/>
        <v>-2.6961299404656536E-13</v>
      </c>
      <c r="UX153" s="672">
        <f t="shared" si="1086"/>
        <v>-2.6945052096430058E-13</v>
      </c>
      <c r="UY153" s="687" t="e">
        <f t="shared" si="1086"/>
        <v>#REF!</v>
      </c>
      <c r="UZ153" s="686">
        <f t="shared" si="1086"/>
        <v>2.4444551261881349E-5</v>
      </c>
      <c r="VA153" s="687">
        <f t="shared" si="1086"/>
        <v>2.4444551261881354E-3</v>
      </c>
      <c r="VB153" s="687">
        <f t="shared" si="1086"/>
        <v>2.9333461514257615E-5</v>
      </c>
      <c r="VC153" s="687">
        <f t="shared" si="1086"/>
        <v>2.9577907026876429E-5</v>
      </c>
      <c r="VD153" s="687">
        <f t="shared" si="1086"/>
        <v>2.9577907026876429E-5</v>
      </c>
      <c r="VE153" s="690">
        <f t="shared" si="1086"/>
        <v>3.0555689077351685E-5</v>
      </c>
    </row>
    <row r="154" spans="1:577" x14ac:dyDescent="0.25">
      <c r="A154" s="681" t="s">
        <v>62</v>
      </c>
      <c r="B154" s="688">
        <f t="shared" ref="B154:F154" si="1087">STDEVA(B148:B152)</f>
        <v>0.2607680962081067</v>
      </c>
      <c r="C154" s="619">
        <f t="shared" si="1087"/>
        <v>3.2093613071762426</v>
      </c>
      <c r="D154" s="619">
        <f t="shared" si="1087"/>
        <v>0.21908902300205399</v>
      </c>
      <c r="E154" s="672">
        <f t="shared" si="1087"/>
        <v>1.4142135623730901E-12</v>
      </c>
      <c r="F154" s="619">
        <f t="shared" si="1087"/>
        <v>0</v>
      </c>
      <c r="G154" s="652" t="s">
        <v>93</v>
      </c>
      <c r="H154" s="40" t="s">
        <v>93</v>
      </c>
      <c r="I154" s="599">
        <f>STDEVA(I148:I152)</f>
        <v>1.4156277759354753E-12</v>
      </c>
      <c r="J154" s="652">
        <f t="shared" ref="J154:X154" si="1088">STDEVA(J148:J152)</f>
        <v>6.9525162227058784E-4</v>
      </c>
      <c r="K154" s="675">
        <f t="shared" si="1088"/>
        <v>5.1829556171582696E-14</v>
      </c>
      <c r="L154" s="672">
        <f t="shared" si="1088"/>
        <v>5.1829556171582696E-14</v>
      </c>
      <c r="M154" s="672" t="e">
        <f t="shared" si="1088"/>
        <v>#REF!</v>
      </c>
      <c r="N154" s="675">
        <f t="shared" si="1088"/>
        <v>4.7019773358856895E-6</v>
      </c>
      <c r="O154" s="672">
        <f t="shared" si="1088"/>
        <v>4.7019773358855768E-4</v>
      </c>
      <c r="P154" s="672">
        <f t="shared" si="1088"/>
        <v>5.6423728030630236E-6</v>
      </c>
      <c r="Q154" s="672">
        <f>STDEVA(Q148:Q152)</f>
        <v>5.6893925764215745E-6</v>
      </c>
      <c r="R154" s="672">
        <f t="shared" si="1088"/>
        <v>5.6893925764215745E-6</v>
      </c>
      <c r="S154" s="676">
        <f t="shared" si="1088"/>
        <v>5.8774716698572478E-6</v>
      </c>
      <c r="T154" s="691" t="e">
        <f t="shared" si="1088"/>
        <v>#DIV/0!</v>
      </c>
      <c r="U154" s="691" t="e">
        <f t="shared" si="1088"/>
        <v>#DIV/0!</v>
      </c>
      <c r="V154" s="695" t="e">
        <f t="shared" si="1088"/>
        <v>#DIV/0!</v>
      </c>
      <c r="W154" s="599" t="e">
        <f t="shared" si="1088"/>
        <v>#DIV/0!</v>
      </c>
      <c r="X154" s="652" t="e">
        <f t="shared" si="1088"/>
        <v>#DIV/0!</v>
      </c>
      <c r="Y154" s="652" t="s">
        <v>93</v>
      </c>
      <c r="Z154" s="40" t="s">
        <v>93</v>
      </c>
      <c r="AA154" s="599">
        <f>STDEVA(AA148:AA152)</f>
        <v>0</v>
      </c>
      <c r="AB154" s="652" t="e">
        <f t="shared" ref="AB154:AP154" si="1089">STDEVA(AB148:AB152)</f>
        <v>#DIV/0!</v>
      </c>
      <c r="AC154" s="675" t="e">
        <f t="shared" si="1089"/>
        <v>#VALUE!</v>
      </c>
      <c r="AD154" s="672" t="e">
        <f t="shared" si="1089"/>
        <v>#VALUE!</v>
      </c>
      <c r="AE154" s="672" t="e">
        <f t="shared" si="1089"/>
        <v>#REF!</v>
      </c>
      <c r="AF154" s="675" t="e">
        <f t="shared" si="1089"/>
        <v>#VALUE!</v>
      </c>
      <c r="AG154" s="672" t="e">
        <f t="shared" si="1089"/>
        <v>#VALUE!</v>
      </c>
      <c r="AH154" s="672" t="e">
        <f t="shared" si="1089"/>
        <v>#VALUE!</v>
      </c>
      <c r="AI154" s="672" t="e">
        <f>STDEVA(AI148:AI152)</f>
        <v>#VALUE!</v>
      </c>
      <c r="AJ154" s="672" t="e">
        <f t="shared" si="1089"/>
        <v>#VALUE!</v>
      </c>
      <c r="AK154" s="676" t="e">
        <f t="shared" si="1089"/>
        <v>#VALUE!</v>
      </c>
      <c r="AL154" s="691" t="e">
        <f t="shared" si="1089"/>
        <v>#DIV/0!</v>
      </c>
      <c r="AM154" s="691" t="e">
        <f t="shared" si="1089"/>
        <v>#DIV/0!</v>
      </c>
      <c r="AN154" s="695" t="e">
        <f t="shared" si="1089"/>
        <v>#DIV/0!</v>
      </c>
      <c r="AO154" s="599" t="e">
        <f t="shared" si="1089"/>
        <v>#DIV/0!</v>
      </c>
      <c r="AP154" s="652" t="e">
        <f t="shared" si="1089"/>
        <v>#DIV/0!</v>
      </c>
      <c r="AQ154" s="652" t="s">
        <v>93</v>
      </c>
      <c r="AR154" s="40" t="s">
        <v>93</v>
      </c>
      <c r="AS154" s="599">
        <f>STDEVA(AS148:AS152)</f>
        <v>0</v>
      </c>
      <c r="AT154" s="652" t="e">
        <f t="shared" ref="AT154:BH154" si="1090">STDEVA(AT148:AT152)</f>
        <v>#DIV/0!</v>
      </c>
      <c r="AU154" s="675" t="e">
        <f t="shared" si="1090"/>
        <v>#VALUE!</v>
      </c>
      <c r="AV154" s="672" t="e">
        <f t="shared" si="1090"/>
        <v>#VALUE!</v>
      </c>
      <c r="AW154" s="672" t="e">
        <f t="shared" si="1090"/>
        <v>#REF!</v>
      </c>
      <c r="AX154" s="675" t="e">
        <f t="shared" si="1090"/>
        <v>#VALUE!</v>
      </c>
      <c r="AY154" s="672" t="e">
        <f t="shared" si="1090"/>
        <v>#VALUE!</v>
      </c>
      <c r="AZ154" s="672" t="e">
        <f t="shared" si="1090"/>
        <v>#VALUE!</v>
      </c>
      <c r="BA154" s="672" t="e">
        <f>STDEVA(BA148:BA152)</f>
        <v>#VALUE!</v>
      </c>
      <c r="BB154" s="672" t="e">
        <f t="shared" si="1090"/>
        <v>#VALUE!</v>
      </c>
      <c r="BC154" s="676" t="e">
        <f t="shared" si="1090"/>
        <v>#VALUE!</v>
      </c>
      <c r="BD154" s="682">
        <f t="shared" si="1090"/>
        <v>0.40987803063838441</v>
      </c>
      <c r="BE154" s="691">
        <f t="shared" si="1090"/>
        <v>0.89442719099991586</v>
      </c>
      <c r="BF154" s="695">
        <f t="shared" si="1090"/>
        <v>0.42426406871192451</v>
      </c>
      <c r="BG154" s="599">
        <f t="shared" si="1090"/>
        <v>7.5828754440516268E-13</v>
      </c>
      <c r="BH154" s="694">
        <f t="shared" si="1090"/>
        <v>0</v>
      </c>
      <c r="BI154" s="652" t="s">
        <v>93</v>
      </c>
      <c r="BJ154" s="40" t="s">
        <v>93</v>
      </c>
      <c r="BK154" s="599">
        <f>STDEVA(BK148:BK152)</f>
        <v>7.6056240703836352E-13</v>
      </c>
      <c r="BL154" s="652">
        <f t="shared" ref="BL154:BZ154" si="1091">STDEVA(BL148:BL152)</f>
        <v>1.7966868596258276E-3</v>
      </c>
      <c r="BM154" s="675">
        <f t="shared" si="1091"/>
        <v>1.4857485800637568E-14</v>
      </c>
      <c r="BN154" s="672">
        <f t="shared" si="1091"/>
        <v>1.4857485800637568E-14</v>
      </c>
      <c r="BO154" s="672" t="e">
        <f t="shared" si="1091"/>
        <v>#REF!</v>
      </c>
      <c r="BP154" s="675">
        <f t="shared" si="1091"/>
        <v>1.3478711118338601E-6</v>
      </c>
      <c r="BQ154" s="672">
        <f t="shared" si="1091"/>
        <v>1.347871111833887E-4</v>
      </c>
      <c r="BR154" s="672">
        <f t="shared" si="1091"/>
        <v>1.6174453342006099E-6</v>
      </c>
      <c r="BS154" s="672">
        <f>STDEVA(BS148:BS152)</f>
        <v>1.6309240453189877E-6</v>
      </c>
      <c r="BT154" s="672">
        <f t="shared" si="1091"/>
        <v>1.6309240453189877E-6</v>
      </c>
      <c r="BU154" s="676">
        <f t="shared" si="1091"/>
        <v>1.6848388897923357E-6</v>
      </c>
      <c r="BV154" s="682">
        <f t="shared" si="1091"/>
        <v>0.37416573867739467</v>
      </c>
      <c r="BW154" s="691">
        <f t="shared" si="1091"/>
        <v>0.83666002653407556</v>
      </c>
      <c r="BX154" s="695">
        <f t="shared" si="1091"/>
        <v>0.87635609200827824</v>
      </c>
      <c r="BY154" s="599">
        <f t="shared" si="1091"/>
        <v>1.4747881203752628E-12</v>
      </c>
      <c r="BZ154" s="652">
        <f t="shared" si="1091"/>
        <v>0</v>
      </c>
      <c r="CA154" s="652" t="s">
        <v>93</v>
      </c>
      <c r="CB154" s="40" t="s">
        <v>93</v>
      </c>
      <c r="CC154" s="599">
        <f>STDEVA(CC148:CC152)</f>
        <v>1.4792124847363887E-12</v>
      </c>
      <c r="CD154" s="652">
        <f t="shared" ref="CD154:CR154" si="1092">STDEVA(CD148:CD152)</f>
        <v>2.1279732119775514E-3</v>
      </c>
      <c r="CE154" s="675">
        <f t="shared" si="1092"/>
        <v>2.4711966152064611E-14</v>
      </c>
      <c r="CF154" s="672">
        <f t="shared" si="1092"/>
        <v>2.4711966152064611E-14</v>
      </c>
      <c r="CG154" s="672" t="e">
        <f t="shared" si="1092"/>
        <v>#REF!</v>
      </c>
      <c r="CH154" s="675">
        <f t="shared" si="1092"/>
        <v>2.2418695693153026E-6</v>
      </c>
      <c r="CI154" s="672">
        <f t="shared" si="1092"/>
        <v>2.2418695693153032E-4</v>
      </c>
      <c r="CJ154" s="672">
        <f t="shared" si="1092"/>
        <v>2.6902434831783631E-6</v>
      </c>
      <c r="CK154" s="672">
        <f>STDEVA(CK148:CK152)</f>
        <v>2.7126621788715174E-6</v>
      </c>
      <c r="CL154" s="672">
        <f t="shared" si="1092"/>
        <v>2.7126621788715174E-6</v>
      </c>
      <c r="CM154" s="676">
        <f t="shared" si="1092"/>
        <v>2.8023369616441279E-6</v>
      </c>
      <c r="CN154" s="682">
        <f t="shared" si="1092"/>
        <v>0.33615472627943321</v>
      </c>
      <c r="CO154" s="691">
        <f t="shared" si="1092"/>
        <v>0.44721359549995793</v>
      </c>
      <c r="CP154" s="695">
        <f t="shared" si="1092"/>
        <v>1.4805404418657324</v>
      </c>
      <c r="CQ154" s="599">
        <f t="shared" si="1092"/>
        <v>8.9442719099992441E-13</v>
      </c>
      <c r="CR154" s="652">
        <f t="shared" si="1092"/>
        <v>0</v>
      </c>
      <c r="CS154" s="652" t="s">
        <v>93</v>
      </c>
      <c r="CT154" s="40" t="s">
        <v>93</v>
      </c>
      <c r="CU154" s="599">
        <f>STDEVA(CU148:CU152)</f>
        <v>8.9711047257285465E-13</v>
      </c>
      <c r="CV154" s="652">
        <f t="shared" ref="CV154:DJ154" si="1093">STDEVA(CV148:CV152)</f>
        <v>2.5955686266441688E-3</v>
      </c>
      <c r="CW154" s="675">
        <f t="shared" si="1093"/>
        <v>4.3144270786210302E-14</v>
      </c>
      <c r="CX154" s="672">
        <f t="shared" si="1093"/>
        <v>4.3144270786210302E-14</v>
      </c>
      <c r="CY154" s="672" t="e">
        <f t="shared" si="1093"/>
        <v>#REF!</v>
      </c>
      <c r="CZ154" s="675">
        <f t="shared" si="1093"/>
        <v>3.9140482457251209E-6</v>
      </c>
      <c r="DA154" s="672">
        <f t="shared" si="1093"/>
        <v>3.9140482457250656E-4</v>
      </c>
      <c r="DB154" s="672">
        <f t="shared" si="1093"/>
        <v>4.6968578948701297E-6</v>
      </c>
      <c r="DC154" s="672">
        <f>STDEVA(DC148:DC152)</f>
        <v>4.7359983773274235E-6</v>
      </c>
      <c r="DD154" s="672">
        <f t="shared" si="1093"/>
        <v>4.7359983773274235E-6</v>
      </c>
      <c r="DE154" s="676">
        <f t="shared" si="1093"/>
        <v>4.8925603071563086E-6</v>
      </c>
      <c r="DF154" s="682" t="e">
        <f t="shared" si="1093"/>
        <v>#DIV/0!</v>
      </c>
      <c r="DG154" s="691" t="e">
        <f t="shared" si="1093"/>
        <v>#DIV/0!</v>
      </c>
      <c r="DH154" s="695" t="e">
        <f t="shared" si="1093"/>
        <v>#DIV/0!</v>
      </c>
      <c r="DI154" s="599" t="e">
        <f t="shared" si="1093"/>
        <v>#DIV/0!</v>
      </c>
      <c r="DJ154" s="652" t="e">
        <f t="shared" si="1093"/>
        <v>#DIV/0!</v>
      </c>
      <c r="DK154" s="652" t="s">
        <v>93</v>
      </c>
      <c r="DL154" s="40" t="s">
        <v>93</v>
      </c>
      <c r="DM154" s="599">
        <f>STDEVA(DM148:DM152)</f>
        <v>0</v>
      </c>
      <c r="DN154" s="652" t="e">
        <f t="shared" ref="DN154:EB154" si="1094">STDEVA(DN148:DN152)</f>
        <v>#DIV/0!</v>
      </c>
      <c r="DO154" s="675" t="e">
        <f t="shared" si="1094"/>
        <v>#DIV/0!</v>
      </c>
      <c r="DP154" s="672" t="e">
        <f t="shared" si="1094"/>
        <v>#DIV/0!</v>
      </c>
      <c r="DQ154" s="672" t="e">
        <f t="shared" si="1094"/>
        <v>#REF!</v>
      </c>
      <c r="DR154" s="675" t="e">
        <f t="shared" si="1094"/>
        <v>#DIV/0!</v>
      </c>
      <c r="DS154" s="672" t="e">
        <f t="shared" si="1094"/>
        <v>#DIV/0!</v>
      </c>
      <c r="DT154" s="672" t="e">
        <f t="shared" si="1094"/>
        <v>#DIV/0!</v>
      </c>
      <c r="DU154" s="672" t="e">
        <f>STDEVA(DU148:DU152)</f>
        <v>#DIV/0!</v>
      </c>
      <c r="DV154" s="672" t="e">
        <f t="shared" si="1094"/>
        <v>#DIV/0!</v>
      </c>
      <c r="DW154" s="676" t="e">
        <f t="shared" si="1094"/>
        <v>#DIV/0!</v>
      </c>
      <c r="DX154" s="682" t="e">
        <f t="shared" si="1094"/>
        <v>#DIV/0!</v>
      </c>
      <c r="DY154" s="691" t="e">
        <f t="shared" si="1094"/>
        <v>#DIV/0!</v>
      </c>
      <c r="DZ154" s="695" t="e">
        <f t="shared" si="1094"/>
        <v>#DIV/0!</v>
      </c>
      <c r="EA154" s="653" t="e">
        <f t="shared" si="1094"/>
        <v>#DIV/0!</v>
      </c>
      <c r="EB154" s="652" t="e">
        <f t="shared" si="1094"/>
        <v>#DIV/0!</v>
      </c>
      <c r="EC154" s="652" t="s">
        <v>93</v>
      </c>
      <c r="ED154" s="40" t="s">
        <v>93</v>
      </c>
      <c r="EE154" s="599">
        <f>STDEVA(EE148:EE152)</f>
        <v>0</v>
      </c>
      <c r="EF154" s="652" t="e">
        <f t="shared" ref="EF154:ET154" si="1095">STDEVA(EF148:EF152)</f>
        <v>#DIV/0!</v>
      </c>
      <c r="EG154" s="675" t="e">
        <f t="shared" si="1095"/>
        <v>#VALUE!</v>
      </c>
      <c r="EH154" s="672" t="e">
        <f t="shared" si="1095"/>
        <v>#VALUE!</v>
      </c>
      <c r="EI154" s="672" t="e">
        <f t="shared" si="1095"/>
        <v>#REF!</v>
      </c>
      <c r="EJ154" s="675" t="e">
        <f t="shared" si="1095"/>
        <v>#VALUE!</v>
      </c>
      <c r="EK154" s="672" t="e">
        <f t="shared" si="1095"/>
        <v>#VALUE!</v>
      </c>
      <c r="EL154" s="672" t="e">
        <f t="shared" si="1095"/>
        <v>#VALUE!</v>
      </c>
      <c r="EM154" s="672" t="e">
        <f>STDEVA(EM148:EM152)</f>
        <v>#VALUE!</v>
      </c>
      <c r="EN154" s="672" t="e">
        <f t="shared" si="1095"/>
        <v>#VALUE!</v>
      </c>
      <c r="EO154" s="676" t="e">
        <f t="shared" si="1095"/>
        <v>#VALUE!</v>
      </c>
      <c r="EP154" s="682">
        <f t="shared" si="1095"/>
        <v>0.31144823004794941</v>
      </c>
      <c r="EQ154" s="691">
        <f t="shared" si="1095"/>
        <v>0.54772255750516607</v>
      </c>
      <c r="ER154" s="695">
        <f t="shared" si="1095"/>
        <v>1.561409619542528</v>
      </c>
      <c r="ES154" s="599">
        <f t="shared" si="1095"/>
        <v>4.9999999999999989E-13</v>
      </c>
      <c r="ET154" s="652">
        <f t="shared" si="1095"/>
        <v>0</v>
      </c>
      <c r="EU154" s="652" t="s">
        <v>93</v>
      </c>
      <c r="EV154" s="40" t="s">
        <v>93</v>
      </c>
      <c r="EW154" s="599">
        <f>STDEVA(EW148:EW152)</f>
        <v>5.0149999999999983E-13</v>
      </c>
      <c r="EX154" s="652">
        <f t="shared" ref="EX154:FL154" si="1096">STDEVA(EX148:EX152)</f>
        <v>2.5840776169248122E-3</v>
      </c>
      <c r="EY154" s="675">
        <f t="shared" si="1096"/>
        <v>8.2966064885520982E-15</v>
      </c>
      <c r="EZ154" s="672">
        <f t="shared" si="1096"/>
        <v>8.2966064885520982E-15</v>
      </c>
      <c r="FA154" s="672" t="e">
        <f t="shared" si="1096"/>
        <v>#REF!</v>
      </c>
      <c r="FB154" s="675">
        <f t="shared" si="1096"/>
        <v>7.5266814064144583E-7</v>
      </c>
      <c r="FC154" s="672">
        <f t="shared" si="1096"/>
        <v>7.5266814064144566E-5</v>
      </c>
      <c r="FD154" s="672">
        <f t="shared" si="1096"/>
        <v>9.032017687697351E-7</v>
      </c>
      <c r="FE154" s="672">
        <f>STDEVA(FE148:FE152)</f>
        <v>9.1072845017614896E-7</v>
      </c>
      <c r="FF154" s="672">
        <f t="shared" si="1096"/>
        <v>9.1072845017614896E-7</v>
      </c>
      <c r="FG154" s="676">
        <f t="shared" si="1096"/>
        <v>9.4083517580180686E-7</v>
      </c>
      <c r="FH154" s="682" t="e">
        <f t="shared" si="1096"/>
        <v>#DIV/0!</v>
      </c>
      <c r="FI154" s="691" t="e">
        <f t="shared" si="1096"/>
        <v>#DIV/0!</v>
      </c>
      <c r="FJ154" s="695" t="e">
        <f t="shared" si="1096"/>
        <v>#DIV/0!</v>
      </c>
      <c r="FK154" s="599" t="e">
        <f t="shared" si="1096"/>
        <v>#DIV/0!</v>
      </c>
      <c r="FL154" s="652" t="e">
        <f t="shared" si="1096"/>
        <v>#DIV/0!</v>
      </c>
      <c r="FM154" s="652" t="s">
        <v>93</v>
      </c>
      <c r="FN154" s="40" t="s">
        <v>93</v>
      </c>
      <c r="FO154" s="599">
        <f>STDEVA(FO148:FO152)</f>
        <v>0</v>
      </c>
      <c r="FP154" s="652" t="e">
        <f t="shared" ref="FP154:GD154" si="1097">STDEVA(FP148:FP152)</f>
        <v>#DIV/0!</v>
      </c>
      <c r="FQ154" s="675" t="e">
        <f t="shared" si="1097"/>
        <v>#VALUE!</v>
      </c>
      <c r="FR154" s="672" t="e">
        <f t="shared" si="1097"/>
        <v>#VALUE!</v>
      </c>
      <c r="FS154" s="672" t="e">
        <f t="shared" si="1097"/>
        <v>#REF!</v>
      </c>
      <c r="FT154" s="675" t="e">
        <f t="shared" si="1097"/>
        <v>#VALUE!</v>
      </c>
      <c r="FU154" s="672" t="e">
        <f t="shared" si="1097"/>
        <v>#VALUE!</v>
      </c>
      <c r="FV154" s="672" t="e">
        <f t="shared" si="1097"/>
        <v>#VALUE!</v>
      </c>
      <c r="FW154" s="672" t="e">
        <f>STDEVA(FW148:FW152)</f>
        <v>#VALUE!</v>
      </c>
      <c r="FX154" s="672" t="e">
        <f t="shared" si="1097"/>
        <v>#VALUE!</v>
      </c>
      <c r="FY154" s="676" t="e">
        <f t="shared" si="1097"/>
        <v>#VALUE!</v>
      </c>
      <c r="FZ154" s="682" t="e">
        <f t="shared" si="1097"/>
        <v>#DIV/0!</v>
      </c>
      <c r="GA154" s="691" t="e">
        <f t="shared" si="1097"/>
        <v>#DIV/0!</v>
      </c>
      <c r="GB154" s="695" t="e">
        <f t="shared" si="1097"/>
        <v>#DIV/0!</v>
      </c>
      <c r="GC154" s="599" t="e">
        <f t="shared" si="1097"/>
        <v>#DIV/0!</v>
      </c>
      <c r="GD154" s="652" t="e">
        <f t="shared" si="1097"/>
        <v>#DIV/0!</v>
      </c>
      <c r="GE154" s="652" t="s">
        <v>93</v>
      </c>
      <c r="GF154" s="40" t="s">
        <v>93</v>
      </c>
      <c r="GG154" s="599">
        <f>STDEVA(GG148:GG152)</f>
        <v>0</v>
      </c>
      <c r="GH154" s="652" t="e">
        <f t="shared" ref="GH154:GV154" si="1098">STDEVA(GH148:GH152)</f>
        <v>#DIV/0!</v>
      </c>
      <c r="GI154" s="675" t="e">
        <f t="shared" si="1098"/>
        <v>#VALUE!</v>
      </c>
      <c r="GJ154" s="672" t="e">
        <f t="shared" si="1098"/>
        <v>#VALUE!</v>
      </c>
      <c r="GK154" s="672" t="e">
        <f t="shared" si="1098"/>
        <v>#REF!</v>
      </c>
      <c r="GL154" s="675" t="e">
        <f t="shared" si="1098"/>
        <v>#VALUE!</v>
      </c>
      <c r="GM154" s="672" t="e">
        <f t="shared" si="1098"/>
        <v>#VALUE!</v>
      </c>
      <c r="GN154" s="672" t="e">
        <f t="shared" si="1098"/>
        <v>#VALUE!</v>
      </c>
      <c r="GO154" s="672" t="e">
        <f>STDEVA(GO148:GO152)</f>
        <v>#VALUE!</v>
      </c>
      <c r="GP154" s="672" t="e">
        <f t="shared" si="1098"/>
        <v>#VALUE!</v>
      </c>
      <c r="GQ154" s="676" t="e">
        <f t="shared" si="1098"/>
        <v>#VALUE!</v>
      </c>
      <c r="GR154" s="682" t="e">
        <f t="shared" si="1098"/>
        <v>#DIV/0!</v>
      </c>
      <c r="GS154" s="691" t="e">
        <f t="shared" si="1098"/>
        <v>#DIV/0!</v>
      </c>
      <c r="GT154" s="695" t="e">
        <f t="shared" si="1098"/>
        <v>#DIV/0!</v>
      </c>
      <c r="GU154" s="653" t="e">
        <f t="shared" si="1098"/>
        <v>#DIV/0!</v>
      </c>
      <c r="GV154" s="652" t="e">
        <f t="shared" si="1098"/>
        <v>#DIV/0!</v>
      </c>
      <c r="GW154" s="652" t="s">
        <v>93</v>
      </c>
      <c r="GX154" s="40" t="s">
        <v>93</v>
      </c>
      <c r="GY154" s="599">
        <f>STDEVA(GY148:GY152)</f>
        <v>0</v>
      </c>
      <c r="GZ154" s="652" t="e">
        <f t="shared" ref="GZ154:HN154" si="1099">STDEVA(GZ148:GZ152)</f>
        <v>#DIV/0!</v>
      </c>
      <c r="HA154" s="675" t="e">
        <f t="shared" si="1099"/>
        <v>#VALUE!</v>
      </c>
      <c r="HB154" s="672" t="e">
        <f t="shared" si="1099"/>
        <v>#VALUE!</v>
      </c>
      <c r="HC154" s="672" t="e">
        <f t="shared" si="1099"/>
        <v>#REF!</v>
      </c>
      <c r="HD154" s="675" t="e">
        <f t="shared" si="1099"/>
        <v>#VALUE!</v>
      </c>
      <c r="HE154" s="672" t="e">
        <f t="shared" si="1099"/>
        <v>#VALUE!</v>
      </c>
      <c r="HF154" s="672" t="e">
        <f t="shared" si="1099"/>
        <v>#VALUE!</v>
      </c>
      <c r="HG154" s="672" t="e">
        <f>STDEVA(HG148:HG152)</f>
        <v>#VALUE!</v>
      </c>
      <c r="HH154" s="672" t="e">
        <f t="shared" si="1099"/>
        <v>#VALUE!</v>
      </c>
      <c r="HI154" s="676" t="e">
        <f t="shared" si="1099"/>
        <v>#VALUE!</v>
      </c>
      <c r="HJ154" s="682" t="e">
        <f t="shared" si="1099"/>
        <v>#DIV/0!</v>
      </c>
      <c r="HK154" s="691" t="e">
        <f t="shared" si="1099"/>
        <v>#DIV/0!</v>
      </c>
      <c r="HL154" s="695" t="e">
        <f t="shared" si="1099"/>
        <v>#DIV/0!</v>
      </c>
      <c r="HM154" s="599" t="e">
        <f t="shared" si="1099"/>
        <v>#DIV/0!</v>
      </c>
      <c r="HN154" s="652" t="e">
        <f t="shared" si="1099"/>
        <v>#DIV/0!</v>
      </c>
      <c r="HO154" s="652" t="s">
        <v>93</v>
      </c>
      <c r="HP154" s="40" t="s">
        <v>93</v>
      </c>
      <c r="HQ154" s="599">
        <f>STDEVA(HQ148:HQ152)</f>
        <v>0</v>
      </c>
      <c r="HR154" s="652" t="e">
        <f t="shared" ref="HR154:IF154" si="1100">STDEVA(HR148:HR152)</f>
        <v>#DIV/0!</v>
      </c>
      <c r="HS154" s="675" t="e">
        <f t="shared" si="1100"/>
        <v>#VALUE!</v>
      </c>
      <c r="HT154" s="672" t="e">
        <f t="shared" si="1100"/>
        <v>#VALUE!</v>
      </c>
      <c r="HU154" s="672" t="e">
        <f t="shared" si="1100"/>
        <v>#REF!</v>
      </c>
      <c r="HV154" s="675" t="e">
        <f t="shared" si="1100"/>
        <v>#VALUE!</v>
      </c>
      <c r="HW154" s="672" t="e">
        <f t="shared" si="1100"/>
        <v>#VALUE!</v>
      </c>
      <c r="HX154" s="672" t="e">
        <f t="shared" si="1100"/>
        <v>#VALUE!</v>
      </c>
      <c r="HY154" s="672" t="e">
        <f>STDEVA(HY148:HY152)</f>
        <v>#VALUE!</v>
      </c>
      <c r="HZ154" s="672" t="e">
        <f t="shared" si="1100"/>
        <v>#VALUE!</v>
      </c>
      <c r="IA154" s="676" t="e">
        <f t="shared" si="1100"/>
        <v>#VALUE!</v>
      </c>
      <c r="IB154" s="682" t="e">
        <f t="shared" si="1100"/>
        <v>#DIV/0!</v>
      </c>
      <c r="IC154" s="691" t="e">
        <f t="shared" si="1100"/>
        <v>#DIV/0!</v>
      </c>
      <c r="ID154" s="695" t="e">
        <f t="shared" si="1100"/>
        <v>#DIV/0!</v>
      </c>
      <c r="IE154" s="599" t="e">
        <f t="shared" si="1100"/>
        <v>#DIV/0!</v>
      </c>
      <c r="IF154" s="652" t="e">
        <f t="shared" si="1100"/>
        <v>#DIV/0!</v>
      </c>
      <c r="IG154" s="652" t="s">
        <v>93</v>
      </c>
      <c r="IH154" s="40" t="s">
        <v>93</v>
      </c>
      <c r="II154" s="599">
        <f>STDEVA(II148:II152)</f>
        <v>0</v>
      </c>
      <c r="IJ154" s="652" t="e">
        <f t="shared" ref="IJ154:IX154" si="1101">STDEVA(IJ148:IJ152)</f>
        <v>#DIV/0!</v>
      </c>
      <c r="IK154" s="675" t="e">
        <f t="shared" si="1101"/>
        <v>#VALUE!</v>
      </c>
      <c r="IL154" s="672" t="e">
        <f t="shared" si="1101"/>
        <v>#VALUE!</v>
      </c>
      <c r="IM154" s="672" t="e">
        <f t="shared" si="1101"/>
        <v>#REF!</v>
      </c>
      <c r="IN154" s="675" t="e">
        <f t="shared" si="1101"/>
        <v>#VALUE!</v>
      </c>
      <c r="IO154" s="672" t="e">
        <f t="shared" si="1101"/>
        <v>#VALUE!</v>
      </c>
      <c r="IP154" s="672" t="e">
        <f t="shared" si="1101"/>
        <v>#VALUE!</v>
      </c>
      <c r="IQ154" s="672" t="e">
        <f>STDEVA(IQ148:IQ152)</f>
        <v>#VALUE!</v>
      </c>
      <c r="IR154" s="672" t="e">
        <f t="shared" si="1101"/>
        <v>#VALUE!</v>
      </c>
      <c r="IS154" s="676" t="e">
        <f t="shared" si="1101"/>
        <v>#VALUE!</v>
      </c>
      <c r="IT154" s="682" t="e">
        <f t="shared" si="1101"/>
        <v>#DIV/0!</v>
      </c>
      <c r="IU154" s="691" t="e">
        <f t="shared" si="1101"/>
        <v>#DIV/0!</v>
      </c>
      <c r="IV154" s="695" t="e">
        <f t="shared" si="1101"/>
        <v>#DIV/0!</v>
      </c>
      <c r="IW154" s="599" t="e">
        <f t="shared" si="1101"/>
        <v>#DIV/0!</v>
      </c>
      <c r="IX154" s="652" t="e">
        <f t="shared" si="1101"/>
        <v>#DIV/0!</v>
      </c>
      <c r="IY154" s="652" t="s">
        <v>93</v>
      </c>
      <c r="IZ154" s="40" t="s">
        <v>93</v>
      </c>
      <c r="JA154" s="599">
        <f>STDEVA(JA148:JA152)</f>
        <v>0</v>
      </c>
      <c r="JB154" s="652" t="e">
        <f t="shared" ref="JB154:JP154" si="1102">STDEVA(JB148:JB152)</f>
        <v>#DIV/0!</v>
      </c>
      <c r="JC154" s="675" t="e">
        <f t="shared" si="1102"/>
        <v>#VALUE!</v>
      </c>
      <c r="JD154" s="672" t="e">
        <f t="shared" si="1102"/>
        <v>#VALUE!</v>
      </c>
      <c r="JE154" s="672" t="e">
        <f t="shared" si="1102"/>
        <v>#REF!</v>
      </c>
      <c r="JF154" s="675" t="e">
        <f t="shared" si="1102"/>
        <v>#VALUE!</v>
      </c>
      <c r="JG154" s="672" t="e">
        <f t="shared" si="1102"/>
        <v>#VALUE!</v>
      </c>
      <c r="JH154" s="672" t="e">
        <f t="shared" si="1102"/>
        <v>#VALUE!</v>
      </c>
      <c r="JI154" s="672" t="e">
        <f>STDEVA(JI148:JI152)</f>
        <v>#VALUE!</v>
      </c>
      <c r="JJ154" s="672" t="e">
        <f t="shared" si="1102"/>
        <v>#VALUE!</v>
      </c>
      <c r="JK154" s="676" t="e">
        <f t="shared" si="1102"/>
        <v>#VALUE!</v>
      </c>
      <c r="JL154" s="682" t="e">
        <f t="shared" si="1102"/>
        <v>#DIV/0!</v>
      </c>
      <c r="JM154" s="691" t="e">
        <f t="shared" si="1102"/>
        <v>#DIV/0!</v>
      </c>
      <c r="JN154" s="695" t="e">
        <f t="shared" si="1102"/>
        <v>#DIV/0!</v>
      </c>
      <c r="JO154" s="599" t="e">
        <f t="shared" si="1102"/>
        <v>#DIV/0!</v>
      </c>
      <c r="JP154" s="652" t="e">
        <f t="shared" si="1102"/>
        <v>#DIV/0!</v>
      </c>
      <c r="JQ154" s="652" t="s">
        <v>93</v>
      </c>
      <c r="JR154" s="40" t="s">
        <v>93</v>
      </c>
      <c r="JS154" s="599">
        <f>STDEVA(JS148:JS152)</f>
        <v>0</v>
      </c>
      <c r="JT154" s="652" t="e">
        <f t="shared" ref="JT154:KH154" si="1103">STDEVA(JT148:JT152)</f>
        <v>#DIV/0!</v>
      </c>
      <c r="JU154" s="675" t="e">
        <f t="shared" si="1103"/>
        <v>#VALUE!</v>
      </c>
      <c r="JV154" s="672" t="e">
        <f t="shared" si="1103"/>
        <v>#VALUE!</v>
      </c>
      <c r="JW154" s="672" t="e">
        <f t="shared" si="1103"/>
        <v>#REF!</v>
      </c>
      <c r="JX154" s="675" t="e">
        <f t="shared" si="1103"/>
        <v>#VALUE!</v>
      </c>
      <c r="JY154" s="672" t="e">
        <f t="shared" si="1103"/>
        <v>#VALUE!</v>
      </c>
      <c r="JZ154" s="672" t="e">
        <f t="shared" si="1103"/>
        <v>#VALUE!</v>
      </c>
      <c r="KA154" s="672" t="e">
        <f>STDEVA(KA148:KA152)</f>
        <v>#VALUE!</v>
      </c>
      <c r="KB154" s="672" t="e">
        <f t="shared" si="1103"/>
        <v>#VALUE!</v>
      </c>
      <c r="KC154" s="676" t="e">
        <f t="shared" si="1103"/>
        <v>#VALUE!</v>
      </c>
      <c r="KD154" s="682" t="e">
        <f t="shared" si="1103"/>
        <v>#DIV/0!</v>
      </c>
      <c r="KE154" s="691" t="e">
        <f t="shared" si="1103"/>
        <v>#DIV/0!</v>
      </c>
      <c r="KF154" s="695" t="e">
        <f t="shared" si="1103"/>
        <v>#DIV/0!</v>
      </c>
      <c r="KG154" s="599" t="e">
        <f t="shared" si="1103"/>
        <v>#DIV/0!</v>
      </c>
      <c r="KH154" s="652" t="e">
        <f t="shared" si="1103"/>
        <v>#DIV/0!</v>
      </c>
      <c r="KI154" s="652" t="s">
        <v>93</v>
      </c>
      <c r="KJ154" s="40" t="s">
        <v>93</v>
      </c>
      <c r="KK154" s="599">
        <f>STDEVA(KK148:KK152)</f>
        <v>0</v>
      </c>
      <c r="KL154" s="652" t="e">
        <f t="shared" ref="KL154:KZ154" si="1104">STDEVA(KL148:KL152)</f>
        <v>#DIV/0!</v>
      </c>
      <c r="KM154" s="675" t="e">
        <f t="shared" si="1104"/>
        <v>#VALUE!</v>
      </c>
      <c r="KN154" s="672" t="e">
        <f t="shared" si="1104"/>
        <v>#VALUE!</v>
      </c>
      <c r="KO154" s="672" t="e">
        <f t="shared" si="1104"/>
        <v>#REF!</v>
      </c>
      <c r="KP154" s="675" t="e">
        <f t="shared" si="1104"/>
        <v>#VALUE!</v>
      </c>
      <c r="KQ154" s="672" t="e">
        <f t="shared" si="1104"/>
        <v>#VALUE!</v>
      </c>
      <c r="KR154" s="672" t="e">
        <f t="shared" si="1104"/>
        <v>#VALUE!</v>
      </c>
      <c r="KS154" s="672" t="e">
        <f>STDEVA(KS148:KS152)</f>
        <v>#VALUE!</v>
      </c>
      <c r="KT154" s="672" t="e">
        <f t="shared" si="1104"/>
        <v>#VALUE!</v>
      </c>
      <c r="KU154" s="676" t="e">
        <f t="shared" si="1104"/>
        <v>#VALUE!</v>
      </c>
      <c r="KV154" s="682" t="e">
        <f t="shared" si="1104"/>
        <v>#DIV/0!</v>
      </c>
      <c r="KW154" s="691" t="e">
        <f t="shared" si="1104"/>
        <v>#DIV/0!</v>
      </c>
      <c r="KX154" s="695" t="e">
        <f t="shared" si="1104"/>
        <v>#DIV/0!</v>
      </c>
      <c r="KY154" s="599" t="e">
        <f t="shared" si="1104"/>
        <v>#DIV/0!</v>
      </c>
      <c r="KZ154" s="652" t="e">
        <f t="shared" si="1104"/>
        <v>#DIV/0!</v>
      </c>
      <c r="LA154" s="652" t="s">
        <v>93</v>
      </c>
      <c r="LB154" s="40" t="s">
        <v>93</v>
      </c>
      <c r="LC154" s="599">
        <f>STDEVA(LC148:LC152)</f>
        <v>0</v>
      </c>
      <c r="LD154" s="652" t="e">
        <f t="shared" ref="LD154:LR154" si="1105">STDEVA(LD148:LD152)</f>
        <v>#DIV/0!</v>
      </c>
      <c r="LE154" s="675" t="e">
        <f t="shared" si="1105"/>
        <v>#VALUE!</v>
      </c>
      <c r="LF154" s="672" t="e">
        <f t="shared" si="1105"/>
        <v>#VALUE!</v>
      </c>
      <c r="LG154" s="672" t="e">
        <f t="shared" si="1105"/>
        <v>#REF!</v>
      </c>
      <c r="LH154" s="675" t="e">
        <f t="shared" si="1105"/>
        <v>#VALUE!</v>
      </c>
      <c r="LI154" s="672" t="e">
        <f t="shared" si="1105"/>
        <v>#VALUE!</v>
      </c>
      <c r="LJ154" s="672" t="e">
        <f t="shared" si="1105"/>
        <v>#VALUE!</v>
      </c>
      <c r="LK154" s="672" t="e">
        <f>STDEVA(LK148:LK152)</f>
        <v>#VALUE!</v>
      </c>
      <c r="LL154" s="672" t="e">
        <f t="shared" si="1105"/>
        <v>#VALUE!</v>
      </c>
      <c r="LM154" s="676" t="e">
        <f t="shared" si="1105"/>
        <v>#VALUE!</v>
      </c>
      <c r="LN154" s="682" t="e">
        <f t="shared" si="1105"/>
        <v>#DIV/0!</v>
      </c>
      <c r="LO154" s="691" t="e">
        <f t="shared" si="1105"/>
        <v>#DIV/0!</v>
      </c>
      <c r="LP154" s="695" t="e">
        <f t="shared" si="1105"/>
        <v>#DIV/0!</v>
      </c>
      <c r="LQ154" s="599" t="e">
        <f t="shared" si="1105"/>
        <v>#DIV/0!</v>
      </c>
      <c r="LR154" s="652" t="e">
        <f t="shared" si="1105"/>
        <v>#DIV/0!</v>
      </c>
      <c r="LS154" s="652" t="s">
        <v>93</v>
      </c>
      <c r="LT154" s="40" t="s">
        <v>93</v>
      </c>
      <c r="LU154" s="599">
        <f>STDEVA(LU148:LU152)</f>
        <v>0</v>
      </c>
      <c r="LV154" s="652" t="e">
        <f t="shared" ref="LV154:MJ154" si="1106">STDEVA(LV148:LV152)</f>
        <v>#DIV/0!</v>
      </c>
      <c r="LW154" s="675" t="e">
        <f t="shared" si="1106"/>
        <v>#VALUE!</v>
      </c>
      <c r="LX154" s="672" t="e">
        <f t="shared" si="1106"/>
        <v>#VALUE!</v>
      </c>
      <c r="LY154" s="672" t="e">
        <f t="shared" si="1106"/>
        <v>#REF!</v>
      </c>
      <c r="LZ154" s="675" t="e">
        <f t="shared" si="1106"/>
        <v>#VALUE!</v>
      </c>
      <c r="MA154" s="672" t="e">
        <f t="shared" si="1106"/>
        <v>#VALUE!</v>
      </c>
      <c r="MB154" s="672" t="e">
        <f t="shared" si="1106"/>
        <v>#VALUE!</v>
      </c>
      <c r="MC154" s="672" t="e">
        <f>STDEVA(MC148:MC152)</f>
        <v>#VALUE!</v>
      </c>
      <c r="MD154" s="672" t="e">
        <f t="shared" si="1106"/>
        <v>#VALUE!</v>
      </c>
      <c r="ME154" s="676" t="e">
        <f t="shared" si="1106"/>
        <v>#VALUE!</v>
      </c>
      <c r="MF154" s="682" t="e">
        <f t="shared" si="1106"/>
        <v>#DIV/0!</v>
      </c>
      <c r="MG154" s="691" t="e">
        <f t="shared" si="1106"/>
        <v>#DIV/0!</v>
      </c>
      <c r="MH154" s="695" t="e">
        <f t="shared" si="1106"/>
        <v>#DIV/0!</v>
      </c>
      <c r="MI154" s="599" t="e">
        <f t="shared" si="1106"/>
        <v>#DIV/0!</v>
      </c>
      <c r="MJ154" s="652" t="e">
        <f t="shared" si="1106"/>
        <v>#DIV/0!</v>
      </c>
      <c r="MK154" s="652" t="s">
        <v>93</v>
      </c>
      <c r="ML154" s="40" t="s">
        <v>93</v>
      </c>
      <c r="MM154" s="599">
        <f>STDEVA(MM148:MM152)</f>
        <v>0</v>
      </c>
      <c r="MN154" s="652" t="e">
        <f t="shared" ref="MN154:NB154" si="1107">STDEVA(MN148:MN152)</f>
        <v>#DIV/0!</v>
      </c>
      <c r="MO154" s="675" t="e">
        <f t="shared" si="1107"/>
        <v>#VALUE!</v>
      </c>
      <c r="MP154" s="672" t="e">
        <f t="shared" si="1107"/>
        <v>#VALUE!</v>
      </c>
      <c r="MQ154" s="672" t="e">
        <f t="shared" si="1107"/>
        <v>#REF!</v>
      </c>
      <c r="MR154" s="675" t="e">
        <f t="shared" si="1107"/>
        <v>#VALUE!</v>
      </c>
      <c r="MS154" s="672" t="e">
        <f t="shared" si="1107"/>
        <v>#VALUE!</v>
      </c>
      <c r="MT154" s="672" t="e">
        <f t="shared" si="1107"/>
        <v>#VALUE!</v>
      </c>
      <c r="MU154" s="672" t="e">
        <f>STDEVA(MU148:MU152)</f>
        <v>#VALUE!</v>
      </c>
      <c r="MV154" s="672" t="e">
        <f t="shared" si="1107"/>
        <v>#VALUE!</v>
      </c>
      <c r="MW154" s="676" t="e">
        <f t="shared" si="1107"/>
        <v>#VALUE!</v>
      </c>
      <c r="MX154" s="682" t="e">
        <f t="shared" si="1107"/>
        <v>#DIV/0!</v>
      </c>
      <c r="MY154" s="691" t="e">
        <f t="shared" si="1107"/>
        <v>#DIV/0!</v>
      </c>
      <c r="MZ154" s="695" t="e">
        <f t="shared" si="1107"/>
        <v>#DIV/0!</v>
      </c>
      <c r="NA154" s="599" t="e">
        <f t="shared" si="1107"/>
        <v>#DIV/0!</v>
      </c>
      <c r="NB154" s="652" t="e">
        <f t="shared" si="1107"/>
        <v>#DIV/0!</v>
      </c>
      <c r="NC154" s="652" t="s">
        <v>93</v>
      </c>
      <c r="ND154" s="40" t="s">
        <v>93</v>
      </c>
      <c r="NE154" s="599">
        <f>STDEVA(NE148:NE152)</f>
        <v>0</v>
      </c>
      <c r="NF154" s="652" t="e">
        <f t="shared" ref="NF154:NT154" si="1108">STDEVA(NF148:NF152)</f>
        <v>#DIV/0!</v>
      </c>
      <c r="NG154" s="675" t="e">
        <f t="shared" si="1108"/>
        <v>#VALUE!</v>
      </c>
      <c r="NH154" s="672" t="e">
        <f t="shared" si="1108"/>
        <v>#VALUE!</v>
      </c>
      <c r="NI154" s="672" t="e">
        <f t="shared" si="1108"/>
        <v>#REF!</v>
      </c>
      <c r="NJ154" s="675" t="e">
        <f t="shared" si="1108"/>
        <v>#VALUE!</v>
      </c>
      <c r="NK154" s="672" t="e">
        <f t="shared" si="1108"/>
        <v>#VALUE!</v>
      </c>
      <c r="NL154" s="672" t="e">
        <f t="shared" si="1108"/>
        <v>#VALUE!</v>
      </c>
      <c r="NM154" s="672" t="e">
        <f>STDEVA(NM148:NM152)</f>
        <v>#VALUE!</v>
      </c>
      <c r="NN154" s="672" t="e">
        <f t="shared" si="1108"/>
        <v>#VALUE!</v>
      </c>
      <c r="NO154" s="676" t="e">
        <f t="shared" si="1108"/>
        <v>#VALUE!</v>
      </c>
      <c r="NP154" s="682">
        <f t="shared" si="1108"/>
        <v>0.27748873851023259</v>
      </c>
      <c r="NQ154" s="691">
        <f t="shared" si="1108"/>
        <v>0.70710678118654757</v>
      </c>
      <c r="NR154" s="695">
        <f t="shared" si="1108"/>
        <v>1.6161683080669478</v>
      </c>
      <c r="NS154" s="599">
        <f t="shared" si="1108"/>
        <v>9.0829510622924938E-13</v>
      </c>
      <c r="NT154" s="652">
        <f t="shared" si="1108"/>
        <v>0</v>
      </c>
      <c r="NU154" s="652" t="s">
        <v>93</v>
      </c>
      <c r="NV154" s="40" t="s">
        <v>93</v>
      </c>
      <c r="NW154" s="599">
        <f>STDEVA(NW148:NW152)</f>
        <v>9.1101999154793705E-13</v>
      </c>
      <c r="NX154" s="652">
        <f t="shared" ref="NX154:OL154" si="1109">STDEVA(NX148:NX152)</f>
        <v>2.4976556091394183E-3</v>
      </c>
      <c r="NY154" s="675">
        <f t="shared" si="1109"/>
        <v>1.4924593947161772E-14</v>
      </c>
      <c r="NZ154" s="672">
        <f t="shared" si="1109"/>
        <v>1.4924593947161772E-14</v>
      </c>
      <c r="OA154" s="672" t="e">
        <f t="shared" si="1109"/>
        <v>#REF!</v>
      </c>
      <c r="OB154" s="675">
        <f t="shared" si="1109"/>
        <v>1.3539591628865137E-6</v>
      </c>
      <c r="OC154" s="672">
        <f t="shared" si="1109"/>
        <v>1.3539591628865152E-4</v>
      </c>
      <c r="OD154" s="672">
        <f t="shared" si="1109"/>
        <v>1.6247509954638142E-6</v>
      </c>
      <c r="OE154" s="672">
        <f>STDEVA(OE148:OE152)</f>
        <v>1.638290587092681E-6</v>
      </c>
      <c r="OF154" s="672">
        <f t="shared" si="1109"/>
        <v>1.638290587092681E-6</v>
      </c>
      <c r="OG154" s="676">
        <f t="shared" si="1109"/>
        <v>1.6924489536081422E-6</v>
      </c>
      <c r="OH154" s="682" t="e">
        <f t="shared" si="1109"/>
        <v>#DIV/0!</v>
      </c>
      <c r="OI154" s="691" t="e">
        <f t="shared" si="1109"/>
        <v>#DIV/0!</v>
      </c>
      <c r="OJ154" s="695" t="e">
        <f t="shared" si="1109"/>
        <v>#DIV/0!</v>
      </c>
      <c r="OK154" s="599" t="e">
        <f t="shared" si="1109"/>
        <v>#DIV/0!</v>
      </c>
      <c r="OL154" s="652" t="e">
        <f t="shared" si="1109"/>
        <v>#DIV/0!</v>
      </c>
      <c r="OM154" s="652" t="s">
        <v>93</v>
      </c>
      <c r="ON154" s="40" t="s">
        <v>93</v>
      </c>
      <c r="OO154" s="599">
        <f>STDEVA(OO148:OO152)</f>
        <v>0</v>
      </c>
      <c r="OP154" s="652" t="e">
        <f t="shared" ref="OP154:PD154" si="1110">STDEVA(OP148:OP152)</f>
        <v>#DIV/0!</v>
      </c>
      <c r="OQ154" s="675" t="e">
        <f t="shared" si="1110"/>
        <v>#VALUE!</v>
      </c>
      <c r="OR154" s="672" t="e">
        <f t="shared" si="1110"/>
        <v>#VALUE!</v>
      </c>
      <c r="OS154" s="672" t="e">
        <f t="shared" si="1110"/>
        <v>#REF!</v>
      </c>
      <c r="OT154" s="675" t="e">
        <f t="shared" si="1110"/>
        <v>#VALUE!</v>
      </c>
      <c r="OU154" s="672" t="e">
        <f t="shared" si="1110"/>
        <v>#VALUE!</v>
      </c>
      <c r="OV154" s="672" t="e">
        <f t="shared" si="1110"/>
        <v>#VALUE!</v>
      </c>
      <c r="OW154" s="672" t="e">
        <f>STDEVA(OW148:OW152)</f>
        <v>#VALUE!</v>
      </c>
      <c r="OX154" s="672" t="e">
        <f t="shared" si="1110"/>
        <v>#VALUE!</v>
      </c>
      <c r="OY154" s="676" t="e">
        <f t="shared" si="1110"/>
        <v>#VALUE!</v>
      </c>
      <c r="OZ154" s="682">
        <f t="shared" si="1110"/>
        <v>0.27386127875258304</v>
      </c>
      <c r="PA154" s="691">
        <f t="shared" si="1110"/>
        <v>0.70710678118654757</v>
      </c>
      <c r="PB154" s="695">
        <f t="shared" si="1110"/>
        <v>1.67092788593644</v>
      </c>
      <c r="PC154" s="599">
        <f t="shared" si="1110"/>
        <v>1.4317821063276364E-12</v>
      </c>
      <c r="PD154" s="652">
        <f t="shared" si="1110"/>
        <v>0</v>
      </c>
      <c r="PE154" s="652" t="s">
        <v>93</v>
      </c>
      <c r="PF154" s="40" t="s">
        <v>93</v>
      </c>
      <c r="PG154" s="599">
        <f>STDEVA(PG148:PG152)</f>
        <v>1.4360774526466191E-12</v>
      </c>
      <c r="PH154" s="652">
        <f t="shared" ref="PH154:PV154" si="1111">STDEVA(PH148:PH152)</f>
        <v>2.5866280245672611E-3</v>
      </c>
      <c r="PI154" s="675">
        <f t="shared" si="1111"/>
        <v>2.4327157790534691E-14</v>
      </c>
      <c r="PJ154" s="672">
        <f t="shared" si="1111"/>
        <v>2.4327157790534691E-14</v>
      </c>
      <c r="PK154" s="672" t="e">
        <f t="shared" si="1111"/>
        <v>#REF!</v>
      </c>
      <c r="PL154" s="675">
        <f t="shared" si="1111"/>
        <v>2.2069597547573086E-6</v>
      </c>
      <c r="PM154" s="672">
        <f t="shared" si="1111"/>
        <v>2.206959754757306E-4</v>
      </c>
      <c r="PN154" s="672">
        <f t="shared" si="1111"/>
        <v>2.6483517057087671E-6</v>
      </c>
      <c r="PO154" s="672">
        <f>STDEVA(PO148:PO152)</f>
        <v>2.6704213032563496E-6</v>
      </c>
      <c r="PP154" s="672">
        <f t="shared" si="1111"/>
        <v>2.6704213032563496E-6</v>
      </c>
      <c r="PQ154" s="676">
        <f t="shared" si="1111"/>
        <v>2.7586996934466375E-6</v>
      </c>
      <c r="PR154" s="682" t="e">
        <f t="shared" si="1111"/>
        <v>#DIV/0!</v>
      </c>
      <c r="PS154" s="691" t="e">
        <f t="shared" si="1111"/>
        <v>#DIV/0!</v>
      </c>
      <c r="PT154" s="695" t="e">
        <f t="shared" si="1111"/>
        <v>#DIV/0!</v>
      </c>
      <c r="PU154" s="599" t="e">
        <f t="shared" si="1111"/>
        <v>#DIV/0!</v>
      </c>
      <c r="PV154" s="652" t="e">
        <f t="shared" si="1111"/>
        <v>#DIV/0!</v>
      </c>
      <c r="PW154" s="652" t="s">
        <v>93</v>
      </c>
      <c r="PX154" s="40" t="s">
        <v>93</v>
      </c>
      <c r="PY154" s="599">
        <f>STDEVA(PY148:PY152)</f>
        <v>0</v>
      </c>
      <c r="PZ154" s="652" t="e">
        <f t="shared" ref="PZ154:QN154" si="1112">STDEVA(PZ148:PZ152)</f>
        <v>#DIV/0!</v>
      </c>
      <c r="QA154" s="675" t="e">
        <f t="shared" si="1112"/>
        <v>#VALUE!</v>
      </c>
      <c r="QB154" s="672" t="e">
        <f t="shared" si="1112"/>
        <v>#VALUE!</v>
      </c>
      <c r="QC154" s="672" t="e">
        <f t="shared" si="1112"/>
        <v>#REF!</v>
      </c>
      <c r="QD154" s="675" t="e">
        <f t="shared" si="1112"/>
        <v>#VALUE!</v>
      </c>
      <c r="QE154" s="672" t="e">
        <f t="shared" si="1112"/>
        <v>#VALUE!</v>
      </c>
      <c r="QF154" s="672" t="e">
        <f t="shared" si="1112"/>
        <v>#VALUE!</v>
      </c>
      <c r="QG154" s="672" t="e">
        <f>STDEVA(QG148:QG152)</f>
        <v>#VALUE!</v>
      </c>
      <c r="QH154" s="672" t="e">
        <f t="shared" si="1112"/>
        <v>#VALUE!</v>
      </c>
      <c r="QI154" s="676" t="e">
        <f t="shared" si="1112"/>
        <v>#VALUE!</v>
      </c>
      <c r="QJ154" s="682" t="e">
        <f t="shared" si="1112"/>
        <v>#DIV/0!</v>
      </c>
      <c r="QK154" s="691" t="e">
        <f t="shared" si="1112"/>
        <v>#DIV/0!</v>
      </c>
      <c r="QL154" s="695" t="e">
        <f t="shared" si="1112"/>
        <v>#DIV/0!</v>
      </c>
      <c r="QM154" s="599" t="e">
        <f t="shared" si="1112"/>
        <v>#DIV/0!</v>
      </c>
      <c r="QN154" s="652" t="e">
        <f t="shared" si="1112"/>
        <v>#DIV/0!</v>
      </c>
      <c r="QO154" s="652" t="s">
        <v>93</v>
      </c>
      <c r="QP154" s="40" t="s">
        <v>93</v>
      </c>
      <c r="QQ154" s="599">
        <f>STDEVA(QQ148:QQ152)</f>
        <v>0</v>
      </c>
      <c r="QR154" s="652" t="e">
        <f t="shared" ref="QR154:RF154" si="1113">STDEVA(QR148:QR152)</f>
        <v>#DIV/0!</v>
      </c>
      <c r="QS154" s="675" t="e">
        <f t="shared" si="1113"/>
        <v>#VALUE!</v>
      </c>
      <c r="QT154" s="672" t="e">
        <f t="shared" si="1113"/>
        <v>#VALUE!</v>
      </c>
      <c r="QU154" s="672" t="e">
        <f t="shared" si="1113"/>
        <v>#REF!</v>
      </c>
      <c r="QV154" s="675" t="e">
        <f t="shared" si="1113"/>
        <v>#VALUE!</v>
      </c>
      <c r="QW154" s="672" t="e">
        <f t="shared" si="1113"/>
        <v>#VALUE!</v>
      </c>
      <c r="QX154" s="672" t="e">
        <f t="shared" si="1113"/>
        <v>#VALUE!</v>
      </c>
      <c r="QY154" s="672" t="e">
        <f>STDEVA(QY148:QY152)</f>
        <v>#VALUE!</v>
      </c>
      <c r="QZ154" s="672" t="e">
        <f t="shared" si="1113"/>
        <v>#VALUE!</v>
      </c>
      <c r="RA154" s="676" t="e">
        <f t="shared" si="1113"/>
        <v>#VALUE!</v>
      </c>
      <c r="RB154" s="682" t="e">
        <f t="shared" si="1113"/>
        <v>#DIV/0!</v>
      </c>
      <c r="RC154" s="691" t="e">
        <f t="shared" si="1113"/>
        <v>#DIV/0!</v>
      </c>
      <c r="RD154" s="695" t="e">
        <f t="shared" si="1113"/>
        <v>#DIV/0!</v>
      </c>
      <c r="RE154" s="599" t="e">
        <f t="shared" si="1113"/>
        <v>#DIV/0!</v>
      </c>
      <c r="RF154" s="652" t="e">
        <f t="shared" si="1113"/>
        <v>#DIV/0!</v>
      </c>
      <c r="RG154" s="652" t="s">
        <v>93</v>
      </c>
      <c r="RH154" s="40" t="s">
        <v>93</v>
      </c>
      <c r="RI154" s="599">
        <f>STDEVA(RI148:RI152)</f>
        <v>0</v>
      </c>
      <c r="RJ154" s="652" t="e">
        <f t="shared" ref="RJ154:RX154" si="1114">STDEVA(RJ148:RJ152)</f>
        <v>#DIV/0!</v>
      </c>
      <c r="RK154" s="675" t="e">
        <f t="shared" si="1114"/>
        <v>#VALUE!</v>
      </c>
      <c r="RL154" s="672" t="e">
        <f t="shared" si="1114"/>
        <v>#VALUE!</v>
      </c>
      <c r="RM154" s="672" t="e">
        <f t="shared" si="1114"/>
        <v>#REF!</v>
      </c>
      <c r="RN154" s="675" t="e">
        <f t="shared" si="1114"/>
        <v>#VALUE!</v>
      </c>
      <c r="RO154" s="672" t="e">
        <f t="shared" si="1114"/>
        <v>#VALUE!</v>
      </c>
      <c r="RP154" s="672" t="e">
        <f t="shared" si="1114"/>
        <v>#VALUE!</v>
      </c>
      <c r="RQ154" s="672" t="e">
        <f>STDEVA(RQ148:RQ152)</f>
        <v>#VALUE!</v>
      </c>
      <c r="RR154" s="672" t="e">
        <f t="shared" si="1114"/>
        <v>#VALUE!</v>
      </c>
      <c r="RS154" s="676" t="e">
        <f t="shared" si="1114"/>
        <v>#VALUE!</v>
      </c>
      <c r="RT154" s="682" t="e">
        <f t="shared" si="1114"/>
        <v>#DIV/0!</v>
      </c>
      <c r="RU154" s="691" t="e">
        <f t="shared" si="1114"/>
        <v>#DIV/0!</v>
      </c>
      <c r="RV154" s="619" t="e">
        <f t="shared" si="1114"/>
        <v>#DIV/0!</v>
      </c>
      <c r="RW154" s="672" t="e">
        <f t="shared" si="1114"/>
        <v>#DIV/0!</v>
      </c>
      <c r="RX154" s="652" t="e">
        <f t="shared" si="1114"/>
        <v>#DIV/0!</v>
      </c>
      <c r="RY154" s="652" t="s">
        <v>93</v>
      </c>
      <c r="RZ154" s="40" t="s">
        <v>93</v>
      </c>
      <c r="SA154" s="599">
        <f>STDEVA(SA148:SA152)</f>
        <v>0</v>
      </c>
      <c r="SB154" s="652" t="e">
        <f t="shared" ref="SB154:SP154" si="1115">STDEVA(SB148:SB152)</f>
        <v>#DIV/0!</v>
      </c>
      <c r="SC154" s="675" t="e">
        <f t="shared" si="1115"/>
        <v>#VALUE!</v>
      </c>
      <c r="SD154" s="672" t="e">
        <f t="shared" si="1115"/>
        <v>#VALUE!</v>
      </c>
      <c r="SE154" s="672" t="e">
        <f t="shared" si="1115"/>
        <v>#REF!</v>
      </c>
      <c r="SF154" s="675" t="e">
        <f t="shared" si="1115"/>
        <v>#VALUE!</v>
      </c>
      <c r="SG154" s="672" t="e">
        <f t="shared" si="1115"/>
        <v>#VALUE!</v>
      </c>
      <c r="SH154" s="672" t="e">
        <f t="shared" si="1115"/>
        <v>#VALUE!</v>
      </c>
      <c r="SI154" s="672" t="e">
        <f>STDEVA(SI148:SI152)</f>
        <v>#VALUE!</v>
      </c>
      <c r="SJ154" s="672" t="e">
        <f t="shared" si="1115"/>
        <v>#VALUE!</v>
      </c>
      <c r="SK154" s="676" t="e">
        <f t="shared" si="1115"/>
        <v>#VALUE!</v>
      </c>
      <c r="SL154" s="682">
        <f t="shared" si="1115"/>
        <v>0.28809720581775894</v>
      </c>
      <c r="SM154" s="691">
        <f t="shared" si="1115"/>
        <v>1</v>
      </c>
      <c r="SN154" s="695">
        <f t="shared" si="1115"/>
        <v>1.8433664855367327</v>
      </c>
      <c r="SO154" s="599">
        <f t="shared" si="1115"/>
        <v>7.9056941504209475E-13</v>
      </c>
      <c r="SP154" s="652">
        <f t="shared" si="1115"/>
        <v>0</v>
      </c>
      <c r="SQ154" s="652" t="s">
        <v>93</v>
      </c>
      <c r="SR154" s="40" t="s">
        <v>93</v>
      </c>
      <c r="SS154" s="599">
        <f>STDEVA(SS148:SS152)</f>
        <v>7.9294112328722075E-13</v>
      </c>
      <c r="ST154" s="652">
        <f t="shared" ref="ST154:TH154" si="1116">STDEVA(ST148:ST152)</f>
        <v>2.7981949345027416E-3</v>
      </c>
      <c r="SU154" s="675">
        <f t="shared" si="1116"/>
        <v>1.310320845912968E-14</v>
      </c>
      <c r="SV154" s="672">
        <f t="shared" si="1116"/>
        <v>1.310320845912968E-14</v>
      </c>
      <c r="SW154" s="672" t="e">
        <f t="shared" si="1116"/>
        <v>#REF!</v>
      </c>
      <c r="SX154" s="675">
        <f t="shared" si="1116"/>
        <v>1.1887230714122445E-6</v>
      </c>
      <c r="SY154" s="672">
        <f t="shared" si="1116"/>
        <v>1.1887230714122444E-4</v>
      </c>
      <c r="SZ154" s="672">
        <f t="shared" si="1116"/>
        <v>1.4264676856946924E-6</v>
      </c>
      <c r="TA154" s="672">
        <f>STDEVA(TA148:TA152)</f>
        <v>1.4383549164088158E-6</v>
      </c>
      <c r="TB154" s="672">
        <f t="shared" si="1116"/>
        <v>1.4383549164088158E-6</v>
      </c>
      <c r="TC154" s="676">
        <f t="shared" si="1116"/>
        <v>1.4859038392653052E-6</v>
      </c>
      <c r="TD154" s="682">
        <f t="shared" si="1116"/>
        <v>0.31304951684997112</v>
      </c>
      <c r="TE154" s="691">
        <f t="shared" si="1116"/>
        <v>1.6431676725154982</v>
      </c>
      <c r="TF154" s="695">
        <f t="shared" si="1116"/>
        <v>1.4240786495134443</v>
      </c>
      <c r="TG154" s="599">
        <f t="shared" si="1116"/>
        <v>4.472135954999564E-13</v>
      </c>
      <c r="TH154" s="652">
        <f t="shared" si="1116"/>
        <v>0</v>
      </c>
      <c r="TI154" s="652" t="s">
        <v>93</v>
      </c>
      <c r="TJ154" s="40" t="s">
        <v>93</v>
      </c>
      <c r="TK154" s="599">
        <f>STDEVA(TK148:TK152)</f>
        <v>4.4855523628645762E-13</v>
      </c>
      <c r="TL154" s="652">
        <f t="shared" ref="TL154:TZ154" si="1117">STDEVA(TL148:TL152)</f>
        <v>2.4672096921838846E-3</v>
      </c>
      <c r="TM154" s="675">
        <f t="shared" si="1117"/>
        <v>8.5104937212320927E-15</v>
      </c>
      <c r="TN154" s="672">
        <f t="shared" si="1117"/>
        <v>8.5104937212320912E-15</v>
      </c>
      <c r="TO154" s="672" t="e">
        <f t="shared" si="1117"/>
        <v>#REF!</v>
      </c>
      <c r="TP154" s="675">
        <f t="shared" si="1117"/>
        <v>7.7207199039016108E-7</v>
      </c>
      <c r="TQ154" s="672">
        <f t="shared" si="1117"/>
        <v>7.7207199039016003E-5</v>
      </c>
      <c r="TR154" s="672">
        <f t="shared" si="1117"/>
        <v>9.2648638846819884E-7</v>
      </c>
      <c r="TS154" s="672">
        <f>STDEVA(TS148:TS152)</f>
        <v>9.3420710837210395E-7</v>
      </c>
      <c r="TT154" s="672">
        <f t="shared" si="1117"/>
        <v>9.3420710837210395E-7</v>
      </c>
      <c r="TU154" s="676">
        <f t="shared" si="1117"/>
        <v>9.6508998798768497E-7</v>
      </c>
      <c r="TV154" s="682" t="e">
        <f t="shared" si="1117"/>
        <v>#DIV/0!</v>
      </c>
      <c r="TW154" s="691" t="e">
        <f t="shared" si="1117"/>
        <v>#DIV/0!</v>
      </c>
      <c r="TX154" s="695" t="e">
        <f t="shared" si="1117"/>
        <v>#DIV/0!</v>
      </c>
      <c r="TY154" s="599" t="e">
        <f t="shared" si="1117"/>
        <v>#DIV/0!</v>
      </c>
      <c r="TZ154" s="652" t="e">
        <f t="shared" si="1117"/>
        <v>#DIV/0!</v>
      </c>
      <c r="UA154" s="652" t="s">
        <v>93</v>
      </c>
      <c r="UB154" s="40" t="s">
        <v>93</v>
      </c>
      <c r="UC154" s="599">
        <f>STDEVA(UC148:UC152)</f>
        <v>0</v>
      </c>
      <c r="UD154" s="652" t="e">
        <f t="shared" ref="UD154:UR154" si="1118">STDEVA(UD148:UD152)</f>
        <v>#DIV/0!</v>
      </c>
      <c r="UE154" s="675" t="e">
        <f t="shared" si="1118"/>
        <v>#VALUE!</v>
      </c>
      <c r="UF154" s="672" t="e">
        <f t="shared" si="1118"/>
        <v>#VALUE!</v>
      </c>
      <c r="UG154" s="672" t="e">
        <f t="shared" si="1118"/>
        <v>#REF!</v>
      </c>
      <c r="UH154" s="675" t="e">
        <f t="shared" si="1118"/>
        <v>#VALUE!</v>
      </c>
      <c r="UI154" s="672" t="e">
        <f t="shared" si="1118"/>
        <v>#VALUE!</v>
      </c>
      <c r="UJ154" s="672" t="e">
        <f t="shared" si="1118"/>
        <v>#VALUE!</v>
      </c>
      <c r="UK154" s="672" t="e">
        <f>STDEVA(UK148:UK152)</f>
        <v>#VALUE!</v>
      </c>
      <c r="UL154" s="672" t="e">
        <f t="shared" si="1118"/>
        <v>#VALUE!</v>
      </c>
      <c r="UM154" s="676" t="e">
        <f t="shared" si="1118"/>
        <v>#VALUE!</v>
      </c>
      <c r="UN154" s="682">
        <f t="shared" si="1118"/>
        <v>0.26076809620810654</v>
      </c>
      <c r="UO154" s="691">
        <f t="shared" si="1118"/>
        <v>1.7888543819998317</v>
      </c>
      <c r="UP154" s="695">
        <f t="shared" si="1118"/>
        <v>1.3416407864998736</v>
      </c>
      <c r="UQ154" s="599">
        <f t="shared" si="1118"/>
        <v>1.8234582528810464E-12</v>
      </c>
      <c r="UR154" s="652">
        <f t="shared" si="1118"/>
        <v>0</v>
      </c>
      <c r="US154" s="652" t="s">
        <v>93</v>
      </c>
      <c r="UT154" s="40" t="s">
        <v>93</v>
      </c>
      <c r="UU154" s="599">
        <f>STDEVA(UU148:UU152)</f>
        <v>1.8289286276396892E-12</v>
      </c>
      <c r="UV154" s="652">
        <f t="shared" ref="UV154:VE154" si="1119">STDEVA(UV148:UV152)</f>
        <v>2.1820473868917147E-3</v>
      </c>
      <c r="UW154" s="675">
        <f t="shared" si="1119"/>
        <v>3.0602630373145733E-14</v>
      </c>
      <c r="UX154" s="672">
        <f t="shared" si="1119"/>
        <v>3.0602630373145733E-14</v>
      </c>
      <c r="UY154" s="672" t="e">
        <f t="shared" si="1119"/>
        <v>#REF!</v>
      </c>
      <c r="UZ154" s="675">
        <f t="shared" si="1119"/>
        <v>2.7762706274517814E-6</v>
      </c>
      <c r="VA154" s="672">
        <f t="shared" si="1119"/>
        <v>2.7762706274517805E-4</v>
      </c>
      <c r="VB154" s="672">
        <f t="shared" si="1119"/>
        <v>3.3315247529421359E-6</v>
      </c>
      <c r="VC154" s="672">
        <f>STDEVA(VC148:VC152)</f>
        <v>3.3592874592166538E-6</v>
      </c>
      <c r="VD154" s="672">
        <f t="shared" si="1119"/>
        <v>3.3592874592166538E-6</v>
      </c>
      <c r="VE154" s="676">
        <f t="shared" si="1119"/>
        <v>3.470338284314727E-6</v>
      </c>
    </row>
    <row r="155" spans="1:577" x14ac:dyDescent="0.25">
      <c r="A155" s="1537" t="s">
        <v>63</v>
      </c>
      <c r="B155" s="688">
        <f t="shared" ref="B155:F155" si="1120">B154/B153*100</f>
        <v>1.2934925407148152</v>
      </c>
      <c r="C155" s="619">
        <f t="shared" si="1120"/>
        <v>5.7930709515816661</v>
      </c>
      <c r="D155" s="619">
        <f t="shared" si="1120"/>
        <v>2.1695419373569478E-2</v>
      </c>
      <c r="E155" s="672">
        <f t="shared" si="1120"/>
        <v>-4.5110480458471769E-2</v>
      </c>
      <c r="F155" s="619">
        <f t="shared" si="1120"/>
        <v>0</v>
      </c>
      <c r="G155" s="619" t="s">
        <v>93</v>
      </c>
      <c r="H155" s="38" t="s">
        <v>93</v>
      </c>
      <c r="I155" s="672">
        <f>I154/I153*100</f>
        <v>-4.5110480458472171E-2</v>
      </c>
      <c r="J155" s="619">
        <f t="shared" ref="J155:X155" si="1121">J154/J153*100</f>
        <v>6.9725794007894998E-2</v>
      </c>
      <c r="K155" s="675">
        <f t="shared" si="1121"/>
        <v>-0.10035217157010666</v>
      </c>
      <c r="L155" s="672">
        <f t="shared" si="1121"/>
        <v>-0.1003984599109905</v>
      </c>
      <c r="M155" s="672" t="e">
        <f t="shared" si="1121"/>
        <v>#REF!</v>
      </c>
      <c r="N155" s="675">
        <f t="shared" si="1121"/>
        <v>0.10039845991098426</v>
      </c>
      <c r="O155" s="672">
        <f t="shared" si="1121"/>
        <v>0.10039845991098183</v>
      </c>
      <c r="P155" s="672">
        <f t="shared" si="1121"/>
        <v>0.10039845991098775</v>
      </c>
      <c r="Q155" s="672">
        <f>Q154/Q153*100</f>
        <v>0.1003984599109823</v>
      </c>
      <c r="R155" s="672">
        <f t="shared" si="1121"/>
        <v>0.1003984599109823</v>
      </c>
      <c r="S155" s="676">
        <f t="shared" si="1121"/>
        <v>0.10039845991098657</v>
      </c>
      <c r="T155" s="1538" t="e">
        <f t="shared" si="1121"/>
        <v>#DIV/0!</v>
      </c>
      <c r="U155" s="1538" t="e">
        <f t="shared" si="1121"/>
        <v>#DIV/0!</v>
      </c>
      <c r="V155" s="1539" t="e">
        <f t="shared" si="1121"/>
        <v>#DIV/0!</v>
      </c>
      <c r="W155" s="672" t="e">
        <f t="shared" si="1121"/>
        <v>#DIV/0!</v>
      </c>
      <c r="X155" s="619" t="e">
        <f t="shared" si="1121"/>
        <v>#DIV/0!</v>
      </c>
      <c r="Y155" s="619" t="s">
        <v>93</v>
      </c>
      <c r="Z155" s="38" t="s">
        <v>93</v>
      </c>
      <c r="AA155" s="672" t="e">
        <f>AA154/AA153*100</f>
        <v>#DIV/0!</v>
      </c>
      <c r="AB155" s="619" t="e">
        <f t="shared" ref="AB155:AP155" si="1122">AB154/AB153*100</f>
        <v>#DIV/0!</v>
      </c>
      <c r="AC155" s="675" t="e">
        <f t="shared" si="1122"/>
        <v>#VALUE!</v>
      </c>
      <c r="AD155" s="672" t="e">
        <f t="shared" si="1122"/>
        <v>#VALUE!</v>
      </c>
      <c r="AE155" s="672" t="e">
        <f t="shared" si="1122"/>
        <v>#REF!</v>
      </c>
      <c r="AF155" s="675" t="e">
        <f t="shared" si="1122"/>
        <v>#VALUE!</v>
      </c>
      <c r="AG155" s="672" t="e">
        <f t="shared" si="1122"/>
        <v>#VALUE!</v>
      </c>
      <c r="AH155" s="672" t="e">
        <f t="shared" si="1122"/>
        <v>#VALUE!</v>
      </c>
      <c r="AI155" s="672" t="e">
        <f>AI154/AI153*100</f>
        <v>#VALUE!</v>
      </c>
      <c r="AJ155" s="672" t="e">
        <f t="shared" si="1122"/>
        <v>#VALUE!</v>
      </c>
      <c r="AK155" s="676" t="e">
        <f t="shared" si="1122"/>
        <v>#VALUE!</v>
      </c>
      <c r="AL155" s="1538" t="e">
        <f t="shared" si="1122"/>
        <v>#DIV/0!</v>
      </c>
      <c r="AM155" s="1538" t="e">
        <f t="shared" si="1122"/>
        <v>#DIV/0!</v>
      </c>
      <c r="AN155" s="1539" t="e">
        <f t="shared" si="1122"/>
        <v>#DIV/0!</v>
      </c>
      <c r="AO155" s="672" t="e">
        <f t="shared" si="1122"/>
        <v>#DIV/0!</v>
      </c>
      <c r="AP155" s="619" t="e">
        <f t="shared" si="1122"/>
        <v>#DIV/0!</v>
      </c>
      <c r="AQ155" s="619" t="s">
        <v>93</v>
      </c>
      <c r="AR155" s="38" t="s">
        <v>93</v>
      </c>
      <c r="AS155" s="672" t="e">
        <f>AS154/AS153*100</f>
        <v>#DIV/0!</v>
      </c>
      <c r="AT155" s="619" t="e">
        <f t="shared" ref="AT155:BH155" si="1123">AT154/AT153*100</f>
        <v>#DIV/0!</v>
      </c>
      <c r="AU155" s="675" t="e">
        <f t="shared" si="1123"/>
        <v>#VALUE!</v>
      </c>
      <c r="AV155" s="672" t="e">
        <f t="shared" si="1123"/>
        <v>#VALUE!</v>
      </c>
      <c r="AW155" s="672" t="e">
        <f t="shared" si="1123"/>
        <v>#REF!</v>
      </c>
      <c r="AX155" s="675" t="e">
        <f t="shared" si="1123"/>
        <v>#VALUE!</v>
      </c>
      <c r="AY155" s="672" t="e">
        <f t="shared" si="1123"/>
        <v>#VALUE!</v>
      </c>
      <c r="AZ155" s="672" t="e">
        <f t="shared" si="1123"/>
        <v>#VALUE!</v>
      </c>
      <c r="BA155" s="672" t="e">
        <f>BA154/BA153*100</f>
        <v>#VALUE!</v>
      </c>
      <c r="BB155" s="672" t="e">
        <f t="shared" si="1123"/>
        <v>#VALUE!</v>
      </c>
      <c r="BC155" s="676" t="e">
        <f t="shared" si="1123"/>
        <v>#VALUE!</v>
      </c>
      <c r="BD155" s="688">
        <f t="shared" si="1123"/>
        <v>2.0151328939940241</v>
      </c>
      <c r="BE155" s="1538">
        <f t="shared" si="1123"/>
        <v>1.7004319220530719</v>
      </c>
      <c r="BF155" s="1539">
        <f t="shared" si="1123"/>
        <v>4.2035476935690534E-2</v>
      </c>
      <c r="BG155" s="672">
        <f t="shared" si="1123"/>
        <v>-0.15171819615949633</v>
      </c>
      <c r="BH155" s="619">
        <f t="shared" si="1123"/>
        <v>0</v>
      </c>
      <c r="BI155" s="619" t="s">
        <v>93</v>
      </c>
      <c r="BJ155" s="38" t="s">
        <v>93</v>
      </c>
      <c r="BK155" s="672">
        <f>BK154/BK153*100</f>
        <v>-0.15171819615949345</v>
      </c>
      <c r="BL155" s="619">
        <f t="shared" ref="BL155:BZ155" si="1124">BL154/BL153*100</f>
        <v>0.17998025416582697</v>
      </c>
      <c r="BM155" s="675">
        <f t="shared" si="1124"/>
        <v>-0.17987487898027893</v>
      </c>
      <c r="BN155" s="672">
        <f t="shared" si="1124"/>
        <v>-0.17990417766790126</v>
      </c>
      <c r="BO155" s="672" t="e">
        <f t="shared" si="1124"/>
        <v>#REF!</v>
      </c>
      <c r="BP155" s="675">
        <f t="shared" si="1124"/>
        <v>0.17990417766790387</v>
      </c>
      <c r="BQ155" s="672">
        <f t="shared" si="1124"/>
        <v>0.17990417766790748</v>
      </c>
      <c r="BR155" s="672">
        <f t="shared" si="1124"/>
        <v>0.1799041776679014</v>
      </c>
      <c r="BS155" s="672">
        <f>BS154/BS153*100</f>
        <v>0.17990417766790576</v>
      </c>
      <c r="BT155" s="672">
        <f t="shared" si="1124"/>
        <v>0.17990417766790576</v>
      </c>
      <c r="BU155" s="676">
        <f t="shared" si="1124"/>
        <v>0.17990417766790501</v>
      </c>
      <c r="BV155" s="688">
        <f t="shared" si="1124"/>
        <v>1.8431809787063775</v>
      </c>
      <c r="BW155" s="1538">
        <f t="shared" si="1124"/>
        <v>1.6341016143243663</v>
      </c>
      <c r="BX155" s="1539">
        <f t="shared" si="1124"/>
        <v>8.6884923462115154E-2</v>
      </c>
      <c r="BY155" s="672">
        <f t="shared" si="1124"/>
        <v>-5.2859789260762104</v>
      </c>
      <c r="BZ155" s="619">
        <f t="shared" si="1124"/>
        <v>0</v>
      </c>
      <c r="CA155" s="619" t="s">
        <v>93</v>
      </c>
      <c r="CB155" s="38" t="s">
        <v>93</v>
      </c>
      <c r="CC155" s="672">
        <f>CC154/CC153*100</f>
        <v>-5.2859789260762113</v>
      </c>
      <c r="CD155" s="619">
        <f t="shared" ref="CD155:CR155" si="1125">CD154/CD153*100</f>
        <v>0.21305579005580283</v>
      </c>
      <c r="CE155" s="675">
        <f t="shared" si="1125"/>
        <v>-5.3565481743574272</v>
      </c>
      <c r="CF155" s="672">
        <f t="shared" si="1125"/>
        <v>-5.3775470019291181</v>
      </c>
      <c r="CG155" s="672" t="e">
        <f t="shared" si="1125"/>
        <v>#REF!</v>
      </c>
      <c r="CH155" s="675">
        <f t="shared" si="1125"/>
        <v>5.3775470019291216</v>
      </c>
      <c r="CI155" s="672">
        <f t="shared" si="1125"/>
        <v>5.3775470019291225</v>
      </c>
      <c r="CJ155" s="672">
        <f t="shared" si="1125"/>
        <v>5.3775470019291216</v>
      </c>
      <c r="CK155" s="672">
        <f>CK154/CK153*100</f>
        <v>5.3775470019291234</v>
      </c>
      <c r="CL155" s="672">
        <f t="shared" si="1125"/>
        <v>5.3775470019291234</v>
      </c>
      <c r="CM155" s="676">
        <f t="shared" si="1125"/>
        <v>5.3775470019291207</v>
      </c>
      <c r="CN155" s="688">
        <f t="shared" si="1125"/>
        <v>1.6592039796615654</v>
      </c>
      <c r="CO155" s="1538">
        <f t="shared" si="1125"/>
        <v>0.8633467094593783</v>
      </c>
      <c r="CP155" s="1539">
        <f t="shared" si="1125"/>
        <v>0.14686735595049324</v>
      </c>
      <c r="CQ155" s="672">
        <f t="shared" si="1125"/>
        <v>-7.7079213288514692E-2</v>
      </c>
      <c r="CR155" s="619">
        <f t="shared" si="1125"/>
        <v>0</v>
      </c>
      <c r="CS155" s="619" t="s">
        <v>93</v>
      </c>
      <c r="CT155" s="38" t="s">
        <v>93</v>
      </c>
      <c r="CU155" s="672">
        <f>CU154/CU153*100</f>
        <v>-7.7079213288508724E-2</v>
      </c>
      <c r="CV155" s="619">
        <f t="shared" ref="CV155:DJ155" si="1126">CV154/CV153*100</f>
        <v>0.25976283933221811</v>
      </c>
      <c r="CW155" s="675">
        <f t="shared" si="1126"/>
        <v>-0.22476510633601932</v>
      </c>
      <c r="CX155" s="672">
        <f t="shared" si="1126"/>
        <v>-0.22489735614514075</v>
      </c>
      <c r="CY155" s="672" t="e">
        <f t="shared" si="1126"/>
        <v>#REF!</v>
      </c>
      <c r="CZ155" s="675">
        <f t="shared" si="1126"/>
        <v>0.22489735614514778</v>
      </c>
      <c r="DA155" s="672">
        <f t="shared" si="1126"/>
        <v>0.22489735614514461</v>
      </c>
      <c r="DB155" s="672">
        <f t="shared" si="1126"/>
        <v>0.22489735614514708</v>
      </c>
      <c r="DC155" s="672">
        <f>DC154/DC153*100</f>
        <v>0.22489735614514914</v>
      </c>
      <c r="DD155" s="672">
        <f t="shared" si="1126"/>
        <v>0.22489735614514914</v>
      </c>
      <c r="DE155" s="676">
        <f t="shared" si="1126"/>
        <v>0.22489735614514353</v>
      </c>
      <c r="DF155" s="688" t="e">
        <f t="shared" si="1126"/>
        <v>#DIV/0!</v>
      </c>
      <c r="DG155" s="1538" t="e">
        <f t="shared" si="1126"/>
        <v>#DIV/0!</v>
      </c>
      <c r="DH155" s="1539" t="e">
        <f t="shared" si="1126"/>
        <v>#DIV/0!</v>
      </c>
      <c r="DI155" s="672" t="e">
        <f t="shared" si="1126"/>
        <v>#DIV/0!</v>
      </c>
      <c r="DJ155" s="619" t="e">
        <f t="shared" si="1126"/>
        <v>#DIV/0!</v>
      </c>
      <c r="DK155" s="619" t="s">
        <v>93</v>
      </c>
      <c r="DL155" s="38" t="s">
        <v>93</v>
      </c>
      <c r="DM155" s="672" t="e">
        <f>DM154/DM153*100</f>
        <v>#DIV/0!</v>
      </c>
      <c r="DN155" s="619" t="e">
        <f t="shared" ref="DN155:EB155" si="1127">DN154/DN153*100</f>
        <v>#DIV/0!</v>
      </c>
      <c r="DO155" s="675" t="e">
        <f t="shared" si="1127"/>
        <v>#DIV/0!</v>
      </c>
      <c r="DP155" s="672" t="e">
        <f t="shared" si="1127"/>
        <v>#DIV/0!</v>
      </c>
      <c r="DQ155" s="672" t="e">
        <f t="shared" si="1127"/>
        <v>#REF!</v>
      </c>
      <c r="DR155" s="675" t="e">
        <f t="shared" si="1127"/>
        <v>#DIV/0!</v>
      </c>
      <c r="DS155" s="672" t="e">
        <f t="shared" si="1127"/>
        <v>#DIV/0!</v>
      </c>
      <c r="DT155" s="672" t="e">
        <f t="shared" si="1127"/>
        <v>#DIV/0!</v>
      </c>
      <c r="DU155" s="672" t="e">
        <f>DU154/DU153*100</f>
        <v>#DIV/0!</v>
      </c>
      <c r="DV155" s="672" t="e">
        <f t="shared" si="1127"/>
        <v>#DIV/0!</v>
      </c>
      <c r="DW155" s="676" t="e">
        <f t="shared" si="1127"/>
        <v>#DIV/0!</v>
      </c>
      <c r="DX155" s="688" t="e">
        <f t="shared" si="1127"/>
        <v>#DIV/0!</v>
      </c>
      <c r="DY155" s="1538" t="e">
        <f t="shared" si="1127"/>
        <v>#DIV/0!</v>
      </c>
      <c r="DZ155" s="1539" t="e">
        <f t="shared" si="1127"/>
        <v>#DIV/0!</v>
      </c>
      <c r="EA155" s="674" t="e">
        <f t="shared" si="1127"/>
        <v>#DIV/0!</v>
      </c>
      <c r="EB155" s="619" t="e">
        <f t="shared" si="1127"/>
        <v>#DIV/0!</v>
      </c>
      <c r="EC155" s="619" t="s">
        <v>93</v>
      </c>
      <c r="ED155" s="38" t="s">
        <v>93</v>
      </c>
      <c r="EE155" s="672" t="e">
        <f>EE154/EE153*100</f>
        <v>#DIV/0!</v>
      </c>
      <c r="EF155" s="619" t="e">
        <f t="shared" ref="EF155:ET155" si="1128">EF154/EF153*100</f>
        <v>#DIV/0!</v>
      </c>
      <c r="EG155" s="675" t="e">
        <f t="shared" si="1128"/>
        <v>#VALUE!</v>
      </c>
      <c r="EH155" s="672" t="e">
        <f t="shared" si="1128"/>
        <v>#VALUE!</v>
      </c>
      <c r="EI155" s="672" t="e">
        <f t="shared" si="1128"/>
        <v>#REF!</v>
      </c>
      <c r="EJ155" s="675" t="e">
        <f t="shared" si="1128"/>
        <v>#VALUE!</v>
      </c>
      <c r="EK155" s="672" t="e">
        <f t="shared" si="1128"/>
        <v>#VALUE!</v>
      </c>
      <c r="EL155" s="672" t="e">
        <f t="shared" si="1128"/>
        <v>#VALUE!</v>
      </c>
      <c r="EM155" s="672" t="e">
        <f>EM154/EM153*100</f>
        <v>#VALUE!</v>
      </c>
      <c r="EN155" s="672" t="e">
        <f t="shared" si="1128"/>
        <v>#VALUE!</v>
      </c>
      <c r="EO155" s="676" t="e">
        <f t="shared" si="1128"/>
        <v>#VALUE!</v>
      </c>
      <c r="EP155" s="688">
        <f t="shared" si="1128"/>
        <v>1.5357407793291391</v>
      </c>
      <c r="EQ155" s="1538">
        <f t="shared" si="1128"/>
        <v>1.0412976378425209</v>
      </c>
      <c r="ER155" s="1539">
        <f t="shared" si="1128"/>
        <v>0.15488023682648522</v>
      </c>
      <c r="ES155" s="672">
        <f t="shared" si="1128"/>
        <v>-4.9999999999999991</v>
      </c>
      <c r="ET155" s="619">
        <f t="shared" si="1128"/>
        <v>0</v>
      </c>
      <c r="EU155" s="619" t="s">
        <v>93</v>
      </c>
      <c r="EV155" s="38" t="s">
        <v>93</v>
      </c>
      <c r="EW155" s="672">
        <f>EW154/EW153*100</f>
        <v>-4.9999999999999991</v>
      </c>
      <c r="EX155" s="619">
        <f t="shared" ref="EX155:FL155" si="1129">EX154/EX153*100</f>
        <v>0.25861055588293602</v>
      </c>
      <c r="EY155" s="675">
        <f t="shared" si="1129"/>
        <v>-5.0154261839996073</v>
      </c>
      <c r="EZ155" s="672">
        <f t="shared" si="1129"/>
        <v>-4.982877161528827</v>
      </c>
      <c r="FA155" s="672" t="e">
        <f t="shared" si="1129"/>
        <v>#REF!</v>
      </c>
      <c r="FB155" s="675">
        <f t="shared" si="1129"/>
        <v>4.9828771615288234</v>
      </c>
      <c r="FC155" s="672">
        <f t="shared" si="1129"/>
        <v>4.9828771615288217</v>
      </c>
      <c r="FD155" s="672">
        <f t="shared" si="1129"/>
        <v>4.9828771615288234</v>
      </c>
      <c r="FE155" s="672">
        <f>FE154/FE153*100</f>
        <v>4.9828771615288217</v>
      </c>
      <c r="FF155" s="672">
        <f t="shared" si="1129"/>
        <v>4.9828771615288217</v>
      </c>
      <c r="FG155" s="676">
        <f t="shared" si="1129"/>
        <v>4.9828771615288208</v>
      </c>
      <c r="FH155" s="688" t="e">
        <f t="shared" si="1129"/>
        <v>#DIV/0!</v>
      </c>
      <c r="FI155" s="1538" t="e">
        <f t="shared" si="1129"/>
        <v>#DIV/0!</v>
      </c>
      <c r="FJ155" s="1539" t="e">
        <f t="shared" si="1129"/>
        <v>#DIV/0!</v>
      </c>
      <c r="FK155" s="672" t="e">
        <f t="shared" si="1129"/>
        <v>#DIV/0!</v>
      </c>
      <c r="FL155" s="619" t="e">
        <f t="shared" si="1129"/>
        <v>#DIV/0!</v>
      </c>
      <c r="FM155" s="619" t="s">
        <v>93</v>
      </c>
      <c r="FN155" s="38" t="s">
        <v>93</v>
      </c>
      <c r="FO155" s="672" t="e">
        <f>FO154/FO153*100</f>
        <v>#DIV/0!</v>
      </c>
      <c r="FP155" s="619" t="e">
        <f t="shared" ref="FP155:GD155" si="1130">FP154/FP153*100</f>
        <v>#DIV/0!</v>
      </c>
      <c r="FQ155" s="675" t="e">
        <f t="shared" si="1130"/>
        <v>#VALUE!</v>
      </c>
      <c r="FR155" s="672" t="e">
        <f t="shared" si="1130"/>
        <v>#VALUE!</v>
      </c>
      <c r="FS155" s="672" t="e">
        <f t="shared" si="1130"/>
        <v>#REF!</v>
      </c>
      <c r="FT155" s="675" t="e">
        <f t="shared" si="1130"/>
        <v>#VALUE!</v>
      </c>
      <c r="FU155" s="672" t="e">
        <f t="shared" si="1130"/>
        <v>#VALUE!</v>
      </c>
      <c r="FV155" s="672" t="e">
        <f t="shared" si="1130"/>
        <v>#VALUE!</v>
      </c>
      <c r="FW155" s="672" t="e">
        <f>FW154/FW153*100</f>
        <v>#VALUE!</v>
      </c>
      <c r="FX155" s="672" t="e">
        <f t="shared" si="1130"/>
        <v>#VALUE!</v>
      </c>
      <c r="FY155" s="676" t="e">
        <f t="shared" si="1130"/>
        <v>#VALUE!</v>
      </c>
      <c r="FZ155" s="688" t="e">
        <f t="shared" si="1130"/>
        <v>#DIV/0!</v>
      </c>
      <c r="GA155" s="1538" t="e">
        <f t="shared" si="1130"/>
        <v>#DIV/0!</v>
      </c>
      <c r="GB155" s="1539" t="e">
        <f t="shared" si="1130"/>
        <v>#DIV/0!</v>
      </c>
      <c r="GC155" s="672" t="e">
        <f t="shared" si="1130"/>
        <v>#DIV/0!</v>
      </c>
      <c r="GD155" s="619" t="e">
        <f t="shared" si="1130"/>
        <v>#DIV/0!</v>
      </c>
      <c r="GE155" s="619" t="s">
        <v>93</v>
      </c>
      <c r="GF155" s="38" t="s">
        <v>93</v>
      </c>
      <c r="GG155" s="672" t="e">
        <f>GG154/GG153*100</f>
        <v>#DIV/0!</v>
      </c>
      <c r="GH155" s="619" t="e">
        <f t="shared" ref="GH155:GV155" si="1131">GH154/GH153*100</f>
        <v>#DIV/0!</v>
      </c>
      <c r="GI155" s="675" t="e">
        <f t="shared" si="1131"/>
        <v>#VALUE!</v>
      </c>
      <c r="GJ155" s="672" t="e">
        <f t="shared" si="1131"/>
        <v>#VALUE!</v>
      </c>
      <c r="GK155" s="672" t="e">
        <f t="shared" si="1131"/>
        <v>#REF!</v>
      </c>
      <c r="GL155" s="675" t="e">
        <f t="shared" si="1131"/>
        <v>#VALUE!</v>
      </c>
      <c r="GM155" s="672" t="e">
        <f t="shared" si="1131"/>
        <v>#VALUE!</v>
      </c>
      <c r="GN155" s="672" t="e">
        <f t="shared" si="1131"/>
        <v>#VALUE!</v>
      </c>
      <c r="GO155" s="672" t="e">
        <f>GO154/GO153*100</f>
        <v>#VALUE!</v>
      </c>
      <c r="GP155" s="672" t="e">
        <f t="shared" si="1131"/>
        <v>#VALUE!</v>
      </c>
      <c r="GQ155" s="676" t="e">
        <f t="shared" si="1131"/>
        <v>#VALUE!</v>
      </c>
      <c r="GR155" s="688" t="e">
        <f t="shared" si="1131"/>
        <v>#DIV/0!</v>
      </c>
      <c r="GS155" s="1538" t="e">
        <f t="shared" si="1131"/>
        <v>#DIV/0!</v>
      </c>
      <c r="GT155" s="1539" t="e">
        <f t="shared" si="1131"/>
        <v>#DIV/0!</v>
      </c>
      <c r="GU155" s="674" t="e">
        <f t="shared" si="1131"/>
        <v>#DIV/0!</v>
      </c>
      <c r="GV155" s="619" t="e">
        <f t="shared" si="1131"/>
        <v>#DIV/0!</v>
      </c>
      <c r="GW155" s="619" t="s">
        <v>93</v>
      </c>
      <c r="GX155" s="38" t="s">
        <v>93</v>
      </c>
      <c r="GY155" s="672" t="e">
        <f>GY154/GY153*100</f>
        <v>#DIV/0!</v>
      </c>
      <c r="GZ155" s="619" t="e">
        <f t="shared" ref="GZ155:HN155" si="1132">GZ154/GZ153*100</f>
        <v>#DIV/0!</v>
      </c>
      <c r="HA155" s="675" t="e">
        <f t="shared" si="1132"/>
        <v>#VALUE!</v>
      </c>
      <c r="HB155" s="672" t="e">
        <f t="shared" si="1132"/>
        <v>#VALUE!</v>
      </c>
      <c r="HC155" s="672" t="e">
        <f t="shared" si="1132"/>
        <v>#REF!</v>
      </c>
      <c r="HD155" s="675" t="e">
        <f t="shared" si="1132"/>
        <v>#VALUE!</v>
      </c>
      <c r="HE155" s="672" t="e">
        <f t="shared" si="1132"/>
        <v>#VALUE!</v>
      </c>
      <c r="HF155" s="672" t="e">
        <f t="shared" si="1132"/>
        <v>#VALUE!</v>
      </c>
      <c r="HG155" s="672" t="e">
        <f>HG154/HG153*100</f>
        <v>#VALUE!</v>
      </c>
      <c r="HH155" s="672" t="e">
        <f t="shared" si="1132"/>
        <v>#VALUE!</v>
      </c>
      <c r="HI155" s="676" t="e">
        <f t="shared" si="1132"/>
        <v>#VALUE!</v>
      </c>
      <c r="HJ155" s="688" t="e">
        <f t="shared" si="1132"/>
        <v>#DIV/0!</v>
      </c>
      <c r="HK155" s="1538" t="e">
        <f t="shared" si="1132"/>
        <v>#DIV/0!</v>
      </c>
      <c r="HL155" s="1539" t="e">
        <f t="shared" si="1132"/>
        <v>#DIV/0!</v>
      </c>
      <c r="HM155" s="672" t="e">
        <f t="shared" si="1132"/>
        <v>#DIV/0!</v>
      </c>
      <c r="HN155" s="619" t="e">
        <f t="shared" si="1132"/>
        <v>#DIV/0!</v>
      </c>
      <c r="HO155" s="619" t="s">
        <v>93</v>
      </c>
      <c r="HP155" s="38" t="s">
        <v>93</v>
      </c>
      <c r="HQ155" s="672" t="e">
        <f>HQ154/HQ153*100</f>
        <v>#DIV/0!</v>
      </c>
      <c r="HR155" s="619" t="e">
        <f t="shared" ref="HR155:IF155" si="1133">HR154/HR153*100</f>
        <v>#DIV/0!</v>
      </c>
      <c r="HS155" s="675" t="e">
        <f t="shared" si="1133"/>
        <v>#VALUE!</v>
      </c>
      <c r="HT155" s="672" t="e">
        <f t="shared" si="1133"/>
        <v>#VALUE!</v>
      </c>
      <c r="HU155" s="672" t="e">
        <f t="shared" si="1133"/>
        <v>#REF!</v>
      </c>
      <c r="HV155" s="675" t="e">
        <f t="shared" si="1133"/>
        <v>#VALUE!</v>
      </c>
      <c r="HW155" s="672" t="e">
        <f t="shared" si="1133"/>
        <v>#VALUE!</v>
      </c>
      <c r="HX155" s="672" t="e">
        <f t="shared" si="1133"/>
        <v>#VALUE!</v>
      </c>
      <c r="HY155" s="672" t="e">
        <f>HY154/HY153*100</f>
        <v>#VALUE!</v>
      </c>
      <c r="HZ155" s="672" t="e">
        <f t="shared" si="1133"/>
        <v>#VALUE!</v>
      </c>
      <c r="IA155" s="676" t="e">
        <f t="shared" si="1133"/>
        <v>#VALUE!</v>
      </c>
      <c r="IB155" s="688" t="e">
        <f t="shared" si="1133"/>
        <v>#DIV/0!</v>
      </c>
      <c r="IC155" s="1538" t="e">
        <f t="shared" si="1133"/>
        <v>#DIV/0!</v>
      </c>
      <c r="ID155" s="1539" t="e">
        <f t="shared" si="1133"/>
        <v>#DIV/0!</v>
      </c>
      <c r="IE155" s="672" t="e">
        <f t="shared" si="1133"/>
        <v>#DIV/0!</v>
      </c>
      <c r="IF155" s="619" t="e">
        <f t="shared" si="1133"/>
        <v>#DIV/0!</v>
      </c>
      <c r="IG155" s="619" t="s">
        <v>93</v>
      </c>
      <c r="IH155" s="38" t="s">
        <v>93</v>
      </c>
      <c r="II155" s="672" t="e">
        <f>II154/II153*100</f>
        <v>#DIV/0!</v>
      </c>
      <c r="IJ155" s="619" t="e">
        <f t="shared" ref="IJ155:IX155" si="1134">IJ154/IJ153*100</f>
        <v>#DIV/0!</v>
      </c>
      <c r="IK155" s="675" t="e">
        <f t="shared" si="1134"/>
        <v>#VALUE!</v>
      </c>
      <c r="IL155" s="672" t="e">
        <f t="shared" si="1134"/>
        <v>#VALUE!</v>
      </c>
      <c r="IM155" s="672" t="e">
        <f t="shared" si="1134"/>
        <v>#REF!</v>
      </c>
      <c r="IN155" s="675" t="e">
        <f t="shared" si="1134"/>
        <v>#VALUE!</v>
      </c>
      <c r="IO155" s="672" t="e">
        <f t="shared" si="1134"/>
        <v>#VALUE!</v>
      </c>
      <c r="IP155" s="672" t="e">
        <f t="shared" si="1134"/>
        <v>#VALUE!</v>
      </c>
      <c r="IQ155" s="672" t="e">
        <f>IQ154/IQ153*100</f>
        <v>#VALUE!</v>
      </c>
      <c r="IR155" s="672" t="e">
        <f t="shared" si="1134"/>
        <v>#VALUE!</v>
      </c>
      <c r="IS155" s="676" t="e">
        <f t="shared" si="1134"/>
        <v>#VALUE!</v>
      </c>
      <c r="IT155" s="688" t="e">
        <f t="shared" si="1134"/>
        <v>#DIV/0!</v>
      </c>
      <c r="IU155" s="1538" t="e">
        <f t="shared" si="1134"/>
        <v>#DIV/0!</v>
      </c>
      <c r="IV155" s="1539" t="e">
        <f t="shared" si="1134"/>
        <v>#DIV/0!</v>
      </c>
      <c r="IW155" s="672" t="e">
        <f t="shared" si="1134"/>
        <v>#DIV/0!</v>
      </c>
      <c r="IX155" s="619" t="e">
        <f t="shared" si="1134"/>
        <v>#DIV/0!</v>
      </c>
      <c r="IY155" s="619" t="s">
        <v>93</v>
      </c>
      <c r="IZ155" s="38" t="s">
        <v>93</v>
      </c>
      <c r="JA155" s="672" t="e">
        <f>JA154/JA153*100</f>
        <v>#DIV/0!</v>
      </c>
      <c r="JB155" s="619" t="e">
        <f t="shared" ref="JB155:JP155" si="1135">JB154/JB153*100</f>
        <v>#DIV/0!</v>
      </c>
      <c r="JC155" s="675" t="e">
        <f t="shared" si="1135"/>
        <v>#VALUE!</v>
      </c>
      <c r="JD155" s="672" t="e">
        <f t="shared" si="1135"/>
        <v>#VALUE!</v>
      </c>
      <c r="JE155" s="672" t="e">
        <f t="shared" si="1135"/>
        <v>#REF!</v>
      </c>
      <c r="JF155" s="675" t="e">
        <f t="shared" si="1135"/>
        <v>#VALUE!</v>
      </c>
      <c r="JG155" s="672" t="e">
        <f t="shared" si="1135"/>
        <v>#VALUE!</v>
      </c>
      <c r="JH155" s="672" t="e">
        <f t="shared" si="1135"/>
        <v>#VALUE!</v>
      </c>
      <c r="JI155" s="672" t="e">
        <f>JI154/JI153*100</f>
        <v>#VALUE!</v>
      </c>
      <c r="JJ155" s="672" t="e">
        <f t="shared" si="1135"/>
        <v>#VALUE!</v>
      </c>
      <c r="JK155" s="676" t="e">
        <f t="shared" si="1135"/>
        <v>#VALUE!</v>
      </c>
      <c r="JL155" s="688" t="e">
        <f t="shared" si="1135"/>
        <v>#DIV/0!</v>
      </c>
      <c r="JM155" s="1538" t="e">
        <f t="shared" si="1135"/>
        <v>#DIV/0!</v>
      </c>
      <c r="JN155" s="1539" t="e">
        <f t="shared" si="1135"/>
        <v>#DIV/0!</v>
      </c>
      <c r="JO155" s="672" t="e">
        <f t="shared" si="1135"/>
        <v>#DIV/0!</v>
      </c>
      <c r="JP155" s="619" t="e">
        <f t="shared" si="1135"/>
        <v>#DIV/0!</v>
      </c>
      <c r="JQ155" s="619" t="s">
        <v>93</v>
      </c>
      <c r="JR155" s="38" t="s">
        <v>93</v>
      </c>
      <c r="JS155" s="672" t="e">
        <f>JS154/JS153*100</f>
        <v>#DIV/0!</v>
      </c>
      <c r="JT155" s="619" t="e">
        <f t="shared" ref="JT155:KH155" si="1136">JT154/JT153*100</f>
        <v>#DIV/0!</v>
      </c>
      <c r="JU155" s="675" t="e">
        <f t="shared" si="1136"/>
        <v>#VALUE!</v>
      </c>
      <c r="JV155" s="672" t="e">
        <f t="shared" si="1136"/>
        <v>#VALUE!</v>
      </c>
      <c r="JW155" s="672" t="e">
        <f t="shared" si="1136"/>
        <v>#REF!</v>
      </c>
      <c r="JX155" s="675" t="e">
        <f t="shared" si="1136"/>
        <v>#VALUE!</v>
      </c>
      <c r="JY155" s="672" t="e">
        <f t="shared" si="1136"/>
        <v>#VALUE!</v>
      </c>
      <c r="JZ155" s="672" t="e">
        <f t="shared" si="1136"/>
        <v>#VALUE!</v>
      </c>
      <c r="KA155" s="672" t="e">
        <f>KA154/KA153*100</f>
        <v>#VALUE!</v>
      </c>
      <c r="KB155" s="672" t="e">
        <f t="shared" si="1136"/>
        <v>#VALUE!</v>
      </c>
      <c r="KC155" s="676" t="e">
        <f t="shared" si="1136"/>
        <v>#VALUE!</v>
      </c>
      <c r="KD155" s="688" t="e">
        <f t="shared" si="1136"/>
        <v>#DIV/0!</v>
      </c>
      <c r="KE155" s="1538" t="e">
        <f t="shared" si="1136"/>
        <v>#DIV/0!</v>
      </c>
      <c r="KF155" s="1539" t="e">
        <f t="shared" si="1136"/>
        <v>#DIV/0!</v>
      </c>
      <c r="KG155" s="672" t="e">
        <f t="shared" si="1136"/>
        <v>#DIV/0!</v>
      </c>
      <c r="KH155" s="619" t="e">
        <f t="shared" si="1136"/>
        <v>#DIV/0!</v>
      </c>
      <c r="KI155" s="619" t="s">
        <v>93</v>
      </c>
      <c r="KJ155" s="38" t="s">
        <v>93</v>
      </c>
      <c r="KK155" s="672" t="e">
        <f>KK154/KK153*100</f>
        <v>#DIV/0!</v>
      </c>
      <c r="KL155" s="619" t="e">
        <f t="shared" ref="KL155:KZ155" si="1137">KL154/KL153*100</f>
        <v>#DIV/0!</v>
      </c>
      <c r="KM155" s="675" t="e">
        <f t="shared" si="1137"/>
        <v>#VALUE!</v>
      </c>
      <c r="KN155" s="672" t="e">
        <f t="shared" si="1137"/>
        <v>#VALUE!</v>
      </c>
      <c r="KO155" s="672" t="e">
        <f t="shared" si="1137"/>
        <v>#REF!</v>
      </c>
      <c r="KP155" s="675" t="e">
        <f t="shared" si="1137"/>
        <v>#VALUE!</v>
      </c>
      <c r="KQ155" s="672" t="e">
        <f t="shared" si="1137"/>
        <v>#VALUE!</v>
      </c>
      <c r="KR155" s="672" t="e">
        <f t="shared" si="1137"/>
        <v>#VALUE!</v>
      </c>
      <c r="KS155" s="672" t="e">
        <f>KS154/KS153*100</f>
        <v>#VALUE!</v>
      </c>
      <c r="KT155" s="672" t="e">
        <f t="shared" si="1137"/>
        <v>#VALUE!</v>
      </c>
      <c r="KU155" s="676" t="e">
        <f t="shared" si="1137"/>
        <v>#VALUE!</v>
      </c>
      <c r="KV155" s="688" t="e">
        <f t="shared" si="1137"/>
        <v>#DIV/0!</v>
      </c>
      <c r="KW155" s="1538" t="e">
        <f t="shared" si="1137"/>
        <v>#DIV/0!</v>
      </c>
      <c r="KX155" s="1539" t="e">
        <f t="shared" si="1137"/>
        <v>#DIV/0!</v>
      </c>
      <c r="KY155" s="672" t="e">
        <f t="shared" si="1137"/>
        <v>#DIV/0!</v>
      </c>
      <c r="KZ155" s="619" t="e">
        <f t="shared" si="1137"/>
        <v>#DIV/0!</v>
      </c>
      <c r="LA155" s="619" t="s">
        <v>93</v>
      </c>
      <c r="LB155" s="38" t="s">
        <v>93</v>
      </c>
      <c r="LC155" s="672" t="e">
        <f>LC154/LC153*100</f>
        <v>#DIV/0!</v>
      </c>
      <c r="LD155" s="619" t="e">
        <f t="shared" ref="LD155:LR155" si="1138">LD154/LD153*100</f>
        <v>#DIV/0!</v>
      </c>
      <c r="LE155" s="675" t="e">
        <f t="shared" si="1138"/>
        <v>#VALUE!</v>
      </c>
      <c r="LF155" s="672" t="e">
        <f t="shared" si="1138"/>
        <v>#VALUE!</v>
      </c>
      <c r="LG155" s="672" t="e">
        <f t="shared" si="1138"/>
        <v>#REF!</v>
      </c>
      <c r="LH155" s="675" t="e">
        <f t="shared" si="1138"/>
        <v>#VALUE!</v>
      </c>
      <c r="LI155" s="672" t="e">
        <f t="shared" si="1138"/>
        <v>#VALUE!</v>
      </c>
      <c r="LJ155" s="672" t="e">
        <f t="shared" si="1138"/>
        <v>#VALUE!</v>
      </c>
      <c r="LK155" s="672" t="e">
        <f>LK154/LK153*100</f>
        <v>#VALUE!</v>
      </c>
      <c r="LL155" s="672" t="e">
        <f t="shared" si="1138"/>
        <v>#VALUE!</v>
      </c>
      <c r="LM155" s="676" t="e">
        <f t="shared" si="1138"/>
        <v>#VALUE!</v>
      </c>
      <c r="LN155" s="688" t="e">
        <f t="shared" si="1138"/>
        <v>#DIV/0!</v>
      </c>
      <c r="LO155" s="1538" t="e">
        <f t="shared" si="1138"/>
        <v>#DIV/0!</v>
      </c>
      <c r="LP155" s="1539" t="e">
        <f t="shared" si="1138"/>
        <v>#DIV/0!</v>
      </c>
      <c r="LQ155" s="672" t="e">
        <f t="shared" si="1138"/>
        <v>#DIV/0!</v>
      </c>
      <c r="LR155" s="619" t="e">
        <f t="shared" si="1138"/>
        <v>#DIV/0!</v>
      </c>
      <c r="LS155" s="619" t="s">
        <v>93</v>
      </c>
      <c r="LT155" s="38" t="s">
        <v>93</v>
      </c>
      <c r="LU155" s="672" t="e">
        <f>LU154/LU153*100</f>
        <v>#DIV/0!</v>
      </c>
      <c r="LV155" s="619" t="e">
        <f t="shared" ref="LV155:MJ155" si="1139">LV154/LV153*100</f>
        <v>#DIV/0!</v>
      </c>
      <c r="LW155" s="675" t="e">
        <f t="shared" si="1139"/>
        <v>#VALUE!</v>
      </c>
      <c r="LX155" s="672" t="e">
        <f t="shared" si="1139"/>
        <v>#VALUE!</v>
      </c>
      <c r="LY155" s="672" t="e">
        <f t="shared" si="1139"/>
        <v>#REF!</v>
      </c>
      <c r="LZ155" s="675" t="e">
        <f t="shared" si="1139"/>
        <v>#VALUE!</v>
      </c>
      <c r="MA155" s="672" t="e">
        <f t="shared" si="1139"/>
        <v>#VALUE!</v>
      </c>
      <c r="MB155" s="672" t="e">
        <f t="shared" si="1139"/>
        <v>#VALUE!</v>
      </c>
      <c r="MC155" s="672" t="e">
        <f>MC154/MC153*100</f>
        <v>#VALUE!</v>
      </c>
      <c r="MD155" s="672" t="e">
        <f t="shared" si="1139"/>
        <v>#VALUE!</v>
      </c>
      <c r="ME155" s="676" t="e">
        <f t="shared" si="1139"/>
        <v>#VALUE!</v>
      </c>
      <c r="MF155" s="688" t="e">
        <f t="shared" si="1139"/>
        <v>#DIV/0!</v>
      </c>
      <c r="MG155" s="1538" t="e">
        <f t="shared" si="1139"/>
        <v>#DIV/0!</v>
      </c>
      <c r="MH155" s="1539" t="e">
        <f t="shared" si="1139"/>
        <v>#DIV/0!</v>
      </c>
      <c r="MI155" s="672" t="e">
        <f t="shared" si="1139"/>
        <v>#DIV/0!</v>
      </c>
      <c r="MJ155" s="619" t="e">
        <f t="shared" si="1139"/>
        <v>#DIV/0!</v>
      </c>
      <c r="MK155" s="619" t="s">
        <v>93</v>
      </c>
      <c r="ML155" s="38" t="s">
        <v>93</v>
      </c>
      <c r="MM155" s="672" t="e">
        <f>MM154/MM153*100</f>
        <v>#DIV/0!</v>
      </c>
      <c r="MN155" s="619" t="e">
        <f t="shared" ref="MN155:NB155" si="1140">MN154/MN153*100</f>
        <v>#DIV/0!</v>
      </c>
      <c r="MO155" s="675" t="e">
        <f t="shared" si="1140"/>
        <v>#VALUE!</v>
      </c>
      <c r="MP155" s="672" t="e">
        <f t="shared" si="1140"/>
        <v>#VALUE!</v>
      </c>
      <c r="MQ155" s="672" t="e">
        <f t="shared" si="1140"/>
        <v>#REF!</v>
      </c>
      <c r="MR155" s="675" t="e">
        <f t="shared" si="1140"/>
        <v>#VALUE!</v>
      </c>
      <c r="MS155" s="672" t="e">
        <f t="shared" si="1140"/>
        <v>#VALUE!</v>
      </c>
      <c r="MT155" s="672" t="e">
        <f t="shared" si="1140"/>
        <v>#VALUE!</v>
      </c>
      <c r="MU155" s="672" t="e">
        <f>MU154/MU153*100</f>
        <v>#VALUE!</v>
      </c>
      <c r="MV155" s="672" t="e">
        <f t="shared" si="1140"/>
        <v>#VALUE!</v>
      </c>
      <c r="MW155" s="676" t="e">
        <f t="shared" si="1140"/>
        <v>#VALUE!</v>
      </c>
      <c r="MX155" s="688" t="e">
        <f t="shared" si="1140"/>
        <v>#DIV/0!</v>
      </c>
      <c r="MY155" s="1538" t="e">
        <f t="shared" si="1140"/>
        <v>#DIV/0!</v>
      </c>
      <c r="MZ155" s="1539" t="e">
        <f t="shared" si="1140"/>
        <v>#DIV/0!</v>
      </c>
      <c r="NA155" s="672" t="e">
        <f t="shared" si="1140"/>
        <v>#DIV/0!</v>
      </c>
      <c r="NB155" s="619" t="e">
        <f t="shared" si="1140"/>
        <v>#DIV/0!</v>
      </c>
      <c r="NC155" s="619" t="s">
        <v>93</v>
      </c>
      <c r="ND155" s="38" t="s">
        <v>93</v>
      </c>
      <c r="NE155" s="672" t="e">
        <f>NE154/NE153*100</f>
        <v>#DIV/0!</v>
      </c>
      <c r="NF155" s="619" t="e">
        <f t="shared" ref="NF155:NT155" si="1141">NF154/NF153*100</f>
        <v>#DIV/0!</v>
      </c>
      <c r="NG155" s="675" t="e">
        <f t="shared" si="1141"/>
        <v>#VALUE!</v>
      </c>
      <c r="NH155" s="672" t="e">
        <f t="shared" si="1141"/>
        <v>#VALUE!</v>
      </c>
      <c r="NI155" s="672" t="e">
        <f t="shared" si="1141"/>
        <v>#REF!</v>
      </c>
      <c r="NJ155" s="675" t="e">
        <f t="shared" si="1141"/>
        <v>#VALUE!</v>
      </c>
      <c r="NK155" s="672" t="e">
        <f t="shared" si="1141"/>
        <v>#VALUE!</v>
      </c>
      <c r="NL155" s="672" t="e">
        <f t="shared" si="1141"/>
        <v>#VALUE!</v>
      </c>
      <c r="NM155" s="672" t="e">
        <f>NM154/NM153*100</f>
        <v>#VALUE!</v>
      </c>
      <c r="NN155" s="672" t="e">
        <f t="shared" si="1141"/>
        <v>#VALUE!</v>
      </c>
      <c r="NO155" s="676" t="e">
        <f t="shared" si="1141"/>
        <v>#VALUE!</v>
      </c>
      <c r="NP155" s="688">
        <f t="shared" si="1141"/>
        <v>1.3682876652378333</v>
      </c>
      <c r="NQ155" s="1538">
        <f t="shared" si="1141"/>
        <v>1.3341637380878255</v>
      </c>
      <c r="NR155" s="1539">
        <f t="shared" si="1141"/>
        <v>0.16030553155854588</v>
      </c>
      <c r="NS155" s="672">
        <f t="shared" si="1141"/>
        <v>-2.1221848276384332</v>
      </c>
      <c r="NT155" s="619">
        <f t="shared" si="1141"/>
        <v>0</v>
      </c>
      <c r="NU155" s="619" t="s">
        <v>93</v>
      </c>
      <c r="NV155" s="38" t="s">
        <v>93</v>
      </c>
      <c r="NW155" s="672">
        <f>NW154/NW153*100</f>
        <v>-2.1221848276384332</v>
      </c>
      <c r="NX155" s="619">
        <f t="shared" ref="NX155:OL155" si="1142">NX154/NX153*100</f>
        <v>0.2499714942605977</v>
      </c>
      <c r="NY155" s="675">
        <f t="shared" si="1142"/>
        <v>-2.1080806497341795</v>
      </c>
      <c r="NZ155" s="672">
        <f t="shared" si="1142"/>
        <v>-2.1058433631682481</v>
      </c>
      <c r="OA155" s="672" t="e">
        <f t="shared" si="1142"/>
        <v>#REF!</v>
      </c>
      <c r="OB155" s="675">
        <f t="shared" si="1142"/>
        <v>2.1058433631682449</v>
      </c>
      <c r="OC155" s="672">
        <f t="shared" si="1142"/>
        <v>2.1058433631682476</v>
      </c>
      <c r="OD155" s="672">
        <f t="shared" si="1142"/>
        <v>2.1058433631682418</v>
      </c>
      <c r="OE155" s="672">
        <f>OE154/OE153*100</f>
        <v>2.1058433631682441</v>
      </c>
      <c r="OF155" s="672">
        <f t="shared" si="1142"/>
        <v>2.1058433631682441</v>
      </c>
      <c r="OG155" s="676">
        <f t="shared" si="1142"/>
        <v>2.1058433631682449</v>
      </c>
      <c r="OH155" s="688" t="e">
        <f t="shared" si="1142"/>
        <v>#DIV/0!</v>
      </c>
      <c r="OI155" s="1538" t="e">
        <f t="shared" si="1142"/>
        <v>#DIV/0!</v>
      </c>
      <c r="OJ155" s="1539" t="e">
        <f t="shared" si="1142"/>
        <v>#DIV/0!</v>
      </c>
      <c r="OK155" s="672" t="e">
        <f t="shared" si="1142"/>
        <v>#DIV/0!</v>
      </c>
      <c r="OL155" s="619" t="e">
        <f t="shared" si="1142"/>
        <v>#DIV/0!</v>
      </c>
      <c r="OM155" s="619" t="s">
        <v>93</v>
      </c>
      <c r="ON155" s="38" t="s">
        <v>93</v>
      </c>
      <c r="OO155" s="672" t="e">
        <f>OO154/OO153*100</f>
        <v>#DIV/0!</v>
      </c>
      <c r="OP155" s="619" t="e">
        <f t="shared" ref="OP155:PD155" si="1143">OP154/OP153*100</f>
        <v>#DIV/0!</v>
      </c>
      <c r="OQ155" s="675" t="e">
        <f t="shared" si="1143"/>
        <v>#VALUE!</v>
      </c>
      <c r="OR155" s="672" t="e">
        <f t="shared" si="1143"/>
        <v>#VALUE!</v>
      </c>
      <c r="OS155" s="672" t="e">
        <f t="shared" si="1143"/>
        <v>#REF!</v>
      </c>
      <c r="OT155" s="675" t="e">
        <f t="shared" si="1143"/>
        <v>#VALUE!</v>
      </c>
      <c r="OU155" s="672" t="e">
        <f t="shared" si="1143"/>
        <v>#VALUE!</v>
      </c>
      <c r="OV155" s="672" t="e">
        <f t="shared" si="1143"/>
        <v>#VALUE!</v>
      </c>
      <c r="OW155" s="672" t="e">
        <f>OW154/OW153*100</f>
        <v>#VALUE!</v>
      </c>
      <c r="OX155" s="672" t="e">
        <f t="shared" si="1143"/>
        <v>#VALUE!</v>
      </c>
      <c r="OY155" s="676" t="e">
        <f t="shared" si="1143"/>
        <v>#VALUE!</v>
      </c>
      <c r="OZ155" s="688">
        <f t="shared" si="1143"/>
        <v>1.349070338682675</v>
      </c>
      <c r="PA155" s="1538">
        <f t="shared" si="1143"/>
        <v>1.3341637380878255</v>
      </c>
      <c r="PB155" s="1539">
        <f t="shared" si="1143"/>
        <v>0.16573048401504037</v>
      </c>
      <c r="PC155" s="672">
        <f t="shared" si="1143"/>
        <v>-1.6476203755208703</v>
      </c>
      <c r="PD155" s="619">
        <f t="shared" si="1143"/>
        <v>0</v>
      </c>
      <c r="PE155" s="619" t="s">
        <v>93</v>
      </c>
      <c r="PF155" s="38" t="s">
        <v>93</v>
      </c>
      <c r="PG155" s="672">
        <f>PG154/PG153*100</f>
        <v>-1.6476203755208703</v>
      </c>
      <c r="PH155" s="619">
        <f t="shared" ref="PH155:PV155" si="1144">PH154/PH153*100</f>
        <v>0.2588686336608117</v>
      </c>
      <c r="PI155" s="675">
        <f t="shared" si="1144"/>
        <v>-1.6923260157254372</v>
      </c>
      <c r="PJ155" s="672">
        <f t="shared" si="1144"/>
        <v>-1.6942981340468823</v>
      </c>
      <c r="PK155" s="672" t="e">
        <f t="shared" si="1144"/>
        <v>#REF!</v>
      </c>
      <c r="PL155" s="675">
        <f t="shared" si="1144"/>
        <v>1.6942981340468832</v>
      </c>
      <c r="PM155" s="672">
        <f t="shared" si="1144"/>
        <v>1.6942981340468812</v>
      </c>
      <c r="PN155" s="672">
        <f t="shared" si="1144"/>
        <v>1.6942981340468812</v>
      </c>
      <c r="PO155" s="672">
        <f>PO154/PO153*100</f>
        <v>1.6942981340468874</v>
      </c>
      <c r="PP155" s="672">
        <f t="shared" si="1144"/>
        <v>1.6942981340468874</v>
      </c>
      <c r="PQ155" s="676">
        <f t="shared" si="1144"/>
        <v>1.6942981340468843</v>
      </c>
      <c r="PR155" s="688" t="e">
        <f t="shared" si="1144"/>
        <v>#DIV/0!</v>
      </c>
      <c r="PS155" s="1538" t="e">
        <f t="shared" si="1144"/>
        <v>#DIV/0!</v>
      </c>
      <c r="PT155" s="1539" t="e">
        <f t="shared" si="1144"/>
        <v>#DIV/0!</v>
      </c>
      <c r="PU155" s="672" t="e">
        <f t="shared" si="1144"/>
        <v>#DIV/0!</v>
      </c>
      <c r="PV155" s="619" t="e">
        <f t="shared" si="1144"/>
        <v>#DIV/0!</v>
      </c>
      <c r="PW155" s="619" t="s">
        <v>93</v>
      </c>
      <c r="PX155" s="38" t="s">
        <v>93</v>
      </c>
      <c r="PY155" s="672" t="e">
        <f>PY154/PY153*100</f>
        <v>#DIV/0!</v>
      </c>
      <c r="PZ155" s="619" t="e">
        <f t="shared" ref="PZ155:QN155" si="1145">PZ154/PZ153*100</f>
        <v>#DIV/0!</v>
      </c>
      <c r="QA155" s="675" t="e">
        <f t="shared" si="1145"/>
        <v>#VALUE!</v>
      </c>
      <c r="QB155" s="672" t="e">
        <f t="shared" si="1145"/>
        <v>#VALUE!</v>
      </c>
      <c r="QC155" s="672" t="e">
        <f t="shared" si="1145"/>
        <v>#REF!</v>
      </c>
      <c r="QD155" s="675" t="e">
        <f t="shared" si="1145"/>
        <v>#VALUE!</v>
      </c>
      <c r="QE155" s="672" t="e">
        <f t="shared" si="1145"/>
        <v>#VALUE!</v>
      </c>
      <c r="QF155" s="672" t="e">
        <f t="shared" si="1145"/>
        <v>#VALUE!</v>
      </c>
      <c r="QG155" s="672" t="e">
        <f>QG154/QG153*100</f>
        <v>#VALUE!</v>
      </c>
      <c r="QH155" s="672" t="e">
        <f t="shared" si="1145"/>
        <v>#VALUE!</v>
      </c>
      <c r="QI155" s="676" t="e">
        <f t="shared" si="1145"/>
        <v>#VALUE!</v>
      </c>
      <c r="QJ155" s="688" t="e">
        <f t="shared" si="1145"/>
        <v>#DIV/0!</v>
      </c>
      <c r="QK155" s="1538" t="e">
        <f t="shared" si="1145"/>
        <v>#DIV/0!</v>
      </c>
      <c r="QL155" s="1539" t="e">
        <f t="shared" si="1145"/>
        <v>#DIV/0!</v>
      </c>
      <c r="QM155" s="672" t="e">
        <f t="shared" si="1145"/>
        <v>#DIV/0!</v>
      </c>
      <c r="QN155" s="619" t="e">
        <f t="shared" si="1145"/>
        <v>#DIV/0!</v>
      </c>
      <c r="QO155" s="619" t="s">
        <v>93</v>
      </c>
      <c r="QP155" s="38" t="s">
        <v>93</v>
      </c>
      <c r="QQ155" s="672" t="e">
        <f>QQ154/QQ153*100</f>
        <v>#DIV/0!</v>
      </c>
      <c r="QR155" s="619" t="e">
        <f t="shared" ref="QR155:RF155" si="1146">QR154/QR153*100</f>
        <v>#DIV/0!</v>
      </c>
      <c r="QS155" s="675" t="e">
        <f t="shared" si="1146"/>
        <v>#VALUE!</v>
      </c>
      <c r="QT155" s="672" t="e">
        <f t="shared" si="1146"/>
        <v>#VALUE!</v>
      </c>
      <c r="QU155" s="672" t="e">
        <f t="shared" si="1146"/>
        <v>#REF!</v>
      </c>
      <c r="QV155" s="675" t="e">
        <f t="shared" si="1146"/>
        <v>#VALUE!</v>
      </c>
      <c r="QW155" s="672" t="e">
        <f t="shared" si="1146"/>
        <v>#VALUE!</v>
      </c>
      <c r="QX155" s="672" t="e">
        <f t="shared" si="1146"/>
        <v>#VALUE!</v>
      </c>
      <c r="QY155" s="672" t="e">
        <f>QY154/QY153*100</f>
        <v>#VALUE!</v>
      </c>
      <c r="QZ155" s="672" t="e">
        <f t="shared" si="1146"/>
        <v>#VALUE!</v>
      </c>
      <c r="RA155" s="676" t="e">
        <f t="shared" si="1146"/>
        <v>#VALUE!</v>
      </c>
      <c r="RB155" s="688" t="e">
        <f t="shared" si="1146"/>
        <v>#DIV/0!</v>
      </c>
      <c r="RC155" s="1538" t="e">
        <f t="shared" si="1146"/>
        <v>#DIV/0!</v>
      </c>
      <c r="RD155" s="1539" t="e">
        <f t="shared" si="1146"/>
        <v>#DIV/0!</v>
      </c>
      <c r="RE155" s="672" t="e">
        <f t="shared" si="1146"/>
        <v>#DIV/0!</v>
      </c>
      <c r="RF155" s="619" t="e">
        <f t="shared" si="1146"/>
        <v>#DIV/0!</v>
      </c>
      <c r="RG155" s="619" t="s">
        <v>93</v>
      </c>
      <c r="RH155" s="38" t="s">
        <v>93</v>
      </c>
      <c r="RI155" s="672" t="e">
        <f>RI154/RI153*100</f>
        <v>#DIV/0!</v>
      </c>
      <c r="RJ155" s="619" t="e">
        <f t="shared" ref="RJ155:RX155" si="1147">RJ154/RJ153*100</f>
        <v>#DIV/0!</v>
      </c>
      <c r="RK155" s="675" t="e">
        <f t="shared" si="1147"/>
        <v>#VALUE!</v>
      </c>
      <c r="RL155" s="672" t="e">
        <f t="shared" si="1147"/>
        <v>#VALUE!</v>
      </c>
      <c r="RM155" s="672" t="e">
        <f t="shared" si="1147"/>
        <v>#REF!</v>
      </c>
      <c r="RN155" s="675" t="e">
        <f t="shared" si="1147"/>
        <v>#VALUE!</v>
      </c>
      <c r="RO155" s="672" t="e">
        <f t="shared" si="1147"/>
        <v>#VALUE!</v>
      </c>
      <c r="RP155" s="672" t="e">
        <f t="shared" si="1147"/>
        <v>#VALUE!</v>
      </c>
      <c r="RQ155" s="672" t="e">
        <f>RQ154/RQ153*100</f>
        <v>#VALUE!</v>
      </c>
      <c r="RR155" s="672" t="e">
        <f t="shared" si="1147"/>
        <v>#VALUE!</v>
      </c>
      <c r="RS155" s="676" t="e">
        <f t="shared" si="1147"/>
        <v>#VALUE!</v>
      </c>
      <c r="RT155" s="688" t="e">
        <f t="shared" si="1147"/>
        <v>#DIV/0!</v>
      </c>
      <c r="RU155" s="1538" t="e">
        <f t="shared" si="1147"/>
        <v>#DIV/0!</v>
      </c>
      <c r="RV155" s="619" t="e">
        <f t="shared" si="1147"/>
        <v>#DIV/0!</v>
      </c>
      <c r="RW155" s="674" t="e">
        <f t="shared" si="1147"/>
        <v>#DIV/0!</v>
      </c>
      <c r="RX155" s="619" t="e">
        <f t="shared" si="1147"/>
        <v>#DIV/0!</v>
      </c>
      <c r="RY155" s="619" t="s">
        <v>93</v>
      </c>
      <c r="RZ155" s="38" t="s">
        <v>93</v>
      </c>
      <c r="SA155" s="672" t="e">
        <f>SA154/SA153*100</f>
        <v>#DIV/0!</v>
      </c>
      <c r="SB155" s="619" t="e">
        <f t="shared" ref="SB155:SP155" si="1148">SB154/SB153*100</f>
        <v>#DIV/0!</v>
      </c>
      <c r="SC155" s="675" t="e">
        <f t="shared" si="1148"/>
        <v>#VALUE!</v>
      </c>
      <c r="SD155" s="672" t="e">
        <f t="shared" si="1148"/>
        <v>#VALUE!</v>
      </c>
      <c r="SE155" s="672" t="e">
        <f t="shared" si="1148"/>
        <v>#REF!</v>
      </c>
      <c r="SF155" s="675" t="e">
        <f t="shared" si="1148"/>
        <v>#VALUE!</v>
      </c>
      <c r="SG155" s="672" t="e">
        <f t="shared" si="1148"/>
        <v>#VALUE!</v>
      </c>
      <c r="SH155" s="672" t="e">
        <f t="shared" si="1148"/>
        <v>#VALUE!</v>
      </c>
      <c r="SI155" s="672" t="e">
        <f>SI154/SI153*100</f>
        <v>#VALUE!</v>
      </c>
      <c r="SJ155" s="672" t="e">
        <f t="shared" si="1148"/>
        <v>#VALUE!</v>
      </c>
      <c r="SK155" s="676" t="e">
        <f t="shared" si="1148"/>
        <v>#VALUE!</v>
      </c>
      <c r="SL155" s="688">
        <f t="shared" si="1148"/>
        <v>1.4220000287154932</v>
      </c>
      <c r="SM155" s="1538">
        <f t="shared" si="1148"/>
        <v>1.8867924528301887</v>
      </c>
      <c r="SN155" s="1539">
        <f t="shared" si="1148"/>
        <v>0.18281199650283961</v>
      </c>
      <c r="SO155" s="672">
        <f t="shared" si="1148"/>
        <v>-6.588078458684123</v>
      </c>
      <c r="SP155" s="619">
        <f t="shared" si="1148"/>
        <v>0</v>
      </c>
      <c r="SQ155" s="619" t="s">
        <v>93</v>
      </c>
      <c r="SR155" s="38" t="s">
        <v>93</v>
      </c>
      <c r="SS155" s="672">
        <f>SS154/SS153*100</f>
        <v>-6.5880784586841212</v>
      </c>
      <c r="ST155" s="619">
        <f t="shared" ref="ST155:TH155" si="1149">ST154/ST153*100</f>
        <v>0.28011348213884524</v>
      </c>
      <c r="SU155" s="675">
        <f t="shared" si="1149"/>
        <v>-6.6026834418247597</v>
      </c>
      <c r="SV155" s="672">
        <f t="shared" si="1149"/>
        <v>-6.66761739226415</v>
      </c>
      <c r="SW155" s="672" t="e">
        <f t="shared" si="1149"/>
        <v>#REF!</v>
      </c>
      <c r="SX155" s="675">
        <f t="shared" si="1149"/>
        <v>6.6676173922641482</v>
      </c>
      <c r="SY155" s="672">
        <f t="shared" si="1149"/>
        <v>6.6676173922641464</v>
      </c>
      <c r="SZ155" s="672">
        <f t="shared" si="1149"/>
        <v>6.6676173922641437</v>
      </c>
      <c r="TA155" s="672">
        <f>TA154/TA153*100</f>
        <v>6.6676173922641482</v>
      </c>
      <c r="TB155" s="672">
        <f t="shared" si="1149"/>
        <v>6.6676173922641482</v>
      </c>
      <c r="TC155" s="676">
        <f t="shared" si="1149"/>
        <v>6.6676173922641455</v>
      </c>
      <c r="TD155" s="688">
        <f t="shared" si="1149"/>
        <v>1.5466873362152724</v>
      </c>
      <c r="TE155" s="1538">
        <f t="shared" si="1149"/>
        <v>3.0542150046756475</v>
      </c>
      <c r="TF155" s="1539">
        <f t="shared" si="1149"/>
        <v>0.14113203138760053</v>
      </c>
      <c r="TG155" s="672">
        <f t="shared" si="1149"/>
        <v>-0.22666679954381977</v>
      </c>
      <c r="TH155" s="619">
        <f t="shared" si="1149"/>
        <v>0</v>
      </c>
      <c r="TI155" s="619" t="s">
        <v>93</v>
      </c>
      <c r="TJ155" s="38" t="s">
        <v>93</v>
      </c>
      <c r="TK155" s="672">
        <f>TK154/TK153*100</f>
        <v>-0.22666679954382049</v>
      </c>
      <c r="TL155" s="619">
        <f t="shared" ref="TL155:TZ155" si="1150">TL154/TL153*100</f>
        <v>0.24716880727648247</v>
      </c>
      <c r="TM155" s="675">
        <f t="shared" si="1150"/>
        <v>-0.26102650608308764</v>
      </c>
      <c r="TN155" s="672">
        <f t="shared" si="1150"/>
        <v>-0.26105584674660054</v>
      </c>
      <c r="TO155" s="672" t="e">
        <f t="shared" si="1150"/>
        <v>#REF!</v>
      </c>
      <c r="TP155" s="675">
        <f t="shared" si="1150"/>
        <v>0.26105584674659565</v>
      </c>
      <c r="TQ155" s="672">
        <f t="shared" si="1150"/>
        <v>0.26105584674659532</v>
      </c>
      <c r="TR155" s="672">
        <f t="shared" si="1150"/>
        <v>0.26105584674659726</v>
      </c>
      <c r="TS155" s="672">
        <f>TS154/TS153*100</f>
        <v>0.26105584674659821</v>
      </c>
      <c r="TT155" s="672">
        <f t="shared" si="1150"/>
        <v>0.26105584674659821</v>
      </c>
      <c r="TU155" s="676">
        <f t="shared" si="1150"/>
        <v>0.26105584674659127</v>
      </c>
      <c r="TV155" s="688" t="e">
        <f t="shared" si="1150"/>
        <v>#DIV/0!</v>
      </c>
      <c r="TW155" s="1538" t="e">
        <f t="shared" si="1150"/>
        <v>#DIV/0!</v>
      </c>
      <c r="TX155" s="1539" t="e">
        <f t="shared" si="1150"/>
        <v>#DIV/0!</v>
      </c>
      <c r="TY155" s="672" t="e">
        <f t="shared" si="1150"/>
        <v>#DIV/0!</v>
      </c>
      <c r="TZ155" s="619" t="e">
        <f t="shared" si="1150"/>
        <v>#DIV/0!</v>
      </c>
      <c r="UA155" s="619" t="s">
        <v>93</v>
      </c>
      <c r="UB155" s="38" t="s">
        <v>93</v>
      </c>
      <c r="UC155" s="672" t="e">
        <f>UC154/UC153*100</f>
        <v>#DIV/0!</v>
      </c>
      <c r="UD155" s="619" t="e">
        <f t="shared" ref="UD155:UR155" si="1151">UD154/UD153*100</f>
        <v>#DIV/0!</v>
      </c>
      <c r="UE155" s="675" t="e">
        <f t="shared" si="1151"/>
        <v>#VALUE!</v>
      </c>
      <c r="UF155" s="672" t="e">
        <f t="shared" si="1151"/>
        <v>#VALUE!</v>
      </c>
      <c r="UG155" s="672" t="e">
        <f t="shared" si="1151"/>
        <v>#REF!</v>
      </c>
      <c r="UH155" s="675" t="e">
        <f t="shared" si="1151"/>
        <v>#VALUE!</v>
      </c>
      <c r="UI155" s="672" t="e">
        <f t="shared" si="1151"/>
        <v>#VALUE!</v>
      </c>
      <c r="UJ155" s="672" t="e">
        <f t="shared" si="1151"/>
        <v>#VALUE!</v>
      </c>
      <c r="UK155" s="672" t="e">
        <f>UK154/UK153*100</f>
        <v>#VALUE!</v>
      </c>
      <c r="UL155" s="672" t="e">
        <f t="shared" si="1151"/>
        <v>#VALUE!</v>
      </c>
      <c r="UM155" s="676" t="e">
        <f t="shared" si="1151"/>
        <v>#VALUE!</v>
      </c>
      <c r="UN155" s="688">
        <f t="shared" si="1151"/>
        <v>1.2820457040713202</v>
      </c>
      <c r="UO155" s="1538">
        <f t="shared" si="1151"/>
        <v>3.3004693394830844</v>
      </c>
      <c r="UP155" s="1539">
        <f t="shared" si="1151"/>
        <v>0.13302010574061804</v>
      </c>
      <c r="UQ155" s="672">
        <f t="shared" si="1151"/>
        <v>-11.186860447122983</v>
      </c>
      <c r="UR155" s="619">
        <f t="shared" si="1151"/>
        <v>0</v>
      </c>
      <c r="US155" s="619" t="s">
        <v>93</v>
      </c>
      <c r="UT155" s="38" t="s">
        <v>93</v>
      </c>
      <c r="UU155" s="672">
        <f>UU154/UU153*100</f>
        <v>-11.18686044712298</v>
      </c>
      <c r="UV155" s="619">
        <f t="shared" ref="UV155:VE155" si="1152">UV154/UV153*100</f>
        <v>0.21843116004379462</v>
      </c>
      <c r="UW155" s="675">
        <f t="shared" si="1152"/>
        <v>-11.350576956190878</v>
      </c>
      <c r="UX155" s="672">
        <f t="shared" si="1152"/>
        <v>-11.357421118959451</v>
      </c>
      <c r="UY155" s="672" t="e">
        <f t="shared" si="1152"/>
        <v>#REF!</v>
      </c>
      <c r="UZ155" s="675">
        <f t="shared" si="1152"/>
        <v>11.357421118959451</v>
      </c>
      <c r="VA155" s="672">
        <f t="shared" si="1152"/>
        <v>11.357421118959445</v>
      </c>
      <c r="VB155" s="672">
        <f t="shared" si="1152"/>
        <v>11.357421118959447</v>
      </c>
      <c r="VC155" s="672">
        <f>VC154/VC153*100</f>
        <v>11.357421118959447</v>
      </c>
      <c r="VD155" s="672">
        <f t="shared" si="1152"/>
        <v>11.357421118959447</v>
      </c>
      <c r="VE155" s="676">
        <f t="shared" si="1152"/>
        <v>11.357421118959452</v>
      </c>
    </row>
    <row r="156" spans="1:577" ht="15.75" thickBot="1" x14ac:dyDescent="0.3">
      <c r="A156" s="1541" t="s">
        <v>1059</v>
      </c>
      <c r="B156" s="699"/>
      <c r="C156" s="700"/>
      <c r="D156" s="700"/>
      <c r="E156" s="604"/>
      <c r="F156" s="700"/>
      <c r="G156" s="700"/>
      <c r="H156" s="700"/>
      <c r="I156" s="604"/>
      <c r="J156" s="700"/>
      <c r="K156" s="698"/>
      <c r="L156" s="604"/>
      <c r="M156" s="604"/>
      <c r="N156" s="697"/>
      <c r="O156" s="604"/>
      <c r="P156" s="19"/>
      <c r="Q156" s="604"/>
      <c r="R156" s="604"/>
      <c r="S156" s="607"/>
      <c r="T156" s="1535"/>
      <c r="U156" s="1535"/>
      <c r="V156" s="1536"/>
      <c r="W156" s="604"/>
      <c r="X156" s="700"/>
      <c r="Y156" s="700"/>
      <c r="Z156" s="700"/>
      <c r="AA156" s="604"/>
      <c r="AB156" s="700"/>
      <c r="AC156" s="698"/>
      <c r="AD156" s="604"/>
      <c r="AE156" s="604"/>
      <c r="AF156" s="697"/>
      <c r="AG156" s="604"/>
      <c r="AH156" s="604"/>
      <c r="AI156" s="604"/>
      <c r="AJ156" s="604"/>
      <c r="AK156" s="607"/>
      <c r="AL156" s="1535"/>
      <c r="AM156" s="1535"/>
      <c r="AN156" s="1536"/>
      <c r="AO156" s="604"/>
      <c r="AP156" s="700"/>
      <c r="AQ156" s="700"/>
      <c r="AR156" s="700"/>
      <c r="AS156" s="604"/>
      <c r="AT156" s="700"/>
      <c r="AU156" s="698"/>
      <c r="AV156" s="604"/>
      <c r="AW156" s="604"/>
      <c r="AX156" s="697"/>
      <c r="AY156" s="604"/>
      <c r="AZ156" s="604"/>
      <c r="BA156" s="604"/>
      <c r="BB156" s="604"/>
      <c r="BC156" s="607"/>
      <c r="BD156" s="699"/>
      <c r="BE156" s="1535"/>
      <c r="BF156" s="1536"/>
      <c r="BG156" s="604"/>
      <c r="BH156" s="700"/>
      <c r="BI156" s="700"/>
      <c r="BJ156" s="700"/>
      <c r="BK156" s="604"/>
      <c r="BL156" s="700"/>
      <c r="BM156" s="698"/>
      <c r="BN156" s="604"/>
      <c r="BO156" s="604"/>
      <c r="BP156" s="697"/>
      <c r="BQ156" s="604"/>
      <c r="BR156" s="19"/>
      <c r="BS156" s="604"/>
      <c r="BT156" s="604"/>
      <c r="BU156" s="607"/>
      <c r="BV156" s="699"/>
      <c r="BW156" s="1535"/>
      <c r="BX156" s="1536"/>
      <c r="BY156" s="604"/>
      <c r="BZ156" s="700"/>
      <c r="CA156" s="700"/>
      <c r="CB156" s="700"/>
      <c r="CC156" s="604"/>
      <c r="CD156" s="700"/>
      <c r="CE156" s="698"/>
      <c r="CF156" s="604"/>
      <c r="CG156" s="604"/>
      <c r="CH156" s="697"/>
      <c r="CI156" s="604"/>
      <c r="CJ156" s="19"/>
      <c r="CK156" s="604"/>
      <c r="CL156" s="604"/>
      <c r="CM156" s="607"/>
      <c r="CN156" s="699"/>
      <c r="CO156" s="1535"/>
      <c r="CP156" s="1536"/>
      <c r="CQ156" s="604"/>
      <c r="CR156" s="700"/>
      <c r="CS156" s="700"/>
      <c r="CT156" s="700"/>
      <c r="CU156" s="604"/>
      <c r="CV156" s="700"/>
      <c r="CW156" s="698"/>
      <c r="CX156" s="604"/>
      <c r="CY156" s="604"/>
      <c r="CZ156" s="697"/>
      <c r="DA156" s="604"/>
      <c r="DB156" s="19"/>
      <c r="DC156" s="604"/>
      <c r="DD156" s="604"/>
      <c r="DE156" s="607"/>
      <c r="DF156" s="699"/>
      <c r="DG156" s="1535"/>
      <c r="DH156" s="1536"/>
      <c r="DI156" s="604"/>
      <c r="DJ156" s="700"/>
      <c r="DK156" s="700"/>
      <c r="DL156" s="700"/>
      <c r="DM156" s="604"/>
      <c r="DN156" s="700"/>
      <c r="DO156" s="698"/>
      <c r="DP156" s="604"/>
      <c r="DQ156" s="604"/>
      <c r="DR156" s="697"/>
      <c r="DS156" s="604"/>
      <c r="DT156" s="604"/>
      <c r="DU156" s="604"/>
      <c r="DV156" s="604"/>
      <c r="DW156" s="607"/>
      <c r="DX156" s="699"/>
      <c r="DY156" s="1535"/>
      <c r="DZ156" s="1536"/>
      <c r="EA156" s="698"/>
      <c r="EB156" s="700"/>
      <c r="EC156" s="700"/>
      <c r="ED156" s="700"/>
      <c r="EE156" s="604"/>
      <c r="EF156" s="700"/>
      <c r="EG156" s="698"/>
      <c r="EH156" s="604"/>
      <c r="EI156" s="604"/>
      <c r="EJ156" s="697"/>
      <c r="EK156" s="604"/>
      <c r="EL156" s="604"/>
      <c r="EM156" s="604"/>
      <c r="EN156" s="604"/>
      <c r="EO156" s="607"/>
      <c r="EP156" s="699"/>
      <c r="EQ156" s="1535"/>
      <c r="ER156" s="1536"/>
      <c r="ES156" s="604"/>
      <c r="ET156" s="700"/>
      <c r="EU156" s="700"/>
      <c r="EV156" s="700"/>
      <c r="EW156" s="604"/>
      <c r="EX156" s="700"/>
      <c r="EY156" s="698"/>
      <c r="EZ156" s="604"/>
      <c r="FA156" s="604"/>
      <c r="FB156" s="697"/>
      <c r="FC156" s="604"/>
      <c r="FD156" s="19"/>
      <c r="FE156" s="604"/>
      <c r="FF156" s="604"/>
      <c r="FG156" s="607"/>
      <c r="FH156" s="699"/>
      <c r="FI156" s="1535"/>
      <c r="FJ156" s="1536"/>
      <c r="FK156" s="604"/>
      <c r="FL156" s="700"/>
      <c r="FM156" s="700"/>
      <c r="FN156" s="700"/>
      <c r="FO156" s="604"/>
      <c r="FP156" s="700"/>
      <c r="FQ156" s="698"/>
      <c r="FR156" s="604"/>
      <c r="FS156" s="604"/>
      <c r="FT156" s="697"/>
      <c r="FU156" s="604"/>
      <c r="FV156" s="604"/>
      <c r="FW156" s="604"/>
      <c r="FX156" s="604"/>
      <c r="FY156" s="607"/>
      <c r="FZ156" s="699"/>
      <c r="GA156" s="1535"/>
      <c r="GB156" s="1536"/>
      <c r="GC156" s="604"/>
      <c r="GD156" s="700"/>
      <c r="GE156" s="700"/>
      <c r="GF156" s="700"/>
      <c r="GG156" s="604"/>
      <c r="GH156" s="700"/>
      <c r="GI156" s="698"/>
      <c r="GJ156" s="604"/>
      <c r="GK156" s="604"/>
      <c r="GL156" s="697"/>
      <c r="GM156" s="604"/>
      <c r="GN156" s="604"/>
      <c r="GO156" s="604"/>
      <c r="GP156" s="604"/>
      <c r="GQ156" s="607"/>
      <c r="GR156" s="699"/>
      <c r="GS156" s="1535"/>
      <c r="GT156" s="1536"/>
      <c r="GU156" s="698"/>
      <c r="GV156" s="700"/>
      <c r="GW156" s="700"/>
      <c r="GX156" s="700"/>
      <c r="GY156" s="604"/>
      <c r="GZ156" s="700"/>
      <c r="HA156" s="698"/>
      <c r="HB156" s="604"/>
      <c r="HC156" s="604"/>
      <c r="HD156" s="697"/>
      <c r="HE156" s="604"/>
      <c r="HF156" s="604"/>
      <c r="HG156" s="604"/>
      <c r="HH156" s="604"/>
      <c r="HI156" s="607"/>
      <c r="HJ156" s="699"/>
      <c r="HK156" s="1535"/>
      <c r="HL156" s="1536"/>
      <c r="HM156" s="604"/>
      <c r="HN156" s="700"/>
      <c r="HO156" s="700"/>
      <c r="HP156" s="700"/>
      <c r="HQ156" s="604"/>
      <c r="HR156" s="700"/>
      <c r="HS156" s="698"/>
      <c r="HT156" s="604"/>
      <c r="HU156" s="604"/>
      <c r="HV156" s="697"/>
      <c r="HW156" s="604"/>
      <c r="HX156" s="604"/>
      <c r="HY156" s="604"/>
      <c r="HZ156" s="604"/>
      <c r="IA156" s="607"/>
      <c r="IB156" s="699"/>
      <c r="IC156" s="1535"/>
      <c r="ID156" s="1536"/>
      <c r="IE156" s="604"/>
      <c r="IF156" s="700"/>
      <c r="IG156" s="700"/>
      <c r="IH156" s="700"/>
      <c r="II156" s="604"/>
      <c r="IJ156" s="700"/>
      <c r="IK156" s="698"/>
      <c r="IL156" s="604"/>
      <c r="IM156" s="604"/>
      <c r="IN156" s="697"/>
      <c r="IO156" s="604"/>
      <c r="IP156" s="604"/>
      <c r="IQ156" s="604"/>
      <c r="IR156" s="604"/>
      <c r="IS156" s="607"/>
      <c r="IT156" s="699"/>
      <c r="IU156" s="1535"/>
      <c r="IV156" s="1536"/>
      <c r="IW156" s="604"/>
      <c r="IX156" s="700"/>
      <c r="IY156" s="700"/>
      <c r="IZ156" s="700"/>
      <c r="JA156" s="604"/>
      <c r="JB156" s="700"/>
      <c r="JC156" s="698"/>
      <c r="JD156" s="604"/>
      <c r="JE156" s="604"/>
      <c r="JF156" s="697"/>
      <c r="JG156" s="604"/>
      <c r="JH156" s="604"/>
      <c r="JI156" s="604"/>
      <c r="JJ156" s="604"/>
      <c r="JK156" s="607"/>
      <c r="JL156" s="699"/>
      <c r="JM156" s="1535"/>
      <c r="JN156" s="1536"/>
      <c r="JO156" s="604"/>
      <c r="JP156" s="700"/>
      <c r="JQ156" s="700"/>
      <c r="JR156" s="700"/>
      <c r="JS156" s="604"/>
      <c r="JT156" s="700"/>
      <c r="JU156" s="698"/>
      <c r="JV156" s="604"/>
      <c r="JW156" s="604"/>
      <c r="JX156" s="697"/>
      <c r="JY156" s="604"/>
      <c r="JZ156" s="604"/>
      <c r="KA156" s="604"/>
      <c r="KB156" s="604"/>
      <c r="KC156" s="607"/>
      <c r="KD156" s="699"/>
      <c r="KE156" s="1535"/>
      <c r="KF156" s="1536"/>
      <c r="KG156" s="604"/>
      <c r="KH156" s="700"/>
      <c r="KI156" s="700"/>
      <c r="KJ156" s="700"/>
      <c r="KK156" s="604"/>
      <c r="KL156" s="700"/>
      <c r="KM156" s="698"/>
      <c r="KN156" s="604"/>
      <c r="KO156" s="604"/>
      <c r="KP156" s="697"/>
      <c r="KQ156" s="604"/>
      <c r="KR156" s="604"/>
      <c r="KS156" s="604"/>
      <c r="KT156" s="604"/>
      <c r="KU156" s="607"/>
      <c r="KV156" s="699"/>
      <c r="KW156" s="1535"/>
      <c r="KX156" s="1536"/>
      <c r="KY156" s="604"/>
      <c r="KZ156" s="700"/>
      <c r="LA156" s="700"/>
      <c r="LB156" s="700"/>
      <c r="LC156" s="604"/>
      <c r="LD156" s="700"/>
      <c r="LE156" s="698"/>
      <c r="LF156" s="604"/>
      <c r="LG156" s="604"/>
      <c r="LH156" s="697"/>
      <c r="LI156" s="604"/>
      <c r="LJ156" s="604"/>
      <c r="LK156" s="604"/>
      <c r="LL156" s="604"/>
      <c r="LM156" s="607"/>
      <c r="LN156" s="699"/>
      <c r="LO156" s="1535"/>
      <c r="LP156" s="1536"/>
      <c r="LQ156" s="604"/>
      <c r="LR156" s="700"/>
      <c r="LS156" s="700"/>
      <c r="LT156" s="700"/>
      <c r="LU156" s="604"/>
      <c r="LV156" s="700"/>
      <c r="LW156" s="698"/>
      <c r="LX156" s="604"/>
      <c r="LY156" s="604"/>
      <c r="LZ156" s="697"/>
      <c r="MA156" s="604"/>
      <c r="MB156" s="604"/>
      <c r="MC156" s="604"/>
      <c r="MD156" s="604"/>
      <c r="ME156" s="607"/>
      <c r="MF156" s="699"/>
      <c r="MG156" s="1535"/>
      <c r="MH156" s="1536"/>
      <c r="MI156" s="604"/>
      <c r="MJ156" s="700"/>
      <c r="MK156" s="700"/>
      <c r="ML156" s="700"/>
      <c r="MM156" s="604"/>
      <c r="MN156" s="700"/>
      <c r="MO156" s="698"/>
      <c r="MP156" s="604"/>
      <c r="MQ156" s="604"/>
      <c r="MR156" s="697"/>
      <c r="MS156" s="604"/>
      <c r="MT156" s="604"/>
      <c r="MU156" s="604"/>
      <c r="MV156" s="604"/>
      <c r="MW156" s="607"/>
      <c r="MX156" s="699"/>
      <c r="MY156" s="1535"/>
      <c r="MZ156" s="1536"/>
      <c r="NA156" s="604"/>
      <c r="NB156" s="700"/>
      <c r="NC156" s="700"/>
      <c r="ND156" s="700"/>
      <c r="NE156" s="604"/>
      <c r="NF156" s="700"/>
      <c r="NG156" s="698"/>
      <c r="NH156" s="604"/>
      <c r="NI156" s="604"/>
      <c r="NJ156" s="697"/>
      <c r="NK156" s="604"/>
      <c r="NL156" s="604"/>
      <c r="NM156" s="604"/>
      <c r="NN156" s="604"/>
      <c r="NO156" s="607"/>
      <c r="NP156" s="699"/>
      <c r="NQ156" s="1535"/>
      <c r="NR156" s="1536"/>
      <c r="NS156" s="604"/>
      <c r="NT156" s="700"/>
      <c r="NU156" s="700"/>
      <c r="NV156" s="700"/>
      <c r="NW156" s="604"/>
      <c r="NX156" s="700"/>
      <c r="NY156" s="698"/>
      <c r="NZ156" s="604"/>
      <c r="OA156" s="604"/>
      <c r="OB156" s="697"/>
      <c r="OC156" s="604"/>
      <c r="OD156" s="19"/>
      <c r="OE156" s="604"/>
      <c r="OF156" s="604"/>
      <c r="OG156" s="607"/>
      <c r="OH156" s="699"/>
      <c r="OI156" s="1535"/>
      <c r="OJ156" s="1536"/>
      <c r="OK156" s="604"/>
      <c r="OL156" s="700"/>
      <c r="OM156" s="700"/>
      <c r="ON156" s="700"/>
      <c r="OO156" s="604"/>
      <c r="OP156" s="700"/>
      <c r="OQ156" s="698"/>
      <c r="OR156" s="604"/>
      <c r="OS156" s="604"/>
      <c r="OT156" s="697"/>
      <c r="OU156" s="604"/>
      <c r="OV156" s="604"/>
      <c r="OW156" s="604"/>
      <c r="OX156" s="604"/>
      <c r="OY156" s="607"/>
      <c r="OZ156" s="699"/>
      <c r="PA156" s="1535"/>
      <c r="PB156" s="1536"/>
      <c r="PC156" s="604"/>
      <c r="PD156" s="700"/>
      <c r="PE156" s="700"/>
      <c r="PF156" s="700"/>
      <c r="PG156" s="604"/>
      <c r="PH156" s="700"/>
      <c r="PI156" s="698"/>
      <c r="PJ156" s="604"/>
      <c r="PK156" s="604"/>
      <c r="PL156" s="697"/>
      <c r="PM156" s="604"/>
      <c r="PN156" s="19"/>
      <c r="PO156" s="604"/>
      <c r="PP156" s="604"/>
      <c r="PQ156" s="607"/>
      <c r="PR156" s="699"/>
      <c r="PS156" s="1535"/>
      <c r="PT156" s="1536"/>
      <c r="PU156" s="604"/>
      <c r="PV156" s="700"/>
      <c r="PW156" s="700"/>
      <c r="PX156" s="700"/>
      <c r="PY156" s="604"/>
      <c r="PZ156" s="700"/>
      <c r="QA156" s="698"/>
      <c r="QB156" s="604"/>
      <c r="QC156" s="604"/>
      <c r="QD156" s="697"/>
      <c r="QE156" s="604"/>
      <c r="QF156" s="604"/>
      <c r="QG156" s="604"/>
      <c r="QH156" s="604"/>
      <c r="QI156" s="607"/>
      <c r="QJ156" s="699"/>
      <c r="QK156" s="1535"/>
      <c r="QL156" s="1536"/>
      <c r="QM156" s="604"/>
      <c r="QN156" s="700"/>
      <c r="QO156" s="700"/>
      <c r="QP156" s="700"/>
      <c r="QQ156" s="604"/>
      <c r="QR156" s="700"/>
      <c r="QS156" s="698"/>
      <c r="QT156" s="604"/>
      <c r="QU156" s="604"/>
      <c r="QV156" s="697"/>
      <c r="QW156" s="604"/>
      <c r="QX156" s="604"/>
      <c r="QY156" s="604"/>
      <c r="QZ156" s="604"/>
      <c r="RA156" s="607"/>
      <c r="RB156" s="699"/>
      <c r="RC156" s="1535"/>
      <c r="RD156" s="1536"/>
      <c r="RE156" s="604"/>
      <c r="RF156" s="700"/>
      <c r="RG156" s="700"/>
      <c r="RH156" s="700"/>
      <c r="RI156" s="604"/>
      <c r="RJ156" s="700"/>
      <c r="RK156" s="698"/>
      <c r="RL156" s="604"/>
      <c r="RM156" s="604"/>
      <c r="RN156" s="697"/>
      <c r="RO156" s="604"/>
      <c r="RP156" s="604"/>
      <c r="RQ156" s="604"/>
      <c r="RR156" s="604"/>
      <c r="RS156" s="607"/>
      <c r="RT156" s="699"/>
      <c r="RU156" s="1535"/>
      <c r="RV156" s="1535"/>
      <c r="RW156" s="698"/>
      <c r="RX156" s="700"/>
      <c r="RY156" s="700"/>
      <c r="RZ156" s="700"/>
      <c r="SA156" s="604"/>
      <c r="SB156" s="700"/>
      <c r="SC156" s="698"/>
      <c r="SD156" s="604"/>
      <c r="SE156" s="604"/>
      <c r="SF156" s="697"/>
      <c r="SG156" s="604"/>
      <c r="SH156" s="604"/>
      <c r="SI156" s="604"/>
      <c r="SJ156" s="604"/>
      <c r="SK156" s="607"/>
      <c r="SL156" s="699"/>
      <c r="SM156" s="1535"/>
      <c r="SN156" s="1536"/>
      <c r="SO156" s="604"/>
      <c r="SP156" s="700"/>
      <c r="SQ156" s="700"/>
      <c r="SR156" s="700"/>
      <c r="SS156" s="604"/>
      <c r="ST156" s="700"/>
      <c r="SU156" s="698"/>
      <c r="SV156" s="604"/>
      <c r="SW156" s="604"/>
      <c r="SX156" s="697"/>
      <c r="SY156" s="604"/>
      <c r="SZ156" s="19"/>
      <c r="TA156" s="604"/>
      <c r="TB156" s="604"/>
      <c r="TC156" s="607"/>
      <c r="TD156" s="699"/>
      <c r="TE156" s="1535"/>
      <c r="TF156" s="1536"/>
      <c r="TG156" s="604"/>
      <c r="TH156" s="700"/>
      <c r="TI156" s="700"/>
      <c r="TJ156" s="700"/>
      <c r="TK156" s="604"/>
      <c r="TL156" s="700"/>
      <c r="TM156" s="698"/>
      <c r="TN156" s="604"/>
      <c r="TO156" s="604"/>
      <c r="TP156" s="697"/>
      <c r="TQ156" s="604"/>
      <c r="TR156" s="19"/>
      <c r="TS156" s="604"/>
      <c r="TT156" s="604"/>
      <c r="TU156" s="607"/>
      <c r="TV156" s="699"/>
      <c r="TW156" s="1535"/>
      <c r="TX156" s="1536"/>
      <c r="TY156" s="604"/>
      <c r="TZ156" s="700"/>
      <c r="UA156" s="700"/>
      <c r="UB156" s="700"/>
      <c r="UC156" s="604"/>
      <c r="UD156" s="700"/>
      <c r="UE156" s="698"/>
      <c r="UF156" s="604"/>
      <c r="UG156" s="604"/>
      <c r="UH156" s="697"/>
      <c r="UI156" s="604"/>
      <c r="UJ156" s="604"/>
      <c r="UK156" s="604"/>
      <c r="UL156" s="604"/>
      <c r="UM156" s="607"/>
      <c r="UN156" s="699"/>
      <c r="UO156" s="1535"/>
      <c r="UP156" s="1536"/>
      <c r="UQ156" s="604"/>
      <c r="UR156" s="700"/>
      <c r="US156" s="700"/>
      <c r="UT156" s="700"/>
      <c r="UU156" s="604"/>
      <c r="UV156" s="700"/>
      <c r="UW156" s="698"/>
      <c r="UX156" s="604"/>
      <c r="UY156" s="604"/>
      <c r="UZ156" s="697"/>
      <c r="VA156" s="604"/>
      <c r="VB156" s="19"/>
      <c r="VC156" s="604"/>
      <c r="VD156" s="604"/>
      <c r="VE156" s="607"/>
    </row>
    <row r="157" spans="1:577" x14ac:dyDescent="0.25">
      <c r="A157" s="2218">
        <v>300</v>
      </c>
      <c r="B157" s="2002">
        <v>19.899999999999999</v>
      </c>
      <c r="C157" s="2005">
        <v>52</v>
      </c>
      <c r="D157" s="2005">
        <v>1009.6</v>
      </c>
      <c r="E157" s="1998">
        <v>-2.1839999999999999E-9</v>
      </c>
      <c r="F157" s="667">
        <v>60</v>
      </c>
      <c r="G157" s="663">
        <v>44334</v>
      </c>
      <c r="H157" s="656" t="s">
        <v>1042</v>
      </c>
      <c r="I157" s="649">
        <f>IF(H157="Low",E157*$D$42,IF(H157="Med",E157*$D$43,IF(H157="High",E157*$D$44,"rango cal. out")))</f>
        <v>-2.1861839999999996E-9</v>
      </c>
      <c r="J157" s="652">
        <f>((273.2+B157)*$F$33/((273.2+$F$32)*D157))</f>
        <v>0.99647575349812523</v>
      </c>
      <c r="K157" s="653">
        <f>I157/F157*J157*EXP(-LN(2)/10990*($F$96-G157))</f>
        <v>-3.5957040745243987E-11</v>
      </c>
      <c r="L157" s="599">
        <f>K157-AVERAGE(S102:S103)</f>
        <v>-3.5933228777872487E-11</v>
      </c>
      <c r="M157" s="599" t="e">
        <f>ABS(#REF!*L157*3600)</f>
        <v>#REF!</v>
      </c>
      <c r="N157" s="657">
        <f>ABS($B$34*L157*3600)</f>
        <v>3.2598625147285923E-3</v>
      </c>
      <c r="O157" s="600">
        <f>N157*$C$87</f>
        <v>0.32598625147285926</v>
      </c>
      <c r="P157" s="599">
        <f>N157*$F$78</f>
        <v>3.9118350176743106E-3</v>
      </c>
      <c r="Q157" s="600">
        <f>N157*$F$83</f>
        <v>3.944433642821597E-3</v>
      </c>
      <c r="R157" s="599">
        <f>N157*$F$80</f>
        <v>3.944433642821597E-3</v>
      </c>
      <c r="S157" s="658">
        <f>N157*$F$79</f>
        <v>4.0748281434107407E-3</v>
      </c>
      <c r="T157" s="659"/>
      <c r="U157" s="660"/>
      <c r="V157" s="661"/>
      <c r="W157" s="651"/>
      <c r="X157" s="662"/>
      <c r="Y157" s="663"/>
      <c r="Z157" s="656"/>
      <c r="AA157" s="649" t="str">
        <f>IF(Z157="Low",W157*$D$42,IF(Z157="Med",W157*$D$43,IF(Z157="High",W157*$D$44,"rango cal. out")))</f>
        <v>rango cal. out</v>
      </c>
      <c r="AB157" s="652" t="e">
        <f>((273.2+T157)*$F$33/((273.2+$F$32)*V157))</f>
        <v>#DIV/0!</v>
      </c>
      <c r="AC157" s="653" t="e">
        <f>AA157/X157*AB157*EXP(-LN(2)/10990*($F$96-Y157))</f>
        <v>#VALUE!</v>
      </c>
      <c r="AD157" s="599" t="e">
        <f>AC157-AVERAGE(#REF!)</f>
        <v>#VALUE!</v>
      </c>
      <c r="AE157" s="599" t="e">
        <f>ABS(#REF!*AD157*3600)</f>
        <v>#REF!</v>
      </c>
      <c r="AF157" s="657" t="e">
        <f>ABS($B$34*AD157*3600)</f>
        <v>#VALUE!</v>
      </c>
      <c r="AG157" s="600" t="e">
        <f>AF157*$C$87</f>
        <v>#VALUE!</v>
      </c>
      <c r="AH157" s="599" t="e">
        <f>AF157*$F$78</f>
        <v>#VALUE!</v>
      </c>
      <c r="AI157" s="600" t="e">
        <f>AF157*$F$83</f>
        <v>#VALUE!</v>
      </c>
      <c r="AJ157" s="599" t="e">
        <f>AF157*$F$80</f>
        <v>#VALUE!</v>
      </c>
      <c r="AK157" s="658" t="e">
        <f>AF157*$F$79</f>
        <v>#VALUE!</v>
      </c>
      <c r="AL157" s="659"/>
      <c r="AM157" s="660"/>
      <c r="AN157" s="661"/>
      <c r="AO157" s="651"/>
      <c r="AP157" s="662"/>
      <c r="AQ157" s="663"/>
      <c r="AR157" s="656"/>
      <c r="AS157" s="649" t="str">
        <f>IF(AR157="Low",AO157*$D$42,IF(AR157="Med",AO157*$D$43,IF(AR157="High",AO157*$D$44,"rango cal. out")))</f>
        <v>rango cal. out</v>
      </c>
      <c r="AT157" s="652" t="e">
        <f>((273.2+AL157)*$F$33/((273.2+$F$32)*AN157))</f>
        <v>#DIV/0!</v>
      </c>
      <c r="AU157" s="653" t="e">
        <f>AS157/AP157*AT157*EXP(-LN(2)/10990*($F$96-AQ157))</f>
        <v>#VALUE!</v>
      </c>
      <c r="AV157" s="599" t="e">
        <f>AU157-AVERAGE(BC102:BC103)</f>
        <v>#VALUE!</v>
      </c>
      <c r="AW157" s="599" t="e">
        <f>ABS(#REF!*AV157*3600)</f>
        <v>#REF!</v>
      </c>
      <c r="AX157" s="657" t="e">
        <f>ABS($B$34*AV157*3600)</f>
        <v>#VALUE!</v>
      </c>
      <c r="AY157" s="600" t="e">
        <f>AX157*$C$87</f>
        <v>#VALUE!</v>
      </c>
      <c r="AZ157" s="599" t="e">
        <f>AX157*$F$78</f>
        <v>#VALUE!</v>
      </c>
      <c r="BA157" s="600" t="e">
        <f>AX157*$F$83</f>
        <v>#VALUE!</v>
      </c>
      <c r="BB157" s="599" t="e">
        <f>AX157*$F$80</f>
        <v>#VALUE!</v>
      </c>
      <c r="BC157" s="658" t="e">
        <f>AX157*$F$79</f>
        <v>#VALUE!</v>
      </c>
      <c r="BD157" s="2002">
        <v>19.8</v>
      </c>
      <c r="BE157" s="2003">
        <v>51</v>
      </c>
      <c r="BF157" s="2004">
        <v>1008.4</v>
      </c>
      <c r="BG157" s="1998">
        <v>-3.3700000000000003E-10</v>
      </c>
      <c r="BH157" s="662"/>
      <c r="BI157" s="663">
        <v>44333</v>
      </c>
      <c r="BJ157" s="656"/>
      <c r="BK157" s="649" t="str">
        <f>IF(BJ157="Low",BG157*$D$42,IF(BJ157="Med",BG157*$D$43,IF(BJ157="High",BG157*$D$44,"rango cal. out")))</f>
        <v>rango cal. out</v>
      </c>
      <c r="BL157" s="652">
        <f>((273.2+BD157)*$F$33/((273.2+$F$32)*BF157))</f>
        <v>0.99732118094187683</v>
      </c>
      <c r="BM157" s="653" t="e">
        <f>BK157/BH157*BL157*EXP(-LN(2)/10990*($F$96-BI157))</f>
        <v>#VALUE!</v>
      </c>
      <c r="BN157" s="599" t="e">
        <f>BM157-AVERAGE(BU102:BU103)</f>
        <v>#VALUE!</v>
      </c>
      <c r="BO157" s="599" t="e">
        <f>ABS(#REF!*BN157*3600)</f>
        <v>#REF!</v>
      </c>
      <c r="BP157" s="657" t="e">
        <f>ABS($B$34*BN157*3600)</f>
        <v>#VALUE!</v>
      </c>
      <c r="BQ157" s="600" t="e">
        <f>BP157*$C$87</f>
        <v>#VALUE!</v>
      </c>
      <c r="BR157" s="599" t="e">
        <f>BP157*$F$78</f>
        <v>#VALUE!</v>
      </c>
      <c r="BS157" s="600" t="e">
        <f>BP157*$F$83</f>
        <v>#VALUE!</v>
      </c>
      <c r="BT157" s="599" t="e">
        <f>BP157*$F$80</f>
        <v>#VALUE!</v>
      </c>
      <c r="BU157" s="658" t="e">
        <f>BP157*$F$79</f>
        <v>#VALUE!</v>
      </c>
      <c r="BV157" s="2002">
        <v>19.899999999999999</v>
      </c>
      <c r="BW157" s="2003">
        <v>51.1</v>
      </c>
      <c r="BX157" s="2004">
        <v>1008.7</v>
      </c>
      <c r="BY157" s="1998">
        <f>0.000000000017</f>
        <v>1.6999999999999999E-11</v>
      </c>
      <c r="BZ157" s="662"/>
      <c r="CA157" s="663">
        <v>44333</v>
      </c>
      <c r="CB157" s="656"/>
      <c r="CC157" s="649" t="str">
        <f>IF(CB157="Low",BY157*$D$42,IF(CB157="Med",BY157*$D$43,IF(CB157="High",BY157*$D$44,"rango cal. out")))</f>
        <v>rango cal. out</v>
      </c>
      <c r="CD157" s="652">
        <f>((273.2+BV157)*$F$33/((273.2+$F$32)*BX157))</f>
        <v>0.99736484656657798</v>
      </c>
      <c r="CE157" s="653" t="e">
        <f>CC157/BZ157*CD157*EXP(-LN(2)/10990*($F$96-CA157))</f>
        <v>#VALUE!</v>
      </c>
      <c r="CF157" s="599" t="e">
        <f>CE157-AVERAGE(CM102:CM103)</f>
        <v>#VALUE!</v>
      </c>
      <c r="CG157" s="599" t="e">
        <f>ABS(#REF!*CF157*3600)</f>
        <v>#REF!</v>
      </c>
      <c r="CH157" s="657" t="e">
        <f>ABS($B$34*CF157*3600)</f>
        <v>#VALUE!</v>
      </c>
      <c r="CI157" s="600" t="e">
        <f>CH157*$C$87</f>
        <v>#VALUE!</v>
      </c>
      <c r="CJ157" s="599" t="e">
        <f>CH157*$F$78</f>
        <v>#VALUE!</v>
      </c>
      <c r="CK157" s="600" t="e">
        <f>CH157*$F$83</f>
        <v>#VALUE!</v>
      </c>
      <c r="CL157" s="599" t="e">
        <f>CH157*$F$80</f>
        <v>#VALUE!</v>
      </c>
      <c r="CM157" s="658" t="e">
        <f>CH157*$F$79</f>
        <v>#VALUE!</v>
      </c>
      <c r="CN157" s="664">
        <v>19.8</v>
      </c>
      <c r="CO157" s="660">
        <v>49</v>
      </c>
      <c r="CP157" s="661">
        <v>1009.4</v>
      </c>
      <c r="CQ157" s="1998">
        <v>-7.8699999999999997E-10</v>
      </c>
      <c r="CR157" s="662"/>
      <c r="CS157" s="663">
        <v>44333</v>
      </c>
      <c r="CT157" s="656"/>
      <c r="CU157" s="649" t="str">
        <f>IF(CT157="Low",CQ157*$D$42,IF(CT157="Med",CQ157*$D$43,IF(CT157="High",CQ157*$D$44,"rango cal. out")))</f>
        <v>rango cal. out</v>
      </c>
      <c r="CV157" s="652">
        <f>((273.2+CN157)*$F$33/((273.2+$F$32)*CP157))</f>
        <v>0.9963331472773812</v>
      </c>
      <c r="CW157" s="653" t="e">
        <f>CU157/CR157*CV157*EXP(-LN(2)/10990*($F$96-CS157))</f>
        <v>#VALUE!</v>
      </c>
      <c r="CX157" s="599" t="e">
        <f>CW157-AVERAGE(DE102:DE103)</f>
        <v>#VALUE!</v>
      </c>
      <c r="CY157" s="599" t="e">
        <f>ABS(#REF!*CX157*3600)</f>
        <v>#REF!</v>
      </c>
      <c r="CZ157" s="657" t="e">
        <f>ABS($B$34*CX157*3600)</f>
        <v>#VALUE!</v>
      </c>
      <c r="DA157" s="600" t="e">
        <f>CZ157*$C$87</f>
        <v>#VALUE!</v>
      </c>
      <c r="DB157" s="599" t="e">
        <f>CZ157*$F$78</f>
        <v>#VALUE!</v>
      </c>
      <c r="DC157" s="600" t="e">
        <f>CZ157*$F$83</f>
        <v>#VALUE!</v>
      </c>
      <c r="DD157" s="599" t="e">
        <f>CZ157*$F$80</f>
        <v>#VALUE!</v>
      </c>
      <c r="DE157" s="658" t="e">
        <f>CZ157*$F$79</f>
        <v>#VALUE!</v>
      </c>
      <c r="DF157" s="664"/>
      <c r="DG157" s="660"/>
      <c r="DH157" s="661"/>
      <c r="DI157" s="651"/>
      <c r="DJ157" s="662"/>
      <c r="DK157" s="663"/>
      <c r="DL157" s="656"/>
      <c r="DM157" s="649" t="str">
        <f>IF(DL157="Low",DI157*$D$42,IF(DL157="Med",DI157*$D$43,IF(DL157="High",DI157*$D$44,"rango cal. out")))</f>
        <v>rango cal. out</v>
      </c>
      <c r="DN157" s="652" t="e">
        <f>((273.2+DF157)*$F$33/((273.2+$F$32)*DH157))</f>
        <v>#DIV/0!</v>
      </c>
      <c r="DO157" s="653" t="e">
        <f>DM157/DJ157*DN157*EXP(-LN(2)/10990*($F$96-DK157))</f>
        <v>#VALUE!</v>
      </c>
      <c r="DP157" s="599" t="e">
        <f>DO157-AVERAGE(DW102:DW103)</f>
        <v>#VALUE!</v>
      </c>
      <c r="DQ157" s="599" t="e">
        <f>ABS(#REF!*DP157*3600)</f>
        <v>#REF!</v>
      </c>
      <c r="DR157" s="657" t="e">
        <f>ABS($B$34*DP157*3600)</f>
        <v>#VALUE!</v>
      </c>
      <c r="DS157" s="600" t="e">
        <f>DR157*$C$87</f>
        <v>#VALUE!</v>
      </c>
      <c r="DT157" s="599" t="e">
        <f>DR157*$F$78</f>
        <v>#VALUE!</v>
      </c>
      <c r="DU157" s="600" t="e">
        <f>DR157*$F$83</f>
        <v>#VALUE!</v>
      </c>
      <c r="DV157" s="599" t="e">
        <f>DR157*$F$80</f>
        <v>#VALUE!</v>
      </c>
      <c r="DW157" s="658" t="e">
        <f>DR157*$F$79</f>
        <v>#VALUE!</v>
      </c>
      <c r="DX157" s="664"/>
      <c r="DY157" s="660"/>
      <c r="DZ157" s="659"/>
      <c r="EA157" s="665"/>
      <c r="EB157" s="662"/>
      <c r="EC157" s="663"/>
      <c r="ED157" s="656"/>
      <c r="EE157" s="649" t="str">
        <f>IF(ED157="Low",EA157*$D$42,IF(ED157="Med",EA157*$D$43,IF(ED157="High",EA157*$D$44,"rango cal. out")))</f>
        <v>rango cal. out</v>
      </c>
      <c r="EF157" s="652" t="e">
        <f>((273.2+DX157)*$F$33/((273.2+$F$32)*DZ157))</f>
        <v>#DIV/0!</v>
      </c>
      <c r="EG157" s="653" t="e">
        <f>EE157/EB157*EF157*EXP(-LN(2)/10990*($F$96-EC157))</f>
        <v>#VALUE!</v>
      </c>
      <c r="EH157" s="599" t="e">
        <f>EG157-AVERAGE(EO102:EO103)</f>
        <v>#VALUE!</v>
      </c>
      <c r="EI157" s="599" t="e">
        <f>ABS(#REF!*EH157*3600)</f>
        <v>#REF!</v>
      </c>
      <c r="EJ157" s="657" t="e">
        <f>ABS($B$34*EH157*3600)</f>
        <v>#VALUE!</v>
      </c>
      <c r="EK157" s="600" t="e">
        <f>EJ157*$C$87</f>
        <v>#VALUE!</v>
      </c>
      <c r="EL157" s="599" t="e">
        <f>EJ157*$F$78</f>
        <v>#VALUE!</v>
      </c>
      <c r="EM157" s="600" t="e">
        <f>EJ157*$F$83</f>
        <v>#VALUE!</v>
      </c>
      <c r="EN157" s="599" t="e">
        <f>EJ157*$F$80</f>
        <v>#VALUE!</v>
      </c>
      <c r="EO157" s="658" t="e">
        <f>EJ157*$F$79</f>
        <v>#VALUE!</v>
      </c>
      <c r="EP157" s="2002">
        <v>19.899999999999999</v>
      </c>
      <c r="EQ157" s="2003">
        <v>47</v>
      </c>
      <c r="ER157" s="2004">
        <v>1010.2</v>
      </c>
      <c r="ES157" s="1998">
        <f>-0.000000000002</f>
        <v>-2E-12</v>
      </c>
      <c r="ET157" s="662"/>
      <c r="EU157" s="663">
        <v>44333</v>
      </c>
      <c r="EV157" s="656"/>
      <c r="EW157" s="649" t="str">
        <f>IF(EV157="Low",ES157*$D$42,IF(EV157="Med",ES157*$D$43,IF(EV157="High",ES157*$D$44,"rango cal. out")))</f>
        <v>rango cal. out</v>
      </c>
      <c r="EX157" s="652">
        <f>((273.2+EP157)*$F$33/((273.2+$F$32)*ER157))</f>
        <v>0.99588390490170975</v>
      </c>
      <c r="EY157" s="653" t="e">
        <f>EW157/ET157*EX157*EXP(-LN(2)/10990*($F$96-EU157))</f>
        <v>#VALUE!</v>
      </c>
      <c r="EZ157" s="599" t="e">
        <f>EY157-AVERAGE(FG102:FG103)</f>
        <v>#VALUE!</v>
      </c>
      <c r="FA157" s="599" t="e">
        <f>ABS(#REF!*EZ157*3600)</f>
        <v>#REF!</v>
      </c>
      <c r="FB157" s="657" t="e">
        <f>ABS($B$34*EZ157*3600)</f>
        <v>#VALUE!</v>
      </c>
      <c r="FC157" s="600" t="e">
        <f>FB157*$C$87</f>
        <v>#VALUE!</v>
      </c>
      <c r="FD157" s="599" t="e">
        <f>FB157*$F$78</f>
        <v>#VALUE!</v>
      </c>
      <c r="FE157" s="600" t="e">
        <f>FB157*$F$83</f>
        <v>#VALUE!</v>
      </c>
      <c r="FF157" s="599" t="e">
        <f>FB157*$F$80</f>
        <v>#VALUE!</v>
      </c>
      <c r="FG157" s="658" t="e">
        <f>FB157*$F$79</f>
        <v>#VALUE!</v>
      </c>
      <c r="FH157" s="664"/>
      <c r="FI157" s="660"/>
      <c r="FJ157" s="661"/>
      <c r="FK157" s="651"/>
      <c r="FL157" s="662"/>
      <c r="FM157" s="663"/>
      <c r="FN157" s="656"/>
      <c r="FO157" s="649" t="str">
        <f>IF(FN157="Low",FK157*$D$42,IF(FN157="Med",FK157*$D$43,IF(FN157="High",FK157*$D$44,"rango cal. out")))</f>
        <v>rango cal. out</v>
      </c>
      <c r="FP157" s="652" t="e">
        <f>((273.2+FH157)*$F$33/((273.2+$F$32)*FJ157))</f>
        <v>#DIV/0!</v>
      </c>
      <c r="FQ157" s="653" t="e">
        <f>FO157/FL157*FP157*EXP(-LN(2)/10990*($F$96-FM157))</f>
        <v>#VALUE!</v>
      </c>
      <c r="FR157" s="599" t="e">
        <f>FQ157-AVERAGE(FY102:FY103)</f>
        <v>#VALUE!</v>
      </c>
      <c r="FS157" s="599" t="e">
        <f>ABS(#REF!*FR157*3600)</f>
        <v>#REF!</v>
      </c>
      <c r="FT157" s="657" t="e">
        <f>ABS($B$34*FR157*3600)</f>
        <v>#VALUE!</v>
      </c>
      <c r="FU157" s="600" t="e">
        <f>FT157*$C$87</f>
        <v>#VALUE!</v>
      </c>
      <c r="FV157" s="599" t="e">
        <f>FT157*$F$78</f>
        <v>#VALUE!</v>
      </c>
      <c r="FW157" s="600" t="e">
        <f>FT157*$F$83</f>
        <v>#VALUE!</v>
      </c>
      <c r="FX157" s="599" t="e">
        <f>FT157*$F$80</f>
        <v>#VALUE!</v>
      </c>
      <c r="FY157" s="658" t="e">
        <f>FT157*$F$79</f>
        <v>#VALUE!</v>
      </c>
      <c r="FZ157" s="664"/>
      <c r="GA157" s="660"/>
      <c r="GB157" s="661"/>
      <c r="GC157" s="651"/>
      <c r="GD157" s="662"/>
      <c r="GE157" s="663"/>
      <c r="GF157" s="656"/>
      <c r="GG157" s="649" t="str">
        <f>IF(GF157="Low",GC157*$D$42,IF(GF157="Med",GC157*$D$43,IF(GF157="High",GC157*$D$44,"rango cal. out")))</f>
        <v>rango cal. out</v>
      </c>
      <c r="GH157" s="652" t="e">
        <f>((273.2+FZ157)*$F$33/((273.2+$F$32)*GB157))</f>
        <v>#DIV/0!</v>
      </c>
      <c r="GI157" s="653" t="e">
        <f>GG157/GD157*GH157*EXP(-LN(2)/10990*($F$96-GE157))</f>
        <v>#VALUE!</v>
      </c>
      <c r="GJ157" s="599" t="e">
        <f>GI157-AVERAGE(GQ102:GQ103)</f>
        <v>#VALUE!</v>
      </c>
      <c r="GK157" s="599" t="e">
        <f>ABS(#REF!*GJ157*3600)</f>
        <v>#REF!</v>
      </c>
      <c r="GL157" s="657" t="e">
        <f>ABS($B$34*GJ157*3600)</f>
        <v>#VALUE!</v>
      </c>
      <c r="GM157" s="600" t="e">
        <f>GL157*$C$87</f>
        <v>#VALUE!</v>
      </c>
      <c r="GN157" s="599" t="e">
        <f>GL157*$F$78</f>
        <v>#VALUE!</v>
      </c>
      <c r="GO157" s="600" t="e">
        <f>GL157*$F$83</f>
        <v>#VALUE!</v>
      </c>
      <c r="GP157" s="599" t="e">
        <f>GL157*$F$80</f>
        <v>#VALUE!</v>
      </c>
      <c r="GQ157" s="658" t="e">
        <f>GL157*$F$79</f>
        <v>#VALUE!</v>
      </c>
      <c r="GR157" s="664"/>
      <c r="GS157" s="660"/>
      <c r="GT157" s="659"/>
      <c r="GU157" s="665"/>
      <c r="GV157" s="662"/>
      <c r="GW157" s="663"/>
      <c r="GX157" s="656"/>
      <c r="GY157" s="649" t="str">
        <f>IF(GX157="Low",GU157*$D$42,IF(GX157="Med",GU157*$D$43,IF(GX157="High",GU157*$D$44,"rango cal. out")))</f>
        <v>rango cal. out</v>
      </c>
      <c r="GZ157" s="652" t="e">
        <f>((273.2+GR157)*$F$33/((273.2+$F$32)*GT157))</f>
        <v>#DIV/0!</v>
      </c>
      <c r="HA157" s="653" t="e">
        <f>GY157/GV157*GZ157*EXP(-LN(2)/10990*($F$96-GW157))</f>
        <v>#VALUE!</v>
      </c>
      <c r="HB157" s="599" t="e">
        <f>HA157-AVERAGE(HI102:HI103)</f>
        <v>#VALUE!</v>
      </c>
      <c r="HC157" s="599" t="e">
        <f>ABS(#REF!*HB157*3600)</f>
        <v>#REF!</v>
      </c>
      <c r="HD157" s="657" t="e">
        <f>ABS($B$34*HB157*3600)</f>
        <v>#VALUE!</v>
      </c>
      <c r="HE157" s="600" t="e">
        <f>HD157*$C$87</f>
        <v>#VALUE!</v>
      </c>
      <c r="HF157" s="599" t="e">
        <f>HD157*$F$78</f>
        <v>#VALUE!</v>
      </c>
      <c r="HG157" s="600" t="e">
        <f>HD157*$F$83</f>
        <v>#VALUE!</v>
      </c>
      <c r="HH157" s="599" t="e">
        <f>HD157*$F$80</f>
        <v>#VALUE!</v>
      </c>
      <c r="HI157" s="658" t="e">
        <f>HD157*$F$79</f>
        <v>#VALUE!</v>
      </c>
      <c r="HJ157" s="664"/>
      <c r="HK157" s="660"/>
      <c r="HL157" s="661"/>
      <c r="HM157" s="651"/>
      <c r="HN157" s="662"/>
      <c r="HO157" s="663"/>
      <c r="HP157" s="656"/>
      <c r="HQ157" s="649" t="str">
        <f>IF(HP157="Low",HM157*$D$42,IF(HP157="Med",HM157*$D$43,IF(HP157="High",HM157*$D$44,"rango cal. out")))</f>
        <v>rango cal. out</v>
      </c>
      <c r="HR157" s="652" t="e">
        <f>((273.2+HJ157)*$F$33/((273.2+$F$32)*HL157))</f>
        <v>#DIV/0!</v>
      </c>
      <c r="HS157" s="653" t="e">
        <f>HQ157/HN157*HR157*EXP(-LN(2)/10990*($F$96-HO157))</f>
        <v>#VALUE!</v>
      </c>
      <c r="HT157" s="599" t="e">
        <f>HS157-AVERAGE(IA102:IA103)</f>
        <v>#VALUE!</v>
      </c>
      <c r="HU157" s="599" t="e">
        <f>ABS(#REF!*HT157*3600)</f>
        <v>#REF!</v>
      </c>
      <c r="HV157" s="657" t="e">
        <f>ABS($B$34*HT157*3600)</f>
        <v>#VALUE!</v>
      </c>
      <c r="HW157" s="600" t="e">
        <f>HV157*$C$87</f>
        <v>#VALUE!</v>
      </c>
      <c r="HX157" s="599" t="e">
        <f>HV157*$F$78</f>
        <v>#VALUE!</v>
      </c>
      <c r="HY157" s="600" t="e">
        <f>HV157*$F$83</f>
        <v>#VALUE!</v>
      </c>
      <c r="HZ157" s="599" t="e">
        <f>HV157*$F$80</f>
        <v>#VALUE!</v>
      </c>
      <c r="IA157" s="658" t="e">
        <f>HV157*$F$79</f>
        <v>#VALUE!</v>
      </c>
      <c r="IB157" s="664"/>
      <c r="IC157" s="660"/>
      <c r="ID157" s="661"/>
      <c r="IE157" s="651"/>
      <c r="IF157" s="662"/>
      <c r="IG157" s="663"/>
      <c r="IH157" s="656"/>
      <c r="II157" s="649" t="str">
        <f>IF(IH157="Low",IE157*$D$42,IF(IH157="Med",IE157*$D$43,IF(IH157="High",IE157*$D$44,"rango cal. out")))</f>
        <v>rango cal. out</v>
      </c>
      <c r="IJ157" s="652" t="e">
        <f>((273.2+IB157)*$F$33/((273.2+$F$32)*ID157))</f>
        <v>#DIV/0!</v>
      </c>
      <c r="IK157" s="653" t="e">
        <f>II157/IF157*IJ157*EXP(-LN(2)/10990*($F$96-IG157))</f>
        <v>#VALUE!</v>
      </c>
      <c r="IL157" s="599" t="e">
        <f>IK157-AVERAGE(IS102:IS103)</f>
        <v>#VALUE!</v>
      </c>
      <c r="IM157" s="599" t="e">
        <f>ABS(#REF!*IL157*3600)</f>
        <v>#REF!</v>
      </c>
      <c r="IN157" s="657" t="e">
        <f>ABS($B$34*IL157*3600)</f>
        <v>#VALUE!</v>
      </c>
      <c r="IO157" s="600" t="e">
        <f>IN157*$C$87</f>
        <v>#VALUE!</v>
      </c>
      <c r="IP157" s="599" t="e">
        <f>IN157*$F$78</f>
        <v>#VALUE!</v>
      </c>
      <c r="IQ157" s="600" t="e">
        <f>IN157*$F$83</f>
        <v>#VALUE!</v>
      </c>
      <c r="IR157" s="599" t="e">
        <f>IN157*$F$80</f>
        <v>#VALUE!</v>
      </c>
      <c r="IS157" s="658" t="e">
        <f>IN157*$F$79</f>
        <v>#VALUE!</v>
      </c>
      <c r="IT157" s="664"/>
      <c r="IU157" s="660"/>
      <c r="IV157" s="661"/>
      <c r="IW157" s="651"/>
      <c r="IX157" s="662"/>
      <c r="IY157" s="663"/>
      <c r="IZ157" s="656"/>
      <c r="JA157" s="649" t="str">
        <f>IF(IZ157="Low",IW157*$D$42,IF(IZ157="Med",IW157*$D$43,IF(IZ157="High",IW157*$D$44,"rango cal. out")))</f>
        <v>rango cal. out</v>
      </c>
      <c r="JB157" s="652" t="e">
        <f>((273.2+IT157)*$F$33/((273.2+$F$32)*IV157))</f>
        <v>#DIV/0!</v>
      </c>
      <c r="JC157" s="653" t="e">
        <f>JA157/IX157*JB157*EXP(-LN(2)/10990*($F$96-IY157))</f>
        <v>#VALUE!</v>
      </c>
      <c r="JD157" s="599" t="e">
        <f>JC157-AVERAGE(JK102:JK103)</f>
        <v>#VALUE!</v>
      </c>
      <c r="JE157" s="599" t="e">
        <f>ABS(#REF!*JD157*3600)</f>
        <v>#REF!</v>
      </c>
      <c r="JF157" s="657" t="e">
        <f>ABS($B$34*JD157*3600)</f>
        <v>#VALUE!</v>
      </c>
      <c r="JG157" s="600" t="e">
        <f>JF157*$C$87</f>
        <v>#VALUE!</v>
      </c>
      <c r="JH157" s="599" t="e">
        <f>JF157*$F$78</f>
        <v>#VALUE!</v>
      </c>
      <c r="JI157" s="600" t="e">
        <f>JF157*$F$83</f>
        <v>#VALUE!</v>
      </c>
      <c r="JJ157" s="599" t="e">
        <f>JF157*$F$80</f>
        <v>#VALUE!</v>
      </c>
      <c r="JK157" s="658" t="e">
        <f>JF157*$F$79</f>
        <v>#VALUE!</v>
      </c>
      <c r="JL157" s="664"/>
      <c r="JM157" s="660"/>
      <c r="JN157" s="661"/>
      <c r="JO157" s="651"/>
      <c r="JP157" s="662"/>
      <c r="JQ157" s="663"/>
      <c r="JR157" s="656"/>
      <c r="JS157" s="649" t="str">
        <f>IF(JR157="Low",JO157*$D$42,IF(JR157="Med",JO157*$D$43,IF(JR157="High",JO157*$D$44,"rango cal. out")))</f>
        <v>rango cal. out</v>
      </c>
      <c r="JT157" s="652" t="e">
        <f>((273.2+JL157)*$F$33/((273.2+$F$32)*JN157))</f>
        <v>#DIV/0!</v>
      </c>
      <c r="JU157" s="653" t="e">
        <f>JS157/JP157*JT157*EXP(-LN(2)/10990*($F$96-JQ157))</f>
        <v>#VALUE!</v>
      </c>
      <c r="JV157" s="599" t="e">
        <f>JU157-AVERAGE(KC102:KC103)</f>
        <v>#VALUE!</v>
      </c>
      <c r="JW157" s="599" t="e">
        <f>ABS(#REF!*JV157*3600)</f>
        <v>#REF!</v>
      </c>
      <c r="JX157" s="657" t="e">
        <f>ABS($B$34*JV157*3600)</f>
        <v>#VALUE!</v>
      </c>
      <c r="JY157" s="600" t="e">
        <f>JX157*$C$87</f>
        <v>#VALUE!</v>
      </c>
      <c r="JZ157" s="599" t="e">
        <f>JX157*$F$78</f>
        <v>#VALUE!</v>
      </c>
      <c r="KA157" s="600" t="e">
        <f>JX157*$F$83</f>
        <v>#VALUE!</v>
      </c>
      <c r="KB157" s="599" t="e">
        <f>JX157*$F$80</f>
        <v>#VALUE!</v>
      </c>
      <c r="KC157" s="658" t="e">
        <f>JX157*$F$79</f>
        <v>#VALUE!</v>
      </c>
      <c r="KD157" s="664"/>
      <c r="KE157" s="660"/>
      <c r="KF157" s="661"/>
      <c r="KG157" s="651"/>
      <c r="KH157" s="662"/>
      <c r="KI157" s="663"/>
      <c r="KJ157" s="656"/>
      <c r="KK157" s="649" t="str">
        <f>IF(KJ157="Low",KG157*$D$42,IF(KJ157="Med",KG157*$D$43,IF(KJ157="High",KG157*$D$44,"rango cal. out")))</f>
        <v>rango cal. out</v>
      </c>
      <c r="KL157" s="652" t="e">
        <f>((273.2+KD157)*$F$33/((273.2+$F$32)*KF157))</f>
        <v>#DIV/0!</v>
      </c>
      <c r="KM157" s="653" t="e">
        <f>KK157/KH157*KL157*EXP(-LN(2)/10990*($F$96-KI157))</f>
        <v>#VALUE!</v>
      </c>
      <c r="KN157" s="599" t="e">
        <f>KM157-AVERAGE(KU102:KU103)</f>
        <v>#VALUE!</v>
      </c>
      <c r="KO157" s="599" t="e">
        <f>ABS(#REF!*KN157*3600)</f>
        <v>#REF!</v>
      </c>
      <c r="KP157" s="657" t="e">
        <f>ABS($B$34*KN157*3600)</f>
        <v>#VALUE!</v>
      </c>
      <c r="KQ157" s="600" t="e">
        <f>KP157*$C$87</f>
        <v>#VALUE!</v>
      </c>
      <c r="KR157" s="599" t="e">
        <f>KP157*$F$78</f>
        <v>#VALUE!</v>
      </c>
      <c r="KS157" s="600" t="e">
        <f>KP157*$F$83</f>
        <v>#VALUE!</v>
      </c>
      <c r="KT157" s="599" t="e">
        <f>KP157*$F$80</f>
        <v>#VALUE!</v>
      </c>
      <c r="KU157" s="658" t="e">
        <f>KP157*$F$79</f>
        <v>#VALUE!</v>
      </c>
      <c r="KV157" s="664"/>
      <c r="KW157" s="660"/>
      <c r="KX157" s="661"/>
      <c r="KY157" s="651"/>
      <c r="KZ157" s="662"/>
      <c r="LA157" s="663"/>
      <c r="LB157" s="656"/>
      <c r="LC157" s="649" t="str">
        <f>IF(LB157="Low",KY157*$D$42,IF(LB157="Med",KY157*$D$43,IF(LB157="High",KY157*$D$44,"rango cal. out")))</f>
        <v>rango cal. out</v>
      </c>
      <c r="LD157" s="652" t="e">
        <f>((273.2+KV157)*$F$33/((273.2+$F$32)*KX157))</f>
        <v>#DIV/0!</v>
      </c>
      <c r="LE157" s="653" t="e">
        <f>LC157/KZ157*LD157*EXP(-LN(2)/10990*($F$96-LA157))</f>
        <v>#VALUE!</v>
      </c>
      <c r="LF157" s="599" t="e">
        <f>LE157-AVERAGE(LM102:LM103)</f>
        <v>#VALUE!</v>
      </c>
      <c r="LG157" s="599" t="e">
        <f>ABS(#REF!*LF157*3600)</f>
        <v>#REF!</v>
      </c>
      <c r="LH157" s="657" t="e">
        <f>ABS($B$34*LF157*3600)</f>
        <v>#VALUE!</v>
      </c>
      <c r="LI157" s="600" t="e">
        <f>LH157*$C$87</f>
        <v>#VALUE!</v>
      </c>
      <c r="LJ157" s="599" t="e">
        <f>LH157*$F$78</f>
        <v>#VALUE!</v>
      </c>
      <c r="LK157" s="600" t="e">
        <f>LH157*$F$83</f>
        <v>#VALUE!</v>
      </c>
      <c r="LL157" s="599" t="e">
        <f>LH157*$F$80</f>
        <v>#VALUE!</v>
      </c>
      <c r="LM157" s="658" t="e">
        <f>LH157*$F$79</f>
        <v>#VALUE!</v>
      </c>
      <c r="LN157" s="664"/>
      <c r="LO157" s="660"/>
      <c r="LP157" s="661"/>
      <c r="LQ157" s="651"/>
      <c r="LR157" s="662"/>
      <c r="LS157" s="663"/>
      <c r="LT157" s="656"/>
      <c r="LU157" s="649" t="str">
        <f>IF(LT157="Low",LQ157*$D$42,IF(LT157="Med",LQ157*$D$43,IF(LT157="High",LQ157*$D$44,"rango cal. out")))</f>
        <v>rango cal. out</v>
      </c>
      <c r="LV157" s="652" t="e">
        <f>((273.2+LN157)*$F$33/((273.2+$F$32)*LP157))</f>
        <v>#DIV/0!</v>
      </c>
      <c r="LW157" s="653" t="e">
        <f>LU157/LR157*LV157*EXP(-LN(2)/10990*($F$96-LS157))</f>
        <v>#VALUE!</v>
      </c>
      <c r="LX157" s="599" t="e">
        <f>LW157-AVERAGE(ME102:ME103)</f>
        <v>#VALUE!</v>
      </c>
      <c r="LY157" s="599" t="e">
        <f>ABS(#REF!*LX157*3600)</f>
        <v>#REF!</v>
      </c>
      <c r="LZ157" s="657" t="e">
        <f>ABS($B$34*LX157*3600)</f>
        <v>#VALUE!</v>
      </c>
      <c r="MA157" s="600" t="e">
        <f>LZ157*$C$87</f>
        <v>#VALUE!</v>
      </c>
      <c r="MB157" s="599" t="e">
        <f>LZ157*$F$78</f>
        <v>#VALUE!</v>
      </c>
      <c r="MC157" s="600" t="e">
        <f>LZ157*$F$83</f>
        <v>#VALUE!</v>
      </c>
      <c r="MD157" s="599" t="e">
        <f>LZ157*$F$80</f>
        <v>#VALUE!</v>
      </c>
      <c r="ME157" s="658" t="e">
        <f>LZ157*$F$79</f>
        <v>#VALUE!</v>
      </c>
      <c r="MF157" s="664"/>
      <c r="MG157" s="660"/>
      <c r="MH157" s="661"/>
      <c r="MI157" s="651"/>
      <c r="MJ157" s="662"/>
      <c r="MK157" s="663"/>
      <c r="ML157" s="656"/>
      <c r="MM157" s="649" t="str">
        <f>IF(ML157="Low",MI157*$D$42,IF(ML157="Med",MI157*$D$43,IF(ML157="High",MI157*$D$44,"rango cal. out")))</f>
        <v>rango cal. out</v>
      </c>
      <c r="MN157" s="652" t="e">
        <f>((273.2+MF157)*$F$33/((273.2+$F$32)*MH157))</f>
        <v>#DIV/0!</v>
      </c>
      <c r="MO157" s="653" t="e">
        <f>MM157/MJ157*MN157*EXP(-LN(2)/10990*($F$96-MK157))</f>
        <v>#VALUE!</v>
      </c>
      <c r="MP157" s="599" t="e">
        <f>MO157-AVERAGE(MW102:MW103)</f>
        <v>#VALUE!</v>
      </c>
      <c r="MQ157" s="599" t="e">
        <f>ABS(#REF!*MP157*3600)</f>
        <v>#REF!</v>
      </c>
      <c r="MR157" s="657" t="e">
        <f>ABS($B$34*MP157*3600)</f>
        <v>#VALUE!</v>
      </c>
      <c r="MS157" s="600" t="e">
        <f>MR157*$C$87</f>
        <v>#VALUE!</v>
      </c>
      <c r="MT157" s="599" t="e">
        <f>MR157*$F$78</f>
        <v>#VALUE!</v>
      </c>
      <c r="MU157" s="600" t="e">
        <f>MR157*$F$83</f>
        <v>#VALUE!</v>
      </c>
      <c r="MV157" s="599" t="e">
        <f>MR157*$F$80</f>
        <v>#VALUE!</v>
      </c>
      <c r="MW157" s="658" t="e">
        <f>MR157*$F$79</f>
        <v>#VALUE!</v>
      </c>
      <c r="MX157" s="664"/>
      <c r="MY157" s="660"/>
      <c r="MZ157" s="661"/>
      <c r="NA157" s="651"/>
      <c r="NB157" s="662"/>
      <c r="NC157" s="663"/>
      <c r="ND157" s="656"/>
      <c r="NE157" s="649" t="str">
        <f>IF(ND157="Low",NA157*$D$42,IF(ND157="Med",NA157*$D$43,IF(ND157="High",NA157*$D$44,"rango cal. out")))</f>
        <v>rango cal. out</v>
      </c>
      <c r="NF157" s="652" t="e">
        <f>((273.2+MX157)*$F$33/((273.2+$F$32)*MZ157))</f>
        <v>#DIV/0!</v>
      </c>
      <c r="NG157" s="653" t="e">
        <f>NE157/NB157*NF157*EXP(-LN(2)/10990*($F$96-NC157))</f>
        <v>#VALUE!</v>
      </c>
      <c r="NH157" s="599" t="e">
        <f>NG157-AVERAGE(NO102:NO103)</f>
        <v>#VALUE!</v>
      </c>
      <c r="NI157" s="599" t="e">
        <f>ABS(#REF!*NH157*3600)</f>
        <v>#REF!</v>
      </c>
      <c r="NJ157" s="657" t="e">
        <f>ABS($B$34*NH157*3600)</f>
        <v>#VALUE!</v>
      </c>
      <c r="NK157" s="600" t="e">
        <f>NJ157*$C$87</f>
        <v>#VALUE!</v>
      </c>
      <c r="NL157" s="599" t="e">
        <f>NJ157*$F$78</f>
        <v>#VALUE!</v>
      </c>
      <c r="NM157" s="600" t="e">
        <f>NJ157*$F$83</f>
        <v>#VALUE!</v>
      </c>
      <c r="NN157" s="599" t="e">
        <f>NJ157*$F$80</f>
        <v>#VALUE!</v>
      </c>
      <c r="NO157" s="658" t="e">
        <f>NJ157*$F$79</f>
        <v>#VALUE!</v>
      </c>
      <c r="NP157" s="664"/>
      <c r="NQ157" s="660"/>
      <c r="NR157" s="661"/>
      <c r="NS157" s="651"/>
      <c r="NT157" s="662"/>
      <c r="NU157" s="663"/>
      <c r="NV157" s="656"/>
      <c r="NW157" s="649" t="str">
        <f>IF(NV157="Low",NS157*$D$42,IF(NV157="Med",NS157*$D$43,IF(NV157="High",NS157*$D$44,"rango cal. out")))</f>
        <v>rango cal. out</v>
      </c>
      <c r="NX157" s="652" t="e">
        <f>((273.2+NP157)*$F$33/((273.2+$F$32)*NR157))</f>
        <v>#DIV/0!</v>
      </c>
      <c r="NY157" s="653" t="e">
        <f>NW157/NT157*NX157*EXP(-LN(2)/10990*($F$96-NU157))</f>
        <v>#VALUE!</v>
      </c>
      <c r="NZ157" s="599" t="e">
        <f>NY157-AVERAGE(OG102:OG103)</f>
        <v>#VALUE!</v>
      </c>
      <c r="OA157" s="599" t="e">
        <f>ABS(#REF!*NZ157*3600)</f>
        <v>#REF!</v>
      </c>
      <c r="OB157" s="657" t="e">
        <f>ABS($B$34*NZ157*3600)</f>
        <v>#VALUE!</v>
      </c>
      <c r="OC157" s="600" t="e">
        <f>OB157*$C$87</f>
        <v>#VALUE!</v>
      </c>
      <c r="OD157" s="599" t="e">
        <f>OB157*$F$78</f>
        <v>#VALUE!</v>
      </c>
      <c r="OE157" s="600" t="e">
        <f>OB157*$F$83</f>
        <v>#VALUE!</v>
      </c>
      <c r="OF157" s="599" t="e">
        <f>OB157*$F$80</f>
        <v>#VALUE!</v>
      </c>
      <c r="OG157" s="658" t="e">
        <f>OB157*$F$79</f>
        <v>#VALUE!</v>
      </c>
      <c r="OH157" s="664"/>
      <c r="OI157" s="660"/>
      <c r="OJ157" s="661"/>
      <c r="OK157" s="651"/>
      <c r="OL157" s="662"/>
      <c r="OM157" s="663"/>
      <c r="ON157" s="656"/>
      <c r="OO157" s="649" t="str">
        <f>IF(ON157="Low",OK157*$D$42,IF(ON157="Med",OK157*$D$43,IF(ON157="High",OK157*$D$44,"rango cal. out")))</f>
        <v>rango cal. out</v>
      </c>
      <c r="OP157" s="652" t="e">
        <f>((273.2+OH157)*$F$33/((273.2+$F$32)*OJ157))</f>
        <v>#DIV/0!</v>
      </c>
      <c r="OQ157" s="653" t="e">
        <f>OO157/OL157*OP157*EXP(-LN(2)/10990*($F$96-OM157))</f>
        <v>#VALUE!</v>
      </c>
      <c r="OR157" s="599" t="e">
        <f>OQ157-AVERAGE(OY102:OY103)</f>
        <v>#VALUE!</v>
      </c>
      <c r="OS157" s="599" t="e">
        <f>ABS(#REF!*OR157*3600)</f>
        <v>#REF!</v>
      </c>
      <c r="OT157" s="657" t="e">
        <f>ABS($B$34*OR157*3600)</f>
        <v>#VALUE!</v>
      </c>
      <c r="OU157" s="600" t="e">
        <f>OT157*$C$87</f>
        <v>#VALUE!</v>
      </c>
      <c r="OV157" s="599" t="e">
        <f>OT157*$F$78</f>
        <v>#VALUE!</v>
      </c>
      <c r="OW157" s="600" t="e">
        <f>OT157*$F$83</f>
        <v>#VALUE!</v>
      </c>
      <c r="OX157" s="599" t="e">
        <f>OT157*$F$80</f>
        <v>#VALUE!</v>
      </c>
      <c r="OY157" s="658" t="e">
        <f>OT157*$F$79</f>
        <v>#VALUE!</v>
      </c>
      <c r="OZ157" s="664"/>
      <c r="PA157" s="660"/>
      <c r="PB157" s="661"/>
      <c r="PC157" s="651"/>
      <c r="PD157" s="662"/>
      <c r="PE157" s="663"/>
      <c r="PF157" s="656"/>
      <c r="PG157" s="649" t="str">
        <f>IF(PF157="Low",PC157*$D$42,IF(PF157="Med",PC157*$D$43,IF(PF157="High",PC157*$D$44,"rango cal. out")))</f>
        <v>rango cal. out</v>
      </c>
      <c r="PH157" s="652" t="e">
        <f>((273.2+OZ157)*$F$33/((273.2+$F$32)*PB157))</f>
        <v>#DIV/0!</v>
      </c>
      <c r="PI157" s="653" t="e">
        <f>PG157/PD157*PH157*EXP(-LN(2)/10990*($F$96-PE157))</f>
        <v>#VALUE!</v>
      </c>
      <c r="PJ157" s="599" t="e">
        <f>PI157-AVERAGE(PQ102:PQ103)</f>
        <v>#VALUE!</v>
      </c>
      <c r="PK157" s="599" t="e">
        <f>ABS(#REF!*PJ157*3600)</f>
        <v>#REF!</v>
      </c>
      <c r="PL157" s="657" t="e">
        <f>ABS($B$34*PJ157*3600)</f>
        <v>#VALUE!</v>
      </c>
      <c r="PM157" s="600" t="e">
        <f>PL157*$C$87</f>
        <v>#VALUE!</v>
      </c>
      <c r="PN157" s="599" t="e">
        <f>PL157*$F$78</f>
        <v>#VALUE!</v>
      </c>
      <c r="PO157" s="600" t="e">
        <f>PL157*$F$83</f>
        <v>#VALUE!</v>
      </c>
      <c r="PP157" s="599" t="e">
        <f>PL157*$F$80</f>
        <v>#VALUE!</v>
      </c>
      <c r="PQ157" s="658" t="e">
        <f>PL157*$F$79</f>
        <v>#VALUE!</v>
      </c>
      <c r="PR157" s="664"/>
      <c r="PS157" s="660"/>
      <c r="PT157" s="661"/>
      <c r="PU157" s="651"/>
      <c r="PV157" s="662"/>
      <c r="PW157" s="663"/>
      <c r="PX157" s="656"/>
      <c r="PY157" s="649" t="str">
        <f>IF(PX157="Low",PU157*$D$42,IF(PX157="Med",PU157*$D$43,IF(PX157="High",PU157*$D$44,"rango cal. out")))</f>
        <v>rango cal. out</v>
      </c>
      <c r="PZ157" s="652" t="e">
        <f>((273.2+PR157)*$F$33/((273.2+$F$32)*PT157))</f>
        <v>#DIV/0!</v>
      </c>
      <c r="QA157" s="653" t="e">
        <f>PY157/PV157*PZ157*EXP(-LN(2)/10990*($F$96-PW157))</f>
        <v>#VALUE!</v>
      </c>
      <c r="QB157" s="599" t="e">
        <f>QA157-AVERAGE(QI102:QI103)</f>
        <v>#VALUE!</v>
      </c>
      <c r="QC157" s="599" t="e">
        <f>ABS(#REF!*QB157*3600)</f>
        <v>#REF!</v>
      </c>
      <c r="QD157" s="657" t="e">
        <f>ABS($B$34*QB157*3600)</f>
        <v>#VALUE!</v>
      </c>
      <c r="QE157" s="600" t="e">
        <f>QD157*$C$87</f>
        <v>#VALUE!</v>
      </c>
      <c r="QF157" s="599" t="e">
        <f>QD157*$F$78</f>
        <v>#VALUE!</v>
      </c>
      <c r="QG157" s="600" t="e">
        <f>QD157*$F$83</f>
        <v>#VALUE!</v>
      </c>
      <c r="QH157" s="599" t="e">
        <f>QD157*$F$80</f>
        <v>#VALUE!</v>
      </c>
      <c r="QI157" s="658" t="e">
        <f>QD157*$F$79</f>
        <v>#VALUE!</v>
      </c>
      <c r="QJ157" s="664"/>
      <c r="QK157" s="660"/>
      <c r="QL157" s="661"/>
      <c r="QM157" s="651"/>
      <c r="QN157" s="662"/>
      <c r="QO157" s="663"/>
      <c r="QP157" s="656"/>
      <c r="QQ157" s="649" t="str">
        <f>IF(QP157="Low",QM157*$D$42,IF(QP157="Med",QM157*$D$43,IF(QP157="High",QM157*$D$44,"rango cal. out")))</f>
        <v>rango cal. out</v>
      </c>
      <c r="QR157" s="652" t="e">
        <f>((273.2+QJ157)*$F$33/((273.2+$F$32)*QL157))</f>
        <v>#DIV/0!</v>
      </c>
      <c r="QS157" s="653" t="e">
        <f>QQ157/QN157*QR157*EXP(-LN(2)/10990*($F$96-QO157))</f>
        <v>#VALUE!</v>
      </c>
      <c r="QT157" s="599" t="e">
        <f>QS157-AVERAGE(RA102:RA103)</f>
        <v>#VALUE!</v>
      </c>
      <c r="QU157" s="599" t="e">
        <f>ABS(#REF!*QT157*3600)</f>
        <v>#REF!</v>
      </c>
      <c r="QV157" s="657" t="e">
        <f>ABS($B$34*QT157*3600)</f>
        <v>#VALUE!</v>
      </c>
      <c r="QW157" s="600" t="e">
        <f>QV157*$C$87</f>
        <v>#VALUE!</v>
      </c>
      <c r="QX157" s="599" t="e">
        <f>QV157*$F$78</f>
        <v>#VALUE!</v>
      </c>
      <c r="QY157" s="600" t="e">
        <f>QV157*$F$83</f>
        <v>#VALUE!</v>
      </c>
      <c r="QZ157" s="599" t="e">
        <f>QV157*$F$80</f>
        <v>#VALUE!</v>
      </c>
      <c r="RA157" s="658" t="e">
        <f>QV157*$F$79</f>
        <v>#VALUE!</v>
      </c>
      <c r="RB157" s="664"/>
      <c r="RC157" s="660"/>
      <c r="RD157" s="661"/>
      <c r="RE157" s="651"/>
      <c r="RF157" s="667">
        <v>100</v>
      </c>
      <c r="RG157" s="663"/>
      <c r="RH157" s="656"/>
      <c r="RI157" s="649" t="str">
        <f>IF(RH157="Low",RE157*$D$42,IF(RH157="Med",RE157*$D$43,IF(RH157="High",RE157*$D$44,"rango cal. out")))</f>
        <v>rango cal. out</v>
      </c>
      <c r="RJ157" s="652" t="e">
        <f>((273.2+RB157)*$F$33/((273.2+$F$32)*RD157))</f>
        <v>#DIV/0!</v>
      </c>
      <c r="RK157" s="653" t="e">
        <f>RI157/RF157*RJ157*EXP(-LN(2)/10990*($F$96-RG157))</f>
        <v>#VALUE!</v>
      </c>
      <c r="RL157" s="599" t="e">
        <f>RK157-AVERAGE(RS102:RS103)</f>
        <v>#VALUE!</v>
      </c>
      <c r="RM157" s="599" t="e">
        <f>ABS(#REF!*RL157*3600)</f>
        <v>#REF!</v>
      </c>
      <c r="RN157" s="657" t="e">
        <f>ABS($B$34*RL157*3600)</f>
        <v>#VALUE!</v>
      </c>
      <c r="RO157" s="600" t="e">
        <f>RN157*$C$87</f>
        <v>#VALUE!</v>
      </c>
      <c r="RP157" s="599" t="e">
        <f>RN157*$F$78</f>
        <v>#VALUE!</v>
      </c>
      <c r="RQ157" s="600" t="e">
        <f>RN157*$F$83</f>
        <v>#VALUE!</v>
      </c>
      <c r="RR157" s="599" t="e">
        <f>RN157*$F$80</f>
        <v>#VALUE!</v>
      </c>
      <c r="RS157" s="658" t="e">
        <f>RN157*$F$79</f>
        <v>#VALUE!</v>
      </c>
      <c r="RT157" s="664"/>
      <c r="RU157" s="660"/>
      <c r="RV157" s="660"/>
      <c r="RW157" s="665"/>
      <c r="RX157" s="667">
        <v>100</v>
      </c>
      <c r="RY157" s="663"/>
      <c r="RZ157" s="656"/>
      <c r="SA157" s="649" t="str">
        <f>IF(RZ157="Low",RW157*$D$42,IF(RZ157="Med",RW157*$D$43,IF(RZ157="High",RW157*$D$44,"rango cal. out")))</f>
        <v>rango cal. out</v>
      </c>
      <c r="SB157" s="652" t="e">
        <f>((273.2+RT157)*$F$33/((273.2+$F$32)*RV157))</f>
        <v>#DIV/0!</v>
      </c>
      <c r="SC157" s="653" t="e">
        <f>SA157/RX157*SB157*EXP(-LN(2)/10990*($F$96-RY157))</f>
        <v>#VALUE!</v>
      </c>
      <c r="SD157" s="599" t="e">
        <f>SC157-AVERAGE(SK102:SK103)</f>
        <v>#VALUE!</v>
      </c>
      <c r="SE157" s="599" t="e">
        <f>ABS(#REF!*SD157*3600)</f>
        <v>#REF!</v>
      </c>
      <c r="SF157" s="657" t="e">
        <f>ABS($B$34*SD157*3600)</f>
        <v>#VALUE!</v>
      </c>
      <c r="SG157" s="600" t="e">
        <f>SF157*$C$87</f>
        <v>#VALUE!</v>
      </c>
      <c r="SH157" s="599" t="e">
        <f>SF157*$F$78</f>
        <v>#VALUE!</v>
      </c>
      <c r="SI157" s="600" t="e">
        <f>SF157*$F$83</f>
        <v>#VALUE!</v>
      </c>
      <c r="SJ157" s="599" t="e">
        <f>SF157*$F$80</f>
        <v>#VALUE!</v>
      </c>
      <c r="SK157" s="658" t="e">
        <f>SF157*$F$79</f>
        <v>#VALUE!</v>
      </c>
      <c r="SL157" s="664"/>
      <c r="SM157" s="660"/>
      <c r="SN157" s="661"/>
      <c r="SO157" s="651"/>
      <c r="SP157" s="662"/>
      <c r="SQ157" s="663"/>
      <c r="SR157" s="656"/>
      <c r="SS157" s="649" t="str">
        <f>IF(SR157="Low",SO157*$D$42,IF(SR157="Med",SO157*$D$43,IF(SR157="High",SO157*$D$44,"rango cal. out")))</f>
        <v>rango cal. out</v>
      </c>
      <c r="ST157" s="652" t="e">
        <f>((273.2+SL157)*$F$33/((273.2+$F$32)*SN157))</f>
        <v>#DIV/0!</v>
      </c>
      <c r="SU157" s="653" t="e">
        <f>SS157/SP157*ST157*EXP(-LN(2)/10990*($F$96-SQ157))</f>
        <v>#VALUE!</v>
      </c>
      <c r="SV157" s="599" t="e">
        <f>SU157-AVERAGE(TC102:TC103)</f>
        <v>#VALUE!</v>
      </c>
      <c r="SW157" s="599" t="e">
        <f>ABS(#REF!*SV157*3600)</f>
        <v>#REF!</v>
      </c>
      <c r="SX157" s="657" t="e">
        <f>ABS($B$34*SV157*3600)</f>
        <v>#VALUE!</v>
      </c>
      <c r="SY157" s="600" t="e">
        <f>SX157*$C$87</f>
        <v>#VALUE!</v>
      </c>
      <c r="SZ157" s="599" t="e">
        <f>SX157*$F$78</f>
        <v>#VALUE!</v>
      </c>
      <c r="TA157" s="600" t="e">
        <f>SX157*$F$83</f>
        <v>#VALUE!</v>
      </c>
      <c r="TB157" s="599" t="e">
        <f>SX157*$F$80</f>
        <v>#VALUE!</v>
      </c>
      <c r="TC157" s="658" t="e">
        <f>SX157*$F$79</f>
        <v>#VALUE!</v>
      </c>
      <c r="TD157" s="664"/>
      <c r="TE157" s="660"/>
      <c r="TF157" s="661"/>
      <c r="TG157" s="651"/>
      <c r="TH157" s="662"/>
      <c r="TI157" s="663"/>
      <c r="TJ157" s="656"/>
      <c r="TK157" s="649" t="str">
        <f>IF(TJ157="Low",TG157*$D$42,IF(TJ157="Med",TG157*$D$43,IF(TJ157="High",TG157*$D$44,"rango cal. out")))</f>
        <v>rango cal. out</v>
      </c>
      <c r="TL157" s="652" t="e">
        <f>((273.2+TD157)*$F$33/((273.2+$F$32)*TF157))</f>
        <v>#DIV/0!</v>
      </c>
      <c r="TM157" s="653" t="e">
        <f>TK157/TH157*TL157*EXP(-LN(2)/10990*($F$96-TI157))</f>
        <v>#VALUE!</v>
      </c>
      <c r="TN157" s="599" t="e">
        <f>TM157-AVERAGE(TU102:TU103)</f>
        <v>#VALUE!</v>
      </c>
      <c r="TO157" s="599" t="e">
        <f>ABS(#REF!*TN157*3600)</f>
        <v>#REF!</v>
      </c>
      <c r="TP157" s="657" t="e">
        <f>ABS($B$34*TN157*3600)</f>
        <v>#VALUE!</v>
      </c>
      <c r="TQ157" s="600" t="e">
        <f>TP157*$C$87</f>
        <v>#VALUE!</v>
      </c>
      <c r="TR157" s="599" t="e">
        <f>TP157*$F$78</f>
        <v>#VALUE!</v>
      </c>
      <c r="TS157" s="600" t="e">
        <f>TP157*$F$83</f>
        <v>#VALUE!</v>
      </c>
      <c r="TT157" s="599" t="e">
        <f>TP157*$F$80</f>
        <v>#VALUE!</v>
      </c>
      <c r="TU157" s="658" t="e">
        <f>TP157*$F$79</f>
        <v>#VALUE!</v>
      </c>
      <c r="TV157" s="664"/>
      <c r="TW157" s="660"/>
      <c r="TX157" s="661"/>
      <c r="TY157" s="651"/>
      <c r="TZ157" s="662"/>
      <c r="UA157" s="663"/>
      <c r="UB157" s="656"/>
      <c r="UC157" s="649" t="str">
        <f>IF(UB157="Low",TY157*$D$42,IF(UB157="Med",TY157*$D$43,IF(UB157="High",TY157*$D$44,"rango cal. out")))</f>
        <v>rango cal. out</v>
      </c>
      <c r="UD157" s="652" t="e">
        <f>((273.2+TV157)*$F$33/((273.2+$F$32)*TX157))</f>
        <v>#DIV/0!</v>
      </c>
      <c r="UE157" s="653" t="e">
        <f>UC157/TZ157*UD157*EXP(-LN(2)/10990*($F$96-UA157))</f>
        <v>#VALUE!</v>
      </c>
      <c r="UF157" s="599" t="e">
        <f>UE157-AVERAGE(UM102:UM103)</f>
        <v>#VALUE!</v>
      </c>
      <c r="UG157" s="599" t="e">
        <f>ABS(#REF!*UF157*3600)</f>
        <v>#REF!</v>
      </c>
      <c r="UH157" s="657" t="e">
        <f>ABS($B$34*UF157*3600)</f>
        <v>#VALUE!</v>
      </c>
      <c r="UI157" s="600" t="e">
        <f>UH157*$C$87</f>
        <v>#VALUE!</v>
      </c>
      <c r="UJ157" s="599" t="e">
        <f>UH157*$F$78</f>
        <v>#VALUE!</v>
      </c>
      <c r="UK157" s="600" t="e">
        <f>UH157*$F$83</f>
        <v>#VALUE!</v>
      </c>
      <c r="UL157" s="599" t="e">
        <f>UH157*$F$80</f>
        <v>#VALUE!</v>
      </c>
      <c r="UM157" s="658" t="e">
        <f>UH157*$F$79</f>
        <v>#VALUE!</v>
      </c>
      <c r="UN157" s="664"/>
      <c r="UO157" s="660"/>
      <c r="UP157" s="661"/>
      <c r="UQ157" s="651"/>
      <c r="UR157" s="662"/>
      <c r="US157" s="663"/>
      <c r="UT157" s="656"/>
      <c r="UU157" s="649" t="str">
        <f>IF(UT157="Low",UQ157*$D$42,IF(UT157="Med",UQ157*$D$43,IF(UT157="High",UQ157*$D$44,"rango cal. out")))</f>
        <v>rango cal. out</v>
      </c>
      <c r="UV157" s="652" t="e">
        <f>((273.2+UN157)*$F$33/((273.2+$F$32)*UP157))</f>
        <v>#DIV/0!</v>
      </c>
      <c r="UW157" s="653" t="e">
        <f>UU157/UR157*UV157*EXP(-LN(2)/10990*($F$96-US157))</f>
        <v>#VALUE!</v>
      </c>
      <c r="UX157" s="599" t="e">
        <f>UW157-AVERAGE(VE102:VE103)</f>
        <v>#VALUE!</v>
      </c>
      <c r="UY157" s="599" t="e">
        <f>ABS(#REF!*UX157*3600)</f>
        <v>#REF!</v>
      </c>
      <c r="UZ157" s="657" t="e">
        <f>ABS($B$34*UX157*3600)</f>
        <v>#VALUE!</v>
      </c>
      <c r="VA157" s="600" t="e">
        <f>UZ157*$C$87</f>
        <v>#VALUE!</v>
      </c>
      <c r="VB157" s="599" t="e">
        <f>UZ157*$F$78</f>
        <v>#VALUE!</v>
      </c>
      <c r="VC157" s="600" t="e">
        <f>UZ157*$F$83</f>
        <v>#VALUE!</v>
      </c>
      <c r="VD157" s="599" t="e">
        <f>UZ157*$F$80</f>
        <v>#VALUE!</v>
      </c>
      <c r="VE157" s="658" t="e">
        <f>UZ157*$F$79</f>
        <v>#VALUE!</v>
      </c>
    </row>
    <row r="158" spans="1:577" x14ac:dyDescent="0.25">
      <c r="A158" s="2219"/>
      <c r="B158" s="668">
        <v>20.100000000000001</v>
      </c>
      <c r="C158" s="673">
        <v>57</v>
      </c>
      <c r="D158" s="673">
        <v>1010</v>
      </c>
      <c r="E158" s="1999">
        <v>-2.1839999999999999E-9</v>
      </c>
      <c r="F158" s="673">
        <v>60</v>
      </c>
      <c r="G158" s="663">
        <v>44334</v>
      </c>
      <c r="H158" s="650" t="s">
        <v>1042</v>
      </c>
      <c r="I158" s="671">
        <f>IF(H158="Low",E158*$D$42,IF(H158="Med",E158*$D$43,IF(H158="High",E158*$D$44,"rango cal. out")))</f>
        <v>-2.1861839999999996E-9</v>
      </c>
      <c r="J158" s="619">
        <f>((273.2+B158)*$F$33/((273.2+$F$32)*D158))</f>
        <v>0.99676079650648008</v>
      </c>
      <c r="K158" s="674">
        <f>I158/F158*J158*EXP(-LN(2)/10990*($F$96-G158))</f>
        <v>-3.5967326297129804E-11</v>
      </c>
      <c r="L158" s="599">
        <f>K158-AVERAGE(S102:S103)</f>
        <v>-3.5943514329758304E-11</v>
      </c>
      <c r="M158" s="672" t="e">
        <f>ABS(#REF!*L158*3600)</f>
        <v>#REF!</v>
      </c>
      <c r="N158" s="675">
        <f>ABS($B$34*L158*3600)</f>
        <v>3.2607956199956732E-3</v>
      </c>
      <c r="O158" s="614">
        <f>N158*$C$87</f>
        <v>0.32607956199956734</v>
      </c>
      <c r="P158" s="672">
        <f>N158*$F$78</f>
        <v>3.9129547439948073E-3</v>
      </c>
      <c r="Q158" s="600">
        <f>N158*$F$83</f>
        <v>3.9455627001947647E-3</v>
      </c>
      <c r="R158" s="672">
        <f>N158*$F$80</f>
        <v>3.9455627001947647E-3</v>
      </c>
      <c r="S158" s="676">
        <f>N158*$F$79</f>
        <v>4.0759945249945915E-3</v>
      </c>
      <c r="T158" s="677"/>
      <c r="U158" s="669"/>
      <c r="V158" s="670"/>
      <c r="W158" s="671"/>
      <c r="X158" s="678"/>
      <c r="Y158" s="650"/>
      <c r="Z158" s="650"/>
      <c r="AA158" s="671" t="str">
        <f>IF(Z158="Low",W158*$D$42,IF(Z158="Med",W158*$D$43,IF(Z158="High",W158*$D$44,"rango cal. out")))</f>
        <v>rango cal. out</v>
      </c>
      <c r="AB158" s="619" t="e">
        <f>((273.2+T158)*$F$33/((273.2+$F$32)*V158))</f>
        <v>#DIV/0!</v>
      </c>
      <c r="AC158" s="674" t="e">
        <f>AA158/X158*AB158*EXP(-LN(2)/10990*($F$96-Y158))</f>
        <v>#VALUE!</v>
      </c>
      <c r="AD158" s="599" t="e">
        <f>AC158-AVERAGE(#REF!)</f>
        <v>#VALUE!</v>
      </c>
      <c r="AE158" s="672" t="e">
        <f>ABS(#REF!*AD158*3600)</f>
        <v>#REF!</v>
      </c>
      <c r="AF158" s="675" t="e">
        <f>ABS($B$34*AD158*3600)</f>
        <v>#VALUE!</v>
      </c>
      <c r="AG158" s="614" t="e">
        <f>AF158*$C$87</f>
        <v>#VALUE!</v>
      </c>
      <c r="AH158" s="672" t="e">
        <f>AF158*$F$78</f>
        <v>#VALUE!</v>
      </c>
      <c r="AI158" s="600" t="e">
        <f>AF158*$F$83</f>
        <v>#VALUE!</v>
      </c>
      <c r="AJ158" s="672" t="e">
        <f>AF158*$F$80</f>
        <v>#VALUE!</v>
      </c>
      <c r="AK158" s="676" t="e">
        <f>AF158*$F$79</f>
        <v>#VALUE!</v>
      </c>
      <c r="AL158" s="677"/>
      <c r="AM158" s="669"/>
      <c r="AN158" s="670"/>
      <c r="AO158" s="671"/>
      <c r="AP158" s="678"/>
      <c r="AQ158" s="650"/>
      <c r="AR158" s="650"/>
      <c r="AS158" s="671" t="str">
        <f>IF(AR158="Low",AO158*$D$42,IF(AR158="Med",AO158*$D$43,IF(AR158="High",AO158*$D$44,"rango cal. out")))</f>
        <v>rango cal. out</v>
      </c>
      <c r="AT158" s="619" t="e">
        <f>((273.2+AL158)*$F$33/((273.2+$F$32)*AN158))</f>
        <v>#DIV/0!</v>
      </c>
      <c r="AU158" s="674" t="e">
        <f>AS158/AP158*AT158*EXP(-LN(2)/10990*($F$96-AQ158))</f>
        <v>#VALUE!</v>
      </c>
      <c r="AV158" s="599" t="e">
        <f>AU158-AVERAGE(BC102:BC103)</f>
        <v>#VALUE!</v>
      </c>
      <c r="AW158" s="672" t="e">
        <f>ABS(#REF!*AV158*3600)</f>
        <v>#REF!</v>
      </c>
      <c r="AX158" s="675" t="e">
        <f>ABS($B$34*AV158*3600)</f>
        <v>#VALUE!</v>
      </c>
      <c r="AY158" s="614" t="e">
        <f>AX158*$C$87</f>
        <v>#VALUE!</v>
      </c>
      <c r="AZ158" s="672" t="e">
        <f>AX158*$F$78</f>
        <v>#VALUE!</v>
      </c>
      <c r="BA158" s="600" t="e">
        <f>AX158*$F$83</f>
        <v>#VALUE!</v>
      </c>
      <c r="BB158" s="672" t="e">
        <f>AX158*$F$80</f>
        <v>#VALUE!</v>
      </c>
      <c r="BC158" s="676" t="e">
        <f>AX158*$F$79</f>
        <v>#VALUE!</v>
      </c>
      <c r="BD158" s="668"/>
      <c r="BE158" s="669"/>
      <c r="BF158" s="661"/>
      <c r="BG158" s="1998">
        <v>-3.3700000000000003E-10</v>
      </c>
      <c r="BH158" s="678"/>
      <c r="BI158" s="663">
        <v>44333</v>
      </c>
      <c r="BJ158" s="650"/>
      <c r="BK158" s="671" t="str">
        <f>IF(BJ158="Low",BG158*$D$42,IF(BJ158="Med",BG158*$D$43,IF(BJ158="High",BG158*$D$44,"rango cal. out")))</f>
        <v>rango cal. out</v>
      </c>
      <c r="BL158" s="619" t="e">
        <f>((273.2+BD158)*$F$33/((273.2+$F$32)*BF158))</f>
        <v>#DIV/0!</v>
      </c>
      <c r="BM158" s="674" t="e">
        <f>BK158/BH158*BL158*EXP(-LN(2)/10990*($F$96-BI158))</f>
        <v>#VALUE!</v>
      </c>
      <c r="BN158" s="599" t="e">
        <f>BM158-AVERAGE(BU102:BU103)</f>
        <v>#VALUE!</v>
      </c>
      <c r="BO158" s="672" t="e">
        <f>ABS(#REF!*BN158*3600)</f>
        <v>#REF!</v>
      </c>
      <c r="BP158" s="675" t="e">
        <f>ABS($B$34*BN158*3600)</f>
        <v>#VALUE!</v>
      </c>
      <c r="BQ158" s="614" t="e">
        <f>BP158*$C$87</f>
        <v>#VALUE!</v>
      </c>
      <c r="BR158" s="672" t="e">
        <f>BP158*$F$78</f>
        <v>#VALUE!</v>
      </c>
      <c r="BS158" s="600" t="e">
        <f>BP158*$F$83</f>
        <v>#VALUE!</v>
      </c>
      <c r="BT158" s="672" t="e">
        <f>BP158*$F$80</f>
        <v>#VALUE!</v>
      </c>
      <c r="BU158" s="676" t="e">
        <f>BP158*$F$79</f>
        <v>#VALUE!</v>
      </c>
      <c r="BV158" s="668"/>
      <c r="BW158" s="669"/>
      <c r="BX158" s="670"/>
      <c r="BY158" s="1998">
        <f>0.00000000001705</f>
        <v>1.7049999999999999E-11</v>
      </c>
      <c r="BZ158" s="678"/>
      <c r="CA158" s="663">
        <v>44333</v>
      </c>
      <c r="CB158" s="650"/>
      <c r="CC158" s="671" t="str">
        <f>IF(CB158="Low",BY158*$D$42,IF(CB158="Med",BY158*$D$43,IF(CB158="High",BY158*$D$44,"rango cal. out")))</f>
        <v>rango cal. out</v>
      </c>
      <c r="CD158" s="619" t="e">
        <f>((273.2+BV158)*$F$33/((273.2+$F$32)*BX158))</f>
        <v>#DIV/0!</v>
      </c>
      <c r="CE158" s="674" t="e">
        <f>CC158/BZ158*CD158*EXP(-LN(2)/10990*($F$96-CA158))</f>
        <v>#VALUE!</v>
      </c>
      <c r="CF158" s="599" t="e">
        <f>CE158-AVERAGE(CM102:CM103)</f>
        <v>#VALUE!</v>
      </c>
      <c r="CG158" s="672" t="e">
        <f>ABS(#REF!*CF158*3600)</f>
        <v>#REF!</v>
      </c>
      <c r="CH158" s="675" t="e">
        <f>ABS($B$34*CF158*3600)</f>
        <v>#VALUE!</v>
      </c>
      <c r="CI158" s="614" t="e">
        <f>CH158*$C$87</f>
        <v>#VALUE!</v>
      </c>
      <c r="CJ158" s="672" t="e">
        <f>CH158*$F$78</f>
        <v>#VALUE!</v>
      </c>
      <c r="CK158" s="600" t="e">
        <f>CH158*$F$83</f>
        <v>#VALUE!</v>
      </c>
      <c r="CL158" s="672" t="e">
        <f>CH158*$F$80</f>
        <v>#VALUE!</v>
      </c>
      <c r="CM158" s="676" t="e">
        <f>CH158*$F$79</f>
        <v>#VALUE!</v>
      </c>
      <c r="CN158" s="668"/>
      <c r="CO158" s="669"/>
      <c r="CP158" s="670"/>
      <c r="CQ158" s="1998">
        <v>-7.8650000000000002E-10</v>
      </c>
      <c r="CR158" s="678"/>
      <c r="CS158" s="663">
        <v>44333</v>
      </c>
      <c r="CT158" s="650"/>
      <c r="CU158" s="671" t="str">
        <f>IF(CT158="Low",CQ158*$D$42,IF(CT158="Med",CQ158*$D$43,IF(CT158="High",CQ158*$D$44,"rango cal. out")))</f>
        <v>rango cal. out</v>
      </c>
      <c r="CV158" s="619" t="e">
        <f>((273.2+CN158)*$F$33/((273.2+$F$32)*CP158))</f>
        <v>#DIV/0!</v>
      </c>
      <c r="CW158" s="674" t="e">
        <f>CU158/CR158*CV158*EXP(-LN(2)/10990*($F$96-CS158))</f>
        <v>#VALUE!</v>
      </c>
      <c r="CX158" s="599" t="e">
        <f>CW158-AVERAGE(DE102:DE103)</f>
        <v>#VALUE!</v>
      </c>
      <c r="CY158" s="672" t="e">
        <f>ABS(#REF!*CX158*3600)</f>
        <v>#REF!</v>
      </c>
      <c r="CZ158" s="675" t="e">
        <f>ABS($B$34*CX158*3600)</f>
        <v>#VALUE!</v>
      </c>
      <c r="DA158" s="614" t="e">
        <f>CZ158*$C$87</f>
        <v>#VALUE!</v>
      </c>
      <c r="DB158" s="672" t="e">
        <f>CZ158*$F$78</f>
        <v>#VALUE!</v>
      </c>
      <c r="DC158" s="600" t="e">
        <f>CZ158*$F$83</f>
        <v>#VALUE!</v>
      </c>
      <c r="DD158" s="672" t="e">
        <f>CZ158*$F$80</f>
        <v>#VALUE!</v>
      </c>
      <c r="DE158" s="676" t="e">
        <f>CZ158*$F$79</f>
        <v>#VALUE!</v>
      </c>
      <c r="DF158" s="668"/>
      <c r="DG158" s="669"/>
      <c r="DH158" s="670"/>
      <c r="DI158" s="671"/>
      <c r="DJ158" s="678"/>
      <c r="DK158" s="650"/>
      <c r="DL158" s="650"/>
      <c r="DM158" s="671" t="str">
        <f>IF(DL158="Low",DI158*$D$42,IF(DL158="Med",DI158*$D$43,IF(DL158="High",DI158*$D$44,"rango cal. out")))</f>
        <v>rango cal. out</v>
      </c>
      <c r="DN158" s="619" t="e">
        <f>((273.2+DF158)*$F$33/((273.2+$F$32)*DH158))</f>
        <v>#DIV/0!</v>
      </c>
      <c r="DO158" s="674" t="e">
        <f>DM158/DJ158*DN158*EXP(-LN(2)/10990*($F$96-DK158))</f>
        <v>#VALUE!</v>
      </c>
      <c r="DP158" s="599" t="e">
        <f>DO158-AVERAGE(DW102:DW103)</f>
        <v>#VALUE!</v>
      </c>
      <c r="DQ158" s="672" t="e">
        <f>ABS(#REF!*DP158*3600)</f>
        <v>#REF!</v>
      </c>
      <c r="DR158" s="675" t="e">
        <f>ABS($B$34*DP158*3600)</f>
        <v>#VALUE!</v>
      </c>
      <c r="DS158" s="614" t="e">
        <f>DR158*$C$87</f>
        <v>#VALUE!</v>
      </c>
      <c r="DT158" s="672" t="e">
        <f>DR158*$F$78</f>
        <v>#VALUE!</v>
      </c>
      <c r="DU158" s="600" t="e">
        <f>DR158*$F$83</f>
        <v>#VALUE!</v>
      </c>
      <c r="DV158" s="672" t="e">
        <f>DR158*$F$80</f>
        <v>#VALUE!</v>
      </c>
      <c r="DW158" s="676" t="e">
        <f>DR158*$F$79</f>
        <v>#VALUE!</v>
      </c>
      <c r="DX158" s="668"/>
      <c r="DY158" s="669"/>
      <c r="DZ158" s="677"/>
      <c r="EA158" s="679"/>
      <c r="EB158" s="678"/>
      <c r="EC158" s="650"/>
      <c r="ED158" s="650"/>
      <c r="EE158" s="671" t="str">
        <f>IF(ED158="Low",EA158*$D$42,IF(ED158="Med",EA158*$D$43,IF(ED158="High",EA158*$D$44,"rango cal. out")))</f>
        <v>rango cal. out</v>
      </c>
      <c r="EF158" s="619" t="e">
        <f>((273.2+DX158)*$F$33/((273.2+$F$32)*DZ158))</f>
        <v>#DIV/0!</v>
      </c>
      <c r="EG158" s="674" t="e">
        <f>EE158/EB158*EF158*EXP(-LN(2)/10990*($F$96-EC158))</f>
        <v>#VALUE!</v>
      </c>
      <c r="EH158" s="599" t="e">
        <f>EG158-AVERAGE(EO102:EO103)</f>
        <v>#VALUE!</v>
      </c>
      <c r="EI158" s="672" t="e">
        <f>ABS(#REF!*EH158*3600)</f>
        <v>#REF!</v>
      </c>
      <c r="EJ158" s="675" t="e">
        <f>ABS($B$34*EH158*3600)</f>
        <v>#VALUE!</v>
      </c>
      <c r="EK158" s="614" t="e">
        <f>EJ158*$C$87</f>
        <v>#VALUE!</v>
      </c>
      <c r="EL158" s="672" t="e">
        <f>EJ158*$F$78</f>
        <v>#VALUE!</v>
      </c>
      <c r="EM158" s="600" t="e">
        <f>EJ158*$F$83</f>
        <v>#VALUE!</v>
      </c>
      <c r="EN158" s="672" t="e">
        <f>EJ158*$F$80</f>
        <v>#VALUE!</v>
      </c>
      <c r="EO158" s="676" t="e">
        <f>EJ158*$F$79</f>
        <v>#VALUE!</v>
      </c>
      <c r="EP158" s="668"/>
      <c r="EQ158" s="669"/>
      <c r="ER158" s="670"/>
      <c r="ES158" s="1998">
        <f t="shared" ref="ES158:ES161" si="1153">-0.000000000002</f>
        <v>-2E-12</v>
      </c>
      <c r="ET158" s="678"/>
      <c r="EU158" s="663">
        <v>44333</v>
      </c>
      <c r="EV158" s="650"/>
      <c r="EW158" s="671" t="str">
        <f>IF(EV158="Low",ES158*$D$42,IF(EV158="Med",ES158*$D$43,IF(EV158="High",ES158*$D$44,"rango cal. out")))</f>
        <v>rango cal. out</v>
      </c>
      <c r="EX158" s="619" t="e">
        <f>((273.2+EP158)*$F$33/((273.2+$F$32)*ER158))</f>
        <v>#DIV/0!</v>
      </c>
      <c r="EY158" s="674" t="e">
        <f>EW158/ET158*EX158*EXP(-LN(2)/10990*($F$96-EU158))</f>
        <v>#VALUE!</v>
      </c>
      <c r="EZ158" s="599" t="e">
        <f>EY158-AVERAGE(FG102:FG103)</f>
        <v>#VALUE!</v>
      </c>
      <c r="FA158" s="672" t="e">
        <f>ABS(#REF!*EZ158*3600)</f>
        <v>#REF!</v>
      </c>
      <c r="FB158" s="675" t="e">
        <f>ABS($B$34*EZ158*3600)</f>
        <v>#VALUE!</v>
      </c>
      <c r="FC158" s="614" t="e">
        <f>FB158*$C$87</f>
        <v>#VALUE!</v>
      </c>
      <c r="FD158" s="672" t="e">
        <f>FB158*$F$78</f>
        <v>#VALUE!</v>
      </c>
      <c r="FE158" s="600" t="e">
        <f>FB158*$F$83</f>
        <v>#VALUE!</v>
      </c>
      <c r="FF158" s="672" t="e">
        <f>FB158*$F$80</f>
        <v>#VALUE!</v>
      </c>
      <c r="FG158" s="676" t="e">
        <f>FB158*$F$79</f>
        <v>#VALUE!</v>
      </c>
      <c r="FH158" s="668"/>
      <c r="FI158" s="669"/>
      <c r="FJ158" s="670"/>
      <c r="FK158" s="671"/>
      <c r="FL158" s="678"/>
      <c r="FM158" s="650"/>
      <c r="FN158" s="650"/>
      <c r="FO158" s="671" t="str">
        <f>IF(FN158="Low",FK158*$D$42,IF(FN158="Med",FK158*$D$43,IF(FN158="High",FK158*$D$44,"rango cal. out")))</f>
        <v>rango cal. out</v>
      </c>
      <c r="FP158" s="619" t="e">
        <f>((273.2+FH158)*$F$33/((273.2+$F$32)*FJ158))</f>
        <v>#DIV/0!</v>
      </c>
      <c r="FQ158" s="674" t="e">
        <f>FO158/FL158*FP158*EXP(-LN(2)/10990*($F$96-FM158))</f>
        <v>#VALUE!</v>
      </c>
      <c r="FR158" s="599" t="e">
        <f>FQ158-AVERAGE(FY102:FY103)</f>
        <v>#VALUE!</v>
      </c>
      <c r="FS158" s="672" t="e">
        <f>ABS(#REF!*FR158*3600)</f>
        <v>#REF!</v>
      </c>
      <c r="FT158" s="675" t="e">
        <f>ABS($B$34*FR158*3600)</f>
        <v>#VALUE!</v>
      </c>
      <c r="FU158" s="614" t="e">
        <f>FT158*$C$87</f>
        <v>#VALUE!</v>
      </c>
      <c r="FV158" s="672" t="e">
        <f>FT158*$F$78</f>
        <v>#VALUE!</v>
      </c>
      <c r="FW158" s="600" t="e">
        <f>FT158*$F$83</f>
        <v>#VALUE!</v>
      </c>
      <c r="FX158" s="672" t="e">
        <f>FT158*$F$80</f>
        <v>#VALUE!</v>
      </c>
      <c r="FY158" s="676" t="e">
        <f>FT158*$F$79</f>
        <v>#VALUE!</v>
      </c>
      <c r="FZ158" s="668"/>
      <c r="GA158" s="669"/>
      <c r="GB158" s="670"/>
      <c r="GC158" s="671"/>
      <c r="GD158" s="678"/>
      <c r="GE158" s="650"/>
      <c r="GF158" s="650"/>
      <c r="GG158" s="671" t="str">
        <f>IF(GF158="Low",GC158*$D$42,IF(GF158="Med",GC158*$D$43,IF(GF158="High",GC158*$D$44,"rango cal. out")))</f>
        <v>rango cal. out</v>
      </c>
      <c r="GH158" s="619" t="e">
        <f>((273.2+FZ158)*$F$33/((273.2+$F$32)*GB158))</f>
        <v>#DIV/0!</v>
      </c>
      <c r="GI158" s="674" t="e">
        <f>GG158/GD158*GH158*EXP(-LN(2)/10990*($F$96-GE158))</f>
        <v>#VALUE!</v>
      </c>
      <c r="GJ158" s="599" t="e">
        <f>GI158-AVERAGE(GQ102:GQ103)</f>
        <v>#VALUE!</v>
      </c>
      <c r="GK158" s="672" t="e">
        <f>ABS(#REF!*GJ158*3600)</f>
        <v>#REF!</v>
      </c>
      <c r="GL158" s="675" t="e">
        <f>ABS($B$34*GJ158*3600)</f>
        <v>#VALUE!</v>
      </c>
      <c r="GM158" s="614" t="e">
        <f>GL158*$C$87</f>
        <v>#VALUE!</v>
      </c>
      <c r="GN158" s="672" t="e">
        <f>GL158*$F$78</f>
        <v>#VALUE!</v>
      </c>
      <c r="GO158" s="600" t="e">
        <f>GL158*$F$83</f>
        <v>#VALUE!</v>
      </c>
      <c r="GP158" s="672" t="e">
        <f>GL158*$F$80</f>
        <v>#VALUE!</v>
      </c>
      <c r="GQ158" s="676" t="e">
        <f>GL158*$F$79</f>
        <v>#VALUE!</v>
      </c>
      <c r="GR158" s="668"/>
      <c r="GS158" s="669"/>
      <c r="GT158" s="677"/>
      <c r="GU158" s="679"/>
      <c r="GV158" s="678"/>
      <c r="GW158" s="650"/>
      <c r="GX158" s="650"/>
      <c r="GY158" s="671" t="str">
        <f>IF(GX158="Low",GU158*$D$42,IF(GX158="Med",GU158*$D$43,IF(GX158="High",GU158*$D$44,"rango cal. out")))</f>
        <v>rango cal. out</v>
      </c>
      <c r="GZ158" s="619" t="e">
        <f>((273.2+GR158)*$F$33/((273.2+$F$32)*GT158))</f>
        <v>#DIV/0!</v>
      </c>
      <c r="HA158" s="674" t="e">
        <f>GY158/GV158*GZ158*EXP(-LN(2)/10990*($F$96-GW158))</f>
        <v>#VALUE!</v>
      </c>
      <c r="HB158" s="599" t="e">
        <f>HA158-AVERAGE(HI102:HI103)</f>
        <v>#VALUE!</v>
      </c>
      <c r="HC158" s="672" t="e">
        <f>ABS(#REF!*HB158*3600)</f>
        <v>#REF!</v>
      </c>
      <c r="HD158" s="675" t="e">
        <f>ABS($B$34*HB158*3600)</f>
        <v>#VALUE!</v>
      </c>
      <c r="HE158" s="614" t="e">
        <f>HD158*$C$87</f>
        <v>#VALUE!</v>
      </c>
      <c r="HF158" s="672" t="e">
        <f>HD158*$F$78</f>
        <v>#VALUE!</v>
      </c>
      <c r="HG158" s="600" t="e">
        <f>HD158*$F$83</f>
        <v>#VALUE!</v>
      </c>
      <c r="HH158" s="672" t="e">
        <f>HD158*$F$80</f>
        <v>#VALUE!</v>
      </c>
      <c r="HI158" s="676" t="e">
        <f>HD158*$F$79</f>
        <v>#VALUE!</v>
      </c>
      <c r="HJ158" s="668"/>
      <c r="HK158" s="669"/>
      <c r="HL158" s="670"/>
      <c r="HM158" s="671"/>
      <c r="HN158" s="678"/>
      <c r="HO158" s="650"/>
      <c r="HP158" s="650"/>
      <c r="HQ158" s="671" t="str">
        <f>IF(HP158="Low",HM158*$D$42,IF(HP158="Med",HM158*$D$43,IF(HP158="High",HM158*$D$44,"rango cal. out")))</f>
        <v>rango cal. out</v>
      </c>
      <c r="HR158" s="619" t="e">
        <f>((273.2+HJ158)*$F$33/((273.2+$F$32)*HL158))</f>
        <v>#DIV/0!</v>
      </c>
      <c r="HS158" s="674" t="e">
        <f>HQ158/HN158*HR158*EXP(-LN(2)/10990*($F$96-HO158))</f>
        <v>#VALUE!</v>
      </c>
      <c r="HT158" s="599" t="e">
        <f>HS158-AVERAGE(IA102:IA103)</f>
        <v>#VALUE!</v>
      </c>
      <c r="HU158" s="672" t="e">
        <f>ABS(#REF!*HT158*3600)</f>
        <v>#REF!</v>
      </c>
      <c r="HV158" s="675" t="e">
        <f>ABS($B$34*HT158*3600)</f>
        <v>#VALUE!</v>
      </c>
      <c r="HW158" s="614" t="e">
        <f>HV158*$C$87</f>
        <v>#VALUE!</v>
      </c>
      <c r="HX158" s="672" t="e">
        <f>HV158*$F$78</f>
        <v>#VALUE!</v>
      </c>
      <c r="HY158" s="600" t="e">
        <f>HV158*$F$83</f>
        <v>#VALUE!</v>
      </c>
      <c r="HZ158" s="672" t="e">
        <f>HV158*$F$80</f>
        <v>#VALUE!</v>
      </c>
      <c r="IA158" s="676" t="e">
        <f>HV158*$F$79</f>
        <v>#VALUE!</v>
      </c>
      <c r="IB158" s="668"/>
      <c r="IC158" s="669"/>
      <c r="ID158" s="670"/>
      <c r="IE158" s="671"/>
      <c r="IF158" s="678"/>
      <c r="IG158" s="650"/>
      <c r="IH158" s="650"/>
      <c r="II158" s="671" t="str">
        <f>IF(IH158="Low",IE158*$D$42,IF(IH158="Med",IE158*$D$43,IF(IH158="High",IE158*$D$44,"rango cal. out")))</f>
        <v>rango cal. out</v>
      </c>
      <c r="IJ158" s="619" t="e">
        <f>((273.2+IB158)*$F$33/((273.2+$F$32)*ID158))</f>
        <v>#DIV/0!</v>
      </c>
      <c r="IK158" s="674" t="e">
        <f>II158/IF158*IJ158*EXP(-LN(2)/10990*($F$96-IG158))</f>
        <v>#VALUE!</v>
      </c>
      <c r="IL158" s="599" t="e">
        <f>IK158-AVERAGE(IS102:IS103)</f>
        <v>#VALUE!</v>
      </c>
      <c r="IM158" s="672" t="e">
        <f>ABS(#REF!*IL158*3600)</f>
        <v>#REF!</v>
      </c>
      <c r="IN158" s="675" t="e">
        <f>ABS($B$34*IL158*3600)</f>
        <v>#VALUE!</v>
      </c>
      <c r="IO158" s="614" t="e">
        <f>IN158*$C$87</f>
        <v>#VALUE!</v>
      </c>
      <c r="IP158" s="672" t="e">
        <f>IN158*$F$78</f>
        <v>#VALUE!</v>
      </c>
      <c r="IQ158" s="600" t="e">
        <f>IN158*$F$83</f>
        <v>#VALUE!</v>
      </c>
      <c r="IR158" s="672" t="e">
        <f>IN158*$F$80</f>
        <v>#VALUE!</v>
      </c>
      <c r="IS158" s="676" t="e">
        <f>IN158*$F$79</f>
        <v>#VALUE!</v>
      </c>
      <c r="IT158" s="668"/>
      <c r="IU158" s="669"/>
      <c r="IV158" s="670"/>
      <c r="IW158" s="671"/>
      <c r="IX158" s="678"/>
      <c r="IY158" s="650"/>
      <c r="IZ158" s="650"/>
      <c r="JA158" s="671" t="str">
        <f>IF(IZ158="Low",IW158*$D$42,IF(IZ158="Med",IW158*$D$43,IF(IZ158="High",IW158*$D$44,"rango cal. out")))</f>
        <v>rango cal. out</v>
      </c>
      <c r="JB158" s="619" t="e">
        <f>((273.2+IT158)*$F$33/((273.2+$F$32)*IV158))</f>
        <v>#DIV/0!</v>
      </c>
      <c r="JC158" s="674" t="e">
        <f>JA158/IX158*JB158*EXP(-LN(2)/10990*($F$96-IY158))</f>
        <v>#VALUE!</v>
      </c>
      <c r="JD158" s="599" t="e">
        <f>JC158-AVERAGE(JK102:JK103)</f>
        <v>#VALUE!</v>
      </c>
      <c r="JE158" s="672" t="e">
        <f>ABS(#REF!*JD158*3600)</f>
        <v>#REF!</v>
      </c>
      <c r="JF158" s="675" t="e">
        <f>ABS($B$34*JD158*3600)</f>
        <v>#VALUE!</v>
      </c>
      <c r="JG158" s="614" t="e">
        <f>JF158*$C$87</f>
        <v>#VALUE!</v>
      </c>
      <c r="JH158" s="672" t="e">
        <f>JF158*$F$78</f>
        <v>#VALUE!</v>
      </c>
      <c r="JI158" s="600" t="e">
        <f>JF158*$F$83</f>
        <v>#VALUE!</v>
      </c>
      <c r="JJ158" s="672" t="e">
        <f>JF158*$F$80</f>
        <v>#VALUE!</v>
      </c>
      <c r="JK158" s="676" t="e">
        <f>JF158*$F$79</f>
        <v>#VALUE!</v>
      </c>
      <c r="JL158" s="668"/>
      <c r="JM158" s="669"/>
      <c r="JN158" s="670"/>
      <c r="JO158" s="671"/>
      <c r="JP158" s="678"/>
      <c r="JQ158" s="650"/>
      <c r="JR158" s="650"/>
      <c r="JS158" s="671" t="str">
        <f>IF(JR158="Low",JO158*$D$42,IF(JR158="Med",JO158*$D$43,IF(JR158="High",JO158*$D$44,"rango cal. out")))</f>
        <v>rango cal. out</v>
      </c>
      <c r="JT158" s="619" t="e">
        <f>((273.2+JL158)*$F$33/((273.2+$F$32)*JN158))</f>
        <v>#DIV/0!</v>
      </c>
      <c r="JU158" s="674" t="e">
        <f>JS158/JP158*JT158*EXP(-LN(2)/10990*($F$96-JQ158))</f>
        <v>#VALUE!</v>
      </c>
      <c r="JV158" s="599" t="e">
        <f>JU158-AVERAGE(KC102:KC103)</f>
        <v>#VALUE!</v>
      </c>
      <c r="JW158" s="672" t="e">
        <f>ABS(#REF!*JV158*3600)</f>
        <v>#REF!</v>
      </c>
      <c r="JX158" s="675" t="e">
        <f>ABS($B$34*JV158*3600)</f>
        <v>#VALUE!</v>
      </c>
      <c r="JY158" s="614" t="e">
        <f>JX158*$C$87</f>
        <v>#VALUE!</v>
      </c>
      <c r="JZ158" s="672" t="e">
        <f>JX158*$F$78</f>
        <v>#VALUE!</v>
      </c>
      <c r="KA158" s="600" t="e">
        <f>JX158*$F$83</f>
        <v>#VALUE!</v>
      </c>
      <c r="KB158" s="672" t="e">
        <f>JX158*$F$80</f>
        <v>#VALUE!</v>
      </c>
      <c r="KC158" s="676" t="e">
        <f>JX158*$F$79</f>
        <v>#VALUE!</v>
      </c>
      <c r="KD158" s="668"/>
      <c r="KE158" s="669"/>
      <c r="KF158" s="670"/>
      <c r="KG158" s="671"/>
      <c r="KH158" s="678"/>
      <c r="KI158" s="650"/>
      <c r="KJ158" s="650"/>
      <c r="KK158" s="671" t="str">
        <f>IF(KJ158="Low",KG158*$D$42,IF(KJ158="Med",KG158*$D$43,IF(KJ158="High",KG158*$D$44,"rango cal. out")))</f>
        <v>rango cal. out</v>
      </c>
      <c r="KL158" s="619" t="e">
        <f>((273.2+KD158)*$F$33/((273.2+$F$32)*KF158))</f>
        <v>#DIV/0!</v>
      </c>
      <c r="KM158" s="674" t="e">
        <f>KK158/KH158*KL158*EXP(-LN(2)/10990*($F$96-KI158))</f>
        <v>#VALUE!</v>
      </c>
      <c r="KN158" s="599" t="e">
        <f>KM158-AVERAGE(KU102:KU103)</f>
        <v>#VALUE!</v>
      </c>
      <c r="KO158" s="672" t="e">
        <f>ABS(#REF!*KN158*3600)</f>
        <v>#REF!</v>
      </c>
      <c r="KP158" s="675" t="e">
        <f>ABS($B$34*KN158*3600)</f>
        <v>#VALUE!</v>
      </c>
      <c r="KQ158" s="614" t="e">
        <f>KP158*$C$87</f>
        <v>#VALUE!</v>
      </c>
      <c r="KR158" s="672" t="e">
        <f>KP158*$F$78</f>
        <v>#VALUE!</v>
      </c>
      <c r="KS158" s="600" t="e">
        <f>KP158*$F$83</f>
        <v>#VALUE!</v>
      </c>
      <c r="KT158" s="672" t="e">
        <f>KP158*$F$80</f>
        <v>#VALUE!</v>
      </c>
      <c r="KU158" s="676" t="e">
        <f>KP158*$F$79</f>
        <v>#VALUE!</v>
      </c>
      <c r="KV158" s="668"/>
      <c r="KW158" s="669"/>
      <c r="KX158" s="670"/>
      <c r="KY158" s="671"/>
      <c r="KZ158" s="678"/>
      <c r="LA158" s="650"/>
      <c r="LB158" s="650"/>
      <c r="LC158" s="671" t="str">
        <f>IF(LB158="Low",KY158*$D$42,IF(LB158="Med",KY158*$D$43,IF(LB158="High",KY158*$D$44,"rango cal. out")))</f>
        <v>rango cal. out</v>
      </c>
      <c r="LD158" s="619" t="e">
        <f>((273.2+KV158)*$F$33/((273.2+$F$32)*KX158))</f>
        <v>#DIV/0!</v>
      </c>
      <c r="LE158" s="674" t="e">
        <f>LC158/KZ158*LD158*EXP(-LN(2)/10990*($F$96-LA158))</f>
        <v>#VALUE!</v>
      </c>
      <c r="LF158" s="599" t="e">
        <f>LE158-AVERAGE(LM102:LM103)</f>
        <v>#VALUE!</v>
      </c>
      <c r="LG158" s="672" t="e">
        <f>ABS(#REF!*LF158*3600)</f>
        <v>#REF!</v>
      </c>
      <c r="LH158" s="675" t="e">
        <f>ABS($B$34*LF158*3600)</f>
        <v>#VALUE!</v>
      </c>
      <c r="LI158" s="614" t="e">
        <f>LH158*$C$87</f>
        <v>#VALUE!</v>
      </c>
      <c r="LJ158" s="672" t="e">
        <f>LH158*$F$78</f>
        <v>#VALUE!</v>
      </c>
      <c r="LK158" s="600" t="e">
        <f>LH158*$F$83</f>
        <v>#VALUE!</v>
      </c>
      <c r="LL158" s="672" t="e">
        <f>LH158*$F$80</f>
        <v>#VALUE!</v>
      </c>
      <c r="LM158" s="676" t="e">
        <f>LH158*$F$79</f>
        <v>#VALUE!</v>
      </c>
      <c r="LN158" s="668"/>
      <c r="LO158" s="669"/>
      <c r="LP158" s="670"/>
      <c r="LQ158" s="671"/>
      <c r="LR158" s="678"/>
      <c r="LS158" s="650"/>
      <c r="LT158" s="650"/>
      <c r="LU158" s="671" t="str">
        <f>IF(LT158="Low",LQ158*$D$42,IF(LT158="Med",LQ158*$D$43,IF(LT158="High",LQ158*$D$44,"rango cal. out")))</f>
        <v>rango cal. out</v>
      </c>
      <c r="LV158" s="619" t="e">
        <f>((273.2+LN158)*$F$33/((273.2+$F$32)*LP158))</f>
        <v>#DIV/0!</v>
      </c>
      <c r="LW158" s="674" t="e">
        <f>LU158/LR158*LV158*EXP(-LN(2)/10990*($F$96-LS158))</f>
        <v>#VALUE!</v>
      </c>
      <c r="LX158" s="599" t="e">
        <f>LW158-AVERAGE(ME102:ME103)</f>
        <v>#VALUE!</v>
      </c>
      <c r="LY158" s="672" t="e">
        <f>ABS(#REF!*LX158*3600)</f>
        <v>#REF!</v>
      </c>
      <c r="LZ158" s="675" t="e">
        <f>ABS($B$34*LX158*3600)</f>
        <v>#VALUE!</v>
      </c>
      <c r="MA158" s="614" t="e">
        <f>LZ158*$C$87</f>
        <v>#VALUE!</v>
      </c>
      <c r="MB158" s="672" t="e">
        <f>LZ158*$F$78</f>
        <v>#VALUE!</v>
      </c>
      <c r="MC158" s="600" t="e">
        <f>LZ158*$F$83</f>
        <v>#VALUE!</v>
      </c>
      <c r="MD158" s="672" t="e">
        <f>LZ158*$F$80</f>
        <v>#VALUE!</v>
      </c>
      <c r="ME158" s="676" t="e">
        <f>LZ158*$F$79</f>
        <v>#VALUE!</v>
      </c>
      <c r="MF158" s="668"/>
      <c r="MG158" s="669"/>
      <c r="MH158" s="670"/>
      <c r="MI158" s="671"/>
      <c r="MJ158" s="678"/>
      <c r="MK158" s="650"/>
      <c r="ML158" s="650"/>
      <c r="MM158" s="671" t="str">
        <f>IF(ML158="Low",MI158*$D$42,IF(ML158="Med",MI158*$D$43,IF(ML158="High",MI158*$D$44,"rango cal. out")))</f>
        <v>rango cal. out</v>
      </c>
      <c r="MN158" s="619" t="e">
        <f>((273.2+MF158)*$F$33/((273.2+$F$32)*MH158))</f>
        <v>#DIV/0!</v>
      </c>
      <c r="MO158" s="674" t="e">
        <f>MM158/MJ158*MN158*EXP(-LN(2)/10990*($F$96-MK158))</f>
        <v>#VALUE!</v>
      </c>
      <c r="MP158" s="599" t="e">
        <f>MO158-AVERAGE(MW102:MW103)</f>
        <v>#VALUE!</v>
      </c>
      <c r="MQ158" s="672" t="e">
        <f>ABS(#REF!*MP158*3600)</f>
        <v>#REF!</v>
      </c>
      <c r="MR158" s="675" t="e">
        <f>ABS($B$34*MP158*3600)</f>
        <v>#VALUE!</v>
      </c>
      <c r="MS158" s="614" t="e">
        <f>MR158*$C$87</f>
        <v>#VALUE!</v>
      </c>
      <c r="MT158" s="672" t="e">
        <f>MR158*$F$78</f>
        <v>#VALUE!</v>
      </c>
      <c r="MU158" s="600" t="e">
        <f>MR158*$F$83</f>
        <v>#VALUE!</v>
      </c>
      <c r="MV158" s="672" t="e">
        <f>MR158*$F$80</f>
        <v>#VALUE!</v>
      </c>
      <c r="MW158" s="676" t="e">
        <f>MR158*$F$79</f>
        <v>#VALUE!</v>
      </c>
      <c r="MX158" s="668"/>
      <c r="MY158" s="669"/>
      <c r="MZ158" s="670"/>
      <c r="NA158" s="671"/>
      <c r="NB158" s="678"/>
      <c r="NC158" s="650"/>
      <c r="ND158" s="650"/>
      <c r="NE158" s="671" t="str">
        <f>IF(ND158="Low",NA158*$D$42,IF(ND158="Med",NA158*$D$43,IF(ND158="High",NA158*$D$44,"rango cal. out")))</f>
        <v>rango cal. out</v>
      </c>
      <c r="NF158" s="619" t="e">
        <f>((273.2+MX158)*$F$33/((273.2+$F$32)*MZ158))</f>
        <v>#DIV/0!</v>
      </c>
      <c r="NG158" s="674" t="e">
        <f>NE158/NB158*NF158*EXP(-LN(2)/10990*($F$96-NC158))</f>
        <v>#VALUE!</v>
      </c>
      <c r="NH158" s="599" t="e">
        <f>NG158-AVERAGE(NO102:NO103)</f>
        <v>#VALUE!</v>
      </c>
      <c r="NI158" s="672" t="e">
        <f>ABS(#REF!*NH158*3600)</f>
        <v>#REF!</v>
      </c>
      <c r="NJ158" s="675" t="e">
        <f>ABS($B$34*NH158*3600)</f>
        <v>#VALUE!</v>
      </c>
      <c r="NK158" s="614" t="e">
        <f>NJ158*$C$87</f>
        <v>#VALUE!</v>
      </c>
      <c r="NL158" s="672" t="e">
        <f>NJ158*$F$78</f>
        <v>#VALUE!</v>
      </c>
      <c r="NM158" s="600" t="e">
        <f>NJ158*$F$83</f>
        <v>#VALUE!</v>
      </c>
      <c r="NN158" s="672" t="e">
        <f>NJ158*$F$80</f>
        <v>#VALUE!</v>
      </c>
      <c r="NO158" s="676" t="e">
        <f>NJ158*$F$79</f>
        <v>#VALUE!</v>
      </c>
      <c r="NP158" s="668"/>
      <c r="NQ158" s="669"/>
      <c r="NR158" s="670"/>
      <c r="NS158" s="671"/>
      <c r="NT158" s="678"/>
      <c r="NU158" s="650"/>
      <c r="NV158" s="650"/>
      <c r="NW158" s="671" t="str">
        <f>IF(NV158="Low",NS158*$D$42,IF(NV158="Med",NS158*$D$43,IF(NV158="High",NS158*$D$44,"rango cal. out")))</f>
        <v>rango cal. out</v>
      </c>
      <c r="NX158" s="619" t="e">
        <f>((273.2+NP158)*$F$33/((273.2+$F$32)*NR158))</f>
        <v>#DIV/0!</v>
      </c>
      <c r="NY158" s="674" t="e">
        <f>NW158/NT158*NX158*EXP(-LN(2)/10990*($F$96-NU158))</f>
        <v>#VALUE!</v>
      </c>
      <c r="NZ158" s="599" t="e">
        <f>NY158-AVERAGE(OG102:OG103)</f>
        <v>#VALUE!</v>
      </c>
      <c r="OA158" s="672" t="e">
        <f>ABS(#REF!*NZ158*3600)</f>
        <v>#REF!</v>
      </c>
      <c r="OB158" s="675" t="e">
        <f>ABS($B$34*NZ158*3600)</f>
        <v>#VALUE!</v>
      </c>
      <c r="OC158" s="614" t="e">
        <f>OB158*$C$87</f>
        <v>#VALUE!</v>
      </c>
      <c r="OD158" s="672" t="e">
        <f>OB158*$F$78</f>
        <v>#VALUE!</v>
      </c>
      <c r="OE158" s="600" t="e">
        <f>OB158*$F$83</f>
        <v>#VALUE!</v>
      </c>
      <c r="OF158" s="672" t="e">
        <f>OB158*$F$80</f>
        <v>#VALUE!</v>
      </c>
      <c r="OG158" s="676" t="e">
        <f>OB158*$F$79</f>
        <v>#VALUE!</v>
      </c>
      <c r="OH158" s="668"/>
      <c r="OI158" s="669"/>
      <c r="OJ158" s="670"/>
      <c r="OK158" s="671"/>
      <c r="OL158" s="678"/>
      <c r="OM158" s="650"/>
      <c r="ON158" s="650"/>
      <c r="OO158" s="671" t="str">
        <f>IF(ON158="Low",OK158*$D$42,IF(ON158="Med",OK158*$D$43,IF(ON158="High",OK158*$D$44,"rango cal. out")))</f>
        <v>rango cal. out</v>
      </c>
      <c r="OP158" s="619" t="e">
        <f>((273.2+OH158)*$F$33/((273.2+$F$32)*OJ158))</f>
        <v>#DIV/0!</v>
      </c>
      <c r="OQ158" s="674" t="e">
        <f>OO158/OL158*OP158*EXP(-LN(2)/10990*($F$96-OM158))</f>
        <v>#VALUE!</v>
      </c>
      <c r="OR158" s="599" t="e">
        <f>OQ158-AVERAGE(OY102:OY103)</f>
        <v>#VALUE!</v>
      </c>
      <c r="OS158" s="672" t="e">
        <f>ABS(#REF!*OR158*3600)</f>
        <v>#REF!</v>
      </c>
      <c r="OT158" s="675" t="e">
        <f>ABS($B$34*OR158*3600)</f>
        <v>#VALUE!</v>
      </c>
      <c r="OU158" s="614" t="e">
        <f>OT158*$C$87</f>
        <v>#VALUE!</v>
      </c>
      <c r="OV158" s="672" t="e">
        <f>OT158*$F$78</f>
        <v>#VALUE!</v>
      </c>
      <c r="OW158" s="600" t="e">
        <f>OT158*$F$83</f>
        <v>#VALUE!</v>
      </c>
      <c r="OX158" s="672" t="e">
        <f>OT158*$F$80</f>
        <v>#VALUE!</v>
      </c>
      <c r="OY158" s="676" t="e">
        <f>OT158*$F$79</f>
        <v>#VALUE!</v>
      </c>
      <c r="OZ158" s="668"/>
      <c r="PA158" s="669"/>
      <c r="PB158" s="670"/>
      <c r="PC158" s="671"/>
      <c r="PD158" s="678"/>
      <c r="PE158" s="650"/>
      <c r="PF158" s="650"/>
      <c r="PG158" s="671" t="str">
        <f>IF(PF158="Low",PC158*$D$42,IF(PF158="Med",PC158*$D$43,IF(PF158="High",PC158*$D$44,"rango cal. out")))</f>
        <v>rango cal. out</v>
      </c>
      <c r="PH158" s="619" t="e">
        <f>((273.2+OZ158)*$F$33/((273.2+$F$32)*PB158))</f>
        <v>#DIV/0!</v>
      </c>
      <c r="PI158" s="674" t="e">
        <f>PG158/PD158*PH158*EXP(-LN(2)/10990*($F$96-PE158))</f>
        <v>#VALUE!</v>
      </c>
      <c r="PJ158" s="599" t="e">
        <f>PI158-AVERAGE(PQ102:PQ103)</f>
        <v>#VALUE!</v>
      </c>
      <c r="PK158" s="672" t="e">
        <f>ABS(#REF!*PJ158*3600)</f>
        <v>#REF!</v>
      </c>
      <c r="PL158" s="675" t="e">
        <f>ABS($B$34*PJ158*3600)</f>
        <v>#VALUE!</v>
      </c>
      <c r="PM158" s="614" t="e">
        <f>PL158*$C$87</f>
        <v>#VALUE!</v>
      </c>
      <c r="PN158" s="672" t="e">
        <f>PL158*$F$78</f>
        <v>#VALUE!</v>
      </c>
      <c r="PO158" s="600" t="e">
        <f>PL158*$F$83</f>
        <v>#VALUE!</v>
      </c>
      <c r="PP158" s="672" t="e">
        <f>PL158*$F$80</f>
        <v>#VALUE!</v>
      </c>
      <c r="PQ158" s="676" t="e">
        <f>PL158*$F$79</f>
        <v>#VALUE!</v>
      </c>
      <c r="PR158" s="668"/>
      <c r="PS158" s="669"/>
      <c r="PT158" s="670"/>
      <c r="PU158" s="671"/>
      <c r="PV158" s="678"/>
      <c r="PW158" s="650"/>
      <c r="PX158" s="650"/>
      <c r="PY158" s="671" t="str">
        <f>IF(PX158="Low",PU158*$D$42,IF(PX158="Med",PU158*$D$43,IF(PX158="High",PU158*$D$44,"rango cal. out")))</f>
        <v>rango cal. out</v>
      </c>
      <c r="PZ158" s="619" t="e">
        <f>((273.2+PR158)*$F$33/((273.2+$F$32)*PT158))</f>
        <v>#DIV/0!</v>
      </c>
      <c r="QA158" s="674" t="e">
        <f>PY158/PV158*PZ158*EXP(-LN(2)/10990*($F$96-PW158))</f>
        <v>#VALUE!</v>
      </c>
      <c r="QB158" s="599" t="e">
        <f>QA158-AVERAGE(QI102:QI103)</f>
        <v>#VALUE!</v>
      </c>
      <c r="QC158" s="672" t="e">
        <f>ABS(#REF!*QB158*3600)</f>
        <v>#REF!</v>
      </c>
      <c r="QD158" s="675" t="e">
        <f>ABS($B$34*QB158*3600)</f>
        <v>#VALUE!</v>
      </c>
      <c r="QE158" s="614" t="e">
        <f>QD158*$C$87</f>
        <v>#VALUE!</v>
      </c>
      <c r="QF158" s="672" t="e">
        <f>QD158*$F$78</f>
        <v>#VALUE!</v>
      </c>
      <c r="QG158" s="600" t="e">
        <f>QD158*$F$83</f>
        <v>#VALUE!</v>
      </c>
      <c r="QH158" s="672" t="e">
        <f>QD158*$F$80</f>
        <v>#VALUE!</v>
      </c>
      <c r="QI158" s="676" t="e">
        <f>QD158*$F$79</f>
        <v>#VALUE!</v>
      </c>
      <c r="QJ158" s="668"/>
      <c r="QK158" s="669"/>
      <c r="QL158" s="670"/>
      <c r="QM158" s="671"/>
      <c r="QN158" s="678"/>
      <c r="QO158" s="650"/>
      <c r="QP158" s="650"/>
      <c r="QQ158" s="671" t="str">
        <f>IF(QP158="Low",QM158*$D$42,IF(QP158="Med",QM158*$D$43,IF(QP158="High",QM158*$D$44,"rango cal. out")))</f>
        <v>rango cal. out</v>
      </c>
      <c r="QR158" s="619" t="e">
        <f>((273.2+QJ158)*$F$33/((273.2+$F$32)*QL158))</f>
        <v>#DIV/0!</v>
      </c>
      <c r="QS158" s="674" t="e">
        <f>QQ158/QN158*QR158*EXP(-LN(2)/10990*($F$96-QO158))</f>
        <v>#VALUE!</v>
      </c>
      <c r="QT158" s="599" t="e">
        <f>QS158-AVERAGE(RA102:RA103)</f>
        <v>#VALUE!</v>
      </c>
      <c r="QU158" s="672" t="e">
        <f>ABS(#REF!*QT158*3600)</f>
        <v>#REF!</v>
      </c>
      <c r="QV158" s="675" t="e">
        <f>ABS($B$34*QT158*3600)</f>
        <v>#VALUE!</v>
      </c>
      <c r="QW158" s="614" t="e">
        <f>QV158*$C$87</f>
        <v>#VALUE!</v>
      </c>
      <c r="QX158" s="672" t="e">
        <f>QV158*$F$78</f>
        <v>#VALUE!</v>
      </c>
      <c r="QY158" s="600" t="e">
        <f>QV158*$F$83</f>
        <v>#VALUE!</v>
      </c>
      <c r="QZ158" s="672" t="e">
        <f>QV158*$F$80</f>
        <v>#VALUE!</v>
      </c>
      <c r="RA158" s="676" t="e">
        <f>QV158*$F$79</f>
        <v>#VALUE!</v>
      </c>
      <c r="RB158" s="668"/>
      <c r="RC158" s="669"/>
      <c r="RD158" s="670"/>
      <c r="RE158" s="671"/>
      <c r="RF158" s="673">
        <v>100</v>
      </c>
      <c r="RG158" s="650"/>
      <c r="RH158" s="650"/>
      <c r="RI158" s="671" t="str">
        <f>IF(RH158="Low",RE158*$D$42,IF(RH158="Med",RE158*$D$43,IF(RH158="High",RE158*$D$44,"rango cal. out")))</f>
        <v>rango cal. out</v>
      </c>
      <c r="RJ158" s="619" t="e">
        <f>((273.2+RB158)*$F$33/((273.2+$F$32)*RD158))</f>
        <v>#DIV/0!</v>
      </c>
      <c r="RK158" s="674" t="e">
        <f>RI158/RF158*RJ158*EXP(-LN(2)/10990*($F$96-RG158))</f>
        <v>#VALUE!</v>
      </c>
      <c r="RL158" s="599" t="e">
        <f>RK158-AVERAGE(RS102:RS103)</f>
        <v>#VALUE!</v>
      </c>
      <c r="RM158" s="672" t="e">
        <f>ABS(#REF!*RL158*3600)</f>
        <v>#REF!</v>
      </c>
      <c r="RN158" s="675" t="e">
        <f>ABS($B$34*RL158*3600)</f>
        <v>#VALUE!</v>
      </c>
      <c r="RO158" s="614" t="e">
        <f>RN158*$C$87</f>
        <v>#VALUE!</v>
      </c>
      <c r="RP158" s="672" t="e">
        <f>RN158*$F$78</f>
        <v>#VALUE!</v>
      </c>
      <c r="RQ158" s="600" t="e">
        <f>RN158*$F$83</f>
        <v>#VALUE!</v>
      </c>
      <c r="RR158" s="672" t="e">
        <f>RN158*$F$80</f>
        <v>#VALUE!</v>
      </c>
      <c r="RS158" s="676" t="e">
        <f>RN158*$F$79</f>
        <v>#VALUE!</v>
      </c>
      <c r="RT158" s="668"/>
      <c r="RU158" s="669"/>
      <c r="RV158" s="669"/>
      <c r="RW158" s="679"/>
      <c r="RX158" s="673">
        <v>100</v>
      </c>
      <c r="RY158" s="650"/>
      <c r="RZ158" s="650"/>
      <c r="SA158" s="671" t="str">
        <f>IF(RZ158="Low",RW158*$D$42,IF(RZ158="Med",RW158*$D$43,IF(RZ158="High",RW158*$D$44,"rango cal. out")))</f>
        <v>rango cal. out</v>
      </c>
      <c r="SB158" s="619" t="e">
        <f>((273.2+RT158)*$F$33/((273.2+$F$32)*RV158))</f>
        <v>#DIV/0!</v>
      </c>
      <c r="SC158" s="674" t="e">
        <f>SA158/RX158*SB158*EXP(-LN(2)/10990*($F$96-RY158))</f>
        <v>#VALUE!</v>
      </c>
      <c r="SD158" s="599" t="e">
        <f>SC158-AVERAGE(SK102:SK103)</f>
        <v>#VALUE!</v>
      </c>
      <c r="SE158" s="672" t="e">
        <f>ABS(#REF!*SD158*3600)</f>
        <v>#REF!</v>
      </c>
      <c r="SF158" s="675" t="e">
        <f>ABS($B$34*SD158*3600)</f>
        <v>#VALUE!</v>
      </c>
      <c r="SG158" s="614" t="e">
        <f>SF158*$C$87</f>
        <v>#VALUE!</v>
      </c>
      <c r="SH158" s="672" t="e">
        <f>SF158*$F$78</f>
        <v>#VALUE!</v>
      </c>
      <c r="SI158" s="600" t="e">
        <f>SF158*$F$83</f>
        <v>#VALUE!</v>
      </c>
      <c r="SJ158" s="672" t="e">
        <f>SF158*$F$80</f>
        <v>#VALUE!</v>
      </c>
      <c r="SK158" s="676" t="e">
        <f>SF158*$F$79</f>
        <v>#VALUE!</v>
      </c>
      <c r="SL158" s="668"/>
      <c r="SM158" s="669"/>
      <c r="SN158" s="670"/>
      <c r="SO158" s="671"/>
      <c r="SP158" s="678"/>
      <c r="SQ158" s="650"/>
      <c r="SR158" s="650"/>
      <c r="SS158" s="671" t="str">
        <f>IF(SR158="Low",SO158*$D$42,IF(SR158="Med",SO158*$D$43,IF(SR158="High",SO158*$D$44,"rango cal. out")))</f>
        <v>rango cal. out</v>
      </c>
      <c r="ST158" s="619" t="e">
        <f>((273.2+SL158)*$F$33/((273.2+$F$32)*SN158))</f>
        <v>#DIV/0!</v>
      </c>
      <c r="SU158" s="674" t="e">
        <f>SS158/SP158*ST158*EXP(-LN(2)/10990*($F$96-SQ158))</f>
        <v>#VALUE!</v>
      </c>
      <c r="SV158" s="599" t="e">
        <f>SU158-AVERAGE(TC102:TC103)</f>
        <v>#VALUE!</v>
      </c>
      <c r="SW158" s="672" t="e">
        <f>ABS(#REF!*SV158*3600)</f>
        <v>#REF!</v>
      </c>
      <c r="SX158" s="675" t="e">
        <f>ABS($B$34*SV158*3600)</f>
        <v>#VALUE!</v>
      </c>
      <c r="SY158" s="614" t="e">
        <f>SX158*$C$87</f>
        <v>#VALUE!</v>
      </c>
      <c r="SZ158" s="672" t="e">
        <f>SX158*$F$78</f>
        <v>#VALUE!</v>
      </c>
      <c r="TA158" s="600" t="e">
        <f>SX158*$F$83</f>
        <v>#VALUE!</v>
      </c>
      <c r="TB158" s="672" t="e">
        <f>SX158*$F$80</f>
        <v>#VALUE!</v>
      </c>
      <c r="TC158" s="676" t="e">
        <f>SX158*$F$79</f>
        <v>#VALUE!</v>
      </c>
      <c r="TD158" s="668"/>
      <c r="TE158" s="669"/>
      <c r="TF158" s="670"/>
      <c r="TG158" s="671"/>
      <c r="TH158" s="678"/>
      <c r="TI158" s="650"/>
      <c r="TJ158" s="650"/>
      <c r="TK158" s="671" t="str">
        <f>IF(TJ158="Low",TG158*$D$42,IF(TJ158="Med",TG158*$D$43,IF(TJ158="High",TG158*$D$44,"rango cal. out")))</f>
        <v>rango cal. out</v>
      </c>
      <c r="TL158" s="619" t="e">
        <f>((273.2+TD158)*$F$33/((273.2+$F$32)*TF158))</f>
        <v>#DIV/0!</v>
      </c>
      <c r="TM158" s="674" t="e">
        <f>TK158/TH158*TL158*EXP(-LN(2)/10990*($F$96-TI158))</f>
        <v>#VALUE!</v>
      </c>
      <c r="TN158" s="599" t="e">
        <f>TM158-AVERAGE(TU102:TU103)</f>
        <v>#VALUE!</v>
      </c>
      <c r="TO158" s="672" t="e">
        <f>ABS(#REF!*TN158*3600)</f>
        <v>#REF!</v>
      </c>
      <c r="TP158" s="675" t="e">
        <f>ABS($B$34*TN158*3600)</f>
        <v>#VALUE!</v>
      </c>
      <c r="TQ158" s="614" t="e">
        <f>TP158*$C$87</f>
        <v>#VALUE!</v>
      </c>
      <c r="TR158" s="672" t="e">
        <f>TP158*$F$78</f>
        <v>#VALUE!</v>
      </c>
      <c r="TS158" s="600" t="e">
        <f>TP158*$F$83</f>
        <v>#VALUE!</v>
      </c>
      <c r="TT158" s="672" t="e">
        <f>TP158*$F$80</f>
        <v>#VALUE!</v>
      </c>
      <c r="TU158" s="676" t="e">
        <f>TP158*$F$79</f>
        <v>#VALUE!</v>
      </c>
      <c r="TV158" s="668"/>
      <c r="TW158" s="669"/>
      <c r="TX158" s="670"/>
      <c r="TY158" s="671"/>
      <c r="TZ158" s="678"/>
      <c r="UA158" s="650"/>
      <c r="UB158" s="650"/>
      <c r="UC158" s="671" t="str">
        <f>IF(UB158="Low",TY158*$D$42,IF(UB158="Med",TY158*$D$43,IF(UB158="High",TY158*$D$44,"rango cal. out")))</f>
        <v>rango cal. out</v>
      </c>
      <c r="UD158" s="619" t="e">
        <f>((273.2+TV158)*$F$33/((273.2+$F$32)*TX158))</f>
        <v>#DIV/0!</v>
      </c>
      <c r="UE158" s="674" t="e">
        <f>UC158/TZ158*UD158*EXP(-LN(2)/10990*($F$96-UA158))</f>
        <v>#VALUE!</v>
      </c>
      <c r="UF158" s="599" t="e">
        <f>UE158-AVERAGE(UM102:UM103)</f>
        <v>#VALUE!</v>
      </c>
      <c r="UG158" s="672" t="e">
        <f>ABS(#REF!*UF158*3600)</f>
        <v>#REF!</v>
      </c>
      <c r="UH158" s="675" t="e">
        <f>ABS($B$34*UF158*3600)</f>
        <v>#VALUE!</v>
      </c>
      <c r="UI158" s="614" t="e">
        <f>UH158*$C$87</f>
        <v>#VALUE!</v>
      </c>
      <c r="UJ158" s="672" t="e">
        <f>UH158*$F$78</f>
        <v>#VALUE!</v>
      </c>
      <c r="UK158" s="600" t="e">
        <f>UH158*$F$83</f>
        <v>#VALUE!</v>
      </c>
      <c r="UL158" s="672" t="e">
        <f>UH158*$F$80</f>
        <v>#VALUE!</v>
      </c>
      <c r="UM158" s="676" t="e">
        <f>UH158*$F$79</f>
        <v>#VALUE!</v>
      </c>
      <c r="UN158" s="668"/>
      <c r="UO158" s="669"/>
      <c r="UP158" s="670"/>
      <c r="UQ158" s="671"/>
      <c r="UR158" s="678"/>
      <c r="US158" s="650"/>
      <c r="UT158" s="650"/>
      <c r="UU158" s="671" t="str">
        <f>IF(UT158="Low",UQ158*$D$42,IF(UT158="Med",UQ158*$D$43,IF(UT158="High",UQ158*$D$44,"rango cal. out")))</f>
        <v>rango cal. out</v>
      </c>
      <c r="UV158" s="619" t="e">
        <f>((273.2+UN158)*$F$33/((273.2+$F$32)*UP158))</f>
        <v>#DIV/0!</v>
      </c>
      <c r="UW158" s="674" t="e">
        <f>UU158/UR158*UV158*EXP(-LN(2)/10990*($F$96-US158))</f>
        <v>#VALUE!</v>
      </c>
      <c r="UX158" s="599" t="e">
        <f>UW158-AVERAGE(VE102:VE103)</f>
        <v>#VALUE!</v>
      </c>
      <c r="UY158" s="672" t="e">
        <f>ABS(#REF!*UX158*3600)</f>
        <v>#REF!</v>
      </c>
      <c r="UZ158" s="675" t="e">
        <f>ABS($B$34*UX158*3600)</f>
        <v>#VALUE!</v>
      </c>
      <c r="VA158" s="614" t="e">
        <f>UZ158*$C$87</f>
        <v>#VALUE!</v>
      </c>
      <c r="VB158" s="672" t="e">
        <f>UZ158*$F$78</f>
        <v>#VALUE!</v>
      </c>
      <c r="VC158" s="600" t="e">
        <f>UZ158*$F$83</f>
        <v>#VALUE!</v>
      </c>
      <c r="VD158" s="672" t="e">
        <f>UZ158*$F$80</f>
        <v>#VALUE!</v>
      </c>
      <c r="VE158" s="676" t="e">
        <f>UZ158*$F$79</f>
        <v>#VALUE!</v>
      </c>
    </row>
    <row r="159" spans="1:577" x14ac:dyDescent="0.25">
      <c r="A159" s="2219"/>
      <c r="B159" s="668">
        <v>20.2</v>
      </c>
      <c r="C159" s="673">
        <v>55</v>
      </c>
      <c r="D159" s="673">
        <v>1010</v>
      </c>
      <c r="E159" s="1999">
        <v>-2.1849999999999998E-9</v>
      </c>
      <c r="F159" s="673">
        <v>60</v>
      </c>
      <c r="G159" s="663">
        <v>44334</v>
      </c>
      <c r="H159" s="663" t="s">
        <v>1042</v>
      </c>
      <c r="I159" s="671">
        <f>IF(H159="Low",E159*$D$42,IF(H159="Med",E159*$D$43,IF(H159="High",E159*$D$44,"rango cal. out")))</f>
        <v>-2.1871849999999994E-9</v>
      </c>
      <c r="J159" s="619">
        <f>((273.2+B159)*$F$33/((273.2+$F$32)*D159))</f>
        <v>0.9971006399420429</v>
      </c>
      <c r="K159" s="674">
        <f>I159/F159*J159*EXP(-LN(2)/10990*($F$96-G159))</f>
        <v>-3.5996063450076223E-11</v>
      </c>
      <c r="L159" s="599">
        <f>K159-AVERAGE(S102:S103)</f>
        <v>-3.5972251482704723E-11</v>
      </c>
      <c r="M159" s="672" t="e">
        <f>ABS(#REF!*L159*3600)</f>
        <v>#REF!</v>
      </c>
      <c r="N159" s="675">
        <f>ABS($B$34*L159*3600)</f>
        <v>3.2634026545109722E-3</v>
      </c>
      <c r="O159" s="672">
        <f>N159*$C$87</f>
        <v>0.32634026545109723</v>
      </c>
      <c r="P159" s="672">
        <f>N159*$F$78</f>
        <v>3.9160831854131665E-3</v>
      </c>
      <c r="Q159" s="600">
        <f>N159*$F$83</f>
        <v>3.9487172119582765E-3</v>
      </c>
      <c r="R159" s="672">
        <f>N159*$F$80</f>
        <v>3.9487172119582765E-3</v>
      </c>
      <c r="S159" s="676">
        <f>N159*$F$79</f>
        <v>4.0792533181387156E-3</v>
      </c>
      <c r="T159" s="677"/>
      <c r="U159" s="669"/>
      <c r="V159" s="670"/>
      <c r="W159" s="671"/>
      <c r="X159" s="678"/>
      <c r="Y159" s="650"/>
      <c r="Z159" s="663"/>
      <c r="AA159" s="671" t="str">
        <f>IF(Z159="Low",W159*$D$42,IF(Z159="Med",W159*$D$43,IF(Z159="High",W159*$D$44,"rango cal. out")))</f>
        <v>rango cal. out</v>
      </c>
      <c r="AB159" s="619" t="e">
        <f>((273.2+T159)*$F$33/((273.2+$F$32)*V159))</f>
        <v>#DIV/0!</v>
      </c>
      <c r="AC159" s="674" t="e">
        <f>AA159/X159*AB159*EXP(-LN(2)/10990*($F$96-Y159))</f>
        <v>#VALUE!</v>
      </c>
      <c r="AD159" s="599" t="e">
        <f>AC159-AVERAGE(#REF!)</f>
        <v>#VALUE!</v>
      </c>
      <c r="AE159" s="672" t="e">
        <f>ABS(#REF!*AD159*3600)</f>
        <v>#REF!</v>
      </c>
      <c r="AF159" s="675" t="e">
        <f>ABS($B$34*AD159*3600)</f>
        <v>#VALUE!</v>
      </c>
      <c r="AG159" s="672" t="e">
        <f>AF159*$C$87</f>
        <v>#VALUE!</v>
      </c>
      <c r="AH159" s="672" t="e">
        <f>AF159*$F$78</f>
        <v>#VALUE!</v>
      </c>
      <c r="AI159" s="600" t="e">
        <f>AF159*$F$83</f>
        <v>#VALUE!</v>
      </c>
      <c r="AJ159" s="672" t="e">
        <f>AF159*$F$80</f>
        <v>#VALUE!</v>
      </c>
      <c r="AK159" s="676" t="e">
        <f>AF159*$F$79</f>
        <v>#VALUE!</v>
      </c>
      <c r="AL159" s="677"/>
      <c r="AM159" s="669"/>
      <c r="AN159" s="670"/>
      <c r="AO159" s="671"/>
      <c r="AP159" s="678"/>
      <c r="AQ159" s="650"/>
      <c r="AR159" s="663"/>
      <c r="AS159" s="671" t="str">
        <f>IF(AR159="Low",AO159*$D$42,IF(AR159="Med",AO159*$D$43,IF(AR159="High",AO159*$D$44,"rango cal. out")))</f>
        <v>rango cal. out</v>
      </c>
      <c r="AT159" s="619" t="e">
        <f>((273.2+AL159)*$F$33/((273.2+$F$32)*AN159))</f>
        <v>#DIV/0!</v>
      </c>
      <c r="AU159" s="674" t="e">
        <f>AS159/AP159*AT159*EXP(-LN(2)/10990*($F$96-AQ159))</f>
        <v>#VALUE!</v>
      </c>
      <c r="AV159" s="599" t="e">
        <f>AU159-AVERAGE(BC102:BC103)</f>
        <v>#VALUE!</v>
      </c>
      <c r="AW159" s="672" t="e">
        <f>ABS(#REF!*AV159*3600)</f>
        <v>#REF!</v>
      </c>
      <c r="AX159" s="675" t="e">
        <f>ABS($B$34*AV159*3600)</f>
        <v>#VALUE!</v>
      </c>
      <c r="AY159" s="672" t="e">
        <f>AX159*$C$87</f>
        <v>#VALUE!</v>
      </c>
      <c r="AZ159" s="672" t="e">
        <f>AX159*$F$78</f>
        <v>#VALUE!</v>
      </c>
      <c r="BA159" s="600" t="e">
        <f>AX159*$F$83</f>
        <v>#VALUE!</v>
      </c>
      <c r="BB159" s="672" t="e">
        <f>AX159*$F$80</f>
        <v>#VALUE!</v>
      </c>
      <c r="BC159" s="676" t="e">
        <f>AX159*$F$79</f>
        <v>#VALUE!</v>
      </c>
      <c r="BD159" s="668"/>
      <c r="BE159" s="669"/>
      <c r="BF159" s="661"/>
      <c r="BG159" s="1998">
        <v>-3.3700000000000003E-10</v>
      </c>
      <c r="BH159" s="678"/>
      <c r="BI159" s="663">
        <v>44333</v>
      </c>
      <c r="BJ159" s="663"/>
      <c r="BK159" s="671" t="str">
        <f>IF(BJ159="Low",BG159*$D$42,IF(BJ159="Med",BG159*$D$43,IF(BJ159="High",BG159*$D$44,"rango cal. out")))</f>
        <v>rango cal. out</v>
      </c>
      <c r="BL159" s="619" t="e">
        <f>((273.2+BD159)*$F$33/((273.2+$F$32)*BF159))</f>
        <v>#DIV/0!</v>
      </c>
      <c r="BM159" s="674" t="e">
        <f>BK159/BH159*BL159*EXP(-LN(2)/10990*($F$96-BI159))</f>
        <v>#VALUE!</v>
      </c>
      <c r="BN159" s="599" t="e">
        <f>BM159-AVERAGE(BU102:BU103)</f>
        <v>#VALUE!</v>
      </c>
      <c r="BO159" s="672" t="e">
        <f>ABS(#REF!*BN159*3600)</f>
        <v>#REF!</v>
      </c>
      <c r="BP159" s="675" t="e">
        <f>ABS($B$34*BN159*3600)</f>
        <v>#VALUE!</v>
      </c>
      <c r="BQ159" s="672" t="e">
        <f>BP159*$C$87</f>
        <v>#VALUE!</v>
      </c>
      <c r="BR159" s="672" t="e">
        <f>BP159*$F$78</f>
        <v>#VALUE!</v>
      </c>
      <c r="BS159" s="600" t="e">
        <f>BP159*$F$83</f>
        <v>#VALUE!</v>
      </c>
      <c r="BT159" s="672" t="e">
        <f>BP159*$F$80</f>
        <v>#VALUE!</v>
      </c>
      <c r="BU159" s="676" t="e">
        <f>BP159*$F$79</f>
        <v>#VALUE!</v>
      </c>
      <c r="BV159" s="668"/>
      <c r="BW159" s="669"/>
      <c r="BX159" s="670"/>
      <c r="BY159" s="1998">
        <f>0.00000000001705</f>
        <v>1.7049999999999999E-11</v>
      </c>
      <c r="BZ159" s="678"/>
      <c r="CA159" s="663">
        <v>44333</v>
      </c>
      <c r="CB159" s="663"/>
      <c r="CC159" s="671" t="str">
        <f>IF(CB159="Low",BY159*$D$42,IF(CB159="Med",BY159*$D$43,IF(CB159="High",BY159*$D$44,"rango cal. out")))</f>
        <v>rango cal. out</v>
      </c>
      <c r="CD159" s="619" t="e">
        <f>((273.2+BV159)*$F$33/((273.2+$F$32)*BX159))</f>
        <v>#DIV/0!</v>
      </c>
      <c r="CE159" s="674" t="e">
        <f>CC159/BZ159*CD159*EXP(-LN(2)/10990*($F$96-CA159))</f>
        <v>#VALUE!</v>
      </c>
      <c r="CF159" s="599" t="e">
        <f>CE159-AVERAGE(CM102:CM103)</f>
        <v>#VALUE!</v>
      </c>
      <c r="CG159" s="672" t="e">
        <f>ABS(#REF!*CF159*3600)</f>
        <v>#REF!</v>
      </c>
      <c r="CH159" s="675" t="e">
        <f>ABS($B$34*CF159*3600)</f>
        <v>#VALUE!</v>
      </c>
      <c r="CI159" s="672" t="e">
        <f>CH159*$C$87</f>
        <v>#VALUE!</v>
      </c>
      <c r="CJ159" s="672" t="e">
        <f>CH159*$F$78</f>
        <v>#VALUE!</v>
      </c>
      <c r="CK159" s="600" t="e">
        <f>CH159*$F$83</f>
        <v>#VALUE!</v>
      </c>
      <c r="CL159" s="672" t="e">
        <f>CH159*$F$80</f>
        <v>#VALUE!</v>
      </c>
      <c r="CM159" s="676" t="e">
        <f>CH159*$F$79</f>
        <v>#VALUE!</v>
      </c>
      <c r="CN159" s="668"/>
      <c r="CO159" s="669"/>
      <c r="CP159" s="670"/>
      <c r="CQ159" s="1998">
        <v>-7.8650000000000002E-10</v>
      </c>
      <c r="CR159" s="678"/>
      <c r="CS159" s="663">
        <v>44333</v>
      </c>
      <c r="CT159" s="663"/>
      <c r="CU159" s="671" t="str">
        <f>IF(CT159="Low",CQ159*$D$42,IF(CT159="Med",CQ159*$D$43,IF(CT159="High",CQ159*$D$44,"rango cal. out")))</f>
        <v>rango cal. out</v>
      </c>
      <c r="CV159" s="619" t="e">
        <f>((273.2+CN159)*$F$33/((273.2+$F$32)*CP159))</f>
        <v>#DIV/0!</v>
      </c>
      <c r="CW159" s="674" t="e">
        <f>CU159/CR159*CV159*EXP(-LN(2)/10990*($F$96-CS159))</f>
        <v>#VALUE!</v>
      </c>
      <c r="CX159" s="599" t="e">
        <f>CW159-AVERAGE(DE102:DE103)</f>
        <v>#VALUE!</v>
      </c>
      <c r="CY159" s="672" t="e">
        <f>ABS(#REF!*CX159*3600)</f>
        <v>#REF!</v>
      </c>
      <c r="CZ159" s="675" t="e">
        <f>ABS($B$34*CX159*3600)</f>
        <v>#VALUE!</v>
      </c>
      <c r="DA159" s="672" t="e">
        <f>CZ159*$C$87</f>
        <v>#VALUE!</v>
      </c>
      <c r="DB159" s="672" t="e">
        <f>CZ159*$F$78</f>
        <v>#VALUE!</v>
      </c>
      <c r="DC159" s="600" t="e">
        <f>CZ159*$F$83</f>
        <v>#VALUE!</v>
      </c>
      <c r="DD159" s="672" t="e">
        <f>CZ159*$F$80</f>
        <v>#VALUE!</v>
      </c>
      <c r="DE159" s="676" t="e">
        <f>CZ159*$F$79</f>
        <v>#VALUE!</v>
      </c>
      <c r="DF159" s="668"/>
      <c r="DG159" s="669"/>
      <c r="DH159" s="670"/>
      <c r="DI159" s="671"/>
      <c r="DJ159" s="678"/>
      <c r="DK159" s="650"/>
      <c r="DL159" s="663"/>
      <c r="DM159" s="671" t="str">
        <f>IF(DL159="Low",DI159*$D$42,IF(DL159="Med",DI159*$D$43,IF(DL159="High",DI159*$D$44,"rango cal. out")))</f>
        <v>rango cal. out</v>
      </c>
      <c r="DN159" s="619" t="e">
        <f>((273.2+DF159)*$F$33/((273.2+$F$32)*DH159))</f>
        <v>#DIV/0!</v>
      </c>
      <c r="DO159" s="674" t="e">
        <f>DM159/DJ159*DN159*EXP(-LN(2)/10990*($F$96-DK159))</f>
        <v>#VALUE!</v>
      </c>
      <c r="DP159" s="599" t="e">
        <f>DO159-AVERAGE(DW102:DW103)</f>
        <v>#VALUE!</v>
      </c>
      <c r="DQ159" s="672" t="e">
        <f>ABS(#REF!*DP159*3600)</f>
        <v>#REF!</v>
      </c>
      <c r="DR159" s="675" t="e">
        <f>ABS($B$34*DP159*3600)</f>
        <v>#VALUE!</v>
      </c>
      <c r="DS159" s="672" t="e">
        <f>DR159*$C$87</f>
        <v>#VALUE!</v>
      </c>
      <c r="DT159" s="672" t="e">
        <f>DR159*$F$78</f>
        <v>#VALUE!</v>
      </c>
      <c r="DU159" s="600" t="e">
        <f>DR159*$F$83</f>
        <v>#VALUE!</v>
      </c>
      <c r="DV159" s="672" t="e">
        <f>DR159*$F$80</f>
        <v>#VALUE!</v>
      </c>
      <c r="DW159" s="676" t="e">
        <f>DR159*$F$79</f>
        <v>#VALUE!</v>
      </c>
      <c r="DX159" s="668"/>
      <c r="DY159" s="669"/>
      <c r="DZ159" s="677"/>
      <c r="EA159" s="679"/>
      <c r="EB159" s="678"/>
      <c r="EC159" s="650"/>
      <c r="ED159" s="663"/>
      <c r="EE159" s="671" t="str">
        <f>IF(ED159="Low",EA159*$D$42,IF(ED159="Med",EA159*$D$43,IF(ED159="High",EA159*$D$44,"rango cal. out")))</f>
        <v>rango cal. out</v>
      </c>
      <c r="EF159" s="619" t="e">
        <f>((273.2+DX159)*$F$33/((273.2+$F$32)*DZ159))</f>
        <v>#DIV/0!</v>
      </c>
      <c r="EG159" s="674" t="e">
        <f>EE159/EB159*EF159*EXP(-LN(2)/10990*($F$96-EC159))</f>
        <v>#VALUE!</v>
      </c>
      <c r="EH159" s="599" t="e">
        <f>EG159-AVERAGE(EO102:EO103)</f>
        <v>#VALUE!</v>
      </c>
      <c r="EI159" s="672" t="e">
        <f>ABS(#REF!*EH159*3600)</f>
        <v>#REF!</v>
      </c>
      <c r="EJ159" s="675" t="e">
        <f>ABS($B$34*EH159*3600)</f>
        <v>#VALUE!</v>
      </c>
      <c r="EK159" s="672" t="e">
        <f>EJ159*$C$87</f>
        <v>#VALUE!</v>
      </c>
      <c r="EL159" s="672" t="e">
        <f>EJ159*$F$78</f>
        <v>#VALUE!</v>
      </c>
      <c r="EM159" s="600" t="e">
        <f>EJ159*$F$83</f>
        <v>#VALUE!</v>
      </c>
      <c r="EN159" s="672" t="e">
        <f>EJ159*$F$80</f>
        <v>#VALUE!</v>
      </c>
      <c r="EO159" s="676" t="e">
        <f>EJ159*$F$79</f>
        <v>#VALUE!</v>
      </c>
      <c r="EP159" s="668"/>
      <c r="EQ159" s="669"/>
      <c r="ER159" s="670"/>
      <c r="ES159" s="1998">
        <f t="shared" si="1153"/>
        <v>-2E-12</v>
      </c>
      <c r="ET159" s="678"/>
      <c r="EU159" s="663">
        <v>44333</v>
      </c>
      <c r="EV159" s="663"/>
      <c r="EW159" s="671" t="str">
        <f>IF(EV159="Low",ES159*$D$42,IF(EV159="Med",ES159*$D$43,IF(EV159="High",ES159*$D$44,"rango cal. out")))</f>
        <v>rango cal. out</v>
      </c>
      <c r="EX159" s="619" t="e">
        <f>((273.2+EP159)*$F$33/((273.2+$F$32)*ER159))</f>
        <v>#DIV/0!</v>
      </c>
      <c r="EY159" s="674" t="e">
        <f>EW159/ET159*EX159*EXP(-LN(2)/10990*($F$96-EU159))</f>
        <v>#VALUE!</v>
      </c>
      <c r="EZ159" s="599" t="e">
        <f>EY159-AVERAGE(FG102:FG103)</f>
        <v>#VALUE!</v>
      </c>
      <c r="FA159" s="672" t="e">
        <f>ABS(#REF!*EZ159*3600)</f>
        <v>#REF!</v>
      </c>
      <c r="FB159" s="675" t="e">
        <f>ABS($B$34*EZ159*3600)</f>
        <v>#VALUE!</v>
      </c>
      <c r="FC159" s="672" t="e">
        <f>FB159*$C$87</f>
        <v>#VALUE!</v>
      </c>
      <c r="FD159" s="672" t="e">
        <f>FB159*$F$78</f>
        <v>#VALUE!</v>
      </c>
      <c r="FE159" s="600" t="e">
        <f>FB159*$F$83</f>
        <v>#VALUE!</v>
      </c>
      <c r="FF159" s="672" t="e">
        <f>FB159*$F$80</f>
        <v>#VALUE!</v>
      </c>
      <c r="FG159" s="676" t="e">
        <f>FB159*$F$79</f>
        <v>#VALUE!</v>
      </c>
      <c r="FH159" s="668"/>
      <c r="FI159" s="669"/>
      <c r="FJ159" s="670"/>
      <c r="FK159" s="671"/>
      <c r="FL159" s="678"/>
      <c r="FM159" s="650"/>
      <c r="FN159" s="663"/>
      <c r="FO159" s="671" t="str">
        <f>IF(FN159="Low",FK159*$D$42,IF(FN159="Med",FK159*$D$43,IF(FN159="High",FK159*$D$44,"rango cal. out")))</f>
        <v>rango cal. out</v>
      </c>
      <c r="FP159" s="619" t="e">
        <f>((273.2+FH159)*$F$33/((273.2+$F$32)*FJ159))</f>
        <v>#DIV/0!</v>
      </c>
      <c r="FQ159" s="674" t="e">
        <f>FO159/FL159*FP159*EXP(-LN(2)/10990*($F$96-FM159))</f>
        <v>#VALUE!</v>
      </c>
      <c r="FR159" s="599" t="e">
        <f>FQ159-AVERAGE(FY102:FY103)</f>
        <v>#VALUE!</v>
      </c>
      <c r="FS159" s="672" t="e">
        <f>ABS(#REF!*FR159*3600)</f>
        <v>#REF!</v>
      </c>
      <c r="FT159" s="675" t="e">
        <f>ABS($B$34*FR159*3600)</f>
        <v>#VALUE!</v>
      </c>
      <c r="FU159" s="672" t="e">
        <f>FT159*$C$87</f>
        <v>#VALUE!</v>
      </c>
      <c r="FV159" s="672" t="e">
        <f>FT159*$F$78</f>
        <v>#VALUE!</v>
      </c>
      <c r="FW159" s="600" t="e">
        <f>FT159*$F$83</f>
        <v>#VALUE!</v>
      </c>
      <c r="FX159" s="672" t="e">
        <f>FT159*$F$80</f>
        <v>#VALUE!</v>
      </c>
      <c r="FY159" s="676" t="e">
        <f>FT159*$F$79</f>
        <v>#VALUE!</v>
      </c>
      <c r="FZ159" s="668"/>
      <c r="GA159" s="669"/>
      <c r="GB159" s="670"/>
      <c r="GC159" s="671"/>
      <c r="GD159" s="678"/>
      <c r="GE159" s="650"/>
      <c r="GF159" s="663"/>
      <c r="GG159" s="671" t="str">
        <f>IF(GF159="Low",GC159*$D$42,IF(GF159="Med",GC159*$D$43,IF(GF159="High",GC159*$D$44,"rango cal. out")))</f>
        <v>rango cal. out</v>
      </c>
      <c r="GH159" s="619" t="e">
        <f>((273.2+FZ159)*$F$33/((273.2+$F$32)*GB159))</f>
        <v>#DIV/0!</v>
      </c>
      <c r="GI159" s="674" t="e">
        <f>GG159/GD159*GH159*EXP(-LN(2)/10990*($F$96-GE159))</f>
        <v>#VALUE!</v>
      </c>
      <c r="GJ159" s="599" t="e">
        <f>GI159-AVERAGE(GQ102:GQ103)</f>
        <v>#VALUE!</v>
      </c>
      <c r="GK159" s="672" t="e">
        <f>ABS(#REF!*GJ159*3600)</f>
        <v>#REF!</v>
      </c>
      <c r="GL159" s="675" t="e">
        <f>ABS($B$34*GJ159*3600)</f>
        <v>#VALUE!</v>
      </c>
      <c r="GM159" s="672" t="e">
        <f>GL159*$C$87</f>
        <v>#VALUE!</v>
      </c>
      <c r="GN159" s="672" t="e">
        <f>GL159*$F$78</f>
        <v>#VALUE!</v>
      </c>
      <c r="GO159" s="600" t="e">
        <f>GL159*$F$83</f>
        <v>#VALUE!</v>
      </c>
      <c r="GP159" s="672" t="e">
        <f>GL159*$F$80</f>
        <v>#VALUE!</v>
      </c>
      <c r="GQ159" s="676" t="e">
        <f>GL159*$F$79</f>
        <v>#VALUE!</v>
      </c>
      <c r="GR159" s="668"/>
      <c r="GS159" s="669"/>
      <c r="GT159" s="677"/>
      <c r="GU159" s="679"/>
      <c r="GV159" s="678"/>
      <c r="GW159" s="650"/>
      <c r="GX159" s="663"/>
      <c r="GY159" s="671" t="str">
        <f>IF(GX159="Low",GU159*$D$42,IF(GX159="Med",GU159*$D$43,IF(GX159="High",GU159*$D$44,"rango cal. out")))</f>
        <v>rango cal. out</v>
      </c>
      <c r="GZ159" s="619" t="e">
        <f>((273.2+GR159)*$F$33/((273.2+$F$32)*GT159))</f>
        <v>#DIV/0!</v>
      </c>
      <c r="HA159" s="674" t="e">
        <f>GY159/GV159*GZ159*EXP(-LN(2)/10990*($F$96-GW159))</f>
        <v>#VALUE!</v>
      </c>
      <c r="HB159" s="599" t="e">
        <f>HA159-AVERAGE(HI102:HI103)</f>
        <v>#VALUE!</v>
      </c>
      <c r="HC159" s="672" t="e">
        <f>ABS(#REF!*HB159*3600)</f>
        <v>#REF!</v>
      </c>
      <c r="HD159" s="675" t="e">
        <f>ABS($B$34*HB159*3600)</f>
        <v>#VALUE!</v>
      </c>
      <c r="HE159" s="672" t="e">
        <f>HD159*$C$87</f>
        <v>#VALUE!</v>
      </c>
      <c r="HF159" s="672" t="e">
        <f>HD159*$F$78</f>
        <v>#VALUE!</v>
      </c>
      <c r="HG159" s="600" t="e">
        <f>HD159*$F$83</f>
        <v>#VALUE!</v>
      </c>
      <c r="HH159" s="672" t="e">
        <f>HD159*$F$80</f>
        <v>#VALUE!</v>
      </c>
      <c r="HI159" s="676" t="e">
        <f>HD159*$F$79</f>
        <v>#VALUE!</v>
      </c>
      <c r="HJ159" s="668"/>
      <c r="HK159" s="669"/>
      <c r="HL159" s="670"/>
      <c r="HM159" s="671"/>
      <c r="HN159" s="678"/>
      <c r="HO159" s="650"/>
      <c r="HP159" s="663"/>
      <c r="HQ159" s="671" t="str">
        <f>IF(HP159="Low",HM159*$D$42,IF(HP159="Med",HM159*$D$43,IF(HP159="High",HM159*$D$44,"rango cal. out")))</f>
        <v>rango cal. out</v>
      </c>
      <c r="HR159" s="619" t="e">
        <f>((273.2+HJ159)*$F$33/((273.2+$F$32)*HL159))</f>
        <v>#DIV/0!</v>
      </c>
      <c r="HS159" s="674" t="e">
        <f>HQ159/HN159*HR159*EXP(-LN(2)/10990*($F$96-HO159))</f>
        <v>#VALUE!</v>
      </c>
      <c r="HT159" s="599" t="e">
        <f>HS159-AVERAGE(IA102:IA103)</f>
        <v>#VALUE!</v>
      </c>
      <c r="HU159" s="672" t="e">
        <f>ABS(#REF!*HT159*3600)</f>
        <v>#REF!</v>
      </c>
      <c r="HV159" s="675" t="e">
        <f>ABS($B$34*HT159*3600)</f>
        <v>#VALUE!</v>
      </c>
      <c r="HW159" s="672" t="e">
        <f>HV159*$C$87</f>
        <v>#VALUE!</v>
      </c>
      <c r="HX159" s="672" t="e">
        <f>HV159*$F$78</f>
        <v>#VALUE!</v>
      </c>
      <c r="HY159" s="600" t="e">
        <f>HV159*$F$83</f>
        <v>#VALUE!</v>
      </c>
      <c r="HZ159" s="672" t="e">
        <f>HV159*$F$80</f>
        <v>#VALUE!</v>
      </c>
      <c r="IA159" s="676" t="e">
        <f>HV159*$F$79</f>
        <v>#VALUE!</v>
      </c>
      <c r="IB159" s="668"/>
      <c r="IC159" s="669"/>
      <c r="ID159" s="670"/>
      <c r="IE159" s="671"/>
      <c r="IF159" s="678"/>
      <c r="IG159" s="650"/>
      <c r="IH159" s="663"/>
      <c r="II159" s="671" t="str">
        <f>IF(IH159="Low",IE159*$D$42,IF(IH159="Med",IE159*$D$43,IF(IH159="High",IE159*$D$44,"rango cal. out")))</f>
        <v>rango cal. out</v>
      </c>
      <c r="IJ159" s="619" t="e">
        <f>((273.2+IB159)*$F$33/((273.2+$F$32)*ID159))</f>
        <v>#DIV/0!</v>
      </c>
      <c r="IK159" s="674" t="e">
        <f>II159/IF159*IJ159*EXP(-LN(2)/10990*($F$96-IG159))</f>
        <v>#VALUE!</v>
      </c>
      <c r="IL159" s="599" t="e">
        <f>IK159-AVERAGE(IS102:IS103)</f>
        <v>#VALUE!</v>
      </c>
      <c r="IM159" s="672" t="e">
        <f>ABS(#REF!*IL159*3600)</f>
        <v>#REF!</v>
      </c>
      <c r="IN159" s="675" t="e">
        <f>ABS($B$34*IL159*3600)</f>
        <v>#VALUE!</v>
      </c>
      <c r="IO159" s="672" t="e">
        <f>IN159*$C$87</f>
        <v>#VALUE!</v>
      </c>
      <c r="IP159" s="672" t="e">
        <f>IN159*$F$78</f>
        <v>#VALUE!</v>
      </c>
      <c r="IQ159" s="600" t="e">
        <f>IN159*$F$83</f>
        <v>#VALUE!</v>
      </c>
      <c r="IR159" s="672" t="e">
        <f>IN159*$F$80</f>
        <v>#VALUE!</v>
      </c>
      <c r="IS159" s="676" t="e">
        <f>IN159*$F$79</f>
        <v>#VALUE!</v>
      </c>
      <c r="IT159" s="668"/>
      <c r="IU159" s="669"/>
      <c r="IV159" s="670"/>
      <c r="IW159" s="671"/>
      <c r="IX159" s="678"/>
      <c r="IY159" s="650"/>
      <c r="IZ159" s="663"/>
      <c r="JA159" s="671" t="str">
        <f>IF(IZ159="Low",IW159*$D$42,IF(IZ159="Med",IW159*$D$43,IF(IZ159="High",IW159*$D$44,"rango cal. out")))</f>
        <v>rango cal. out</v>
      </c>
      <c r="JB159" s="619" t="e">
        <f>((273.2+IT159)*$F$33/((273.2+$F$32)*IV159))</f>
        <v>#DIV/0!</v>
      </c>
      <c r="JC159" s="674" t="e">
        <f>JA159/IX159*JB159*EXP(-LN(2)/10990*($F$96-IY159))</f>
        <v>#VALUE!</v>
      </c>
      <c r="JD159" s="599" t="e">
        <f>JC159-AVERAGE(JK102:JK103)</f>
        <v>#VALUE!</v>
      </c>
      <c r="JE159" s="672" t="e">
        <f>ABS(#REF!*JD159*3600)</f>
        <v>#REF!</v>
      </c>
      <c r="JF159" s="675" t="e">
        <f>ABS($B$34*JD159*3600)</f>
        <v>#VALUE!</v>
      </c>
      <c r="JG159" s="672" t="e">
        <f>JF159*$C$87</f>
        <v>#VALUE!</v>
      </c>
      <c r="JH159" s="672" t="e">
        <f>JF159*$F$78</f>
        <v>#VALUE!</v>
      </c>
      <c r="JI159" s="600" t="e">
        <f>JF159*$F$83</f>
        <v>#VALUE!</v>
      </c>
      <c r="JJ159" s="672" t="e">
        <f>JF159*$F$80</f>
        <v>#VALUE!</v>
      </c>
      <c r="JK159" s="676" t="e">
        <f>JF159*$F$79</f>
        <v>#VALUE!</v>
      </c>
      <c r="JL159" s="668"/>
      <c r="JM159" s="669"/>
      <c r="JN159" s="670"/>
      <c r="JO159" s="671"/>
      <c r="JP159" s="678"/>
      <c r="JQ159" s="650"/>
      <c r="JR159" s="663"/>
      <c r="JS159" s="671" t="str">
        <f>IF(JR159="Low",JO159*$D$42,IF(JR159="Med",JO159*$D$43,IF(JR159="High",JO159*$D$44,"rango cal. out")))</f>
        <v>rango cal. out</v>
      </c>
      <c r="JT159" s="619" t="e">
        <f>((273.2+JL159)*$F$33/((273.2+$F$32)*JN159))</f>
        <v>#DIV/0!</v>
      </c>
      <c r="JU159" s="674" t="e">
        <f>JS159/JP159*JT159*EXP(-LN(2)/10990*($F$96-JQ159))</f>
        <v>#VALUE!</v>
      </c>
      <c r="JV159" s="599" t="e">
        <f>JU159-AVERAGE(KC102:KC103)</f>
        <v>#VALUE!</v>
      </c>
      <c r="JW159" s="672" t="e">
        <f>ABS(#REF!*JV159*3600)</f>
        <v>#REF!</v>
      </c>
      <c r="JX159" s="675" t="e">
        <f>ABS($B$34*JV159*3600)</f>
        <v>#VALUE!</v>
      </c>
      <c r="JY159" s="672" t="e">
        <f>JX159*$C$87</f>
        <v>#VALUE!</v>
      </c>
      <c r="JZ159" s="672" t="e">
        <f>JX159*$F$78</f>
        <v>#VALUE!</v>
      </c>
      <c r="KA159" s="600" t="e">
        <f>JX159*$F$83</f>
        <v>#VALUE!</v>
      </c>
      <c r="KB159" s="672" t="e">
        <f>JX159*$F$80</f>
        <v>#VALUE!</v>
      </c>
      <c r="KC159" s="676" t="e">
        <f>JX159*$F$79</f>
        <v>#VALUE!</v>
      </c>
      <c r="KD159" s="668"/>
      <c r="KE159" s="669"/>
      <c r="KF159" s="670"/>
      <c r="KG159" s="671"/>
      <c r="KH159" s="678"/>
      <c r="KI159" s="650"/>
      <c r="KJ159" s="663"/>
      <c r="KK159" s="671" t="str">
        <f>IF(KJ159="Low",KG159*$D$42,IF(KJ159="Med",KG159*$D$43,IF(KJ159="High",KG159*$D$44,"rango cal. out")))</f>
        <v>rango cal. out</v>
      </c>
      <c r="KL159" s="619" t="e">
        <f>((273.2+KD159)*$F$33/((273.2+$F$32)*KF159))</f>
        <v>#DIV/0!</v>
      </c>
      <c r="KM159" s="674" t="e">
        <f>KK159/KH159*KL159*EXP(-LN(2)/10990*($F$96-KI159))</f>
        <v>#VALUE!</v>
      </c>
      <c r="KN159" s="599" t="e">
        <f>KM159-AVERAGE(KU102:KU103)</f>
        <v>#VALUE!</v>
      </c>
      <c r="KO159" s="672" t="e">
        <f>ABS(#REF!*KN159*3600)</f>
        <v>#REF!</v>
      </c>
      <c r="KP159" s="675" t="e">
        <f>ABS($B$34*KN159*3600)</f>
        <v>#VALUE!</v>
      </c>
      <c r="KQ159" s="672" t="e">
        <f>KP159*$C$87</f>
        <v>#VALUE!</v>
      </c>
      <c r="KR159" s="672" t="e">
        <f>KP159*$F$78</f>
        <v>#VALUE!</v>
      </c>
      <c r="KS159" s="600" t="e">
        <f>KP159*$F$83</f>
        <v>#VALUE!</v>
      </c>
      <c r="KT159" s="672" t="e">
        <f>KP159*$F$80</f>
        <v>#VALUE!</v>
      </c>
      <c r="KU159" s="676" t="e">
        <f>KP159*$F$79</f>
        <v>#VALUE!</v>
      </c>
      <c r="KV159" s="668"/>
      <c r="KW159" s="669"/>
      <c r="KX159" s="670"/>
      <c r="KY159" s="671"/>
      <c r="KZ159" s="678"/>
      <c r="LA159" s="650"/>
      <c r="LB159" s="663"/>
      <c r="LC159" s="671" t="str">
        <f>IF(LB159="Low",KY159*$D$42,IF(LB159="Med",KY159*$D$43,IF(LB159="High",KY159*$D$44,"rango cal. out")))</f>
        <v>rango cal. out</v>
      </c>
      <c r="LD159" s="619" t="e">
        <f>((273.2+KV159)*$F$33/((273.2+$F$32)*KX159))</f>
        <v>#DIV/0!</v>
      </c>
      <c r="LE159" s="674" t="e">
        <f>LC159/KZ159*LD159*EXP(-LN(2)/10990*($F$96-LA159))</f>
        <v>#VALUE!</v>
      </c>
      <c r="LF159" s="599" t="e">
        <f>LE159-AVERAGE(LM102:LM103)</f>
        <v>#VALUE!</v>
      </c>
      <c r="LG159" s="672" t="e">
        <f>ABS(#REF!*LF159*3600)</f>
        <v>#REF!</v>
      </c>
      <c r="LH159" s="675" t="e">
        <f>ABS($B$34*LF159*3600)</f>
        <v>#VALUE!</v>
      </c>
      <c r="LI159" s="672" t="e">
        <f>LH159*$C$87</f>
        <v>#VALUE!</v>
      </c>
      <c r="LJ159" s="672" t="e">
        <f>LH159*$F$78</f>
        <v>#VALUE!</v>
      </c>
      <c r="LK159" s="600" t="e">
        <f>LH159*$F$83</f>
        <v>#VALUE!</v>
      </c>
      <c r="LL159" s="672" t="e">
        <f>LH159*$F$80</f>
        <v>#VALUE!</v>
      </c>
      <c r="LM159" s="676" t="e">
        <f>LH159*$F$79</f>
        <v>#VALUE!</v>
      </c>
      <c r="LN159" s="668"/>
      <c r="LO159" s="669"/>
      <c r="LP159" s="670"/>
      <c r="LQ159" s="671"/>
      <c r="LR159" s="678"/>
      <c r="LS159" s="650"/>
      <c r="LT159" s="663"/>
      <c r="LU159" s="671" t="str">
        <f>IF(LT159="Low",LQ159*$D$42,IF(LT159="Med",LQ159*$D$43,IF(LT159="High",LQ159*$D$44,"rango cal. out")))</f>
        <v>rango cal. out</v>
      </c>
      <c r="LV159" s="619" t="e">
        <f>((273.2+LN159)*$F$33/((273.2+$F$32)*LP159))</f>
        <v>#DIV/0!</v>
      </c>
      <c r="LW159" s="674" t="e">
        <f>LU159/LR159*LV159*EXP(-LN(2)/10990*($F$96-LS159))</f>
        <v>#VALUE!</v>
      </c>
      <c r="LX159" s="599" t="e">
        <f>LW159-AVERAGE(ME102:ME103)</f>
        <v>#VALUE!</v>
      </c>
      <c r="LY159" s="672" t="e">
        <f>ABS(#REF!*LX159*3600)</f>
        <v>#REF!</v>
      </c>
      <c r="LZ159" s="675" t="e">
        <f>ABS($B$34*LX159*3600)</f>
        <v>#VALUE!</v>
      </c>
      <c r="MA159" s="672" t="e">
        <f>LZ159*$C$87</f>
        <v>#VALUE!</v>
      </c>
      <c r="MB159" s="672" t="e">
        <f>LZ159*$F$78</f>
        <v>#VALUE!</v>
      </c>
      <c r="MC159" s="600" t="e">
        <f>LZ159*$F$83</f>
        <v>#VALUE!</v>
      </c>
      <c r="MD159" s="672" t="e">
        <f>LZ159*$F$80</f>
        <v>#VALUE!</v>
      </c>
      <c r="ME159" s="676" t="e">
        <f>LZ159*$F$79</f>
        <v>#VALUE!</v>
      </c>
      <c r="MF159" s="668"/>
      <c r="MG159" s="669"/>
      <c r="MH159" s="670"/>
      <c r="MI159" s="671"/>
      <c r="MJ159" s="678"/>
      <c r="MK159" s="650"/>
      <c r="ML159" s="663"/>
      <c r="MM159" s="671" t="str">
        <f>IF(ML159="Low",MI159*$D$42,IF(ML159="Med",MI159*$D$43,IF(ML159="High",MI159*$D$44,"rango cal. out")))</f>
        <v>rango cal. out</v>
      </c>
      <c r="MN159" s="619" t="e">
        <f>((273.2+MF159)*$F$33/((273.2+$F$32)*MH159))</f>
        <v>#DIV/0!</v>
      </c>
      <c r="MO159" s="674" t="e">
        <f>MM159/MJ159*MN159*EXP(-LN(2)/10990*($F$96-MK159))</f>
        <v>#VALUE!</v>
      </c>
      <c r="MP159" s="599" t="e">
        <f>MO159-AVERAGE(MW102:MW103)</f>
        <v>#VALUE!</v>
      </c>
      <c r="MQ159" s="672" t="e">
        <f>ABS(#REF!*MP159*3600)</f>
        <v>#REF!</v>
      </c>
      <c r="MR159" s="675" t="e">
        <f>ABS($B$34*MP159*3600)</f>
        <v>#VALUE!</v>
      </c>
      <c r="MS159" s="672" t="e">
        <f>MR159*$C$87</f>
        <v>#VALUE!</v>
      </c>
      <c r="MT159" s="672" t="e">
        <f>MR159*$F$78</f>
        <v>#VALUE!</v>
      </c>
      <c r="MU159" s="600" t="e">
        <f>MR159*$F$83</f>
        <v>#VALUE!</v>
      </c>
      <c r="MV159" s="672" t="e">
        <f>MR159*$F$80</f>
        <v>#VALUE!</v>
      </c>
      <c r="MW159" s="676" t="e">
        <f>MR159*$F$79</f>
        <v>#VALUE!</v>
      </c>
      <c r="MX159" s="668"/>
      <c r="MY159" s="669"/>
      <c r="MZ159" s="670"/>
      <c r="NA159" s="671"/>
      <c r="NB159" s="678"/>
      <c r="NC159" s="650"/>
      <c r="ND159" s="663"/>
      <c r="NE159" s="671" t="str">
        <f>IF(ND159="Low",NA159*$D$42,IF(ND159="Med",NA159*$D$43,IF(ND159="High",NA159*$D$44,"rango cal. out")))</f>
        <v>rango cal. out</v>
      </c>
      <c r="NF159" s="619" t="e">
        <f>((273.2+MX159)*$F$33/((273.2+$F$32)*MZ159))</f>
        <v>#DIV/0!</v>
      </c>
      <c r="NG159" s="674" t="e">
        <f>NE159/NB159*NF159*EXP(-LN(2)/10990*($F$96-NC159))</f>
        <v>#VALUE!</v>
      </c>
      <c r="NH159" s="599" t="e">
        <f>NG159-AVERAGE(NO102:NO103)</f>
        <v>#VALUE!</v>
      </c>
      <c r="NI159" s="672" t="e">
        <f>ABS(#REF!*NH159*3600)</f>
        <v>#REF!</v>
      </c>
      <c r="NJ159" s="675" t="e">
        <f>ABS($B$34*NH159*3600)</f>
        <v>#VALUE!</v>
      </c>
      <c r="NK159" s="672" t="e">
        <f>NJ159*$C$87</f>
        <v>#VALUE!</v>
      </c>
      <c r="NL159" s="672" t="e">
        <f>NJ159*$F$78</f>
        <v>#VALUE!</v>
      </c>
      <c r="NM159" s="600" t="e">
        <f>NJ159*$F$83</f>
        <v>#VALUE!</v>
      </c>
      <c r="NN159" s="672" t="e">
        <f>NJ159*$F$80</f>
        <v>#VALUE!</v>
      </c>
      <c r="NO159" s="676" t="e">
        <f>NJ159*$F$79</f>
        <v>#VALUE!</v>
      </c>
      <c r="NP159" s="668"/>
      <c r="NQ159" s="669"/>
      <c r="NR159" s="670"/>
      <c r="NS159" s="671"/>
      <c r="NT159" s="678"/>
      <c r="NU159" s="650"/>
      <c r="NV159" s="663"/>
      <c r="NW159" s="671" t="str">
        <f>IF(NV159="Low",NS159*$D$42,IF(NV159="Med",NS159*$D$43,IF(NV159="High",NS159*$D$44,"rango cal. out")))</f>
        <v>rango cal. out</v>
      </c>
      <c r="NX159" s="619" t="e">
        <f>((273.2+NP159)*$F$33/((273.2+$F$32)*NR159))</f>
        <v>#DIV/0!</v>
      </c>
      <c r="NY159" s="674" t="e">
        <f>NW159/NT159*NX159*EXP(-LN(2)/10990*($F$96-NU159))</f>
        <v>#VALUE!</v>
      </c>
      <c r="NZ159" s="599" t="e">
        <f>NY159-AVERAGE(OG102:OG103)</f>
        <v>#VALUE!</v>
      </c>
      <c r="OA159" s="672" t="e">
        <f>ABS(#REF!*NZ159*3600)</f>
        <v>#REF!</v>
      </c>
      <c r="OB159" s="675" t="e">
        <f>ABS($B$34*NZ159*3600)</f>
        <v>#VALUE!</v>
      </c>
      <c r="OC159" s="672" t="e">
        <f>OB159*$C$87</f>
        <v>#VALUE!</v>
      </c>
      <c r="OD159" s="672" t="e">
        <f>OB159*$F$78</f>
        <v>#VALUE!</v>
      </c>
      <c r="OE159" s="600" t="e">
        <f>OB159*$F$83</f>
        <v>#VALUE!</v>
      </c>
      <c r="OF159" s="672" t="e">
        <f>OB159*$F$80</f>
        <v>#VALUE!</v>
      </c>
      <c r="OG159" s="676" t="e">
        <f>OB159*$F$79</f>
        <v>#VALUE!</v>
      </c>
      <c r="OH159" s="668"/>
      <c r="OI159" s="669"/>
      <c r="OJ159" s="670"/>
      <c r="OK159" s="671"/>
      <c r="OL159" s="678"/>
      <c r="OM159" s="650"/>
      <c r="ON159" s="663"/>
      <c r="OO159" s="671" t="str">
        <f>IF(ON159="Low",OK159*$D$42,IF(ON159="Med",OK159*$D$43,IF(ON159="High",OK159*$D$44,"rango cal. out")))</f>
        <v>rango cal. out</v>
      </c>
      <c r="OP159" s="619" t="e">
        <f>((273.2+OH159)*$F$33/((273.2+$F$32)*OJ159))</f>
        <v>#DIV/0!</v>
      </c>
      <c r="OQ159" s="674" t="e">
        <f>OO159/OL159*OP159*EXP(-LN(2)/10990*($F$96-OM159))</f>
        <v>#VALUE!</v>
      </c>
      <c r="OR159" s="599" t="e">
        <f>OQ159-AVERAGE(OY102:OY103)</f>
        <v>#VALUE!</v>
      </c>
      <c r="OS159" s="672" t="e">
        <f>ABS(#REF!*OR159*3600)</f>
        <v>#REF!</v>
      </c>
      <c r="OT159" s="675" t="e">
        <f>ABS($B$34*OR159*3600)</f>
        <v>#VALUE!</v>
      </c>
      <c r="OU159" s="672" t="e">
        <f>OT159*$C$87</f>
        <v>#VALUE!</v>
      </c>
      <c r="OV159" s="672" t="e">
        <f>OT159*$F$78</f>
        <v>#VALUE!</v>
      </c>
      <c r="OW159" s="600" t="e">
        <f>OT159*$F$83</f>
        <v>#VALUE!</v>
      </c>
      <c r="OX159" s="672" t="e">
        <f>OT159*$F$80</f>
        <v>#VALUE!</v>
      </c>
      <c r="OY159" s="676" t="e">
        <f>OT159*$F$79</f>
        <v>#VALUE!</v>
      </c>
      <c r="OZ159" s="668"/>
      <c r="PA159" s="669"/>
      <c r="PB159" s="670"/>
      <c r="PC159" s="671"/>
      <c r="PD159" s="678"/>
      <c r="PE159" s="650"/>
      <c r="PF159" s="663"/>
      <c r="PG159" s="671" t="str">
        <f>IF(PF159="Low",PC159*$D$42,IF(PF159="Med",PC159*$D$43,IF(PF159="High",PC159*$D$44,"rango cal. out")))</f>
        <v>rango cal. out</v>
      </c>
      <c r="PH159" s="619" t="e">
        <f>((273.2+OZ159)*$F$33/((273.2+$F$32)*PB159))</f>
        <v>#DIV/0!</v>
      </c>
      <c r="PI159" s="674" t="e">
        <f>PG159/PD159*PH159*EXP(-LN(2)/10990*($F$96-PE159))</f>
        <v>#VALUE!</v>
      </c>
      <c r="PJ159" s="599" t="e">
        <f>PI159-AVERAGE(PQ102:PQ103)</f>
        <v>#VALUE!</v>
      </c>
      <c r="PK159" s="672" t="e">
        <f>ABS(#REF!*PJ159*3600)</f>
        <v>#REF!</v>
      </c>
      <c r="PL159" s="675" t="e">
        <f>ABS($B$34*PJ159*3600)</f>
        <v>#VALUE!</v>
      </c>
      <c r="PM159" s="672" t="e">
        <f>PL159*$C$87</f>
        <v>#VALUE!</v>
      </c>
      <c r="PN159" s="672" t="e">
        <f>PL159*$F$78</f>
        <v>#VALUE!</v>
      </c>
      <c r="PO159" s="600" t="e">
        <f>PL159*$F$83</f>
        <v>#VALUE!</v>
      </c>
      <c r="PP159" s="672" t="e">
        <f>PL159*$F$80</f>
        <v>#VALUE!</v>
      </c>
      <c r="PQ159" s="676" t="e">
        <f>PL159*$F$79</f>
        <v>#VALUE!</v>
      </c>
      <c r="PR159" s="668"/>
      <c r="PS159" s="669"/>
      <c r="PT159" s="670"/>
      <c r="PU159" s="671"/>
      <c r="PV159" s="678"/>
      <c r="PW159" s="650"/>
      <c r="PX159" s="663"/>
      <c r="PY159" s="671" t="str">
        <f>IF(PX159="Low",PU159*$D$42,IF(PX159="Med",PU159*$D$43,IF(PX159="High",PU159*$D$44,"rango cal. out")))</f>
        <v>rango cal. out</v>
      </c>
      <c r="PZ159" s="619" t="e">
        <f>((273.2+PR159)*$F$33/((273.2+$F$32)*PT159))</f>
        <v>#DIV/0!</v>
      </c>
      <c r="QA159" s="674" t="e">
        <f>PY159/PV159*PZ159*EXP(-LN(2)/10990*($F$96-PW159))</f>
        <v>#VALUE!</v>
      </c>
      <c r="QB159" s="599" t="e">
        <f>QA159-AVERAGE(QI102:QI103)</f>
        <v>#VALUE!</v>
      </c>
      <c r="QC159" s="672" t="e">
        <f>ABS(#REF!*QB159*3600)</f>
        <v>#REF!</v>
      </c>
      <c r="QD159" s="675" t="e">
        <f>ABS($B$34*QB159*3600)</f>
        <v>#VALUE!</v>
      </c>
      <c r="QE159" s="672" t="e">
        <f>QD159*$C$87</f>
        <v>#VALUE!</v>
      </c>
      <c r="QF159" s="672" t="e">
        <f>QD159*$F$78</f>
        <v>#VALUE!</v>
      </c>
      <c r="QG159" s="600" t="e">
        <f>QD159*$F$83</f>
        <v>#VALUE!</v>
      </c>
      <c r="QH159" s="672" t="e">
        <f>QD159*$F$80</f>
        <v>#VALUE!</v>
      </c>
      <c r="QI159" s="676" t="e">
        <f>QD159*$F$79</f>
        <v>#VALUE!</v>
      </c>
      <c r="QJ159" s="668"/>
      <c r="QK159" s="669"/>
      <c r="QL159" s="670"/>
      <c r="QM159" s="671"/>
      <c r="QN159" s="678"/>
      <c r="QO159" s="650"/>
      <c r="QP159" s="663"/>
      <c r="QQ159" s="671" t="str">
        <f>IF(QP159="Low",QM159*$D$42,IF(QP159="Med",QM159*$D$43,IF(QP159="High",QM159*$D$44,"rango cal. out")))</f>
        <v>rango cal. out</v>
      </c>
      <c r="QR159" s="619" t="e">
        <f>((273.2+QJ159)*$F$33/((273.2+$F$32)*QL159))</f>
        <v>#DIV/0!</v>
      </c>
      <c r="QS159" s="674" t="e">
        <f>QQ159/QN159*QR159*EXP(-LN(2)/10990*($F$96-QO159))</f>
        <v>#VALUE!</v>
      </c>
      <c r="QT159" s="599" t="e">
        <f>QS159-AVERAGE(RA102:RA103)</f>
        <v>#VALUE!</v>
      </c>
      <c r="QU159" s="672" t="e">
        <f>ABS(#REF!*QT159*3600)</f>
        <v>#REF!</v>
      </c>
      <c r="QV159" s="675" t="e">
        <f>ABS($B$34*QT159*3600)</f>
        <v>#VALUE!</v>
      </c>
      <c r="QW159" s="672" t="e">
        <f>QV159*$C$87</f>
        <v>#VALUE!</v>
      </c>
      <c r="QX159" s="672" t="e">
        <f>QV159*$F$78</f>
        <v>#VALUE!</v>
      </c>
      <c r="QY159" s="600" t="e">
        <f>QV159*$F$83</f>
        <v>#VALUE!</v>
      </c>
      <c r="QZ159" s="672" t="e">
        <f>QV159*$F$80</f>
        <v>#VALUE!</v>
      </c>
      <c r="RA159" s="676" t="e">
        <f>QV159*$F$79</f>
        <v>#VALUE!</v>
      </c>
      <c r="RB159" s="668"/>
      <c r="RC159" s="669"/>
      <c r="RD159" s="670"/>
      <c r="RE159" s="671"/>
      <c r="RF159" s="673">
        <v>100</v>
      </c>
      <c r="RG159" s="650"/>
      <c r="RH159" s="663"/>
      <c r="RI159" s="671" t="str">
        <f>IF(RH159="Low",RE159*$D$42,IF(RH159="Med",RE159*$D$43,IF(RH159="High",RE159*$D$44,"rango cal. out")))</f>
        <v>rango cal. out</v>
      </c>
      <c r="RJ159" s="619" t="e">
        <f>((273.2+RB159)*$F$33/((273.2+$F$32)*RD159))</f>
        <v>#DIV/0!</v>
      </c>
      <c r="RK159" s="674" t="e">
        <f>RI159/RF159*RJ159*EXP(-LN(2)/10990*($F$96-RG159))</f>
        <v>#VALUE!</v>
      </c>
      <c r="RL159" s="599" t="e">
        <f>RK159-AVERAGE(RS102:RS103)</f>
        <v>#VALUE!</v>
      </c>
      <c r="RM159" s="672" t="e">
        <f>ABS(#REF!*RL159*3600)</f>
        <v>#REF!</v>
      </c>
      <c r="RN159" s="675" t="e">
        <f>ABS($B$34*RL159*3600)</f>
        <v>#VALUE!</v>
      </c>
      <c r="RO159" s="672" t="e">
        <f>RN159*$C$87</f>
        <v>#VALUE!</v>
      </c>
      <c r="RP159" s="672" t="e">
        <f>RN159*$F$78</f>
        <v>#VALUE!</v>
      </c>
      <c r="RQ159" s="600" t="e">
        <f>RN159*$F$83</f>
        <v>#VALUE!</v>
      </c>
      <c r="RR159" s="672" t="e">
        <f>RN159*$F$80</f>
        <v>#VALUE!</v>
      </c>
      <c r="RS159" s="676" t="e">
        <f>RN159*$F$79</f>
        <v>#VALUE!</v>
      </c>
      <c r="RT159" s="668"/>
      <c r="RU159" s="669"/>
      <c r="RV159" s="669"/>
      <c r="RW159" s="679"/>
      <c r="RX159" s="673">
        <v>100</v>
      </c>
      <c r="RY159" s="650"/>
      <c r="RZ159" s="663"/>
      <c r="SA159" s="671" t="str">
        <f>IF(RZ159="Low",RW159*$D$42,IF(RZ159="Med",RW159*$D$43,IF(RZ159="High",RW159*$D$44,"rango cal. out")))</f>
        <v>rango cal. out</v>
      </c>
      <c r="SB159" s="619" t="e">
        <f>((273.2+RT159)*$F$33/((273.2+$F$32)*RV159))</f>
        <v>#DIV/0!</v>
      </c>
      <c r="SC159" s="674" t="e">
        <f>SA159/RX159*SB159*EXP(-LN(2)/10990*($F$96-RY159))</f>
        <v>#VALUE!</v>
      </c>
      <c r="SD159" s="599" t="e">
        <f>SC159-AVERAGE(SK102:SK103)</f>
        <v>#VALUE!</v>
      </c>
      <c r="SE159" s="672" t="e">
        <f>ABS(#REF!*SD159*3600)</f>
        <v>#REF!</v>
      </c>
      <c r="SF159" s="675" t="e">
        <f>ABS($B$34*SD159*3600)</f>
        <v>#VALUE!</v>
      </c>
      <c r="SG159" s="672" t="e">
        <f>SF159*$C$87</f>
        <v>#VALUE!</v>
      </c>
      <c r="SH159" s="672" t="e">
        <f>SF159*$F$78</f>
        <v>#VALUE!</v>
      </c>
      <c r="SI159" s="600" t="e">
        <f>SF159*$F$83</f>
        <v>#VALUE!</v>
      </c>
      <c r="SJ159" s="672" t="e">
        <f>SF159*$F$80</f>
        <v>#VALUE!</v>
      </c>
      <c r="SK159" s="676" t="e">
        <f>SF159*$F$79</f>
        <v>#VALUE!</v>
      </c>
      <c r="SL159" s="668"/>
      <c r="SM159" s="669"/>
      <c r="SN159" s="670"/>
      <c r="SO159" s="671"/>
      <c r="SP159" s="678"/>
      <c r="SQ159" s="650"/>
      <c r="SR159" s="663"/>
      <c r="SS159" s="671" t="str">
        <f>IF(SR159="Low",SO159*$D$42,IF(SR159="Med",SO159*$D$43,IF(SR159="High",SO159*$D$44,"rango cal. out")))</f>
        <v>rango cal. out</v>
      </c>
      <c r="ST159" s="619" t="e">
        <f>((273.2+SL159)*$F$33/((273.2+$F$32)*SN159))</f>
        <v>#DIV/0!</v>
      </c>
      <c r="SU159" s="674" t="e">
        <f>SS159/SP159*ST159*EXP(-LN(2)/10990*($F$96-SQ159))</f>
        <v>#VALUE!</v>
      </c>
      <c r="SV159" s="599" t="e">
        <f>SU159-AVERAGE(TC102:TC103)</f>
        <v>#VALUE!</v>
      </c>
      <c r="SW159" s="672" t="e">
        <f>ABS(#REF!*SV159*3600)</f>
        <v>#REF!</v>
      </c>
      <c r="SX159" s="675" t="e">
        <f>ABS($B$34*SV159*3600)</f>
        <v>#VALUE!</v>
      </c>
      <c r="SY159" s="672" t="e">
        <f>SX159*$C$87</f>
        <v>#VALUE!</v>
      </c>
      <c r="SZ159" s="672" t="e">
        <f>SX159*$F$78</f>
        <v>#VALUE!</v>
      </c>
      <c r="TA159" s="600" t="e">
        <f>SX159*$F$83</f>
        <v>#VALUE!</v>
      </c>
      <c r="TB159" s="672" t="e">
        <f>SX159*$F$80</f>
        <v>#VALUE!</v>
      </c>
      <c r="TC159" s="676" t="e">
        <f>SX159*$F$79</f>
        <v>#VALUE!</v>
      </c>
      <c r="TD159" s="668"/>
      <c r="TE159" s="669"/>
      <c r="TF159" s="670"/>
      <c r="TG159" s="671"/>
      <c r="TH159" s="678"/>
      <c r="TI159" s="650"/>
      <c r="TJ159" s="663"/>
      <c r="TK159" s="671" t="str">
        <f>IF(TJ159="Low",TG159*$D$42,IF(TJ159="Med",TG159*$D$43,IF(TJ159="High",TG159*$D$44,"rango cal. out")))</f>
        <v>rango cal. out</v>
      </c>
      <c r="TL159" s="619" t="e">
        <f>((273.2+TD159)*$F$33/((273.2+$F$32)*TF159))</f>
        <v>#DIV/0!</v>
      </c>
      <c r="TM159" s="674" t="e">
        <f>TK159/TH159*TL159*EXP(-LN(2)/10990*($F$96-TI159))</f>
        <v>#VALUE!</v>
      </c>
      <c r="TN159" s="599" t="e">
        <f>TM159-AVERAGE(TU102:TU103)</f>
        <v>#VALUE!</v>
      </c>
      <c r="TO159" s="672" t="e">
        <f>ABS(#REF!*TN159*3600)</f>
        <v>#REF!</v>
      </c>
      <c r="TP159" s="675" t="e">
        <f>ABS($B$34*TN159*3600)</f>
        <v>#VALUE!</v>
      </c>
      <c r="TQ159" s="672" t="e">
        <f>TP159*$C$87</f>
        <v>#VALUE!</v>
      </c>
      <c r="TR159" s="672" t="e">
        <f>TP159*$F$78</f>
        <v>#VALUE!</v>
      </c>
      <c r="TS159" s="600" t="e">
        <f>TP159*$F$83</f>
        <v>#VALUE!</v>
      </c>
      <c r="TT159" s="672" t="e">
        <f>TP159*$F$80</f>
        <v>#VALUE!</v>
      </c>
      <c r="TU159" s="676" t="e">
        <f>TP159*$F$79</f>
        <v>#VALUE!</v>
      </c>
      <c r="TV159" s="668"/>
      <c r="TW159" s="669"/>
      <c r="TX159" s="670"/>
      <c r="TY159" s="671"/>
      <c r="TZ159" s="678"/>
      <c r="UA159" s="650"/>
      <c r="UB159" s="663"/>
      <c r="UC159" s="671" t="str">
        <f>IF(UB159="Low",TY159*$D$42,IF(UB159="Med",TY159*$D$43,IF(UB159="High",TY159*$D$44,"rango cal. out")))</f>
        <v>rango cal. out</v>
      </c>
      <c r="UD159" s="619" t="e">
        <f>((273.2+TV159)*$F$33/((273.2+$F$32)*TX159))</f>
        <v>#DIV/0!</v>
      </c>
      <c r="UE159" s="674" t="e">
        <f>UC159/TZ159*UD159*EXP(-LN(2)/10990*($F$96-UA159))</f>
        <v>#VALUE!</v>
      </c>
      <c r="UF159" s="599" t="e">
        <f>UE159-AVERAGE(UM102:UM103)</f>
        <v>#VALUE!</v>
      </c>
      <c r="UG159" s="672" t="e">
        <f>ABS(#REF!*UF159*3600)</f>
        <v>#REF!</v>
      </c>
      <c r="UH159" s="675" t="e">
        <f>ABS($B$34*UF159*3600)</f>
        <v>#VALUE!</v>
      </c>
      <c r="UI159" s="672" t="e">
        <f>UH159*$C$87</f>
        <v>#VALUE!</v>
      </c>
      <c r="UJ159" s="672" t="e">
        <f>UH159*$F$78</f>
        <v>#VALUE!</v>
      </c>
      <c r="UK159" s="600" t="e">
        <f>UH159*$F$83</f>
        <v>#VALUE!</v>
      </c>
      <c r="UL159" s="672" t="e">
        <f>UH159*$F$80</f>
        <v>#VALUE!</v>
      </c>
      <c r="UM159" s="676" t="e">
        <f>UH159*$F$79</f>
        <v>#VALUE!</v>
      </c>
      <c r="UN159" s="668"/>
      <c r="UO159" s="669"/>
      <c r="UP159" s="670"/>
      <c r="UQ159" s="671"/>
      <c r="UR159" s="678"/>
      <c r="US159" s="650"/>
      <c r="UT159" s="663"/>
      <c r="UU159" s="671" t="str">
        <f>IF(UT159="Low",UQ159*$D$42,IF(UT159="Med",UQ159*$D$43,IF(UT159="High",UQ159*$D$44,"rango cal. out")))</f>
        <v>rango cal. out</v>
      </c>
      <c r="UV159" s="619" t="e">
        <f>((273.2+UN159)*$F$33/((273.2+$F$32)*UP159))</f>
        <v>#DIV/0!</v>
      </c>
      <c r="UW159" s="674" t="e">
        <f>UU159/UR159*UV159*EXP(-LN(2)/10990*($F$96-US159))</f>
        <v>#VALUE!</v>
      </c>
      <c r="UX159" s="599" t="e">
        <f>UW159-AVERAGE(VE102:VE103)</f>
        <v>#VALUE!</v>
      </c>
      <c r="UY159" s="672" t="e">
        <f>ABS(#REF!*UX159*3600)</f>
        <v>#REF!</v>
      </c>
      <c r="UZ159" s="675" t="e">
        <f>ABS($B$34*UX159*3600)</f>
        <v>#VALUE!</v>
      </c>
      <c r="VA159" s="672" t="e">
        <f>UZ159*$C$87</f>
        <v>#VALUE!</v>
      </c>
      <c r="VB159" s="672" t="e">
        <f>UZ159*$F$78</f>
        <v>#VALUE!</v>
      </c>
      <c r="VC159" s="600" t="e">
        <f>UZ159*$F$83</f>
        <v>#VALUE!</v>
      </c>
      <c r="VD159" s="672" t="e">
        <f>UZ159*$F$80</f>
        <v>#VALUE!</v>
      </c>
      <c r="VE159" s="676" t="e">
        <f>UZ159*$F$79</f>
        <v>#VALUE!</v>
      </c>
    </row>
    <row r="160" spans="1:577" x14ac:dyDescent="0.25">
      <c r="A160" s="2219"/>
      <c r="B160" s="668">
        <v>20.100000000000001</v>
      </c>
      <c r="C160" s="673">
        <v>55</v>
      </c>
      <c r="D160" s="673">
        <v>1010</v>
      </c>
      <c r="E160" s="1999">
        <v>-2.1849999999999998E-9</v>
      </c>
      <c r="F160" s="673">
        <v>60</v>
      </c>
      <c r="G160" s="663">
        <v>44334</v>
      </c>
      <c r="H160" s="650" t="s">
        <v>1042</v>
      </c>
      <c r="I160" s="671">
        <f>IF(H160="Low",E160*$D$42,IF(H160="Med",E160*$D$43,IF(H160="High",E160*$D$44,"rango cal. out")))</f>
        <v>-2.1871849999999994E-9</v>
      </c>
      <c r="J160" s="619">
        <f>((273.2+B160)*$F$33/((273.2+$F$32)*D160))</f>
        <v>0.99676079650648008</v>
      </c>
      <c r="K160" s="674">
        <f>I160/F160*J160*EXP(-LN(2)/10990*($F$96-G160))</f>
        <v>-3.5983794853126652E-11</v>
      </c>
      <c r="L160" s="599">
        <f>K160-AVERAGE(S102:S103)</f>
        <v>-3.5959982885755153E-11</v>
      </c>
      <c r="M160" s="672" t="e">
        <f>ABS(#REF!*L160*3600)</f>
        <v>#REF!</v>
      </c>
      <c r="N160" s="675">
        <f>ABS($B$34*L160*3600)</f>
        <v>3.2622896473957072E-3</v>
      </c>
      <c r="O160" s="614">
        <f>N160*$C$87</f>
        <v>0.32622896473957069</v>
      </c>
      <c r="P160" s="672">
        <f>N160*$F$78</f>
        <v>3.9147475768748488E-3</v>
      </c>
      <c r="Q160" s="600">
        <f>N160*$F$83</f>
        <v>3.9473704733488059E-3</v>
      </c>
      <c r="R160" s="672">
        <f>N160*$F$80</f>
        <v>3.9473704733488059E-3</v>
      </c>
      <c r="S160" s="676">
        <f>N160*$F$79</f>
        <v>4.0778620592446342E-3</v>
      </c>
      <c r="T160" s="677"/>
      <c r="U160" s="669"/>
      <c r="V160" s="670"/>
      <c r="W160" s="671"/>
      <c r="X160" s="678"/>
      <c r="Y160" s="650"/>
      <c r="Z160" s="650"/>
      <c r="AA160" s="671" t="str">
        <f>IF(Z160="Low",W160*$D$42,IF(Z160="Med",W160*$D$43,IF(Z160="High",W160*$D$44,"rango cal. out")))</f>
        <v>rango cal. out</v>
      </c>
      <c r="AB160" s="619" t="e">
        <f>((273.2+T160)*$F$33/((273.2+$F$32)*V160))</f>
        <v>#DIV/0!</v>
      </c>
      <c r="AC160" s="674" t="e">
        <f>AA160/X160*AB160*EXP(-LN(2)/10990*($F$96-Y160))</f>
        <v>#VALUE!</v>
      </c>
      <c r="AD160" s="599" t="e">
        <f>AC160-AVERAGE(#REF!)</f>
        <v>#VALUE!</v>
      </c>
      <c r="AE160" s="672" t="e">
        <f>ABS(#REF!*AD160*3600)</f>
        <v>#REF!</v>
      </c>
      <c r="AF160" s="675" t="e">
        <f>ABS($B$34*AD160*3600)</f>
        <v>#VALUE!</v>
      </c>
      <c r="AG160" s="614" t="e">
        <f>AF160*$C$87</f>
        <v>#VALUE!</v>
      </c>
      <c r="AH160" s="672" t="e">
        <f>AF160*$F$78</f>
        <v>#VALUE!</v>
      </c>
      <c r="AI160" s="600" t="e">
        <f>AF160*$F$83</f>
        <v>#VALUE!</v>
      </c>
      <c r="AJ160" s="672" t="e">
        <f>AF160*$F$80</f>
        <v>#VALUE!</v>
      </c>
      <c r="AK160" s="676" t="e">
        <f>AF160*$F$79</f>
        <v>#VALUE!</v>
      </c>
      <c r="AL160" s="677"/>
      <c r="AM160" s="669"/>
      <c r="AN160" s="670"/>
      <c r="AO160" s="671"/>
      <c r="AP160" s="678"/>
      <c r="AQ160" s="650"/>
      <c r="AR160" s="650"/>
      <c r="AS160" s="671" t="str">
        <f>IF(AR160="Low",AO160*$D$42,IF(AR160="Med",AO160*$D$43,IF(AR160="High",AO160*$D$44,"rango cal. out")))</f>
        <v>rango cal. out</v>
      </c>
      <c r="AT160" s="619" t="e">
        <f>((273.2+AL160)*$F$33/((273.2+$F$32)*AN160))</f>
        <v>#DIV/0!</v>
      </c>
      <c r="AU160" s="674" t="e">
        <f>AS160/AP160*AT160*EXP(-LN(2)/10990*($F$96-AQ160))</f>
        <v>#VALUE!</v>
      </c>
      <c r="AV160" s="599" t="e">
        <f>AU160-AVERAGE(BC102:BC103)</f>
        <v>#VALUE!</v>
      </c>
      <c r="AW160" s="672" t="e">
        <f>ABS(#REF!*AV160*3600)</f>
        <v>#REF!</v>
      </c>
      <c r="AX160" s="675" t="e">
        <f>ABS($B$34*AV160*3600)</f>
        <v>#VALUE!</v>
      </c>
      <c r="AY160" s="614" t="e">
        <f>AX160*$C$87</f>
        <v>#VALUE!</v>
      </c>
      <c r="AZ160" s="672" t="e">
        <f>AX160*$F$78</f>
        <v>#VALUE!</v>
      </c>
      <c r="BA160" s="600" t="e">
        <f>AX160*$F$83</f>
        <v>#VALUE!</v>
      </c>
      <c r="BB160" s="672" t="e">
        <f>AX160*$F$80</f>
        <v>#VALUE!</v>
      </c>
      <c r="BC160" s="676" t="e">
        <f>AX160*$F$79</f>
        <v>#VALUE!</v>
      </c>
      <c r="BD160" s="668"/>
      <c r="BE160" s="669"/>
      <c r="BF160" s="661"/>
      <c r="BG160" s="1998">
        <v>-3.3700000000000003E-10</v>
      </c>
      <c r="BH160" s="678"/>
      <c r="BI160" s="663">
        <v>44333</v>
      </c>
      <c r="BJ160" s="650"/>
      <c r="BK160" s="671" t="str">
        <f>IF(BJ160="Low",BG160*$D$42,IF(BJ160="Med",BG160*$D$43,IF(BJ160="High",BG160*$D$44,"rango cal. out")))</f>
        <v>rango cal. out</v>
      </c>
      <c r="BL160" s="619" t="e">
        <f>((273.2+BD160)*$F$33/((273.2+$F$32)*BF160))</f>
        <v>#DIV/0!</v>
      </c>
      <c r="BM160" s="674" t="e">
        <f>BK160/BH160*BL160*EXP(-LN(2)/10990*($F$96-BI160))</f>
        <v>#VALUE!</v>
      </c>
      <c r="BN160" s="599" t="e">
        <f>BM160-AVERAGE(BU102:BU103)</f>
        <v>#VALUE!</v>
      </c>
      <c r="BO160" s="672" t="e">
        <f>ABS(#REF!*BN160*3600)</f>
        <v>#REF!</v>
      </c>
      <c r="BP160" s="675" t="e">
        <f>ABS($B$34*BN160*3600)</f>
        <v>#VALUE!</v>
      </c>
      <c r="BQ160" s="614" t="e">
        <f>BP160*$C$87</f>
        <v>#VALUE!</v>
      </c>
      <c r="BR160" s="672" t="e">
        <f>BP160*$F$78</f>
        <v>#VALUE!</v>
      </c>
      <c r="BS160" s="600" t="e">
        <f>BP160*$F$83</f>
        <v>#VALUE!</v>
      </c>
      <c r="BT160" s="672" t="e">
        <f>BP160*$F$80</f>
        <v>#VALUE!</v>
      </c>
      <c r="BU160" s="676" t="e">
        <f>BP160*$F$79</f>
        <v>#VALUE!</v>
      </c>
      <c r="BV160" s="668"/>
      <c r="BW160" s="669"/>
      <c r="BX160" s="670"/>
      <c r="BY160" s="1998">
        <f t="shared" ref="BY160" si="1154">0.000000000017</f>
        <v>1.6999999999999999E-11</v>
      </c>
      <c r="BZ160" s="678"/>
      <c r="CA160" s="663">
        <v>44333</v>
      </c>
      <c r="CB160" s="650"/>
      <c r="CC160" s="671" t="str">
        <f>IF(CB160="Low",BY160*$D$42,IF(CB160="Med",BY160*$D$43,IF(CB160="High",BY160*$D$44,"rango cal. out")))</f>
        <v>rango cal. out</v>
      </c>
      <c r="CD160" s="619" t="e">
        <f>((273.2+BV160)*$F$33/((273.2+$F$32)*BX160))</f>
        <v>#DIV/0!</v>
      </c>
      <c r="CE160" s="674" t="e">
        <f>CC160/BZ160*CD160*EXP(-LN(2)/10990*($F$96-CA160))</f>
        <v>#VALUE!</v>
      </c>
      <c r="CF160" s="599" t="e">
        <f>CE160-AVERAGE(CM102:CM103)</f>
        <v>#VALUE!</v>
      </c>
      <c r="CG160" s="672" t="e">
        <f>ABS(#REF!*CF160*3600)</f>
        <v>#REF!</v>
      </c>
      <c r="CH160" s="675" t="e">
        <f>ABS($B$34*CF160*3600)</f>
        <v>#VALUE!</v>
      </c>
      <c r="CI160" s="614" t="e">
        <f>CH160*$C$87</f>
        <v>#VALUE!</v>
      </c>
      <c r="CJ160" s="672" t="e">
        <f>CH160*$F$78</f>
        <v>#VALUE!</v>
      </c>
      <c r="CK160" s="600" t="e">
        <f>CH160*$F$83</f>
        <v>#VALUE!</v>
      </c>
      <c r="CL160" s="672" t="e">
        <f>CH160*$F$80</f>
        <v>#VALUE!</v>
      </c>
      <c r="CM160" s="676" t="e">
        <f>CH160*$F$79</f>
        <v>#VALUE!</v>
      </c>
      <c r="CN160" s="668"/>
      <c r="CO160" s="669"/>
      <c r="CP160" s="670"/>
      <c r="CQ160" s="1998">
        <v>-7.8550000000000003E-10</v>
      </c>
      <c r="CR160" s="678"/>
      <c r="CS160" s="663">
        <v>44333</v>
      </c>
      <c r="CT160" s="650"/>
      <c r="CU160" s="671" t="str">
        <f>IF(CT160="Low",CQ160*$D$42,IF(CT160="Med",CQ160*$D$43,IF(CT160="High",CQ160*$D$44,"rango cal. out")))</f>
        <v>rango cal. out</v>
      </c>
      <c r="CV160" s="619" t="e">
        <f>((273.2+CN160)*$F$33/((273.2+$F$32)*CP160))</f>
        <v>#DIV/0!</v>
      </c>
      <c r="CW160" s="674" t="e">
        <f>CU160/CR160*CV160*EXP(-LN(2)/10990*($F$96-CS160))</f>
        <v>#VALUE!</v>
      </c>
      <c r="CX160" s="599" t="e">
        <f>CW160-AVERAGE(DE102:DE103)</f>
        <v>#VALUE!</v>
      </c>
      <c r="CY160" s="672" t="e">
        <f>ABS(#REF!*CX160*3600)</f>
        <v>#REF!</v>
      </c>
      <c r="CZ160" s="675" t="e">
        <f>ABS($B$34*CX160*3600)</f>
        <v>#VALUE!</v>
      </c>
      <c r="DA160" s="614" t="e">
        <f>CZ160*$C$87</f>
        <v>#VALUE!</v>
      </c>
      <c r="DB160" s="672" t="e">
        <f>CZ160*$F$78</f>
        <v>#VALUE!</v>
      </c>
      <c r="DC160" s="600" t="e">
        <f>CZ160*$F$83</f>
        <v>#VALUE!</v>
      </c>
      <c r="DD160" s="672" t="e">
        <f>CZ160*$F$80</f>
        <v>#VALUE!</v>
      </c>
      <c r="DE160" s="676" t="e">
        <f>CZ160*$F$79</f>
        <v>#VALUE!</v>
      </c>
      <c r="DF160" s="668"/>
      <c r="DG160" s="669"/>
      <c r="DH160" s="670"/>
      <c r="DI160" s="671"/>
      <c r="DJ160" s="678"/>
      <c r="DK160" s="650"/>
      <c r="DL160" s="650"/>
      <c r="DM160" s="671" t="str">
        <f>IF(DL160="Low",DI160*$D$42,IF(DL160="Med",DI160*$D$43,IF(DL160="High",DI160*$D$44,"rango cal. out")))</f>
        <v>rango cal. out</v>
      </c>
      <c r="DN160" s="619" t="e">
        <f>((273.2+DF160)*$F$33/((273.2+$F$32)*DH160))</f>
        <v>#DIV/0!</v>
      </c>
      <c r="DO160" s="674" t="e">
        <f>DM160/DJ160*DN160*EXP(-LN(2)/10990*($F$96-DK160))</f>
        <v>#VALUE!</v>
      </c>
      <c r="DP160" s="599" t="e">
        <f>DO160-AVERAGE(DW102:DW103)</f>
        <v>#VALUE!</v>
      </c>
      <c r="DQ160" s="672" t="e">
        <f>ABS(#REF!*DP160*3600)</f>
        <v>#REF!</v>
      </c>
      <c r="DR160" s="675" t="e">
        <f>ABS($B$34*DP160*3600)</f>
        <v>#VALUE!</v>
      </c>
      <c r="DS160" s="614" t="e">
        <f>DR160*$C$87</f>
        <v>#VALUE!</v>
      </c>
      <c r="DT160" s="672" t="e">
        <f>DR160*$F$78</f>
        <v>#VALUE!</v>
      </c>
      <c r="DU160" s="600" t="e">
        <f>DR160*$F$83</f>
        <v>#VALUE!</v>
      </c>
      <c r="DV160" s="672" t="e">
        <f>DR160*$F$80</f>
        <v>#VALUE!</v>
      </c>
      <c r="DW160" s="676" t="e">
        <f>DR160*$F$79</f>
        <v>#VALUE!</v>
      </c>
      <c r="DX160" s="668"/>
      <c r="DY160" s="669"/>
      <c r="DZ160" s="677"/>
      <c r="EA160" s="679"/>
      <c r="EB160" s="678"/>
      <c r="EC160" s="650"/>
      <c r="ED160" s="650"/>
      <c r="EE160" s="671" t="str">
        <f>IF(ED160="Low",EA160*$D$42,IF(ED160="Med",EA160*$D$43,IF(ED160="High",EA160*$D$44,"rango cal. out")))</f>
        <v>rango cal. out</v>
      </c>
      <c r="EF160" s="619" t="e">
        <f>((273.2+DX160)*$F$33/((273.2+$F$32)*DZ160))</f>
        <v>#DIV/0!</v>
      </c>
      <c r="EG160" s="674" t="e">
        <f>EE160/EB160*EF160*EXP(-LN(2)/10990*($F$96-EC160))</f>
        <v>#VALUE!</v>
      </c>
      <c r="EH160" s="599" t="e">
        <f>EG160-AVERAGE(EO102:EO103)</f>
        <v>#VALUE!</v>
      </c>
      <c r="EI160" s="672" t="e">
        <f>ABS(#REF!*EH160*3600)</f>
        <v>#REF!</v>
      </c>
      <c r="EJ160" s="675" t="e">
        <f>ABS($B$34*EH160*3600)</f>
        <v>#VALUE!</v>
      </c>
      <c r="EK160" s="614" t="e">
        <f>EJ160*$C$87</f>
        <v>#VALUE!</v>
      </c>
      <c r="EL160" s="672" t="e">
        <f>EJ160*$F$78</f>
        <v>#VALUE!</v>
      </c>
      <c r="EM160" s="600" t="e">
        <f>EJ160*$F$83</f>
        <v>#VALUE!</v>
      </c>
      <c r="EN160" s="672" t="e">
        <f>EJ160*$F$80</f>
        <v>#VALUE!</v>
      </c>
      <c r="EO160" s="676" t="e">
        <f>EJ160*$F$79</f>
        <v>#VALUE!</v>
      </c>
      <c r="EP160" s="668"/>
      <c r="EQ160" s="669"/>
      <c r="ER160" s="670"/>
      <c r="ES160" s="1998">
        <f t="shared" si="1153"/>
        <v>-2E-12</v>
      </c>
      <c r="ET160" s="678"/>
      <c r="EU160" s="663">
        <v>44333</v>
      </c>
      <c r="EV160" s="650"/>
      <c r="EW160" s="671" t="str">
        <f>IF(EV160="Low",ES160*$D$42,IF(EV160="Med",ES160*$D$43,IF(EV160="High",ES160*$D$44,"rango cal. out")))</f>
        <v>rango cal. out</v>
      </c>
      <c r="EX160" s="619" t="e">
        <f>((273.2+EP160)*$F$33/((273.2+$F$32)*ER160))</f>
        <v>#DIV/0!</v>
      </c>
      <c r="EY160" s="674" t="e">
        <f>EW160/ET160*EX160*EXP(-LN(2)/10990*($F$96-EU160))</f>
        <v>#VALUE!</v>
      </c>
      <c r="EZ160" s="599" t="e">
        <f>EY160-AVERAGE(FG102:FG103)</f>
        <v>#VALUE!</v>
      </c>
      <c r="FA160" s="672" t="e">
        <f>ABS(#REF!*EZ160*3600)</f>
        <v>#REF!</v>
      </c>
      <c r="FB160" s="675" t="e">
        <f>ABS($B$34*EZ160*3600)</f>
        <v>#VALUE!</v>
      </c>
      <c r="FC160" s="614" t="e">
        <f>FB160*$C$87</f>
        <v>#VALUE!</v>
      </c>
      <c r="FD160" s="672" t="e">
        <f>FB160*$F$78</f>
        <v>#VALUE!</v>
      </c>
      <c r="FE160" s="600" t="e">
        <f>FB160*$F$83</f>
        <v>#VALUE!</v>
      </c>
      <c r="FF160" s="672" t="e">
        <f>FB160*$F$80</f>
        <v>#VALUE!</v>
      </c>
      <c r="FG160" s="676" t="e">
        <f>FB160*$F$79</f>
        <v>#VALUE!</v>
      </c>
      <c r="FH160" s="668"/>
      <c r="FI160" s="669"/>
      <c r="FJ160" s="670"/>
      <c r="FK160" s="671"/>
      <c r="FL160" s="678"/>
      <c r="FM160" s="650"/>
      <c r="FN160" s="650"/>
      <c r="FO160" s="671" t="str">
        <f>IF(FN160="Low",FK160*$D$42,IF(FN160="Med",FK160*$D$43,IF(FN160="High",FK160*$D$44,"rango cal. out")))</f>
        <v>rango cal. out</v>
      </c>
      <c r="FP160" s="619" t="e">
        <f>((273.2+FH160)*$F$33/((273.2+$F$32)*FJ160))</f>
        <v>#DIV/0!</v>
      </c>
      <c r="FQ160" s="674" t="e">
        <f>FO160/FL160*FP160*EXP(-LN(2)/10990*($F$96-FM160))</f>
        <v>#VALUE!</v>
      </c>
      <c r="FR160" s="599" t="e">
        <f>FQ160-AVERAGE(FY102:FY103)</f>
        <v>#VALUE!</v>
      </c>
      <c r="FS160" s="672" t="e">
        <f>ABS(#REF!*FR160*3600)</f>
        <v>#REF!</v>
      </c>
      <c r="FT160" s="675" t="e">
        <f>ABS($B$34*FR160*3600)</f>
        <v>#VALUE!</v>
      </c>
      <c r="FU160" s="614" t="e">
        <f>FT160*$C$87</f>
        <v>#VALUE!</v>
      </c>
      <c r="FV160" s="672" t="e">
        <f>FT160*$F$78</f>
        <v>#VALUE!</v>
      </c>
      <c r="FW160" s="600" t="e">
        <f>FT160*$F$83</f>
        <v>#VALUE!</v>
      </c>
      <c r="FX160" s="672" t="e">
        <f>FT160*$F$80</f>
        <v>#VALUE!</v>
      </c>
      <c r="FY160" s="676" t="e">
        <f>FT160*$F$79</f>
        <v>#VALUE!</v>
      </c>
      <c r="FZ160" s="668"/>
      <c r="GA160" s="669"/>
      <c r="GB160" s="670"/>
      <c r="GC160" s="671"/>
      <c r="GD160" s="678"/>
      <c r="GE160" s="650"/>
      <c r="GF160" s="650"/>
      <c r="GG160" s="671" t="str">
        <f>IF(GF160="Low",GC160*$D$42,IF(GF160="Med",GC160*$D$43,IF(GF160="High",GC160*$D$44,"rango cal. out")))</f>
        <v>rango cal. out</v>
      </c>
      <c r="GH160" s="619" t="e">
        <f>((273.2+FZ160)*$F$33/((273.2+$F$32)*GB160))</f>
        <v>#DIV/0!</v>
      </c>
      <c r="GI160" s="674" t="e">
        <f>GG160/GD160*GH160*EXP(-LN(2)/10990*($F$96-GE160))</f>
        <v>#VALUE!</v>
      </c>
      <c r="GJ160" s="599" t="e">
        <f>GI160-AVERAGE(GQ102:GQ103)</f>
        <v>#VALUE!</v>
      </c>
      <c r="GK160" s="672" t="e">
        <f>ABS(#REF!*GJ160*3600)</f>
        <v>#REF!</v>
      </c>
      <c r="GL160" s="675" t="e">
        <f>ABS($B$34*GJ160*3600)</f>
        <v>#VALUE!</v>
      </c>
      <c r="GM160" s="614" t="e">
        <f>GL160*$C$87</f>
        <v>#VALUE!</v>
      </c>
      <c r="GN160" s="672" t="e">
        <f>GL160*$F$78</f>
        <v>#VALUE!</v>
      </c>
      <c r="GO160" s="600" t="e">
        <f>GL160*$F$83</f>
        <v>#VALUE!</v>
      </c>
      <c r="GP160" s="672" t="e">
        <f>GL160*$F$80</f>
        <v>#VALUE!</v>
      </c>
      <c r="GQ160" s="676" t="e">
        <f>GL160*$F$79</f>
        <v>#VALUE!</v>
      </c>
      <c r="GR160" s="668"/>
      <c r="GS160" s="669"/>
      <c r="GT160" s="677"/>
      <c r="GU160" s="679"/>
      <c r="GV160" s="678"/>
      <c r="GW160" s="650"/>
      <c r="GX160" s="650"/>
      <c r="GY160" s="671" t="str">
        <f>IF(GX160="Low",GU160*$D$42,IF(GX160="Med",GU160*$D$43,IF(GX160="High",GU160*$D$44,"rango cal. out")))</f>
        <v>rango cal. out</v>
      </c>
      <c r="GZ160" s="619" t="e">
        <f>((273.2+GR160)*$F$33/((273.2+$F$32)*GT160))</f>
        <v>#DIV/0!</v>
      </c>
      <c r="HA160" s="674" t="e">
        <f>GY160/GV160*GZ160*EXP(-LN(2)/10990*($F$96-GW160))</f>
        <v>#VALUE!</v>
      </c>
      <c r="HB160" s="599" t="e">
        <f>HA160-AVERAGE(HI102:HI103)</f>
        <v>#VALUE!</v>
      </c>
      <c r="HC160" s="672" t="e">
        <f>ABS(#REF!*HB160*3600)</f>
        <v>#REF!</v>
      </c>
      <c r="HD160" s="675" t="e">
        <f>ABS($B$34*HB160*3600)</f>
        <v>#VALUE!</v>
      </c>
      <c r="HE160" s="614" t="e">
        <f>HD160*$C$87</f>
        <v>#VALUE!</v>
      </c>
      <c r="HF160" s="672" t="e">
        <f>HD160*$F$78</f>
        <v>#VALUE!</v>
      </c>
      <c r="HG160" s="600" t="e">
        <f>HD160*$F$83</f>
        <v>#VALUE!</v>
      </c>
      <c r="HH160" s="672" t="e">
        <f>HD160*$F$80</f>
        <v>#VALUE!</v>
      </c>
      <c r="HI160" s="676" t="e">
        <f>HD160*$F$79</f>
        <v>#VALUE!</v>
      </c>
      <c r="HJ160" s="668"/>
      <c r="HK160" s="669"/>
      <c r="HL160" s="670"/>
      <c r="HM160" s="671"/>
      <c r="HN160" s="678"/>
      <c r="HO160" s="650"/>
      <c r="HP160" s="650"/>
      <c r="HQ160" s="671" t="str">
        <f>IF(HP160="Low",HM160*$D$42,IF(HP160="Med",HM160*$D$43,IF(HP160="High",HM160*$D$44,"rango cal. out")))</f>
        <v>rango cal. out</v>
      </c>
      <c r="HR160" s="619" t="e">
        <f>((273.2+HJ160)*$F$33/((273.2+$F$32)*HL160))</f>
        <v>#DIV/0!</v>
      </c>
      <c r="HS160" s="674" t="e">
        <f>HQ160/HN160*HR160*EXP(-LN(2)/10990*($F$96-HO160))</f>
        <v>#VALUE!</v>
      </c>
      <c r="HT160" s="599" t="e">
        <f>HS160-AVERAGE(IA102:IA103)</f>
        <v>#VALUE!</v>
      </c>
      <c r="HU160" s="672" t="e">
        <f>ABS(#REF!*HT160*3600)</f>
        <v>#REF!</v>
      </c>
      <c r="HV160" s="675" t="e">
        <f>ABS($B$34*HT160*3600)</f>
        <v>#VALUE!</v>
      </c>
      <c r="HW160" s="614" t="e">
        <f>HV160*$C$87</f>
        <v>#VALUE!</v>
      </c>
      <c r="HX160" s="672" t="e">
        <f>HV160*$F$78</f>
        <v>#VALUE!</v>
      </c>
      <c r="HY160" s="600" t="e">
        <f>HV160*$F$83</f>
        <v>#VALUE!</v>
      </c>
      <c r="HZ160" s="672" t="e">
        <f>HV160*$F$80</f>
        <v>#VALUE!</v>
      </c>
      <c r="IA160" s="676" t="e">
        <f>HV160*$F$79</f>
        <v>#VALUE!</v>
      </c>
      <c r="IB160" s="668"/>
      <c r="IC160" s="669"/>
      <c r="ID160" s="670"/>
      <c r="IE160" s="671"/>
      <c r="IF160" s="678"/>
      <c r="IG160" s="650"/>
      <c r="IH160" s="650"/>
      <c r="II160" s="671" t="str">
        <f>IF(IH160="Low",IE160*$D$42,IF(IH160="Med",IE160*$D$43,IF(IH160="High",IE160*$D$44,"rango cal. out")))</f>
        <v>rango cal. out</v>
      </c>
      <c r="IJ160" s="619" t="e">
        <f>((273.2+IB160)*$F$33/((273.2+$F$32)*ID160))</f>
        <v>#DIV/0!</v>
      </c>
      <c r="IK160" s="674" t="e">
        <f>II160/IF160*IJ160*EXP(-LN(2)/10990*($F$96-IG160))</f>
        <v>#VALUE!</v>
      </c>
      <c r="IL160" s="599" t="e">
        <f>IK160-AVERAGE(IS102:IS103)</f>
        <v>#VALUE!</v>
      </c>
      <c r="IM160" s="672" t="e">
        <f>ABS(#REF!*IL160*3600)</f>
        <v>#REF!</v>
      </c>
      <c r="IN160" s="675" t="e">
        <f>ABS($B$34*IL160*3600)</f>
        <v>#VALUE!</v>
      </c>
      <c r="IO160" s="614" t="e">
        <f>IN160*$C$87</f>
        <v>#VALUE!</v>
      </c>
      <c r="IP160" s="672" t="e">
        <f>IN160*$F$78</f>
        <v>#VALUE!</v>
      </c>
      <c r="IQ160" s="600" t="e">
        <f>IN160*$F$83</f>
        <v>#VALUE!</v>
      </c>
      <c r="IR160" s="672" t="e">
        <f>IN160*$F$80</f>
        <v>#VALUE!</v>
      </c>
      <c r="IS160" s="676" t="e">
        <f>IN160*$F$79</f>
        <v>#VALUE!</v>
      </c>
      <c r="IT160" s="668"/>
      <c r="IU160" s="669"/>
      <c r="IV160" s="670"/>
      <c r="IW160" s="671"/>
      <c r="IX160" s="678"/>
      <c r="IY160" s="650"/>
      <c r="IZ160" s="650"/>
      <c r="JA160" s="671" t="str">
        <f>IF(IZ160="Low",IW160*$D$42,IF(IZ160="Med",IW160*$D$43,IF(IZ160="High",IW160*$D$44,"rango cal. out")))</f>
        <v>rango cal. out</v>
      </c>
      <c r="JB160" s="619" t="e">
        <f>((273.2+IT160)*$F$33/((273.2+$F$32)*IV160))</f>
        <v>#DIV/0!</v>
      </c>
      <c r="JC160" s="674" t="e">
        <f>JA160/IX160*JB160*EXP(-LN(2)/10990*($F$96-IY160))</f>
        <v>#VALUE!</v>
      </c>
      <c r="JD160" s="599" t="e">
        <f>JC160-AVERAGE(JK102:JK103)</f>
        <v>#VALUE!</v>
      </c>
      <c r="JE160" s="672" t="e">
        <f>ABS(#REF!*JD160*3600)</f>
        <v>#REF!</v>
      </c>
      <c r="JF160" s="675" t="e">
        <f>ABS($B$34*JD160*3600)</f>
        <v>#VALUE!</v>
      </c>
      <c r="JG160" s="614" t="e">
        <f>JF160*$C$87</f>
        <v>#VALUE!</v>
      </c>
      <c r="JH160" s="672" t="e">
        <f>JF160*$F$78</f>
        <v>#VALUE!</v>
      </c>
      <c r="JI160" s="600" t="e">
        <f>JF160*$F$83</f>
        <v>#VALUE!</v>
      </c>
      <c r="JJ160" s="672" t="e">
        <f>JF160*$F$80</f>
        <v>#VALUE!</v>
      </c>
      <c r="JK160" s="676" t="e">
        <f>JF160*$F$79</f>
        <v>#VALUE!</v>
      </c>
      <c r="JL160" s="668"/>
      <c r="JM160" s="669"/>
      <c r="JN160" s="670"/>
      <c r="JO160" s="671"/>
      <c r="JP160" s="678"/>
      <c r="JQ160" s="650"/>
      <c r="JR160" s="650"/>
      <c r="JS160" s="671" t="str">
        <f>IF(JR160="Low",JO160*$D$42,IF(JR160="Med",JO160*$D$43,IF(JR160="High",JO160*$D$44,"rango cal. out")))</f>
        <v>rango cal. out</v>
      </c>
      <c r="JT160" s="619" t="e">
        <f>((273.2+JL160)*$F$33/((273.2+$F$32)*JN160))</f>
        <v>#DIV/0!</v>
      </c>
      <c r="JU160" s="674" t="e">
        <f>JS160/JP160*JT160*EXP(-LN(2)/10990*($F$96-JQ160))</f>
        <v>#VALUE!</v>
      </c>
      <c r="JV160" s="599" t="e">
        <f>JU160-AVERAGE(KC102:KC103)</f>
        <v>#VALUE!</v>
      </c>
      <c r="JW160" s="672" t="e">
        <f>ABS(#REF!*JV160*3600)</f>
        <v>#REF!</v>
      </c>
      <c r="JX160" s="675" t="e">
        <f>ABS($B$34*JV160*3600)</f>
        <v>#VALUE!</v>
      </c>
      <c r="JY160" s="614" t="e">
        <f>JX160*$C$87</f>
        <v>#VALUE!</v>
      </c>
      <c r="JZ160" s="672" t="e">
        <f>JX160*$F$78</f>
        <v>#VALUE!</v>
      </c>
      <c r="KA160" s="600" t="e">
        <f>JX160*$F$83</f>
        <v>#VALUE!</v>
      </c>
      <c r="KB160" s="672" t="e">
        <f>JX160*$F$80</f>
        <v>#VALUE!</v>
      </c>
      <c r="KC160" s="676" t="e">
        <f>JX160*$F$79</f>
        <v>#VALUE!</v>
      </c>
      <c r="KD160" s="668"/>
      <c r="KE160" s="669"/>
      <c r="KF160" s="670"/>
      <c r="KG160" s="671"/>
      <c r="KH160" s="678"/>
      <c r="KI160" s="650"/>
      <c r="KJ160" s="650"/>
      <c r="KK160" s="671" t="str">
        <f>IF(KJ160="Low",KG160*$D$42,IF(KJ160="Med",KG160*$D$43,IF(KJ160="High",KG160*$D$44,"rango cal. out")))</f>
        <v>rango cal. out</v>
      </c>
      <c r="KL160" s="619" t="e">
        <f>((273.2+KD160)*$F$33/((273.2+$F$32)*KF160))</f>
        <v>#DIV/0!</v>
      </c>
      <c r="KM160" s="674" t="e">
        <f>KK160/KH160*KL160*EXP(-LN(2)/10990*($F$96-KI160))</f>
        <v>#VALUE!</v>
      </c>
      <c r="KN160" s="599" t="e">
        <f>KM160-AVERAGE(KU102:KU103)</f>
        <v>#VALUE!</v>
      </c>
      <c r="KO160" s="672" t="e">
        <f>ABS(#REF!*KN160*3600)</f>
        <v>#REF!</v>
      </c>
      <c r="KP160" s="675" t="e">
        <f>ABS($B$34*KN160*3600)</f>
        <v>#VALUE!</v>
      </c>
      <c r="KQ160" s="614" t="e">
        <f>KP160*$C$87</f>
        <v>#VALUE!</v>
      </c>
      <c r="KR160" s="672" t="e">
        <f>KP160*$F$78</f>
        <v>#VALUE!</v>
      </c>
      <c r="KS160" s="600" t="e">
        <f>KP160*$F$83</f>
        <v>#VALUE!</v>
      </c>
      <c r="KT160" s="672" t="e">
        <f>KP160*$F$80</f>
        <v>#VALUE!</v>
      </c>
      <c r="KU160" s="676" t="e">
        <f>KP160*$F$79</f>
        <v>#VALUE!</v>
      </c>
      <c r="KV160" s="668"/>
      <c r="KW160" s="669"/>
      <c r="KX160" s="670"/>
      <c r="KY160" s="671"/>
      <c r="KZ160" s="678"/>
      <c r="LA160" s="650"/>
      <c r="LB160" s="650"/>
      <c r="LC160" s="671" t="str">
        <f>IF(LB160="Low",KY160*$D$42,IF(LB160="Med",KY160*$D$43,IF(LB160="High",KY160*$D$44,"rango cal. out")))</f>
        <v>rango cal. out</v>
      </c>
      <c r="LD160" s="619" t="e">
        <f>((273.2+KV160)*$F$33/((273.2+$F$32)*KX160))</f>
        <v>#DIV/0!</v>
      </c>
      <c r="LE160" s="674" t="e">
        <f>LC160/KZ160*LD160*EXP(-LN(2)/10990*($F$96-LA160))</f>
        <v>#VALUE!</v>
      </c>
      <c r="LF160" s="599" t="e">
        <f>LE160-AVERAGE(LM102:LM103)</f>
        <v>#VALUE!</v>
      </c>
      <c r="LG160" s="672" t="e">
        <f>ABS(#REF!*LF160*3600)</f>
        <v>#REF!</v>
      </c>
      <c r="LH160" s="675" t="e">
        <f>ABS($B$34*LF160*3600)</f>
        <v>#VALUE!</v>
      </c>
      <c r="LI160" s="614" t="e">
        <f>LH160*$C$87</f>
        <v>#VALUE!</v>
      </c>
      <c r="LJ160" s="672" t="e">
        <f>LH160*$F$78</f>
        <v>#VALUE!</v>
      </c>
      <c r="LK160" s="600" t="e">
        <f>LH160*$F$83</f>
        <v>#VALUE!</v>
      </c>
      <c r="LL160" s="672" t="e">
        <f>LH160*$F$80</f>
        <v>#VALUE!</v>
      </c>
      <c r="LM160" s="676" t="e">
        <f>LH160*$F$79</f>
        <v>#VALUE!</v>
      </c>
      <c r="LN160" s="668"/>
      <c r="LO160" s="669"/>
      <c r="LP160" s="670"/>
      <c r="LQ160" s="671"/>
      <c r="LR160" s="678"/>
      <c r="LS160" s="650"/>
      <c r="LT160" s="650"/>
      <c r="LU160" s="671" t="str">
        <f>IF(LT160="Low",LQ160*$D$42,IF(LT160="Med",LQ160*$D$43,IF(LT160="High",LQ160*$D$44,"rango cal. out")))</f>
        <v>rango cal. out</v>
      </c>
      <c r="LV160" s="619" t="e">
        <f>((273.2+LN160)*$F$33/((273.2+$F$32)*LP160))</f>
        <v>#DIV/0!</v>
      </c>
      <c r="LW160" s="674" t="e">
        <f>LU160/LR160*LV160*EXP(-LN(2)/10990*($F$96-LS160))</f>
        <v>#VALUE!</v>
      </c>
      <c r="LX160" s="599" t="e">
        <f>LW160-AVERAGE(ME102:ME103)</f>
        <v>#VALUE!</v>
      </c>
      <c r="LY160" s="672" t="e">
        <f>ABS(#REF!*LX160*3600)</f>
        <v>#REF!</v>
      </c>
      <c r="LZ160" s="675" t="e">
        <f>ABS($B$34*LX160*3600)</f>
        <v>#VALUE!</v>
      </c>
      <c r="MA160" s="614" t="e">
        <f>LZ160*$C$87</f>
        <v>#VALUE!</v>
      </c>
      <c r="MB160" s="672" t="e">
        <f>LZ160*$F$78</f>
        <v>#VALUE!</v>
      </c>
      <c r="MC160" s="600" t="e">
        <f>LZ160*$F$83</f>
        <v>#VALUE!</v>
      </c>
      <c r="MD160" s="672" t="e">
        <f>LZ160*$F$80</f>
        <v>#VALUE!</v>
      </c>
      <c r="ME160" s="676" t="e">
        <f>LZ160*$F$79</f>
        <v>#VALUE!</v>
      </c>
      <c r="MF160" s="668"/>
      <c r="MG160" s="669"/>
      <c r="MH160" s="670"/>
      <c r="MI160" s="671"/>
      <c r="MJ160" s="678"/>
      <c r="MK160" s="650"/>
      <c r="ML160" s="650"/>
      <c r="MM160" s="671" t="str">
        <f>IF(ML160="Low",MI160*$D$42,IF(ML160="Med",MI160*$D$43,IF(ML160="High",MI160*$D$44,"rango cal. out")))</f>
        <v>rango cal. out</v>
      </c>
      <c r="MN160" s="619" t="e">
        <f>((273.2+MF160)*$F$33/((273.2+$F$32)*MH160))</f>
        <v>#DIV/0!</v>
      </c>
      <c r="MO160" s="674" t="e">
        <f>MM160/MJ160*MN160*EXP(-LN(2)/10990*($F$96-MK160))</f>
        <v>#VALUE!</v>
      </c>
      <c r="MP160" s="599" t="e">
        <f>MO160-AVERAGE(MW102:MW103)</f>
        <v>#VALUE!</v>
      </c>
      <c r="MQ160" s="672" t="e">
        <f>ABS(#REF!*MP160*3600)</f>
        <v>#REF!</v>
      </c>
      <c r="MR160" s="675" t="e">
        <f>ABS($B$34*MP160*3600)</f>
        <v>#VALUE!</v>
      </c>
      <c r="MS160" s="614" t="e">
        <f>MR160*$C$87</f>
        <v>#VALUE!</v>
      </c>
      <c r="MT160" s="672" t="e">
        <f>MR160*$F$78</f>
        <v>#VALUE!</v>
      </c>
      <c r="MU160" s="600" t="e">
        <f>MR160*$F$83</f>
        <v>#VALUE!</v>
      </c>
      <c r="MV160" s="672" t="e">
        <f>MR160*$F$80</f>
        <v>#VALUE!</v>
      </c>
      <c r="MW160" s="676" t="e">
        <f>MR160*$F$79</f>
        <v>#VALUE!</v>
      </c>
      <c r="MX160" s="668"/>
      <c r="MY160" s="669"/>
      <c r="MZ160" s="670"/>
      <c r="NA160" s="671"/>
      <c r="NB160" s="678"/>
      <c r="NC160" s="650"/>
      <c r="ND160" s="650"/>
      <c r="NE160" s="671" t="str">
        <f>IF(ND160="Low",NA160*$D$42,IF(ND160="Med",NA160*$D$43,IF(ND160="High",NA160*$D$44,"rango cal. out")))</f>
        <v>rango cal. out</v>
      </c>
      <c r="NF160" s="619" t="e">
        <f>((273.2+MX160)*$F$33/((273.2+$F$32)*MZ160))</f>
        <v>#DIV/0!</v>
      </c>
      <c r="NG160" s="674" t="e">
        <f>NE160/NB160*NF160*EXP(-LN(2)/10990*($F$96-NC160))</f>
        <v>#VALUE!</v>
      </c>
      <c r="NH160" s="599" t="e">
        <f>NG160-AVERAGE(NO102:NO103)</f>
        <v>#VALUE!</v>
      </c>
      <c r="NI160" s="672" t="e">
        <f>ABS(#REF!*NH160*3600)</f>
        <v>#REF!</v>
      </c>
      <c r="NJ160" s="675" t="e">
        <f>ABS($B$34*NH160*3600)</f>
        <v>#VALUE!</v>
      </c>
      <c r="NK160" s="614" t="e">
        <f>NJ160*$C$87</f>
        <v>#VALUE!</v>
      </c>
      <c r="NL160" s="672" t="e">
        <f>NJ160*$F$78</f>
        <v>#VALUE!</v>
      </c>
      <c r="NM160" s="600" t="e">
        <f>NJ160*$F$83</f>
        <v>#VALUE!</v>
      </c>
      <c r="NN160" s="672" t="e">
        <f>NJ160*$F$80</f>
        <v>#VALUE!</v>
      </c>
      <c r="NO160" s="676" t="e">
        <f>NJ160*$F$79</f>
        <v>#VALUE!</v>
      </c>
      <c r="NP160" s="668"/>
      <c r="NQ160" s="669"/>
      <c r="NR160" s="670"/>
      <c r="NS160" s="671"/>
      <c r="NT160" s="678"/>
      <c r="NU160" s="650"/>
      <c r="NV160" s="650"/>
      <c r="NW160" s="671" t="str">
        <f>IF(NV160="Low",NS160*$D$42,IF(NV160="Med",NS160*$D$43,IF(NV160="High",NS160*$D$44,"rango cal. out")))</f>
        <v>rango cal. out</v>
      </c>
      <c r="NX160" s="619" t="e">
        <f>((273.2+NP160)*$F$33/((273.2+$F$32)*NR160))</f>
        <v>#DIV/0!</v>
      </c>
      <c r="NY160" s="674" t="e">
        <f>NW160/NT160*NX160*EXP(-LN(2)/10990*($F$96-NU160))</f>
        <v>#VALUE!</v>
      </c>
      <c r="NZ160" s="599" t="e">
        <f>NY160-AVERAGE(OG102:OG103)</f>
        <v>#VALUE!</v>
      </c>
      <c r="OA160" s="672" t="e">
        <f>ABS(#REF!*NZ160*3600)</f>
        <v>#REF!</v>
      </c>
      <c r="OB160" s="675" t="e">
        <f>ABS($B$34*NZ160*3600)</f>
        <v>#VALUE!</v>
      </c>
      <c r="OC160" s="614" t="e">
        <f>OB160*$C$87</f>
        <v>#VALUE!</v>
      </c>
      <c r="OD160" s="672" t="e">
        <f>OB160*$F$78</f>
        <v>#VALUE!</v>
      </c>
      <c r="OE160" s="600" t="e">
        <f>OB160*$F$83</f>
        <v>#VALUE!</v>
      </c>
      <c r="OF160" s="672" t="e">
        <f>OB160*$F$80</f>
        <v>#VALUE!</v>
      </c>
      <c r="OG160" s="676" t="e">
        <f>OB160*$F$79</f>
        <v>#VALUE!</v>
      </c>
      <c r="OH160" s="668"/>
      <c r="OI160" s="669"/>
      <c r="OJ160" s="670"/>
      <c r="OK160" s="671"/>
      <c r="OL160" s="678"/>
      <c r="OM160" s="650"/>
      <c r="ON160" s="650"/>
      <c r="OO160" s="671" t="str">
        <f>IF(ON160="Low",OK160*$D$42,IF(ON160="Med",OK160*$D$43,IF(ON160="High",OK160*$D$44,"rango cal. out")))</f>
        <v>rango cal. out</v>
      </c>
      <c r="OP160" s="619" t="e">
        <f>((273.2+OH160)*$F$33/((273.2+$F$32)*OJ160))</f>
        <v>#DIV/0!</v>
      </c>
      <c r="OQ160" s="674" t="e">
        <f>OO160/OL160*OP160*EXP(-LN(2)/10990*($F$96-OM160))</f>
        <v>#VALUE!</v>
      </c>
      <c r="OR160" s="599" t="e">
        <f>OQ160-AVERAGE(OY102:OY103)</f>
        <v>#VALUE!</v>
      </c>
      <c r="OS160" s="672" t="e">
        <f>ABS(#REF!*OR160*3600)</f>
        <v>#REF!</v>
      </c>
      <c r="OT160" s="675" t="e">
        <f>ABS($B$34*OR160*3600)</f>
        <v>#VALUE!</v>
      </c>
      <c r="OU160" s="614" t="e">
        <f>OT160*$C$87</f>
        <v>#VALUE!</v>
      </c>
      <c r="OV160" s="672" t="e">
        <f>OT160*$F$78</f>
        <v>#VALUE!</v>
      </c>
      <c r="OW160" s="600" t="e">
        <f>OT160*$F$83</f>
        <v>#VALUE!</v>
      </c>
      <c r="OX160" s="672" t="e">
        <f>OT160*$F$80</f>
        <v>#VALUE!</v>
      </c>
      <c r="OY160" s="676" t="e">
        <f>OT160*$F$79</f>
        <v>#VALUE!</v>
      </c>
      <c r="OZ160" s="668"/>
      <c r="PA160" s="669"/>
      <c r="PB160" s="670"/>
      <c r="PC160" s="671"/>
      <c r="PD160" s="678"/>
      <c r="PE160" s="650"/>
      <c r="PF160" s="650"/>
      <c r="PG160" s="671" t="str">
        <f>IF(PF160="Low",PC160*$D$42,IF(PF160="Med",PC160*$D$43,IF(PF160="High",PC160*$D$44,"rango cal. out")))</f>
        <v>rango cal. out</v>
      </c>
      <c r="PH160" s="619" t="e">
        <f>((273.2+OZ160)*$F$33/((273.2+$F$32)*PB160))</f>
        <v>#DIV/0!</v>
      </c>
      <c r="PI160" s="674" t="e">
        <f>PG160/PD160*PH160*EXP(-LN(2)/10990*($F$96-PE160))</f>
        <v>#VALUE!</v>
      </c>
      <c r="PJ160" s="599" t="e">
        <f>PI160-AVERAGE(PQ102:PQ103)</f>
        <v>#VALUE!</v>
      </c>
      <c r="PK160" s="672" t="e">
        <f>ABS(#REF!*PJ160*3600)</f>
        <v>#REF!</v>
      </c>
      <c r="PL160" s="675" t="e">
        <f>ABS($B$34*PJ160*3600)</f>
        <v>#VALUE!</v>
      </c>
      <c r="PM160" s="614" t="e">
        <f>PL160*$C$87</f>
        <v>#VALUE!</v>
      </c>
      <c r="PN160" s="672" t="e">
        <f>PL160*$F$78</f>
        <v>#VALUE!</v>
      </c>
      <c r="PO160" s="600" t="e">
        <f>PL160*$F$83</f>
        <v>#VALUE!</v>
      </c>
      <c r="PP160" s="672" t="e">
        <f>PL160*$F$80</f>
        <v>#VALUE!</v>
      </c>
      <c r="PQ160" s="676" t="e">
        <f>PL160*$F$79</f>
        <v>#VALUE!</v>
      </c>
      <c r="PR160" s="668"/>
      <c r="PS160" s="669"/>
      <c r="PT160" s="670"/>
      <c r="PU160" s="671"/>
      <c r="PV160" s="678"/>
      <c r="PW160" s="650"/>
      <c r="PX160" s="650"/>
      <c r="PY160" s="671" t="str">
        <f>IF(PX160="Low",PU160*$D$42,IF(PX160="Med",PU160*$D$43,IF(PX160="High",PU160*$D$44,"rango cal. out")))</f>
        <v>rango cal. out</v>
      </c>
      <c r="PZ160" s="619" t="e">
        <f>((273.2+PR160)*$F$33/((273.2+$F$32)*PT160))</f>
        <v>#DIV/0!</v>
      </c>
      <c r="QA160" s="674" t="e">
        <f>PY160/PV160*PZ160*EXP(-LN(2)/10990*($F$96-PW160))</f>
        <v>#VALUE!</v>
      </c>
      <c r="QB160" s="599" t="e">
        <f>QA160-AVERAGE(QI102:QI103)</f>
        <v>#VALUE!</v>
      </c>
      <c r="QC160" s="672" t="e">
        <f>ABS(#REF!*QB160*3600)</f>
        <v>#REF!</v>
      </c>
      <c r="QD160" s="675" t="e">
        <f>ABS($B$34*QB160*3600)</f>
        <v>#VALUE!</v>
      </c>
      <c r="QE160" s="614" t="e">
        <f>QD160*$C$87</f>
        <v>#VALUE!</v>
      </c>
      <c r="QF160" s="672" t="e">
        <f>QD160*$F$78</f>
        <v>#VALUE!</v>
      </c>
      <c r="QG160" s="600" t="e">
        <f>QD160*$F$83</f>
        <v>#VALUE!</v>
      </c>
      <c r="QH160" s="672" t="e">
        <f>QD160*$F$80</f>
        <v>#VALUE!</v>
      </c>
      <c r="QI160" s="676" t="e">
        <f>QD160*$F$79</f>
        <v>#VALUE!</v>
      </c>
      <c r="QJ160" s="668"/>
      <c r="QK160" s="669"/>
      <c r="QL160" s="670"/>
      <c r="QM160" s="671"/>
      <c r="QN160" s="678"/>
      <c r="QO160" s="650"/>
      <c r="QP160" s="650"/>
      <c r="QQ160" s="671" t="str">
        <f>IF(QP160="Low",QM160*$D$42,IF(QP160="Med",QM160*$D$43,IF(QP160="High",QM160*$D$44,"rango cal. out")))</f>
        <v>rango cal. out</v>
      </c>
      <c r="QR160" s="619" t="e">
        <f>((273.2+QJ160)*$F$33/((273.2+$F$32)*QL160))</f>
        <v>#DIV/0!</v>
      </c>
      <c r="QS160" s="674" t="e">
        <f>QQ160/QN160*QR160*EXP(-LN(2)/10990*($F$96-QO160))</f>
        <v>#VALUE!</v>
      </c>
      <c r="QT160" s="599" t="e">
        <f>QS160-AVERAGE(RA102:RA103)</f>
        <v>#VALUE!</v>
      </c>
      <c r="QU160" s="672" t="e">
        <f>ABS(#REF!*QT160*3600)</f>
        <v>#REF!</v>
      </c>
      <c r="QV160" s="675" t="e">
        <f>ABS($B$34*QT160*3600)</f>
        <v>#VALUE!</v>
      </c>
      <c r="QW160" s="614" t="e">
        <f>QV160*$C$87</f>
        <v>#VALUE!</v>
      </c>
      <c r="QX160" s="672" t="e">
        <f>QV160*$F$78</f>
        <v>#VALUE!</v>
      </c>
      <c r="QY160" s="600" t="e">
        <f>QV160*$F$83</f>
        <v>#VALUE!</v>
      </c>
      <c r="QZ160" s="672" t="e">
        <f>QV160*$F$80</f>
        <v>#VALUE!</v>
      </c>
      <c r="RA160" s="676" t="e">
        <f>QV160*$F$79</f>
        <v>#VALUE!</v>
      </c>
      <c r="RB160" s="668"/>
      <c r="RC160" s="669"/>
      <c r="RD160" s="670"/>
      <c r="RE160" s="671"/>
      <c r="RF160" s="673">
        <v>100</v>
      </c>
      <c r="RG160" s="650"/>
      <c r="RH160" s="650"/>
      <c r="RI160" s="671" t="str">
        <f>IF(RH160="Low",RE160*$D$42,IF(RH160="Med",RE160*$D$43,IF(RH160="High",RE160*$D$44,"rango cal. out")))</f>
        <v>rango cal. out</v>
      </c>
      <c r="RJ160" s="619" t="e">
        <f>((273.2+RB160)*$F$33/((273.2+$F$32)*RD160))</f>
        <v>#DIV/0!</v>
      </c>
      <c r="RK160" s="674" t="e">
        <f>RI160/RF160*RJ160*EXP(-LN(2)/10990*($F$96-RG160))</f>
        <v>#VALUE!</v>
      </c>
      <c r="RL160" s="599" t="e">
        <f>RK160-AVERAGE(RS102:RS103)</f>
        <v>#VALUE!</v>
      </c>
      <c r="RM160" s="672" t="e">
        <f>ABS(#REF!*RL160*3600)</f>
        <v>#REF!</v>
      </c>
      <c r="RN160" s="675" t="e">
        <f>ABS($B$34*RL160*3600)</f>
        <v>#VALUE!</v>
      </c>
      <c r="RO160" s="614" t="e">
        <f>RN160*$C$87</f>
        <v>#VALUE!</v>
      </c>
      <c r="RP160" s="672" t="e">
        <f>RN160*$F$78</f>
        <v>#VALUE!</v>
      </c>
      <c r="RQ160" s="600" t="e">
        <f>RN160*$F$83</f>
        <v>#VALUE!</v>
      </c>
      <c r="RR160" s="672" t="e">
        <f>RN160*$F$80</f>
        <v>#VALUE!</v>
      </c>
      <c r="RS160" s="676" t="e">
        <f>RN160*$F$79</f>
        <v>#VALUE!</v>
      </c>
      <c r="RT160" s="668"/>
      <c r="RU160" s="669"/>
      <c r="RV160" s="669"/>
      <c r="RW160" s="679"/>
      <c r="RX160" s="673">
        <v>100</v>
      </c>
      <c r="RY160" s="650"/>
      <c r="RZ160" s="650"/>
      <c r="SA160" s="671" t="str">
        <f>IF(RZ160="Low",RW160*$D$42,IF(RZ160="Med",RW160*$D$43,IF(RZ160="High",RW160*$D$44,"rango cal. out")))</f>
        <v>rango cal. out</v>
      </c>
      <c r="SB160" s="619" t="e">
        <f>((273.2+RT160)*$F$33/((273.2+$F$32)*RV160))</f>
        <v>#DIV/0!</v>
      </c>
      <c r="SC160" s="674" t="e">
        <f>SA160/RX160*SB160*EXP(-LN(2)/10990*($F$96-RY160))</f>
        <v>#VALUE!</v>
      </c>
      <c r="SD160" s="599" t="e">
        <f>SC160-AVERAGE(SK102:SK103)</f>
        <v>#VALUE!</v>
      </c>
      <c r="SE160" s="672" t="e">
        <f>ABS(#REF!*SD160*3600)</f>
        <v>#REF!</v>
      </c>
      <c r="SF160" s="675" t="e">
        <f>ABS($B$34*SD160*3600)</f>
        <v>#VALUE!</v>
      </c>
      <c r="SG160" s="614" t="e">
        <f>SF160*$C$87</f>
        <v>#VALUE!</v>
      </c>
      <c r="SH160" s="672" t="e">
        <f>SF160*$F$78</f>
        <v>#VALUE!</v>
      </c>
      <c r="SI160" s="600" t="e">
        <f>SF160*$F$83</f>
        <v>#VALUE!</v>
      </c>
      <c r="SJ160" s="672" t="e">
        <f>SF160*$F$80</f>
        <v>#VALUE!</v>
      </c>
      <c r="SK160" s="676" t="e">
        <f>SF160*$F$79</f>
        <v>#VALUE!</v>
      </c>
      <c r="SL160" s="668"/>
      <c r="SM160" s="669"/>
      <c r="SN160" s="670"/>
      <c r="SO160" s="671"/>
      <c r="SP160" s="678"/>
      <c r="SQ160" s="650"/>
      <c r="SR160" s="650"/>
      <c r="SS160" s="671" t="str">
        <f>IF(SR160="Low",SO160*$D$42,IF(SR160="Med",SO160*$D$43,IF(SR160="High",SO160*$D$44,"rango cal. out")))</f>
        <v>rango cal. out</v>
      </c>
      <c r="ST160" s="619" t="e">
        <f>((273.2+SL160)*$F$33/((273.2+$F$32)*SN160))</f>
        <v>#DIV/0!</v>
      </c>
      <c r="SU160" s="674" t="e">
        <f>SS160/SP160*ST160*EXP(-LN(2)/10990*($F$96-SQ160))</f>
        <v>#VALUE!</v>
      </c>
      <c r="SV160" s="599" t="e">
        <f>SU160-AVERAGE(TC102:TC103)</f>
        <v>#VALUE!</v>
      </c>
      <c r="SW160" s="672" t="e">
        <f>ABS(#REF!*SV160*3600)</f>
        <v>#REF!</v>
      </c>
      <c r="SX160" s="675" t="e">
        <f>ABS($B$34*SV160*3600)</f>
        <v>#VALUE!</v>
      </c>
      <c r="SY160" s="614" t="e">
        <f>SX160*$C$87</f>
        <v>#VALUE!</v>
      </c>
      <c r="SZ160" s="672" t="e">
        <f>SX160*$F$78</f>
        <v>#VALUE!</v>
      </c>
      <c r="TA160" s="600" t="e">
        <f>SX160*$F$83</f>
        <v>#VALUE!</v>
      </c>
      <c r="TB160" s="672" t="e">
        <f>SX160*$F$80</f>
        <v>#VALUE!</v>
      </c>
      <c r="TC160" s="676" t="e">
        <f>SX160*$F$79</f>
        <v>#VALUE!</v>
      </c>
      <c r="TD160" s="668"/>
      <c r="TE160" s="669"/>
      <c r="TF160" s="670"/>
      <c r="TG160" s="671"/>
      <c r="TH160" s="678"/>
      <c r="TI160" s="650"/>
      <c r="TJ160" s="650"/>
      <c r="TK160" s="671" t="str">
        <f>IF(TJ160="Low",TG160*$D$42,IF(TJ160="Med",TG160*$D$43,IF(TJ160="High",TG160*$D$44,"rango cal. out")))</f>
        <v>rango cal. out</v>
      </c>
      <c r="TL160" s="619" t="e">
        <f>((273.2+TD160)*$F$33/((273.2+$F$32)*TF160))</f>
        <v>#DIV/0!</v>
      </c>
      <c r="TM160" s="674" t="e">
        <f>TK160/TH160*TL160*EXP(-LN(2)/10990*($F$96-TI160))</f>
        <v>#VALUE!</v>
      </c>
      <c r="TN160" s="599" t="e">
        <f>TM160-AVERAGE(TU102:TU103)</f>
        <v>#VALUE!</v>
      </c>
      <c r="TO160" s="672" t="e">
        <f>ABS(#REF!*TN160*3600)</f>
        <v>#REF!</v>
      </c>
      <c r="TP160" s="675" t="e">
        <f>ABS($B$34*TN160*3600)</f>
        <v>#VALUE!</v>
      </c>
      <c r="TQ160" s="614" t="e">
        <f>TP160*$C$87</f>
        <v>#VALUE!</v>
      </c>
      <c r="TR160" s="672" t="e">
        <f>TP160*$F$78</f>
        <v>#VALUE!</v>
      </c>
      <c r="TS160" s="600" t="e">
        <f>TP160*$F$83</f>
        <v>#VALUE!</v>
      </c>
      <c r="TT160" s="672" t="e">
        <f>TP160*$F$80</f>
        <v>#VALUE!</v>
      </c>
      <c r="TU160" s="676" t="e">
        <f>TP160*$F$79</f>
        <v>#VALUE!</v>
      </c>
      <c r="TV160" s="668"/>
      <c r="TW160" s="669"/>
      <c r="TX160" s="670"/>
      <c r="TY160" s="671"/>
      <c r="TZ160" s="678"/>
      <c r="UA160" s="650"/>
      <c r="UB160" s="650"/>
      <c r="UC160" s="671" t="str">
        <f>IF(UB160="Low",TY160*$D$42,IF(UB160="Med",TY160*$D$43,IF(UB160="High",TY160*$D$44,"rango cal. out")))</f>
        <v>rango cal. out</v>
      </c>
      <c r="UD160" s="619" t="e">
        <f>((273.2+TV160)*$F$33/((273.2+$F$32)*TX160))</f>
        <v>#DIV/0!</v>
      </c>
      <c r="UE160" s="674" t="e">
        <f>UC160/TZ160*UD160*EXP(-LN(2)/10990*($F$96-UA160))</f>
        <v>#VALUE!</v>
      </c>
      <c r="UF160" s="599" t="e">
        <f>UE160-AVERAGE(UM102:UM103)</f>
        <v>#VALUE!</v>
      </c>
      <c r="UG160" s="672" t="e">
        <f>ABS(#REF!*UF160*3600)</f>
        <v>#REF!</v>
      </c>
      <c r="UH160" s="675" t="e">
        <f>ABS($B$34*UF160*3600)</f>
        <v>#VALUE!</v>
      </c>
      <c r="UI160" s="614" t="e">
        <f>UH160*$C$87</f>
        <v>#VALUE!</v>
      </c>
      <c r="UJ160" s="672" t="e">
        <f>UH160*$F$78</f>
        <v>#VALUE!</v>
      </c>
      <c r="UK160" s="600" t="e">
        <f>UH160*$F$83</f>
        <v>#VALUE!</v>
      </c>
      <c r="UL160" s="672" t="e">
        <f>UH160*$F$80</f>
        <v>#VALUE!</v>
      </c>
      <c r="UM160" s="676" t="e">
        <f>UH160*$F$79</f>
        <v>#VALUE!</v>
      </c>
      <c r="UN160" s="668"/>
      <c r="UO160" s="669"/>
      <c r="UP160" s="670"/>
      <c r="UQ160" s="671"/>
      <c r="UR160" s="678"/>
      <c r="US160" s="650"/>
      <c r="UT160" s="650"/>
      <c r="UU160" s="671" t="str">
        <f>IF(UT160="Low",UQ160*$D$42,IF(UT160="Med",UQ160*$D$43,IF(UT160="High",UQ160*$D$44,"rango cal. out")))</f>
        <v>rango cal. out</v>
      </c>
      <c r="UV160" s="619" t="e">
        <f>((273.2+UN160)*$F$33/((273.2+$F$32)*UP160))</f>
        <v>#DIV/0!</v>
      </c>
      <c r="UW160" s="674" t="e">
        <f>UU160/UR160*UV160*EXP(-LN(2)/10990*($F$96-US160))</f>
        <v>#VALUE!</v>
      </c>
      <c r="UX160" s="599" t="e">
        <f>UW160-AVERAGE(VE102:VE103)</f>
        <v>#VALUE!</v>
      </c>
      <c r="UY160" s="672" t="e">
        <f>ABS(#REF!*UX160*3600)</f>
        <v>#REF!</v>
      </c>
      <c r="UZ160" s="675" t="e">
        <f>ABS($B$34*UX160*3600)</f>
        <v>#VALUE!</v>
      </c>
      <c r="VA160" s="614" t="e">
        <f>UZ160*$C$87</f>
        <v>#VALUE!</v>
      </c>
      <c r="VB160" s="672" t="e">
        <f>UZ160*$F$78</f>
        <v>#VALUE!</v>
      </c>
      <c r="VC160" s="600" t="e">
        <f>UZ160*$F$83</f>
        <v>#VALUE!</v>
      </c>
      <c r="VD160" s="672" t="e">
        <f>UZ160*$F$80</f>
        <v>#VALUE!</v>
      </c>
      <c r="VE160" s="676" t="e">
        <f>UZ160*$F$79</f>
        <v>#VALUE!</v>
      </c>
    </row>
    <row r="161" spans="1:577" x14ac:dyDescent="0.25">
      <c r="A161" s="2220"/>
      <c r="B161" s="2013">
        <v>19.899999999999999</v>
      </c>
      <c r="C161" s="2014">
        <v>52</v>
      </c>
      <c r="D161" s="2014">
        <v>1009.6</v>
      </c>
      <c r="E161" s="2011">
        <v>-2.1860000000000001E-9</v>
      </c>
      <c r="F161" s="673">
        <v>60</v>
      </c>
      <c r="G161" s="663">
        <v>44334</v>
      </c>
      <c r="H161" s="650" t="s">
        <v>1042</v>
      </c>
      <c r="I161" s="651">
        <f>IF(H161="Low",E161*$D$42,IF(H161="Med",E161*$D$43,IF(H161="High",E161*$D$44,"rango cal. out")))</f>
        <v>-2.188186E-9</v>
      </c>
      <c r="J161" s="619">
        <f>((273.2+B161)*$F$33/((273.2+$F$32)*D161))</f>
        <v>0.99647575349812523</v>
      </c>
      <c r="K161" s="674">
        <f>I161/F161*J161*EXP(-LN(2)/10990*($F$96-G161))</f>
        <v>-3.5989968438234134E-11</v>
      </c>
      <c r="L161" s="599">
        <f>K161-AVERAGE(S102:S103)</f>
        <v>-3.5966156470862635E-11</v>
      </c>
      <c r="M161" s="599" t="e">
        <f>ABS(#REF!*L161*3600)</f>
        <v>#REF!</v>
      </c>
      <c r="N161" s="657">
        <f>ABS($B$34*L161*3600)</f>
        <v>3.2628497150366579E-3</v>
      </c>
      <c r="O161" s="614">
        <f>N161*$C$87</f>
        <v>0.32628497150366581</v>
      </c>
      <c r="P161" s="672">
        <f>N161*$F$78</f>
        <v>3.9154196580439889E-3</v>
      </c>
      <c r="Q161" s="600">
        <f>N161*$F$83</f>
        <v>3.9480481551943556E-3</v>
      </c>
      <c r="R161" s="672">
        <f>N161*$F$80</f>
        <v>3.9480481551943556E-3</v>
      </c>
      <c r="S161" s="676">
        <f>N161*$F$79</f>
        <v>4.0785621437958225E-3</v>
      </c>
      <c r="T161" s="677"/>
      <c r="U161" s="669"/>
      <c r="V161" s="670"/>
      <c r="W161" s="671"/>
      <c r="X161" s="678"/>
      <c r="Y161" s="663"/>
      <c r="Z161" s="650"/>
      <c r="AA161" s="651" t="str">
        <f>IF(Z161="Low",W161*$D$42,IF(Z161="Med",W161*$D$43,IF(Z161="High",W161*$D$44,"rango cal. out")))</f>
        <v>rango cal. out</v>
      </c>
      <c r="AB161" s="619" t="e">
        <f>((273.2+T161)*$F$33/((273.2+$F$32)*V161))</f>
        <v>#DIV/0!</v>
      </c>
      <c r="AC161" s="674" t="e">
        <f>AA161/X161*AB161*EXP(-LN(2)/10990*($F$96-Y161))</f>
        <v>#VALUE!</v>
      </c>
      <c r="AD161" s="599" t="e">
        <f>AC161-AVERAGE(#REF!)</f>
        <v>#VALUE!</v>
      </c>
      <c r="AE161" s="599" t="e">
        <f>ABS(#REF!*AD161*3600)</f>
        <v>#REF!</v>
      </c>
      <c r="AF161" s="657" t="e">
        <f>ABS($B$34*AD161*3600)</f>
        <v>#VALUE!</v>
      </c>
      <c r="AG161" s="614" t="e">
        <f>AF161*$C$87</f>
        <v>#VALUE!</v>
      </c>
      <c r="AH161" s="672" t="e">
        <f>AF161*$F$78</f>
        <v>#VALUE!</v>
      </c>
      <c r="AI161" s="600" t="e">
        <f>AF161*$F$83</f>
        <v>#VALUE!</v>
      </c>
      <c r="AJ161" s="672" t="e">
        <f>AF161*$F$80</f>
        <v>#VALUE!</v>
      </c>
      <c r="AK161" s="676" t="e">
        <f>AF161*$F$79</f>
        <v>#VALUE!</v>
      </c>
      <c r="AL161" s="677"/>
      <c r="AM161" s="669"/>
      <c r="AN161" s="670"/>
      <c r="AO161" s="671"/>
      <c r="AP161" s="678"/>
      <c r="AQ161" s="663"/>
      <c r="AR161" s="650"/>
      <c r="AS161" s="651" t="str">
        <f>IF(AR161="Low",AO161*$D$42,IF(AR161="Med",AO161*$D$43,IF(AR161="High",AO161*$D$44,"rango cal. out")))</f>
        <v>rango cal. out</v>
      </c>
      <c r="AT161" s="619" t="e">
        <f>((273.2+AL161)*$F$33/((273.2+$F$32)*AN161))</f>
        <v>#DIV/0!</v>
      </c>
      <c r="AU161" s="674" t="e">
        <f>AS161/AP161*AT161*EXP(-LN(2)/10990*($F$96-AQ161))</f>
        <v>#VALUE!</v>
      </c>
      <c r="AV161" s="599" t="e">
        <f>AU161-AVERAGE(BC102:BC103)</f>
        <v>#VALUE!</v>
      </c>
      <c r="AW161" s="599" t="e">
        <f>ABS(#REF!*AV161*3600)</f>
        <v>#REF!</v>
      </c>
      <c r="AX161" s="657" t="e">
        <f>ABS($B$34*AV161*3600)</f>
        <v>#VALUE!</v>
      </c>
      <c r="AY161" s="614" t="e">
        <f>AX161*$C$87</f>
        <v>#VALUE!</v>
      </c>
      <c r="AZ161" s="672" t="e">
        <f>AX161*$F$78</f>
        <v>#VALUE!</v>
      </c>
      <c r="BA161" s="600" t="e">
        <f>AX161*$F$83</f>
        <v>#VALUE!</v>
      </c>
      <c r="BB161" s="672" t="e">
        <f>AX161*$F$80</f>
        <v>#VALUE!</v>
      </c>
      <c r="BC161" s="676" t="e">
        <f>AX161*$F$79</f>
        <v>#VALUE!</v>
      </c>
      <c r="BD161" s="668"/>
      <c r="BE161" s="669"/>
      <c r="BF161" s="661"/>
      <c r="BG161" s="1998">
        <v>-3.3700000000000003E-10</v>
      </c>
      <c r="BH161" s="678"/>
      <c r="BI161" s="663">
        <v>44333</v>
      </c>
      <c r="BJ161" s="650"/>
      <c r="BK161" s="651" t="str">
        <f>IF(BJ161="Low",BG161*$D$42,IF(BJ161="Med",BG161*$D$43,IF(BJ161="High",BG161*$D$44,"rango cal. out")))</f>
        <v>rango cal. out</v>
      </c>
      <c r="BL161" s="619" t="e">
        <f>((273.2+BD161)*$F$33/((273.2+$F$32)*BF161))</f>
        <v>#DIV/0!</v>
      </c>
      <c r="BM161" s="674" t="e">
        <f>BK161/BH161*BL161*EXP(-LN(2)/10990*($F$96-BI161))</f>
        <v>#VALUE!</v>
      </c>
      <c r="BN161" s="599" t="e">
        <f>BM161-AVERAGE(BU102:BU103)</f>
        <v>#VALUE!</v>
      </c>
      <c r="BO161" s="599" t="e">
        <f>ABS(#REF!*BN161*3600)</f>
        <v>#REF!</v>
      </c>
      <c r="BP161" s="657" t="e">
        <f>ABS($B$34*BN161*3600)</f>
        <v>#VALUE!</v>
      </c>
      <c r="BQ161" s="614" t="e">
        <f>BP161*$C$87</f>
        <v>#VALUE!</v>
      </c>
      <c r="BR161" s="672" t="e">
        <f>BP161*$F$78</f>
        <v>#VALUE!</v>
      </c>
      <c r="BS161" s="600" t="e">
        <f>BP161*$F$83</f>
        <v>#VALUE!</v>
      </c>
      <c r="BT161" s="672" t="e">
        <f>BP161*$F$80</f>
        <v>#VALUE!</v>
      </c>
      <c r="BU161" s="676" t="e">
        <f>BP161*$F$79</f>
        <v>#VALUE!</v>
      </c>
      <c r="BV161" s="668"/>
      <c r="BW161" s="669"/>
      <c r="BX161" s="670"/>
      <c r="BY161" s="1998">
        <f>0.00000000001705</f>
        <v>1.7049999999999999E-11</v>
      </c>
      <c r="BZ161" s="678"/>
      <c r="CA161" s="663">
        <v>44333</v>
      </c>
      <c r="CB161" s="650"/>
      <c r="CC161" s="651" t="str">
        <f>IF(CB161="Low",BY161*$D$42,IF(CB161="Med",BY161*$D$43,IF(CB161="High",BY161*$D$44,"rango cal. out")))</f>
        <v>rango cal. out</v>
      </c>
      <c r="CD161" s="619" t="e">
        <f>((273.2+BV161)*$F$33/((273.2+$F$32)*BX161))</f>
        <v>#DIV/0!</v>
      </c>
      <c r="CE161" s="674" t="e">
        <f>CC161/BZ161*CD161*EXP(-LN(2)/10990*($F$96-CA161))</f>
        <v>#VALUE!</v>
      </c>
      <c r="CF161" s="599" t="e">
        <f>CE161-AVERAGE(CM102:CM103)</f>
        <v>#VALUE!</v>
      </c>
      <c r="CG161" s="599" t="e">
        <f>ABS(#REF!*CF161*3600)</f>
        <v>#REF!</v>
      </c>
      <c r="CH161" s="657" t="e">
        <f>ABS($B$34*CF161*3600)</f>
        <v>#VALUE!</v>
      </c>
      <c r="CI161" s="614" t="e">
        <f>CH161*$C$87</f>
        <v>#VALUE!</v>
      </c>
      <c r="CJ161" s="672" t="e">
        <f>CH161*$F$78</f>
        <v>#VALUE!</v>
      </c>
      <c r="CK161" s="600" t="e">
        <f>CH161*$F$83</f>
        <v>#VALUE!</v>
      </c>
      <c r="CL161" s="672" t="e">
        <f>CH161*$F$80</f>
        <v>#VALUE!</v>
      </c>
      <c r="CM161" s="676" t="e">
        <f>CH161*$F$79</f>
        <v>#VALUE!</v>
      </c>
      <c r="CN161" s="668"/>
      <c r="CO161" s="669"/>
      <c r="CP161" s="670"/>
      <c r="CQ161" s="1998">
        <v>-7.8599999999999997E-10</v>
      </c>
      <c r="CR161" s="678"/>
      <c r="CS161" s="663">
        <v>44333</v>
      </c>
      <c r="CT161" s="650"/>
      <c r="CU161" s="651" t="str">
        <f>IF(CT161="Low",CQ161*$D$42,IF(CT161="Med",CQ161*$D$43,IF(CT161="High",CQ161*$D$44,"rango cal. out")))</f>
        <v>rango cal. out</v>
      </c>
      <c r="CV161" s="619" t="e">
        <f>((273.2+CN161)*$F$33/((273.2+$F$32)*CP161))</f>
        <v>#DIV/0!</v>
      </c>
      <c r="CW161" s="674" t="e">
        <f>CU161/CR161*CV161*EXP(-LN(2)/10990*($F$96-CS161))</f>
        <v>#VALUE!</v>
      </c>
      <c r="CX161" s="599" t="e">
        <f>CW161-AVERAGE(DE102:DE103)</f>
        <v>#VALUE!</v>
      </c>
      <c r="CY161" s="599" t="e">
        <f>ABS(#REF!*CX161*3600)</f>
        <v>#REF!</v>
      </c>
      <c r="CZ161" s="657" t="e">
        <f>ABS($B$34*CX161*3600)</f>
        <v>#VALUE!</v>
      </c>
      <c r="DA161" s="614" t="e">
        <f>CZ161*$C$87</f>
        <v>#VALUE!</v>
      </c>
      <c r="DB161" s="672" t="e">
        <f>CZ161*$F$78</f>
        <v>#VALUE!</v>
      </c>
      <c r="DC161" s="600" t="e">
        <f>CZ161*$F$83</f>
        <v>#VALUE!</v>
      </c>
      <c r="DD161" s="672" t="e">
        <f>CZ161*$F$80</f>
        <v>#VALUE!</v>
      </c>
      <c r="DE161" s="676" t="e">
        <f>CZ161*$F$79</f>
        <v>#VALUE!</v>
      </c>
      <c r="DF161" s="668"/>
      <c r="DG161" s="669"/>
      <c r="DH161" s="670"/>
      <c r="DI161" s="671"/>
      <c r="DJ161" s="678"/>
      <c r="DK161" s="663"/>
      <c r="DL161" s="650"/>
      <c r="DM161" s="651" t="str">
        <f>IF(DL161="Low",DI161*$D$42,IF(DL161="Med",DI161*$D$43,IF(DL161="High",DI161*$D$44,"rango cal. out")))</f>
        <v>rango cal. out</v>
      </c>
      <c r="DN161" s="619" t="e">
        <f>((273.2+DF161)*$F$33/((273.2+$F$32)*DH161))</f>
        <v>#DIV/0!</v>
      </c>
      <c r="DO161" s="674" t="e">
        <f>DM161/DJ161*DN161*EXP(-LN(2)/10990*($F$96-DK161))</f>
        <v>#VALUE!</v>
      </c>
      <c r="DP161" s="599" t="e">
        <f>DO161-AVERAGE(DW102:DW103)</f>
        <v>#VALUE!</v>
      </c>
      <c r="DQ161" s="599" t="e">
        <f>ABS(#REF!*DP161*3600)</f>
        <v>#REF!</v>
      </c>
      <c r="DR161" s="657" t="e">
        <f>ABS($B$34*DP161*3600)</f>
        <v>#VALUE!</v>
      </c>
      <c r="DS161" s="614" t="e">
        <f>DR161*$C$87</f>
        <v>#VALUE!</v>
      </c>
      <c r="DT161" s="672" t="e">
        <f>DR161*$F$78</f>
        <v>#VALUE!</v>
      </c>
      <c r="DU161" s="600" t="e">
        <f>DR161*$F$83</f>
        <v>#VALUE!</v>
      </c>
      <c r="DV161" s="672" t="e">
        <f>DR161*$F$80</f>
        <v>#VALUE!</v>
      </c>
      <c r="DW161" s="676" t="e">
        <f>DR161*$F$79</f>
        <v>#VALUE!</v>
      </c>
      <c r="DX161" s="668"/>
      <c r="DY161" s="669"/>
      <c r="DZ161" s="677"/>
      <c r="EA161" s="679"/>
      <c r="EB161" s="678"/>
      <c r="EC161" s="663"/>
      <c r="ED161" s="650"/>
      <c r="EE161" s="651" t="str">
        <f>IF(ED161="Low",EA161*$D$42,IF(ED161="Med",EA161*$D$43,IF(ED161="High",EA161*$D$44,"rango cal. out")))</f>
        <v>rango cal. out</v>
      </c>
      <c r="EF161" s="619" t="e">
        <f>((273.2+DX161)*$F$33/((273.2+$F$32)*DZ161))</f>
        <v>#DIV/0!</v>
      </c>
      <c r="EG161" s="674" t="e">
        <f>EE161/EB161*EF161*EXP(-LN(2)/10990*($F$96-EC161))</f>
        <v>#VALUE!</v>
      </c>
      <c r="EH161" s="599" t="e">
        <f>EG161-AVERAGE(EO102:EO103)</f>
        <v>#VALUE!</v>
      </c>
      <c r="EI161" s="599" t="e">
        <f>ABS(#REF!*EH161*3600)</f>
        <v>#REF!</v>
      </c>
      <c r="EJ161" s="657" t="e">
        <f>ABS($B$34*EH161*3600)</f>
        <v>#VALUE!</v>
      </c>
      <c r="EK161" s="614" t="e">
        <f>EJ161*$C$87</f>
        <v>#VALUE!</v>
      </c>
      <c r="EL161" s="672" t="e">
        <f>EJ161*$F$78</f>
        <v>#VALUE!</v>
      </c>
      <c r="EM161" s="600" t="e">
        <f>EJ161*$F$83</f>
        <v>#VALUE!</v>
      </c>
      <c r="EN161" s="672" t="e">
        <f>EJ161*$F$80</f>
        <v>#VALUE!</v>
      </c>
      <c r="EO161" s="676" t="e">
        <f>EJ161*$F$79</f>
        <v>#VALUE!</v>
      </c>
      <c r="EP161" s="668"/>
      <c r="EQ161" s="669"/>
      <c r="ER161" s="670"/>
      <c r="ES161" s="1998">
        <f t="shared" si="1153"/>
        <v>-2E-12</v>
      </c>
      <c r="ET161" s="678"/>
      <c r="EU161" s="663">
        <v>44333</v>
      </c>
      <c r="EV161" s="650"/>
      <c r="EW161" s="651" t="str">
        <f>IF(EV161="Low",ES161*$D$42,IF(EV161="Med",ES161*$D$43,IF(EV161="High",ES161*$D$44,"rango cal. out")))</f>
        <v>rango cal. out</v>
      </c>
      <c r="EX161" s="619" t="e">
        <f>((273.2+EP161)*$F$33/((273.2+$F$32)*ER161))</f>
        <v>#DIV/0!</v>
      </c>
      <c r="EY161" s="674" t="e">
        <f>EW161/ET161*EX161*EXP(-LN(2)/10990*($F$96-EU161))</f>
        <v>#VALUE!</v>
      </c>
      <c r="EZ161" s="599" t="e">
        <f>EY161-AVERAGE(FG102:FG103)</f>
        <v>#VALUE!</v>
      </c>
      <c r="FA161" s="599" t="e">
        <f>ABS(#REF!*EZ161*3600)</f>
        <v>#REF!</v>
      </c>
      <c r="FB161" s="657" t="e">
        <f>ABS($B$34*EZ161*3600)</f>
        <v>#VALUE!</v>
      </c>
      <c r="FC161" s="614" t="e">
        <f>FB161*$C$87</f>
        <v>#VALUE!</v>
      </c>
      <c r="FD161" s="672" t="e">
        <f>FB161*$F$78</f>
        <v>#VALUE!</v>
      </c>
      <c r="FE161" s="600" t="e">
        <f>FB161*$F$83</f>
        <v>#VALUE!</v>
      </c>
      <c r="FF161" s="672" t="e">
        <f>FB161*$F$80</f>
        <v>#VALUE!</v>
      </c>
      <c r="FG161" s="676" t="e">
        <f>FB161*$F$79</f>
        <v>#VALUE!</v>
      </c>
      <c r="FH161" s="668"/>
      <c r="FI161" s="669"/>
      <c r="FJ161" s="670"/>
      <c r="FK161" s="671"/>
      <c r="FL161" s="678"/>
      <c r="FM161" s="663"/>
      <c r="FN161" s="650"/>
      <c r="FO161" s="651" t="str">
        <f>IF(FN161="Low",FK161*$D$42,IF(FN161="Med",FK161*$D$43,IF(FN161="High",FK161*$D$44,"rango cal. out")))</f>
        <v>rango cal. out</v>
      </c>
      <c r="FP161" s="619" t="e">
        <f>((273.2+FH161)*$F$33/((273.2+$F$32)*FJ161))</f>
        <v>#DIV/0!</v>
      </c>
      <c r="FQ161" s="674" t="e">
        <f>FO161/FL161*FP161*EXP(-LN(2)/10990*($F$96-FM161))</f>
        <v>#VALUE!</v>
      </c>
      <c r="FR161" s="599" t="e">
        <f>FQ161-AVERAGE(FY102:FY103)</f>
        <v>#VALUE!</v>
      </c>
      <c r="FS161" s="599" t="e">
        <f>ABS(#REF!*FR161*3600)</f>
        <v>#REF!</v>
      </c>
      <c r="FT161" s="657" t="e">
        <f>ABS($B$34*FR161*3600)</f>
        <v>#VALUE!</v>
      </c>
      <c r="FU161" s="614" t="e">
        <f>FT161*$C$87</f>
        <v>#VALUE!</v>
      </c>
      <c r="FV161" s="672" t="e">
        <f>FT161*$F$78</f>
        <v>#VALUE!</v>
      </c>
      <c r="FW161" s="600" t="e">
        <f>FT161*$F$83</f>
        <v>#VALUE!</v>
      </c>
      <c r="FX161" s="672" t="e">
        <f>FT161*$F$80</f>
        <v>#VALUE!</v>
      </c>
      <c r="FY161" s="676" t="e">
        <f>FT161*$F$79</f>
        <v>#VALUE!</v>
      </c>
      <c r="FZ161" s="668"/>
      <c r="GA161" s="669"/>
      <c r="GB161" s="670"/>
      <c r="GC161" s="671"/>
      <c r="GD161" s="678"/>
      <c r="GE161" s="663"/>
      <c r="GF161" s="650"/>
      <c r="GG161" s="651" t="str">
        <f>IF(GF161="Low",GC161*$D$42,IF(GF161="Med",GC161*$D$43,IF(GF161="High",GC161*$D$44,"rango cal. out")))</f>
        <v>rango cal. out</v>
      </c>
      <c r="GH161" s="619" t="e">
        <f>((273.2+FZ161)*$F$33/((273.2+$F$32)*GB161))</f>
        <v>#DIV/0!</v>
      </c>
      <c r="GI161" s="674" t="e">
        <f>GG161/GD161*GH161*EXP(-LN(2)/10990*($F$96-GE161))</f>
        <v>#VALUE!</v>
      </c>
      <c r="GJ161" s="599" t="e">
        <f>GI161-AVERAGE(GQ102:GQ103)</f>
        <v>#VALUE!</v>
      </c>
      <c r="GK161" s="599" t="e">
        <f>ABS(#REF!*GJ161*3600)</f>
        <v>#REF!</v>
      </c>
      <c r="GL161" s="657" t="e">
        <f>ABS($B$34*GJ161*3600)</f>
        <v>#VALUE!</v>
      </c>
      <c r="GM161" s="614" t="e">
        <f>GL161*$C$87</f>
        <v>#VALUE!</v>
      </c>
      <c r="GN161" s="672" t="e">
        <f>GL161*$F$78</f>
        <v>#VALUE!</v>
      </c>
      <c r="GO161" s="600" t="e">
        <f>GL161*$F$83</f>
        <v>#VALUE!</v>
      </c>
      <c r="GP161" s="672" t="e">
        <f>GL161*$F$80</f>
        <v>#VALUE!</v>
      </c>
      <c r="GQ161" s="676" t="e">
        <f>GL161*$F$79</f>
        <v>#VALUE!</v>
      </c>
      <c r="GR161" s="668"/>
      <c r="GS161" s="669"/>
      <c r="GT161" s="677"/>
      <c r="GU161" s="679"/>
      <c r="GV161" s="678"/>
      <c r="GW161" s="663"/>
      <c r="GX161" s="650"/>
      <c r="GY161" s="651" t="str">
        <f>IF(GX161="Low",GU161*$D$42,IF(GX161="Med",GU161*$D$43,IF(GX161="High",GU161*$D$44,"rango cal. out")))</f>
        <v>rango cal. out</v>
      </c>
      <c r="GZ161" s="619" t="e">
        <f>((273.2+GR161)*$F$33/((273.2+$F$32)*GT161))</f>
        <v>#DIV/0!</v>
      </c>
      <c r="HA161" s="674" t="e">
        <f>GY161/GV161*GZ161*EXP(-LN(2)/10990*($F$96-GW161))</f>
        <v>#VALUE!</v>
      </c>
      <c r="HB161" s="599" t="e">
        <f>HA161-AVERAGE(HI102:HI103)</f>
        <v>#VALUE!</v>
      </c>
      <c r="HC161" s="599" t="e">
        <f>ABS(#REF!*HB161*3600)</f>
        <v>#REF!</v>
      </c>
      <c r="HD161" s="657" t="e">
        <f>ABS($B$34*HB161*3600)</f>
        <v>#VALUE!</v>
      </c>
      <c r="HE161" s="614" t="e">
        <f>HD161*$C$87</f>
        <v>#VALUE!</v>
      </c>
      <c r="HF161" s="672" t="e">
        <f>HD161*$F$78</f>
        <v>#VALUE!</v>
      </c>
      <c r="HG161" s="600" t="e">
        <f>HD161*$F$83</f>
        <v>#VALUE!</v>
      </c>
      <c r="HH161" s="672" t="e">
        <f>HD161*$F$80</f>
        <v>#VALUE!</v>
      </c>
      <c r="HI161" s="676" t="e">
        <f>HD161*$F$79</f>
        <v>#VALUE!</v>
      </c>
      <c r="HJ161" s="668"/>
      <c r="HK161" s="669"/>
      <c r="HL161" s="670"/>
      <c r="HM161" s="671"/>
      <c r="HN161" s="678"/>
      <c r="HO161" s="663"/>
      <c r="HP161" s="650"/>
      <c r="HQ161" s="651" t="str">
        <f>IF(HP161="Low",HM161*$D$42,IF(HP161="Med",HM161*$D$43,IF(HP161="High",HM161*$D$44,"rango cal. out")))</f>
        <v>rango cal. out</v>
      </c>
      <c r="HR161" s="619" t="e">
        <f>((273.2+HJ161)*$F$33/((273.2+$F$32)*HL161))</f>
        <v>#DIV/0!</v>
      </c>
      <c r="HS161" s="674" t="e">
        <f>HQ161/HN161*HR161*EXP(-LN(2)/10990*($F$96-HO161))</f>
        <v>#VALUE!</v>
      </c>
      <c r="HT161" s="599" t="e">
        <f>HS161-AVERAGE(IA102:IA103)</f>
        <v>#VALUE!</v>
      </c>
      <c r="HU161" s="599" t="e">
        <f>ABS(#REF!*HT161*3600)</f>
        <v>#REF!</v>
      </c>
      <c r="HV161" s="657" t="e">
        <f>ABS($B$34*HT161*3600)</f>
        <v>#VALUE!</v>
      </c>
      <c r="HW161" s="614" t="e">
        <f>HV161*$C$87</f>
        <v>#VALUE!</v>
      </c>
      <c r="HX161" s="672" t="e">
        <f>HV161*$F$78</f>
        <v>#VALUE!</v>
      </c>
      <c r="HY161" s="600" t="e">
        <f>HV161*$F$83</f>
        <v>#VALUE!</v>
      </c>
      <c r="HZ161" s="672" t="e">
        <f>HV161*$F$80</f>
        <v>#VALUE!</v>
      </c>
      <c r="IA161" s="676" t="e">
        <f>HV161*$F$79</f>
        <v>#VALUE!</v>
      </c>
      <c r="IB161" s="668"/>
      <c r="IC161" s="669"/>
      <c r="ID161" s="670"/>
      <c r="IE161" s="671"/>
      <c r="IF161" s="678"/>
      <c r="IG161" s="663"/>
      <c r="IH161" s="650"/>
      <c r="II161" s="651" t="str">
        <f>IF(IH161="Low",IE161*$D$42,IF(IH161="Med",IE161*$D$43,IF(IH161="High",IE161*$D$44,"rango cal. out")))</f>
        <v>rango cal. out</v>
      </c>
      <c r="IJ161" s="619" t="e">
        <f>((273.2+IB161)*$F$33/((273.2+$F$32)*ID161))</f>
        <v>#DIV/0!</v>
      </c>
      <c r="IK161" s="674" t="e">
        <f>II161/IF161*IJ161*EXP(-LN(2)/10990*($F$96-IG161))</f>
        <v>#VALUE!</v>
      </c>
      <c r="IL161" s="599" t="e">
        <f>IK161-AVERAGE(IS102:IS103)</f>
        <v>#VALUE!</v>
      </c>
      <c r="IM161" s="599" t="e">
        <f>ABS(#REF!*IL161*3600)</f>
        <v>#REF!</v>
      </c>
      <c r="IN161" s="657" t="e">
        <f>ABS($B$34*IL161*3600)</f>
        <v>#VALUE!</v>
      </c>
      <c r="IO161" s="614" t="e">
        <f>IN161*$C$87</f>
        <v>#VALUE!</v>
      </c>
      <c r="IP161" s="672" t="e">
        <f>IN161*$F$78</f>
        <v>#VALUE!</v>
      </c>
      <c r="IQ161" s="600" t="e">
        <f>IN161*$F$83</f>
        <v>#VALUE!</v>
      </c>
      <c r="IR161" s="672" t="e">
        <f>IN161*$F$80</f>
        <v>#VALUE!</v>
      </c>
      <c r="IS161" s="676" t="e">
        <f>IN161*$F$79</f>
        <v>#VALUE!</v>
      </c>
      <c r="IT161" s="668"/>
      <c r="IU161" s="669"/>
      <c r="IV161" s="670"/>
      <c r="IW161" s="671"/>
      <c r="IX161" s="678"/>
      <c r="IY161" s="663"/>
      <c r="IZ161" s="650"/>
      <c r="JA161" s="651" t="str">
        <f>IF(IZ161="Low",IW161*$D$42,IF(IZ161="Med",IW161*$D$43,IF(IZ161="High",IW161*$D$44,"rango cal. out")))</f>
        <v>rango cal. out</v>
      </c>
      <c r="JB161" s="619" t="e">
        <f>((273.2+IT161)*$F$33/((273.2+$F$32)*IV161))</f>
        <v>#DIV/0!</v>
      </c>
      <c r="JC161" s="674" t="e">
        <f>JA161/IX161*JB161*EXP(-LN(2)/10990*($F$96-IY161))</f>
        <v>#VALUE!</v>
      </c>
      <c r="JD161" s="599" t="e">
        <f>JC161-AVERAGE(JK102:JK103)</f>
        <v>#VALUE!</v>
      </c>
      <c r="JE161" s="599" t="e">
        <f>ABS(#REF!*JD161*3600)</f>
        <v>#REF!</v>
      </c>
      <c r="JF161" s="657" t="e">
        <f>ABS($B$34*JD161*3600)</f>
        <v>#VALUE!</v>
      </c>
      <c r="JG161" s="614" t="e">
        <f>JF161*$C$87</f>
        <v>#VALUE!</v>
      </c>
      <c r="JH161" s="672" t="e">
        <f>JF161*$F$78</f>
        <v>#VALUE!</v>
      </c>
      <c r="JI161" s="600" t="e">
        <f>JF161*$F$83</f>
        <v>#VALUE!</v>
      </c>
      <c r="JJ161" s="672" t="e">
        <f>JF161*$F$80</f>
        <v>#VALUE!</v>
      </c>
      <c r="JK161" s="676" t="e">
        <f>JF161*$F$79</f>
        <v>#VALUE!</v>
      </c>
      <c r="JL161" s="668"/>
      <c r="JM161" s="669"/>
      <c r="JN161" s="670"/>
      <c r="JO161" s="671"/>
      <c r="JP161" s="678"/>
      <c r="JQ161" s="663"/>
      <c r="JR161" s="650"/>
      <c r="JS161" s="651" t="str">
        <f>IF(JR161="Low",JO161*$D$42,IF(JR161="Med",JO161*$D$43,IF(JR161="High",JO161*$D$44,"rango cal. out")))</f>
        <v>rango cal. out</v>
      </c>
      <c r="JT161" s="619" t="e">
        <f>((273.2+JL161)*$F$33/((273.2+$F$32)*JN161))</f>
        <v>#DIV/0!</v>
      </c>
      <c r="JU161" s="674" t="e">
        <f>JS161/JP161*JT161*EXP(-LN(2)/10990*($F$96-JQ161))</f>
        <v>#VALUE!</v>
      </c>
      <c r="JV161" s="599" t="e">
        <f>JU161-AVERAGE(KC102:KC103)</f>
        <v>#VALUE!</v>
      </c>
      <c r="JW161" s="599" t="e">
        <f>ABS(#REF!*JV161*3600)</f>
        <v>#REF!</v>
      </c>
      <c r="JX161" s="657" t="e">
        <f>ABS($B$34*JV161*3600)</f>
        <v>#VALUE!</v>
      </c>
      <c r="JY161" s="614" t="e">
        <f>JX161*$C$87</f>
        <v>#VALUE!</v>
      </c>
      <c r="JZ161" s="672" t="e">
        <f>JX161*$F$78</f>
        <v>#VALUE!</v>
      </c>
      <c r="KA161" s="600" t="e">
        <f>JX161*$F$83</f>
        <v>#VALUE!</v>
      </c>
      <c r="KB161" s="672" t="e">
        <f>JX161*$F$80</f>
        <v>#VALUE!</v>
      </c>
      <c r="KC161" s="676" t="e">
        <f>JX161*$F$79</f>
        <v>#VALUE!</v>
      </c>
      <c r="KD161" s="668"/>
      <c r="KE161" s="669"/>
      <c r="KF161" s="670"/>
      <c r="KG161" s="671"/>
      <c r="KH161" s="678"/>
      <c r="KI161" s="663"/>
      <c r="KJ161" s="650"/>
      <c r="KK161" s="651" t="str">
        <f>IF(KJ161="Low",KG161*$D$42,IF(KJ161="Med",KG161*$D$43,IF(KJ161="High",KG161*$D$44,"rango cal. out")))</f>
        <v>rango cal. out</v>
      </c>
      <c r="KL161" s="619" t="e">
        <f>((273.2+KD161)*$F$33/((273.2+$F$32)*KF161))</f>
        <v>#DIV/0!</v>
      </c>
      <c r="KM161" s="674" t="e">
        <f>KK161/KH161*KL161*EXP(-LN(2)/10990*($F$96-KI161))</f>
        <v>#VALUE!</v>
      </c>
      <c r="KN161" s="599" t="e">
        <f>KM161-AVERAGE(KU102:KU103)</f>
        <v>#VALUE!</v>
      </c>
      <c r="KO161" s="599" t="e">
        <f>ABS(#REF!*KN161*3600)</f>
        <v>#REF!</v>
      </c>
      <c r="KP161" s="657" t="e">
        <f>ABS($B$34*KN161*3600)</f>
        <v>#VALUE!</v>
      </c>
      <c r="KQ161" s="614" t="e">
        <f>KP161*$C$87</f>
        <v>#VALUE!</v>
      </c>
      <c r="KR161" s="672" t="e">
        <f>KP161*$F$78</f>
        <v>#VALUE!</v>
      </c>
      <c r="KS161" s="600" t="e">
        <f>KP161*$F$83</f>
        <v>#VALUE!</v>
      </c>
      <c r="KT161" s="672" t="e">
        <f>KP161*$F$80</f>
        <v>#VALUE!</v>
      </c>
      <c r="KU161" s="676" t="e">
        <f>KP161*$F$79</f>
        <v>#VALUE!</v>
      </c>
      <c r="KV161" s="668"/>
      <c r="KW161" s="669"/>
      <c r="KX161" s="670"/>
      <c r="KY161" s="671"/>
      <c r="KZ161" s="678"/>
      <c r="LA161" s="663"/>
      <c r="LB161" s="650"/>
      <c r="LC161" s="651" t="str">
        <f>IF(LB161="Low",KY161*$D$42,IF(LB161="Med",KY161*$D$43,IF(LB161="High",KY161*$D$44,"rango cal. out")))</f>
        <v>rango cal. out</v>
      </c>
      <c r="LD161" s="619" t="e">
        <f>((273.2+KV161)*$F$33/((273.2+$F$32)*KX161))</f>
        <v>#DIV/0!</v>
      </c>
      <c r="LE161" s="674" t="e">
        <f>LC161/KZ161*LD161*EXP(-LN(2)/10990*($F$96-LA161))</f>
        <v>#VALUE!</v>
      </c>
      <c r="LF161" s="599" t="e">
        <f>LE161-AVERAGE(LM102:LM103)</f>
        <v>#VALUE!</v>
      </c>
      <c r="LG161" s="599" t="e">
        <f>ABS(#REF!*LF161*3600)</f>
        <v>#REF!</v>
      </c>
      <c r="LH161" s="657" t="e">
        <f>ABS($B$34*LF161*3600)</f>
        <v>#VALUE!</v>
      </c>
      <c r="LI161" s="614" t="e">
        <f>LH161*$C$87</f>
        <v>#VALUE!</v>
      </c>
      <c r="LJ161" s="672" t="e">
        <f>LH161*$F$78</f>
        <v>#VALUE!</v>
      </c>
      <c r="LK161" s="600" t="e">
        <f>LH161*$F$83</f>
        <v>#VALUE!</v>
      </c>
      <c r="LL161" s="672" t="e">
        <f>LH161*$F$80</f>
        <v>#VALUE!</v>
      </c>
      <c r="LM161" s="676" t="e">
        <f>LH161*$F$79</f>
        <v>#VALUE!</v>
      </c>
      <c r="LN161" s="668"/>
      <c r="LO161" s="669"/>
      <c r="LP161" s="670"/>
      <c r="LQ161" s="671"/>
      <c r="LR161" s="678"/>
      <c r="LS161" s="663"/>
      <c r="LT161" s="650"/>
      <c r="LU161" s="651" t="str">
        <f>IF(LT161="Low",LQ161*$D$42,IF(LT161="Med",LQ161*$D$43,IF(LT161="High",LQ161*$D$44,"rango cal. out")))</f>
        <v>rango cal. out</v>
      </c>
      <c r="LV161" s="619" t="e">
        <f>((273.2+LN161)*$F$33/((273.2+$F$32)*LP161))</f>
        <v>#DIV/0!</v>
      </c>
      <c r="LW161" s="674" t="e">
        <f>LU161/LR161*LV161*EXP(-LN(2)/10990*($F$96-LS161))</f>
        <v>#VALUE!</v>
      </c>
      <c r="LX161" s="599" t="e">
        <f>LW161-AVERAGE(ME102:ME103)</f>
        <v>#VALUE!</v>
      </c>
      <c r="LY161" s="599" t="e">
        <f>ABS(#REF!*LX161*3600)</f>
        <v>#REF!</v>
      </c>
      <c r="LZ161" s="657" t="e">
        <f>ABS($B$34*LX161*3600)</f>
        <v>#VALUE!</v>
      </c>
      <c r="MA161" s="614" t="e">
        <f>LZ161*$C$87</f>
        <v>#VALUE!</v>
      </c>
      <c r="MB161" s="672" t="e">
        <f>LZ161*$F$78</f>
        <v>#VALUE!</v>
      </c>
      <c r="MC161" s="600" t="e">
        <f>LZ161*$F$83</f>
        <v>#VALUE!</v>
      </c>
      <c r="MD161" s="672" t="e">
        <f>LZ161*$F$80</f>
        <v>#VALUE!</v>
      </c>
      <c r="ME161" s="676" t="e">
        <f>LZ161*$F$79</f>
        <v>#VALUE!</v>
      </c>
      <c r="MF161" s="668"/>
      <c r="MG161" s="669"/>
      <c r="MH161" s="670"/>
      <c r="MI161" s="671"/>
      <c r="MJ161" s="678"/>
      <c r="MK161" s="663"/>
      <c r="ML161" s="650"/>
      <c r="MM161" s="651" t="str">
        <f>IF(ML161="Low",MI161*$D$42,IF(ML161="Med",MI161*$D$43,IF(ML161="High",MI161*$D$44,"rango cal. out")))</f>
        <v>rango cal. out</v>
      </c>
      <c r="MN161" s="619" t="e">
        <f>((273.2+MF161)*$F$33/((273.2+$F$32)*MH161))</f>
        <v>#DIV/0!</v>
      </c>
      <c r="MO161" s="674" t="e">
        <f>MM161/MJ161*MN161*EXP(-LN(2)/10990*($F$96-MK161))</f>
        <v>#VALUE!</v>
      </c>
      <c r="MP161" s="599" t="e">
        <f>MO161-AVERAGE(MW102:MW103)</f>
        <v>#VALUE!</v>
      </c>
      <c r="MQ161" s="599" t="e">
        <f>ABS(#REF!*MP161*3600)</f>
        <v>#REF!</v>
      </c>
      <c r="MR161" s="657" t="e">
        <f>ABS($B$34*MP161*3600)</f>
        <v>#VALUE!</v>
      </c>
      <c r="MS161" s="614" t="e">
        <f>MR161*$C$87</f>
        <v>#VALUE!</v>
      </c>
      <c r="MT161" s="672" t="e">
        <f>MR161*$F$78</f>
        <v>#VALUE!</v>
      </c>
      <c r="MU161" s="600" t="e">
        <f>MR161*$F$83</f>
        <v>#VALUE!</v>
      </c>
      <c r="MV161" s="672" t="e">
        <f>MR161*$F$80</f>
        <v>#VALUE!</v>
      </c>
      <c r="MW161" s="676" t="e">
        <f>MR161*$F$79</f>
        <v>#VALUE!</v>
      </c>
      <c r="MX161" s="668"/>
      <c r="MY161" s="669"/>
      <c r="MZ161" s="670"/>
      <c r="NA161" s="671"/>
      <c r="NB161" s="678"/>
      <c r="NC161" s="663"/>
      <c r="ND161" s="650"/>
      <c r="NE161" s="651" t="str">
        <f>IF(ND161="Low",NA161*$D$42,IF(ND161="Med",NA161*$D$43,IF(ND161="High",NA161*$D$44,"rango cal. out")))</f>
        <v>rango cal. out</v>
      </c>
      <c r="NF161" s="619" t="e">
        <f>((273.2+MX161)*$F$33/((273.2+$F$32)*MZ161))</f>
        <v>#DIV/0!</v>
      </c>
      <c r="NG161" s="674" t="e">
        <f>NE161/NB161*NF161*EXP(-LN(2)/10990*($F$96-NC161))</f>
        <v>#VALUE!</v>
      </c>
      <c r="NH161" s="599" t="e">
        <f>NG161-AVERAGE(NO102:NO103)</f>
        <v>#VALUE!</v>
      </c>
      <c r="NI161" s="599" t="e">
        <f>ABS(#REF!*NH161*3600)</f>
        <v>#REF!</v>
      </c>
      <c r="NJ161" s="657" t="e">
        <f>ABS($B$34*NH161*3600)</f>
        <v>#VALUE!</v>
      </c>
      <c r="NK161" s="614" t="e">
        <f>NJ161*$C$87</f>
        <v>#VALUE!</v>
      </c>
      <c r="NL161" s="672" t="e">
        <f>NJ161*$F$78</f>
        <v>#VALUE!</v>
      </c>
      <c r="NM161" s="600" t="e">
        <f>NJ161*$F$83</f>
        <v>#VALUE!</v>
      </c>
      <c r="NN161" s="672" t="e">
        <f>NJ161*$F$80</f>
        <v>#VALUE!</v>
      </c>
      <c r="NO161" s="676" t="e">
        <f>NJ161*$F$79</f>
        <v>#VALUE!</v>
      </c>
      <c r="NP161" s="668"/>
      <c r="NQ161" s="669"/>
      <c r="NR161" s="670"/>
      <c r="NS161" s="671"/>
      <c r="NT161" s="678"/>
      <c r="NU161" s="663"/>
      <c r="NV161" s="650"/>
      <c r="NW161" s="651" t="str">
        <f>IF(NV161="Low",NS161*$D$42,IF(NV161="Med",NS161*$D$43,IF(NV161="High",NS161*$D$44,"rango cal. out")))</f>
        <v>rango cal. out</v>
      </c>
      <c r="NX161" s="619" t="e">
        <f>((273.2+NP161)*$F$33/((273.2+$F$32)*NR161))</f>
        <v>#DIV/0!</v>
      </c>
      <c r="NY161" s="674" t="e">
        <f>NW161/NT161*NX161*EXP(-LN(2)/10990*($F$96-NU161))</f>
        <v>#VALUE!</v>
      </c>
      <c r="NZ161" s="599" t="e">
        <f>NY161-AVERAGE(OG102:OG103)</f>
        <v>#VALUE!</v>
      </c>
      <c r="OA161" s="599" t="e">
        <f>ABS(#REF!*NZ161*3600)</f>
        <v>#REF!</v>
      </c>
      <c r="OB161" s="657" t="e">
        <f>ABS($B$34*NZ161*3600)</f>
        <v>#VALUE!</v>
      </c>
      <c r="OC161" s="614" t="e">
        <f>OB161*$C$87</f>
        <v>#VALUE!</v>
      </c>
      <c r="OD161" s="672" t="e">
        <f>OB161*$F$78</f>
        <v>#VALUE!</v>
      </c>
      <c r="OE161" s="600" t="e">
        <f>OB161*$F$83</f>
        <v>#VALUE!</v>
      </c>
      <c r="OF161" s="672" t="e">
        <f>OB161*$F$80</f>
        <v>#VALUE!</v>
      </c>
      <c r="OG161" s="676" t="e">
        <f>OB161*$F$79</f>
        <v>#VALUE!</v>
      </c>
      <c r="OH161" s="668"/>
      <c r="OI161" s="669"/>
      <c r="OJ161" s="670"/>
      <c r="OK161" s="671"/>
      <c r="OL161" s="678"/>
      <c r="OM161" s="663"/>
      <c r="ON161" s="650"/>
      <c r="OO161" s="651" t="str">
        <f>IF(ON161="Low",OK161*$D$42,IF(ON161="Med",OK161*$D$43,IF(ON161="High",OK161*$D$44,"rango cal. out")))</f>
        <v>rango cal. out</v>
      </c>
      <c r="OP161" s="619" t="e">
        <f>((273.2+OH161)*$F$33/((273.2+$F$32)*OJ161))</f>
        <v>#DIV/0!</v>
      </c>
      <c r="OQ161" s="674" t="e">
        <f>OO161/OL161*OP161*EXP(-LN(2)/10990*($F$96-OM161))</f>
        <v>#VALUE!</v>
      </c>
      <c r="OR161" s="599" t="e">
        <f>OQ161-AVERAGE(OY102:OY103)</f>
        <v>#VALUE!</v>
      </c>
      <c r="OS161" s="599" t="e">
        <f>ABS(#REF!*OR161*3600)</f>
        <v>#REF!</v>
      </c>
      <c r="OT161" s="657" t="e">
        <f>ABS($B$34*OR161*3600)</f>
        <v>#VALUE!</v>
      </c>
      <c r="OU161" s="614" t="e">
        <f>OT161*$C$87</f>
        <v>#VALUE!</v>
      </c>
      <c r="OV161" s="672" t="e">
        <f>OT161*$F$78</f>
        <v>#VALUE!</v>
      </c>
      <c r="OW161" s="600" t="e">
        <f>OT161*$F$83</f>
        <v>#VALUE!</v>
      </c>
      <c r="OX161" s="672" t="e">
        <f>OT161*$F$80</f>
        <v>#VALUE!</v>
      </c>
      <c r="OY161" s="676" t="e">
        <f>OT161*$F$79</f>
        <v>#VALUE!</v>
      </c>
      <c r="OZ161" s="668"/>
      <c r="PA161" s="669"/>
      <c r="PB161" s="670"/>
      <c r="PC161" s="671"/>
      <c r="PD161" s="678"/>
      <c r="PE161" s="663"/>
      <c r="PF161" s="650"/>
      <c r="PG161" s="651" t="str">
        <f>IF(PF161="Low",PC161*$D$42,IF(PF161="Med",PC161*$D$43,IF(PF161="High",PC161*$D$44,"rango cal. out")))</f>
        <v>rango cal. out</v>
      </c>
      <c r="PH161" s="619" t="e">
        <f>((273.2+OZ161)*$F$33/((273.2+$F$32)*PB161))</f>
        <v>#DIV/0!</v>
      </c>
      <c r="PI161" s="674" t="e">
        <f>PG161/PD161*PH161*EXP(-LN(2)/10990*($F$96-PE161))</f>
        <v>#VALUE!</v>
      </c>
      <c r="PJ161" s="599" t="e">
        <f>PI161-AVERAGE(PQ102:PQ103)</f>
        <v>#VALUE!</v>
      </c>
      <c r="PK161" s="599" t="e">
        <f>ABS(#REF!*PJ161*3600)</f>
        <v>#REF!</v>
      </c>
      <c r="PL161" s="657" t="e">
        <f>ABS($B$34*PJ161*3600)</f>
        <v>#VALUE!</v>
      </c>
      <c r="PM161" s="614" t="e">
        <f>PL161*$C$87</f>
        <v>#VALUE!</v>
      </c>
      <c r="PN161" s="672" t="e">
        <f>PL161*$F$78</f>
        <v>#VALUE!</v>
      </c>
      <c r="PO161" s="600" t="e">
        <f>PL161*$F$83</f>
        <v>#VALUE!</v>
      </c>
      <c r="PP161" s="672" t="e">
        <f>PL161*$F$80</f>
        <v>#VALUE!</v>
      </c>
      <c r="PQ161" s="676" t="e">
        <f>PL161*$F$79</f>
        <v>#VALUE!</v>
      </c>
      <c r="PR161" s="668"/>
      <c r="PS161" s="669"/>
      <c r="PT161" s="670"/>
      <c r="PU161" s="671"/>
      <c r="PV161" s="678"/>
      <c r="PW161" s="663"/>
      <c r="PX161" s="650"/>
      <c r="PY161" s="651" t="str">
        <f>IF(PX161="Low",PU161*$D$42,IF(PX161="Med",PU161*$D$43,IF(PX161="High",PU161*$D$44,"rango cal. out")))</f>
        <v>rango cal. out</v>
      </c>
      <c r="PZ161" s="619" t="e">
        <f>((273.2+PR161)*$F$33/((273.2+$F$32)*PT161))</f>
        <v>#DIV/0!</v>
      </c>
      <c r="QA161" s="674" t="e">
        <f>PY161/PV161*PZ161*EXP(-LN(2)/10990*($F$96-PW161))</f>
        <v>#VALUE!</v>
      </c>
      <c r="QB161" s="599" t="e">
        <f>QA161-AVERAGE(QI102:QI103)</f>
        <v>#VALUE!</v>
      </c>
      <c r="QC161" s="599" t="e">
        <f>ABS(#REF!*QB161*3600)</f>
        <v>#REF!</v>
      </c>
      <c r="QD161" s="657" t="e">
        <f>ABS($B$34*QB161*3600)</f>
        <v>#VALUE!</v>
      </c>
      <c r="QE161" s="614" t="e">
        <f>QD161*$C$87</f>
        <v>#VALUE!</v>
      </c>
      <c r="QF161" s="672" t="e">
        <f>QD161*$F$78</f>
        <v>#VALUE!</v>
      </c>
      <c r="QG161" s="600" t="e">
        <f>QD161*$F$83</f>
        <v>#VALUE!</v>
      </c>
      <c r="QH161" s="672" t="e">
        <f>QD161*$F$80</f>
        <v>#VALUE!</v>
      </c>
      <c r="QI161" s="676" t="e">
        <f>QD161*$F$79</f>
        <v>#VALUE!</v>
      </c>
      <c r="QJ161" s="668"/>
      <c r="QK161" s="669"/>
      <c r="QL161" s="670"/>
      <c r="QM161" s="671"/>
      <c r="QN161" s="678"/>
      <c r="QO161" s="663"/>
      <c r="QP161" s="650"/>
      <c r="QQ161" s="651" t="str">
        <f>IF(QP161="Low",QM161*$D$42,IF(QP161="Med",QM161*$D$43,IF(QP161="High",QM161*$D$44,"rango cal. out")))</f>
        <v>rango cal. out</v>
      </c>
      <c r="QR161" s="619" t="e">
        <f>((273.2+QJ161)*$F$33/((273.2+$F$32)*QL161))</f>
        <v>#DIV/0!</v>
      </c>
      <c r="QS161" s="674" t="e">
        <f>QQ161/QN161*QR161*EXP(-LN(2)/10990*($F$96-QO161))</f>
        <v>#VALUE!</v>
      </c>
      <c r="QT161" s="599" t="e">
        <f>QS161-AVERAGE(RA102:RA103)</f>
        <v>#VALUE!</v>
      </c>
      <c r="QU161" s="599" t="e">
        <f>ABS(#REF!*QT161*3600)</f>
        <v>#REF!</v>
      </c>
      <c r="QV161" s="657" t="e">
        <f>ABS($B$34*QT161*3600)</f>
        <v>#VALUE!</v>
      </c>
      <c r="QW161" s="614" t="e">
        <f>QV161*$C$87</f>
        <v>#VALUE!</v>
      </c>
      <c r="QX161" s="672" t="e">
        <f>QV161*$F$78</f>
        <v>#VALUE!</v>
      </c>
      <c r="QY161" s="600" t="e">
        <f>QV161*$F$83</f>
        <v>#VALUE!</v>
      </c>
      <c r="QZ161" s="672" t="e">
        <f>QV161*$F$80</f>
        <v>#VALUE!</v>
      </c>
      <c r="RA161" s="676" t="e">
        <f>QV161*$F$79</f>
        <v>#VALUE!</v>
      </c>
      <c r="RB161" s="668"/>
      <c r="RC161" s="669"/>
      <c r="RD161" s="670"/>
      <c r="RE161" s="671"/>
      <c r="RF161" s="673">
        <v>100</v>
      </c>
      <c r="RG161" s="663"/>
      <c r="RH161" s="650"/>
      <c r="RI161" s="651" t="str">
        <f>IF(RH161="Low",RE161*$D$42,IF(RH161="Med",RE161*$D$43,IF(RH161="High",RE161*$D$44,"rango cal. out")))</f>
        <v>rango cal. out</v>
      </c>
      <c r="RJ161" s="619" t="e">
        <f>((273.2+RB161)*$F$33/((273.2+$F$32)*RD161))</f>
        <v>#DIV/0!</v>
      </c>
      <c r="RK161" s="674" t="e">
        <f>RI161/RF161*RJ161*EXP(-LN(2)/10990*($F$96-RG161))</f>
        <v>#VALUE!</v>
      </c>
      <c r="RL161" s="599" t="e">
        <f>RK161-AVERAGE(RS102:RS103)</f>
        <v>#VALUE!</v>
      </c>
      <c r="RM161" s="599" t="e">
        <f>ABS(#REF!*RL161*3600)</f>
        <v>#REF!</v>
      </c>
      <c r="RN161" s="657" t="e">
        <f>ABS($B$34*RL161*3600)</f>
        <v>#VALUE!</v>
      </c>
      <c r="RO161" s="614" t="e">
        <f>RN161*$C$87</f>
        <v>#VALUE!</v>
      </c>
      <c r="RP161" s="672" t="e">
        <f>RN161*$F$78</f>
        <v>#VALUE!</v>
      </c>
      <c r="RQ161" s="600" t="e">
        <f>RN161*$F$83</f>
        <v>#VALUE!</v>
      </c>
      <c r="RR161" s="672" t="e">
        <f>RN161*$F$80</f>
        <v>#VALUE!</v>
      </c>
      <c r="RS161" s="676" t="e">
        <f>RN161*$F$79</f>
        <v>#VALUE!</v>
      </c>
      <c r="RT161" s="668"/>
      <c r="RU161" s="669"/>
      <c r="RV161" s="669"/>
      <c r="RW161" s="679"/>
      <c r="RX161" s="673">
        <v>100</v>
      </c>
      <c r="RY161" s="663"/>
      <c r="RZ161" s="650"/>
      <c r="SA161" s="651" t="str">
        <f>IF(RZ161="Low",RW161*$D$42,IF(RZ161="Med",RW161*$D$43,IF(RZ161="High",RW161*$D$44,"rango cal. out")))</f>
        <v>rango cal. out</v>
      </c>
      <c r="SB161" s="619" t="e">
        <f>((273.2+RT161)*$F$33/((273.2+$F$32)*RV161))</f>
        <v>#DIV/0!</v>
      </c>
      <c r="SC161" s="674" t="e">
        <f>SA161/RX161*SB161*EXP(-LN(2)/10990*($F$96-RY161))</f>
        <v>#VALUE!</v>
      </c>
      <c r="SD161" s="599" t="e">
        <f>SC161-AVERAGE(SK102:SK103)</f>
        <v>#VALUE!</v>
      </c>
      <c r="SE161" s="599" t="e">
        <f>ABS(#REF!*SD161*3600)</f>
        <v>#REF!</v>
      </c>
      <c r="SF161" s="657" t="e">
        <f>ABS($B$34*SD161*3600)</f>
        <v>#VALUE!</v>
      </c>
      <c r="SG161" s="614" t="e">
        <f>SF161*$C$87</f>
        <v>#VALUE!</v>
      </c>
      <c r="SH161" s="672" t="e">
        <f>SF161*$F$78</f>
        <v>#VALUE!</v>
      </c>
      <c r="SI161" s="600" t="e">
        <f>SF161*$F$83</f>
        <v>#VALUE!</v>
      </c>
      <c r="SJ161" s="672" t="e">
        <f>SF161*$F$80</f>
        <v>#VALUE!</v>
      </c>
      <c r="SK161" s="676" t="e">
        <f>SF161*$F$79</f>
        <v>#VALUE!</v>
      </c>
      <c r="SL161" s="668"/>
      <c r="SM161" s="669"/>
      <c r="SN161" s="670"/>
      <c r="SO161" s="671"/>
      <c r="SP161" s="678"/>
      <c r="SQ161" s="663"/>
      <c r="SR161" s="650"/>
      <c r="SS161" s="651" t="str">
        <f>IF(SR161="Low",SO161*$D$42,IF(SR161="Med",SO161*$D$43,IF(SR161="High",SO161*$D$44,"rango cal. out")))</f>
        <v>rango cal. out</v>
      </c>
      <c r="ST161" s="619" t="e">
        <f>((273.2+SL161)*$F$33/((273.2+$F$32)*SN161))</f>
        <v>#DIV/0!</v>
      </c>
      <c r="SU161" s="674" t="e">
        <f>SS161/SP161*ST161*EXP(-LN(2)/10990*($F$96-SQ161))</f>
        <v>#VALUE!</v>
      </c>
      <c r="SV161" s="599" t="e">
        <f>SU161-AVERAGE(TC102:TC103)</f>
        <v>#VALUE!</v>
      </c>
      <c r="SW161" s="599" t="e">
        <f>ABS(#REF!*SV161*3600)</f>
        <v>#REF!</v>
      </c>
      <c r="SX161" s="657" t="e">
        <f>ABS($B$34*SV161*3600)</f>
        <v>#VALUE!</v>
      </c>
      <c r="SY161" s="614" t="e">
        <f>SX161*$C$87</f>
        <v>#VALUE!</v>
      </c>
      <c r="SZ161" s="672" t="e">
        <f>SX161*$F$78</f>
        <v>#VALUE!</v>
      </c>
      <c r="TA161" s="600" t="e">
        <f>SX161*$F$83</f>
        <v>#VALUE!</v>
      </c>
      <c r="TB161" s="672" t="e">
        <f>SX161*$F$80</f>
        <v>#VALUE!</v>
      </c>
      <c r="TC161" s="676" t="e">
        <f>SX161*$F$79</f>
        <v>#VALUE!</v>
      </c>
      <c r="TD161" s="668"/>
      <c r="TE161" s="669"/>
      <c r="TF161" s="670"/>
      <c r="TG161" s="671"/>
      <c r="TH161" s="678"/>
      <c r="TI161" s="663"/>
      <c r="TJ161" s="650"/>
      <c r="TK161" s="651" t="str">
        <f>IF(TJ161="Low",TG161*$D$42,IF(TJ161="Med",TG161*$D$43,IF(TJ161="High",TG161*$D$44,"rango cal. out")))</f>
        <v>rango cal. out</v>
      </c>
      <c r="TL161" s="619" t="e">
        <f>((273.2+TD161)*$F$33/((273.2+$F$32)*TF161))</f>
        <v>#DIV/0!</v>
      </c>
      <c r="TM161" s="674" t="e">
        <f>TK161/TH161*TL161*EXP(-LN(2)/10990*($F$96-TI161))</f>
        <v>#VALUE!</v>
      </c>
      <c r="TN161" s="599" t="e">
        <f>TM161-AVERAGE(TU102:TU103)</f>
        <v>#VALUE!</v>
      </c>
      <c r="TO161" s="599" t="e">
        <f>ABS(#REF!*TN161*3600)</f>
        <v>#REF!</v>
      </c>
      <c r="TP161" s="657" t="e">
        <f>ABS($B$34*TN161*3600)</f>
        <v>#VALUE!</v>
      </c>
      <c r="TQ161" s="614" t="e">
        <f>TP161*$C$87</f>
        <v>#VALUE!</v>
      </c>
      <c r="TR161" s="672" t="e">
        <f>TP161*$F$78</f>
        <v>#VALUE!</v>
      </c>
      <c r="TS161" s="600" t="e">
        <f>TP161*$F$83</f>
        <v>#VALUE!</v>
      </c>
      <c r="TT161" s="672" t="e">
        <f>TP161*$F$80</f>
        <v>#VALUE!</v>
      </c>
      <c r="TU161" s="676" t="e">
        <f>TP161*$F$79</f>
        <v>#VALUE!</v>
      </c>
      <c r="TV161" s="668"/>
      <c r="TW161" s="669"/>
      <c r="TX161" s="670"/>
      <c r="TY161" s="671"/>
      <c r="TZ161" s="678"/>
      <c r="UA161" s="663"/>
      <c r="UB161" s="650"/>
      <c r="UC161" s="651" t="str">
        <f>IF(UB161="Low",TY161*$D$42,IF(UB161="Med",TY161*$D$43,IF(UB161="High",TY161*$D$44,"rango cal. out")))</f>
        <v>rango cal. out</v>
      </c>
      <c r="UD161" s="619" t="e">
        <f>((273.2+TV161)*$F$33/((273.2+$F$32)*TX161))</f>
        <v>#DIV/0!</v>
      </c>
      <c r="UE161" s="674" t="e">
        <f>UC161/TZ161*UD161*EXP(-LN(2)/10990*($F$96-UA161))</f>
        <v>#VALUE!</v>
      </c>
      <c r="UF161" s="599" t="e">
        <f>UE161-AVERAGE(UM102:UM103)</f>
        <v>#VALUE!</v>
      </c>
      <c r="UG161" s="599" t="e">
        <f>ABS(#REF!*UF161*3600)</f>
        <v>#REF!</v>
      </c>
      <c r="UH161" s="657" t="e">
        <f>ABS($B$34*UF161*3600)</f>
        <v>#VALUE!</v>
      </c>
      <c r="UI161" s="614" t="e">
        <f>UH161*$C$87</f>
        <v>#VALUE!</v>
      </c>
      <c r="UJ161" s="672" t="e">
        <f>UH161*$F$78</f>
        <v>#VALUE!</v>
      </c>
      <c r="UK161" s="600" t="e">
        <f>UH161*$F$83</f>
        <v>#VALUE!</v>
      </c>
      <c r="UL161" s="672" t="e">
        <f>UH161*$F$80</f>
        <v>#VALUE!</v>
      </c>
      <c r="UM161" s="676" t="e">
        <f>UH161*$F$79</f>
        <v>#VALUE!</v>
      </c>
      <c r="UN161" s="668"/>
      <c r="UO161" s="669"/>
      <c r="UP161" s="670"/>
      <c r="UQ161" s="671"/>
      <c r="UR161" s="678"/>
      <c r="US161" s="663"/>
      <c r="UT161" s="650"/>
      <c r="UU161" s="651" t="str">
        <f>IF(UT161="Low",UQ161*$D$42,IF(UT161="Med",UQ161*$D$43,IF(UT161="High",UQ161*$D$44,"rango cal. out")))</f>
        <v>rango cal. out</v>
      </c>
      <c r="UV161" s="619" t="e">
        <f>((273.2+UN161)*$F$33/((273.2+$F$32)*UP161))</f>
        <v>#DIV/0!</v>
      </c>
      <c r="UW161" s="674" t="e">
        <f>UU161/UR161*UV161*EXP(-LN(2)/10990*($F$96-US161))</f>
        <v>#VALUE!</v>
      </c>
      <c r="UX161" s="599" t="e">
        <f>UW161-AVERAGE(VE102:VE103)</f>
        <v>#VALUE!</v>
      </c>
      <c r="UY161" s="599" t="e">
        <f>ABS(#REF!*UX161*3600)</f>
        <v>#REF!</v>
      </c>
      <c r="UZ161" s="657" t="e">
        <f>ABS($B$34*UX161*3600)</f>
        <v>#VALUE!</v>
      </c>
      <c r="VA161" s="614" t="e">
        <f>UZ161*$C$87</f>
        <v>#VALUE!</v>
      </c>
      <c r="VB161" s="672" t="e">
        <f>UZ161*$F$78</f>
        <v>#VALUE!</v>
      </c>
      <c r="VC161" s="600" t="e">
        <f>UZ161*$F$83</f>
        <v>#VALUE!</v>
      </c>
      <c r="VD161" s="672" t="e">
        <f>UZ161*$F$80</f>
        <v>#VALUE!</v>
      </c>
      <c r="VE161" s="676" t="e">
        <f>UZ161*$F$79</f>
        <v>#VALUE!</v>
      </c>
    </row>
    <row r="162" spans="1:577" x14ac:dyDescent="0.25">
      <c r="A162" s="681" t="s">
        <v>61</v>
      </c>
      <c r="B162" s="709">
        <f t="shared" ref="B162:F162" si="1155">AVERAGE(B157:B161)</f>
        <v>20.040000000000003</v>
      </c>
      <c r="C162" s="710">
        <f t="shared" si="1155"/>
        <v>54.2</v>
      </c>
      <c r="D162" s="710">
        <f t="shared" si="1155"/>
        <v>1009.8399999999999</v>
      </c>
      <c r="E162" s="672">
        <f t="shared" si="1155"/>
        <v>-2.1847999999999997E-9</v>
      </c>
      <c r="F162" s="710">
        <f t="shared" si="1155"/>
        <v>60</v>
      </c>
      <c r="G162" s="685" t="s">
        <v>93</v>
      </c>
      <c r="H162" s="90" t="s">
        <v>93</v>
      </c>
      <c r="I162" s="599">
        <f t="shared" ref="I162" si="1156">AVERAGE(I157:I161)</f>
        <v>-2.1869847999999993E-9</v>
      </c>
      <c r="J162" s="619">
        <f t="shared" ref="J162:X162" si="1157">AVERAGE(J157:J161)</f>
        <v>0.99671474799025073</v>
      </c>
      <c r="K162" s="675">
        <f t="shared" si="1157"/>
        <v>-3.5978838756762161E-11</v>
      </c>
      <c r="L162" s="672">
        <f t="shared" si="1157"/>
        <v>-3.5955026789390655E-11</v>
      </c>
      <c r="M162" s="687" t="e">
        <f t="shared" si="1157"/>
        <v>#REF!</v>
      </c>
      <c r="N162" s="686">
        <f t="shared" si="1157"/>
        <v>3.2618400303335202E-3</v>
      </c>
      <c r="O162" s="687">
        <f t="shared" si="1157"/>
        <v>0.32618400303335204</v>
      </c>
      <c r="P162" s="2122">
        <f t="shared" si="1157"/>
        <v>3.9142080364002237E-3</v>
      </c>
      <c r="Q162" s="687">
        <f t="shared" si="1157"/>
        <v>3.9468264367035601E-3</v>
      </c>
      <c r="R162" s="687">
        <f t="shared" si="1157"/>
        <v>3.9468264367035601E-3</v>
      </c>
      <c r="S162" s="690">
        <f t="shared" si="1157"/>
        <v>4.0773000379169012E-3</v>
      </c>
      <c r="T162" s="691" t="e">
        <f t="shared" si="1157"/>
        <v>#DIV/0!</v>
      </c>
      <c r="U162" s="691" t="e">
        <f t="shared" si="1157"/>
        <v>#DIV/0!</v>
      </c>
      <c r="V162" s="695" t="e">
        <f t="shared" si="1157"/>
        <v>#DIV/0!</v>
      </c>
      <c r="W162" s="599" t="e">
        <f t="shared" si="1157"/>
        <v>#DIV/0!</v>
      </c>
      <c r="X162" s="685" t="e">
        <f t="shared" si="1157"/>
        <v>#DIV/0!</v>
      </c>
      <c r="Y162" s="685" t="s">
        <v>93</v>
      </c>
      <c r="Z162" s="90" t="s">
        <v>93</v>
      </c>
      <c r="AA162" s="599" t="e">
        <f t="shared" ref="AA162" si="1158">AVERAGE(AA157:AA161)</f>
        <v>#DIV/0!</v>
      </c>
      <c r="AB162" s="619" t="e">
        <f t="shared" ref="AB162:AP162" si="1159">AVERAGE(AB157:AB161)</f>
        <v>#DIV/0!</v>
      </c>
      <c r="AC162" s="675" t="e">
        <f t="shared" si="1159"/>
        <v>#VALUE!</v>
      </c>
      <c r="AD162" s="672" t="e">
        <f t="shared" si="1159"/>
        <v>#VALUE!</v>
      </c>
      <c r="AE162" s="687" t="e">
        <f t="shared" si="1159"/>
        <v>#REF!</v>
      </c>
      <c r="AF162" s="686" t="e">
        <f t="shared" si="1159"/>
        <v>#VALUE!</v>
      </c>
      <c r="AG162" s="687" t="e">
        <f t="shared" si="1159"/>
        <v>#VALUE!</v>
      </c>
      <c r="AH162" s="687" t="e">
        <f t="shared" si="1159"/>
        <v>#VALUE!</v>
      </c>
      <c r="AI162" s="687" t="e">
        <f t="shared" si="1159"/>
        <v>#VALUE!</v>
      </c>
      <c r="AJ162" s="687" t="e">
        <f t="shared" si="1159"/>
        <v>#VALUE!</v>
      </c>
      <c r="AK162" s="690" t="e">
        <f t="shared" si="1159"/>
        <v>#VALUE!</v>
      </c>
      <c r="AL162" s="691" t="e">
        <f t="shared" si="1159"/>
        <v>#DIV/0!</v>
      </c>
      <c r="AM162" s="691" t="e">
        <f t="shared" si="1159"/>
        <v>#DIV/0!</v>
      </c>
      <c r="AN162" s="695" t="e">
        <f t="shared" si="1159"/>
        <v>#DIV/0!</v>
      </c>
      <c r="AO162" s="599" t="e">
        <f t="shared" si="1159"/>
        <v>#DIV/0!</v>
      </c>
      <c r="AP162" s="685" t="e">
        <f t="shared" si="1159"/>
        <v>#DIV/0!</v>
      </c>
      <c r="AQ162" s="685" t="s">
        <v>93</v>
      </c>
      <c r="AR162" s="90" t="s">
        <v>93</v>
      </c>
      <c r="AS162" s="599" t="e">
        <f t="shared" ref="AS162" si="1160">AVERAGE(AS157:AS161)</f>
        <v>#DIV/0!</v>
      </c>
      <c r="AT162" s="619" t="e">
        <f t="shared" ref="AT162:BH162" si="1161">AVERAGE(AT157:AT161)</f>
        <v>#DIV/0!</v>
      </c>
      <c r="AU162" s="675" t="e">
        <f t="shared" si="1161"/>
        <v>#VALUE!</v>
      </c>
      <c r="AV162" s="672" t="e">
        <f t="shared" si="1161"/>
        <v>#VALUE!</v>
      </c>
      <c r="AW162" s="687" t="e">
        <f t="shared" si="1161"/>
        <v>#REF!</v>
      </c>
      <c r="AX162" s="686" t="e">
        <f t="shared" si="1161"/>
        <v>#VALUE!</v>
      </c>
      <c r="AY162" s="687" t="e">
        <f t="shared" si="1161"/>
        <v>#VALUE!</v>
      </c>
      <c r="AZ162" s="687" t="e">
        <f t="shared" si="1161"/>
        <v>#VALUE!</v>
      </c>
      <c r="BA162" s="687" t="e">
        <f t="shared" si="1161"/>
        <v>#VALUE!</v>
      </c>
      <c r="BB162" s="687" t="e">
        <f t="shared" si="1161"/>
        <v>#VALUE!</v>
      </c>
      <c r="BC162" s="690" t="e">
        <f t="shared" si="1161"/>
        <v>#VALUE!</v>
      </c>
      <c r="BD162" s="682">
        <f t="shared" si="1161"/>
        <v>19.8</v>
      </c>
      <c r="BE162" s="691">
        <f t="shared" si="1161"/>
        <v>51</v>
      </c>
      <c r="BF162" s="695">
        <f t="shared" si="1161"/>
        <v>1008.4</v>
      </c>
      <c r="BG162" s="599">
        <f t="shared" si="1161"/>
        <v>-3.3700000000000003E-10</v>
      </c>
      <c r="BH162" s="685" t="e">
        <f t="shared" si="1161"/>
        <v>#DIV/0!</v>
      </c>
      <c r="BI162" s="685" t="s">
        <v>93</v>
      </c>
      <c r="BJ162" s="90" t="s">
        <v>93</v>
      </c>
      <c r="BK162" s="599" t="e">
        <f t="shared" ref="BK162" si="1162">AVERAGE(BK157:BK161)</f>
        <v>#DIV/0!</v>
      </c>
      <c r="BL162" s="619" t="e">
        <f t="shared" ref="BL162:BZ162" si="1163">AVERAGE(BL157:BL161)</f>
        <v>#DIV/0!</v>
      </c>
      <c r="BM162" s="675" t="e">
        <f t="shared" si="1163"/>
        <v>#VALUE!</v>
      </c>
      <c r="BN162" s="672" t="e">
        <f t="shared" si="1163"/>
        <v>#VALUE!</v>
      </c>
      <c r="BO162" s="687" t="e">
        <f t="shared" si="1163"/>
        <v>#REF!</v>
      </c>
      <c r="BP162" s="686" t="e">
        <f t="shared" si="1163"/>
        <v>#VALUE!</v>
      </c>
      <c r="BQ162" s="687" t="e">
        <f t="shared" si="1163"/>
        <v>#VALUE!</v>
      </c>
      <c r="BR162" s="687" t="e">
        <f t="shared" si="1163"/>
        <v>#VALUE!</v>
      </c>
      <c r="BS162" s="687" t="e">
        <f t="shared" si="1163"/>
        <v>#VALUE!</v>
      </c>
      <c r="BT162" s="687" t="e">
        <f t="shared" si="1163"/>
        <v>#VALUE!</v>
      </c>
      <c r="BU162" s="690" t="e">
        <f t="shared" si="1163"/>
        <v>#VALUE!</v>
      </c>
      <c r="BV162" s="682">
        <f t="shared" si="1163"/>
        <v>19.899999999999999</v>
      </c>
      <c r="BW162" s="691">
        <f t="shared" si="1163"/>
        <v>51.1</v>
      </c>
      <c r="BX162" s="695">
        <f t="shared" si="1163"/>
        <v>1008.7</v>
      </c>
      <c r="BY162" s="599">
        <f t="shared" si="1163"/>
        <v>1.7029999999999998E-11</v>
      </c>
      <c r="BZ162" s="685" t="e">
        <f t="shared" si="1163"/>
        <v>#DIV/0!</v>
      </c>
      <c r="CA162" s="685" t="s">
        <v>93</v>
      </c>
      <c r="CB162" s="90" t="s">
        <v>93</v>
      </c>
      <c r="CC162" s="599" t="e">
        <f t="shared" ref="CC162" si="1164">AVERAGE(CC157:CC161)</f>
        <v>#DIV/0!</v>
      </c>
      <c r="CD162" s="619" t="e">
        <f t="shared" ref="CD162:CR162" si="1165">AVERAGE(CD157:CD161)</f>
        <v>#DIV/0!</v>
      </c>
      <c r="CE162" s="675" t="e">
        <f t="shared" si="1165"/>
        <v>#VALUE!</v>
      </c>
      <c r="CF162" s="672" t="e">
        <f t="shared" si="1165"/>
        <v>#VALUE!</v>
      </c>
      <c r="CG162" s="687" t="e">
        <f t="shared" si="1165"/>
        <v>#REF!</v>
      </c>
      <c r="CH162" s="686" t="e">
        <f t="shared" si="1165"/>
        <v>#VALUE!</v>
      </c>
      <c r="CI162" s="687" t="e">
        <f t="shared" si="1165"/>
        <v>#VALUE!</v>
      </c>
      <c r="CJ162" s="687" t="e">
        <f t="shared" si="1165"/>
        <v>#VALUE!</v>
      </c>
      <c r="CK162" s="687" t="e">
        <f t="shared" si="1165"/>
        <v>#VALUE!</v>
      </c>
      <c r="CL162" s="687" t="e">
        <f t="shared" si="1165"/>
        <v>#VALUE!</v>
      </c>
      <c r="CM162" s="690" t="e">
        <f t="shared" si="1165"/>
        <v>#VALUE!</v>
      </c>
      <c r="CN162" s="682">
        <f t="shared" si="1165"/>
        <v>19.8</v>
      </c>
      <c r="CO162" s="691">
        <f t="shared" si="1165"/>
        <v>49</v>
      </c>
      <c r="CP162" s="695">
        <f t="shared" si="1165"/>
        <v>1009.4</v>
      </c>
      <c r="CQ162" s="599">
        <f t="shared" si="1165"/>
        <v>-7.8629999999999986E-10</v>
      </c>
      <c r="CR162" s="685" t="e">
        <f t="shared" si="1165"/>
        <v>#DIV/0!</v>
      </c>
      <c r="CS162" s="685" t="s">
        <v>93</v>
      </c>
      <c r="CT162" s="90" t="s">
        <v>93</v>
      </c>
      <c r="CU162" s="599" t="e">
        <f t="shared" ref="CU162" si="1166">AVERAGE(CU157:CU161)</f>
        <v>#DIV/0!</v>
      </c>
      <c r="CV162" s="619" t="e">
        <f t="shared" ref="CV162:DJ162" si="1167">AVERAGE(CV157:CV161)</f>
        <v>#DIV/0!</v>
      </c>
      <c r="CW162" s="675" t="e">
        <f t="shared" si="1167"/>
        <v>#VALUE!</v>
      </c>
      <c r="CX162" s="672" t="e">
        <f t="shared" si="1167"/>
        <v>#VALUE!</v>
      </c>
      <c r="CY162" s="687" t="e">
        <f t="shared" si="1167"/>
        <v>#REF!</v>
      </c>
      <c r="CZ162" s="686" t="e">
        <f t="shared" si="1167"/>
        <v>#VALUE!</v>
      </c>
      <c r="DA162" s="687" t="e">
        <f t="shared" si="1167"/>
        <v>#VALUE!</v>
      </c>
      <c r="DB162" s="687" t="e">
        <f t="shared" si="1167"/>
        <v>#VALUE!</v>
      </c>
      <c r="DC162" s="687" t="e">
        <f t="shared" si="1167"/>
        <v>#VALUE!</v>
      </c>
      <c r="DD162" s="687" t="e">
        <f t="shared" si="1167"/>
        <v>#VALUE!</v>
      </c>
      <c r="DE162" s="690" t="e">
        <f t="shared" si="1167"/>
        <v>#VALUE!</v>
      </c>
      <c r="DF162" s="682" t="e">
        <f t="shared" si="1167"/>
        <v>#DIV/0!</v>
      </c>
      <c r="DG162" s="691" t="e">
        <f t="shared" si="1167"/>
        <v>#DIV/0!</v>
      </c>
      <c r="DH162" s="695" t="e">
        <f t="shared" si="1167"/>
        <v>#DIV/0!</v>
      </c>
      <c r="DI162" s="599" t="e">
        <f t="shared" si="1167"/>
        <v>#DIV/0!</v>
      </c>
      <c r="DJ162" s="685" t="e">
        <f t="shared" si="1167"/>
        <v>#DIV/0!</v>
      </c>
      <c r="DK162" s="685" t="s">
        <v>93</v>
      </c>
      <c r="DL162" s="90" t="s">
        <v>93</v>
      </c>
      <c r="DM162" s="599" t="e">
        <f t="shared" ref="DM162" si="1168">AVERAGE(DM157:DM161)</f>
        <v>#DIV/0!</v>
      </c>
      <c r="DN162" s="619" t="e">
        <f t="shared" ref="DN162:EB162" si="1169">AVERAGE(DN157:DN161)</f>
        <v>#DIV/0!</v>
      </c>
      <c r="DO162" s="675" t="e">
        <f t="shared" si="1169"/>
        <v>#VALUE!</v>
      </c>
      <c r="DP162" s="672" t="e">
        <f t="shared" si="1169"/>
        <v>#VALUE!</v>
      </c>
      <c r="DQ162" s="687" t="e">
        <f t="shared" si="1169"/>
        <v>#REF!</v>
      </c>
      <c r="DR162" s="686" t="e">
        <f t="shared" si="1169"/>
        <v>#VALUE!</v>
      </c>
      <c r="DS162" s="687" t="e">
        <f t="shared" si="1169"/>
        <v>#VALUE!</v>
      </c>
      <c r="DT162" s="687" t="e">
        <f t="shared" si="1169"/>
        <v>#VALUE!</v>
      </c>
      <c r="DU162" s="687" t="e">
        <f t="shared" si="1169"/>
        <v>#VALUE!</v>
      </c>
      <c r="DV162" s="687" t="e">
        <f t="shared" si="1169"/>
        <v>#VALUE!</v>
      </c>
      <c r="DW162" s="690" t="e">
        <f t="shared" si="1169"/>
        <v>#VALUE!</v>
      </c>
      <c r="DX162" s="682" t="e">
        <f t="shared" si="1169"/>
        <v>#DIV/0!</v>
      </c>
      <c r="DY162" s="691" t="e">
        <f t="shared" si="1169"/>
        <v>#DIV/0!</v>
      </c>
      <c r="DZ162" s="695" t="e">
        <f t="shared" si="1169"/>
        <v>#DIV/0!</v>
      </c>
      <c r="EA162" s="653" t="e">
        <f t="shared" si="1169"/>
        <v>#DIV/0!</v>
      </c>
      <c r="EB162" s="685" t="e">
        <f t="shared" si="1169"/>
        <v>#DIV/0!</v>
      </c>
      <c r="EC162" s="685" t="s">
        <v>93</v>
      </c>
      <c r="ED162" s="90" t="s">
        <v>93</v>
      </c>
      <c r="EE162" s="599" t="e">
        <f t="shared" ref="EE162" si="1170">AVERAGE(EE157:EE161)</f>
        <v>#DIV/0!</v>
      </c>
      <c r="EF162" s="619" t="e">
        <f t="shared" ref="EF162:ET162" si="1171">AVERAGE(EF157:EF161)</f>
        <v>#DIV/0!</v>
      </c>
      <c r="EG162" s="675" t="e">
        <f t="shared" si="1171"/>
        <v>#VALUE!</v>
      </c>
      <c r="EH162" s="672" t="e">
        <f t="shared" si="1171"/>
        <v>#VALUE!</v>
      </c>
      <c r="EI162" s="687" t="e">
        <f t="shared" si="1171"/>
        <v>#REF!</v>
      </c>
      <c r="EJ162" s="686" t="e">
        <f t="shared" si="1171"/>
        <v>#VALUE!</v>
      </c>
      <c r="EK162" s="687" t="e">
        <f t="shared" si="1171"/>
        <v>#VALUE!</v>
      </c>
      <c r="EL162" s="687" t="e">
        <f t="shared" si="1171"/>
        <v>#VALUE!</v>
      </c>
      <c r="EM162" s="687" t="e">
        <f t="shared" si="1171"/>
        <v>#VALUE!</v>
      </c>
      <c r="EN162" s="687" t="e">
        <f t="shared" si="1171"/>
        <v>#VALUE!</v>
      </c>
      <c r="EO162" s="690" t="e">
        <f t="shared" si="1171"/>
        <v>#VALUE!</v>
      </c>
      <c r="EP162" s="682">
        <f t="shared" si="1171"/>
        <v>19.899999999999999</v>
      </c>
      <c r="EQ162" s="691">
        <f t="shared" si="1171"/>
        <v>47</v>
      </c>
      <c r="ER162" s="695">
        <f t="shared" si="1171"/>
        <v>1010.2</v>
      </c>
      <c r="ES162" s="599">
        <f t="shared" si="1171"/>
        <v>-2E-12</v>
      </c>
      <c r="ET162" s="685" t="e">
        <f t="shared" si="1171"/>
        <v>#DIV/0!</v>
      </c>
      <c r="EU162" s="685" t="s">
        <v>93</v>
      </c>
      <c r="EV162" s="90" t="s">
        <v>93</v>
      </c>
      <c r="EW162" s="599" t="e">
        <f t="shared" ref="EW162" si="1172">AVERAGE(EW157:EW161)</f>
        <v>#DIV/0!</v>
      </c>
      <c r="EX162" s="619" t="e">
        <f t="shared" ref="EX162:FL162" si="1173">AVERAGE(EX157:EX161)</f>
        <v>#DIV/0!</v>
      </c>
      <c r="EY162" s="675" t="e">
        <f t="shared" si="1173"/>
        <v>#VALUE!</v>
      </c>
      <c r="EZ162" s="672" t="e">
        <f t="shared" si="1173"/>
        <v>#VALUE!</v>
      </c>
      <c r="FA162" s="687" t="e">
        <f t="shared" si="1173"/>
        <v>#REF!</v>
      </c>
      <c r="FB162" s="686" t="e">
        <f t="shared" si="1173"/>
        <v>#VALUE!</v>
      </c>
      <c r="FC162" s="687" t="e">
        <f t="shared" si="1173"/>
        <v>#VALUE!</v>
      </c>
      <c r="FD162" s="687" t="e">
        <f t="shared" si="1173"/>
        <v>#VALUE!</v>
      </c>
      <c r="FE162" s="687" t="e">
        <f t="shared" si="1173"/>
        <v>#VALUE!</v>
      </c>
      <c r="FF162" s="687" t="e">
        <f t="shared" si="1173"/>
        <v>#VALUE!</v>
      </c>
      <c r="FG162" s="690" t="e">
        <f t="shared" si="1173"/>
        <v>#VALUE!</v>
      </c>
      <c r="FH162" s="682" t="e">
        <f t="shared" si="1173"/>
        <v>#DIV/0!</v>
      </c>
      <c r="FI162" s="691" t="e">
        <f t="shared" si="1173"/>
        <v>#DIV/0!</v>
      </c>
      <c r="FJ162" s="695" t="e">
        <f t="shared" si="1173"/>
        <v>#DIV/0!</v>
      </c>
      <c r="FK162" s="599" t="e">
        <f t="shared" si="1173"/>
        <v>#DIV/0!</v>
      </c>
      <c r="FL162" s="685" t="e">
        <f t="shared" si="1173"/>
        <v>#DIV/0!</v>
      </c>
      <c r="FM162" s="685" t="s">
        <v>93</v>
      </c>
      <c r="FN162" s="90" t="s">
        <v>93</v>
      </c>
      <c r="FO162" s="599" t="e">
        <f t="shared" ref="FO162" si="1174">AVERAGE(FO157:FO161)</f>
        <v>#DIV/0!</v>
      </c>
      <c r="FP162" s="619" t="e">
        <f t="shared" ref="FP162:GD162" si="1175">AVERAGE(FP157:FP161)</f>
        <v>#DIV/0!</v>
      </c>
      <c r="FQ162" s="675" t="e">
        <f t="shared" si="1175"/>
        <v>#VALUE!</v>
      </c>
      <c r="FR162" s="672" t="e">
        <f t="shared" si="1175"/>
        <v>#VALUE!</v>
      </c>
      <c r="FS162" s="687" t="e">
        <f t="shared" si="1175"/>
        <v>#REF!</v>
      </c>
      <c r="FT162" s="686" t="e">
        <f t="shared" si="1175"/>
        <v>#VALUE!</v>
      </c>
      <c r="FU162" s="687" t="e">
        <f t="shared" si="1175"/>
        <v>#VALUE!</v>
      </c>
      <c r="FV162" s="687" t="e">
        <f t="shared" si="1175"/>
        <v>#VALUE!</v>
      </c>
      <c r="FW162" s="687" t="e">
        <f t="shared" si="1175"/>
        <v>#VALUE!</v>
      </c>
      <c r="FX162" s="687" t="e">
        <f t="shared" si="1175"/>
        <v>#VALUE!</v>
      </c>
      <c r="FY162" s="690" t="e">
        <f t="shared" si="1175"/>
        <v>#VALUE!</v>
      </c>
      <c r="FZ162" s="682" t="e">
        <f t="shared" si="1175"/>
        <v>#DIV/0!</v>
      </c>
      <c r="GA162" s="691" t="e">
        <f t="shared" si="1175"/>
        <v>#DIV/0!</v>
      </c>
      <c r="GB162" s="695" t="e">
        <f t="shared" si="1175"/>
        <v>#DIV/0!</v>
      </c>
      <c r="GC162" s="599" t="e">
        <f t="shared" si="1175"/>
        <v>#DIV/0!</v>
      </c>
      <c r="GD162" s="685" t="e">
        <f t="shared" si="1175"/>
        <v>#DIV/0!</v>
      </c>
      <c r="GE162" s="685" t="s">
        <v>93</v>
      </c>
      <c r="GF162" s="90" t="s">
        <v>93</v>
      </c>
      <c r="GG162" s="599" t="e">
        <f t="shared" ref="GG162" si="1176">AVERAGE(GG157:GG161)</f>
        <v>#DIV/0!</v>
      </c>
      <c r="GH162" s="619" t="e">
        <f t="shared" ref="GH162:GV162" si="1177">AVERAGE(GH157:GH161)</f>
        <v>#DIV/0!</v>
      </c>
      <c r="GI162" s="675" t="e">
        <f t="shared" si="1177"/>
        <v>#VALUE!</v>
      </c>
      <c r="GJ162" s="672" t="e">
        <f t="shared" si="1177"/>
        <v>#VALUE!</v>
      </c>
      <c r="GK162" s="687" t="e">
        <f t="shared" si="1177"/>
        <v>#REF!</v>
      </c>
      <c r="GL162" s="686" t="e">
        <f t="shared" si="1177"/>
        <v>#VALUE!</v>
      </c>
      <c r="GM162" s="687" t="e">
        <f t="shared" si="1177"/>
        <v>#VALUE!</v>
      </c>
      <c r="GN162" s="687" t="e">
        <f t="shared" si="1177"/>
        <v>#VALUE!</v>
      </c>
      <c r="GO162" s="687" t="e">
        <f t="shared" si="1177"/>
        <v>#VALUE!</v>
      </c>
      <c r="GP162" s="687" t="e">
        <f t="shared" si="1177"/>
        <v>#VALUE!</v>
      </c>
      <c r="GQ162" s="690" t="e">
        <f t="shared" si="1177"/>
        <v>#VALUE!</v>
      </c>
      <c r="GR162" s="682" t="e">
        <f t="shared" si="1177"/>
        <v>#DIV/0!</v>
      </c>
      <c r="GS162" s="691" t="e">
        <f t="shared" si="1177"/>
        <v>#DIV/0!</v>
      </c>
      <c r="GT162" s="695" t="e">
        <f t="shared" si="1177"/>
        <v>#DIV/0!</v>
      </c>
      <c r="GU162" s="653" t="e">
        <f t="shared" si="1177"/>
        <v>#DIV/0!</v>
      </c>
      <c r="GV162" s="685" t="e">
        <f t="shared" si="1177"/>
        <v>#DIV/0!</v>
      </c>
      <c r="GW162" s="685" t="s">
        <v>93</v>
      </c>
      <c r="GX162" s="90" t="s">
        <v>93</v>
      </c>
      <c r="GY162" s="599" t="e">
        <f t="shared" ref="GY162" si="1178">AVERAGE(GY157:GY161)</f>
        <v>#DIV/0!</v>
      </c>
      <c r="GZ162" s="619" t="e">
        <f t="shared" ref="GZ162:HN162" si="1179">AVERAGE(GZ157:GZ161)</f>
        <v>#DIV/0!</v>
      </c>
      <c r="HA162" s="675" t="e">
        <f t="shared" si="1179"/>
        <v>#VALUE!</v>
      </c>
      <c r="HB162" s="672" t="e">
        <f t="shared" si="1179"/>
        <v>#VALUE!</v>
      </c>
      <c r="HC162" s="687" t="e">
        <f t="shared" si="1179"/>
        <v>#REF!</v>
      </c>
      <c r="HD162" s="686" t="e">
        <f t="shared" si="1179"/>
        <v>#VALUE!</v>
      </c>
      <c r="HE162" s="687" t="e">
        <f t="shared" si="1179"/>
        <v>#VALUE!</v>
      </c>
      <c r="HF162" s="687" t="e">
        <f t="shared" si="1179"/>
        <v>#VALUE!</v>
      </c>
      <c r="HG162" s="687" t="e">
        <f t="shared" si="1179"/>
        <v>#VALUE!</v>
      </c>
      <c r="HH162" s="687" t="e">
        <f t="shared" si="1179"/>
        <v>#VALUE!</v>
      </c>
      <c r="HI162" s="690" t="e">
        <f t="shared" si="1179"/>
        <v>#VALUE!</v>
      </c>
      <c r="HJ162" s="682" t="e">
        <f t="shared" si="1179"/>
        <v>#DIV/0!</v>
      </c>
      <c r="HK162" s="691" t="e">
        <f t="shared" si="1179"/>
        <v>#DIV/0!</v>
      </c>
      <c r="HL162" s="695" t="e">
        <f t="shared" si="1179"/>
        <v>#DIV/0!</v>
      </c>
      <c r="HM162" s="599" t="e">
        <f t="shared" si="1179"/>
        <v>#DIV/0!</v>
      </c>
      <c r="HN162" s="685" t="e">
        <f t="shared" si="1179"/>
        <v>#DIV/0!</v>
      </c>
      <c r="HO162" s="685" t="s">
        <v>93</v>
      </c>
      <c r="HP162" s="90" t="s">
        <v>93</v>
      </c>
      <c r="HQ162" s="599" t="e">
        <f t="shared" ref="HQ162" si="1180">AVERAGE(HQ157:HQ161)</f>
        <v>#DIV/0!</v>
      </c>
      <c r="HR162" s="619" t="e">
        <f t="shared" ref="HR162:IF162" si="1181">AVERAGE(HR157:HR161)</f>
        <v>#DIV/0!</v>
      </c>
      <c r="HS162" s="675" t="e">
        <f t="shared" si="1181"/>
        <v>#VALUE!</v>
      </c>
      <c r="HT162" s="672" t="e">
        <f t="shared" si="1181"/>
        <v>#VALUE!</v>
      </c>
      <c r="HU162" s="687" t="e">
        <f t="shared" si="1181"/>
        <v>#REF!</v>
      </c>
      <c r="HV162" s="686" t="e">
        <f t="shared" si="1181"/>
        <v>#VALUE!</v>
      </c>
      <c r="HW162" s="687" t="e">
        <f t="shared" si="1181"/>
        <v>#VALUE!</v>
      </c>
      <c r="HX162" s="687" t="e">
        <f t="shared" si="1181"/>
        <v>#VALUE!</v>
      </c>
      <c r="HY162" s="687" t="e">
        <f t="shared" si="1181"/>
        <v>#VALUE!</v>
      </c>
      <c r="HZ162" s="687" t="e">
        <f t="shared" si="1181"/>
        <v>#VALUE!</v>
      </c>
      <c r="IA162" s="690" t="e">
        <f t="shared" si="1181"/>
        <v>#VALUE!</v>
      </c>
      <c r="IB162" s="682" t="e">
        <f t="shared" si="1181"/>
        <v>#DIV/0!</v>
      </c>
      <c r="IC162" s="691" t="e">
        <f t="shared" si="1181"/>
        <v>#DIV/0!</v>
      </c>
      <c r="ID162" s="695" t="e">
        <f t="shared" si="1181"/>
        <v>#DIV/0!</v>
      </c>
      <c r="IE162" s="599" t="e">
        <f t="shared" si="1181"/>
        <v>#DIV/0!</v>
      </c>
      <c r="IF162" s="685" t="e">
        <f t="shared" si="1181"/>
        <v>#DIV/0!</v>
      </c>
      <c r="IG162" s="685" t="s">
        <v>93</v>
      </c>
      <c r="IH162" s="90" t="s">
        <v>93</v>
      </c>
      <c r="II162" s="599" t="e">
        <f t="shared" ref="II162" si="1182">AVERAGE(II157:II161)</f>
        <v>#DIV/0!</v>
      </c>
      <c r="IJ162" s="619" t="e">
        <f t="shared" ref="IJ162:IX162" si="1183">AVERAGE(IJ157:IJ161)</f>
        <v>#DIV/0!</v>
      </c>
      <c r="IK162" s="675" t="e">
        <f t="shared" si="1183"/>
        <v>#VALUE!</v>
      </c>
      <c r="IL162" s="672" t="e">
        <f t="shared" si="1183"/>
        <v>#VALUE!</v>
      </c>
      <c r="IM162" s="687" t="e">
        <f t="shared" si="1183"/>
        <v>#REF!</v>
      </c>
      <c r="IN162" s="686" t="e">
        <f t="shared" si="1183"/>
        <v>#VALUE!</v>
      </c>
      <c r="IO162" s="687" t="e">
        <f t="shared" si="1183"/>
        <v>#VALUE!</v>
      </c>
      <c r="IP162" s="687" t="e">
        <f t="shared" si="1183"/>
        <v>#VALUE!</v>
      </c>
      <c r="IQ162" s="687" t="e">
        <f t="shared" si="1183"/>
        <v>#VALUE!</v>
      </c>
      <c r="IR162" s="687" t="e">
        <f t="shared" si="1183"/>
        <v>#VALUE!</v>
      </c>
      <c r="IS162" s="690" t="e">
        <f t="shared" si="1183"/>
        <v>#VALUE!</v>
      </c>
      <c r="IT162" s="682" t="e">
        <f t="shared" si="1183"/>
        <v>#DIV/0!</v>
      </c>
      <c r="IU162" s="691" t="e">
        <f t="shared" si="1183"/>
        <v>#DIV/0!</v>
      </c>
      <c r="IV162" s="695" t="e">
        <f t="shared" si="1183"/>
        <v>#DIV/0!</v>
      </c>
      <c r="IW162" s="599" t="e">
        <f t="shared" si="1183"/>
        <v>#DIV/0!</v>
      </c>
      <c r="IX162" s="685" t="e">
        <f t="shared" si="1183"/>
        <v>#DIV/0!</v>
      </c>
      <c r="IY162" s="685" t="s">
        <v>93</v>
      </c>
      <c r="IZ162" s="90" t="s">
        <v>93</v>
      </c>
      <c r="JA162" s="599" t="e">
        <f t="shared" ref="JA162" si="1184">AVERAGE(JA157:JA161)</f>
        <v>#DIV/0!</v>
      </c>
      <c r="JB162" s="619" t="e">
        <f t="shared" ref="JB162:JP162" si="1185">AVERAGE(JB157:JB161)</f>
        <v>#DIV/0!</v>
      </c>
      <c r="JC162" s="675" t="e">
        <f t="shared" si="1185"/>
        <v>#VALUE!</v>
      </c>
      <c r="JD162" s="672" t="e">
        <f t="shared" si="1185"/>
        <v>#VALUE!</v>
      </c>
      <c r="JE162" s="687" t="e">
        <f t="shared" si="1185"/>
        <v>#REF!</v>
      </c>
      <c r="JF162" s="686" t="e">
        <f t="shared" si="1185"/>
        <v>#VALUE!</v>
      </c>
      <c r="JG162" s="687" t="e">
        <f t="shared" si="1185"/>
        <v>#VALUE!</v>
      </c>
      <c r="JH162" s="687" t="e">
        <f t="shared" si="1185"/>
        <v>#VALUE!</v>
      </c>
      <c r="JI162" s="687" t="e">
        <f t="shared" si="1185"/>
        <v>#VALUE!</v>
      </c>
      <c r="JJ162" s="687" t="e">
        <f t="shared" si="1185"/>
        <v>#VALUE!</v>
      </c>
      <c r="JK162" s="690" t="e">
        <f t="shared" si="1185"/>
        <v>#VALUE!</v>
      </c>
      <c r="JL162" s="682" t="e">
        <f t="shared" si="1185"/>
        <v>#DIV/0!</v>
      </c>
      <c r="JM162" s="691" t="e">
        <f t="shared" si="1185"/>
        <v>#DIV/0!</v>
      </c>
      <c r="JN162" s="695" t="e">
        <f t="shared" si="1185"/>
        <v>#DIV/0!</v>
      </c>
      <c r="JO162" s="599" t="e">
        <f t="shared" si="1185"/>
        <v>#DIV/0!</v>
      </c>
      <c r="JP162" s="685" t="e">
        <f t="shared" si="1185"/>
        <v>#DIV/0!</v>
      </c>
      <c r="JQ162" s="685" t="s">
        <v>93</v>
      </c>
      <c r="JR162" s="90" t="s">
        <v>93</v>
      </c>
      <c r="JS162" s="599" t="e">
        <f t="shared" ref="JS162" si="1186">AVERAGE(JS157:JS161)</f>
        <v>#DIV/0!</v>
      </c>
      <c r="JT162" s="619" t="e">
        <f t="shared" ref="JT162:KH162" si="1187">AVERAGE(JT157:JT161)</f>
        <v>#DIV/0!</v>
      </c>
      <c r="JU162" s="675" t="e">
        <f t="shared" si="1187"/>
        <v>#VALUE!</v>
      </c>
      <c r="JV162" s="672" t="e">
        <f t="shared" si="1187"/>
        <v>#VALUE!</v>
      </c>
      <c r="JW162" s="687" t="e">
        <f t="shared" si="1187"/>
        <v>#REF!</v>
      </c>
      <c r="JX162" s="686" t="e">
        <f t="shared" si="1187"/>
        <v>#VALUE!</v>
      </c>
      <c r="JY162" s="687" t="e">
        <f t="shared" si="1187"/>
        <v>#VALUE!</v>
      </c>
      <c r="JZ162" s="687" t="e">
        <f t="shared" si="1187"/>
        <v>#VALUE!</v>
      </c>
      <c r="KA162" s="687" t="e">
        <f t="shared" si="1187"/>
        <v>#VALUE!</v>
      </c>
      <c r="KB162" s="687" t="e">
        <f t="shared" si="1187"/>
        <v>#VALUE!</v>
      </c>
      <c r="KC162" s="690" t="e">
        <f t="shared" si="1187"/>
        <v>#VALUE!</v>
      </c>
      <c r="KD162" s="682" t="e">
        <f t="shared" si="1187"/>
        <v>#DIV/0!</v>
      </c>
      <c r="KE162" s="691" t="e">
        <f t="shared" si="1187"/>
        <v>#DIV/0!</v>
      </c>
      <c r="KF162" s="695" t="e">
        <f t="shared" si="1187"/>
        <v>#DIV/0!</v>
      </c>
      <c r="KG162" s="599" t="e">
        <f t="shared" si="1187"/>
        <v>#DIV/0!</v>
      </c>
      <c r="KH162" s="685" t="e">
        <f t="shared" si="1187"/>
        <v>#DIV/0!</v>
      </c>
      <c r="KI162" s="685" t="s">
        <v>93</v>
      </c>
      <c r="KJ162" s="90" t="s">
        <v>93</v>
      </c>
      <c r="KK162" s="599" t="e">
        <f t="shared" ref="KK162" si="1188">AVERAGE(KK157:KK161)</f>
        <v>#DIV/0!</v>
      </c>
      <c r="KL162" s="619" t="e">
        <f t="shared" ref="KL162:KZ162" si="1189">AVERAGE(KL157:KL161)</f>
        <v>#DIV/0!</v>
      </c>
      <c r="KM162" s="675" t="e">
        <f t="shared" si="1189"/>
        <v>#VALUE!</v>
      </c>
      <c r="KN162" s="672" t="e">
        <f t="shared" si="1189"/>
        <v>#VALUE!</v>
      </c>
      <c r="KO162" s="687" t="e">
        <f t="shared" si="1189"/>
        <v>#REF!</v>
      </c>
      <c r="KP162" s="686" t="e">
        <f t="shared" si="1189"/>
        <v>#VALUE!</v>
      </c>
      <c r="KQ162" s="687" t="e">
        <f t="shared" si="1189"/>
        <v>#VALUE!</v>
      </c>
      <c r="KR162" s="687" t="e">
        <f t="shared" si="1189"/>
        <v>#VALUE!</v>
      </c>
      <c r="KS162" s="687" t="e">
        <f t="shared" si="1189"/>
        <v>#VALUE!</v>
      </c>
      <c r="KT162" s="687" t="e">
        <f t="shared" si="1189"/>
        <v>#VALUE!</v>
      </c>
      <c r="KU162" s="690" t="e">
        <f t="shared" si="1189"/>
        <v>#VALUE!</v>
      </c>
      <c r="KV162" s="682" t="e">
        <f t="shared" si="1189"/>
        <v>#DIV/0!</v>
      </c>
      <c r="KW162" s="691" t="e">
        <f t="shared" si="1189"/>
        <v>#DIV/0!</v>
      </c>
      <c r="KX162" s="695" t="e">
        <f t="shared" si="1189"/>
        <v>#DIV/0!</v>
      </c>
      <c r="KY162" s="599" t="e">
        <f t="shared" si="1189"/>
        <v>#DIV/0!</v>
      </c>
      <c r="KZ162" s="685" t="e">
        <f t="shared" si="1189"/>
        <v>#DIV/0!</v>
      </c>
      <c r="LA162" s="685" t="s">
        <v>93</v>
      </c>
      <c r="LB162" s="90" t="s">
        <v>93</v>
      </c>
      <c r="LC162" s="599" t="e">
        <f t="shared" ref="LC162" si="1190">AVERAGE(LC157:LC161)</f>
        <v>#DIV/0!</v>
      </c>
      <c r="LD162" s="619" t="e">
        <f t="shared" ref="LD162:LR162" si="1191">AVERAGE(LD157:LD161)</f>
        <v>#DIV/0!</v>
      </c>
      <c r="LE162" s="675" t="e">
        <f t="shared" si="1191"/>
        <v>#VALUE!</v>
      </c>
      <c r="LF162" s="672" t="e">
        <f t="shared" si="1191"/>
        <v>#VALUE!</v>
      </c>
      <c r="LG162" s="687" t="e">
        <f t="shared" si="1191"/>
        <v>#REF!</v>
      </c>
      <c r="LH162" s="686" t="e">
        <f t="shared" si="1191"/>
        <v>#VALUE!</v>
      </c>
      <c r="LI162" s="687" t="e">
        <f t="shared" si="1191"/>
        <v>#VALUE!</v>
      </c>
      <c r="LJ162" s="687" t="e">
        <f t="shared" si="1191"/>
        <v>#VALUE!</v>
      </c>
      <c r="LK162" s="687" t="e">
        <f t="shared" si="1191"/>
        <v>#VALUE!</v>
      </c>
      <c r="LL162" s="687" t="e">
        <f t="shared" si="1191"/>
        <v>#VALUE!</v>
      </c>
      <c r="LM162" s="690" t="e">
        <f t="shared" si="1191"/>
        <v>#VALUE!</v>
      </c>
      <c r="LN162" s="682" t="e">
        <f t="shared" si="1191"/>
        <v>#DIV/0!</v>
      </c>
      <c r="LO162" s="691" t="e">
        <f t="shared" si="1191"/>
        <v>#DIV/0!</v>
      </c>
      <c r="LP162" s="695" t="e">
        <f t="shared" si="1191"/>
        <v>#DIV/0!</v>
      </c>
      <c r="LQ162" s="599" t="e">
        <f t="shared" si="1191"/>
        <v>#DIV/0!</v>
      </c>
      <c r="LR162" s="685" t="e">
        <f t="shared" si="1191"/>
        <v>#DIV/0!</v>
      </c>
      <c r="LS162" s="685" t="s">
        <v>93</v>
      </c>
      <c r="LT162" s="90" t="s">
        <v>93</v>
      </c>
      <c r="LU162" s="599" t="e">
        <f t="shared" ref="LU162" si="1192">AVERAGE(LU157:LU161)</f>
        <v>#DIV/0!</v>
      </c>
      <c r="LV162" s="619" t="e">
        <f t="shared" ref="LV162:MJ162" si="1193">AVERAGE(LV157:LV161)</f>
        <v>#DIV/0!</v>
      </c>
      <c r="LW162" s="675" t="e">
        <f t="shared" si="1193"/>
        <v>#VALUE!</v>
      </c>
      <c r="LX162" s="672" t="e">
        <f t="shared" si="1193"/>
        <v>#VALUE!</v>
      </c>
      <c r="LY162" s="687" t="e">
        <f t="shared" si="1193"/>
        <v>#REF!</v>
      </c>
      <c r="LZ162" s="686" t="e">
        <f t="shared" si="1193"/>
        <v>#VALUE!</v>
      </c>
      <c r="MA162" s="687" t="e">
        <f t="shared" si="1193"/>
        <v>#VALUE!</v>
      </c>
      <c r="MB162" s="687" t="e">
        <f t="shared" si="1193"/>
        <v>#VALUE!</v>
      </c>
      <c r="MC162" s="687" t="e">
        <f t="shared" si="1193"/>
        <v>#VALUE!</v>
      </c>
      <c r="MD162" s="687" t="e">
        <f t="shared" si="1193"/>
        <v>#VALUE!</v>
      </c>
      <c r="ME162" s="690" t="e">
        <f t="shared" si="1193"/>
        <v>#VALUE!</v>
      </c>
      <c r="MF162" s="682" t="e">
        <f t="shared" si="1193"/>
        <v>#DIV/0!</v>
      </c>
      <c r="MG162" s="691" t="e">
        <f t="shared" si="1193"/>
        <v>#DIV/0!</v>
      </c>
      <c r="MH162" s="695" t="e">
        <f t="shared" si="1193"/>
        <v>#DIV/0!</v>
      </c>
      <c r="MI162" s="599" t="e">
        <f t="shared" si="1193"/>
        <v>#DIV/0!</v>
      </c>
      <c r="MJ162" s="685" t="e">
        <f t="shared" si="1193"/>
        <v>#DIV/0!</v>
      </c>
      <c r="MK162" s="685" t="s">
        <v>93</v>
      </c>
      <c r="ML162" s="90" t="s">
        <v>93</v>
      </c>
      <c r="MM162" s="599" t="e">
        <f t="shared" ref="MM162" si="1194">AVERAGE(MM157:MM161)</f>
        <v>#DIV/0!</v>
      </c>
      <c r="MN162" s="619" t="e">
        <f t="shared" ref="MN162:NB162" si="1195">AVERAGE(MN157:MN161)</f>
        <v>#DIV/0!</v>
      </c>
      <c r="MO162" s="675" t="e">
        <f t="shared" si="1195"/>
        <v>#VALUE!</v>
      </c>
      <c r="MP162" s="672" t="e">
        <f t="shared" si="1195"/>
        <v>#VALUE!</v>
      </c>
      <c r="MQ162" s="687" t="e">
        <f t="shared" si="1195"/>
        <v>#REF!</v>
      </c>
      <c r="MR162" s="686" t="e">
        <f t="shared" si="1195"/>
        <v>#VALUE!</v>
      </c>
      <c r="MS162" s="687" t="e">
        <f t="shared" si="1195"/>
        <v>#VALUE!</v>
      </c>
      <c r="MT162" s="687" t="e">
        <f t="shared" si="1195"/>
        <v>#VALUE!</v>
      </c>
      <c r="MU162" s="687" t="e">
        <f t="shared" si="1195"/>
        <v>#VALUE!</v>
      </c>
      <c r="MV162" s="687" t="e">
        <f t="shared" si="1195"/>
        <v>#VALUE!</v>
      </c>
      <c r="MW162" s="690" t="e">
        <f t="shared" si="1195"/>
        <v>#VALUE!</v>
      </c>
      <c r="MX162" s="682" t="e">
        <f t="shared" si="1195"/>
        <v>#DIV/0!</v>
      </c>
      <c r="MY162" s="691" t="e">
        <f t="shared" si="1195"/>
        <v>#DIV/0!</v>
      </c>
      <c r="MZ162" s="695" t="e">
        <f t="shared" si="1195"/>
        <v>#DIV/0!</v>
      </c>
      <c r="NA162" s="599" t="e">
        <f t="shared" si="1195"/>
        <v>#DIV/0!</v>
      </c>
      <c r="NB162" s="685" t="e">
        <f t="shared" si="1195"/>
        <v>#DIV/0!</v>
      </c>
      <c r="NC162" s="685" t="s">
        <v>93</v>
      </c>
      <c r="ND162" s="90" t="s">
        <v>93</v>
      </c>
      <c r="NE162" s="599" t="e">
        <f t="shared" ref="NE162" si="1196">AVERAGE(NE157:NE161)</f>
        <v>#DIV/0!</v>
      </c>
      <c r="NF162" s="619" t="e">
        <f t="shared" ref="NF162:NT162" si="1197">AVERAGE(NF157:NF161)</f>
        <v>#DIV/0!</v>
      </c>
      <c r="NG162" s="675" t="e">
        <f t="shared" si="1197"/>
        <v>#VALUE!</v>
      </c>
      <c r="NH162" s="672" t="e">
        <f t="shared" si="1197"/>
        <v>#VALUE!</v>
      </c>
      <c r="NI162" s="687" t="e">
        <f t="shared" si="1197"/>
        <v>#REF!</v>
      </c>
      <c r="NJ162" s="686" t="e">
        <f t="shared" si="1197"/>
        <v>#VALUE!</v>
      </c>
      <c r="NK162" s="687" t="e">
        <f t="shared" si="1197"/>
        <v>#VALUE!</v>
      </c>
      <c r="NL162" s="687" t="e">
        <f t="shared" si="1197"/>
        <v>#VALUE!</v>
      </c>
      <c r="NM162" s="687" t="e">
        <f t="shared" si="1197"/>
        <v>#VALUE!</v>
      </c>
      <c r="NN162" s="687" t="e">
        <f t="shared" si="1197"/>
        <v>#VALUE!</v>
      </c>
      <c r="NO162" s="690" t="e">
        <f t="shared" si="1197"/>
        <v>#VALUE!</v>
      </c>
      <c r="NP162" s="682" t="e">
        <f t="shared" si="1197"/>
        <v>#DIV/0!</v>
      </c>
      <c r="NQ162" s="691" t="e">
        <f t="shared" si="1197"/>
        <v>#DIV/0!</v>
      </c>
      <c r="NR162" s="695" t="e">
        <f t="shared" si="1197"/>
        <v>#DIV/0!</v>
      </c>
      <c r="NS162" s="599" t="e">
        <f t="shared" si="1197"/>
        <v>#DIV/0!</v>
      </c>
      <c r="NT162" s="685" t="e">
        <f t="shared" si="1197"/>
        <v>#DIV/0!</v>
      </c>
      <c r="NU162" s="685" t="s">
        <v>93</v>
      </c>
      <c r="NV162" s="90" t="s">
        <v>93</v>
      </c>
      <c r="NW162" s="599" t="e">
        <f t="shared" ref="NW162" si="1198">AVERAGE(NW157:NW161)</f>
        <v>#DIV/0!</v>
      </c>
      <c r="NX162" s="619" t="e">
        <f t="shared" ref="NX162:OL162" si="1199">AVERAGE(NX157:NX161)</f>
        <v>#DIV/0!</v>
      </c>
      <c r="NY162" s="675" t="e">
        <f t="shared" si="1199"/>
        <v>#VALUE!</v>
      </c>
      <c r="NZ162" s="672" t="e">
        <f t="shared" si="1199"/>
        <v>#VALUE!</v>
      </c>
      <c r="OA162" s="687" t="e">
        <f t="shared" si="1199"/>
        <v>#REF!</v>
      </c>
      <c r="OB162" s="686" t="e">
        <f t="shared" si="1199"/>
        <v>#VALUE!</v>
      </c>
      <c r="OC162" s="687" t="e">
        <f t="shared" si="1199"/>
        <v>#VALUE!</v>
      </c>
      <c r="OD162" s="687" t="e">
        <f t="shared" si="1199"/>
        <v>#VALUE!</v>
      </c>
      <c r="OE162" s="687" t="e">
        <f t="shared" si="1199"/>
        <v>#VALUE!</v>
      </c>
      <c r="OF162" s="687" t="e">
        <f t="shared" si="1199"/>
        <v>#VALUE!</v>
      </c>
      <c r="OG162" s="690" t="e">
        <f t="shared" si="1199"/>
        <v>#VALUE!</v>
      </c>
      <c r="OH162" s="682" t="e">
        <f t="shared" si="1199"/>
        <v>#DIV/0!</v>
      </c>
      <c r="OI162" s="691" t="e">
        <f t="shared" si="1199"/>
        <v>#DIV/0!</v>
      </c>
      <c r="OJ162" s="695" t="e">
        <f t="shared" si="1199"/>
        <v>#DIV/0!</v>
      </c>
      <c r="OK162" s="599" t="e">
        <f t="shared" si="1199"/>
        <v>#DIV/0!</v>
      </c>
      <c r="OL162" s="685" t="e">
        <f t="shared" si="1199"/>
        <v>#DIV/0!</v>
      </c>
      <c r="OM162" s="685" t="s">
        <v>93</v>
      </c>
      <c r="ON162" s="90" t="s">
        <v>93</v>
      </c>
      <c r="OO162" s="599" t="e">
        <f t="shared" ref="OO162" si="1200">AVERAGE(OO157:OO161)</f>
        <v>#DIV/0!</v>
      </c>
      <c r="OP162" s="619" t="e">
        <f t="shared" ref="OP162:PD162" si="1201">AVERAGE(OP157:OP161)</f>
        <v>#DIV/0!</v>
      </c>
      <c r="OQ162" s="675" t="e">
        <f t="shared" si="1201"/>
        <v>#VALUE!</v>
      </c>
      <c r="OR162" s="672" t="e">
        <f t="shared" si="1201"/>
        <v>#VALUE!</v>
      </c>
      <c r="OS162" s="687" t="e">
        <f t="shared" si="1201"/>
        <v>#REF!</v>
      </c>
      <c r="OT162" s="686" t="e">
        <f t="shared" si="1201"/>
        <v>#VALUE!</v>
      </c>
      <c r="OU162" s="687" t="e">
        <f t="shared" si="1201"/>
        <v>#VALUE!</v>
      </c>
      <c r="OV162" s="687" t="e">
        <f t="shared" si="1201"/>
        <v>#VALUE!</v>
      </c>
      <c r="OW162" s="687" t="e">
        <f t="shared" si="1201"/>
        <v>#VALUE!</v>
      </c>
      <c r="OX162" s="687" t="e">
        <f t="shared" si="1201"/>
        <v>#VALUE!</v>
      </c>
      <c r="OY162" s="690" t="e">
        <f t="shared" si="1201"/>
        <v>#VALUE!</v>
      </c>
      <c r="OZ162" s="682" t="e">
        <f t="shared" si="1201"/>
        <v>#DIV/0!</v>
      </c>
      <c r="PA162" s="691" t="e">
        <f t="shared" si="1201"/>
        <v>#DIV/0!</v>
      </c>
      <c r="PB162" s="695" t="e">
        <f t="shared" si="1201"/>
        <v>#DIV/0!</v>
      </c>
      <c r="PC162" s="599" t="e">
        <f t="shared" si="1201"/>
        <v>#DIV/0!</v>
      </c>
      <c r="PD162" s="685" t="e">
        <f t="shared" si="1201"/>
        <v>#DIV/0!</v>
      </c>
      <c r="PE162" s="685" t="s">
        <v>93</v>
      </c>
      <c r="PF162" s="90" t="s">
        <v>93</v>
      </c>
      <c r="PG162" s="599" t="e">
        <f t="shared" ref="PG162" si="1202">AVERAGE(PG157:PG161)</f>
        <v>#DIV/0!</v>
      </c>
      <c r="PH162" s="619" t="e">
        <f t="shared" ref="PH162:PV162" si="1203">AVERAGE(PH157:PH161)</f>
        <v>#DIV/0!</v>
      </c>
      <c r="PI162" s="675" t="e">
        <f t="shared" si="1203"/>
        <v>#VALUE!</v>
      </c>
      <c r="PJ162" s="672" t="e">
        <f t="shared" si="1203"/>
        <v>#VALUE!</v>
      </c>
      <c r="PK162" s="687" t="e">
        <f t="shared" si="1203"/>
        <v>#REF!</v>
      </c>
      <c r="PL162" s="686" t="e">
        <f t="shared" si="1203"/>
        <v>#VALUE!</v>
      </c>
      <c r="PM162" s="687" t="e">
        <f t="shared" si="1203"/>
        <v>#VALUE!</v>
      </c>
      <c r="PN162" s="687" t="e">
        <f t="shared" si="1203"/>
        <v>#VALUE!</v>
      </c>
      <c r="PO162" s="687" t="e">
        <f t="shared" si="1203"/>
        <v>#VALUE!</v>
      </c>
      <c r="PP162" s="687" t="e">
        <f t="shared" si="1203"/>
        <v>#VALUE!</v>
      </c>
      <c r="PQ162" s="690" t="e">
        <f t="shared" si="1203"/>
        <v>#VALUE!</v>
      </c>
      <c r="PR162" s="682" t="e">
        <f t="shared" si="1203"/>
        <v>#DIV/0!</v>
      </c>
      <c r="PS162" s="691" t="e">
        <f t="shared" si="1203"/>
        <v>#DIV/0!</v>
      </c>
      <c r="PT162" s="695" t="e">
        <f t="shared" si="1203"/>
        <v>#DIV/0!</v>
      </c>
      <c r="PU162" s="599" t="e">
        <f t="shared" si="1203"/>
        <v>#DIV/0!</v>
      </c>
      <c r="PV162" s="685" t="e">
        <f t="shared" si="1203"/>
        <v>#DIV/0!</v>
      </c>
      <c r="PW162" s="685" t="s">
        <v>93</v>
      </c>
      <c r="PX162" s="90" t="s">
        <v>93</v>
      </c>
      <c r="PY162" s="599" t="e">
        <f t="shared" ref="PY162" si="1204">AVERAGE(PY157:PY161)</f>
        <v>#DIV/0!</v>
      </c>
      <c r="PZ162" s="619" t="e">
        <f t="shared" ref="PZ162:QN162" si="1205">AVERAGE(PZ157:PZ161)</f>
        <v>#DIV/0!</v>
      </c>
      <c r="QA162" s="675" t="e">
        <f t="shared" si="1205"/>
        <v>#VALUE!</v>
      </c>
      <c r="QB162" s="672" t="e">
        <f t="shared" si="1205"/>
        <v>#VALUE!</v>
      </c>
      <c r="QC162" s="687" t="e">
        <f t="shared" si="1205"/>
        <v>#REF!</v>
      </c>
      <c r="QD162" s="686" t="e">
        <f t="shared" si="1205"/>
        <v>#VALUE!</v>
      </c>
      <c r="QE162" s="687" t="e">
        <f t="shared" si="1205"/>
        <v>#VALUE!</v>
      </c>
      <c r="QF162" s="687" t="e">
        <f t="shared" si="1205"/>
        <v>#VALUE!</v>
      </c>
      <c r="QG162" s="687" t="e">
        <f t="shared" si="1205"/>
        <v>#VALUE!</v>
      </c>
      <c r="QH162" s="687" t="e">
        <f t="shared" si="1205"/>
        <v>#VALUE!</v>
      </c>
      <c r="QI162" s="690" t="e">
        <f t="shared" si="1205"/>
        <v>#VALUE!</v>
      </c>
      <c r="QJ162" s="682" t="e">
        <f t="shared" si="1205"/>
        <v>#DIV/0!</v>
      </c>
      <c r="QK162" s="691" t="e">
        <f t="shared" si="1205"/>
        <v>#DIV/0!</v>
      </c>
      <c r="QL162" s="695" t="e">
        <f t="shared" si="1205"/>
        <v>#DIV/0!</v>
      </c>
      <c r="QM162" s="599" t="e">
        <f t="shared" si="1205"/>
        <v>#DIV/0!</v>
      </c>
      <c r="QN162" s="685" t="e">
        <f t="shared" si="1205"/>
        <v>#DIV/0!</v>
      </c>
      <c r="QO162" s="685" t="s">
        <v>93</v>
      </c>
      <c r="QP162" s="90" t="s">
        <v>93</v>
      </c>
      <c r="QQ162" s="599" t="e">
        <f t="shared" ref="QQ162" si="1206">AVERAGE(QQ157:QQ161)</f>
        <v>#DIV/0!</v>
      </c>
      <c r="QR162" s="619" t="e">
        <f t="shared" ref="QR162:RF162" si="1207">AVERAGE(QR157:QR161)</f>
        <v>#DIV/0!</v>
      </c>
      <c r="QS162" s="675" t="e">
        <f t="shared" si="1207"/>
        <v>#VALUE!</v>
      </c>
      <c r="QT162" s="672" t="e">
        <f t="shared" si="1207"/>
        <v>#VALUE!</v>
      </c>
      <c r="QU162" s="687" t="e">
        <f t="shared" si="1207"/>
        <v>#REF!</v>
      </c>
      <c r="QV162" s="686" t="e">
        <f t="shared" si="1207"/>
        <v>#VALUE!</v>
      </c>
      <c r="QW162" s="687" t="e">
        <f t="shared" si="1207"/>
        <v>#VALUE!</v>
      </c>
      <c r="QX162" s="687" t="e">
        <f t="shared" si="1207"/>
        <v>#VALUE!</v>
      </c>
      <c r="QY162" s="687" t="e">
        <f t="shared" si="1207"/>
        <v>#VALUE!</v>
      </c>
      <c r="QZ162" s="687" t="e">
        <f t="shared" si="1207"/>
        <v>#VALUE!</v>
      </c>
      <c r="RA162" s="690" t="e">
        <f t="shared" si="1207"/>
        <v>#VALUE!</v>
      </c>
      <c r="RB162" s="682" t="e">
        <f t="shared" si="1207"/>
        <v>#DIV/0!</v>
      </c>
      <c r="RC162" s="691" t="e">
        <f t="shared" si="1207"/>
        <v>#DIV/0!</v>
      </c>
      <c r="RD162" s="695" t="e">
        <f t="shared" si="1207"/>
        <v>#DIV/0!</v>
      </c>
      <c r="RE162" s="599" t="e">
        <f t="shared" si="1207"/>
        <v>#DIV/0!</v>
      </c>
      <c r="RF162" s="694">
        <f t="shared" si="1207"/>
        <v>100</v>
      </c>
      <c r="RG162" s="685" t="s">
        <v>93</v>
      </c>
      <c r="RH162" s="90" t="s">
        <v>93</v>
      </c>
      <c r="RI162" s="599" t="e">
        <f t="shared" ref="RI162" si="1208">AVERAGE(RI157:RI161)</f>
        <v>#DIV/0!</v>
      </c>
      <c r="RJ162" s="619" t="e">
        <f t="shared" ref="RJ162:RX162" si="1209">AVERAGE(RJ157:RJ161)</f>
        <v>#DIV/0!</v>
      </c>
      <c r="RK162" s="675" t="e">
        <f t="shared" si="1209"/>
        <v>#VALUE!</v>
      </c>
      <c r="RL162" s="672" t="e">
        <f t="shared" si="1209"/>
        <v>#VALUE!</v>
      </c>
      <c r="RM162" s="687" t="e">
        <f t="shared" si="1209"/>
        <v>#REF!</v>
      </c>
      <c r="RN162" s="686" t="e">
        <f t="shared" si="1209"/>
        <v>#VALUE!</v>
      </c>
      <c r="RO162" s="687" t="e">
        <f t="shared" si="1209"/>
        <v>#VALUE!</v>
      </c>
      <c r="RP162" s="687" t="e">
        <f t="shared" si="1209"/>
        <v>#VALUE!</v>
      </c>
      <c r="RQ162" s="687" t="e">
        <f t="shared" si="1209"/>
        <v>#VALUE!</v>
      </c>
      <c r="RR162" s="687" t="e">
        <f t="shared" si="1209"/>
        <v>#VALUE!</v>
      </c>
      <c r="RS162" s="690" t="e">
        <f t="shared" si="1209"/>
        <v>#VALUE!</v>
      </c>
      <c r="RT162" s="682" t="e">
        <f t="shared" si="1209"/>
        <v>#DIV/0!</v>
      </c>
      <c r="RU162" s="691" t="e">
        <f t="shared" si="1209"/>
        <v>#DIV/0!</v>
      </c>
      <c r="RV162" s="710" t="e">
        <f t="shared" si="1209"/>
        <v>#DIV/0!</v>
      </c>
      <c r="RW162" s="672" t="e">
        <f t="shared" si="1209"/>
        <v>#DIV/0!</v>
      </c>
      <c r="RX162" s="694">
        <f t="shared" si="1209"/>
        <v>100</v>
      </c>
      <c r="RY162" s="685" t="s">
        <v>93</v>
      </c>
      <c r="RZ162" s="90" t="s">
        <v>93</v>
      </c>
      <c r="SA162" s="599" t="e">
        <f t="shared" ref="SA162" si="1210">AVERAGE(SA157:SA161)</f>
        <v>#DIV/0!</v>
      </c>
      <c r="SB162" s="619" t="e">
        <f t="shared" ref="SB162:SP162" si="1211">AVERAGE(SB157:SB161)</f>
        <v>#DIV/0!</v>
      </c>
      <c r="SC162" s="675" t="e">
        <f t="shared" si="1211"/>
        <v>#VALUE!</v>
      </c>
      <c r="SD162" s="672" t="e">
        <f t="shared" si="1211"/>
        <v>#VALUE!</v>
      </c>
      <c r="SE162" s="687" t="e">
        <f t="shared" si="1211"/>
        <v>#REF!</v>
      </c>
      <c r="SF162" s="686" t="e">
        <f t="shared" si="1211"/>
        <v>#VALUE!</v>
      </c>
      <c r="SG162" s="687" t="e">
        <f t="shared" si="1211"/>
        <v>#VALUE!</v>
      </c>
      <c r="SH162" s="687" t="e">
        <f t="shared" si="1211"/>
        <v>#VALUE!</v>
      </c>
      <c r="SI162" s="687" t="e">
        <f t="shared" si="1211"/>
        <v>#VALUE!</v>
      </c>
      <c r="SJ162" s="687" t="e">
        <f t="shared" si="1211"/>
        <v>#VALUE!</v>
      </c>
      <c r="SK162" s="690" t="e">
        <f t="shared" si="1211"/>
        <v>#VALUE!</v>
      </c>
      <c r="SL162" s="682" t="e">
        <f t="shared" si="1211"/>
        <v>#DIV/0!</v>
      </c>
      <c r="SM162" s="691" t="e">
        <f t="shared" si="1211"/>
        <v>#DIV/0!</v>
      </c>
      <c r="SN162" s="695" t="e">
        <f t="shared" si="1211"/>
        <v>#DIV/0!</v>
      </c>
      <c r="SO162" s="599" t="e">
        <f t="shared" si="1211"/>
        <v>#DIV/0!</v>
      </c>
      <c r="SP162" s="685" t="e">
        <f t="shared" si="1211"/>
        <v>#DIV/0!</v>
      </c>
      <c r="SQ162" s="685" t="s">
        <v>93</v>
      </c>
      <c r="SR162" s="90" t="s">
        <v>93</v>
      </c>
      <c r="SS162" s="599" t="e">
        <f t="shared" ref="SS162" si="1212">AVERAGE(SS157:SS161)</f>
        <v>#DIV/0!</v>
      </c>
      <c r="ST162" s="619" t="e">
        <f t="shared" ref="ST162:TH162" si="1213">AVERAGE(ST157:ST161)</f>
        <v>#DIV/0!</v>
      </c>
      <c r="SU162" s="675" t="e">
        <f t="shared" si="1213"/>
        <v>#VALUE!</v>
      </c>
      <c r="SV162" s="672" t="e">
        <f t="shared" si="1213"/>
        <v>#VALUE!</v>
      </c>
      <c r="SW162" s="687" t="e">
        <f t="shared" si="1213"/>
        <v>#REF!</v>
      </c>
      <c r="SX162" s="686" t="e">
        <f t="shared" si="1213"/>
        <v>#VALUE!</v>
      </c>
      <c r="SY162" s="687" t="e">
        <f t="shared" si="1213"/>
        <v>#VALUE!</v>
      </c>
      <c r="SZ162" s="687" t="e">
        <f t="shared" si="1213"/>
        <v>#VALUE!</v>
      </c>
      <c r="TA162" s="687" t="e">
        <f t="shared" si="1213"/>
        <v>#VALUE!</v>
      </c>
      <c r="TB162" s="687" t="e">
        <f t="shared" si="1213"/>
        <v>#VALUE!</v>
      </c>
      <c r="TC162" s="690" t="e">
        <f t="shared" si="1213"/>
        <v>#VALUE!</v>
      </c>
      <c r="TD162" s="682" t="e">
        <f t="shared" si="1213"/>
        <v>#DIV/0!</v>
      </c>
      <c r="TE162" s="691" t="e">
        <f t="shared" si="1213"/>
        <v>#DIV/0!</v>
      </c>
      <c r="TF162" s="695" t="e">
        <f t="shared" si="1213"/>
        <v>#DIV/0!</v>
      </c>
      <c r="TG162" s="599" t="e">
        <f t="shared" si="1213"/>
        <v>#DIV/0!</v>
      </c>
      <c r="TH162" s="685" t="e">
        <f t="shared" si="1213"/>
        <v>#DIV/0!</v>
      </c>
      <c r="TI162" s="685" t="s">
        <v>93</v>
      </c>
      <c r="TJ162" s="90" t="s">
        <v>93</v>
      </c>
      <c r="TK162" s="599" t="e">
        <f t="shared" ref="TK162" si="1214">AVERAGE(TK157:TK161)</f>
        <v>#DIV/0!</v>
      </c>
      <c r="TL162" s="619" t="e">
        <f t="shared" ref="TL162:TZ162" si="1215">AVERAGE(TL157:TL161)</f>
        <v>#DIV/0!</v>
      </c>
      <c r="TM162" s="675" t="e">
        <f t="shared" si="1215"/>
        <v>#VALUE!</v>
      </c>
      <c r="TN162" s="672" t="e">
        <f t="shared" si="1215"/>
        <v>#VALUE!</v>
      </c>
      <c r="TO162" s="687" t="e">
        <f t="shared" si="1215"/>
        <v>#REF!</v>
      </c>
      <c r="TP162" s="686" t="e">
        <f t="shared" si="1215"/>
        <v>#VALUE!</v>
      </c>
      <c r="TQ162" s="687" t="e">
        <f t="shared" si="1215"/>
        <v>#VALUE!</v>
      </c>
      <c r="TR162" s="687" t="e">
        <f t="shared" si="1215"/>
        <v>#VALUE!</v>
      </c>
      <c r="TS162" s="687" t="e">
        <f t="shared" si="1215"/>
        <v>#VALUE!</v>
      </c>
      <c r="TT162" s="687" t="e">
        <f t="shared" si="1215"/>
        <v>#VALUE!</v>
      </c>
      <c r="TU162" s="690" t="e">
        <f t="shared" si="1215"/>
        <v>#VALUE!</v>
      </c>
      <c r="TV162" s="682" t="e">
        <f t="shared" si="1215"/>
        <v>#DIV/0!</v>
      </c>
      <c r="TW162" s="691" t="e">
        <f t="shared" si="1215"/>
        <v>#DIV/0!</v>
      </c>
      <c r="TX162" s="695" t="e">
        <f t="shared" si="1215"/>
        <v>#DIV/0!</v>
      </c>
      <c r="TY162" s="599" t="e">
        <f t="shared" si="1215"/>
        <v>#DIV/0!</v>
      </c>
      <c r="TZ162" s="685" t="e">
        <f t="shared" si="1215"/>
        <v>#DIV/0!</v>
      </c>
      <c r="UA162" s="685" t="s">
        <v>93</v>
      </c>
      <c r="UB162" s="90" t="s">
        <v>93</v>
      </c>
      <c r="UC162" s="599" t="e">
        <f t="shared" ref="UC162" si="1216">AVERAGE(UC157:UC161)</f>
        <v>#DIV/0!</v>
      </c>
      <c r="UD162" s="619" t="e">
        <f t="shared" ref="UD162:UR162" si="1217">AVERAGE(UD157:UD161)</f>
        <v>#DIV/0!</v>
      </c>
      <c r="UE162" s="675" t="e">
        <f t="shared" si="1217"/>
        <v>#VALUE!</v>
      </c>
      <c r="UF162" s="672" t="e">
        <f t="shared" si="1217"/>
        <v>#VALUE!</v>
      </c>
      <c r="UG162" s="687" t="e">
        <f t="shared" si="1217"/>
        <v>#REF!</v>
      </c>
      <c r="UH162" s="686" t="e">
        <f t="shared" si="1217"/>
        <v>#VALUE!</v>
      </c>
      <c r="UI162" s="687" t="e">
        <f t="shared" si="1217"/>
        <v>#VALUE!</v>
      </c>
      <c r="UJ162" s="687" t="e">
        <f t="shared" si="1217"/>
        <v>#VALUE!</v>
      </c>
      <c r="UK162" s="687" t="e">
        <f t="shared" si="1217"/>
        <v>#VALUE!</v>
      </c>
      <c r="UL162" s="687" t="e">
        <f t="shared" si="1217"/>
        <v>#VALUE!</v>
      </c>
      <c r="UM162" s="690" t="e">
        <f t="shared" si="1217"/>
        <v>#VALUE!</v>
      </c>
      <c r="UN162" s="682" t="e">
        <f t="shared" si="1217"/>
        <v>#DIV/0!</v>
      </c>
      <c r="UO162" s="691" t="e">
        <f t="shared" si="1217"/>
        <v>#DIV/0!</v>
      </c>
      <c r="UP162" s="695" t="e">
        <f t="shared" si="1217"/>
        <v>#DIV/0!</v>
      </c>
      <c r="UQ162" s="599" t="e">
        <f t="shared" si="1217"/>
        <v>#DIV/0!</v>
      </c>
      <c r="UR162" s="685" t="e">
        <f t="shared" si="1217"/>
        <v>#DIV/0!</v>
      </c>
      <c r="US162" s="685" t="s">
        <v>93</v>
      </c>
      <c r="UT162" s="90" t="s">
        <v>93</v>
      </c>
      <c r="UU162" s="599" t="e">
        <f t="shared" ref="UU162" si="1218">AVERAGE(UU157:UU161)</f>
        <v>#DIV/0!</v>
      </c>
      <c r="UV162" s="619" t="e">
        <f t="shared" ref="UV162:VE162" si="1219">AVERAGE(UV157:UV161)</f>
        <v>#DIV/0!</v>
      </c>
      <c r="UW162" s="675" t="e">
        <f t="shared" si="1219"/>
        <v>#VALUE!</v>
      </c>
      <c r="UX162" s="672" t="e">
        <f t="shared" si="1219"/>
        <v>#VALUE!</v>
      </c>
      <c r="UY162" s="687" t="e">
        <f t="shared" si="1219"/>
        <v>#REF!</v>
      </c>
      <c r="UZ162" s="686" t="e">
        <f t="shared" si="1219"/>
        <v>#VALUE!</v>
      </c>
      <c r="VA162" s="687" t="e">
        <f t="shared" si="1219"/>
        <v>#VALUE!</v>
      </c>
      <c r="VB162" s="687" t="e">
        <f t="shared" si="1219"/>
        <v>#VALUE!</v>
      </c>
      <c r="VC162" s="687" t="e">
        <f t="shared" si="1219"/>
        <v>#VALUE!</v>
      </c>
      <c r="VD162" s="687" t="e">
        <f t="shared" si="1219"/>
        <v>#VALUE!</v>
      </c>
      <c r="VE162" s="690" t="e">
        <f t="shared" si="1219"/>
        <v>#VALUE!</v>
      </c>
    </row>
    <row r="163" spans="1:577" x14ac:dyDescent="0.25">
      <c r="A163" s="681" t="s">
        <v>62</v>
      </c>
      <c r="B163" s="688">
        <f t="shared" ref="B163:F163" si="1220">STDEVA(B157:B161)</f>
        <v>0.13416407864998822</v>
      </c>
      <c r="C163" s="619">
        <f t="shared" si="1220"/>
        <v>2.16794833886788</v>
      </c>
      <c r="D163" s="619">
        <f t="shared" si="1220"/>
        <v>0.21908902300205399</v>
      </c>
      <c r="E163" s="672">
        <f t="shared" si="1220"/>
        <v>8.3666002653413439E-13</v>
      </c>
      <c r="F163" s="619">
        <f t="shared" si="1220"/>
        <v>0</v>
      </c>
      <c r="G163" s="652" t="s">
        <v>93</v>
      </c>
      <c r="H163" s="40" t="s">
        <v>93</v>
      </c>
      <c r="I163" s="599">
        <f>STDEVA(I157:I161)</f>
        <v>8.3749668656073755E-13</v>
      </c>
      <c r="J163" s="652">
        <f t="shared" ref="J163:X163" si="1221">STDEVA(J157:J161)</f>
        <v>2.585489628119178E-4</v>
      </c>
      <c r="K163" s="675">
        <f t="shared" si="1221"/>
        <v>1.6223538405186927E-14</v>
      </c>
      <c r="L163" s="672">
        <f t="shared" si="1221"/>
        <v>1.622353840518693E-14</v>
      </c>
      <c r="M163" s="672" t="e">
        <f t="shared" si="1221"/>
        <v>#REF!</v>
      </c>
      <c r="N163" s="675">
        <f t="shared" si="1221"/>
        <v>1.4717994041183428E-6</v>
      </c>
      <c r="O163" s="672">
        <f t="shared" si="1221"/>
        <v>1.4717994041182829E-4</v>
      </c>
      <c r="P163" s="672">
        <f t="shared" si="1221"/>
        <v>1.7661592849420398E-6</v>
      </c>
      <c r="Q163" s="672">
        <f>STDEVA(Q157:Q161)</f>
        <v>1.7808772789830572E-6</v>
      </c>
      <c r="R163" s="672">
        <f t="shared" si="1221"/>
        <v>1.7808772789830572E-6</v>
      </c>
      <c r="S163" s="676">
        <f t="shared" si="1221"/>
        <v>1.8397492551479409E-6</v>
      </c>
      <c r="T163" s="691" t="e">
        <f t="shared" si="1221"/>
        <v>#DIV/0!</v>
      </c>
      <c r="U163" s="691" t="e">
        <f t="shared" si="1221"/>
        <v>#DIV/0!</v>
      </c>
      <c r="V163" s="695" t="e">
        <f t="shared" si="1221"/>
        <v>#DIV/0!</v>
      </c>
      <c r="W163" s="599" t="e">
        <f t="shared" si="1221"/>
        <v>#DIV/0!</v>
      </c>
      <c r="X163" s="652" t="e">
        <f t="shared" si="1221"/>
        <v>#DIV/0!</v>
      </c>
      <c r="Y163" s="652" t="s">
        <v>93</v>
      </c>
      <c r="Z163" s="40" t="s">
        <v>93</v>
      </c>
      <c r="AA163" s="599">
        <f>STDEVA(AA157:AA161)</f>
        <v>0</v>
      </c>
      <c r="AB163" s="652" t="e">
        <f t="shared" ref="AB163:AP163" si="1222">STDEVA(AB157:AB161)</f>
        <v>#DIV/0!</v>
      </c>
      <c r="AC163" s="675" t="e">
        <f t="shared" si="1222"/>
        <v>#VALUE!</v>
      </c>
      <c r="AD163" s="672" t="e">
        <f t="shared" si="1222"/>
        <v>#VALUE!</v>
      </c>
      <c r="AE163" s="672" t="e">
        <f t="shared" si="1222"/>
        <v>#REF!</v>
      </c>
      <c r="AF163" s="675" t="e">
        <f t="shared" si="1222"/>
        <v>#VALUE!</v>
      </c>
      <c r="AG163" s="672" t="e">
        <f t="shared" si="1222"/>
        <v>#VALUE!</v>
      </c>
      <c r="AH163" s="672" t="e">
        <f t="shared" si="1222"/>
        <v>#VALUE!</v>
      </c>
      <c r="AI163" s="672" t="e">
        <f>STDEVA(AI157:AI161)</f>
        <v>#VALUE!</v>
      </c>
      <c r="AJ163" s="672" t="e">
        <f t="shared" si="1222"/>
        <v>#VALUE!</v>
      </c>
      <c r="AK163" s="676" t="e">
        <f t="shared" si="1222"/>
        <v>#VALUE!</v>
      </c>
      <c r="AL163" s="691" t="e">
        <f t="shared" si="1222"/>
        <v>#DIV/0!</v>
      </c>
      <c r="AM163" s="691" t="e">
        <f t="shared" si="1222"/>
        <v>#DIV/0!</v>
      </c>
      <c r="AN163" s="695" t="e">
        <f t="shared" si="1222"/>
        <v>#DIV/0!</v>
      </c>
      <c r="AO163" s="599" t="e">
        <f t="shared" si="1222"/>
        <v>#DIV/0!</v>
      </c>
      <c r="AP163" s="652" t="e">
        <f t="shared" si="1222"/>
        <v>#DIV/0!</v>
      </c>
      <c r="AQ163" s="652" t="s">
        <v>93</v>
      </c>
      <c r="AR163" s="40" t="s">
        <v>93</v>
      </c>
      <c r="AS163" s="599">
        <f>STDEVA(AS157:AS161)</f>
        <v>0</v>
      </c>
      <c r="AT163" s="652" t="e">
        <f t="shared" ref="AT163:BH163" si="1223">STDEVA(AT157:AT161)</f>
        <v>#DIV/0!</v>
      </c>
      <c r="AU163" s="675" t="e">
        <f t="shared" si="1223"/>
        <v>#VALUE!</v>
      </c>
      <c r="AV163" s="672" t="e">
        <f t="shared" si="1223"/>
        <v>#VALUE!</v>
      </c>
      <c r="AW163" s="672" t="e">
        <f t="shared" si="1223"/>
        <v>#REF!</v>
      </c>
      <c r="AX163" s="675" t="e">
        <f t="shared" si="1223"/>
        <v>#VALUE!</v>
      </c>
      <c r="AY163" s="672" t="e">
        <f t="shared" si="1223"/>
        <v>#VALUE!</v>
      </c>
      <c r="AZ163" s="672" t="e">
        <f t="shared" si="1223"/>
        <v>#VALUE!</v>
      </c>
      <c r="BA163" s="672" t="e">
        <f>STDEVA(BA157:BA161)</f>
        <v>#VALUE!</v>
      </c>
      <c r="BB163" s="672" t="e">
        <f t="shared" si="1223"/>
        <v>#VALUE!</v>
      </c>
      <c r="BC163" s="676" t="e">
        <f t="shared" si="1223"/>
        <v>#VALUE!</v>
      </c>
      <c r="BD163" s="682" t="e">
        <f t="shared" si="1223"/>
        <v>#DIV/0!</v>
      </c>
      <c r="BE163" s="691" t="e">
        <f t="shared" si="1223"/>
        <v>#DIV/0!</v>
      </c>
      <c r="BF163" s="695" t="e">
        <f t="shared" si="1223"/>
        <v>#DIV/0!</v>
      </c>
      <c r="BG163" s="599">
        <f t="shared" si="1223"/>
        <v>0</v>
      </c>
      <c r="BH163" s="652" t="e">
        <f t="shared" si="1223"/>
        <v>#DIV/0!</v>
      </c>
      <c r="BI163" s="652" t="s">
        <v>93</v>
      </c>
      <c r="BJ163" s="40" t="s">
        <v>93</v>
      </c>
      <c r="BK163" s="599">
        <f>STDEVA(BK157:BK161)</f>
        <v>0</v>
      </c>
      <c r="BL163" s="652" t="e">
        <f t="shared" ref="BL163:BZ163" si="1224">STDEVA(BL157:BL161)</f>
        <v>#DIV/0!</v>
      </c>
      <c r="BM163" s="675" t="e">
        <f t="shared" si="1224"/>
        <v>#VALUE!</v>
      </c>
      <c r="BN163" s="672" t="e">
        <f t="shared" si="1224"/>
        <v>#VALUE!</v>
      </c>
      <c r="BO163" s="672" t="e">
        <f t="shared" si="1224"/>
        <v>#REF!</v>
      </c>
      <c r="BP163" s="675" t="e">
        <f t="shared" si="1224"/>
        <v>#VALUE!</v>
      </c>
      <c r="BQ163" s="672" t="e">
        <f t="shared" si="1224"/>
        <v>#VALUE!</v>
      </c>
      <c r="BR163" s="672" t="e">
        <f t="shared" si="1224"/>
        <v>#VALUE!</v>
      </c>
      <c r="BS163" s="672" t="e">
        <f>STDEVA(BS157:BS161)</f>
        <v>#VALUE!</v>
      </c>
      <c r="BT163" s="672" t="e">
        <f t="shared" si="1224"/>
        <v>#VALUE!</v>
      </c>
      <c r="BU163" s="676" t="e">
        <f t="shared" si="1224"/>
        <v>#VALUE!</v>
      </c>
      <c r="BV163" s="682" t="e">
        <f t="shared" si="1224"/>
        <v>#DIV/0!</v>
      </c>
      <c r="BW163" s="691" t="e">
        <f t="shared" si="1224"/>
        <v>#DIV/0!</v>
      </c>
      <c r="BX163" s="695" t="e">
        <f t="shared" si="1224"/>
        <v>#DIV/0!</v>
      </c>
      <c r="BY163" s="599">
        <f t="shared" si="1224"/>
        <v>2.7386127875257858E-14</v>
      </c>
      <c r="BZ163" s="652" t="e">
        <f t="shared" si="1224"/>
        <v>#DIV/0!</v>
      </c>
      <c r="CA163" s="652" t="s">
        <v>93</v>
      </c>
      <c r="CB163" s="40" t="s">
        <v>93</v>
      </c>
      <c r="CC163" s="599">
        <f>STDEVA(CC157:CC161)</f>
        <v>0</v>
      </c>
      <c r="CD163" s="652" t="e">
        <f t="shared" ref="CD163:CR163" si="1225">STDEVA(CD157:CD161)</f>
        <v>#DIV/0!</v>
      </c>
      <c r="CE163" s="675" t="e">
        <f t="shared" si="1225"/>
        <v>#VALUE!</v>
      </c>
      <c r="CF163" s="672" t="e">
        <f t="shared" si="1225"/>
        <v>#VALUE!</v>
      </c>
      <c r="CG163" s="672" t="e">
        <f t="shared" si="1225"/>
        <v>#REF!</v>
      </c>
      <c r="CH163" s="675" t="e">
        <f t="shared" si="1225"/>
        <v>#VALUE!</v>
      </c>
      <c r="CI163" s="672" t="e">
        <f t="shared" si="1225"/>
        <v>#VALUE!</v>
      </c>
      <c r="CJ163" s="672" t="e">
        <f t="shared" si="1225"/>
        <v>#VALUE!</v>
      </c>
      <c r="CK163" s="672" t="e">
        <f>STDEVA(CK157:CK161)</f>
        <v>#VALUE!</v>
      </c>
      <c r="CL163" s="672" t="e">
        <f t="shared" si="1225"/>
        <v>#VALUE!</v>
      </c>
      <c r="CM163" s="676" t="e">
        <f t="shared" si="1225"/>
        <v>#VALUE!</v>
      </c>
      <c r="CN163" s="682" t="e">
        <f t="shared" si="1225"/>
        <v>#DIV/0!</v>
      </c>
      <c r="CO163" s="691" t="e">
        <f t="shared" si="1225"/>
        <v>#DIV/0!</v>
      </c>
      <c r="CP163" s="695" t="e">
        <f t="shared" si="1225"/>
        <v>#DIV/0!</v>
      </c>
      <c r="CQ163" s="599">
        <f t="shared" si="1225"/>
        <v>5.7008771254955797E-13</v>
      </c>
      <c r="CR163" s="652" t="e">
        <f t="shared" si="1225"/>
        <v>#DIV/0!</v>
      </c>
      <c r="CS163" s="652" t="s">
        <v>93</v>
      </c>
      <c r="CT163" s="40" t="s">
        <v>93</v>
      </c>
      <c r="CU163" s="599">
        <f>STDEVA(CU157:CU161)</f>
        <v>0</v>
      </c>
      <c r="CV163" s="652" t="e">
        <f t="shared" ref="CV163:DJ163" si="1226">STDEVA(CV157:CV161)</f>
        <v>#DIV/0!</v>
      </c>
      <c r="CW163" s="675" t="e">
        <f t="shared" si="1226"/>
        <v>#VALUE!</v>
      </c>
      <c r="CX163" s="672" t="e">
        <f t="shared" si="1226"/>
        <v>#VALUE!</v>
      </c>
      <c r="CY163" s="672" t="e">
        <f t="shared" si="1226"/>
        <v>#REF!</v>
      </c>
      <c r="CZ163" s="675" t="e">
        <f t="shared" si="1226"/>
        <v>#VALUE!</v>
      </c>
      <c r="DA163" s="672" t="e">
        <f t="shared" si="1226"/>
        <v>#VALUE!</v>
      </c>
      <c r="DB163" s="672" t="e">
        <f t="shared" si="1226"/>
        <v>#VALUE!</v>
      </c>
      <c r="DC163" s="672" t="e">
        <f>STDEVA(DC157:DC161)</f>
        <v>#VALUE!</v>
      </c>
      <c r="DD163" s="672" t="e">
        <f t="shared" si="1226"/>
        <v>#VALUE!</v>
      </c>
      <c r="DE163" s="676" t="e">
        <f t="shared" si="1226"/>
        <v>#VALUE!</v>
      </c>
      <c r="DF163" s="682" t="e">
        <f t="shared" si="1226"/>
        <v>#DIV/0!</v>
      </c>
      <c r="DG163" s="691" t="e">
        <f t="shared" si="1226"/>
        <v>#DIV/0!</v>
      </c>
      <c r="DH163" s="695" t="e">
        <f t="shared" si="1226"/>
        <v>#DIV/0!</v>
      </c>
      <c r="DI163" s="599" t="e">
        <f t="shared" si="1226"/>
        <v>#DIV/0!</v>
      </c>
      <c r="DJ163" s="652" t="e">
        <f t="shared" si="1226"/>
        <v>#DIV/0!</v>
      </c>
      <c r="DK163" s="652" t="s">
        <v>93</v>
      </c>
      <c r="DL163" s="40" t="s">
        <v>93</v>
      </c>
      <c r="DM163" s="599">
        <f>STDEVA(DM157:DM161)</f>
        <v>0</v>
      </c>
      <c r="DN163" s="652" t="e">
        <f t="shared" ref="DN163:EB163" si="1227">STDEVA(DN157:DN161)</f>
        <v>#DIV/0!</v>
      </c>
      <c r="DO163" s="675" t="e">
        <f t="shared" si="1227"/>
        <v>#VALUE!</v>
      </c>
      <c r="DP163" s="672" t="e">
        <f t="shared" si="1227"/>
        <v>#VALUE!</v>
      </c>
      <c r="DQ163" s="672" t="e">
        <f t="shared" si="1227"/>
        <v>#REF!</v>
      </c>
      <c r="DR163" s="675" t="e">
        <f t="shared" si="1227"/>
        <v>#VALUE!</v>
      </c>
      <c r="DS163" s="672" t="e">
        <f t="shared" si="1227"/>
        <v>#VALUE!</v>
      </c>
      <c r="DT163" s="672" t="e">
        <f t="shared" si="1227"/>
        <v>#VALUE!</v>
      </c>
      <c r="DU163" s="672" t="e">
        <f>STDEVA(DU157:DU161)</f>
        <v>#VALUE!</v>
      </c>
      <c r="DV163" s="672" t="e">
        <f t="shared" si="1227"/>
        <v>#VALUE!</v>
      </c>
      <c r="DW163" s="676" t="e">
        <f t="shared" si="1227"/>
        <v>#VALUE!</v>
      </c>
      <c r="DX163" s="682" t="e">
        <f t="shared" si="1227"/>
        <v>#DIV/0!</v>
      </c>
      <c r="DY163" s="691" t="e">
        <f t="shared" si="1227"/>
        <v>#DIV/0!</v>
      </c>
      <c r="DZ163" s="695" t="e">
        <f t="shared" si="1227"/>
        <v>#DIV/0!</v>
      </c>
      <c r="EA163" s="653" t="e">
        <f t="shared" si="1227"/>
        <v>#DIV/0!</v>
      </c>
      <c r="EB163" s="652" t="e">
        <f t="shared" si="1227"/>
        <v>#DIV/0!</v>
      </c>
      <c r="EC163" s="652" t="s">
        <v>93</v>
      </c>
      <c r="ED163" s="40" t="s">
        <v>93</v>
      </c>
      <c r="EE163" s="599">
        <f>STDEVA(EE157:EE161)</f>
        <v>0</v>
      </c>
      <c r="EF163" s="652" t="e">
        <f t="shared" ref="EF163:ET163" si="1228">STDEVA(EF157:EF161)</f>
        <v>#DIV/0!</v>
      </c>
      <c r="EG163" s="675" t="e">
        <f t="shared" si="1228"/>
        <v>#VALUE!</v>
      </c>
      <c r="EH163" s="672" t="e">
        <f t="shared" si="1228"/>
        <v>#VALUE!</v>
      </c>
      <c r="EI163" s="672" t="e">
        <f t="shared" si="1228"/>
        <v>#REF!</v>
      </c>
      <c r="EJ163" s="675" t="e">
        <f t="shared" si="1228"/>
        <v>#VALUE!</v>
      </c>
      <c r="EK163" s="672" t="e">
        <f t="shared" si="1228"/>
        <v>#VALUE!</v>
      </c>
      <c r="EL163" s="672" t="e">
        <f t="shared" si="1228"/>
        <v>#VALUE!</v>
      </c>
      <c r="EM163" s="672" t="e">
        <f>STDEVA(EM157:EM161)</f>
        <v>#VALUE!</v>
      </c>
      <c r="EN163" s="672" t="e">
        <f t="shared" si="1228"/>
        <v>#VALUE!</v>
      </c>
      <c r="EO163" s="676" t="e">
        <f t="shared" si="1228"/>
        <v>#VALUE!</v>
      </c>
      <c r="EP163" s="682" t="e">
        <f t="shared" si="1228"/>
        <v>#DIV/0!</v>
      </c>
      <c r="EQ163" s="691" t="e">
        <f t="shared" si="1228"/>
        <v>#DIV/0!</v>
      </c>
      <c r="ER163" s="695" t="e">
        <f t="shared" si="1228"/>
        <v>#DIV/0!</v>
      </c>
      <c r="ES163" s="599">
        <f t="shared" si="1228"/>
        <v>0</v>
      </c>
      <c r="ET163" s="652" t="e">
        <f t="shared" si="1228"/>
        <v>#DIV/0!</v>
      </c>
      <c r="EU163" s="652" t="s">
        <v>93</v>
      </c>
      <c r="EV163" s="40" t="s">
        <v>93</v>
      </c>
      <c r="EW163" s="599">
        <f>STDEVA(EW157:EW161)</f>
        <v>0</v>
      </c>
      <c r="EX163" s="652" t="e">
        <f t="shared" ref="EX163:FL163" si="1229">STDEVA(EX157:EX161)</f>
        <v>#DIV/0!</v>
      </c>
      <c r="EY163" s="675" t="e">
        <f t="shared" si="1229"/>
        <v>#VALUE!</v>
      </c>
      <c r="EZ163" s="672" t="e">
        <f t="shared" si="1229"/>
        <v>#VALUE!</v>
      </c>
      <c r="FA163" s="672" t="e">
        <f t="shared" si="1229"/>
        <v>#REF!</v>
      </c>
      <c r="FB163" s="675" t="e">
        <f t="shared" si="1229"/>
        <v>#VALUE!</v>
      </c>
      <c r="FC163" s="672" t="e">
        <f t="shared" si="1229"/>
        <v>#VALUE!</v>
      </c>
      <c r="FD163" s="672" t="e">
        <f t="shared" si="1229"/>
        <v>#VALUE!</v>
      </c>
      <c r="FE163" s="672" t="e">
        <f>STDEVA(FE157:FE161)</f>
        <v>#VALUE!</v>
      </c>
      <c r="FF163" s="672" t="e">
        <f t="shared" si="1229"/>
        <v>#VALUE!</v>
      </c>
      <c r="FG163" s="676" t="e">
        <f t="shared" si="1229"/>
        <v>#VALUE!</v>
      </c>
      <c r="FH163" s="682" t="e">
        <f t="shared" si="1229"/>
        <v>#DIV/0!</v>
      </c>
      <c r="FI163" s="691" t="e">
        <f t="shared" si="1229"/>
        <v>#DIV/0!</v>
      </c>
      <c r="FJ163" s="695" t="e">
        <f t="shared" si="1229"/>
        <v>#DIV/0!</v>
      </c>
      <c r="FK163" s="599" t="e">
        <f t="shared" si="1229"/>
        <v>#DIV/0!</v>
      </c>
      <c r="FL163" s="652" t="e">
        <f t="shared" si="1229"/>
        <v>#DIV/0!</v>
      </c>
      <c r="FM163" s="652" t="s">
        <v>93</v>
      </c>
      <c r="FN163" s="40" t="s">
        <v>93</v>
      </c>
      <c r="FO163" s="599">
        <f>STDEVA(FO157:FO161)</f>
        <v>0</v>
      </c>
      <c r="FP163" s="652" t="e">
        <f t="shared" ref="FP163:GD163" si="1230">STDEVA(FP157:FP161)</f>
        <v>#DIV/0!</v>
      </c>
      <c r="FQ163" s="675" t="e">
        <f t="shared" si="1230"/>
        <v>#VALUE!</v>
      </c>
      <c r="FR163" s="672" t="e">
        <f t="shared" si="1230"/>
        <v>#VALUE!</v>
      </c>
      <c r="FS163" s="672" t="e">
        <f t="shared" si="1230"/>
        <v>#REF!</v>
      </c>
      <c r="FT163" s="675" t="e">
        <f t="shared" si="1230"/>
        <v>#VALUE!</v>
      </c>
      <c r="FU163" s="672" t="e">
        <f t="shared" si="1230"/>
        <v>#VALUE!</v>
      </c>
      <c r="FV163" s="672" t="e">
        <f t="shared" si="1230"/>
        <v>#VALUE!</v>
      </c>
      <c r="FW163" s="672" t="e">
        <f>STDEVA(FW157:FW161)</f>
        <v>#VALUE!</v>
      </c>
      <c r="FX163" s="672" t="e">
        <f t="shared" si="1230"/>
        <v>#VALUE!</v>
      </c>
      <c r="FY163" s="676" t="e">
        <f t="shared" si="1230"/>
        <v>#VALUE!</v>
      </c>
      <c r="FZ163" s="682" t="e">
        <f t="shared" si="1230"/>
        <v>#DIV/0!</v>
      </c>
      <c r="GA163" s="691" t="e">
        <f t="shared" si="1230"/>
        <v>#DIV/0!</v>
      </c>
      <c r="GB163" s="695" t="e">
        <f t="shared" si="1230"/>
        <v>#DIV/0!</v>
      </c>
      <c r="GC163" s="599" t="e">
        <f t="shared" si="1230"/>
        <v>#DIV/0!</v>
      </c>
      <c r="GD163" s="652" t="e">
        <f t="shared" si="1230"/>
        <v>#DIV/0!</v>
      </c>
      <c r="GE163" s="652" t="s">
        <v>93</v>
      </c>
      <c r="GF163" s="40" t="s">
        <v>93</v>
      </c>
      <c r="GG163" s="599">
        <f>STDEVA(GG157:GG161)</f>
        <v>0</v>
      </c>
      <c r="GH163" s="652" t="e">
        <f t="shared" ref="GH163:GV163" si="1231">STDEVA(GH157:GH161)</f>
        <v>#DIV/0!</v>
      </c>
      <c r="GI163" s="675" t="e">
        <f t="shared" si="1231"/>
        <v>#VALUE!</v>
      </c>
      <c r="GJ163" s="672" t="e">
        <f t="shared" si="1231"/>
        <v>#VALUE!</v>
      </c>
      <c r="GK163" s="672" t="e">
        <f t="shared" si="1231"/>
        <v>#REF!</v>
      </c>
      <c r="GL163" s="675" t="e">
        <f t="shared" si="1231"/>
        <v>#VALUE!</v>
      </c>
      <c r="GM163" s="672" t="e">
        <f t="shared" si="1231"/>
        <v>#VALUE!</v>
      </c>
      <c r="GN163" s="672" t="e">
        <f t="shared" si="1231"/>
        <v>#VALUE!</v>
      </c>
      <c r="GO163" s="672" t="e">
        <f>STDEVA(GO157:GO161)</f>
        <v>#VALUE!</v>
      </c>
      <c r="GP163" s="672" t="e">
        <f t="shared" si="1231"/>
        <v>#VALUE!</v>
      </c>
      <c r="GQ163" s="676" t="e">
        <f t="shared" si="1231"/>
        <v>#VALUE!</v>
      </c>
      <c r="GR163" s="682" t="e">
        <f t="shared" si="1231"/>
        <v>#DIV/0!</v>
      </c>
      <c r="GS163" s="691" t="e">
        <f t="shared" si="1231"/>
        <v>#DIV/0!</v>
      </c>
      <c r="GT163" s="695" t="e">
        <f t="shared" si="1231"/>
        <v>#DIV/0!</v>
      </c>
      <c r="GU163" s="653" t="e">
        <f t="shared" si="1231"/>
        <v>#DIV/0!</v>
      </c>
      <c r="GV163" s="652" t="e">
        <f t="shared" si="1231"/>
        <v>#DIV/0!</v>
      </c>
      <c r="GW163" s="652" t="s">
        <v>93</v>
      </c>
      <c r="GX163" s="40" t="s">
        <v>93</v>
      </c>
      <c r="GY163" s="599">
        <f>STDEVA(GY157:GY161)</f>
        <v>0</v>
      </c>
      <c r="GZ163" s="652" t="e">
        <f t="shared" ref="GZ163:HN163" si="1232">STDEVA(GZ157:GZ161)</f>
        <v>#DIV/0!</v>
      </c>
      <c r="HA163" s="675" t="e">
        <f t="shared" si="1232"/>
        <v>#VALUE!</v>
      </c>
      <c r="HB163" s="672" t="e">
        <f t="shared" si="1232"/>
        <v>#VALUE!</v>
      </c>
      <c r="HC163" s="672" t="e">
        <f t="shared" si="1232"/>
        <v>#REF!</v>
      </c>
      <c r="HD163" s="675" t="e">
        <f t="shared" si="1232"/>
        <v>#VALUE!</v>
      </c>
      <c r="HE163" s="672" t="e">
        <f t="shared" si="1232"/>
        <v>#VALUE!</v>
      </c>
      <c r="HF163" s="672" t="e">
        <f t="shared" si="1232"/>
        <v>#VALUE!</v>
      </c>
      <c r="HG163" s="672" t="e">
        <f>STDEVA(HG157:HG161)</f>
        <v>#VALUE!</v>
      </c>
      <c r="HH163" s="672" t="e">
        <f t="shared" si="1232"/>
        <v>#VALUE!</v>
      </c>
      <c r="HI163" s="676" t="e">
        <f t="shared" si="1232"/>
        <v>#VALUE!</v>
      </c>
      <c r="HJ163" s="682" t="e">
        <f t="shared" si="1232"/>
        <v>#DIV/0!</v>
      </c>
      <c r="HK163" s="691" t="e">
        <f t="shared" si="1232"/>
        <v>#DIV/0!</v>
      </c>
      <c r="HL163" s="695" t="e">
        <f t="shared" si="1232"/>
        <v>#DIV/0!</v>
      </c>
      <c r="HM163" s="599" t="e">
        <f t="shared" si="1232"/>
        <v>#DIV/0!</v>
      </c>
      <c r="HN163" s="652" t="e">
        <f t="shared" si="1232"/>
        <v>#DIV/0!</v>
      </c>
      <c r="HO163" s="652" t="s">
        <v>93</v>
      </c>
      <c r="HP163" s="40" t="s">
        <v>93</v>
      </c>
      <c r="HQ163" s="599">
        <f>STDEVA(HQ157:HQ161)</f>
        <v>0</v>
      </c>
      <c r="HR163" s="652" t="e">
        <f t="shared" ref="HR163:IF163" si="1233">STDEVA(HR157:HR161)</f>
        <v>#DIV/0!</v>
      </c>
      <c r="HS163" s="675" t="e">
        <f t="shared" si="1233"/>
        <v>#VALUE!</v>
      </c>
      <c r="HT163" s="672" t="e">
        <f t="shared" si="1233"/>
        <v>#VALUE!</v>
      </c>
      <c r="HU163" s="672" t="e">
        <f t="shared" si="1233"/>
        <v>#REF!</v>
      </c>
      <c r="HV163" s="675" t="e">
        <f t="shared" si="1233"/>
        <v>#VALUE!</v>
      </c>
      <c r="HW163" s="672" t="e">
        <f t="shared" si="1233"/>
        <v>#VALUE!</v>
      </c>
      <c r="HX163" s="672" t="e">
        <f t="shared" si="1233"/>
        <v>#VALUE!</v>
      </c>
      <c r="HY163" s="672" t="e">
        <f>STDEVA(HY157:HY161)</f>
        <v>#VALUE!</v>
      </c>
      <c r="HZ163" s="672" t="e">
        <f t="shared" si="1233"/>
        <v>#VALUE!</v>
      </c>
      <c r="IA163" s="676" t="e">
        <f t="shared" si="1233"/>
        <v>#VALUE!</v>
      </c>
      <c r="IB163" s="682" t="e">
        <f t="shared" si="1233"/>
        <v>#DIV/0!</v>
      </c>
      <c r="IC163" s="691" t="e">
        <f t="shared" si="1233"/>
        <v>#DIV/0!</v>
      </c>
      <c r="ID163" s="695" t="e">
        <f t="shared" si="1233"/>
        <v>#DIV/0!</v>
      </c>
      <c r="IE163" s="599" t="e">
        <f t="shared" si="1233"/>
        <v>#DIV/0!</v>
      </c>
      <c r="IF163" s="652" t="e">
        <f t="shared" si="1233"/>
        <v>#DIV/0!</v>
      </c>
      <c r="IG163" s="652" t="s">
        <v>93</v>
      </c>
      <c r="IH163" s="40" t="s">
        <v>93</v>
      </c>
      <c r="II163" s="599">
        <f>STDEVA(II157:II161)</f>
        <v>0</v>
      </c>
      <c r="IJ163" s="652" t="e">
        <f t="shared" ref="IJ163:IX163" si="1234">STDEVA(IJ157:IJ161)</f>
        <v>#DIV/0!</v>
      </c>
      <c r="IK163" s="675" t="e">
        <f t="shared" si="1234"/>
        <v>#VALUE!</v>
      </c>
      <c r="IL163" s="672" t="e">
        <f t="shared" si="1234"/>
        <v>#VALUE!</v>
      </c>
      <c r="IM163" s="672" t="e">
        <f t="shared" si="1234"/>
        <v>#REF!</v>
      </c>
      <c r="IN163" s="675" t="e">
        <f t="shared" si="1234"/>
        <v>#VALUE!</v>
      </c>
      <c r="IO163" s="672" t="e">
        <f t="shared" si="1234"/>
        <v>#VALUE!</v>
      </c>
      <c r="IP163" s="672" t="e">
        <f t="shared" si="1234"/>
        <v>#VALUE!</v>
      </c>
      <c r="IQ163" s="672" t="e">
        <f>STDEVA(IQ157:IQ161)</f>
        <v>#VALUE!</v>
      </c>
      <c r="IR163" s="672" t="e">
        <f t="shared" si="1234"/>
        <v>#VALUE!</v>
      </c>
      <c r="IS163" s="676" t="e">
        <f t="shared" si="1234"/>
        <v>#VALUE!</v>
      </c>
      <c r="IT163" s="682" t="e">
        <f t="shared" si="1234"/>
        <v>#DIV/0!</v>
      </c>
      <c r="IU163" s="691" t="e">
        <f t="shared" si="1234"/>
        <v>#DIV/0!</v>
      </c>
      <c r="IV163" s="695" t="e">
        <f t="shared" si="1234"/>
        <v>#DIV/0!</v>
      </c>
      <c r="IW163" s="599" t="e">
        <f t="shared" si="1234"/>
        <v>#DIV/0!</v>
      </c>
      <c r="IX163" s="652" t="e">
        <f t="shared" si="1234"/>
        <v>#DIV/0!</v>
      </c>
      <c r="IY163" s="652" t="s">
        <v>93</v>
      </c>
      <c r="IZ163" s="40" t="s">
        <v>93</v>
      </c>
      <c r="JA163" s="599">
        <f>STDEVA(JA157:JA161)</f>
        <v>0</v>
      </c>
      <c r="JB163" s="652" t="e">
        <f t="shared" ref="JB163:JP163" si="1235">STDEVA(JB157:JB161)</f>
        <v>#DIV/0!</v>
      </c>
      <c r="JC163" s="675" t="e">
        <f t="shared" si="1235"/>
        <v>#VALUE!</v>
      </c>
      <c r="JD163" s="672" t="e">
        <f t="shared" si="1235"/>
        <v>#VALUE!</v>
      </c>
      <c r="JE163" s="672" t="e">
        <f t="shared" si="1235"/>
        <v>#REF!</v>
      </c>
      <c r="JF163" s="675" t="e">
        <f t="shared" si="1235"/>
        <v>#VALUE!</v>
      </c>
      <c r="JG163" s="672" t="e">
        <f t="shared" si="1235"/>
        <v>#VALUE!</v>
      </c>
      <c r="JH163" s="672" t="e">
        <f t="shared" si="1235"/>
        <v>#VALUE!</v>
      </c>
      <c r="JI163" s="672" t="e">
        <f>STDEVA(JI157:JI161)</f>
        <v>#VALUE!</v>
      </c>
      <c r="JJ163" s="672" t="e">
        <f t="shared" si="1235"/>
        <v>#VALUE!</v>
      </c>
      <c r="JK163" s="676" t="e">
        <f t="shared" si="1235"/>
        <v>#VALUE!</v>
      </c>
      <c r="JL163" s="682" t="e">
        <f t="shared" si="1235"/>
        <v>#DIV/0!</v>
      </c>
      <c r="JM163" s="691" t="e">
        <f t="shared" si="1235"/>
        <v>#DIV/0!</v>
      </c>
      <c r="JN163" s="695" t="e">
        <f t="shared" si="1235"/>
        <v>#DIV/0!</v>
      </c>
      <c r="JO163" s="599" t="e">
        <f t="shared" si="1235"/>
        <v>#DIV/0!</v>
      </c>
      <c r="JP163" s="652" t="e">
        <f t="shared" si="1235"/>
        <v>#DIV/0!</v>
      </c>
      <c r="JQ163" s="652" t="s">
        <v>93</v>
      </c>
      <c r="JR163" s="40" t="s">
        <v>93</v>
      </c>
      <c r="JS163" s="599">
        <f>STDEVA(JS157:JS161)</f>
        <v>0</v>
      </c>
      <c r="JT163" s="652" t="e">
        <f t="shared" ref="JT163:KH163" si="1236">STDEVA(JT157:JT161)</f>
        <v>#DIV/0!</v>
      </c>
      <c r="JU163" s="675" t="e">
        <f t="shared" si="1236"/>
        <v>#VALUE!</v>
      </c>
      <c r="JV163" s="672" t="e">
        <f t="shared" si="1236"/>
        <v>#VALUE!</v>
      </c>
      <c r="JW163" s="672" t="e">
        <f t="shared" si="1236"/>
        <v>#REF!</v>
      </c>
      <c r="JX163" s="675" t="e">
        <f t="shared" si="1236"/>
        <v>#VALUE!</v>
      </c>
      <c r="JY163" s="672" t="e">
        <f t="shared" si="1236"/>
        <v>#VALUE!</v>
      </c>
      <c r="JZ163" s="672" t="e">
        <f t="shared" si="1236"/>
        <v>#VALUE!</v>
      </c>
      <c r="KA163" s="672" t="e">
        <f>STDEVA(KA157:KA161)</f>
        <v>#VALUE!</v>
      </c>
      <c r="KB163" s="672" t="e">
        <f t="shared" si="1236"/>
        <v>#VALUE!</v>
      </c>
      <c r="KC163" s="676" t="e">
        <f t="shared" si="1236"/>
        <v>#VALUE!</v>
      </c>
      <c r="KD163" s="682" t="e">
        <f t="shared" si="1236"/>
        <v>#DIV/0!</v>
      </c>
      <c r="KE163" s="691" t="e">
        <f t="shared" si="1236"/>
        <v>#DIV/0!</v>
      </c>
      <c r="KF163" s="695" t="e">
        <f t="shared" si="1236"/>
        <v>#DIV/0!</v>
      </c>
      <c r="KG163" s="599" t="e">
        <f t="shared" si="1236"/>
        <v>#DIV/0!</v>
      </c>
      <c r="KH163" s="652" t="e">
        <f t="shared" si="1236"/>
        <v>#DIV/0!</v>
      </c>
      <c r="KI163" s="652" t="s">
        <v>93</v>
      </c>
      <c r="KJ163" s="40" t="s">
        <v>93</v>
      </c>
      <c r="KK163" s="599">
        <f>STDEVA(KK157:KK161)</f>
        <v>0</v>
      </c>
      <c r="KL163" s="652" t="e">
        <f t="shared" ref="KL163:KZ163" si="1237">STDEVA(KL157:KL161)</f>
        <v>#DIV/0!</v>
      </c>
      <c r="KM163" s="675" t="e">
        <f t="shared" si="1237"/>
        <v>#VALUE!</v>
      </c>
      <c r="KN163" s="672" t="e">
        <f t="shared" si="1237"/>
        <v>#VALUE!</v>
      </c>
      <c r="KO163" s="672" t="e">
        <f t="shared" si="1237"/>
        <v>#REF!</v>
      </c>
      <c r="KP163" s="675" t="e">
        <f t="shared" si="1237"/>
        <v>#VALUE!</v>
      </c>
      <c r="KQ163" s="672" t="e">
        <f t="shared" si="1237"/>
        <v>#VALUE!</v>
      </c>
      <c r="KR163" s="672" t="e">
        <f t="shared" si="1237"/>
        <v>#VALUE!</v>
      </c>
      <c r="KS163" s="672" t="e">
        <f>STDEVA(KS157:KS161)</f>
        <v>#VALUE!</v>
      </c>
      <c r="KT163" s="672" t="e">
        <f t="shared" si="1237"/>
        <v>#VALUE!</v>
      </c>
      <c r="KU163" s="676" t="e">
        <f t="shared" si="1237"/>
        <v>#VALUE!</v>
      </c>
      <c r="KV163" s="682" t="e">
        <f t="shared" si="1237"/>
        <v>#DIV/0!</v>
      </c>
      <c r="KW163" s="691" t="e">
        <f t="shared" si="1237"/>
        <v>#DIV/0!</v>
      </c>
      <c r="KX163" s="695" t="e">
        <f t="shared" si="1237"/>
        <v>#DIV/0!</v>
      </c>
      <c r="KY163" s="599" t="e">
        <f t="shared" si="1237"/>
        <v>#DIV/0!</v>
      </c>
      <c r="KZ163" s="652" t="e">
        <f t="shared" si="1237"/>
        <v>#DIV/0!</v>
      </c>
      <c r="LA163" s="652" t="s">
        <v>93</v>
      </c>
      <c r="LB163" s="40" t="s">
        <v>93</v>
      </c>
      <c r="LC163" s="599">
        <f>STDEVA(LC157:LC161)</f>
        <v>0</v>
      </c>
      <c r="LD163" s="652" t="e">
        <f t="shared" ref="LD163:LR163" si="1238">STDEVA(LD157:LD161)</f>
        <v>#DIV/0!</v>
      </c>
      <c r="LE163" s="675" t="e">
        <f t="shared" si="1238"/>
        <v>#VALUE!</v>
      </c>
      <c r="LF163" s="672" t="e">
        <f t="shared" si="1238"/>
        <v>#VALUE!</v>
      </c>
      <c r="LG163" s="672" t="e">
        <f t="shared" si="1238"/>
        <v>#REF!</v>
      </c>
      <c r="LH163" s="675" t="e">
        <f t="shared" si="1238"/>
        <v>#VALUE!</v>
      </c>
      <c r="LI163" s="672" t="e">
        <f t="shared" si="1238"/>
        <v>#VALUE!</v>
      </c>
      <c r="LJ163" s="672" t="e">
        <f t="shared" si="1238"/>
        <v>#VALUE!</v>
      </c>
      <c r="LK163" s="672" t="e">
        <f>STDEVA(LK157:LK161)</f>
        <v>#VALUE!</v>
      </c>
      <c r="LL163" s="672" t="e">
        <f t="shared" si="1238"/>
        <v>#VALUE!</v>
      </c>
      <c r="LM163" s="676" t="e">
        <f t="shared" si="1238"/>
        <v>#VALUE!</v>
      </c>
      <c r="LN163" s="682" t="e">
        <f t="shared" si="1238"/>
        <v>#DIV/0!</v>
      </c>
      <c r="LO163" s="691" t="e">
        <f t="shared" si="1238"/>
        <v>#DIV/0!</v>
      </c>
      <c r="LP163" s="695" t="e">
        <f t="shared" si="1238"/>
        <v>#DIV/0!</v>
      </c>
      <c r="LQ163" s="599" t="e">
        <f t="shared" si="1238"/>
        <v>#DIV/0!</v>
      </c>
      <c r="LR163" s="652" t="e">
        <f t="shared" si="1238"/>
        <v>#DIV/0!</v>
      </c>
      <c r="LS163" s="652" t="s">
        <v>93</v>
      </c>
      <c r="LT163" s="40" t="s">
        <v>93</v>
      </c>
      <c r="LU163" s="599">
        <f>STDEVA(LU157:LU161)</f>
        <v>0</v>
      </c>
      <c r="LV163" s="652" t="e">
        <f t="shared" ref="LV163:MJ163" si="1239">STDEVA(LV157:LV161)</f>
        <v>#DIV/0!</v>
      </c>
      <c r="LW163" s="675" t="e">
        <f t="shared" si="1239"/>
        <v>#VALUE!</v>
      </c>
      <c r="LX163" s="672" t="e">
        <f t="shared" si="1239"/>
        <v>#VALUE!</v>
      </c>
      <c r="LY163" s="672" t="e">
        <f t="shared" si="1239"/>
        <v>#REF!</v>
      </c>
      <c r="LZ163" s="675" t="e">
        <f t="shared" si="1239"/>
        <v>#VALUE!</v>
      </c>
      <c r="MA163" s="672" t="e">
        <f t="shared" si="1239"/>
        <v>#VALUE!</v>
      </c>
      <c r="MB163" s="672" t="e">
        <f t="shared" si="1239"/>
        <v>#VALUE!</v>
      </c>
      <c r="MC163" s="672" t="e">
        <f>STDEVA(MC157:MC161)</f>
        <v>#VALUE!</v>
      </c>
      <c r="MD163" s="672" t="e">
        <f t="shared" si="1239"/>
        <v>#VALUE!</v>
      </c>
      <c r="ME163" s="676" t="e">
        <f t="shared" si="1239"/>
        <v>#VALUE!</v>
      </c>
      <c r="MF163" s="682" t="e">
        <f t="shared" si="1239"/>
        <v>#DIV/0!</v>
      </c>
      <c r="MG163" s="691" t="e">
        <f t="shared" si="1239"/>
        <v>#DIV/0!</v>
      </c>
      <c r="MH163" s="695" t="e">
        <f t="shared" si="1239"/>
        <v>#DIV/0!</v>
      </c>
      <c r="MI163" s="599" t="e">
        <f t="shared" si="1239"/>
        <v>#DIV/0!</v>
      </c>
      <c r="MJ163" s="652" t="e">
        <f t="shared" si="1239"/>
        <v>#DIV/0!</v>
      </c>
      <c r="MK163" s="652" t="s">
        <v>93</v>
      </c>
      <c r="ML163" s="40" t="s">
        <v>93</v>
      </c>
      <c r="MM163" s="599">
        <f>STDEVA(MM157:MM161)</f>
        <v>0</v>
      </c>
      <c r="MN163" s="652" t="e">
        <f t="shared" ref="MN163:NB163" si="1240">STDEVA(MN157:MN161)</f>
        <v>#DIV/0!</v>
      </c>
      <c r="MO163" s="675" t="e">
        <f t="shared" si="1240"/>
        <v>#VALUE!</v>
      </c>
      <c r="MP163" s="672" t="e">
        <f t="shared" si="1240"/>
        <v>#VALUE!</v>
      </c>
      <c r="MQ163" s="672" t="e">
        <f t="shared" si="1240"/>
        <v>#REF!</v>
      </c>
      <c r="MR163" s="675" t="e">
        <f t="shared" si="1240"/>
        <v>#VALUE!</v>
      </c>
      <c r="MS163" s="672" t="e">
        <f t="shared" si="1240"/>
        <v>#VALUE!</v>
      </c>
      <c r="MT163" s="672" t="e">
        <f t="shared" si="1240"/>
        <v>#VALUE!</v>
      </c>
      <c r="MU163" s="672" t="e">
        <f>STDEVA(MU157:MU161)</f>
        <v>#VALUE!</v>
      </c>
      <c r="MV163" s="672" t="e">
        <f t="shared" si="1240"/>
        <v>#VALUE!</v>
      </c>
      <c r="MW163" s="676" t="e">
        <f t="shared" si="1240"/>
        <v>#VALUE!</v>
      </c>
      <c r="MX163" s="682" t="e">
        <f t="shared" si="1240"/>
        <v>#DIV/0!</v>
      </c>
      <c r="MY163" s="691" t="e">
        <f t="shared" si="1240"/>
        <v>#DIV/0!</v>
      </c>
      <c r="MZ163" s="695" t="e">
        <f t="shared" si="1240"/>
        <v>#DIV/0!</v>
      </c>
      <c r="NA163" s="599" t="e">
        <f t="shared" si="1240"/>
        <v>#DIV/0!</v>
      </c>
      <c r="NB163" s="652" t="e">
        <f t="shared" si="1240"/>
        <v>#DIV/0!</v>
      </c>
      <c r="NC163" s="652" t="s">
        <v>93</v>
      </c>
      <c r="ND163" s="40" t="s">
        <v>93</v>
      </c>
      <c r="NE163" s="599">
        <f>STDEVA(NE157:NE161)</f>
        <v>0</v>
      </c>
      <c r="NF163" s="652" t="e">
        <f t="shared" ref="NF163:NT163" si="1241">STDEVA(NF157:NF161)</f>
        <v>#DIV/0!</v>
      </c>
      <c r="NG163" s="675" t="e">
        <f t="shared" si="1241"/>
        <v>#VALUE!</v>
      </c>
      <c r="NH163" s="672" t="e">
        <f t="shared" si="1241"/>
        <v>#VALUE!</v>
      </c>
      <c r="NI163" s="672" t="e">
        <f t="shared" si="1241"/>
        <v>#REF!</v>
      </c>
      <c r="NJ163" s="675" t="e">
        <f t="shared" si="1241"/>
        <v>#VALUE!</v>
      </c>
      <c r="NK163" s="672" t="e">
        <f t="shared" si="1241"/>
        <v>#VALUE!</v>
      </c>
      <c r="NL163" s="672" t="e">
        <f t="shared" si="1241"/>
        <v>#VALUE!</v>
      </c>
      <c r="NM163" s="672" t="e">
        <f>STDEVA(NM157:NM161)</f>
        <v>#VALUE!</v>
      </c>
      <c r="NN163" s="672" t="e">
        <f t="shared" si="1241"/>
        <v>#VALUE!</v>
      </c>
      <c r="NO163" s="676" t="e">
        <f t="shared" si="1241"/>
        <v>#VALUE!</v>
      </c>
      <c r="NP163" s="682" t="e">
        <f t="shared" si="1241"/>
        <v>#DIV/0!</v>
      </c>
      <c r="NQ163" s="691" t="e">
        <f t="shared" si="1241"/>
        <v>#DIV/0!</v>
      </c>
      <c r="NR163" s="695" t="e">
        <f t="shared" si="1241"/>
        <v>#DIV/0!</v>
      </c>
      <c r="NS163" s="599" t="e">
        <f t="shared" si="1241"/>
        <v>#DIV/0!</v>
      </c>
      <c r="NT163" s="652" t="e">
        <f t="shared" si="1241"/>
        <v>#DIV/0!</v>
      </c>
      <c r="NU163" s="652" t="s">
        <v>93</v>
      </c>
      <c r="NV163" s="40" t="s">
        <v>93</v>
      </c>
      <c r="NW163" s="599">
        <f>STDEVA(NW157:NW161)</f>
        <v>0</v>
      </c>
      <c r="NX163" s="652" t="e">
        <f t="shared" ref="NX163:OL163" si="1242">STDEVA(NX157:NX161)</f>
        <v>#DIV/0!</v>
      </c>
      <c r="NY163" s="675" t="e">
        <f t="shared" si="1242"/>
        <v>#VALUE!</v>
      </c>
      <c r="NZ163" s="672" t="e">
        <f t="shared" si="1242"/>
        <v>#VALUE!</v>
      </c>
      <c r="OA163" s="672" t="e">
        <f t="shared" si="1242"/>
        <v>#REF!</v>
      </c>
      <c r="OB163" s="675" t="e">
        <f t="shared" si="1242"/>
        <v>#VALUE!</v>
      </c>
      <c r="OC163" s="672" t="e">
        <f t="shared" si="1242"/>
        <v>#VALUE!</v>
      </c>
      <c r="OD163" s="672" t="e">
        <f t="shared" si="1242"/>
        <v>#VALUE!</v>
      </c>
      <c r="OE163" s="672" t="e">
        <f>STDEVA(OE157:OE161)</f>
        <v>#VALUE!</v>
      </c>
      <c r="OF163" s="672" t="e">
        <f t="shared" si="1242"/>
        <v>#VALUE!</v>
      </c>
      <c r="OG163" s="676" t="e">
        <f t="shared" si="1242"/>
        <v>#VALUE!</v>
      </c>
      <c r="OH163" s="682" t="e">
        <f t="shared" si="1242"/>
        <v>#DIV/0!</v>
      </c>
      <c r="OI163" s="691" t="e">
        <f t="shared" si="1242"/>
        <v>#DIV/0!</v>
      </c>
      <c r="OJ163" s="695" t="e">
        <f t="shared" si="1242"/>
        <v>#DIV/0!</v>
      </c>
      <c r="OK163" s="599" t="e">
        <f t="shared" si="1242"/>
        <v>#DIV/0!</v>
      </c>
      <c r="OL163" s="652" t="e">
        <f t="shared" si="1242"/>
        <v>#DIV/0!</v>
      </c>
      <c r="OM163" s="652" t="s">
        <v>93</v>
      </c>
      <c r="ON163" s="40" t="s">
        <v>93</v>
      </c>
      <c r="OO163" s="599">
        <f>STDEVA(OO157:OO161)</f>
        <v>0</v>
      </c>
      <c r="OP163" s="652" t="e">
        <f t="shared" ref="OP163:PD163" si="1243">STDEVA(OP157:OP161)</f>
        <v>#DIV/0!</v>
      </c>
      <c r="OQ163" s="675" t="e">
        <f t="shared" si="1243"/>
        <v>#VALUE!</v>
      </c>
      <c r="OR163" s="672" t="e">
        <f t="shared" si="1243"/>
        <v>#VALUE!</v>
      </c>
      <c r="OS163" s="672" t="e">
        <f t="shared" si="1243"/>
        <v>#REF!</v>
      </c>
      <c r="OT163" s="675" t="e">
        <f t="shared" si="1243"/>
        <v>#VALUE!</v>
      </c>
      <c r="OU163" s="672" t="e">
        <f t="shared" si="1243"/>
        <v>#VALUE!</v>
      </c>
      <c r="OV163" s="672" t="e">
        <f t="shared" si="1243"/>
        <v>#VALUE!</v>
      </c>
      <c r="OW163" s="672" t="e">
        <f>STDEVA(OW157:OW161)</f>
        <v>#VALUE!</v>
      </c>
      <c r="OX163" s="672" t="e">
        <f t="shared" si="1243"/>
        <v>#VALUE!</v>
      </c>
      <c r="OY163" s="676" t="e">
        <f t="shared" si="1243"/>
        <v>#VALUE!</v>
      </c>
      <c r="OZ163" s="682" t="e">
        <f t="shared" si="1243"/>
        <v>#DIV/0!</v>
      </c>
      <c r="PA163" s="691" t="e">
        <f t="shared" si="1243"/>
        <v>#DIV/0!</v>
      </c>
      <c r="PB163" s="695" t="e">
        <f t="shared" si="1243"/>
        <v>#DIV/0!</v>
      </c>
      <c r="PC163" s="599" t="e">
        <f t="shared" si="1243"/>
        <v>#DIV/0!</v>
      </c>
      <c r="PD163" s="652" t="e">
        <f t="shared" si="1243"/>
        <v>#DIV/0!</v>
      </c>
      <c r="PE163" s="652" t="s">
        <v>93</v>
      </c>
      <c r="PF163" s="40" t="s">
        <v>93</v>
      </c>
      <c r="PG163" s="599">
        <f>STDEVA(PG157:PG161)</f>
        <v>0</v>
      </c>
      <c r="PH163" s="652" t="e">
        <f t="shared" ref="PH163:PV163" si="1244">STDEVA(PH157:PH161)</f>
        <v>#DIV/0!</v>
      </c>
      <c r="PI163" s="675" t="e">
        <f t="shared" si="1244"/>
        <v>#VALUE!</v>
      </c>
      <c r="PJ163" s="672" t="e">
        <f t="shared" si="1244"/>
        <v>#VALUE!</v>
      </c>
      <c r="PK163" s="672" t="e">
        <f t="shared" si="1244"/>
        <v>#REF!</v>
      </c>
      <c r="PL163" s="675" t="e">
        <f t="shared" si="1244"/>
        <v>#VALUE!</v>
      </c>
      <c r="PM163" s="672" t="e">
        <f t="shared" si="1244"/>
        <v>#VALUE!</v>
      </c>
      <c r="PN163" s="672" t="e">
        <f t="shared" si="1244"/>
        <v>#VALUE!</v>
      </c>
      <c r="PO163" s="672" t="e">
        <f>STDEVA(PO157:PO161)</f>
        <v>#VALUE!</v>
      </c>
      <c r="PP163" s="672" t="e">
        <f t="shared" si="1244"/>
        <v>#VALUE!</v>
      </c>
      <c r="PQ163" s="676" t="e">
        <f t="shared" si="1244"/>
        <v>#VALUE!</v>
      </c>
      <c r="PR163" s="682" t="e">
        <f t="shared" si="1244"/>
        <v>#DIV/0!</v>
      </c>
      <c r="PS163" s="691" t="e">
        <f t="shared" si="1244"/>
        <v>#DIV/0!</v>
      </c>
      <c r="PT163" s="695" t="e">
        <f t="shared" si="1244"/>
        <v>#DIV/0!</v>
      </c>
      <c r="PU163" s="599" t="e">
        <f t="shared" si="1244"/>
        <v>#DIV/0!</v>
      </c>
      <c r="PV163" s="652" t="e">
        <f t="shared" si="1244"/>
        <v>#DIV/0!</v>
      </c>
      <c r="PW163" s="652" t="s">
        <v>93</v>
      </c>
      <c r="PX163" s="40" t="s">
        <v>93</v>
      </c>
      <c r="PY163" s="599">
        <f>STDEVA(PY157:PY161)</f>
        <v>0</v>
      </c>
      <c r="PZ163" s="652" t="e">
        <f t="shared" ref="PZ163:QN163" si="1245">STDEVA(PZ157:PZ161)</f>
        <v>#DIV/0!</v>
      </c>
      <c r="QA163" s="675" t="e">
        <f t="shared" si="1245"/>
        <v>#VALUE!</v>
      </c>
      <c r="QB163" s="672" t="e">
        <f t="shared" si="1245"/>
        <v>#VALUE!</v>
      </c>
      <c r="QC163" s="672" t="e">
        <f t="shared" si="1245"/>
        <v>#REF!</v>
      </c>
      <c r="QD163" s="675" t="e">
        <f t="shared" si="1245"/>
        <v>#VALUE!</v>
      </c>
      <c r="QE163" s="672" t="e">
        <f t="shared" si="1245"/>
        <v>#VALUE!</v>
      </c>
      <c r="QF163" s="672" t="e">
        <f t="shared" si="1245"/>
        <v>#VALUE!</v>
      </c>
      <c r="QG163" s="672" t="e">
        <f>STDEVA(QG157:QG161)</f>
        <v>#VALUE!</v>
      </c>
      <c r="QH163" s="672" t="e">
        <f t="shared" si="1245"/>
        <v>#VALUE!</v>
      </c>
      <c r="QI163" s="676" t="e">
        <f t="shared" si="1245"/>
        <v>#VALUE!</v>
      </c>
      <c r="QJ163" s="682" t="e">
        <f t="shared" si="1245"/>
        <v>#DIV/0!</v>
      </c>
      <c r="QK163" s="691" t="e">
        <f t="shared" si="1245"/>
        <v>#DIV/0!</v>
      </c>
      <c r="QL163" s="695" t="e">
        <f t="shared" si="1245"/>
        <v>#DIV/0!</v>
      </c>
      <c r="QM163" s="599" t="e">
        <f t="shared" si="1245"/>
        <v>#DIV/0!</v>
      </c>
      <c r="QN163" s="652" t="e">
        <f t="shared" si="1245"/>
        <v>#DIV/0!</v>
      </c>
      <c r="QO163" s="652" t="s">
        <v>93</v>
      </c>
      <c r="QP163" s="40" t="s">
        <v>93</v>
      </c>
      <c r="QQ163" s="599">
        <f>STDEVA(QQ157:QQ161)</f>
        <v>0</v>
      </c>
      <c r="QR163" s="652" t="e">
        <f t="shared" ref="QR163:RF163" si="1246">STDEVA(QR157:QR161)</f>
        <v>#DIV/0!</v>
      </c>
      <c r="QS163" s="675" t="e">
        <f t="shared" si="1246"/>
        <v>#VALUE!</v>
      </c>
      <c r="QT163" s="672" t="e">
        <f t="shared" si="1246"/>
        <v>#VALUE!</v>
      </c>
      <c r="QU163" s="672" t="e">
        <f t="shared" si="1246"/>
        <v>#REF!</v>
      </c>
      <c r="QV163" s="675" t="e">
        <f t="shared" si="1246"/>
        <v>#VALUE!</v>
      </c>
      <c r="QW163" s="672" t="e">
        <f t="shared" si="1246"/>
        <v>#VALUE!</v>
      </c>
      <c r="QX163" s="672" t="e">
        <f t="shared" si="1246"/>
        <v>#VALUE!</v>
      </c>
      <c r="QY163" s="672" t="e">
        <f>STDEVA(QY157:QY161)</f>
        <v>#VALUE!</v>
      </c>
      <c r="QZ163" s="672" t="e">
        <f t="shared" si="1246"/>
        <v>#VALUE!</v>
      </c>
      <c r="RA163" s="676" t="e">
        <f t="shared" si="1246"/>
        <v>#VALUE!</v>
      </c>
      <c r="RB163" s="682" t="e">
        <f t="shared" si="1246"/>
        <v>#DIV/0!</v>
      </c>
      <c r="RC163" s="691" t="e">
        <f t="shared" si="1246"/>
        <v>#DIV/0!</v>
      </c>
      <c r="RD163" s="695" t="e">
        <f t="shared" si="1246"/>
        <v>#DIV/0!</v>
      </c>
      <c r="RE163" s="599" t="e">
        <f t="shared" si="1246"/>
        <v>#DIV/0!</v>
      </c>
      <c r="RF163" s="652">
        <f t="shared" si="1246"/>
        <v>0</v>
      </c>
      <c r="RG163" s="652" t="s">
        <v>93</v>
      </c>
      <c r="RH163" s="40" t="s">
        <v>93</v>
      </c>
      <c r="RI163" s="599">
        <f>STDEVA(RI157:RI161)</f>
        <v>0</v>
      </c>
      <c r="RJ163" s="652" t="e">
        <f t="shared" ref="RJ163:RX163" si="1247">STDEVA(RJ157:RJ161)</f>
        <v>#DIV/0!</v>
      </c>
      <c r="RK163" s="675" t="e">
        <f t="shared" si="1247"/>
        <v>#VALUE!</v>
      </c>
      <c r="RL163" s="672" t="e">
        <f t="shared" si="1247"/>
        <v>#VALUE!</v>
      </c>
      <c r="RM163" s="672" t="e">
        <f t="shared" si="1247"/>
        <v>#REF!</v>
      </c>
      <c r="RN163" s="675" t="e">
        <f t="shared" si="1247"/>
        <v>#VALUE!</v>
      </c>
      <c r="RO163" s="672" t="e">
        <f t="shared" si="1247"/>
        <v>#VALUE!</v>
      </c>
      <c r="RP163" s="672" t="e">
        <f t="shared" si="1247"/>
        <v>#VALUE!</v>
      </c>
      <c r="RQ163" s="672" t="e">
        <f>STDEVA(RQ157:RQ161)</f>
        <v>#VALUE!</v>
      </c>
      <c r="RR163" s="672" t="e">
        <f t="shared" si="1247"/>
        <v>#VALUE!</v>
      </c>
      <c r="RS163" s="676" t="e">
        <f t="shared" si="1247"/>
        <v>#VALUE!</v>
      </c>
      <c r="RT163" s="682" t="e">
        <f t="shared" si="1247"/>
        <v>#DIV/0!</v>
      </c>
      <c r="RU163" s="691" t="e">
        <f t="shared" si="1247"/>
        <v>#DIV/0!</v>
      </c>
      <c r="RV163" s="619" t="e">
        <f t="shared" si="1247"/>
        <v>#DIV/0!</v>
      </c>
      <c r="RW163" s="672" t="e">
        <f t="shared" si="1247"/>
        <v>#DIV/0!</v>
      </c>
      <c r="RX163" s="652">
        <f t="shared" si="1247"/>
        <v>0</v>
      </c>
      <c r="RY163" s="652" t="s">
        <v>93</v>
      </c>
      <c r="RZ163" s="40" t="s">
        <v>93</v>
      </c>
      <c r="SA163" s="599">
        <f>STDEVA(SA157:SA161)</f>
        <v>0</v>
      </c>
      <c r="SB163" s="652" t="e">
        <f t="shared" ref="SB163:SP163" si="1248">STDEVA(SB157:SB161)</f>
        <v>#DIV/0!</v>
      </c>
      <c r="SC163" s="675" t="e">
        <f t="shared" si="1248"/>
        <v>#VALUE!</v>
      </c>
      <c r="SD163" s="672" t="e">
        <f t="shared" si="1248"/>
        <v>#VALUE!</v>
      </c>
      <c r="SE163" s="672" t="e">
        <f t="shared" si="1248"/>
        <v>#REF!</v>
      </c>
      <c r="SF163" s="675" t="e">
        <f t="shared" si="1248"/>
        <v>#VALUE!</v>
      </c>
      <c r="SG163" s="672" t="e">
        <f t="shared" si="1248"/>
        <v>#VALUE!</v>
      </c>
      <c r="SH163" s="672" t="e">
        <f t="shared" si="1248"/>
        <v>#VALUE!</v>
      </c>
      <c r="SI163" s="672" t="e">
        <f>STDEVA(SI157:SI161)</f>
        <v>#VALUE!</v>
      </c>
      <c r="SJ163" s="672" t="e">
        <f t="shared" si="1248"/>
        <v>#VALUE!</v>
      </c>
      <c r="SK163" s="676" t="e">
        <f t="shared" si="1248"/>
        <v>#VALUE!</v>
      </c>
      <c r="SL163" s="682" t="e">
        <f t="shared" si="1248"/>
        <v>#DIV/0!</v>
      </c>
      <c r="SM163" s="691" t="e">
        <f t="shared" si="1248"/>
        <v>#DIV/0!</v>
      </c>
      <c r="SN163" s="695" t="e">
        <f t="shared" si="1248"/>
        <v>#DIV/0!</v>
      </c>
      <c r="SO163" s="599" t="e">
        <f t="shared" si="1248"/>
        <v>#DIV/0!</v>
      </c>
      <c r="SP163" s="652" t="e">
        <f t="shared" si="1248"/>
        <v>#DIV/0!</v>
      </c>
      <c r="SQ163" s="652" t="s">
        <v>93</v>
      </c>
      <c r="SR163" s="40" t="s">
        <v>93</v>
      </c>
      <c r="SS163" s="599">
        <f>STDEVA(SS157:SS161)</f>
        <v>0</v>
      </c>
      <c r="ST163" s="652" t="e">
        <f t="shared" ref="ST163:TH163" si="1249">STDEVA(ST157:ST161)</f>
        <v>#DIV/0!</v>
      </c>
      <c r="SU163" s="675" t="e">
        <f t="shared" si="1249"/>
        <v>#VALUE!</v>
      </c>
      <c r="SV163" s="672" t="e">
        <f t="shared" si="1249"/>
        <v>#VALUE!</v>
      </c>
      <c r="SW163" s="672" t="e">
        <f t="shared" si="1249"/>
        <v>#REF!</v>
      </c>
      <c r="SX163" s="675" t="e">
        <f t="shared" si="1249"/>
        <v>#VALUE!</v>
      </c>
      <c r="SY163" s="672" t="e">
        <f t="shared" si="1249"/>
        <v>#VALUE!</v>
      </c>
      <c r="SZ163" s="672" t="e">
        <f t="shared" si="1249"/>
        <v>#VALUE!</v>
      </c>
      <c r="TA163" s="672" t="e">
        <f>STDEVA(TA157:TA161)</f>
        <v>#VALUE!</v>
      </c>
      <c r="TB163" s="672" t="e">
        <f t="shared" si="1249"/>
        <v>#VALUE!</v>
      </c>
      <c r="TC163" s="676" t="e">
        <f t="shared" si="1249"/>
        <v>#VALUE!</v>
      </c>
      <c r="TD163" s="682" t="e">
        <f t="shared" si="1249"/>
        <v>#DIV/0!</v>
      </c>
      <c r="TE163" s="691" t="e">
        <f t="shared" si="1249"/>
        <v>#DIV/0!</v>
      </c>
      <c r="TF163" s="695" t="e">
        <f t="shared" si="1249"/>
        <v>#DIV/0!</v>
      </c>
      <c r="TG163" s="599" t="e">
        <f t="shared" si="1249"/>
        <v>#DIV/0!</v>
      </c>
      <c r="TH163" s="652" t="e">
        <f t="shared" si="1249"/>
        <v>#DIV/0!</v>
      </c>
      <c r="TI163" s="652" t="s">
        <v>93</v>
      </c>
      <c r="TJ163" s="40" t="s">
        <v>93</v>
      </c>
      <c r="TK163" s="599">
        <f>STDEVA(TK157:TK161)</f>
        <v>0</v>
      </c>
      <c r="TL163" s="652" t="e">
        <f t="shared" ref="TL163:TZ163" si="1250">STDEVA(TL157:TL161)</f>
        <v>#DIV/0!</v>
      </c>
      <c r="TM163" s="675" t="e">
        <f t="shared" si="1250"/>
        <v>#VALUE!</v>
      </c>
      <c r="TN163" s="672" t="e">
        <f t="shared" si="1250"/>
        <v>#VALUE!</v>
      </c>
      <c r="TO163" s="672" t="e">
        <f t="shared" si="1250"/>
        <v>#REF!</v>
      </c>
      <c r="TP163" s="675" t="e">
        <f t="shared" si="1250"/>
        <v>#VALUE!</v>
      </c>
      <c r="TQ163" s="672" t="e">
        <f t="shared" si="1250"/>
        <v>#VALUE!</v>
      </c>
      <c r="TR163" s="672" t="e">
        <f t="shared" si="1250"/>
        <v>#VALUE!</v>
      </c>
      <c r="TS163" s="672" t="e">
        <f>STDEVA(TS157:TS161)</f>
        <v>#VALUE!</v>
      </c>
      <c r="TT163" s="672" t="e">
        <f t="shared" si="1250"/>
        <v>#VALUE!</v>
      </c>
      <c r="TU163" s="676" t="e">
        <f t="shared" si="1250"/>
        <v>#VALUE!</v>
      </c>
      <c r="TV163" s="682" t="e">
        <f t="shared" si="1250"/>
        <v>#DIV/0!</v>
      </c>
      <c r="TW163" s="691" t="e">
        <f t="shared" si="1250"/>
        <v>#DIV/0!</v>
      </c>
      <c r="TX163" s="695" t="e">
        <f t="shared" si="1250"/>
        <v>#DIV/0!</v>
      </c>
      <c r="TY163" s="599" t="e">
        <f t="shared" si="1250"/>
        <v>#DIV/0!</v>
      </c>
      <c r="TZ163" s="652" t="e">
        <f t="shared" si="1250"/>
        <v>#DIV/0!</v>
      </c>
      <c r="UA163" s="652" t="s">
        <v>93</v>
      </c>
      <c r="UB163" s="40" t="s">
        <v>93</v>
      </c>
      <c r="UC163" s="599">
        <f>STDEVA(UC157:UC161)</f>
        <v>0</v>
      </c>
      <c r="UD163" s="652" t="e">
        <f t="shared" ref="UD163:UR163" si="1251">STDEVA(UD157:UD161)</f>
        <v>#DIV/0!</v>
      </c>
      <c r="UE163" s="675" t="e">
        <f t="shared" si="1251"/>
        <v>#VALUE!</v>
      </c>
      <c r="UF163" s="672" t="e">
        <f t="shared" si="1251"/>
        <v>#VALUE!</v>
      </c>
      <c r="UG163" s="672" t="e">
        <f t="shared" si="1251"/>
        <v>#REF!</v>
      </c>
      <c r="UH163" s="675" t="e">
        <f t="shared" si="1251"/>
        <v>#VALUE!</v>
      </c>
      <c r="UI163" s="672" t="e">
        <f t="shared" si="1251"/>
        <v>#VALUE!</v>
      </c>
      <c r="UJ163" s="672" t="e">
        <f t="shared" si="1251"/>
        <v>#VALUE!</v>
      </c>
      <c r="UK163" s="672" t="e">
        <f>STDEVA(UK157:UK161)</f>
        <v>#VALUE!</v>
      </c>
      <c r="UL163" s="672" t="e">
        <f t="shared" si="1251"/>
        <v>#VALUE!</v>
      </c>
      <c r="UM163" s="676" t="e">
        <f t="shared" si="1251"/>
        <v>#VALUE!</v>
      </c>
      <c r="UN163" s="682" t="e">
        <f t="shared" si="1251"/>
        <v>#DIV/0!</v>
      </c>
      <c r="UO163" s="691" t="e">
        <f t="shared" si="1251"/>
        <v>#DIV/0!</v>
      </c>
      <c r="UP163" s="695" t="e">
        <f t="shared" si="1251"/>
        <v>#DIV/0!</v>
      </c>
      <c r="UQ163" s="599" t="e">
        <f t="shared" si="1251"/>
        <v>#DIV/0!</v>
      </c>
      <c r="UR163" s="652" t="e">
        <f t="shared" si="1251"/>
        <v>#DIV/0!</v>
      </c>
      <c r="US163" s="652" t="s">
        <v>93</v>
      </c>
      <c r="UT163" s="40" t="s">
        <v>93</v>
      </c>
      <c r="UU163" s="599">
        <f>STDEVA(UU157:UU161)</f>
        <v>0</v>
      </c>
      <c r="UV163" s="652" t="e">
        <f t="shared" ref="UV163:VE163" si="1252">STDEVA(UV157:UV161)</f>
        <v>#DIV/0!</v>
      </c>
      <c r="UW163" s="675" t="e">
        <f t="shared" si="1252"/>
        <v>#VALUE!</v>
      </c>
      <c r="UX163" s="672" t="e">
        <f t="shared" si="1252"/>
        <v>#VALUE!</v>
      </c>
      <c r="UY163" s="672" t="e">
        <f t="shared" si="1252"/>
        <v>#REF!</v>
      </c>
      <c r="UZ163" s="675" t="e">
        <f t="shared" si="1252"/>
        <v>#VALUE!</v>
      </c>
      <c r="VA163" s="672" t="e">
        <f t="shared" si="1252"/>
        <v>#VALUE!</v>
      </c>
      <c r="VB163" s="672" t="e">
        <f t="shared" si="1252"/>
        <v>#VALUE!</v>
      </c>
      <c r="VC163" s="672" t="e">
        <f>STDEVA(VC157:VC161)</f>
        <v>#VALUE!</v>
      </c>
      <c r="VD163" s="672" t="e">
        <f t="shared" si="1252"/>
        <v>#VALUE!</v>
      </c>
      <c r="VE163" s="676" t="e">
        <f t="shared" si="1252"/>
        <v>#VALUE!</v>
      </c>
    </row>
    <row r="164" spans="1:577" x14ac:dyDescent="0.25">
      <c r="A164" s="1537" t="s">
        <v>63</v>
      </c>
      <c r="B164" s="688">
        <f t="shared" ref="B164:F164" si="1253">B163/B162*100</f>
        <v>0.66948143038916264</v>
      </c>
      <c r="C164" s="619">
        <f t="shared" si="1253"/>
        <v>3.9999046842580808</v>
      </c>
      <c r="D164" s="619">
        <f t="shared" si="1253"/>
        <v>2.1695419373569478E-2</v>
      </c>
      <c r="E164" s="672">
        <f t="shared" si="1253"/>
        <v>-3.8294581954143835E-2</v>
      </c>
      <c r="F164" s="619">
        <f t="shared" si="1253"/>
        <v>0</v>
      </c>
      <c r="G164" s="619" t="s">
        <v>93</v>
      </c>
      <c r="H164" s="38" t="s">
        <v>93</v>
      </c>
      <c r="I164" s="672">
        <f>I163/I162*100</f>
        <v>-3.8294581954146999E-2</v>
      </c>
      <c r="J164" s="619">
        <f t="shared" ref="J164:X164" si="1254">J163/J162*100</f>
        <v>2.5940116099741586E-2</v>
      </c>
      <c r="K164" s="675">
        <f t="shared" si="1254"/>
        <v>-4.5091890026989108E-2</v>
      </c>
      <c r="L164" s="672">
        <f t="shared" si="1254"/>
        <v>-4.5121753072852815E-2</v>
      </c>
      <c r="M164" s="672" t="e">
        <f t="shared" si="1254"/>
        <v>#REF!</v>
      </c>
      <c r="N164" s="675">
        <f t="shared" si="1254"/>
        <v>4.5121753072846209E-2</v>
      </c>
      <c r="O164" s="672">
        <f t="shared" si="1254"/>
        <v>4.512175307284437E-2</v>
      </c>
      <c r="P164" s="672">
        <f t="shared" si="1254"/>
        <v>4.5121753072846937E-2</v>
      </c>
      <c r="Q164" s="672">
        <f>Q163/Q162*100</f>
        <v>4.5121753072842712E-2</v>
      </c>
      <c r="R164" s="672">
        <f t="shared" si="1254"/>
        <v>4.5121753072842712E-2</v>
      </c>
      <c r="S164" s="676">
        <f t="shared" si="1254"/>
        <v>4.51217530728465E-2</v>
      </c>
      <c r="T164" s="1538" t="e">
        <f t="shared" si="1254"/>
        <v>#DIV/0!</v>
      </c>
      <c r="U164" s="1538" t="e">
        <f t="shared" si="1254"/>
        <v>#DIV/0!</v>
      </c>
      <c r="V164" s="1539" t="e">
        <f t="shared" si="1254"/>
        <v>#DIV/0!</v>
      </c>
      <c r="W164" s="672" t="e">
        <f t="shared" si="1254"/>
        <v>#DIV/0!</v>
      </c>
      <c r="X164" s="619" t="e">
        <f t="shared" si="1254"/>
        <v>#DIV/0!</v>
      </c>
      <c r="Y164" s="619" t="s">
        <v>93</v>
      </c>
      <c r="Z164" s="38" t="s">
        <v>93</v>
      </c>
      <c r="AA164" s="672" t="e">
        <f>AA163/AA162*100</f>
        <v>#DIV/0!</v>
      </c>
      <c r="AB164" s="619" t="e">
        <f t="shared" ref="AB164:AP164" si="1255">AB163/AB162*100</f>
        <v>#DIV/0!</v>
      </c>
      <c r="AC164" s="675" t="e">
        <f t="shared" si="1255"/>
        <v>#VALUE!</v>
      </c>
      <c r="AD164" s="672" t="e">
        <f t="shared" si="1255"/>
        <v>#VALUE!</v>
      </c>
      <c r="AE164" s="672" t="e">
        <f t="shared" si="1255"/>
        <v>#REF!</v>
      </c>
      <c r="AF164" s="675" t="e">
        <f t="shared" si="1255"/>
        <v>#VALUE!</v>
      </c>
      <c r="AG164" s="672" t="e">
        <f t="shared" si="1255"/>
        <v>#VALUE!</v>
      </c>
      <c r="AH164" s="672" t="e">
        <f t="shared" si="1255"/>
        <v>#VALUE!</v>
      </c>
      <c r="AI164" s="672" t="e">
        <f>AI163/AI162*100</f>
        <v>#VALUE!</v>
      </c>
      <c r="AJ164" s="672" t="e">
        <f t="shared" si="1255"/>
        <v>#VALUE!</v>
      </c>
      <c r="AK164" s="676" t="e">
        <f t="shared" si="1255"/>
        <v>#VALUE!</v>
      </c>
      <c r="AL164" s="1538" t="e">
        <f t="shared" si="1255"/>
        <v>#DIV/0!</v>
      </c>
      <c r="AM164" s="1538" t="e">
        <f t="shared" si="1255"/>
        <v>#DIV/0!</v>
      </c>
      <c r="AN164" s="1539" t="e">
        <f t="shared" si="1255"/>
        <v>#DIV/0!</v>
      </c>
      <c r="AO164" s="672" t="e">
        <f t="shared" si="1255"/>
        <v>#DIV/0!</v>
      </c>
      <c r="AP164" s="619" t="e">
        <f t="shared" si="1255"/>
        <v>#DIV/0!</v>
      </c>
      <c r="AQ164" s="619" t="s">
        <v>93</v>
      </c>
      <c r="AR164" s="38" t="s">
        <v>93</v>
      </c>
      <c r="AS164" s="672" t="e">
        <f>AS163/AS162*100</f>
        <v>#DIV/0!</v>
      </c>
      <c r="AT164" s="619" t="e">
        <f t="shared" ref="AT164:BH164" si="1256">AT163/AT162*100</f>
        <v>#DIV/0!</v>
      </c>
      <c r="AU164" s="675" t="e">
        <f t="shared" si="1256"/>
        <v>#VALUE!</v>
      </c>
      <c r="AV164" s="672" t="e">
        <f t="shared" si="1256"/>
        <v>#VALUE!</v>
      </c>
      <c r="AW164" s="672" t="e">
        <f t="shared" si="1256"/>
        <v>#REF!</v>
      </c>
      <c r="AX164" s="675" t="e">
        <f t="shared" si="1256"/>
        <v>#VALUE!</v>
      </c>
      <c r="AY164" s="672" t="e">
        <f t="shared" si="1256"/>
        <v>#VALUE!</v>
      </c>
      <c r="AZ164" s="672" t="e">
        <f t="shared" si="1256"/>
        <v>#VALUE!</v>
      </c>
      <c r="BA164" s="672" t="e">
        <f>BA163/BA162*100</f>
        <v>#VALUE!</v>
      </c>
      <c r="BB164" s="672" t="e">
        <f t="shared" si="1256"/>
        <v>#VALUE!</v>
      </c>
      <c r="BC164" s="676" t="e">
        <f t="shared" si="1256"/>
        <v>#VALUE!</v>
      </c>
      <c r="BD164" s="688" t="e">
        <f t="shared" si="1256"/>
        <v>#DIV/0!</v>
      </c>
      <c r="BE164" s="1538" t="e">
        <f t="shared" si="1256"/>
        <v>#DIV/0!</v>
      </c>
      <c r="BF164" s="1539" t="e">
        <f t="shared" si="1256"/>
        <v>#DIV/0!</v>
      </c>
      <c r="BG164" s="672">
        <f t="shared" si="1256"/>
        <v>0</v>
      </c>
      <c r="BH164" s="619" t="e">
        <f t="shared" si="1256"/>
        <v>#DIV/0!</v>
      </c>
      <c r="BI164" s="619" t="s">
        <v>93</v>
      </c>
      <c r="BJ164" s="38" t="s">
        <v>93</v>
      </c>
      <c r="BK164" s="672" t="e">
        <f>BK163/BK162*100</f>
        <v>#DIV/0!</v>
      </c>
      <c r="BL164" s="619" t="e">
        <f t="shared" ref="BL164:BZ164" si="1257">BL163/BL162*100</f>
        <v>#DIV/0!</v>
      </c>
      <c r="BM164" s="675" t="e">
        <f t="shared" si="1257"/>
        <v>#VALUE!</v>
      </c>
      <c r="BN164" s="672" t="e">
        <f t="shared" si="1257"/>
        <v>#VALUE!</v>
      </c>
      <c r="BO164" s="672" t="e">
        <f t="shared" si="1257"/>
        <v>#REF!</v>
      </c>
      <c r="BP164" s="675" t="e">
        <f t="shared" si="1257"/>
        <v>#VALUE!</v>
      </c>
      <c r="BQ164" s="672" t="e">
        <f t="shared" si="1257"/>
        <v>#VALUE!</v>
      </c>
      <c r="BR164" s="672" t="e">
        <f t="shared" si="1257"/>
        <v>#VALUE!</v>
      </c>
      <c r="BS164" s="672" t="e">
        <f>BS163/BS162*100</f>
        <v>#VALUE!</v>
      </c>
      <c r="BT164" s="672" t="e">
        <f t="shared" si="1257"/>
        <v>#VALUE!</v>
      </c>
      <c r="BU164" s="676" t="e">
        <f t="shared" si="1257"/>
        <v>#VALUE!</v>
      </c>
      <c r="BV164" s="688" t="e">
        <f t="shared" si="1257"/>
        <v>#DIV/0!</v>
      </c>
      <c r="BW164" s="1538" t="e">
        <f t="shared" si="1257"/>
        <v>#DIV/0!</v>
      </c>
      <c r="BX164" s="1539" t="e">
        <f t="shared" si="1257"/>
        <v>#DIV/0!</v>
      </c>
      <c r="BY164" s="672">
        <f t="shared" si="1257"/>
        <v>0.16081108558577722</v>
      </c>
      <c r="BZ164" s="619" t="e">
        <f t="shared" si="1257"/>
        <v>#DIV/0!</v>
      </c>
      <c r="CA164" s="619" t="s">
        <v>93</v>
      </c>
      <c r="CB164" s="38" t="s">
        <v>93</v>
      </c>
      <c r="CC164" s="672" t="e">
        <f>CC163/CC162*100</f>
        <v>#DIV/0!</v>
      </c>
      <c r="CD164" s="619" t="e">
        <f t="shared" ref="CD164:CR164" si="1258">CD163/CD162*100</f>
        <v>#DIV/0!</v>
      </c>
      <c r="CE164" s="675" t="e">
        <f t="shared" si="1258"/>
        <v>#VALUE!</v>
      </c>
      <c r="CF164" s="672" t="e">
        <f t="shared" si="1258"/>
        <v>#VALUE!</v>
      </c>
      <c r="CG164" s="672" t="e">
        <f t="shared" si="1258"/>
        <v>#REF!</v>
      </c>
      <c r="CH164" s="675" t="e">
        <f t="shared" si="1258"/>
        <v>#VALUE!</v>
      </c>
      <c r="CI164" s="672" t="e">
        <f t="shared" si="1258"/>
        <v>#VALUE!</v>
      </c>
      <c r="CJ164" s="672" t="e">
        <f t="shared" si="1258"/>
        <v>#VALUE!</v>
      </c>
      <c r="CK164" s="672" t="e">
        <f>CK163/CK162*100</f>
        <v>#VALUE!</v>
      </c>
      <c r="CL164" s="672" t="e">
        <f t="shared" si="1258"/>
        <v>#VALUE!</v>
      </c>
      <c r="CM164" s="676" t="e">
        <f t="shared" si="1258"/>
        <v>#VALUE!</v>
      </c>
      <c r="CN164" s="688" t="e">
        <f t="shared" si="1258"/>
        <v>#DIV/0!</v>
      </c>
      <c r="CO164" s="1538" t="e">
        <f t="shared" si="1258"/>
        <v>#DIV/0!</v>
      </c>
      <c r="CP164" s="1539" t="e">
        <f t="shared" si="1258"/>
        <v>#DIV/0!</v>
      </c>
      <c r="CQ164" s="672">
        <f t="shared" si="1258"/>
        <v>-7.2502570590049359E-2</v>
      </c>
      <c r="CR164" s="619" t="e">
        <f t="shared" si="1258"/>
        <v>#DIV/0!</v>
      </c>
      <c r="CS164" s="619" t="s">
        <v>93</v>
      </c>
      <c r="CT164" s="38" t="s">
        <v>93</v>
      </c>
      <c r="CU164" s="672" t="e">
        <f>CU163/CU162*100</f>
        <v>#DIV/0!</v>
      </c>
      <c r="CV164" s="619" t="e">
        <f t="shared" ref="CV164:DJ164" si="1259">CV163/CV162*100</f>
        <v>#DIV/0!</v>
      </c>
      <c r="CW164" s="675" t="e">
        <f t="shared" si="1259"/>
        <v>#VALUE!</v>
      </c>
      <c r="CX164" s="672" t="e">
        <f t="shared" si="1259"/>
        <v>#VALUE!</v>
      </c>
      <c r="CY164" s="672" t="e">
        <f t="shared" si="1259"/>
        <v>#REF!</v>
      </c>
      <c r="CZ164" s="675" t="e">
        <f t="shared" si="1259"/>
        <v>#VALUE!</v>
      </c>
      <c r="DA164" s="672" t="e">
        <f t="shared" si="1259"/>
        <v>#VALUE!</v>
      </c>
      <c r="DB164" s="672" t="e">
        <f t="shared" si="1259"/>
        <v>#VALUE!</v>
      </c>
      <c r="DC164" s="672" t="e">
        <f>DC163/DC162*100</f>
        <v>#VALUE!</v>
      </c>
      <c r="DD164" s="672" t="e">
        <f t="shared" si="1259"/>
        <v>#VALUE!</v>
      </c>
      <c r="DE164" s="676" t="e">
        <f t="shared" si="1259"/>
        <v>#VALUE!</v>
      </c>
      <c r="DF164" s="688" t="e">
        <f t="shared" si="1259"/>
        <v>#DIV/0!</v>
      </c>
      <c r="DG164" s="1538" t="e">
        <f t="shared" si="1259"/>
        <v>#DIV/0!</v>
      </c>
      <c r="DH164" s="1539" t="e">
        <f t="shared" si="1259"/>
        <v>#DIV/0!</v>
      </c>
      <c r="DI164" s="672" t="e">
        <f t="shared" si="1259"/>
        <v>#DIV/0!</v>
      </c>
      <c r="DJ164" s="619" t="e">
        <f t="shared" si="1259"/>
        <v>#DIV/0!</v>
      </c>
      <c r="DK164" s="619" t="s">
        <v>93</v>
      </c>
      <c r="DL164" s="38" t="s">
        <v>93</v>
      </c>
      <c r="DM164" s="672" t="e">
        <f>DM163/DM162*100</f>
        <v>#DIV/0!</v>
      </c>
      <c r="DN164" s="619" t="e">
        <f t="shared" ref="DN164:EB164" si="1260">DN163/DN162*100</f>
        <v>#DIV/0!</v>
      </c>
      <c r="DO164" s="675" t="e">
        <f t="shared" si="1260"/>
        <v>#VALUE!</v>
      </c>
      <c r="DP164" s="672" t="e">
        <f t="shared" si="1260"/>
        <v>#VALUE!</v>
      </c>
      <c r="DQ164" s="672" t="e">
        <f t="shared" si="1260"/>
        <v>#REF!</v>
      </c>
      <c r="DR164" s="675" t="e">
        <f t="shared" si="1260"/>
        <v>#VALUE!</v>
      </c>
      <c r="DS164" s="672" t="e">
        <f t="shared" si="1260"/>
        <v>#VALUE!</v>
      </c>
      <c r="DT164" s="672" t="e">
        <f t="shared" si="1260"/>
        <v>#VALUE!</v>
      </c>
      <c r="DU164" s="672" t="e">
        <f>DU163/DU162*100</f>
        <v>#VALUE!</v>
      </c>
      <c r="DV164" s="672" t="e">
        <f t="shared" si="1260"/>
        <v>#VALUE!</v>
      </c>
      <c r="DW164" s="676" t="e">
        <f t="shared" si="1260"/>
        <v>#VALUE!</v>
      </c>
      <c r="DX164" s="688" t="e">
        <f t="shared" si="1260"/>
        <v>#DIV/0!</v>
      </c>
      <c r="DY164" s="1538" t="e">
        <f t="shared" si="1260"/>
        <v>#DIV/0!</v>
      </c>
      <c r="DZ164" s="1539" t="e">
        <f t="shared" si="1260"/>
        <v>#DIV/0!</v>
      </c>
      <c r="EA164" s="674" t="e">
        <f t="shared" si="1260"/>
        <v>#DIV/0!</v>
      </c>
      <c r="EB164" s="619" t="e">
        <f t="shared" si="1260"/>
        <v>#DIV/0!</v>
      </c>
      <c r="EC164" s="619" t="s">
        <v>93</v>
      </c>
      <c r="ED164" s="38" t="s">
        <v>93</v>
      </c>
      <c r="EE164" s="672" t="e">
        <f>EE163/EE162*100</f>
        <v>#DIV/0!</v>
      </c>
      <c r="EF164" s="619" t="e">
        <f t="shared" ref="EF164:ET164" si="1261">EF163/EF162*100</f>
        <v>#DIV/0!</v>
      </c>
      <c r="EG164" s="675" t="e">
        <f t="shared" si="1261"/>
        <v>#VALUE!</v>
      </c>
      <c r="EH164" s="672" t="e">
        <f t="shared" si="1261"/>
        <v>#VALUE!</v>
      </c>
      <c r="EI164" s="672" t="e">
        <f t="shared" si="1261"/>
        <v>#REF!</v>
      </c>
      <c r="EJ164" s="675" t="e">
        <f t="shared" si="1261"/>
        <v>#VALUE!</v>
      </c>
      <c r="EK164" s="672" t="e">
        <f t="shared" si="1261"/>
        <v>#VALUE!</v>
      </c>
      <c r="EL164" s="672" t="e">
        <f t="shared" si="1261"/>
        <v>#VALUE!</v>
      </c>
      <c r="EM164" s="672" t="e">
        <f>EM163/EM162*100</f>
        <v>#VALUE!</v>
      </c>
      <c r="EN164" s="672" t="e">
        <f t="shared" si="1261"/>
        <v>#VALUE!</v>
      </c>
      <c r="EO164" s="676" t="e">
        <f t="shared" si="1261"/>
        <v>#VALUE!</v>
      </c>
      <c r="EP164" s="688" t="e">
        <f t="shared" si="1261"/>
        <v>#DIV/0!</v>
      </c>
      <c r="EQ164" s="1538" t="e">
        <f t="shared" si="1261"/>
        <v>#DIV/0!</v>
      </c>
      <c r="ER164" s="1539" t="e">
        <f t="shared" si="1261"/>
        <v>#DIV/0!</v>
      </c>
      <c r="ES164" s="672">
        <f t="shared" si="1261"/>
        <v>0</v>
      </c>
      <c r="ET164" s="619" t="e">
        <f t="shared" si="1261"/>
        <v>#DIV/0!</v>
      </c>
      <c r="EU164" s="619" t="s">
        <v>93</v>
      </c>
      <c r="EV164" s="38" t="s">
        <v>93</v>
      </c>
      <c r="EW164" s="672" t="e">
        <f>EW163/EW162*100</f>
        <v>#DIV/0!</v>
      </c>
      <c r="EX164" s="619" t="e">
        <f t="shared" ref="EX164:FL164" si="1262">EX163/EX162*100</f>
        <v>#DIV/0!</v>
      </c>
      <c r="EY164" s="675" t="e">
        <f t="shared" si="1262"/>
        <v>#VALUE!</v>
      </c>
      <c r="EZ164" s="672" t="e">
        <f t="shared" si="1262"/>
        <v>#VALUE!</v>
      </c>
      <c r="FA164" s="672" t="e">
        <f t="shared" si="1262"/>
        <v>#REF!</v>
      </c>
      <c r="FB164" s="675" t="e">
        <f t="shared" si="1262"/>
        <v>#VALUE!</v>
      </c>
      <c r="FC164" s="672" t="e">
        <f t="shared" si="1262"/>
        <v>#VALUE!</v>
      </c>
      <c r="FD164" s="672" t="e">
        <f t="shared" si="1262"/>
        <v>#VALUE!</v>
      </c>
      <c r="FE164" s="672" t="e">
        <f>FE163/FE162*100</f>
        <v>#VALUE!</v>
      </c>
      <c r="FF164" s="672" t="e">
        <f t="shared" si="1262"/>
        <v>#VALUE!</v>
      </c>
      <c r="FG164" s="676" t="e">
        <f t="shared" si="1262"/>
        <v>#VALUE!</v>
      </c>
      <c r="FH164" s="688" t="e">
        <f t="shared" si="1262"/>
        <v>#DIV/0!</v>
      </c>
      <c r="FI164" s="1538" t="e">
        <f t="shared" si="1262"/>
        <v>#DIV/0!</v>
      </c>
      <c r="FJ164" s="1539" t="e">
        <f t="shared" si="1262"/>
        <v>#DIV/0!</v>
      </c>
      <c r="FK164" s="672" t="e">
        <f t="shared" si="1262"/>
        <v>#DIV/0!</v>
      </c>
      <c r="FL164" s="619" t="e">
        <f t="shared" si="1262"/>
        <v>#DIV/0!</v>
      </c>
      <c r="FM164" s="619" t="s">
        <v>93</v>
      </c>
      <c r="FN164" s="38" t="s">
        <v>93</v>
      </c>
      <c r="FO164" s="672" t="e">
        <f>FO163/FO162*100</f>
        <v>#DIV/0!</v>
      </c>
      <c r="FP164" s="619" t="e">
        <f t="shared" ref="FP164:GD164" si="1263">FP163/FP162*100</f>
        <v>#DIV/0!</v>
      </c>
      <c r="FQ164" s="675" t="e">
        <f t="shared" si="1263"/>
        <v>#VALUE!</v>
      </c>
      <c r="FR164" s="672" t="e">
        <f t="shared" si="1263"/>
        <v>#VALUE!</v>
      </c>
      <c r="FS164" s="672" t="e">
        <f t="shared" si="1263"/>
        <v>#REF!</v>
      </c>
      <c r="FT164" s="675" t="e">
        <f t="shared" si="1263"/>
        <v>#VALUE!</v>
      </c>
      <c r="FU164" s="672" t="e">
        <f t="shared" si="1263"/>
        <v>#VALUE!</v>
      </c>
      <c r="FV164" s="672" t="e">
        <f t="shared" si="1263"/>
        <v>#VALUE!</v>
      </c>
      <c r="FW164" s="672" t="e">
        <f>FW163/FW162*100</f>
        <v>#VALUE!</v>
      </c>
      <c r="FX164" s="672" t="e">
        <f t="shared" si="1263"/>
        <v>#VALUE!</v>
      </c>
      <c r="FY164" s="676" t="e">
        <f t="shared" si="1263"/>
        <v>#VALUE!</v>
      </c>
      <c r="FZ164" s="688" t="e">
        <f t="shared" si="1263"/>
        <v>#DIV/0!</v>
      </c>
      <c r="GA164" s="1538" t="e">
        <f t="shared" si="1263"/>
        <v>#DIV/0!</v>
      </c>
      <c r="GB164" s="1539" t="e">
        <f t="shared" si="1263"/>
        <v>#DIV/0!</v>
      </c>
      <c r="GC164" s="672" t="e">
        <f t="shared" si="1263"/>
        <v>#DIV/0!</v>
      </c>
      <c r="GD164" s="619" t="e">
        <f t="shared" si="1263"/>
        <v>#DIV/0!</v>
      </c>
      <c r="GE164" s="619" t="s">
        <v>93</v>
      </c>
      <c r="GF164" s="38" t="s">
        <v>93</v>
      </c>
      <c r="GG164" s="672" t="e">
        <f>GG163/GG162*100</f>
        <v>#DIV/0!</v>
      </c>
      <c r="GH164" s="619" t="e">
        <f t="shared" ref="GH164:GV164" si="1264">GH163/GH162*100</f>
        <v>#DIV/0!</v>
      </c>
      <c r="GI164" s="675" t="e">
        <f t="shared" si="1264"/>
        <v>#VALUE!</v>
      </c>
      <c r="GJ164" s="672" t="e">
        <f t="shared" si="1264"/>
        <v>#VALUE!</v>
      </c>
      <c r="GK164" s="672" t="e">
        <f t="shared" si="1264"/>
        <v>#REF!</v>
      </c>
      <c r="GL164" s="675" t="e">
        <f t="shared" si="1264"/>
        <v>#VALUE!</v>
      </c>
      <c r="GM164" s="672" t="e">
        <f t="shared" si="1264"/>
        <v>#VALUE!</v>
      </c>
      <c r="GN164" s="672" t="e">
        <f t="shared" si="1264"/>
        <v>#VALUE!</v>
      </c>
      <c r="GO164" s="672" t="e">
        <f>GO163/GO162*100</f>
        <v>#VALUE!</v>
      </c>
      <c r="GP164" s="672" t="e">
        <f t="shared" si="1264"/>
        <v>#VALUE!</v>
      </c>
      <c r="GQ164" s="676" t="e">
        <f t="shared" si="1264"/>
        <v>#VALUE!</v>
      </c>
      <c r="GR164" s="688" t="e">
        <f t="shared" si="1264"/>
        <v>#DIV/0!</v>
      </c>
      <c r="GS164" s="1538" t="e">
        <f t="shared" si="1264"/>
        <v>#DIV/0!</v>
      </c>
      <c r="GT164" s="1539" t="e">
        <f t="shared" si="1264"/>
        <v>#DIV/0!</v>
      </c>
      <c r="GU164" s="674" t="e">
        <f t="shared" si="1264"/>
        <v>#DIV/0!</v>
      </c>
      <c r="GV164" s="619" t="e">
        <f t="shared" si="1264"/>
        <v>#DIV/0!</v>
      </c>
      <c r="GW164" s="619" t="s">
        <v>93</v>
      </c>
      <c r="GX164" s="38" t="s">
        <v>93</v>
      </c>
      <c r="GY164" s="672" t="e">
        <f>GY163/GY162*100</f>
        <v>#DIV/0!</v>
      </c>
      <c r="GZ164" s="619" t="e">
        <f t="shared" ref="GZ164:HN164" si="1265">GZ163/GZ162*100</f>
        <v>#DIV/0!</v>
      </c>
      <c r="HA164" s="675" t="e">
        <f t="shared" si="1265"/>
        <v>#VALUE!</v>
      </c>
      <c r="HB164" s="672" t="e">
        <f t="shared" si="1265"/>
        <v>#VALUE!</v>
      </c>
      <c r="HC164" s="672" t="e">
        <f t="shared" si="1265"/>
        <v>#REF!</v>
      </c>
      <c r="HD164" s="675" t="e">
        <f t="shared" si="1265"/>
        <v>#VALUE!</v>
      </c>
      <c r="HE164" s="672" t="e">
        <f t="shared" si="1265"/>
        <v>#VALUE!</v>
      </c>
      <c r="HF164" s="672" t="e">
        <f t="shared" si="1265"/>
        <v>#VALUE!</v>
      </c>
      <c r="HG164" s="672" t="e">
        <f>HG163/HG162*100</f>
        <v>#VALUE!</v>
      </c>
      <c r="HH164" s="672" t="e">
        <f t="shared" si="1265"/>
        <v>#VALUE!</v>
      </c>
      <c r="HI164" s="676" t="e">
        <f t="shared" si="1265"/>
        <v>#VALUE!</v>
      </c>
      <c r="HJ164" s="688" t="e">
        <f t="shared" si="1265"/>
        <v>#DIV/0!</v>
      </c>
      <c r="HK164" s="1538" t="e">
        <f t="shared" si="1265"/>
        <v>#DIV/0!</v>
      </c>
      <c r="HL164" s="1539" t="e">
        <f t="shared" si="1265"/>
        <v>#DIV/0!</v>
      </c>
      <c r="HM164" s="672" t="e">
        <f t="shared" si="1265"/>
        <v>#DIV/0!</v>
      </c>
      <c r="HN164" s="619" t="e">
        <f t="shared" si="1265"/>
        <v>#DIV/0!</v>
      </c>
      <c r="HO164" s="619" t="s">
        <v>93</v>
      </c>
      <c r="HP164" s="38" t="s">
        <v>93</v>
      </c>
      <c r="HQ164" s="672" t="e">
        <f>HQ163/HQ162*100</f>
        <v>#DIV/0!</v>
      </c>
      <c r="HR164" s="619" t="e">
        <f t="shared" ref="HR164:IF164" si="1266">HR163/HR162*100</f>
        <v>#DIV/0!</v>
      </c>
      <c r="HS164" s="675" t="e">
        <f t="shared" si="1266"/>
        <v>#VALUE!</v>
      </c>
      <c r="HT164" s="672" t="e">
        <f t="shared" si="1266"/>
        <v>#VALUE!</v>
      </c>
      <c r="HU164" s="672" t="e">
        <f t="shared" si="1266"/>
        <v>#REF!</v>
      </c>
      <c r="HV164" s="675" t="e">
        <f t="shared" si="1266"/>
        <v>#VALUE!</v>
      </c>
      <c r="HW164" s="672" t="e">
        <f t="shared" si="1266"/>
        <v>#VALUE!</v>
      </c>
      <c r="HX164" s="672" t="e">
        <f t="shared" si="1266"/>
        <v>#VALUE!</v>
      </c>
      <c r="HY164" s="672" t="e">
        <f>HY163/HY162*100</f>
        <v>#VALUE!</v>
      </c>
      <c r="HZ164" s="672" t="e">
        <f t="shared" si="1266"/>
        <v>#VALUE!</v>
      </c>
      <c r="IA164" s="676" t="e">
        <f t="shared" si="1266"/>
        <v>#VALUE!</v>
      </c>
      <c r="IB164" s="688" t="e">
        <f t="shared" si="1266"/>
        <v>#DIV/0!</v>
      </c>
      <c r="IC164" s="1538" t="e">
        <f t="shared" si="1266"/>
        <v>#DIV/0!</v>
      </c>
      <c r="ID164" s="1539" t="e">
        <f t="shared" si="1266"/>
        <v>#DIV/0!</v>
      </c>
      <c r="IE164" s="672" t="e">
        <f t="shared" si="1266"/>
        <v>#DIV/0!</v>
      </c>
      <c r="IF164" s="619" t="e">
        <f t="shared" si="1266"/>
        <v>#DIV/0!</v>
      </c>
      <c r="IG164" s="619" t="s">
        <v>93</v>
      </c>
      <c r="IH164" s="38" t="s">
        <v>93</v>
      </c>
      <c r="II164" s="672" t="e">
        <f>II163/II162*100</f>
        <v>#DIV/0!</v>
      </c>
      <c r="IJ164" s="619" t="e">
        <f t="shared" ref="IJ164:IX164" si="1267">IJ163/IJ162*100</f>
        <v>#DIV/0!</v>
      </c>
      <c r="IK164" s="675" t="e">
        <f t="shared" si="1267"/>
        <v>#VALUE!</v>
      </c>
      <c r="IL164" s="672" t="e">
        <f t="shared" si="1267"/>
        <v>#VALUE!</v>
      </c>
      <c r="IM164" s="672" t="e">
        <f t="shared" si="1267"/>
        <v>#REF!</v>
      </c>
      <c r="IN164" s="675" t="e">
        <f t="shared" si="1267"/>
        <v>#VALUE!</v>
      </c>
      <c r="IO164" s="672" t="e">
        <f t="shared" si="1267"/>
        <v>#VALUE!</v>
      </c>
      <c r="IP164" s="672" t="e">
        <f t="shared" si="1267"/>
        <v>#VALUE!</v>
      </c>
      <c r="IQ164" s="672" t="e">
        <f>IQ163/IQ162*100</f>
        <v>#VALUE!</v>
      </c>
      <c r="IR164" s="672" t="e">
        <f t="shared" si="1267"/>
        <v>#VALUE!</v>
      </c>
      <c r="IS164" s="676" t="e">
        <f t="shared" si="1267"/>
        <v>#VALUE!</v>
      </c>
      <c r="IT164" s="688" t="e">
        <f t="shared" si="1267"/>
        <v>#DIV/0!</v>
      </c>
      <c r="IU164" s="1538" t="e">
        <f t="shared" si="1267"/>
        <v>#DIV/0!</v>
      </c>
      <c r="IV164" s="1539" t="e">
        <f t="shared" si="1267"/>
        <v>#DIV/0!</v>
      </c>
      <c r="IW164" s="672" t="e">
        <f t="shared" si="1267"/>
        <v>#DIV/0!</v>
      </c>
      <c r="IX164" s="619" t="e">
        <f t="shared" si="1267"/>
        <v>#DIV/0!</v>
      </c>
      <c r="IY164" s="619" t="s">
        <v>93</v>
      </c>
      <c r="IZ164" s="38" t="s">
        <v>93</v>
      </c>
      <c r="JA164" s="672" t="e">
        <f>JA163/JA162*100</f>
        <v>#DIV/0!</v>
      </c>
      <c r="JB164" s="619" t="e">
        <f t="shared" ref="JB164:JP164" si="1268">JB163/JB162*100</f>
        <v>#DIV/0!</v>
      </c>
      <c r="JC164" s="675" t="e">
        <f t="shared" si="1268"/>
        <v>#VALUE!</v>
      </c>
      <c r="JD164" s="672" t="e">
        <f t="shared" si="1268"/>
        <v>#VALUE!</v>
      </c>
      <c r="JE164" s="672" t="e">
        <f t="shared" si="1268"/>
        <v>#REF!</v>
      </c>
      <c r="JF164" s="675" t="e">
        <f t="shared" si="1268"/>
        <v>#VALUE!</v>
      </c>
      <c r="JG164" s="672" t="e">
        <f t="shared" si="1268"/>
        <v>#VALUE!</v>
      </c>
      <c r="JH164" s="672" t="e">
        <f t="shared" si="1268"/>
        <v>#VALUE!</v>
      </c>
      <c r="JI164" s="672" t="e">
        <f>JI163/JI162*100</f>
        <v>#VALUE!</v>
      </c>
      <c r="JJ164" s="672" t="e">
        <f t="shared" si="1268"/>
        <v>#VALUE!</v>
      </c>
      <c r="JK164" s="676" t="e">
        <f t="shared" si="1268"/>
        <v>#VALUE!</v>
      </c>
      <c r="JL164" s="688" t="e">
        <f t="shared" si="1268"/>
        <v>#DIV/0!</v>
      </c>
      <c r="JM164" s="1538" t="e">
        <f t="shared" si="1268"/>
        <v>#DIV/0!</v>
      </c>
      <c r="JN164" s="1539" t="e">
        <f t="shared" si="1268"/>
        <v>#DIV/0!</v>
      </c>
      <c r="JO164" s="672" t="e">
        <f t="shared" si="1268"/>
        <v>#DIV/0!</v>
      </c>
      <c r="JP164" s="619" t="e">
        <f t="shared" si="1268"/>
        <v>#DIV/0!</v>
      </c>
      <c r="JQ164" s="619" t="s">
        <v>93</v>
      </c>
      <c r="JR164" s="38" t="s">
        <v>93</v>
      </c>
      <c r="JS164" s="672" t="e">
        <f>JS163/JS162*100</f>
        <v>#DIV/0!</v>
      </c>
      <c r="JT164" s="619" t="e">
        <f t="shared" ref="JT164:KH164" si="1269">JT163/JT162*100</f>
        <v>#DIV/0!</v>
      </c>
      <c r="JU164" s="675" t="e">
        <f t="shared" si="1269"/>
        <v>#VALUE!</v>
      </c>
      <c r="JV164" s="672" t="e">
        <f t="shared" si="1269"/>
        <v>#VALUE!</v>
      </c>
      <c r="JW164" s="672" t="e">
        <f t="shared" si="1269"/>
        <v>#REF!</v>
      </c>
      <c r="JX164" s="675" t="e">
        <f t="shared" si="1269"/>
        <v>#VALUE!</v>
      </c>
      <c r="JY164" s="672" t="e">
        <f t="shared" si="1269"/>
        <v>#VALUE!</v>
      </c>
      <c r="JZ164" s="672" t="e">
        <f t="shared" si="1269"/>
        <v>#VALUE!</v>
      </c>
      <c r="KA164" s="672" t="e">
        <f>KA163/KA162*100</f>
        <v>#VALUE!</v>
      </c>
      <c r="KB164" s="672" t="e">
        <f t="shared" si="1269"/>
        <v>#VALUE!</v>
      </c>
      <c r="KC164" s="676" t="e">
        <f t="shared" si="1269"/>
        <v>#VALUE!</v>
      </c>
      <c r="KD164" s="688" t="e">
        <f t="shared" si="1269"/>
        <v>#DIV/0!</v>
      </c>
      <c r="KE164" s="1538" t="e">
        <f t="shared" si="1269"/>
        <v>#DIV/0!</v>
      </c>
      <c r="KF164" s="1539" t="e">
        <f t="shared" si="1269"/>
        <v>#DIV/0!</v>
      </c>
      <c r="KG164" s="672" t="e">
        <f t="shared" si="1269"/>
        <v>#DIV/0!</v>
      </c>
      <c r="KH164" s="619" t="e">
        <f t="shared" si="1269"/>
        <v>#DIV/0!</v>
      </c>
      <c r="KI164" s="619" t="s">
        <v>93</v>
      </c>
      <c r="KJ164" s="38" t="s">
        <v>93</v>
      </c>
      <c r="KK164" s="672" t="e">
        <f>KK163/KK162*100</f>
        <v>#DIV/0!</v>
      </c>
      <c r="KL164" s="619" t="e">
        <f t="shared" ref="KL164:KZ164" si="1270">KL163/KL162*100</f>
        <v>#DIV/0!</v>
      </c>
      <c r="KM164" s="675" t="e">
        <f t="shared" si="1270"/>
        <v>#VALUE!</v>
      </c>
      <c r="KN164" s="672" t="e">
        <f t="shared" si="1270"/>
        <v>#VALUE!</v>
      </c>
      <c r="KO164" s="672" t="e">
        <f t="shared" si="1270"/>
        <v>#REF!</v>
      </c>
      <c r="KP164" s="675" t="e">
        <f t="shared" si="1270"/>
        <v>#VALUE!</v>
      </c>
      <c r="KQ164" s="672" t="e">
        <f t="shared" si="1270"/>
        <v>#VALUE!</v>
      </c>
      <c r="KR164" s="672" t="e">
        <f t="shared" si="1270"/>
        <v>#VALUE!</v>
      </c>
      <c r="KS164" s="672" t="e">
        <f>KS163/KS162*100</f>
        <v>#VALUE!</v>
      </c>
      <c r="KT164" s="672" t="e">
        <f t="shared" si="1270"/>
        <v>#VALUE!</v>
      </c>
      <c r="KU164" s="676" t="e">
        <f t="shared" si="1270"/>
        <v>#VALUE!</v>
      </c>
      <c r="KV164" s="688" t="e">
        <f t="shared" si="1270"/>
        <v>#DIV/0!</v>
      </c>
      <c r="KW164" s="1538" t="e">
        <f t="shared" si="1270"/>
        <v>#DIV/0!</v>
      </c>
      <c r="KX164" s="1539" t="e">
        <f t="shared" si="1270"/>
        <v>#DIV/0!</v>
      </c>
      <c r="KY164" s="672" t="e">
        <f t="shared" si="1270"/>
        <v>#DIV/0!</v>
      </c>
      <c r="KZ164" s="619" t="e">
        <f t="shared" si="1270"/>
        <v>#DIV/0!</v>
      </c>
      <c r="LA164" s="619" t="s">
        <v>93</v>
      </c>
      <c r="LB164" s="38" t="s">
        <v>93</v>
      </c>
      <c r="LC164" s="672" t="e">
        <f>LC163/LC162*100</f>
        <v>#DIV/0!</v>
      </c>
      <c r="LD164" s="619" t="e">
        <f t="shared" ref="LD164:LR164" si="1271">LD163/LD162*100</f>
        <v>#DIV/0!</v>
      </c>
      <c r="LE164" s="675" t="e">
        <f t="shared" si="1271"/>
        <v>#VALUE!</v>
      </c>
      <c r="LF164" s="672" t="e">
        <f t="shared" si="1271"/>
        <v>#VALUE!</v>
      </c>
      <c r="LG164" s="672" t="e">
        <f t="shared" si="1271"/>
        <v>#REF!</v>
      </c>
      <c r="LH164" s="675" t="e">
        <f t="shared" si="1271"/>
        <v>#VALUE!</v>
      </c>
      <c r="LI164" s="672" t="e">
        <f t="shared" si="1271"/>
        <v>#VALUE!</v>
      </c>
      <c r="LJ164" s="672" t="e">
        <f t="shared" si="1271"/>
        <v>#VALUE!</v>
      </c>
      <c r="LK164" s="672" t="e">
        <f>LK163/LK162*100</f>
        <v>#VALUE!</v>
      </c>
      <c r="LL164" s="672" t="e">
        <f t="shared" si="1271"/>
        <v>#VALUE!</v>
      </c>
      <c r="LM164" s="676" t="e">
        <f t="shared" si="1271"/>
        <v>#VALUE!</v>
      </c>
      <c r="LN164" s="688" t="e">
        <f t="shared" si="1271"/>
        <v>#DIV/0!</v>
      </c>
      <c r="LO164" s="1538" t="e">
        <f t="shared" si="1271"/>
        <v>#DIV/0!</v>
      </c>
      <c r="LP164" s="1539" t="e">
        <f t="shared" si="1271"/>
        <v>#DIV/0!</v>
      </c>
      <c r="LQ164" s="672" t="e">
        <f t="shared" si="1271"/>
        <v>#DIV/0!</v>
      </c>
      <c r="LR164" s="619" t="e">
        <f t="shared" si="1271"/>
        <v>#DIV/0!</v>
      </c>
      <c r="LS164" s="619" t="s">
        <v>93</v>
      </c>
      <c r="LT164" s="38" t="s">
        <v>93</v>
      </c>
      <c r="LU164" s="672" t="e">
        <f>LU163/LU162*100</f>
        <v>#DIV/0!</v>
      </c>
      <c r="LV164" s="619" t="e">
        <f t="shared" ref="LV164:MJ164" si="1272">LV163/LV162*100</f>
        <v>#DIV/0!</v>
      </c>
      <c r="LW164" s="675" t="e">
        <f t="shared" si="1272"/>
        <v>#VALUE!</v>
      </c>
      <c r="LX164" s="672" t="e">
        <f t="shared" si="1272"/>
        <v>#VALUE!</v>
      </c>
      <c r="LY164" s="672" t="e">
        <f t="shared" si="1272"/>
        <v>#REF!</v>
      </c>
      <c r="LZ164" s="675" t="e">
        <f t="shared" si="1272"/>
        <v>#VALUE!</v>
      </c>
      <c r="MA164" s="672" t="e">
        <f t="shared" si="1272"/>
        <v>#VALUE!</v>
      </c>
      <c r="MB164" s="672" t="e">
        <f t="shared" si="1272"/>
        <v>#VALUE!</v>
      </c>
      <c r="MC164" s="672" t="e">
        <f>MC163/MC162*100</f>
        <v>#VALUE!</v>
      </c>
      <c r="MD164" s="672" t="e">
        <f t="shared" si="1272"/>
        <v>#VALUE!</v>
      </c>
      <c r="ME164" s="676" t="e">
        <f t="shared" si="1272"/>
        <v>#VALUE!</v>
      </c>
      <c r="MF164" s="688" t="e">
        <f t="shared" si="1272"/>
        <v>#DIV/0!</v>
      </c>
      <c r="MG164" s="1538" t="e">
        <f t="shared" si="1272"/>
        <v>#DIV/0!</v>
      </c>
      <c r="MH164" s="1539" t="e">
        <f t="shared" si="1272"/>
        <v>#DIV/0!</v>
      </c>
      <c r="MI164" s="672" t="e">
        <f t="shared" si="1272"/>
        <v>#DIV/0!</v>
      </c>
      <c r="MJ164" s="619" t="e">
        <f t="shared" si="1272"/>
        <v>#DIV/0!</v>
      </c>
      <c r="MK164" s="619" t="s">
        <v>93</v>
      </c>
      <c r="ML164" s="38" t="s">
        <v>93</v>
      </c>
      <c r="MM164" s="672" t="e">
        <f>MM163/MM162*100</f>
        <v>#DIV/0!</v>
      </c>
      <c r="MN164" s="619" t="e">
        <f t="shared" ref="MN164:NB164" si="1273">MN163/MN162*100</f>
        <v>#DIV/0!</v>
      </c>
      <c r="MO164" s="675" t="e">
        <f t="shared" si="1273"/>
        <v>#VALUE!</v>
      </c>
      <c r="MP164" s="672" t="e">
        <f t="shared" si="1273"/>
        <v>#VALUE!</v>
      </c>
      <c r="MQ164" s="672" t="e">
        <f t="shared" si="1273"/>
        <v>#REF!</v>
      </c>
      <c r="MR164" s="675" t="e">
        <f t="shared" si="1273"/>
        <v>#VALUE!</v>
      </c>
      <c r="MS164" s="672" t="e">
        <f t="shared" si="1273"/>
        <v>#VALUE!</v>
      </c>
      <c r="MT164" s="672" t="e">
        <f t="shared" si="1273"/>
        <v>#VALUE!</v>
      </c>
      <c r="MU164" s="672" t="e">
        <f>MU163/MU162*100</f>
        <v>#VALUE!</v>
      </c>
      <c r="MV164" s="672" t="e">
        <f t="shared" si="1273"/>
        <v>#VALUE!</v>
      </c>
      <c r="MW164" s="676" t="e">
        <f t="shared" si="1273"/>
        <v>#VALUE!</v>
      </c>
      <c r="MX164" s="688" t="e">
        <f t="shared" si="1273"/>
        <v>#DIV/0!</v>
      </c>
      <c r="MY164" s="1538" t="e">
        <f t="shared" si="1273"/>
        <v>#DIV/0!</v>
      </c>
      <c r="MZ164" s="1539" t="e">
        <f t="shared" si="1273"/>
        <v>#DIV/0!</v>
      </c>
      <c r="NA164" s="672" t="e">
        <f t="shared" si="1273"/>
        <v>#DIV/0!</v>
      </c>
      <c r="NB164" s="619" t="e">
        <f t="shared" si="1273"/>
        <v>#DIV/0!</v>
      </c>
      <c r="NC164" s="619" t="s">
        <v>93</v>
      </c>
      <c r="ND164" s="38" t="s">
        <v>93</v>
      </c>
      <c r="NE164" s="672" t="e">
        <f>NE163/NE162*100</f>
        <v>#DIV/0!</v>
      </c>
      <c r="NF164" s="619" t="e">
        <f t="shared" ref="NF164:NT164" si="1274">NF163/NF162*100</f>
        <v>#DIV/0!</v>
      </c>
      <c r="NG164" s="675" t="e">
        <f t="shared" si="1274"/>
        <v>#VALUE!</v>
      </c>
      <c r="NH164" s="672" t="e">
        <f t="shared" si="1274"/>
        <v>#VALUE!</v>
      </c>
      <c r="NI164" s="672" t="e">
        <f t="shared" si="1274"/>
        <v>#REF!</v>
      </c>
      <c r="NJ164" s="675" t="e">
        <f t="shared" si="1274"/>
        <v>#VALUE!</v>
      </c>
      <c r="NK164" s="672" t="e">
        <f t="shared" si="1274"/>
        <v>#VALUE!</v>
      </c>
      <c r="NL164" s="672" t="e">
        <f t="shared" si="1274"/>
        <v>#VALUE!</v>
      </c>
      <c r="NM164" s="672" t="e">
        <f>NM163/NM162*100</f>
        <v>#VALUE!</v>
      </c>
      <c r="NN164" s="672" t="e">
        <f t="shared" si="1274"/>
        <v>#VALUE!</v>
      </c>
      <c r="NO164" s="676" t="e">
        <f t="shared" si="1274"/>
        <v>#VALUE!</v>
      </c>
      <c r="NP164" s="688" t="e">
        <f t="shared" si="1274"/>
        <v>#DIV/0!</v>
      </c>
      <c r="NQ164" s="1538" t="e">
        <f t="shared" si="1274"/>
        <v>#DIV/0!</v>
      </c>
      <c r="NR164" s="1539" t="e">
        <f t="shared" si="1274"/>
        <v>#DIV/0!</v>
      </c>
      <c r="NS164" s="672" t="e">
        <f t="shared" si="1274"/>
        <v>#DIV/0!</v>
      </c>
      <c r="NT164" s="619" t="e">
        <f t="shared" si="1274"/>
        <v>#DIV/0!</v>
      </c>
      <c r="NU164" s="619" t="s">
        <v>93</v>
      </c>
      <c r="NV164" s="38" t="s">
        <v>93</v>
      </c>
      <c r="NW164" s="672" t="e">
        <f>NW163/NW162*100</f>
        <v>#DIV/0!</v>
      </c>
      <c r="NX164" s="619" t="e">
        <f t="shared" ref="NX164:OL164" si="1275">NX163/NX162*100</f>
        <v>#DIV/0!</v>
      </c>
      <c r="NY164" s="675" t="e">
        <f t="shared" si="1275"/>
        <v>#VALUE!</v>
      </c>
      <c r="NZ164" s="672" t="e">
        <f t="shared" si="1275"/>
        <v>#VALUE!</v>
      </c>
      <c r="OA164" s="672" t="e">
        <f t="shared" si="1275"/>
        <v>#REF!</v>
      </c>
      <c r="OB164" s="675" t="e">
        <f t="shared" si="1275"/>
        <v>#VALUE!</v>
      </c>
      <c r="OC164" s="672" t="e">
        <f t="shared" si="1275"/>
        <v>#VALUE!</v>
      </c>
      <c r="OD164" s="672" t="e">
        <f t="shared" si="1275"/>
        <v>#VALUE!</v>
      </c>
      <c r="OE164" s="672" t="e">
        <f>OE163/OE162*100</f>
        <v>#VALUE!</v>
      </c>
      <c r="OF164" s="672" t="e">
        <f t="shared" si="1275"/>
        <v>#VALUE!</v>
      </c>
      <c r="OG164" s="676" t="e">
        <f t="shared" si="1275"/>
        <v>#VALUE!</v>
      </c>
      <c r="OH164" s="688" t="e">
        <f t="shared" si="1275"/>
        <v>#DIV/0!</v>
      </c>
      <c r="OI164" s="1538" t="e">
        <f t="shared" si="1275"/>
        <v>#DIV/0!</v>
      </c>
      <c r="OJ164" s="1539" t="e">
        <f t="shared" si="1275"/>
        <v>#DIV/0!</v>
      </c>
      <c r="OK164" s="672" t="e">
        <f t="shared" si="1275"/>
        <v>#DIV/0!</v>
      </c>
      <c r="OL164" s="619" t="e">
        <f t="shared" si="1275"/>
        <v>#DIV/0!</v>
      </c>
      <c r="OM164" s="619" t="s">
        <v>93</v>
      </c>
      <c r="ON164" s="38" t="s">
        <v>93</v>
      </c>
      <c r="OO164" s="672" t="e">
        <f>OO163/OO162*100</f>
        <v>#DIV/0!</v>
      </c>
      <c r="OP164" s="619" t="e">
        <f t="shared" ref="OP164:PD164" si="1276">OP163/OP162*100</f>
        <v>#DIV/0!</v>
      </c>
      <c r="OQ164" s="675" t="e">
        <f t="shared" si="1276"/>
        <v>#VALUE!</v>
      </c>
      <c r="OR164" s="672" t="e">
        <f t="shared" si="1276"/>
        <v>#VALUE!</v>
      </c>
      <c r="OS164" s="672" t="e">
        <f t="shared" si="1276"/>
        <v>#REF!</v>
      </c>
      <c r="OT164" s="675" t="e">
        <f t="shared" si="1276"/>
        <v>#VALUE!</v>
      </c>
      <c r="OU164" s="672" t="e">
        <f t="shared" si="1276"/>
        <v>#VALUE!</v>
      </c>
      <c r="OV164" s="672" t="e">
        <f t="shared" si="1276"/>
        <v>#VALUE!</v>
      </c>
      <c r="OW164" s="672" t="e">
        <f>OW163/OW162*100</f>
        <v>#VALUE!</v>
      </c>
      <c r="OX164" s="672" t="e">
        <f t="shared" si="1276"/>
        <v>#VALUE!</v>
      </c>
      <c r="OY164" s="676" t="e">
        <f t="shared" si="1276"/>
        <v>#VALUE!</v>
      </c>
      <c r="OZ164" s="688" t="e">
        <f t="shared" si="1276"/>
        <v>#DIV/0!</v>
      </c>
      <c r="PA164" s="1538" t="e">
        <f t="shared" si="1276"/>
        <v>#DIV/0!</v>
      </c>
      <c r="PB164" s="1539" t="e">
        <f t="shared" si="1276"/>
        <v>#DIV/0!</v>
      </c>
      <c r="PC164" s="672" t="e">
        <f t="shared" si="1276"/>
        <v>#DIV/0!</v>
      </c>
      <c r="PD164" s="619" t="e">
        <f t="shared" si="1276"/>
        <v>#DIV/0!</v>
      </c>
      <c r="PE164" s="619" t="s">
        <v>93</v>
      </c>
      <c r="PF164" s="38" t="s">
        <v>93</v>
      </c>
      <c r="PG164" s="672" t="e">
        <f>PG163/PG162*100</f>
        <v>#DIV/0!</v>
      </c>
      <c r="PH164" s="619" t="e">
        <f t="shared" ref="PH164:PV164" si="1277">PH163/PH162*100</f>
        <v>#DIV/0!</v>
      </c>
      <c r="PI164" s="675" t="e">
        <f t="shared" si="1277"/>
        <v>#VALUE!</v>
      </c>
      <c r="PJ164" s="672" t="e">
        <f t="shared" si="1277"/>
        <v>#VALUE!</v>
      </c>
      <c r="PK164" s="672" t="e">
        <f t="shared" si="1277"/>
        <v>#REF!</v>
      </c>
      <c r="PL164" s="675" t="e">
        <f t="shared" si="1277"/>
        <v>#VALUE!</v>
      </c>
      <c r="PM164" s="672" t="e">
        <f t="shared" si="1277"/>
        <v>#VALUE!</v>
      </c>
      <c r="PN164" s="672" t="e">
        <f t="shared" si="1277"/>
        <v>#VALUE!</v>
      </c>
      <c r="PO164" s="672" t="e">
        <f>PO163/PO162*100</f>
        <v>#VALUE!</v>
      </c>
      <c r="PP164" s="672" t="e">
        <f t="shared" si="1277"/>
        <v>#VALUE!</v>
      </c>
      <c r="PQ164" s="676" t="e">
        <f t="shared" si="1277"/>
        <v>#VALUE!</v>
      </c>
      <c r="PR164" s="688" t="e">
        <f t="shared" si="1277"/>
        <v>#DIV/0!</v>
      </c>
      <c r="PS164" s="1538" t="e">
        <f t="shared" si="1277"/>
        <v>#DIV/0!</v>
      </c>
      <c r="PT164" s="1539" t="e">
        <f t="shared" si="1277"/>
        <v>#DIV/0!</v>
      </c>
      <c r="PU164" s="672" t="e">
        <f t="shared" si="1277"/>
        <v>#DIV/0!</v>
      </c>
      <c r="PV164" s="619" t="e">
        <f t="shared" si="1277"/>
        <v>#DIV/0!</v>
      </c>
      <c r="PW164" s="619" t="s">
        <v>93</v>
      </c>
      <c r="PX164" s="38" t="s">
        <v>93</v>
      </c>
      <c r="PY164" s="672" t="e">
        <f>PY163/PY162*100</f>
        <v>#DIV/0!</v>
      </c>
      <c r="PZ164" s="619" t="e">
        <f t="shared" ref="PZ164:QN164" si="1278">PZ163/PZ162*100</f>
        <v>#DIV/0!</v>
      </c>
      <c r="QA164" s="675" t="e">
        <f t="shared" si="1278"/>
        <v>#VALUE!</v>
      </c>
      <c r="QB164" s="672" t="e">
        <f t="shared" si="1278"/>
        <v>#VALUE!</v>
      </c>
      <c r="QC164" s="672" t="e">
        <f t="shared" si="1278"/>
        <v>#REF!</v>
      </c>
      <c r="QD164" s="675" t="e">
        <f t="shared" si="1278"/>
        <v>#VALUE!</v>
      </c>
      <c r="QE164" s="672" t="e">
        <f t="shared" si="1278"/>
        <v>#VALUE!</v>
      </c>
      <c r="QF164" s="672" t="e">
        <f t="shared" si="1278"/>
        <v>#VALUE!</v>
      </c>
      <c r="QG164" s="672" t="e">
        <f>QG163/QG162*100</f>
        <v>#VALUE!</v>
      </c>
      <c r="QH164" s="672" t="e">
        <f t="shared" si="1278"/>
        <v>#VALUE!</v>
      </c>
      <c r="QI164" s="676" t="e">
        <f t="shared" si="1278"/>
        <v>#VALUE!</v>
      </c>
      <c r="QJ164" s="688" t="e">
        <f t="shared" si="1278"/>
        <v>#DIV/0!</v>
      </c>
      <c r="QK164" s="1538" t="e">
        <f t="shared" si="1278"/>
        <v>#DIV/0!</v>
      </c>
      <c r="QL164" s="1539" t="e">
        <f t="shared" si="1278"/>
        <v>#DIV/0!</v>
      </c>
      <c r="QM164" s="672" t="e">
        <f t="shared" si="1278"/>
        <v>#DIV/0!</v>
      </c>
      <c r="QN164" s="619" t="e">
        <f t="shared" si="1278"/>
        <v>#DIV/0!</v>
      </c>
      <c r="QO164" s="619" t="s">
        <v>93</v>
      </c>
      <c r="QP164" s="38" t="s">
        <v>93</v>
      </c>
      <c r="QQ164" s="672" t="e">
        <f>QQ163/QQ162*100</f>
        <v>#DIV/0!</v>
      </c>
      <c r="QR164" s="619" t="e">
        <f t="shared" ref="QR164:RF164" si="1279">QR163/QR162*100</f>
        <v>#DIV/0!</v>
      </c>
      <c r="QS164" s="675" t="e">
        <f t="shared" si="1279"/>
        <v>#VALUE!</v>
      </c>
      <c r="QT164" s="672" t="e">
        <f t="shared" si="1279"/>
        <v>#VALUE!</v>
      </c>
      <c r="QU164" s="672" t="e">
        <f t="shared" si="1279"/>
        <v>#REF!</v>
      </c>
      <c r="QV164" s="675" t="e">
        <f t="shared" si="1279"/>
        <v>#VALUE!</v>
      </c>
      <c r="QW164" s="672" t="e">
        <f t="shared" si="1279"/>
        <v>#VALUE!</v>
      </c>
      <c r="QX164" s="672" t="e">
        <f t="shared" si="1279"/>
        <v>#VALUE!</v>
      </c>
      <c r="QY164" s="672" t="e">
        <f>QY163/QY162*100</f>
        <v>#VALUE!</v>
      </c>
      <c r="QZ164" s="672" t="e">
        <f t="shared" si="1279"/>
        <v>#VALUE!</v>
      </c>
      <c r="RA164" s="676" t="e">
        <f t="shared" si="1279"/>
        <v>#VALUE!</v>
      </c>
      <c r="RB164" s="688" t="e">
        <f t="shared" si="1279"/>
        <v>#DIV/0!</v>
      </c>
      <c r="RC164" s="1538" t="e">
        <f t="shared" si="1279"/>
        <v>#DIV/0!</v>
      </c>
      <c r="RD164" s="1539" t="e">
        <f t="shared" si="1279"/>
        <v>#DIV/0!</v>
      </c>
      <c r="RE164" s="672" t="e">
        <f t="shared" si="1279"/>
        <v>#DIV/0!</v>
      </c>
      <c r="RF164" s="619">
        <f t="shared" si="1279"/>
        <v>0</v>
      </c>
      <c r="RG164" s="619" t="s">
        <v>93</v>
      </c>
      <c r="RH164" s="38" t="s">
        <v>93</v>
      </c>
      <c r="RI164" s="672" t="e">
        <f>RI163/RI162*100</f>
        <v>#DIV/0!</v>
      </c>
      <c r="RJ164" s="619" t="e">
        <f t="shared" ref="RJ164:RX164" si="1280">RJ163/RJ162*100</f>
        <v>#DIV/0!</v>
      </c>
      <c r="RK164" s="675" t="e">
        <f t="shared" si="1280"/>
        <v>#VALUE!</v>
      </c>
      <c r="RL164" s="672" t="e">
        <f t="shared" si="1280"/>
        <v>#VALUE!</v>
      </c>
      <c r="RM164" s="672" t="e">
        <f t="shared" si="1280"/>
        <v>#REF!</v>
      </c>
      <c r="RN164" s="675" t="e">
        <f t="shared" si="1280"/>
        <v>#VALUE!</v>
      </c>
      <c r="RO164" s="672" t="e">
        <f t="shared" si="1280"/>
        <v>#VALUE!</v>
      </c>
      <c r="RP164" s="672" t="e">
        <f t="shared" si="1280"/>
        <v>#VALUE!</v>
      </c>
      <c r="RQ164" s="672" t="e">
        <f>RQ163/RQ162*100</f>
        <v>#VALUE!</v>
      </c>
      <c r="RR164" s="672" t="e">
        <f t="shared" si="1280"/>
        <v>#VALUE!</v>
      </c>
      <c r="RS164" s="676" t="e">
        <f t="shared" si="1280"/>
        <v>#VALUE!</v>
      </c>
      <c r="RT164" s="688" t="e">
        <f t="shared" si="1280"/>
        <v>#DIV/0!</v>
      </c>
      <c r="RU164" s="1538" t="e">
        <f t="shared" si="1280"/>
        <v>#DIV/0!</v>
      </c>
      <c r="RV164" s="619" t="e">
        <f t="shared" si="1280"/>
        <v>#DIV/0!</v>
      </c>
      <c r="RW164" s="674" t="e">
        <f t="shared" si="1280"/>
        <v>#DIV/0!</v>
      </c>
      <c r="RX164" s="619">
        <f t="shared" si="1280"/>
        <v>0</v>
      </c>
      <c r="RY164" s="619" t="s">
        <v>93</v>
      </c>
      <c r="RZ164" s="38" t="s">
        <v>93</v>
      </c>
      <c r="SA164" s="672" t="e">
        <f>SA163/SA162*100</f>
        <v>#DIV/0!</v>
      </c>
      <c r="SB164" s="619" t="e">
        <f t="shared" ref="SB164:SP164" si="1281">SB163/SB162*100</f>
        <v>#DIV/0!</v>
      </c>
      <c r="SC164" s="675" t="e">
        <f t="shared" si="1281"/>
        <v>#VALUE!</v>
      </c>
      <c r="SD164" s="672" t="e">
        <f t="shared" si="1281"/>
        <v>#VALUE!</v>
      </c>
      <c r="SE164" s="672" t="e">
        <f t="shared" si="1281"/>
        <v>#REF!</v>
      </c>
      <c r="SF164" s="675" t="e">
        <f t="shared" si="1281"/>
        <v>#VALUE!</v>
      </c>
      <c r="SG164" s="672" t="e">
        <f t="shared" si="1281"/>
        <v>#VALUE!</v>
      </c>
      <c r="SH164" s="672" t="e">
        <f t="shared" si="1281"/>
        <v>#VALUE!</v>
      </c>
      <c r="SI164" s="672" t="e">
        <f>SI163/SI162*100</f>
        <v>#VALUE!</v>
      </c>
      <c r="SJ164" s="672" t="e">
        <f t="shared" si="1281"/>
        <v>#VALUE!</v>
      </c>
      <c r="SK164" s="676" t="e">
        <f t="shared" si="1281"/>
        <v>#VALUE!</v>
      </c>
      <c r="SL164" s="688" t="e">
        <f t="shared" si="1281"/>
        <v>#DIV/0!</v>
      </c>
      <c r="SM164" s="1538" t="e">
        <f t="shared" si="1281"/>
        <v>#DIV/0!</v>
      </c>
      <c r="SN164" s="1539" t="e">
        <f t="shared" si="1281"/>
        <v>#DIV/0!</v>
      </c>
      <c r="SO164" s="672" t="e">
        <f t="shared" si="1281"/>
        <v>#DIV/0!</v>
      </c>
      <c r="SP164" s="619" t="e">
        <f t="shared" si="1281"/>
        <v>#DIV/0!</v>
      </c>
      <c r="SQ164" s="619" t="s">
        <v>93</v>
      </c>
      <c r="SR164" s="38" t="s">
        <v>93</v>
      </c>
      <c r="SS164" s="672" t="e">
        <f>SS163/SS162*100</f>
        <v>#DIV/0!</v>
      </c>
      <c r="ST164" s="619" t="e">
        <f t="shared" ref="ST164:TH164" si="1282">ST163/ST162*100</f>
        <v>#DIV/0!</v>
      </c>
      <c r="SU164" s="675" t="e">
        <f t="shared" si="1282"/>
        <v>#VALUE!</v>
      </c>
      <c r="SV164" s="672" t="e">
        <f t="shared" si="1282"/>
        <v>#VALUE!</v>
      </c>
      <c r="SW164" s="672" t="e">
        <f t="shared" si="1282"/>
        <v>#REF!</v>
      </c>
      <c r="SX164" s="675" t="e">
        <f t="shared" si="1282"/>
        <v>#VALUE!</v>
      </c>
      <c r="SY164" s="672" t="e">
        <f t="shared" si="1282"/>
        <v>#VALUE!</v>
      </c>
      <c r="SZ164" s="672" t="e">
        <f t="shared" si="1282"/>
        <v>#VALUE!</v>
      </c>
      <c r="TA164" s="672" t="e">
        <f>TA163/TA162*100</f>
        <v>#VALUE!</v>
      </c>
      <c r="TB164" s="672" t="e">
        <f t="shared" si="1282"/>
        <v>#VALUE!</v>
      </c>
      <c r="TC164" s="676" t="e">
        <f t="shared" si="1282"/>
        <v>#VALUE!</v>
      </c>
      <c r="TD164" s="688" t="e">
        <f t="shared" si="1282"/>
        <v>#DIV/0!</v>
      </c>
      <c r="TE164" s="1538" t="e">
        <f t="shared" si="1282"/>
        <v>#DIV/0!</v>
      </c>
      <c r="TF164" s="1539" t="e">
        <f t="shared" si="1282"/>
        <v>#DIV/0!</v>
      </c>
      <c r="TG164" s="672" t="e">
        <f t="shared" si="1282"/>
        <v>#DIV/0!</v>
      </c>
      <c r="TH164" s="619" t="e">
        <f t="shared" si="1282"/>
        <v>#DIV/0!</v>
      </c>
      <c r="TI164" s="619" t="s">
        <v>93</v>
      </c>
      <c r="TJ164" s="38" t="s">
        <v>93</v>
      </c>
      <c r="TK164" s="672" t="e">
        <f>TK163/TK162*100</f>
        <v>#DIV/0!</v>
      </c>
      <c r="TL164" s="619" t="e">
        <f t="shared" ref="TL164:TZ164" si="1283">TL163/TL162*100</f>
        <v>#DIV/0!</v>
      </c>
      <c r="TM164" s="675" t="e">
        <f t="shared" si="1283"/>
        <v>#VALUE!</v>
      </c>
      <c r="TN164" s="672" t="e">
        <f t="shared" si="1283"/>
        <v>#VALUE!</v>
      </c>
      <c r="TO164" s="672" t="e">
        <f t="shared" si="1283"/>
        <v>#REF!</v>
      </c>
      <c r="TP164" s="675" t="e">
        <f t="shared" si="1283"/>
        <v>#VALUE!</v>
      </c>
      <c r="TQ164" s="672" t="e">
        <f t="shared" si="1283"/>
        <v>#VALUE!</v>
      </c>
      <c r="TR164" s="672" t="e">
        <f t="shared" si="1283"/>
        <v>#VALUE!</v>
      </c>
      <c r="TS164" s="672" t="e">
        <f>TS163/TS162*100</f>
        <v>#VALUE!</v>
      </c>
      <c r="TT164" s="672" t="e">
        <f t="shared" si="1283"/>
        <v>#VALUE!</v>
      </c>
      <c r="TU164" s="676" t="e">
        <f t="shared" si="1283"/>
        <v>#VALUE!</v>
      </c>
      <c r="TV164" s="688" t="e">
        <f t="shared" si="1283"/>
        <v>#DIV/0!</v>
      </c>
      <c r="TW164" s="1538" t="e">
        <f t="shared" si="1283"/>
        <v>#DIV/0!</v>
      </c>
      <c r="TX164" s="1539" t="e">
        <f t="shared" si="1283"/>
        <v>#DIV/0!</v>
      </c>
      <c r="TY164" s="672" t="e">
        <f t="shared" si="1283"/>
        <v>#DIV/0!</v>
      </c>
      <c r="TZ164" s="619" t="e">
        <f t="shared" si="1283"/>
        <v>#DIV/0!</v>
      </c>
      <c r="UA164" s="619" t="s">
        <v>93</v>
      </c>
      <c r="UB164" s="38" t="s">
        <v>93</v>
      </c>
      <c r="UC164" s="672" t="e">
        <f>UC163/UC162*100</f>
        <v>#DIV/0!</v>
      </c>
      <c r="UD164" s="619" t="e">
        <f t="shared" ref="UD164:UR164" si="1284">UD163/UD162*100</f>
        <v>#DIV/0!</v>
      </c>
      <c r="UE164" s="675" t="e">
        <f t="shared" si="1284"/>
        <v>#VALUE!</v>
      </c>
      <c r="UF164" s="672" t="e">
        <f t="shared" si="1284"/>
        <v>#VALUE!</v>
      </c>
      <c r="UG164" s="672" t="e">
        <f t="shared" si="1284"/>
        <v>#REF!</v>
      </c>
      <c r="UH164" s="675" t="e">
        <f t="shared" si="1284"/>
        <v>#VALUE!</v>
      </c>
      <c r="UI164" s="672" t="e">
        <f t="shared" si="1284"/>
        <v>#VALUE!</v>
      </c>
      <c r="UJ164" s="672" t="e">
        <f t="shared" si="1284"/>
        <v>#VALUE!</v>
      </c>
      <c r="UK164" s="672" t="e">
        <f>UK163/UK162*100</f>
        <v>#VALUE!</v>
      </c>
      <c r="UL164" s="672" t="e">
        <f t="shared" si="1284"/>
        <v>#VALUE!</v>
      </c>
      <c r="UM164" s="676" t="e">
        <f t="shared" si="1284"/>
        <v>#VALUE!</v>
      </c>
      <c r="UN164" s="688" t="e">
        <f t="shared" si="1284"/>
        <v>#DIV/0!</v>
      </c>
      <c r="UO164" s="1538" t="e">
        <f t="shared" si="1284"/>
        <v>#DIV/0!</v>
      </c>
      <c r="UP164" s="1539" t="e">
        <f t="shared" si="1284"/>
        <v>#DIV/0!</v>
      </c>
      <c r="UQ164" s="672" t="e">
        <f t="shared" si="1284"/>
        <v>#DIV/0!</v>
      </c>
      <c r="UR164" s="619" t="e">
        <f t="shared" si="1284"/>
        <v>#DIV/0!</v>
      </c>
      <c r="US164" s="619" t="s">
        <v>93</v>
      </c>
      <c r="UT164" s="38" t="s">
        <v>93</v>
      </c>
      <c r="UU164" s="672" t="e">
        <f>UU163/UU162*100</f>
        <v>#DIV/0!</v>
      </c>
      <c r="UV164" s="619" t="e">
        <f t="shared" ref="UV164:VE164" si="1285">UV163/UV162*100</f>
        <v>#DIV/0!</v>
      </c>
      <c r="UW164" s="675" t="e">
        <f t="shared" si="1285"/>
        <v>#VALUE!</v>
      </c>
      <c r="UX164" s="672" t="e">
        <f t="shared" si="1285"/>
        <v>#VALUE!</v>
      </c>
      <c r="UY164" s="672" t="e">
        <f t="shared" si="1285"/>
        <v>#REF!</v>
      </c>
      <c r="UZ164" s="675" t="e">
        <f t="shared" si="1285"/>
        <v>#VALUE!</v>
      </c>
      <c r="VA164" s="672" t="e">
        <f t="shared" si="1285"/>
        <v>#VALUE!</v>
      </c>
      <c r="VB164" s="672" t="e">
        <f t="shared" si="1285"/>
        <v>#VALUE!</v>
      </c>
      <c r="VC164" s="672" t="e">
        <f>VC163/VC162*100</f>
        <v>#VALUE!</v>
      </c>
      <c r="VD164" s="672" t="e">
        <f t="shared" si="1285"/>
        <v>#VALUE!</v>
      </c>
      <c r="VE164" s="676" t="e">
        <f t="shared" si="1285"/>
        <v>#VALUE!</v>
      </c>
    </row>
    <row r="165" spans="1:577" ht="15.75" thickBot="1" x14ac:dyDescent="0.3">
      <c r="A165" s="1541" t="s">
        <v>1059</v>
      </c>
      <c r="B165" s="699"/>
      <c r="C165" s="700"/>
      <c r="D165" s="700"/>
      <c r="E165" s="604"/>
      <c r="F165" s="700"/>
      <c r="G165" s="700"/>
      <c r="H165" s="700"/>
      <c r="I165" s="604"/>
      <c r="J165" s="700"/>
      <c r="K165" s="698"/>
      <c r="L165" s="604"/>
      <c r="M165" s="604"/>
      <c r="N165" s="697"/>
      <c r="O165" s="604"/>
      <c r="P165" s="19"/>
      <c r="Q165" s="604"/>
      <c r="R165" s="604"/>
      <c r="S165" s="607"/>
      <c r="T165" s="1535"/>
      <c r="U165" s="1535"/>
      <c r="V165" s="1536"/>
      <c r="W165" s="604"/>
      <c r="X165" s="700"/>
      <c r="Y165" s="700"/>
      <c r="Z165" s="700"/>
      <c r="AA165" s="604"/>
      <c r="AB165" s="700"/>
      <c r="AC165" s="698"/>
      <c r="AD165" s="604"/>
      <c r="AE165" s="604"/>
      <c r="AF165" s="697"/>
      <c r="AG165" s="604"/>
      <c r="AH165" s="604"/>
      <c r="AI165" s="604"/>
      <c r="AJ165" s="604"/>
      <c r="AK165" s="607"/>
      <c r="AL165" s="1535"/>
      <c r="AM165" s="1535"/>
      <c r="AN165" s="1536"/>
      <c r="AO165" s="604"/>
      <c r="AP165" s="700"/>
      <c r="AQ165" s="700"/>
      <c r="AR165" s="700"/>
      <c r="AS165" s="604"/>
      <c r="AT165" s="700"/>
      <c r="AU165" s="698"/>
      <c r="AV165" s="604"/>
      <c r="AW165" s="604"/>
      <c r="AX165" s="697"/>
      <c r="AY165" s="604"/>
      <c r="AZ165" s="604"/>
      <c r="BA165" s="604"/>
      <c r="BB165" s="604"/>
      <c r="BC165" s="607"/>
      <c r="BD165" s="699"/>
      <c r="BE165" s="1535"/>
      <c r="BF165" s="1536"/>
      <c r="BG165" s="604"/>
      <c r="BH165" s="700"/>
      <c r="BI165" s="700"/>
      <c r="BJ165" s="700"/>
      <c r="BK165" s="604"/>
      <c r="BL165" s="700"/>
      <c r="BM165" s="698"/>
      <c r="BN165" s="604"/>
      <c r="BO165" s="604"/>
      <c r="BP165" s="697"/>
      <c r="BQ165" s="604"/>
      <c r="BR165" s="604"/>
      <c r="BS165" s="604"/>
      <c r="BT165" s="604"/>
      <c r="BU165" s="607"/>
      <c r="BV165" s="699"/>
      <c r="BW165" s="1535"/>
      <c r="BX165" s="1536"/>
      <c r="BY165" s="604"/>
      <c r="BZ165" s="700"/>
      <c r="CA165" s="700"/>
      <c r="CB165" s="700"/>
      <c r="CC165" s="604"/>
      <c r="CD165" s="700"/>
      <c r="CE165" s="698"/>
      <c r="CF165" s="604"/>
      <c r="CG165" s="604"/>
      <c r="CH165" s="697"/>
      <c r="CI165" s="604"/>
      <c r="CJ165" s="604"/>
      <c r="CK165" s="604"/>
      <c r="CL165" s="604"/>
      <c r="CM165" s="607"/>
      <c r="CN165" s="699"/>
      <c r="CO165" s="1535"/>
      <c r="CP165" s="1536"/>
      <c r="CQ165" s="604"/>
      <c r="CR165" s="700"/>
      <c r="CS165" s="700"/>
      <c r="CT165" s="700"/>
      <c r="CU165" s="604"/>
      <c r="CV165" s="700"/>
      <c r="CW165" s="698"/>
      <c r="CX165" s="604"/>
      <c r="CY165" s="604"/>
      <c r="CZ165" s="697"/>
      <c r="DA165" s="604"/>
      <c r="DB165" s="604"/>
      <c r="DC165" s="604"/>
      <c r="DD165" s="604"/>
      <c r="DE165" s="607"/>
      <c r="DF165" s="699"/>
      <c r="DG165" s="1535"/>
      <c r="DH165" s="1536"/>
      <c r="DI165" s="604"/>
      <c r="DJ165" s="700"/>
      <c r="DK165" s="700"/>
      <c r="DL165" s="700"/>
      <c r="DM165" s="604"/>
      <c r="DN165" s="700"/>
      <c r="DO165" s="698"/>
      <c r="DP165" s="604"/>
      <c r="DQ165" s="604"/>
      <c r="DR165" s="697"/>
      <c r="DS165" s="604"/>
      <c r="DT165" s="604"/>
      <c r="DU165" s="604"/>
      <c r="DV165" s="604"/>
      <c r="DW165" s="607"/>
      <c r="DX165" s="699"/>
      <c r="DY165" s="1535"/>
      <c r="DZ165" s="1536"/>
      <c r="EA165" s="698"/>
      <c r="EB165" s="700"/>
      <c r="EC165" s="700"/>
      <c r="ED165" s="700"/>
      <c r="EE165" s="604"/>
      <c r="EF165" s="700"/>
      <c r="EG165" s="698"/>
      <c r="EH165" s="604"/>
      <c r="EI165" s="604"/>
      <c r="EJ165" s="697"/>
      <c r="EK165" s="604"/>
      <c r="EL165" s="604"/>
      <c r="EM165" s="604"/>
      <c r="EN165" s="604"/>
      <c r="EO165" s="607"/>
      <c r="EP165" s="699"/>
      <c r="EQ165" s="1535"/>
      <c r="ER165" s="1536"/>
      <c r="ES165" s="604"/>
      <c r="ET165" s="700"/>
      <c r="EU165" s="700"/>
      <c r="EV165" s="700"/>
      <c r="EW165" s="604"/>
      <c r="EX165" s="700"/>
      <c r="EY165" s="698"/>
      <c r="EZ165" s="604"/>
      <c r="FA165" s="604"/>
      <c r="FB165" s="697"/>
      <c r="FC165" s="604"/>
      <c r="FD165" s="604"/>
      <c r="FE165" s="604"/>
      <c r="FF165" s="604"/>
      <c r="FG165" s="607"/>
      <c r="FH165" s="699"/>
      <c r="FI165" s="1535"/>
      <c r="FJ165" s="1536"/>
      <c r="FK165" s="604"/>
      <c r="FL165" s="700"/>
      <c r="FM165" s="700"/>
      <c r="FN165" s="700"/>
      <c r="FO165" s="604"/>
      <c r="FP165" s="700"/>
      <c r="FQ165" s="698"/>
      <c r="FR165" s="604"/>
      <c r="FS165" s="604"/>
      <c r="FT165" s="697"/>
      <c r="FU165" s="604"/>
      <c r="FV165" s="604"/>
      <c r="FW165" s="604"/>
      <c r="FX165" s="604"/>
      <c r="FY165" s="607"/>
      <c r="FZ165" s="699"/>
      <c r="GA165" s="1535"/>
      <c r="GB165" s="1536"/>
      <c r="GC165" s="604"/>
      <c r="GD165" s="700"/>
      <c r="GE165" s="700"/>
      <c r="GF165" s="700"/>
      <c r="GG165" s="604"/>
      <c r="GH165" s="700"/>
      <c r="GI165" s="698"/>
      <c r="GJ165" s="604"/>
      <c r="GK165" s="604"/>
      <c r="GL165" s="697"/>
      <c r="GM165" s="604"/>
      <c r="GN165" s="604"/>
      <c r="GO165" s="604"/>
      <c r="GP165" s="604"/>
      <c r="GQ165" s="607"/>
      <c r="GR165" s="699"/>
      <c r="GS165" s="1535"/>
      <c r="GT165" s="1536"/>
      <c r="GU165" s="698"/>
      <c r="GV165" s="700"/>
      <c r="GW165" s="700"/>
      <c r="GX165" s="700"/>
      <c r="GY165" s="604"/>
      <c r="GZ165" s="700"/>
      <c r="HA165" s="698"/>
      <c r="HB165" s="604"/>
      <c r="HC165" s="604"/>
      <c r="HD165" s="697"/>
      <c r="HE165" s="604"/>
      <c r="HF165" s="604"/>
      <c r="HG165" s="604"/>
      <c r="HH165" s="604"/>
      <c r="HI165" s="607"/>
      <c r="HJ165" s="699"/>
      <c r="HK165" s="1535"/>
      <c r="HL165" s="1536"/>
      <c r="HM165" s="604"/>
      <c r="HN165" s="700"/>
      <c r="HO165" s="700"/>
      <c r="HP165" s="700"/>
      <c r="HQ165" s="604"/>
      <c r="HR165" s="700"/>
      <c r="HS165" s="698"/>
      <c r="HT165" s="604"/>
      <c r="HU165" s="604"/>
      <c r="HV165" s="697"/>
      <c r="HW165" s="604"/>
      <c r="HX165" s="604"/>
      <c r="HY165" s="604"/>
      <c r="HZ165" s="604"/>
      <c r="IA165" s="607"/>
      <c r="IB165" s="699"/>
      <c r="IC165" s="1535"/>
      <c r="ID165" s="1536"/>
      <c r="IE165" s="604"/>
      <c r="IF165" s="700"/>
      <c r="IG165" s="700"/>
      <c r="IH165" s="700"/>
      <c r="II165" s="604"/>
      <c r="IJ165" s="700"/>
      <c r="IK165" s="698"/>
      <c r="IL165" s="604"/>
      <c r="IM165" s="604"/>
      <c r="IN165" s="697"/>
      <c r="IO165" s="604"/>
      <c r="IP165" s="604"/>
      <c r="IQ165" s="604"/>
      <c r="IR165" s="604"/>
      <c r="IS165" s="607"/>
      <c r="IT165" s="699"/>
      <c r="IU165" s="1535"/>
      <c r="IV165" s="1536"/>
      <c r="IW165" s="604"/>
      <c r="IX165" s="700"/>
      <c r="IY165" s="700"/>
      <c r="IZ165" s="700"/>
      <c r="JA165" s="604"/>
      <c r="JB165" s="700"/>
      <c r="JC165" s="698"/>
      <c r="JD165" s="604"/>
      <c r="JE165" s="604"/>
      <c r="JF165" s="697"/>
      <c r="JG165" s="604"/>
      <c r="JH165" s="604"/>
      <c r="JI165" s="604"/>
      <c r="JJ165" s="604"/>
      <c r="JK165" s="607"/>
      <c r="JL165" s="699"/>
      <c r="JM165" s="1535"/>
      <c r="JN165" s="1536"/>
      <c r="JO165" s="604"/>
      <c r="JP165" s="700"/>
      <c r="JQ165" s="700"/>
      <c r="JR165" s="700"/>
      <c r="JS165" s="604"/>
      <c r="JT165" s="700"/>
      <c r="JU165" s="698"/>
      <c r="JV165" s="604"/>
      <c r="JW165" s="604"/>
      <c r="JX165" s="697"/>
      <c r="JY165" s="604"/>
      <c r="JZ165" s="604"/>
      <c r="KA165" s="604"/>
      <c r="KB165" s="604"/>
      <c r="KC165" s="607"/>
      <c r="KD165" s="699"/>
      <c r="KE165" s="1535"/>
      <c r="KF165" s="1536"/>
      <c r="KG165" s="604"/>
      <c r="KH165" s="700"/>
      <c r="KI165" s="700"/>
      <c r="KJ165" s="700"/>
      <c r="KK165" s="604"/>
      <c r="KL165" s="700"/>
      <c r="KM165" s="698"/>
      <c r="KN165" s="604"/>
      <c r="KO165" s="604"/>
      <c r="KP165" s="697"/>
      <c r="KQ165" s="604"/>
      <c r="KR165" s="604"/>
      <c r="KS165" s="604"/>
      <c r="KT165" s="604"/>
      <c r="KU165" s="607"/>
      <c r="KV165" s="699"/>
      <c r="KW165" s="1535"/>
      <c r="KX165" s="1536"/>
      <c r="KY165" s="604"/>
      <c r="KZ165" s="700"/>
      <c r="LA165" s="700"/>
      <c r="LB165" s="700"/>
      <c r="LC165" s="604"/>
      <c r="LD165" s="700"/>
      <c r="LE165" s="698"/>
      <c r="LF165" s="604"/>
      <c r="LG165" s="604"/>
      <c r="LH165" s="697"/>
      <c r="LI165" s="604"/>
      <c r="LJ165" s="604"/>
      <c r="LK165" s="604"/>
      <c r="LL165" s="604"/>
      <c r="LM165" s="607"/>
      <c r="LN165" s="699"/>
      <c r="LO165" s="1535"/>
      <c r="LP165" s="1536"/>
      <c r="LQ165" s="604"/>
      <c r="LR165" s="700"/>
      <c r="LS165" s="700"/>
      <c r="LT165" s="700"/>
      <c r="LU165" s="604"/>
      <c r="LV165" s="700"/>
      <c r="LW165" s="698"/>
      <c r="LX165" s="604"/>
      <c r="LY165" s="604"/>
      <c r="LZ165" s="697"/>
      <c r="MA165" s="604"/>
      <c r="MB165" s="604"/>
      <c r="MC165" s="604"/>
      <c r="MD165" s="604"/>
      <c r="ME165" s="607"/>
      <c r="MF165" s="699"/>
      <c r="MG165" s="1535"/>
      <c r="MH165" s="1536"/>
      <c r="MI165" s="604"/>
      <c r="MJ165" s="700"/>
      <c r="MK165" s="700"/>
      <c r="ML165" s="700"/>
      <c r="MM165" s="604"/>
      <c r="MN165" s="700"/>
      <c r="MO165" s="698"/>
      <c r="MP165" s="604"/>
      <c r="MQ165" s="604"/>
      <c r="MR165" s="697"/>
      <c r="MS165" s="604"/>
      <c r="MT165" s="604"/>
      <c r="MU165" s="604"/>
      <c r="MV165" s="604"/>
      <c r="MW165" s="607"/>
      <c r="MX165" s="699"/>
      <c r="MY165" s="1535"/>
      <c r="MZ165" s="1536"/>
      <c r="NA165" s="604"/>
      <c r="NB165" s="700"/>
      <c r="NC165" s="700"/>
      <c r="ND165" s="700"/>
      <c r="NE165" s="604"/>
      <c r="NF165" s="700"/>
      <c r="NG165" s="698"/>
      <c r="NH165" s="604"/>
      <c r="NI165" s="604"/>
      <c r="NJ165" s="697"/>
      <c r="NK165" s="604"/>
      <c r="NL165" s="604"/>
      <c r="NM165" s="604"/>
      <c r="NN165" s="604"/>
      <c r="NO165" s="607"/>
      <c r="NP165" s="699"/>
      <c r="NQ165" s="1535"/>
      <c r="NR165" s="1536"/>
      <c r="NS165" s="604"/>
      <c r="NT165" s="700"/>
      <c r="NU165" s="700"/>
      <c r="NV165" s="700"/>
      <c r="NW165" s="604"/>
      <c r="NX165" s="700"/>
      <c r="NY165" s="698"/>
      <c r="NZ165" s="604"/>
      <c r="OA165" s="604"/>
      <c r="OB165" s="697"/>
      <c r="OC165" s="604"/>
      <c r="OD165" s="604"/>
      <c r="OE165" s="604"/>
      <c r="OF165" s="604"/>
      <c r="OG165" s="607"/>
      <c r="OH165" s="699"/>
      <c r="OI165" s="1535"/>
      <c r="OJ165" s="1536"/>
      <c r="OK165" s="604"/>
      <c r="OL165" s="700"/>
      <c r="OM165" s="700"/>
      <c r="ON165" s="700"/>
      <c r="OO165" s="604"/>
      <c r="OP165" s="700"/>
      <c r="OQ165" s="698"/>
      <c r="OR165" s="604"/>
      <c r="OS165" s="604"/>
      <c r="OT165" s="697"/>
      <c r="OU165" s="604"/>
      <c r="OV165" s="604"/>
      <c r="OW165" s="604"/>
      <c r="OX165" s="604"/>
      <c r="OY165" s="607"/>
      <c r="OZ165" s="699"/>
      <c r="PA165" s="1535"/>
      <c r="PB165" s="1536"/>
      <c r="PC165" s="604"/>
      <c r="PD165" s="700"/>
      <c r="PE165" s="700"/>
      <c r="PF165" s="700"/>
      <c r="PG165" s="604"/>
      <c r="PH165" s="700"/>
      <c r="PI165" s="698"/>
      <c r="PJ165" s="604"/>
      <c r="PK165" s="604"/>
      <c r="PL165" s="697"/>
      <c r="PM165" s="604"/>
      <c r="PN165" s="604"/>
      <c r="PO165" s="604"/>
      <c r="PP165" s="604"/>
      <c r="PQ165" s="607"/>
      <c r="PR165" s="699"/>
      <c r="PS165" s="1535"/>
      <c r="PT165" s="1536"/>
      <c r="PU165" s="604"/>
      <c r="PV165" s="700"/>
      <c r="PW165" s="700"/>
      <c r="PX165" s="700"/>
      <c r="PY165" s="604"/>
      <c r="PZ165" s="700"/>
      <c r="QA165" s="698"/>
      <c r="QB165" s="604"/>
      <c r="QC165" s="604"/>
      <c r="QD165" s="697"/>
      <c r="QE165" s="604"/>
      <c r="QF165" s="604"/>
      <c r="QG165" s="604"/>
      <c r="QH165" s="604"/>
      <c r="QI165" s="607"/>
      <c r="QJ165" s="699"/>
      <c r="QK165" s="1535"/>
      <c r="QL165" s="1536"/>
      <c r="QM165" s="604"/>
      <c r="QN165" s="700"/>
      <c r="QO165" s="700"/>
      <c r="QP165" s="700"/>
      <c r="QQ165" s="604"/>
      <c r="QR165" s="700"/>
      <c r="QS165" s="698"/>
      <c r="QT165" s="604"/>
      <c r="QU165" s="604"/>
      <c r="QV165" s="697"/>
      <c r="QW165" s="604"/>
      <c r="QX165" s="604"/>
      <c r="QY165" s="604"/>
      <c r="QZ165" s="604"/>
      <c r="RA165" s="607"/>
      <c r="RB165" s="699"/>
      <c r="RC165" s="1535"/>
      <c r="RD165" s="1536"/>
      <c r="RE165" s="604"/>
      <c r="RF165" s="700"/>
      <c r="RG165" s="700"/>
      <c r="RH165" s="700"/>
      <c r="RI165" s="604"/>
      <c r="RJ165" s="700"/>
      <c r="RK165" s="698"/>
      <c r="RL165" s="604"/>
      <c r="RM165" s="604"/>
      <c r="RN165" s="697"/>
      <c r="RO165" s="604"/>
      <c r="RP165" s="604"/>
      <c r="RQ165" s="604"/>
      <c r="RR165" s="604"/>
      <c r="RS165" s="607"/>
      <c r="RT165" s="699"/>
      <c r="RU165" s="1535"/>
      <c r="RV165" s="1535"/>
      <c r="RW165" s="698"/>
      <c r="RX165" s="700"/>
      <c r="RY165" s="700"/>
      <c r="RZ165" s="700"/>
      <c r="SA165" s="604"/>
      <c r="SB165" s="700"/>
      <c r="SC165" s="698"/>
      <c r="SD165" s="604"/>
      <c r="SE165" s="604"/>
      <c r="SF165" s="697"/>
      <c r="SG165" s="604"/>
      <c r="SH165" s="604"/>
      <c r="SI165" s="604"/>
      <c r="SJ165" s="604"/>
      <c r="SK165" s="607"/>
      <c r="SL165" s="699"/>
      <c r="SM165" s="1535"/>
      <c r="SN165" s="1536"/>
      <c r="SO165" s="604"/>
      <c r="SP165" s="700"/>
      <c r="SQ165" s="700"/>
      <c r="SR165" s="700"/>
      <c r="SS165" s="604"/>
      <c r="ST165" s="700"/>
      <c r="SU165" s="698"/>
      <c r="SV165" s="604"/>
      <c r="SW165" s="604"/>
      <c r="SX165" s="697"/>
      <c r="SY165" s="604"/>
      <c r="SZ165" s="604"/>
      <c r="TA165" s="604"/>
      <c r="TB165" s="604"/>
      <c r="TC165" s="607"/>
      <c r="TD165" s="699"/>
      <c r="TE165" s="1535"/>
      <c r="TF165" s="1536"/>
      <c r="TG165" s="604"/>
      <c r="TH165" s="700"/>
      <c r="TI165" s="700"/>
      <c r="TJ165" s="700"/>
      <c r="TK165" s="604"/>
      <c r="TL165" s="700"/>
      <c r="TM165" s="698"/>
      <c r="TN165" s="604"/>
      <c r="TO165" s="604"/>
      <c r="TP165" s="697"/>
      <c r="TQ165" s="604"/>
      <c r="TR165" s="604"/>
      <c r="TS165" s="604"/>
      <c r="TT165" s="604"/>
      <c r="TU165" s="607"/>
      <c r="TV165" s="699"/>
      <c r="TW165" s="1535"/>
      <c r="TX165" s="1536"/>
      <c r="TY165" s="604"/>
      <c r="TZ165" s="700"/>
      <c r="UA165" s="700"/>
      <c r="UB165" s="700"/>
      <c r="UC165" s="604"/>
      <c r="UD165" s="700"/>
      <c r="UE165" s="698"/>
      <c r="UF165" s="604"/>
      <c r="UG165" s="604"/>
      <c r="UH165" s="697"/>
      <c r="UI165" s="604"/>
      <c r="UJ165" s="604"/>
      <c r="UK165" s="604"/>
      <c r="UL165" s="604"/>
      <c r="UM165" s="607"/>
      <c r="UN165" s="1560"/>
      <c r="UO165" s="1561"/>
      <c r="UP165" s="1562"/>
      <c r="UQ165" s="1559"/>
      <c r="UR165" s="1563"/>
      <c r="US165" s="1563"/>
      <c r="UT165" s="700"/>
      <c r="UU165" s="604"/>
      <c r="UV165" s="1563"/>
      <c r="UW165" s="1564"/>
      <c r="UX165" s="604"/>
      <c r="UY165" s="1559"/>
      <c r="UZ165" s="1565"/>
      <c r="VA165" s="1559"/>
      <c r="VB165" s="1559"/>
      <c r="VC165" s="1559"/>
      <c r="VD165" s="1559"/>
      <c r="VE165" s="1566"/>
    </row>
    <row r="166" spans="1:577" x14ac:dyDescent="0.25">
      <c r="A166" s="2218">
        <v>350</v>
      </c>
      <c r="B166" s="664">
        <v>20.399999999999999</v>
      </c>
      <c r="C166" s="667">
        <v>56</v>
      </c>
      <c r="D166" s="667">
        <v>1010</v>
      </c>
      <c r="E166" s="651">
        <v>-1.769E-9</v>
      </c>
      <c r="F166" s="667">
        <v>60</v>
      </c>
      <c r="G166" s="663">
        <v>44333</v>
      </c>
      <c r="H166" s="656" t="s">
        <v>1042</v>
      </c>
      <c r="I166" s="649">
        <f>IF(H166="Low",E166*$D$42,IF(H166="Med",E166*$D$43,IF(H166="High",E166*$D$44,"rango cal. out")))</f>
        <v>-1.7707689999999998E-9</v>
      </c>
      <c r="J166" s="652">
        <f>((273.2+B166)*$F$33/((273.2+$F$32)*D166))</f>
        <v>0.99778032681316897</v>
      </c>
      <c r="K166" s="653">
        <f>I166/F166*J166*EXP(-LN(2)/10990*($F$96-G166))</f>
        <v>-2.9160834678226234E-11</v>
      </c>
      <c r="L166" s="599">
        <f>K166-AVERAGE(S102:S103)</f>
        <v>-2.9137022710854735E-11</v>
      </c>
      <c r="M166" s="599" t="e">
        <f>ABS(#REF!*L166*3600)</f>
        <v>#REF!</v>
      </c>
      <c r="N166" s="657">
        <f>ABS($B$34*L166*3600)</f>
        <v>2.6433107003287415E-3</v>
      </c>
      <c r="O166" s="600">
        <f>N166*$C$87</f>
        <v>0.26433107003287415</v>
      </c>
      <c r="P166" s="599">
        <f>N166*$F$78</f>
        <v>3.1719728403944896E-3</v>
      </c>
      <c r="Q166" s="600">
        <f>N166*$F$83</f>
        <v>3.1984059473977771E-3</v>
      </c>
      <c r="R166" s="599">
        <f>N166*$F$80</f>
        <v>3.1984059473977771E-3</v>
      </c>
      <c r="S166" s="658">
        <f>N166*$F$79</f>
        <v>3.304138375410927E-3</v>
      </c>
      <c r="T166" s="659"/>
      <c r="U166" s="660"/>
      <c r="V166" s="661"/>
      <c r="W166" s="651"/>
      <c r="X166" s="662"/>
      <c r="Y166" s="663"/>
      <c r="Z166" s="656"/>
      <c r="AA166" s="649" t="str">
        <f>IF(Z166="Low",W166*$D$42,IF(Z166="Med",W166*$D$43,IF(Z166="High",W166*$D$44,"rango cal. out")))</f>
        <v>rango cal. out</v>
      </c>
      <c r="AB166" s="652" t="e">
        <f>((273.2+T166)*$F$33/((273.2+$F$32)*V166))</f>
        <v>#DIV/0!</v>
      </c>
      <c r="AC166" s="653" t="e">
        <f>AA166/X166*AB166*EXP(-LN(2)/10990*($F$96-Y166))</f>
        <v>#VALUE!</v>
      </c>
      <c r="AD166" s="599" t="e">
        <f>AC166-AVERAGE(#REF!)</f>
        <v>#VALUE!</v>
      </c>
      <c r="AE166" s="599" t="e">
        <f>ABS(#REF!*AD166*3600)</f>
        <v>#REF!</v>
      </c>
      <c r="AF166" s="657" t="e">
        <f>ABS($B$34*AD166*3600)</f>
        <v>#VALUE!</v>
      </c>
      <c r="AG166" s="600" t="e">
        <f>AF166*$C$87</f>
        <v>#VALUE!</v>
      </c>
      <c r="AH166" s="599" t="e">
        <f>AF166*$F$78</f>
        <v>#VALUE!</v>
      </c>
      <c r="AI166" s="600" t="e">
        <f>AF166*$F$83</f>
        <v>#VALUE!</v>
      </c>
      <c r="AJ166" s="599" t="e">
        <f>AF166*$F$80</f>
        <v>#VALUE!</v>
      </c>
      <c r="AK166" s="658" t="e">
        <f>AF166*$F$79</f>
        <v>#VALUE!</v>
      </c>
      <c r="AL166" s="659"/>
      <c r="AM166" s="660"/>
      <c r="AN166" s="661"/>
      <c r="AO166" s="651"/>
      <c r="AP166" s="662"/>
      <c r="AQ166" s="663"/>
      <c r="AR166" s="656"/>
      <c r="AS166" s="649" t="str">
        <f>IF(AR166="Low",AO166*$D$42,IF(AR166="Med",AO166*$D$43,IF(AR166="High",AO166*$D$44,"rango cal. out")))</f>
        <v>rango cal. out</v>
      </c>
      <c r="AT166" s="652" t="e">
        <f>((273.2+AL166)*$F$33/((273.2+$F$32)*AN166))</f>
        <v>#DIV/0!</v>
      </c>
      <c r="AU166" s="653" t="e">
        <f>AS166/AP166*AT166*EXP(-LN(2)/10990*($F$96-AQ166))</f>
        <v>#VALUE!</v>
      </c>
      <c r="AV166" s="599" t="e">
        <f>AU166-AVERAGE(BC102:BC103)</f>
        <v>#VALUE!</v>
      </c>
      <c r="AW166" s="599" t="e">
        <f>ABS(#REF!*AV166*3600)</f>
        <v>#REF!</v>
      </c>
      <c r="AX166" s="657" t="e">
        <f>ABS($B$34*AV166*3600)</f>
        <v>#VALUE!</v>
      </c>
      <c r="AY166" s="600" t="e">
        <f>AX166*$C$87</f>
        <v>#VALUE!</v>
      </c>
      <c r="AZ166" s="599" t="e">
        <f>AX166*$F$78</f>
        <v>#VALUE!</v>
      </c>
      <c r="BA166" s="600" t="e">
        <f>AX166*$F$83</f>
        <v>#VALUE!</v>
      </c>
      <c r="BB166" s="599" t="e">
        <f>AX166*$F$80</f>
        <v>#VALUE!</v>
      </c>
      <c r="BC166" s="658" t="e">
        <f>AX166*$F$79</f>
        <v>#VALUE!</v>
      </c>
      <c r="BD166" s="664"/>
      <c r="BE166" s="660"/>
      <c r="BF166" s="661"/>
      <c r="BG166" s="651"/>
      <c r="BH166" s="662"/>
      <c r="BI166" s="663">
        <v>44333</v>
      </c>
      <c r="BJ166" s="656"/>
      <c r="BK166" s="649" t="str">
        <f>IF(BJ166="Low",BG166*$D$42,IF(BJ166="Med",BG166*$D$43,IF(BJ166="High",BG166*$D$44,"rango cal. out")))</f>
        <v>rango cal. out</v>
      </c>
      <c r="BL166" s="652" t="e">
        <f>((273.2+BD166)*$F$33/((273.2+$F$32)*BF166))</f>
        <v>#DIV/0!</v>
      </c>
      <c r="BM166" s="653" t="e">
        <f>BK166/BH166*BL166*EXP(-LN(2)/10990*($F$96-BI166))</f>
        <v>#VALUE!</v>
      </c>
      <c r="BN166" s="599" t="e">
        <f>BM166-AVERAGE(BU102:BU103)</f>
        <v>#VALUE!</v>
      </c>
      <c r="BO166" s="599" t="e">
        <f>ABS(#REF!*BN166*3600)</f>
        <v>#REF!</v>
      </c>
      <c r="BP166" s="657" t="e">
        <f>ABS($B$34*BN166*3600)</f>
        <v>#VALUE!</v>
      </c>
      <c r="BQ166" s="600" t="e">
        <f>BP166*$C$87</f>
        <v>#VALUE!</v>
      </c>
      <c r="BR166" s="599" t="e">
        <f>BP166*$F$78</f>
        <v>#VALUE!</v>
      </c>
      <c r="BS166" s="600" t="e">
        <f>BP166*$F$83</f>
        <v>#VALUE!</v>
      </c>
      <c r="BT166" s="599" t="e">
        <f>BP166*$F$80</f>
        <v>#VALUE!</v>
      </c>
      <c r="BU166" s="658" t="e">
        <f>BP166*$F$79</f>
        <v>#VALUE!</v>
      </c>
      <c r="BV166" s="664"/>
      <c r="BW166" s="660"/>
      <c r="BX166" s="661"/>
      <c r="BY166" s="651"/>
      <c r="BZ166" s="662"/>
      <c r="CA166" s="663">
        <v>44333</v>
      </c>
      <c r="CB166" s="656"/>
      <c r="CC166" s="649" t="str">
        <f>IF(CB166="Low",BY166*$D$42,IF(CB166="Med",BY166*$D$43,IF(CB166="High",BY166*$D$44,"rango cal. out")))</f>
        <v>rango cal. out</v>
      </c>
      <c r="CD166" s="652" t="e">
        <f>((273.2+BV166)*$F$33/((273.2+$F$32)*BX166))</f>
        <v>#DIV/0!</v>
      </c>
      <c r="CE166" s="653" t="e">
        <f>CC166/BZ166*CD166*EXP(-LN(2)/10990*($F$96-CA166))</f>
        <v>#VALUE!</v>
      </c>
      <c r="CF166" s="599" t="e">
        <f>CE166-AVERAGE(CM102:CM103)</f>
        <v>#VALUE!</v>
      </c>
      <c r="CG166" s="599" t="e">
        <f>ABS(#REF!*CF166*3600)</f>
        <v>#REF!</v>
      </c>
      <c r="CH166" s="657" t="e">
        <f>ABS($B$34*CF166*3600)</f>
        <v>#VALUE!</v>
      </c>
      <c r="CI166" s="600" t="e">
        <f>CH166*$C$87</f>
        <v>#VALUE!</v>
      </c>
      <c r="CJ166" s="599" t="e">
        <f>CH166*$F$78</f>
        <v>#VALUE!</v>
      </c>
      <c r="CK166" s="600" t="e">
        <f>CH166*$F$83</f>
        <v>#VALUE!</v>
      </c>
      <c r="CL166" s="599" t="e">
        <f>CH166*$F$80</f>
        <v>#VALUE!</v>
      </c>
      <c r="CM166" s="658" t="e">
        <f>CH166*$F$79</f>
        <v>#VALUE!</v>
      </c>
      <c r="CN166" s="664"/>
      <c r="CO166" s="660"/>
      <c r="CP166" s="661"/>
      <c r="CQ166" s="651"/>
      <c r="CR166" s="662"/>
      <c r="CS166" s="663">
        <v>44333</v>
      </c>
      <c r="CT166" s="656"/>
      <c r="CU166" s="649" t="str">
        <f>IF(CT166="Low",CQ166*$D$42,IF(CT166="Med",CQ166*$D$43,IF(CT166="High",CQ166*$D$44,"rango cal. out")))</f>
        <v>rango cal. out</v>
      </c>
      <c r="CV166" s="652" t="e">
        <f>((273.2+CN166)*$F$33/((273.2+$F$32)*CP166))</f>
        <v>#DIV/0!</v>
      </c>
      <c r="CW166" s="653" t="e">
        <f>CU166/CR166*CV166*EXP(-LN(2)/10990*($F$96-CS166))</f>
        <v>#VALUE!</v>
      </c>
      <c r="CX166" s="599" t="e">
        <f>CW166-AVERAGE(DE102:DE103)</f>
        <v>#VALUE!</v>
      </c>
      <c r="CY166" s="599" t="e">
        <f>ABS(#REF!*CX166*3600)</f>
        <v>#REF!</v>
      </c>
      <c r="CZ166" s="657" t="e">
        <f>ABS($B$34*CX166*3600)</f>
        <v>#VALUE!</v>
      </c>
      <c r="DA166" s="600" t="e">
        <f>CZ166*$C$87</f>
        <v>#VALUE!</v>
      </c>
      <c r="DB166" s="599" t="e">
        <f>CZ166*$F$78</f>
        <v>#VALUE!</v>
      </c>
      <c r="DC166" s="600" t="e">
        <f>CZ166*$F$83</f>
        <v>#VALUE!</v>
      </c>
      <c r="DD166" s="599" t="e">
        <f>CZ166*$F$80</f>
        <v>#VALUE!</v>
      </c>
      <c r="DE166" s="658" t="e">
        <f>CZ166*$F$79</f>
        <v>#VALUE!</v>
      </c>
      <c r="DF166" s="664"/>
      <c r="DG166" s="660"/>
      <c r="DH166" s="661"/>
      <c r="DI166" s="651"/>
      <c r="DJ166" s="662"/>
      <c r="DK166" s="663"/>
      <c r="DL166" s="656"/>
      <c r="DM166" s="649" t="str">
        <f>IF(DL166="Low",DI166*$D$42,IF(DL166="Med",DI166*$D$43,IF(DL166="High",DI166*$D$44,"rango cal. out")))</f>
        <v>rango cal. out</v>
      </c>
      <c r="DN166" s="652" t="e">
        <f>((273.2+DF166)*$F$33/((273.2+$F$32)*DH166))</f>
        <v>#DIV/0!</v>
      </c>
      <c r="DO166" s="653" t="e">
        <f>DM166/DJ166*DN166*EXP(-LN(2)/10990*($F$96-DK166))</f>
        <v>#VALUE!</v>
      </c>
      <c r="DP166" s="599" t="e">
        <f>DO166-AVERAGE(DW102:DW103)</f>
        <v>#VALUE!</v>
      </c>
      <c r="DQ166" s="599" t="e">
        <f>ABS(#REF!*DP166*3600)</f>
        <v>#REF!</v>
      </c>
      <c r="DR166" s="657" t="e">
        <f>ABS($B$34*DP166*3600)</f>
        <v>#VALUE!</v>
      </c>
      <c r="DS166" s="600" t="e">
        <f>DR166*$C$87</f>
        <v>#VALUE!</v>
      </c>
      <c r="DT166" s="599" t="e">
        <f>DR166*$F$78</f>
        <v>#VALUE!</v>
      </c>
      <c r="DU166" s="600" t="e">
        <f>DR166*$F$83</f>
        <v>#VALUE!</v>
      </c>
      <c r="DV166" s="599" t="e">
        <f>DR166*$F$80</f>
        <v>#VALUE!</v>
      </c>
      <c r="DW166" s="658" t="e">
        <f>DR166*$F$79</f>
        <v>#VALUE!</v>
      </c>
      <c r="DX166" s="664"/>
      <c r="DY166" s="660"/>
      <c r="DZ166" s="659"/>
      <c r="EA166" s="665"/>
      <c r="EB166" s="662"/>
      <c r="EC166" s="663"/>
      <c r="ED166" s="656"/>
      <c r="EE166" s="649" t="str">
        <f>IF(ED166="Low",EA166*$D$42,IF(ED166="Med",EA166*$D$43,IF(ED166="High",EA166*$D$44,"rango cal. out")))</f>
        <v>rango cal. out</v>
      </c>
      <c r="EF166" s="652" t="e">
        <f>((273.2+DX166)*$F$33/((273.2+$F$32)*DZ166))</f>
        <v>#DIV/0!</v>
      </c>
      <c r="EG166" s="653" t="e">
        <f>EE166/EB166*EF166*EXP(-LN(2)/10990*($F$96-EC166))</f>
        <v>#VALUE!</v>
      </c>
      <c r="EH166" s="599" t="e">
        <f>EG166-AVERAGE(EO102:EO103)</f>
        <v>#VALUE!</v>
      </c>
      <c r="EI166" s="599" t="e">
        <f>ABS(#REF!*EH166*3600)</f>
        <v>#REF!</v>
      </c>
      <c r="EJ166" s="657" t="e">
        <f>ABS($B$34*EH166*3600)</f>
        <v>#VALUE!</v>
      </c>
      <c r="EK166" s="600" t="e">
        <f>EJ166*$C$87</f>
        <v>#VALUE!</v>
      </c>
      <c r="EL166" s="599" t="e">
        <f>EJ166*$F$78</f>
        <v>#VALUE!</v>
      </c>
      <c r="EM166" s="600" t="e">
        <f>EJ166*$F$83</f>
        <v>#VALUE!</v>
      </c>
      <c r="EN166" s="599" t="e">
        <f>EJ166*$F$80</f>
        <v>#VALUE!</v>
      </c>
      <c r="EO166" s="658" t="e">
        <f>EJ166*$F$79</f>
        <v>#VALUE!</v>
      </c>
      <c r="EP166" s="664"/>
      <c r="EQ166" s="660"/>
      <c r="ER166" s="661"/>
      <c r="ES166" s="651"/>
      <c r="ET166" s="662"/>
      <c r="EU166" s="663">
        <v>44333</v>
      </c>
      <c r="EV166" s="656"/>
      <c r="EW166" s="649" t="str">
        <f>IF(EV166="Low",ES166*$D$42,IF(EV166="Med",ES166*$D$43,IF(EV166="High",ES166*$D$44,"rango cal. out")))</f>
        <v>rango cal. out</v>
      </c>
      <c r="EX166" s="652" t="e">
        <f>((273.2+EP166)*$F$33/((273.2+$F$32)*ER166))</f>
        <v>#DIV/0!</v>
      </c>
      <c r="EY166" s="653" t="e">
        <f>EW166/ET166*EX166*EXP(-LN(2)/10990*($F$96-EU166))</f>
        <v>#VALUE!</v>
      </c>
      <c r="EZ166" s="599" t="e">
        <f>EY166-AVERAGE(FG102:FG103)</f>
        <v>#VALUE!</v>
      </c>
      <c r="FA166" s="599" t="e">
        <f>ABS(#REF!*EZ166*3600)</f>
        <v>#REF!</v>
      </c>
      <c r="FB166" s="657" t="e">
        <f>ABS($B$34*EZ166*3600)</f>
        <v>#VALUE!</v>
      </c>
      <c r="FC166" s="600" t="e">
        <f>FB166*$C$87</f>
        <v>#VALUE!</v>
      </c>
      <c r="FD166" s="599" t="e">
        <f>FB166*$F$78</f>
        <v>#VALUE!</v>
      </c>
      <c r="FE166" s="600" t="e">
        <f>FB166*$F$83</f>
        <v>#VALUE!</v>
      </c>
      <c r="FF166" s="599" t="e">
        <f>FB166*$F$80</f>
        <v>#VALUE!</v>
      </c>
      <c r="FG166" s="658" t="e">
        <f>FB166*$F$79</f>
        <v>#VALUE!</v>
      </c>
      <c r="FH166" s="664"/>
      <c r="FI166" s="660"/>
      <c r="FJ166" s="661"/>
      <c r="FK166" s="651"/>
      <c r="FL166" s="662"/>
      <c r="FM166" s="663"/>
      <c r="FN166" s="656"/>
      <c r="FO166" s="649" t="str">
        <f>IF(FN166="Low",FK166*$D$42,IF(FN166="Med",FK166*$D$43,IF(FN166="High",FK166*$D$44,"rango cal. out")))</f>
        <v>rango cal. out</v>
      </c>
      <c r="FP166" s="652" t="e">
        <f>((273.2+FH166)*$F$33/((273.2+$F$32)*FJ166))</f>
        <v>#DIV/0!</v>
      </c>
      <c r="FQ166" s="653" t="e">
        <f>FO166/FL166*FP166*EXP(-LN(2)/10990*($F$96-FM166))</f>
        <v>#VALUE!</v>
      </c>
      <c r="FR166" s="599" t="e">
        <f>FQ166-AVERAGE(FY102:FY103)</f>
        <v>#VALUE!</v>
      </c>
      <c r="FS166" s="599" t="e">
        <f>ABS(#REF!*FR166*3600)</f>
        <v>#REF!</v>
      </c>
      <c r="FT166" s="657" t="e">
        <f>ABS($B$34*FR166*3600)</f>
        <v>#VALUE!</v>
      </c>
      <c r="FU166" s="600" t="e">
        <f>FT166*$C$87</f>
        <v>#VALUE!</v>
      </c>
      <c r="FV166" s="599" t="e">
        <f>FT166*$F$78</f>
        <v>#VALUE!</v>
      </c>
      <c r="FW166" s="600" t="e">
        <f>FT166*$F$83</f>
        <v>#VALUE!</v>
      </c>
      <c r="FX166" s="599" t="e">
        <f>FT166*$F$80</f>
        <v>#VALUE!</v>
      </c>
      <c r="FY166" s="658" t="e">
        <f>FT166*$F$79</f>
        <v>#VALUE!</v>
      </c>
      <c r="FZ166" s="664"/>
      <c r="GA166" s="660"/>
      <c r="GB166" s="661"/>
      <c r="GC166" s="651"/>
      <c r="GD166" s="662"/>
      <c r="GE166" s="663"/>
      <c r="GF166" s="656"/>
      <c r="GG166" s="649" t="str">
        <f>IF(GF166="Low",GC166*$D$42,IF(GF166="Med",GC166*$D$43,IF(GF166="High",GC166*$D$44,"rango cal. out")))</f>
        <v>rango cal. out</v>
      </c>
      <c r="GH166" s="652" t="e">
        <f>((273.2+FZ166)*$F$33/((273.2+$F$32)*GB166))</f>
        <v>#DIV/0!</v>
      </c>
      <c r="GI166" s="653" t="e">
        <f>GG166/GD166*GH166*EXP(-LN(2)/10990*($F$96-GE166))</f>
        <v>#VALUE!</v>
      </c>
      <c r="GJ166" s="599" t="e">
        <f>GI166-AVERAGE(GQ102:GQ103)</f>
        <v>#VALUE!</v>
      </c>
      <c r="GK166" s="599" t="e">
        <f>ABS(#REF!*GJ166*3600)</f>
        <v>#REF!</v>
      </c>
      <c r="GL166" s="657" t="e">
        <f>ABS($B$34*GJ166*3600)</f>
        <v>#VALUE!</v>
      </c>
      <c r="GM166" s="600" t="e">
        <f>GL166*$C$87</f>
        <v>#VALUE!</v>
      </c>
      <c r="GN166" s="599" t="e">
        <f>GL166*$F$78</f>
        <v>#VALUE!</v>
      </c>
      <c r="GO166" s="600" t="e">
        <f>GL166*$F$83</f>
        <v>#VALUE!</v>
      </c>
      <c r="GP166" s="599" t="e">
        <f>GL166*$F$80</f>
        <v>#VALUE!</v>
      </c>
      <c r="GQ166" s="658" t="e">
        <f>GL166*$F$79</f>
        <v>#VALUE!</v>
      </c>
      <c r="GR166" s="664"/>
      <c r="GS166" s="660"/>
      <c r="GT166" s="659"/>
      <c r="GU166" s="665"/>
      <c r="GV166" s="662"/>
      <c r="GW166" s="663"/>
      <c r="GX166" s="656"/>
      <c r="GY166" s="649" t="str">
        <f>IF(GX166="Low",GU166*$D$42,IF(GX166="Med",GU166*$D$43,IF(GX166="High",GU166*$D$44,"rango cal. out")))</f>
        <v>rango cal. out</v>
      </c>
      <c r="GZ166" s="652" t="e">
        <f>((273.2+GR166)*$F$33/((273.2+$F$32)*GT166))</f>
        <v>#DIV/0!</v>
      </c>
      <c r="HA166" s="653" t="e">
        <f>GY166/GV166*GZ166*EXP(-LN(2)/10990*($F$96-GW166))</f>
        <v>#VALUE!</v>
      </c>
      <c r="HB166" s="599" t="e">
        <f>HA166-AVERAGE(HI102:HI103)</f>
        <v>#VALUE!</v>
      </c>
      <c r="HC166" s="599" t="e">
        <f>ABS(#REF!*HB166*3600)</f>
        <v>#REF!</v>
      </c>
      <c r="HD166" s="657" t="e">
        <f>ABS($B$34*HB166*3600)</f>
        <v>#VALUE!</v>
      </c>
      <c r="HE166" s="600" t="e">
        <f>HD166*$C$87</f>
        <v>#VALUE!</v>
      </c>
      <c r="HF166" s="599" t="e">
        <f>HD166*$F$78</f>
        <v>#VALUE!</v>
      </c>
      <c r="HG166" s="600" t="e">
        <f>HD166*$F$83</f>
        <v>#VALUE!</v>
      </c>
      <c r="HH166" s="599" t="e">
        <f>HD166*$F$80</f>
        <v>#VALUE!</v>
      </c>
      <c r="HI166" s="658" t="e">
        <f>HD166*$F$79</f>
        <v>#VALUE!</v>
      </c>
      <c r="HJ166" s="664"/>
      <c r="HK166" s="660"/>
      <c r="HL166" s="661"/>
      <c r="HM166" s="651"/>
      <c r="HN166" s="662"/>
      <c r="HO166" s="663"/>
      <c r="HP166" s="656"/>
      <c r="HQ166" s="649" t="str">
        <f>IF(HP166="Low",HM166*$D$42,IF(HP166="Med",HM166*$D$43,IF(HP166="High",HM166*$D$44,"rango cal. out")))</f>
        <v>rango cal. out</v>
      </c>
      <c r="HR166" s="652" t="e">
        <f>((273.2+HJ166)*$F$33/((273.2+$F$32)*HL166))</f>
        <v>#DIV/0!</v>
      </c>
      <c r="HS166" s="653" t="e">
        <f>HQ166/HN166*HR166*EXP(-LN(2)/10990*($F$96-HO166))</f>
        <v>#VALUE!</v>
      </c>
      <c r="HT166" s="599" t="e">
        <f>HS166-AVERAGE(IA102:IA103)</f>
        <v>#VALUE!</v>
      </c>
      <c r="HU166" s="599" t="e">
        <f>ABS(#REF!*HT166*3600)</f>
        <v>#REF!</v>
      </c>
      <c r="HV166" s="657" t="e">
        <f>ABS($B$34*HT166*3600)</f>
        <v>#VALUE!</v>
      </c>
      <c r="HW166" s="600" t="e">
        <f>HV166*$C$87</f>
        <v>#VALUE!</v>
      </c>
      <c r="HX166" s="599" t="e">
        <f>HV166*$F$78</f>
        <v>#VALUE!</v>
      </c>
      <c r="HY166" s="600" t="e">
        <f>HV166*$F$83</f>
        <v>#VALUE!</v>
      </c>
      <c r="HZ166" s="599" t="e">
        <f>HV166*$F$80</f>
        <v>#VALUE!</v>
      </c>
      <c r="IA166" s="658" t="e">
        <f>HV166*$F$79</f>
        <v>#VALUE!</v>
      </c>
      <c r="IB166" s="664"/>
      <c r="IC166" s="660"/>
      <c r="ID166" s="661"/>
      <c r="IE166" s="651"/>
      <c r="IF166" s="662"/>
      <c r="IG166" s="663"/>
      <c r="IH166" s="656"/>
      <c r="II166" s="649" t="str">
        <f>IF(IH166="Low",IE166*$D$42,IF(IH166="Med",IE166*$D$43,IF(IH166="High",IE166*$D$44,"rango cal. out")))</f>
        <v>rango cal. out</v>
      </c>
      <c r="IJ166" s="652" t="e">
        <f>((273.2+IB166)*$F$33/((273.2+$F$32)*ID166))</f>
        <v>#DIV/0!</v>
      </c>
      <c r="IK166" s="653" t="e">
        <f>II166/IF166*IJ166*EXP(-LN(2)/10990*($F$96-IG166))</f>
        <v>#VALUE!</v>
      </c>
      <c r="IL166" s="599" t="e">
        <f>IK166-AVERAGE(IS102:IS103)</f>
        <v>#VALUE!</v>
      </c>
      <c r="IM166" s="599" t="e">
        <f>ABS(#REF!*IL166*3600)</f>
        <v>#REF!</v>
      </c>
      <c r="IN166" s="657" t="e">
        <f>ABS($B$34*IL166*3600)</f>
        <v>#VALUE!</v>
      </c>
      <c r="IO166" s="600" t="e">
        <f>IN166*$C$87</f>
        <v>#VALUE!</v>
      </c>
      <c r="IP166" s="599" t="e">
        <f>IN166*$F$78</f>
        <v>#VALUE!</v>
      </c>
      <c r="IQ166" s="600" t="e">
        <f>IN166*$F$83</f>
        <v>#VALUE!</v>
      </c>
      <c r="IR166" s="599" t="e">
        <f>IN166*$F$80</f>
        <v>#VALUE!</v>
      </c>
      <c r="IS166" s="658" t="e">
        <f>IN166*$F$79</f>
        <v>#VALUE!</v>
      </c>
      <c r="IT166" s="664"/>
      <c r="IU166" s="660"/>
      <c r="IV166" s="661"/>
      <c r="IW166" s="651"/>
      <c r="IX166" s="662"/>
      <c r="IY166" s="663"/>
      <c r="IZ166" s="656"/>
      <c r="JA166" s="649" t="str">
        <f>IF(IZ166="Low",IW166*$D$42,IF(IZ166="Med",IW166*$D$43,IF(IZ166="High",IW166*$D$44,"rango cal. out")))</f>
        <v>rango cal. out</v>
      </c>
      <c r="JB166" s="652" t="e">
        <f>((273.2+IT166)*$F$33/((273.2+$F$32)*IV166))</f>
        <v>#DIV/0!</v>
      </c>
      <c r="JC166" s="653" t="e">
        <f>JA166/IX166*JB166*EXP(-LN(2)/10990*($F$96-IY166))</f>
        <v>#VALUE!</v>
      </c>
      <c r="JD166" s="599" t="e">
        <f>JC166-AVERAGE(JK102:JK103)</f>
        <v>#VALUE!</v>
      </c>
      <c r="JE166" s="599" t="e">
        <f>ABS(#REF!*JD166*3600)</f>
        <v>#REF!</v>
      </c>
      <c r="JF166" s="657" t="e">
        <f>ABS($B$34*JD166*3600)</f>
        <v>#VALUE!</v>
      </c>
      <c r="JG166" s="600" t="e">
        <f>JF166*$C$87</f>
        <v>#VALUE!</v>
      </c>
      <c r="JH166" s="599" t="e">
        <f>JF166*$F$78</f>
        <v>#VALUE!</v>
      </c>
      <c r="JI166" s="600" t="e">
        <f>JF166*$F$83</f>
        <v>#VALUE!</v>
      </c>
      <c r="JJ166" s="599" t="e">
        <f>JF166*$F$80</f>
        <v>#VALUE!</v>
      </c>
      <c r="JK166" s="658" t="e">
        <f>JF166*$F$79</f>
        <v>#VALUE!</v>
      </c>
      <c r="JL166" s="664"/>
      <c r="JM166" s="660"/>
      <c r="JN166" s="661"/>
      <c r="JO166" s="651"/>
      <c r="JP166" s="662"/>
      <c r="JQ166" s="663"/>
      <c r="JR166" s="656"/>
      <c r="JS166" s="649" t="str">
        <f>IF(JR166="Low",JO166*$D$42,IF(JR166="Med",JO166*$D$43,IF(JR166="High",JO166*$D$44,"rango cal. out")))</f>
        <v>rango cal. out</v>
      </c>
      <c r="JT166" s="652" t="e">
        <f>((273.2+JL166)*$F$33/((273.2+$F$32)*JN166))</f>
        <v>#DIV/0!</v>
      </c>
      <c r="JU166" s="653" t="e">
        <f>JS166/JP166*JT166*EXP(-LN(2)/10990*($F$96-JQ166))</f>
        <v>#VALUE!</v>
      </c>
      <c r="JV166" s="599" t="e">
        <f>JU166-AVERAGE(KC102:KC103)</f>
        <v>#VALUE!</v>
      </c>
      <c r="JW166" s="599" t="e">
        <f>ABS(#REF!*JV166*3600)</f>
        <v>#REF!</v>
      </c>
      <c r="JX166" s="657" t="e">
        <f>ABS($B$34*JV166*3600)</f>
        <v>#VALUE!</v>
      </c>
      <c r="JY166" s="600" t="e">
        <f>JX166*$C$87</f>
        <v>#VALUE!</v>
      </c>
      <c r="JZ166" s="599" t="e">
        <f>JX166*$F$78</f>
        <v>#VALUE!</v>
      </c>
      <c r="KA166" s="600" t="e">
        <f>JX166*$F$83</f>
        <v>#VALUE!</v>
      </c>
      <c r="KB166" s="599" t="e">
        <f>JX166*$F$80</f>
        <v>#VALUE!</v>
      </c>
      <c r="KC166" s="658" t="e">
        <f>JX166*$F$79</f>
        <v>#VALUE!</v>
      </c>
      <c r="KD166" s="664"/>
      <c r="KE166" s="660"/>
      <c r="KF166" s="661"/>
      <c r="KG166" s="651"/>
      <c r="KH166" s="662"/>
      <c r="KI166" s="663"/>
      <c r="KJ166" s="656"/>
      <c r="KK166" s="649" t="str">
        <f>IF(KJ166="Low",KG166*$D$42,IF(KJ166="Med",KG166*$D$43,IF(KJ166="High",KG166*$D$44,"rango cal. out")))</f>
        <v>rango cal. out</v>
      </c>
      <c r="KL166" s="652" t="e">
        <f>((273.2+KD166)*$F$33/((273.2+$F$32)*KF166))</f>
        <v>#DIV/0!</v>
      </c>
      <c r="KM166" s="653" t="e">
        <f>KK166/KH166*KL166*EXP(-LN(2)/10990*($F$96-KI166))</f>
        <v>#VALUE!</v>
      </c>
      <c r="KN166" s="599" t="e">
        <f>KM166-AVERAGE(KU102:KU103)</f>
        <v>#VALUE!</v>
      </c>
      <c r="KO166" s="599" t="e">
        <f>ABS(#REF!*KN166*3600)</f>
        <v>#REF!</v>
      </c>
      <c r="KP166" s="657" t="e">
        <f>ABS($B$34*KN166*3600)</f>
        <v>#VALUE!</v>
      </c>
      <c r="KQ166" s="600" t="e">
        <f>KP166*$C$87</f>
        <v>#VALUE!</v>
      </c>
      <c r="KR166" s="599" t="e">
        <f>KP166*$F$78</f>
        <v>#VALUE!</v>
      </c>
      <c r="KS166" s="600" t="e">
        <f>KP166*$F$83</f>
        <v>#VALUE!</v>
      </c>
      <c r="KT166" s="599" t="e">
        <f>KP166*$F$80</f>
        <v>#VALUE!</v>
      </c>
      <c r="KU166" s="658" t="e">
        <f>KP166*$F$79</f>
        <v>#VALUE!</v>
      </c>
      <c r="KV166" s="664"/>
      <c r="KW166" s="660"/>
      <c r="KX166" s="661"/>
      <c r="KY166" s="651"/>
      <c r="KZ166" s="662"/>
      <c r="LA166" s="663"/>
      <c r="LB166" s="656"/>
      <c r="LC166" s="649" t="str">
        <f>IF(LB166="Low",KY166*$D$42,IF(LB166="Med",KY166*$D$43,IF(LB166="High",KY166*$D$44,"rango cal. out")))</f>
        <v>rango cal. out</v>
      </c>
      <c r="LD166" s="652" t="e">
        <f>((273.2+KV166)*$F$33/((273.2+$F$32)*KX166))</f>
        <v>#DIV/0!</v>
      </c>
      <c r="LE166" s="653" t="e">
        <f>LC166/KZ166*LD166*EXP(-LN(2)/10990*($F$96-LA166))</f>
        <v>#VALUE!</v>
      </c>
      <c r="LF166" s="599" t="e">
        <f>LE166-AVERAGE(LM102:LM103)</f>
        <v>#VALUE!</v>
      </c>
      <c r="LG166" s="599" t="e">
        <f>ABS(#REF!*LF166*3600)</f>
        <v>#REF!</v>
      </c>
      <c r="LH166" s="657" t="e">
        <f>ABS($B$34*LF166*3600)</f>
        <v>#VALUE!</v>
      </c>
      <c r="LI166" s="600" t="e">
        <f>LH166*$C$87</f>
        <v>#VALUE!</v>
      </c>
      <c r="LJ166" s="599" t="e">
        <f>LH166*$F$78</f>
        <v>#VALUE!</v>
      </c>
      <c r="LK166" s="600" t="e">
        <f>LH166*$F$83</f>
        <v>#VALUE!</v>
      </c>
      <c r="LL166" s="599" t="e">
        <f>LH166*$F$80</f>
        <v>#VALUE!</v>
      </c>
      <c r="LM166" s="658" t="e">
        <f>LH166*$F$79</f>
        <v>#VALUE!</v>
      </c>
      <c r="LN166" s="664"/>
      <c r="LO166" s="660"/>
      <c r="LP166" s="661"/>
      <c r="LQ166" s="651"/>
      <c r="LR166" s="662"/>
      <c r="LS166" s="663"/>
      <c r="LT166" s="656"/>
      <c r="LU166" s="649" t="str">
        <f>IF(LT166="Low",LQ166*$D$42,IF(LT166="Med",LQ166*$D$43,IF(LT166="High",LQ166*$D$44,"rango cal. out")))</f>
        <v>rango cal. out</v>
      </c>
      <c r="LV166" s="652" t="e">
        <f>((273.2+LN166)*$F$33/((273.2+$F$32)*LP166))</f>
        <v>#DIV/0!</v>
      </c>
      <c r="LW166" s="653" t="e">
        <f>LU166/LR166*LV166*EXP(-LN(2)/10990*($F$96-LS166))</f>
        <v>#VALUE!</v>
      </c>
      <c r="LX166" s="599" t="e">
        <f>LW166-AVERAGE(ME102:ME103)</f>
        <v>#VALUE!</v>
      </c>
      <c r="LY166" s="599" t="e">
        <f>ABS(#REF!*LX166*3600)</f>
        <v>#REF!</v>
      </c>
      <c r="LZ166" s="657" t="e">
        <f>ABS($B$34*LX166*3600)</f>
        <v>#VALUE!</v>
      </c>
      <c r="MA166" s="600" t="e">
        <f>LZ166*$C$87</f>
        <v>#VALUE!</v>
      </c>
      <c r="MB166" s="599" t="e">
        <f>LZ166*$F$78</f>
        <v>#VALUE!</v>
      </c>
      <c r="MC166" s="600" t="e">
        <f>LZ166*$F$83</f>
        <v>#VALUE!</v>
      </c>
      <c r="MD166" s="599" t="e">
        <f>LZ166*$F$80</f>
        <v>#VALUE!</v>
      </c>
      <c r="ME166" s="658" t="e">
        <f>LZ166*$F$79</f>
        <v>#VALUE!</v>
      </c>
      <c r="MF166" s="664"/>
      <c r="MG166" s="660"/>
      <c r="MH166" s="661"/>
      <c r="MI166" s="651"/>
      <c r="MJ166" s="662"/>
      <c r="MK166" s="663"/>
      <c r="ML166" s="656"/>
      <c r="MM166" s="649" t="str">
        <f>IF(ML166="Low",MI166*$D$42,IF(ML166="Med",MI166*$D$43,IF(ML166="High",MI166*$D$44,"rango cal. out")))</f>
        <v>rango cal. out</v>
      </c>
      <c r="MN166" s="652" t="e">
        <f>((273.2+MF166)*$F$33/((273.2+$F$32)*MH166))</f>
        <v>#DIV/0!</v>
      </c>
      <c r="MO166" s="653" t="e">
        <f>MM166/MJ166*MN166*EXP(-LN(2)/10990*($F$96-MK166))</f>
        <v>#VALUE!</v>
      </c>
      <c r="MP166" s="599" t="e">
        <f>MO166-AVERAGE(MW102:MW103)</f>
        <v>#VALUE!</v>
      </c>
      <c r="MQ166" s="599" t="e">
        <f>ABS(#REF!*MP166*3600)</f>
        <v>#REF!</v>
      </c>
      <c r="MR166" s="657" t="e">
        <f>ABS($B$34*MP166*3600)</f>
        <v>#VALUE!</v>
      </c>
      <c r="MS166" s="600" t="e">
        <f>MR166*$C$87</f>
        <v>#VALUE!</v>
      </c>
      <c r="MT166" s="599" t="e">
        <f>MR166*$F$78</f>
        <v>#VALUE!</v>
      </c>
      <c r="MU166" s="600" t="e">
        <f>MR166*$F$83</f>
        <v>#VALUE!</v>
      </c>
      <c r="MV166" s="599" t="e">
        <f>MR166*$F$80</f>
        <v>#VALUE!</v>
      </c>
      <c r="MW166" s="658" t="e">
        <f>MR166*$F$79</f>
        <v>#VALUE!</v>
      </c>
      <c r="MX166" s="664"/>
      <c r="MY166" s="660"/>
      <c r="MZ166" s="661"/>
      <c r="NA166" s="651"/>
      <c r="NB166" s="662"/>
      <c r="NC166" s="663"/>
      <c r="ND166" s="656"/>
      <c r="NE166" s="649" t="str">
        <f>IF(ND166="Low",NA166*$D$42,IF(ND166="Med",NA166*$D$43,IF(ND166="High",NA166*$D$44,"rango cal. out")))</f>
        <v>rango cal. out</v>
      </c>
      <c r="NF166" s="652" t="e">
        <f>((273.2+MX166)*$F$33/((273.2+$F$32)*MZ166))</f>
        <v>#DIV/0!</v>
      </c>
      <c r="NG166" s="653" t="e">
        <f>NE166/NB166*NF166*EXP(-LN(2)/10990*($F$96-NC166))</f>
        <v>#VALUE!</v>
      </c>
      <c r="NH166" s="599" t="e">
        <f>NG166-AVERAGE(NO102:NO103)</f>
        <v>#VALUE!</v>
      </c>
      <c r="NI166" s="599" t="e">
        <f>ABS(#REF!*NH166*3600)</f>
        <v>#REF!</v>
      </c>
      <c r="NJ166" s="657" t="e">
        <f>ABS($B$34*NH166*3600)</f>
        <v>#VALUE!</v>
      </c>
      <c r="NK166" s="600" t="e">
        <f>NJ166*$C$87</f>
        <v>#VALUE!</v>
      </c>
      <c r="NL166" s="599" t="e">
        <f>NJ166*$F$78</f>
        <v>#VALUE!</v>
      </c>
      <c r="NM166" s="600" t="e">
        <f>NJ166*$F$83</f>
        <v>#VALUE!</v>
      </c>
      <c r="NN166" s="599" t="e">
        <f>NJ166*$F$80</f>
        <v>#VALUE!</v>
      </c>
      <c r="NO166" s="658" t="e">
        <f>NJ166*$F$79</f>
        <v>#VALUE!</v>
      </c>
      <c r="NP166" s="664"/>
      <c r="NQ166" s="660"/>
      <c r="NR166" s="661"/>
      <c r="NS166" s="651"/>
      <c r="NT166" s="662"/>
      <c r="NU166" s="663"/>
      <c r="NV166" s="656"/>
      <c r="NW166" s="649" t="str">
        <f>IF(NV166="Low",NS166*$D$42,IF(NV166="Med",NS166*$D$43,IF(NV166="High",NS166*$D$44,"rango cal. out")))</f>
        <v>rango cal. out</v>
      </c>
      <c r="NX166" s="652" t="e">
        <f>((273.2+NP166)*$F$33/((273.2+$F$32)*NR166))</f>
        <v>#DIV/0!</v>
      </c>
      <c r="NY166" s="653" t="e">
        <f>NW166/NT166*NX166*EXP(-LN(2)/10990*($F$96-NU166))</f>
        <v>#VALUE!</v>
      </c>
      <c r="NZ166" s="599" t="e">
        <f>NY166-AVERAGE(OG102:OG103)</f>
        <v>#VALUE!</v>
      </c>
      <c r="OA166" s="599" t="e">
        <f>ABS(#REF!*NZ166*3600)</f>
        <v>#REF!</v>
      </c>
      <c r="OB166" s="657" t="e">
        <f>ABS($B$34*NZ166*3600)</f>
        <v>#VALUE!</v>
      </c>
      <c r="OC166" s="600" t="e">
        <f>OB166*$C$87</f>
        <v>#VALUE!</v>
      </c>
      <c r="OD166" s="599" t="e">
        <f>OB166*$F$78</f>
        <v>#VALUE!</v>
      </c>
      <c r="OE166" s="600" t="e">
        <f>OB166*$F$83</f>
        <v>#VALUE!</v>
      </c>
      <c r="OF166" s="599" t="e">
        <f>OB166*$F$80</f>
        <v>#VALUE!</v>
      </c>
      <c r="OG166" s="658" t="e">
        <f>OB166*$F$79</f>
        <v>#VALUE!</v>
      </c>
      <c r="OH166" s="664"/>
      <c r="OI166" s="660"/>
      <c r="OJ166" s="661"/>
      <c r="OK166" s="651"/>
      <c r="OL166" s="662"/>
      <c r="OM166" s="663"/>
      <c r="ON166" s="656"/>
      <c r="OO166" s="649" t="str">
        <f>IF(ON166="Low",OK166*$D$42,IF(ON166="Med",OK166*$D$43,IF(ON166="High",OK166*$D$44,"rango cal. out")))</f>
        <v>rango cal. out</v>
      </c>
      <c r="OP166" s="652" t="e">
        <f>((273.2+OH166)*$F$33/((273.2+$F$32)*OJ166))</f>
        <v>#DIV/0!</v>
      </c>
      <c r="OQ166" s="653" t="e">
        <f>OO166/OL166*OP166*EXP(-LN(2)/10990*($F$96-OM166))</f>
        <v>#VALUE!</v>
      </c>
      <c r="OR166" s="599" t="e">
        <f>OQ166-AVERAGE(OY102:OY103)</f>
        <v>#VALUE!</v>
      </c>
      <c r="OS166" s="599" t="e">
        <f>ABS(#REF!*OR166*3600)</f>
        <v>#REF!</v>
      </c>
      <c r="OT166" s="657" t="e">
        <f>ABS($B$34*OR166*3600)</f>
        <v>#VALUE!</v>
      </c>
      <c r="OU166" s="600" t="e">
        <f>OT166*$C$87</f>
        <v>#VALUE!</v>
      </c>
      <c r="OV166" s="599" t="e">
        <f>OT166*$F$78</f>
        <v>#VALUE!</v>
      </c>
      <c r="OW166" s="600" t="e">
        <f>OT166*$F$83</f>
        <v>#VALUE!</v>
      </c>
      <c r="OX166" s="599" t="e">
        <f>OT166*$F$80</f>
        <v>#VALUE!</v>
      </c>
      <c r="OY166" s="658" t="e">
        <f>OT166*$F$79</f>
        <v>#VALUE!</v>
      </c>
      <c r="OZ166" s="664"/>
      <c r="PA166" s="660"/>
      <c r="PB166" s="661"/>
      <c r="PC166" s="651"/>
      <c r="PD166" s="662"/>
      <c r="PE166" s="663"/>
      <c r="PF166" s="656"/>
      <c r="PG166" s="649" t="str">
        <f>IF(PF166="Low",PC166*$D$42,IF(PF166="Med",PC166*$D$43,IF(PF166="High",PC166*$D$44,"rango cal. out")))</f>
        <v>rango cal. out</v>
      </c>
      <c r="PH166" s="652" t="e">
        <f>((273.2+OZ166)*$F$33/((273.2+$F$32)*PB166))</f>
        <v>#DIV/0!</v>
      </c>
      <c r="PI166" s="653" t="e">
        <f>PG166/PD166*PH166*EXP(-LN(2)/10990*($F$96-PE166))</f>
        <v>#VALUE!</v>
      </c>
      <c r="PJ166" s="599" t="e">
        <f>PI166-AVERAGE(PQ102:PQ103)</f>
        <v>#VALUE!</v>
      </c>
      <c r="PK166" s="599" t="e">
        <f>ABS(#REF!*PJ166*3600)</f>
        <v>#REF!</v>
      </c>
      <c r="PL166" s="657" t="e">
        <f>ABS($B$34*PJ166*3600)</f>
        <v>#VALUE!</v>
      </c>
      <c r="PM166" s="600" t="e">
        <f>PL166*$C$87</f>
        <v>#VALUE!</v>
      </c>
      <c r="PN166" s="599" t="e">
        <f>PL166*$F$78</f>
        <v>#VALUE!</v>
      </c>
      <c r="PO166" s="600" t="e">
        <f>PL166*$F$83</f>
        <v>#VALUE!</v>
      </c>
      <c r="PP166" s="599" t="e">
        <f>PL166*$F$80</f>
        <v>#VALUE!</v>
      </c>
      <c r="PQ166" s="658" t="e">
        <f>PL166*$F$79</f>
        <v>#VALUE!</v>
      </c>
      <c r="PR166" s="664"/>
      <c r="PS166" s="660"/>
      <c r="PT166" s="661"/>
      <c r="PU166" s="651"/>
      <c r="PV166" s="662"/>
      <c r="PW166" s="663"/>
      <c r="PX166" s="656"/>
      <c r="PY166" s="649" t="str">
        <f>IF(PX166="Low",PU166*$D$42,IF(PX166="Med",PU166*$D$43,IF(PX166="High",PU166*$D$44,"rango cal. out")))</f>
        <v>rango cal. out</v>
      </c>
      <c r="PZ166" s="652" t="e">
        <f>((273.2+PR166)*$F$33/((273.2+$F$32)*PT166))</f>
        <v>#DIV/0!</v>
      </c>
      <c r="QA166" s="653" t="e">
        <f>PY166/PV166*PZ166*EXP(-LN(2)/10990*($F$96-PW166))</f>
        <v>#VALUE!</v>
      </c>
      <c r="QB166" s="599" t="e">
        <f>QA166-AVERAGE(QI102:QI103)</f>
        <v>#VALUE!</v>
      </c>
      <c r="QC166" s="599" t="e">
        <f>ABS(#REF!*QB166*3600)</f>
        <v>#REF!</v>
      </c>
      <c r="QD166" s="657" t="e">
        <f>ABS($B$34*QB166*3600)</f>
        <v>#VALUE!</v>
      </c>
      <c r="QE166" s="600" t="e">
        <f>QD166*$C$87</f>
        <v>#VALUE!</v>
      </c>
      <c r="QF166" s="599" t="e">
        <f>QD166*$F$78</f>
        <v>#VALUE!</v>
      </c>
      <c r="QG166" s="600" t="e">
        <f>QD166*$F$83</f>
        <v>#VALUE!</v>
      </c>
      <c r="QH166" s="599" t="e">
        <f>QD166*$F$80</f>
        <v>#VALUE!</v>
      </c>
      <c r="QI166" s="658" t="e">
        <f>QD166*$F$79</f>
        <v>#VALUE!</v>
      </c>
      <c r="QJ166" s="664"/>
      <c r="QK166" s="660"/>
      <c r="QL166" s="661"/>
      <c r="QM166" s="651"/>
      <c r="QN166" s="662"/>
      <c r="QO166" s="663"/>
      <c r="QP166" s="656"/>
      <c r="QQ166" s="649" t="str">
        <f>IF(QP166="Low",QM166*$D$42,IF(QP166="Med",QM166*$D$43,IF(QP166="High",QM166*$D$44,"rango cal. out")))</f>
        <v>rango cal. out</v>
      </c>
      <c r="QR166" s="652" t="e">
        <f>((273.2+QJ166)*$F$33/((273.2+$F$32)*QL166))</f>
        <v>#DIV/0!</v>
      </c>
      <c r="QS166" s="653" t="e">
        <f>QQ166/QN166*QR166*EXP(-LN(2)/10990*($F$96-QO166))</f>
        <v>#VALUE!</v>
      </c>
      <c r="QT166" s="599" t="e">
        <f>QS166-AVERAGE(RA102:RA103)</f>
        <v>#VALUE!</v>
      </c>
      <c r="QU166" s="599" t="e">
        <f>ABS(#REF!*QT166*3600)</f>
        <v>#REF!</v>
      </c>
      <c r="QV166" s="657" t="e">
        <f>ABS($B$34*QT166*3600)</f>
        <v>#VALUE!</v>
      </c>
      <c r="QW166" s="600" t="e">
        <f>QV166*$C$87</f>
        <v>#VALUE!</v>
      </c>
      <c r="QX166" s="599" t="e">
        <f>QV166*$F$78</f>
        <v>#VALUE!</v>
      </c>
      <c r="QY166" s="600" t="e">
        <f>QV166*$F$83</f>
        <v>#VALUE!</v>
      </c>
      <c r="QZ166" s="599" t="e">
        <f>QV166*$F$80</f>
        <v>#VALUE!</v>
      </c>
      <c r="RA166" s="658" t="e">
        <f>QV166*$F$79</f>
        <v>#VALUE!</v>
      </c>
      <c r="RB166" s="664"/>
      <c r="RC166" s="660"/>
      <c r="RD166" s="661"/>
      <c r="RE166" s="651"/>
      <c r="RF166" s="667">
        <v>100</v>
      </c>
      <c r="RG166" s="663"/>
      <c r="RH166" s="656"/>
      <c r="RI166" s="649" t="str">
        <f>IF(RH166="Low",RE166*$D$42,IF(RH166="Med",RE166*$D$43,IF(RH166="High",RE166*$D$44,"rango cal. out")))</f>
        <v>rango cal. out</v>
      </c>
      <c r="RJ166" s="652" t="e">
        <f>((273.2+RB166)*$F$33/((273.2+$F$32)*RD166))</f>
        <v>#DIV/0!</v>
      </c>
      <c r="RK166" s="653" t="e">
        <f>RI166/RF166*RJ166*EXP(-LN(2)/10990*($F$96-RG166))</f>
        <v>#VALUE!</v>
      </c>
      <c r="RL166" s="599" t="e">
        <f>RK166-AVERAGE(RS102:RS103)</f>
        <v>#VALUE!</v>
      </c>
      <c r="RM166" s="599" t="e">
        <f>ABS(#REF!*RL166*3600)</f>
        <v>#REF!</v>
      </c>
      <c r="RN166" s="657" t="e">
        <f>ABS($B$34*RL166*3600)</f>
        <v>#VALUE!</v>
      </c>
      <c r="RO166" s="600" t="e">
        <f>RN166*$C$87</f>
        <v>#VALUE!</v>
      </c>
      <c r="RP166" s="599" t="e">
        <f>RN166*$F$78</f>
        <v>#VALUE!</v>
      </c>
      <c r="RQ166" s="600" t="e">
        <f>RN166*$F$83</f>
        <v>#VALUE!</v>
      </c>
      <c r="RR166" s="599" t="e">
        <f>RN166*$F$80</f>
        <v>#VALUE!</v>
      </c>
      <c r="RS166" s="658" t="e">
        <f>RN166*$F$79</f>
        <v>#VALUE!</v>
      </c>
      <c r="RT166" s="664"/>
      <c r="RU166" s="660"/>
      <c r="RV166" s="660"/>
      <c r="RW166" s="665"/>
      <c r="RX166" s="667">
        <v>100</v>
      </c>
      <c r="RY166" s="663"/>
      <c r="RZ166" s="656"/>
      <c r="SA166" s="649" t="str">
        <f>IF(RZ166="Low",RW166*$D$42,IF(RZ166="Med",RW166*$D$43,IF(RZ166="High",RW166*$D$44,"rango cal. out")))</f>
        <v>rango cal. out</v>
      </c>
      <c r="SB166" s="652" t="e">
        <f>((273.2+RT166)*$F$33/((273.2+$F$32)*RV166))</f>
        <v>#DIV/0!</v>
      </c>
      <c r="SC166" s="653" t="e">
        <f>SA166/RX166*SB166*EXP(-LN(2)/10990*($F$96-RY166))</f>
        <v>#VALUE!</v>
      </c>
      <c r="SD166" s="599" t="e">
        <f>SC166-AVERAGE(SK102:SK103)</f>
        <v>#VALUE!</v>
      </c>
      <c r="SE166" s="599" t="e">
        <f>ABS(#REF!*SD166*3600)</f>
        <v>#REF!</v>
      </c>
      <c r="SF166" s="657" t="e">
        <f>ABS($B$34*SD166*3600)</f>
        <v>#VALUE!</v>
      </c>
      <c r="SG166" s="600" t="e">
        <f>SF166*$C$87</f>
        <v>#VALUE!</v>
      </c>
      <c r="SH166" s="599" t="e">
        <f>SF166*$F$78</f>
        <v>#VALUE!</v>
      </c>
      <c r="SI166" s="600" t="e">
        <f>SF166*$F$83</f>
        <v>#VALUE!</v>
      </c>
      <c r="SJ166" s="599" t="e">
        <f>SF166*$F$80</f>
        <v>#VALUE!</v>
      </c>
      <c r="SK166" s="658" t="e">
        <f>SF166*$F$79</f>
        <v>#VALUE!</v>
      </c>
      <c r="SL166" s="664"/>
      <c r="SM166" s="660"/>
      <c r="SN166" s="661"/>
      <c r="SO166" s="651"/>
      <c r="SP166" s="662"/>
      <c r="SQ166" s="663"/>
      <c r="SR166" s="656"/>
      <c r="SS166" s="649" t="str">
        <f>IF(SR166="Low",SO166*$D$42,IF(SR166="Med",SO166*$D$43,IF(SR166="High",SO166*$D$44,"rango cal. out")))</f>
        <v>rango cal. out</v>
      </c>
      <c r="ST166" s="652" t="e">
        <f>((273.2+SL166)*$F$33/((273.2+$F$32)*SN166))</f>
        <v>#DIV/0!</v>
      </c>
      <c r="SU166" s="653" t="e">
        <f>SS166/SP166*ST166*EXP(-LN(2)/10990*($F$96-SQ166))</f>
        <v>#VALUE!</v>
      </c>
      <c r="SV166" s="599" t="e">
        <f>SU166-AVERAGE(TC102:TC103)</f>
        <v>#VALUE!</v>
      </c>
      <c r="SW166" s="599" t="e">
        <f>ABS(#REF!*SV166*3600)</f>
        <v>#REF!</v>
      </c>
      <c r="SX166" s="657" t="e">
        <f>ABS($B$34*SV166*3600)</f>
        <v>#VALUE!</v>
      </c>
      <c r="SY166" s="600" t="e">
        <f>SX166*$C$87</f>
        <v>#VALUE!</v>
      </c>
      <c r="SZ166" s="599" t="e">
        <f>SX166*$F$78</f>
        <v>#VALUE!</v>
      </c>
      <c r="TA166" s="600" t="e">
        <f>SX166*$F$83</f>
        <v>#VALUE!</v>
      </c>
      <c r="TB166" s="599" t="e">
        <f>SX166*$F$80</f>
        <v>#VALUE!</v>
      </c>
      <c r="TC166" s="658" t="e">
        <f>SX166*$F$79</f>
        <v>#VALUE!</v>
      </c>
      <c r="TD166" s="664"/>
      <c r="TE166" s="660"/>
      <c r="TF166" s="661"/>
      <c r="TG166" s="651"/>
      <c r="TH166" s="662"/>
      <c r="TI166" s="663"/>
      <c r="TJ166" s="656"/>
      <c r="TK166" s="649" t="str">
        <f>IF(TJ166="Low",TG166*$D$42,IF(TJ166="Med",TG166*$D$43,IF(TJ166="High",TG166*$D$44,"rango cal. out")))</f>
        <v>rango cal. out</v>
      </c>
      <c r="TL166" s="652" t="e">
        <f>((273.2+TD166)*$F$33/((273.2+$F$32)*TF166))</f>
        <v>#DIV/0!</v>
      </c>
      <c r="TM166" s="653" t="e">
        <f>TK166/TH166*TL166*EXP(-LN(2)/10990*($F$96-TI166))</f>
        <v>#VALUE!</v>
      </c>
      <c r="TN166" s="599" t="e">
        <f>TM166-AVERAGE(TU102:TU103)</f>
        <v>#VALUE!</v>
      </c>
      <c r="TO166" s="599" t="e">
        <f>ABS(#REF!*TN166*3600)</f>
        <v>#REF!</v>
      </c>
      <c r="TP166" s="657" t="e">
        <f>ABS($B$34*TN166*3600)</f>
        <v>#VALUE!</v>
      </c>
      <c r="TQ166" s="600" t="e">
        <f>TP166*$C$87</f>
        <v>#VALUE!</v>
      </c>
      <c r="TR166" s="599" t="e">
        <f>TP166*$F$78</f>
        <v>#VALUE!</v>
      </c>
      <c r="TS166" s="600" t="e">
        <f>TP166*$F$83</f>
        <v>#VALUE!</v>
      </c>
      <c r="TT166" s="599" t="e">
        <f>TP166*$F$80</f>
        <v>#VALUE!</v>
      </c>
      <c r="TU166" s="658" t="e">
        <f>TP166*$F$79</f>
        <v>#VALUE!</v>
      </c>
      <c r="TV166" s="664"/>
      <c r="TW166" s="660"/>
      <c r="TX166" s="661"/>
      <c r="TY166" s="651"/>
      <c r="TZ166" s="662"/>
      <c r="UA166" s="663"/>
      <c r="UB166" s="656"/>
      <c r="UC166" s="649" t="str">
        <f>IF(UB166="Low",TY166*$D$42,IF(UB166="Med",TY166*$D$43,IF(UB166="High",TY166*$D$44,"rango cal. out")))</f>
        <v>rango cal. out</v>
      </c>
      <c r="UD166" s="652" t="e">
        <f>((273.2+TV166)*$F$33/((273.2+$F$32)*TX166))</f>
        <v>#DIV/0!</v>
      </c>
      <c r="UE166" s="653" t="e">
        <f>UC166/TZ166*UD166*EXP(-LN(2)/10990*($F$96-UA166))</f>
        <v>#VALUE!</v>
      </c>
      <c r="UF166" s="599" t="e">
        <f>UE166-AVERAGE(UM102:UM103)</f>
        <v>#VALUE!</v>
      </c>
      <c r="UG166" s="599" t="e">
        <f>ABS(#REF!*UF166*3600)</f>
        <v>#REF!</v>
      </c>
      <c r="UH166" s="657" t="e">
        <f>ABS($B$34*UF166*3600)</f>
        <v>#VALUE!</v>
      </c>
      <c r="UI166" s="600" t="e">
        <f>UH166*$C$87</f>
        <v>#VALUE!</v>
      </c>
      <c r="UJ166" s="599" t="e">
        <f>UH166*$F$78</f>
        <v>#VALUE!</v>
      </c>
      <c r="UK166" s="600" t="e">
        <f>UH166*$F$83</f>
        <v>#VALUE!</v>
      </c>
      <c r="UL166" s="599" t="e">
        <f>UH166*$F$80</f>
        <v>#VALUE!</v>
      </c>
      <c r="UM166" s="657" t="e">
        <f>UH166*$F$79</f>
        <v>#VALUE!</v>
      </c>
      <c r="UN166" s="654"/>
      <c r="UO166" s="706"/>
      <c r="UP166" s="707"/>
      <c r="UQ166" s="649"/>
      <c r="UR166" s="708"/>
      <c r="US166" s="656"/>
      <c r="UT166" s="656"/>
      <c r="UU166" s="649" t="str">
        <f>IF(UT166="Low",UQ166*$D$42,IF(UT166="Med",UQ166*$D$43,IF(UT166="High",UQ166*$D$44,"rango cal. out")))</f>
        <v>rango cal. out</v>
      </c>
      <c r="UV166" s="702" t="e">
        <f>((273.2+UN166)*$F$33/((273.2+$F$32)*UP166))</f>
        <v>#DIV/0!</v>
      </c>
      <c r="UW166" s="1540" t="e">
        <f>UU166/UR166*UV166*EXP(-LN(2)/10990*($F$96-US166))</f>
        <v>#VALUE!</v>
      </c>
      <c r="UX166" s="599" t="e">
        <f>UW166-AVERAGE(VE102:VE103)</f>
        <v>#VALUE!</v>
      </c>
      <c r="UY166" s="703" t="e">
        <f>ABS(#REF!*UX166*3600)</f>
        <v>#REF!</v>
      </c>
      <c r="UZ166" s="704" t="e">
        <f>ABS($B$34*UX166*3600)</f>
        <v>#VALUE!</v>
      </c>
      <c r="VA166" s="612" t="e">
        <f>UZ166*$C$87</f>
        <v>#VALUE!</v>
      </c>
      <c r="VB166" s="703" t="e">
        <f>UZ166*$F$78</f>
        <v>#VALUE!</v>
      </c>
      <c r="VC166" s="612" t="e">
        <f>UZ166*$F$83</f>
        <v>#VALUE!</v>
      </c>
      <c r="VD166" s="703" t="e">
        <f>UZ166*$F$80</f>
        <v>#VALUE!</v>
      </c>
      <c r="VE166" s="705" t="e">
        <f>UZ166*$F$79</f>
        <v>#VALUE!</v>
      </c>
    </row>
    <row r="167" spans="1:577" x14ac:dyDescent="0.25">
      <c r="A167" s="2219"/>
      <c r="B167" s="668">
        <v>20.3</v>
      </c>
      <c r="C167" s="673">
        <v>56</v>
      </c>
      <c r="D167" s="673">
        <v>1010</v>
      </c>
      <c r="E167" s="671">
        <v>-1.7700000000000001E-9</v>
      </c>
      <c r="F167" s="673">
        <v>60</v>
      </c>
      <c r="G167" s="663">
        <v>44333</v>
      </c>
      <c r="H167" s="650" t="s">
        <v>1042</v>
      </c>
      <c r="I167" s="671">
        <f>IF(H167="Low",E167*$D$42,IF(H167="Med",E167*$D$43,IF(H167="High",E167*$D$44,"rango cal. out")))</f>
        <v>-1.77177E-9</v>
      </c>
      <c r="J167" s="619">
        <f>((273.2+B167)*$F$33/((273.2+$F$32)*D167))</f>
        <v>0.99744048337760605</v>
      </c>
      <c r="K167" s="674">
        <f>I167/F167*J167*EXP(-LN(2)/10990*($F$96-G167))</f>
        <v>-2.9167381260301055E-11</v>
      </c>
      <c r="L167" s="599">
        <f>K167-AVERAGE(S102:S103)</f>
        <v>-2.9143569292929555E-11</v>
      </c>
      <c r="M167" s="672" t="e">
        <f>ABS(#REF!*L167*3600)</f>
        <v>#REF!</v>
      </c>
      <c r="N167" s="675">
        <f>ABS($B$34*L167*3600)</f>
        <v>2.6439046062545694E-3</v>
      </c>
      <c r="O167" s="614">
        <f>N167*$C$87</f>
        <v>0.26439046062545696</v>
      </c>
      <c r="P167" s="672">
        <f>N167*$F$78</f>
        <v>3.172685527505483E-3</v>
      </c>
      <c r="Q167" s="600">
        <f>N167*$F$83</f>
        <v>3.1991245735680288E-3</v>
      </c>
      <c r="R167" s="672">
        <f>N167*$F$80</f>
        <v>3.1991245735680288E-3</v>
      </c>
      <c r="S167" s="676">
        <f>N167*$F$79</f>
        <v>3.3048807578182119E-3</v>
      </c>
      <c r="T167" s="677"/>
      <c r="U167" s="669"/>
      <c r="V167" s="670"/>
      <c r="W167" s="671"/>
      <c r="X167" s="678"/>
      <c r="Y167" s="650"/>
      <c r="Z167" s="650"/>
      <c r="AA167" s="671" t="str">
        <f>IF(Z167="Low",W167*$D$42,IF(Z167="Med",W167*$D$43,IF(Z167="High",W167*$D$44,"rango cal. out")))</f>
        <v>rango cal. out</v>
      </c>
      <c r="AB167" s="619" t="e">
        <f>((273.2+T167)*$F$33/((273.2+$F$32)*V167))</f>
        <v>#DIV/0!</v>
      </c>
      <c r="AC167" s="674" t="e">
        <f>AA167/X167*AB167*EXP(-LN(2)/10990*($F$96-Y167))</f>
        <v>#VALUE!</v>
      </c>
      <c r="AD167" s="599" t="e">
        <f>AC167-AVERAGE(#REF!)</f>
        <v>#VALUE!</v>
      </c>
      <c r="AE167" s="672" t="e">
        <f>ABS(#REF!*AD167*3600)</f>
        <v>#REF!</v>
      </c>
      <c r="AF167" s="675" t="e">
        <f>ABS($B$34*AD167*3600)</f>
        <v>#VALUE!</v>
      </c>
      <c r="AG167" s="614" t="e">
        <f>AF167*$C$87</f>
        <v>#VALUE!</v>
      </c>
      <c r="AH167" s="672" t="e">
        <f>AF167*$F$78</f>
        <v>#VALUE!</v>
      </c>
      <c r="AI167" s="600" t="e">
        <f>AF167*$F$83</f>
        <v>#VALUE!</v>
      </c>
      <c r="AJ167" s="672" t="e">
        <f>AF167*$F$80</f>
        <v>#VALUE!</v>
      </c>
      <c r="AK167" s="676" t="e">
        <f>AF167*$F$79</f>
        <v>#VALUE!</v>
      </c>
      <c r="AL167" s="677"/>
      <c r="AM167" s="669"/>
      <c r="AN167" s="670"/>
      <c r="AO167" s="671"/>
      <c r="AP167" s="678"/>
      <c r="AQ167" s="650"/>
      <c r="AR167" s="650"/>
      <c r="AS167" s="671" t="str">
        <f>IF(AR167="Low",AO167*$D$42,IF(AR167="Med",AO167*$D$43,IF(AR167="High",AO167*$D$44,"rango cal. out")))</f>
        <v>rango cal. out</v>
      </c>
      <c r="AT167" s="619" t="e">
        <f>((273.2+AL167)*$F$33/((273.2+$F$32)*AN167))</f>
        <v>#DIV/0!</v>
      </c>
      <c r="AU167" s="674" t="e">
        <f>AS167/AP167*AT167*EXP(-LN(2)/10990*($F$96-AQ167))</f>
        <v>#VALUE!</v>
      </c>
      <c r="AV167" s="599" t="e">
        <f>AU167-AVERAGE(BC102:BC103)</f>
        <v>#VALUE!</v>
      </c>
      <c r="AW167" s="672" t="e">
        <f>ABS(#REF!*AV167*3600)</f>
        <v>#REF!</v>
      </c>
      <c r="AX167" s="675" t="e">
        <f>ABS($B$34*AV167*3600)</f>
        <v>#VALUE!</v>
      </c>
      <c r="AY167" s="614" t="e">
        <f>AX167*$C$87</f>
        <v>#VALUE!</v>
      </c>
      <c r="AZ167" s="672" t="e">
        <f>AX167*$F$78</f>
        <v>#VALUE!</v>
      </c>
      <c r="BA167" s="600" t="e">
        <f>AX167*$F$83</f>
        <v>#VALUE!</v>
      </c>
      <c r="BB167" s="672" t="e">
        <f>AX167*$F$80</f>
        <v>#VALUE!</v>
      </c>
      <c r="BC167" s="676" t="e">
        <f>AX167*$F$79</f>
        <v>#VALUE!</v>
      </c>
      <c r="BD167" s="668"/>
      <c r="BE167" s="669"/>
      <c r="BF167" s="670"/>
      <c r="BG167" s="671"/>
      <c r="BH167" s="678"/>
      <c r="BI167" s="663">
        <v>44333</v>
      </c>
      <c r="BJ167" s="650"/>
      <c r="BK167" s="671" t="str">
        <f>IF(BJ167="Low",BG167*$D$42,IF(BJ167="Med",BG167*$D$43,IF(BJ167="High",BG167*$D$44,"rango cal. out")))</f>
        <v>rango cal. out</v>
      </c>
      <c r="BL167" s="619" t="e">
        <f>((273.2+BD167)*$F$33/((273.2+$F$32)*BF167))</f>
        <v>#DIV/0!</v>
      </c>
      <c r="BM167" s="674" t="e">
        <f>BK167/BH167*BL167*EXP(-LN(2)/10990*($F$96-BI167))</f>
        <v>#VALUE!</v>
      </c>
      <c r="BN167" s="599" t="e">
        <f>BM167-AVERAGE(BU102:BU103)</f>
        <v>#VALUE!</v>
      </c>
      <c r="BO167" s="672" t="e">
        <f>ABS(#REF!*BN167*3600)</f>
        <v>#REF!</v>
      </c>
      <c r="BP167" s="675" t="e">
        <f>ABS($B$34*BN167*3600)</f>
        <v>#VALUE!</v>
      </c>
      <c r="BQ167" s="614" t="e">
        <f>BP167*$C$87</f>
        <v>#VALUE!</v>
      </c>
      <c r="BR167" s="672" t="e">
        <f>BP167*$F$78</f>
        <v>#VALUE!</v>
      </c>
      <c r="BS167" s="600" t="e">
        <f>BP167*$F$83</f>
        <v>#VALUE!</v>
      </c>
      <c r="BT167" s="672" t="e">
        <f>BP167*$F$80</f>
        <v>#VALUE!</v>
      </c>
      <c r="BU167" s="676" t="e">
        <f>BP167*$F$79</f>
        <v>#VALUE!</v>
      </c>
      <c r="BV167" s="668"/>
      <c r="BW167" s="669"/>
      <c r="BX167" s="670"/>
      <c r="BY167" s="671"/>
      <c r="BZ167" s="678"/>
      <c r="CA167" s="663">
        <v>44333</v>
      </c>
      <c r="CB167" s="650"/>
      <c r="CC167" s="671" t="str">
        <f>IF(CB167="Low",BY167*$D$42,IF(CB167="Med",BY167*$D$43,IF(CB167="High",BY167*$D$44,"rango cal. out")))</f>
        <v>rango cal. out</v>
      </c>
      <c r="CD167" s="619" t="e">
        <f>((273.2+BV167)*$F$33/((273.2+$F$32)*BX167))</f>
        <v>#DIV/0!</v>
      </c>
      <c r="CE167" s="674" t="e">
        <f>CC167/BZ167*CD167*EXP(-LN(2)/10990*($F$96-CA167))</f>
        <v>#VALUE!</v>
      </c>
      <c r="CF167" s="599" t="e">
        <f>CE167-AVERAGE(CM102:CM103)</f>
        <v>#VALUE!</v>
      </c>
      <c r="CG167" s="672" t="e">
        <f>ABS(#REF!*CF167*3600)</f>
        <v>#REF!</v>
      </c>
      <c r="CH167" s="675" t="e">
        <f>ABS($B$34*CF167*3600)</f>
        <v>#VALUE!</v>
      </c>
      <c r="CI167" s="614" t="e">
        <f>CH167*$C$87</f>
        <v>#VALUE!</v>
      </c>
      <c r="CJ167" s="672" t="e">
        <f>CH167*$F$78</f>
        <v>#VALUE!</v>
      </c>
      <c r="CK167" s="600" t="e">
        <f>CH167*$F$83</f>
        <v>#VALUE!</v>
      </c>
      <c r="CL167" s="672" t="e">
        <f>CH167*$F$80</f>
        <v>#VALUE!</v>
      </c>
      <c r="CM167" s="676" t="e">
        <f>CH167*$F$79</f>
        <v>#VALUE!</v>
      </c>
      <c r="CN167" s="668"/>
      <c r="CO167" s="669"/>
      <c r="CP167" s="670"/>
      <c r="CQ167" s="671"/>
      <c r="CR167" s="678"/>
      <c r="CS167" s="663">
        <v>44333</v>
      </c>
      <c r="CT167" s="650"/>
      <c r="CU167" s="671" t="str">
        <f>IF(CT167="Low",CQ167*$D$42,IF(CT167="Med",CQ167*$D$43,IF(CT167="High",CQ167*$D$44,"rango cal. out")))</f>
        <v>rango cal. out</v>
      </c>
      <c r="CV167" s="619" t="e">
        <f>((273.2+CN167)*$F$33/((273.2+$F$32)*CP167))</f>
        <v>#DIV/0!</v>
      </c>
      <c r="CW167" s="674" t="e">
        <f>CU167/CR167*CV167*EXP(-LN(2)/10990*($F$96-CS167))</f>
        <v>#VALUE!</v>
      </c>
      <c r="CX167" s="599" t="e">
        <f>CW167-AVERAGE(DE102:DE103)</f>
        <v>#VALUE!</v>
      </c>
      <c r="CY167" s="672" t="e">
        <f>ABS(#REF!*CX167*3600)</f>
        <v>#REF!</v>
      </c>
      <c r="CZ167" s="675" t="e">
        <f>ABS($B$34*CX167*3600)</f>
        <v>#VALUE!</v>
      </c>
      <c r="DA167" s="614" t="e">
        <f>CZ167*$C$87</f>
        <v>#VALUE!</v>
      </c>
      <c r="DB167" s="672" t="e">
        <f>CZ167*$F$78</f>
        <v>#VALUE!</v>
      </c>
      <c r="DC167" s="600" t="e">
        <f>CZ167*$F$83</f>
        <v>#VALUE!</v>
      </c>
      <c r="DD167" s="672" t="e">
        <f>CZ167*$F$80</f>
        <v>#VALUE!</v>
      </c>
      <c r="DE167" s="676" t="e">
        <f>CZ167*$F$79</f>
        <v>#VALUE!</v>
      </c>
      <c r="DF167" s="668"/>
      <c r="DG167" s="669"/>
      <c r="DH167" s="670"/>
      <c r="DI167" s="671"/>
      <c r="DJ167" s="678"/>
      <c r="DK167" s="650"/>
      <c r="DL167" s="650"/>
      <c r="DM167" s="671" t="str">
        <f>IF(DL167="Low",DI167*$D$42,IF(DL167="Med",DI167*$D$43,IF(DL167="High",DI167*$D$44,"rango cal. out")))</f>
        <v>rango cal. out</v>
      </c>
      <c r="DN167" s="619" t="e">
        <f>((273.2+DF167)*$F$33/((273.2+$F$32)*DH167))</f>
        <v>#DIV/0!</v>
      </c>
      <c r="DO167" s="674" t="e">
        <f>DM167/DJ167*DN167*EXP(-LN(2)/10990*($F$96-DK167))</f>
        <v>#VALUE!</v>
      </c>
      <c r="DP167" s="599" t="e">
        <f>DO167-AVERAGE(DW102:DW103)</f>
        <v>#VALUE!</v>
      </c>
      <c r="DQ167" s="672" t="e">
        <f>ABS(#REF!*DP167*3600)</f>
        <v>#REF!</v>
      </c>
      <c r="DR167" s="675" t="e">
        <f>ABS($B$34*DP167*3600)</f>
        <v>#VALUE!</v>
      </c>
      <c r="DS167" s="614" t="e">
        <f>DR167*$C$87</f>
        <v>#VALUE!</v>
      </c>
      <c r="DT167" s="672" t="e">
        <f>DR167*$F$78</f>
        <v>#VALUE!</v>
      </c>
      <c r="DU167" s="600" t="e">
        <f>DR167*$F$83</f>
        <v>#VALUE!</v>
      </c>
      <c r="DV167" s="672" t="e">
        <f>DR167*$F$80</f>
        <v>#VALUE!</v>
      </c>
      <c r="DW167" s="676" t="e">
        <f>DR167*$F$79</f>
        <v>#VALUE!</v>
      </c>
      <c r="DX167" s="668"/>
      <c r="DY167" s="669"/>
      <c r="DZ167" s="677"/>
      <c r="EA167" s="679"/>
      <c r="EB167" s="678"/>
      <c r="EC167" s="650"/>
      <c r="ED167" s="650"/>
      <c r="EE167" s="671" t="str">
        <f>IF(ED167="Low",EA167*$D$42,IF(ED167="Med",EA167*$D$43,IF(ED167="High",EA167*$D$44,"rango cal. out")))</f>
        <v>rango cal. out</v>
      </c>
      <c r="EF167" s="619" t="e">
        <f>((273.2+DX167)*$F$33/((273.2+$F$32)*DZ167))</f>
        <v>#DIV/0!</v>
      </c>
      <c r="EG167" s="674" t="e">
        <f>EE167/EB167*EF167*EXP(-LN(2)/10990*($F$96-EC167))</f>
        <v>#VALUE!</v>
      </c>
      <c r="EH167" s="599" t="e">
        <f>EG167-AVERAGE(EO102:EO103)</f>
        <v>#VALUE!</v>
      </c>
      <c r="EI167" s="672" t="e">
        <f>ABS(#REF!*EH167*3600)</f>
        <v>#REF!</v>
      </c>
      <c r="EJ167" s="675" t="e">
        <f>ABS($B$34*EH167*3600)</f>
        <v>#VALUE!</v>
      </c>
      <c r="EK167" s="614" t="e">
        <f>EJ167*$C$87</f>
        <v>#VALUE!</v>
      </c>
      <c r="EL167" s="672" t="e">
        <f>EJ167*$F$78</f>
        <v>#VALUE!</v>
      </c>
      <c r="EM167" s="600" t="e">
        <f>EJ167*$F$83</f>
        <v>#VALUE!</v>
      </c>
      <c r="EN167" s="672" t="e">
        <f>EJ167*$F$80</f>
        <v>#VALUE!</v>
      </c>
      <c r="EO167" s="676" t="e">
        <f>EJ167*$F$79</f>
        <v>#VALUE!</v>
      </c>
      <c r="EP167" s="668"/>
      <c r="EQ167" s="669"/>
      <c r="ER167" s="670"/>
      <c r="ES167" s="671"/>
      <c r="ET167" s="678"/>
      <c r="EU167" s="663">
        <v>44333</v>
      </c>
      <c r="EV167" s="650"/>
      <c r="EW167" s="671" t="str">
        <f>IF(EV167="Low",ES167*$D$42,IF(EV167="Med",ES167*$D$43,IF(EV167="High",ES167*$D$44,"rango cal. out")))</f>
        <v>rango cal. out</v>
      </c>
      <c r="EX167" s="619" t="e">
        <f>((273.2+EP167)*$F$33/((273.2+$F$32)*ER167))</f>
        <v>#DIV/0!</v>
      </c>
      <c r="EY167" s="674" t="e">
        <f>EW167/ET167*EX167*EXP(-LN(2)/10990*($F$96-EU167))</f>
        <v>#VALUE!</v>
      </c>
      <c r="EZ167" s="599" t="e">
        <f>EY167-AVERAGE(FG102:FG103)</f>
        <v>#VALUE!</v>
      </c>
      <c r="FA167" s="672" t="e">
        <f>ABS(#REF!*EZ167*3600)</f>
        <v>#REF!</v>
      </c>
      <c r="FB167" s="675" t="e">
        <f>ABS($B$34*EZ167*3600)</f>
        <v>#VALUE!</v>
      </c>
      <c r="FC167" s="614" t="e">
        <f>FB167*$C$87</f>
        <v>#VALUE!</v>
      </c>
      <c r="FD167" s="672" t="e">
        <f>FB167*$F$78</f>
        <v>#VALUE!</v>
      </c>
      <c r="FE167" s="600" t="e">
        <f>FB167*$F$83</f>
        <v>#VALUE!</v>
      </c>
      <c r="FF167" s="672" t="e">
        <f>FB167*$F$80</f>
        <v>#VALUE!</v>
      </c>
      <c r="FG167" s="676" t="e">
        <f>FB167*$F$79</f>
        <v>#VALUE!</v>
      </c>
      <c r="FH167" s="668"/>
      <c r="FI167" s="669"/>
      <c r="FJ167" s="670"/>
      <c r="FK167" s="671"/>
      <c r="FL167" s="678"/>
      <c r="FM167" s="650"/>
      <c r="FN167" s="650"/>
      <c r="FO167" s="671" t="str">
        <f>IF(FN167="Low",FK167*$D$42,IF(FN167="Med",FK167*$D$43,IF(FN167="High",FK167*$D$44,"rango cal. out")))</f>
        <v>rango cal. out</v>
      </c>
      <c r="FP167" s="619" t="e">
        <f>((273.2+FH167)*$F$33/((273.2+$F$32)*FJ167))</f>
        <v>#DIV/0!</v>
      </c>
      <c r="FQ167" s="674" t="e">
        <f>FO167/FL167*FP167*EXP(-LN(2)/10990*($F$96-FM167))</f>
        <v>#VALUE!</v>
      </c>
      <c r="FR167" s="599" t="e">
        <f>FQ167-AVERAGE(FY102:FY103)</f>
        <v>#VALUE!</v>
      </c>
      <c r="FS167" s="672" t="e">
        <f>ABS(#REF!*FR167*3600)</f>
        <v>#REF!</v>
      </c>
      <c r="FT167" s="675" t="e">
        <f>ABS($B$34*FR167*3600)</f>
        <v>#VALUE!</v>
      </c>
      <c r="FU167" s="614" t="e">
        <f>FT167*$C$87</f>
        <v>#VALUE!</v>
      </c>
      <c r="FV167" s="672" t="e">
        <f>FT167*$F$78</f>
        <v>#VALUE!</v>
      </c>
      <c r="FW167" s="600" t="e">
        <f>FT167*$F$83</f>
        <v>#VALUE!</v>
      </c>
      <c r="FX167" s="672" t="e">
        <f>FT167*$F$80</f>
        <v>#VALUE!</v>
      </c>
      <c r="FY167" s="676" t="e">
        <f>FT167*$F$79</f>
        <v>#VALUE!</v>
      </c>
      <c r="FZ167" s="668"/>
      <c r="GA167" s="669"/>
      <c r="GB167" s="670"/>
      <c r="GC167" s="671"/>
      <c r="GD167" s="678"/>
      <c r="GE167" s="650"/>
      <c r="GF167" s="650"/>
      <c r="GG167" s="671" t="str">
        <f>IF(GF167="Low",GC167*$D$42,IF(GF167="Med",GC167*$D$43,IF(GF167="High",GC167*$D$44,"rango cal. out")))</f>
        <v>rango cal. out</v>
      </c>
      <c r="GH167" s="619" t="e">
        <f>((273.2+FZ167)*$F$33/((273.2+$F$32)*GB167))</f>
        <v>#DIV/0!</v>
      </c>
      <c r="GI167" s="674" t="e">
        <f>GG167/GD167*GH167*EXP(-LN(2)/10990*($F$96-GE167))</f>
        <v>#VALUE!</v>
      </c>
      <c r="GJ167" s="599" t="e">
        <f>GI167-AVERAGE(GQ102:GQ103)</f>
        <v>#VALUE!</v>
      </c>
      <c r="GK167" s="672" t="e">
        <f>ABS(#REF!*GJ167*3600)</f>
        <v>#REF!</v>
      </c>
      <c r="GL167" s="675" t="e">
        <f>ABS($B$34*GJ167*3600)</f>
        <v>#VALUE!</v>
      </c>
      <c r="GM167" s="614" t="e">
        <f>GL167*$C$87</f>
        <v>#VALUE!</v>
      </c>
      <c r="GN167" s="672" t="e">
        <f>GL167*$F$78</f>
        <v>#VALUE!</v>
      </c>
      <c r="GO167" s="600" t="e">
        <f>GL167*$F$83</f>
        <v>#VALUE!</v>
      </c>
      <c r="GP167" s="672" t="e">
        <f>GL167*$F$80</f>
        <v>#VALUE!</v>
      </c>
      <c r="GQ167" s="676" t="e">
        <f>GL167*$F$79</f>
        <v>#VALUE!</v>
      </c>
      <c r="GR167" s="668"/>
      <c r="GS167" s="669"/>
      <c r="GT167" s="677"/>
      <c r="GU167" s="679"/>
      <c r="GV167" s="678"/>
      <c r="GW167" s="650"/>
      <c r="GX167" s="650"/>
      <c r="GY167" s="671" t="str">
        <f>IF(GX167="Low",GU167*$D$42,IF(GX167="Med",GU167*$D$43,IF(GX167="High",GU167*$D$44,"rango cal. out")))</f>
        <v>rango cal. out</v>
      </c>
      <c r="GZ167" s="619" t="e">
        <f>((273.2+GR167)*$F$33/((273.2+$F$32)*GT167))</f>
        <v>#DIV/0!</v>
      </c>
      <c r="HA167" s="674" t="e">
        <f>GY167/GV167*GZ167*EXP(-LN(2)/10990*($F$96-GW167))</f>
        <v>#VALUE!</v>
      </c>
      <c r="HB167" s="599" t="e">
        <f>HA167-AVERAGE(HI102:HI103)</f>
        <v>#VALUE!</v>
      </c>
      <c r="HC167" s="672" t="e">
        <f>ABS(#REF!*HB167*3600)</f>
        <v>#REF!</v>
      </c>
      <c r="HD167" s="675" t="e">
        <f>ABS($B$34*HB167*3600)</f>
        <v>#VALUE!</v>
      </c>
      <c r="HE167" s="614" t="e">
        <f>HD167*$C$87</f>
        <v>#VALUE!</v>
      </c>
      <c r="HF167" s="672" t="e">
        <f>HD167*$F$78</f>
        <v>#VALUE!</v>
      </c>
      <c r="HG167" s="600" t="e">
        <f>HD167*$F$83</f>
        <v>#VALUE!</v>
      </c>
      <c r="HH167" s="672" t="e">
        <f>HD167*$F$80</f>
        <v>#VALUE!</v>
      </c>
      <c r="HI167" s="676" t="e">
        <f>HD167*$F$79</f>
        <v>#VALUE!</v>
      </c>
      <c r="HJ167" s="668"/>
      <c r="HK167" s="669"/>
      <c r="HL167" s="670"/>
      <c r="HM167" s="671"/>
      <c r="HN167" s="678"/>
      <c r="HO167" s="650"/>
      <c r="HP167" s="650"/>
      <c r="HQ167" s="671" t="str">
        <f>IF(HP167="Low",HM167*$D$42,IF(HP167="Med",HM167*$D$43,IF(HP167="High",HM167*$D$44,"rango cal. out")))</f>
        <v>rango cal. out</v>
      </c>
      <c r="HR167" s="619" t="e">
        <f>((273.2+HJ167)*$F$33/((273.2+$F$32)*HL167))</f>
        <v>#DIV/0!</v>
      </c>
      <c r="HS167" s="674" t="e">
        <f>HQ167/HN167*HR167*EXP(-LN(2)/10990*($F$96-HO167))</f>
        <v>#VALUE!</v>
      </c>
      <c r="HT167" s="599" t="e">
        <f>HS167-AVERAGE(IA102:IA103)</f>
        <v>#VALUE!</v>
      </c>
      <c r="HU167" s="672" t="e">
        <f>ABS(#REF!*HT167*3600)</f>
        <v>#REF!</v>
      </c>
      <c r="HV167" s="675" t="e">
        <f>ABS($B$34*HT167*3600)</f>
        <v>#VALUE!</v>
      </c>
      <c r="HW167" s="614" t="e">
        <f>HV167*$C$87</f>
        <v>#VALUE!</v>
      </c>
      <c r="HX167" s="672" t="e">
        <f>HV167*$F$78</f>
        <v>#VALUE!</v>
      </c>
      <c r="HY167" s="600" t="e">
        <f>HV167*$F$83</f>
        <v>#VALUE!</v>
      </c>
      <c r="HZ167" s="672" t="e">
        <f>HV167*$F$80</f>
        <v>#VALUE!</v>
      </c>
      <c r="IA167" s="676" t="e">
        <f>HV167*$F$79</f>
        <v>#VALUE!</v>
      </c>
      <c r="IB167" s="668"/>
      <c r="IC167" s="669"/>
      <c r="ID167" s="670"/>
      <c r="IE167" s="671"/>
      <c r="IF167" s="678"/>
      <c r="IG167" s="650"/>
      <c r="IH167" s="650"/>
      <c r="II167" s="671" t="str">
        <f>IF(IH167="Low",IE167*$D$42,IF(IH167="Med",IE167*$D$43,IF(IH167="High",IE167*$D$44,"rango cal. out")))</f>
        <v>rango cal. out</v>
      </c>
      <c r="IJ167" s="619" t="e">
        <f>((273.2+IB167)*$F$33/((273.2+$F$32)*ID167))</f>
        <v>#DIV/0!</v>
      </c>
      <c r="IK167" s="674" t="e">
        <f>II167/IF167*IJ167*EXP(-LN(2)/10990*($F$96-IG167))</f>
        <v>#VALUE!</v>
      </c>
      <c r="IL167" s="599" t="e">
        <f>IK167-AVERAGE(IS102:IS103)</f>
        <v>#VALUE!</v>
      </c>
      <c r="IM167" s="672" t="e">
        <f>ABS(#REF!*IL167*3600)</f>
        <v>#REF!</v>
      </c>
      <c r="IN167" s="675" t="e">
        <f>ABS($B$34*IL167*3600)</f>
        <v>#VALUE!</v>
      </c>
      <c r="IO167" s="614" t="e">
        <f>IN167*$C$87</f>
        <v>#VALUE!</v>
      </c>
      <c r="IP167" s="672" t="e">
        <f>IN167*$F$78</f>
        <v>#VALUE!</v>
      </c>
      <c r="IQ167" s="600" t="e">
        <f>IN167*$F$83</f>
        <v>#VALUE!</v>
      </c>
      <c r="IR167" s="672" t="e">
        <f>IN167*$F$80</f>
        <v>#VALUE!</v>
      </c>
      <c r="IS167" s="676" t="e">
        <f>IN167*$F$79</f>
        <v>#VALUE!</v>
      </c>
      <c r="IT167" s="668"/>
      <c r="IU167" s="669"/>
      <c r="IV167" s="670"/>
      <c r="IW167" s="671"/>
      <c r="IX167" s="678"/>
      <c r="IY167" s="650"/>
      <c r="IZ167" s="650"/>
      <c r="JA167" s="671" t="str">
        <f>IF(IZ167="Low",IW167*$D$42,IF(IZ167="Med",IW167*$D$43,IF(IZ167="High",IW167*$D$44,"rango cal. out")))</f>
        <v>rango cal. out</v>
      </c>
      <c r="JB167" s="619" t="e">
        <f>((273.2+IT167)*$F$33/((273.2+$F$32)*IV167))</f>
        <v>#DIV/0!</v>
      </c>
      <c r="JC167" s="674" t="e">
        <f>JA167/IX167*JB167*EXP(-LN(2)/10990*($F$96-IY167))</f>
        <v>#VALUE!</v>
      </c>
      <c r="JD167" s="599" t="e">
        <f>JC167-AVERAGE(JK102:JK103)</f>
        <v>#VALUE!</v>
      </c>
      <c r="JE167" s="672" t="e">
        <f>ABS(#REF!*JD167*3600)</f>
        <v>#REF!</v>
      </c>
      <c r="JF167" s="675" t="e">
        <f>ABS($B$34*JD167*3600)</f>
        <v>#VALUE!</v>
      </c>
      <c r="JG167" s="614" t="e">
        <f>JF167*$C$87</f>
        <v>#VALUE!</v>
      </c>
      <c r="JH167" s="672" t="e">
        <f>JF167*$F$78</f>
        <v>#VALUE!</v>
      </c>
      <c r="JI167" s="600" t="e">
        <f>JF167*$F$83</f>
        <v>#VALUE!</v>
      </c>
      <c r="JJ167" s="672" t="e">
        <f>JF167*$F$80</f>
        <v>#VALUE!</v>
      </c>
      <c r="JK167" s="676" t="e">
        <f>JF167*$F$79</f>
        <v>#VALUE!</v>
      </c>
      <c r="JL167" s="668"/>
      <c r="JM167" s="669"/>
      <c r="JN167" s="670"/>
      <c r="JO167" s="671"/>
      <c r="JP167" s="678"/>
      <c r="JQ167" s="650"/>
      <c r="JR167" s="650"/>
      <c r="JS167" s="671" t="str">
        <f>IF(JR167="Low",JO167*$D$42,IF(JR167="Med",JO167*$D$43,IF(JR167="High",JO167*$D$44,"rango cal. out")))</f>
        <v>rango cal. out</v>
      </c>
      <c r="JT167" s="619" t="e">
        <f>((273.2+JL167)*$F$33/((273.2+$F$32)*JN167))</f>
        <v>#DIV/0!</v>
      </c>
      <c r="JU167" s="674" t="e">
        <f>JS167/JP167*JT167*EXP(-LN(2)/10990*($F$96-JQ167))</f>
        <v>#VALUE!</v>
      </c>
      <c r="JV167" s="599" t="e">
        <f>JU167-AVERAGE(KC102:KC103)</f>
        <v>#VALUE!</v>
      </c>
      <c r="JW167" s="672" t="e">
        <f>ABS(#REF!*JV167*3600)</f>
        <v>#REF!</v>
      </c>
      <c r="JX167" s="675" t="e">
        <f>ABS($B$34*JV167*3600)</f>
        <v>#VALUE!</v>
      </c>
      <c r="JY167" s="614" t="e">
        <f>JX167*$C$87</f>
        <v>#VALUE!</v>
      </c>
      <c r="JZ167" s="672" t="e">
        <f>JX167*$F$78</f>
        <v>#VALUE!</v>
      </c>
      <c r="KA167" s="600" t="e">
        <f>JX167*$F$83</f>
        <v>#VALUE!</v>
      </c>
      <c r="KB167" s="672" t="e">
        <f>JX167*$F$80</f>
        <v>#VALUE!</v>
      </c>
      <c r="KC167" s="676" t="e">
        <f>JX167*$F$79</f>
        <v>#VALUE!</v>
      </c>
      <c r="KD167" s="668"/>
      <c r="KE167" s="669"/>
      <c r="KF167" s="670"/>
      <c r="KG167" s="671"/>
      <c r="KH167" s="678"/>
      <c r="KI167" s="650"/>
      <c r="KJ167" s="650"/>
      <c r="KK167" s="671" t="str">
        <f>IF(KJ167="Low",KG167*$D$42,IF(KJ167="Med",KG167*$D$43,IF(KJ167="High",KG167*$D$44,"rango cal. out")))</f>
        <v>rango cal. out</v>
      </c>
      <c r="KL167" s="619" t="e">
        <f>((273.2+KD167)*$F$33/((273.2+$F$32)*KF167))</f>
        <v>#DIV/0!</v>
      </c>
      <c r="KM167" s="674" t="e">
        <f>KK167/KH167*KL167*EXP(-LN(2)/10990*($F$96-KI167))</f>
        <v>#VALUE!</v>
      </c>
      <c r="KN167" s="599" t="e">
        <f>KM167-AVERAGE(KU102:KU103)</f>
        <v>#VALUE!</v>
      </c>
      <c r="KO167" s="672" t="e">
        <f>ABS(#REF!*KN167*3600)</f>
        <v>#REF!</v>
      </c>
      <c r="KP167" s="675" t="e">
        <f>ABS($B$34*KN167*3600)</f>
        <v>#VALUE!</v>
      </c>
      <c r="KQ167" s="614" t="e">
        <f>KP167*$C$87</f>
        <v>#VALUE!</v>
      </c>
      <c r="KR167" s="672" t="e">
        <f>KP167*$F$78</f>
        <v>#VALUE!</v>
      </c>
      <c r="KS167" s="600" t="e">
        <f>KP167*$F$83</f>
        <v>#VALUE!</v>
      </c>
      <c r="KT167" s="672" t="e">
        <f>KP167*$F$80</f>
        <v>#VALUE!</v>
      </c>
      <c r="KU167" s="676" t="e">
        <f>KP167*$F$79</f>
        <v>#VALUE!</v>
      </c>
      <c r="KV167" s="668"/>
      <c r="KW167" s="669"/>
      <c r="KX167" s="670"/>
      <c r="KY167" s="671"/>
      <c r="KZ167" s="678"/>
      <c r="LA167" s="650"/>
      <c r="LB167" s="650"/>
      <c r="LC167" s="671" t="str">
        <f>IF(LB167="Low",KY167*$D$42,IF(LB167="Med",KY167*$D$43,IF(LB167="High",KY167*$D$44,"rango cal. out")))</f>
        <v>rango cal. out</v>
      </c>
      <c r="LD167" s="619" t="e">
        <f>((273.2+KV167)*$F$33/((273.2+$F$32)*KX167))</f>
        <v>#DIV/0!</v>
      </c>
      <c r="LE167" s="674" t="e">
        <f>LC167/KZ167*LD167*EXP(-LN(2)/10990*($F$96-LA167))</f>
        <v>#VALUE!</v>
      </c>
      <c r="LF167" s="599" t="e">
        <f>LE167-AVERAGE(LM102:LM103)</f>
        <v>#VALUE!</v>
      </c>
      <c r="LG167" s="672" t="e">
        <f>ABS(#REF!*LF167*3600)</f>
        <v>#REF!</v>
      </c>
      <c r="LH167" s="675" t="e">
        <f>ABS($B$34*LF167*3600)</f>
        <v>#VALUE!</v>
      </c>
      <c r="LI167" s="614" t="e">
        <f>LH167*$C$87</f>
        <v>#VALUE!</v>
      </c>
      <c r="LJ167" s="672" t="e">
        <f>LH167*$F$78</f>
        <v>#VALUE!</v>
      </c>
      <c r="LK167" s="600" t="e">
        <f>LH167*$F$83</f>
        <v>#VALUE!</v>
      </c>
      <c r="LL167" s="672" t="e">
        <f>LH167*$F$80</f>
        <v>#VALUE!</v>
      </c>
      <c r="LM167" s="676" t="e">
        <f>LH167*$F$79</f>
        <v>#VALUE!</v>
      </c>
      <c r="LN167" s="668"/>
      <c r="LO167" s="669"/>
      <c r="LP167" s="670"/>
      <c r="LQ167" s="671"/>
      <c r="LR167" s="678"/>
      <c r="LS167" s="650"/>
      <c r="LT167" s="650"/>
      <c r="LU167" s="671" t="str">
        <f>IF(LT167="Low",LQ167*$D$42,IF(LT167="Med",LQ167*$D$43,IF(LT167="High",LQ167*$D$44,"rango cal. out")))</f>
        <v>rango cal. out</v>
      </c>
      <c r="LV167" s="619" t="e">
        <f>((273.2+LN167)*$F$33/((273.2+$F$32)*LP167))</f>
        <v>#DIV/0!</v>
      </c>
      <c r="LW167" s="674" t="e">
        <f>LU167/LR167*LV167*EXP(-LN(2)/10990*($F$96-LS167))</f>
        <v>#VALUE!</v>
      </c>
      <c r="LX167" s="599" t="e">
        <f>LW167-AVERAGE(ME102:ME103)</f>
        <v>#VALUE!</v>
      </c>
      <c r="LY167" s="672" t="e">
        <f>ABS(#REF!*LX167*3600)</f>
        <v>#REF!</v>
      </c>
      <c r="LZ167" s="675" t="e">
        <f>ABS($B$34*LX167*3600)</f>
        <v>#VALUE!</v>
      </c>
      <c r="MA167" s="614" t="e">
        <f>LZ167*$C$87</f>
        <v>#VALUE!</v>
      </c>
      <c r="MB167" s="672" t="e">
        <f>LZ167*$F$78</f>
        <v>#VALUE!</v>
      </c>
      <c r="MC167" s="600" t="e">
        <f>LZ167*$F$83</f>
        <v>#VALUE!</v>
      </c>
      <c r="MD167" s="672" t="e">
        <f>LZ167*$F$80</f>
        <v>#VALUE!</v>
      </c>
      <c r="ME167" s="676" t="e">
        <f>LZ167*$F$79</f>
        <v>#VALUE!</v>
      </c>
      <c r="MF167" s="668"/>
      <c r="MG167" s="669"/>
      <c r="MH167" s="670"/>
      <c r="MI167" s="671"/>
      <c r="MJ167" s="678"/>
      <c r="MK167" s="650"/>
      <c r="ML167" s="650"/>
      <c r="MM167" s="671" t="str">
        <f>IF(ML167="Low",MI167*$D$42,IF(ML167="Med",MI167*$D$43,IF(ML167="High",MI167*$D$44,"rango cal. out")))</f>
        <v>rango cal. out</v>
      </c>
      <c r="MN167" s="619" t="e">
        <f>((273.2+MF167)*$F$33/((273.2+$F$32)*MH167))</f>
        <v>#DIV/0!</v>
      </c>
      <c r="MO167" s="674" t="e">
        <f>MM167/MJ167*MN167*EXP(-LN(2)/10990*($F$96-MK167))</f>
        <v>#VALUE!</v>
      </c>
      <c r="MP167" s="599" t="e">
        <f>MO167-AVERAGE(MW102:MW103)</f>
        <v>#VALUE!</v>
      </c>
      <c r="MQ167" s="672" t="e">
        <f>ABS(#REF!*MP167*3600)</f>
        <v>#REF!</v>
      </c>
      <c r="MR167" s="675" t="e">
        <f>ABS($B$34*MP167*3600)</f>
        <v>#VALUE!</v>
      </c>
      <c r="MS167" s="614" t="e">
        <f>MR167*$C$87</f>
        <v>#VALUE!</v>
      </c>
      <c r="MT167" s="672" t="e">
        <f>MR167*$F$78</f>
        <v>#VALUE!</v>
      </c>
      <c r="MU167" s="600" t="e">
        <f>MR167*$F$83</f>
        <v>#VALUE!</v>
      </c>
      <c r="MV167" s="672" t="e">
        <f>MR167*$F$80</f>
        <v>#VALUE!</v>
      </c>
      <c r="MW167" s="676" t="e">
        <f>MR167*$F$79</f>
        <v>#VALUE!</v>
      </c>
      <c r="MX167" s="668"/>
      <c r="MY167" s="669"/>
      <c r="MZ167" s="670"/>
      <c r="NA167" s="671"/>
      <c r="NB167" s="678"/>
      <c r="NC167" s="650"/>
      <c r="ND167" s="650"/>
      <c r="NE167" s="671" t="str">
        <f>IF(ND167="Low",NA167*$D$42,IF(ND167="Med",NA167*$D$43,IF(ND167="High",NA167*$D$44,"rango cal. out")))</f>
        <v>rango cal. out</v>
      </c>
      <c r="NF167" s="619" t="e">
        <f>((273.2+MX167)*$F$33/((273.2+$F$32)*MZ167))</f>
        <v>#DIV/0!</v>
      </c>
      <c r="NG167" s="674" t="e">
        <f>NE167/NB167*NF167*EXP(-LN(2)/10990*($F$96-NC167))</f>
        <v>#VALUE!</v>
      </c>
      <c r="NH167" s="599" t="e">
        <f>NG167-AVERAGE(NO102:NO103)</f>
        <v>#VALUE!</v>
      </c>
      <c r="NI167" s="672" t="e">
        <f>ABS(#REF!*NH167*3600)</f>
        <v>#REF!</v>
      </c>
      <c r="NJ167" s="675" t="e">
        <f>ABS($B$34*NH167*3600)</f>
        <v>#VALUE!</v>
      </c>
      <c r="NK167" s="614" t="e">
        <f>NJ167*$C$87</f>
        <v>#VALUE!</v>
      </c>
      <c r="NL167" s="672" t="e">
        <f>NJ167*$F$78</f>
        <v>#VALUE!</v>
      </c>
      <c r="NM167" s="600" t="e">
        <f>NJ167*$F$83</f>
        <v>#VALUE!</v>
      </c>
      <c r="NN167" s="672" t="e">
        <f>NJ167*$F$80</f>
        <v>#VALUE!</v>
      </c>
      <c r="NO167" s="676" t="e">
        <f>NJ167*$F$79</f>
        <v>#VALUE!</v>
      </c>
      <c r="NP167" s="668"/>
      <c r="NQ167" s="669"/>
      <c r="NR167" s="670"/>
      <c r="NS167" s="671"/>
      <c r="NT167" s="678"/>
      <c r="NU167" s="650"/>
      <c r="NV167" s="650"/>
      <c r="NW167" s="671" t="str">
        <f>IF(NV167="Low",NS167*$D$42,IF(NV167="Med",NS167*$D$43,IF(NV167="High",NS167*$D$44,"rango cal. out")))</f>
        <v>rango cal. out</v>
      </c>
      <c r="NX167" s="619" t="e">
        <f>((273.2+NP167)*$F$33/((273.2+$F$32)*NR167))</f>
        <v>#DIV/0!</v>
      </c>
      <c r="NY167" s="674" t="e">
        <f>NW167/NT167*NX167*EXP(-LN(2)/10990*($F$96-NU167))</f>
        <v>#VALUE!</v>
      </c>
      <c r="NZ167" s="599" t="e">
        <f>NY167-AVERAGE(OG102:OG103)</f>
        <v>#VALUE!</v>
      </c>
      <c r="OA167" s="672" t="e">
        <f>ABS(#REF!*NZ167*3600)</f>
        <v>#REF!</v>
      </c>
      <c r="OB167" s="675" t="e">
        <f>ABS($B$34*NZ167*3600)</f>
        <v>#VALUE!</v>
      </c>
      <c r="OC167" s="614" t="e">
        <f>OB167*$C$87</f>
        <v>#VALUE!</v>
      </c>
      <c r="OD167" s="672" t="e">
        <f>OB167*$F$78</f>
        <v>#VALUE!</v>
      </c>
      <c r="OE167" s="600" t="e">
        <f>OB167*$F$83</f>
        <v>#VALUE!</v>
      </c>
      <c r="OF167" s="672" t="e">
        <f>OB167*$F$80</f>
        <v>#VALUE!</v>
      </c>
      <c r="OG167" s="676" t="e">
        <f>OB167*$F$79</f>
        <v>#VALUE!</v>
      </c>
      <c r="OH167" s="668"/>
      <c r="OI167" s="669"/>
      <c r="OJ167" s="670"/>
      <c r="OK167" s="671"/>
      <c r="OL167" s="678"/>
      <c r="OM167" s="650"/>
      <c r="ON167" s="650"/>
      <c r="OO167" s="671" t="str">
        <f>IF(ON167="Low",OK167*$D$42,IF(ON167="Med",OK167*$D$43,IF(ON167="High",OK167*$D$44,"rango cal. out")))</f>
        <v>rango cal. out</v>
      </c>
      <c r="OP167" s="619" t="e">
        <f>((273.2+OH167)*$F$33/((273.2+$F$32)*OJ167))</f>
        <v>#DIV/0!</v>
      </c>
      <c r="OQ167" s="674" t="e">
        <f>OO167/OL167*OP167*EXP(-LN(2)/10990*($F$96-OM167))</f>
        <v>#VALUE!</v>
      </c>
      <c r="OR167" s="599" t="e">
        <f>OQ167-AVERAGE(OY102:OY103)</f>
        <v>#VALUE!</v>
      </c>
      <c r="OS167" s="672" t="e">
        <f>ABS(#REF!*OR167*3600)</f>
        <v>#REF!</v>
      </c>
      <c r="OT167" s="675" t="e">
        <f>ABS($B$34*OR167*3600)</f>
        <v>#VALUE!</v>
      </c>
      <c r="OU167" s="614" t="e">
        <f>OT167*$C$87</f>
        <v>#VALUE!</v>
      </c>
      <c r="OV167" s="672" t="e">
        <f>OT167*$F$78</f>
        <v>#VALUE!</v>
      </c>
      <c r="OW167" s="600" t="e">
        <f>OT167*$F$83</f>
        <v>#VALUE!</v>
      </c>
      <c r="OX167" s="672" t="e">
        <f>OT167*$F$80</f>
        <v>#VALUE!</v>
      </c>
      <c r="OY167" s="676" t="e">
        <f>OT167*$F$79</f>
        <v>#VALUE!</v>
      </c>
      <c r="OZ167" s="668"/>
      <c r="PA167" s="669"/>
      <c r="PB167" s="670"/>
      <c r="PC167" s="671"/>
      <c r="PD167" s="678"/>
      <c r="PE167" s="650"/>
      <c r="PF167" s="650"/>
      <c r="PG167" s="671" t="str">
        <f>IF(PF167="Low",PC167*$D$42,IF(PF167="Med",PC167*$D$43,IF(PF167="High",PC167*$D$44,"rango cal. out")))</f>
        <v>rango cal. out</v>
      </c>
      <c r="PH167" s="619" t="e">
        <f>((273.2+OZ167)*$F$33/((273.2+$F$32)*PB167))</f>
        <v>#DIV/0!</v>
      </c>
      <c r="PI167" s="674" t="e">
        <f>PG167/PD167*PH167*EXP(-LN(2)/10990*($F$96-PE167))</f>
        <v>#VALUE!</v>
      </c>
      <c r="PJ167" s="599" t="e">
        <f>PI167-AVERAGE(PQ102:PQ103)</f>
        <v>#VALUE!</v>
      </c>
      <c r="PK167" s="672" t="e">
        <f>ABS(#REF!*PJ167*3600)</f>
        <v>#REF!</v>
      </c>
      <c r="PL167" s="675" t="e">
        <f>ABS($B$34*PJ167*3600)</f>
        <v>#VALUE!</v>
      </c>
      <c r="PM167" s="614" t="e">
        <f>PL167*$C$87</f>
        <v>#VALUE!</v>
      </c>
      <c r="PN167" s="672" t="e">
        <f>PL167*$F$78</f>
        <v>#VALUE!</v>
      </c>
      <c r="PO167" s="600" t="e">
        <f>PL167*$F$83</f>
        <v>#VALUE!</v>
      </c>
      <c r="PP167" s="672" t="e">
        <f>PL167*$F$80</f>
        <v>#VALUE!</v>
      </c>
      <c r="PQ167" s="676" t="e">
        <f>PL167*$F$79</f>
        <v>#VALUE!</v>
      </c>
      <c r="PR167" s="668"/>
      <c r="PS167" s="669"/>
      <c r="PT167" s="670"/>
      <c r="PU167" s="671"/>
      <c r="PV167" s="678"/>
      <c r="PW167" s="650"/>
      <c r="PX167" s="650"/>
      <c r="PY167" s="671" t="str">
        <f>IF(PX167="Low",PU167*$D$42,IF(PX167="Med",PU167*$D$43,IF(PX167="High",PU167*$D$44,"rango cal. out")))</f>
        <v>rango cal. out</v>
      </c>
      <c r="PZ167" s="619" t="e">
        <f>((273.2+PR167)*$F$33/((273.2+$F$32)*PT167))</f>
        <v>#DIV/0!</v>
      </c>
      <c r="QA167" s="674" t="e">
        <f>PY167/PV167*PZ167*EXP(-LN(2)/10990*($F$96-PW167))</f>
        <v>#VALUE!</v>
      </c>
      <c r="QB167" s="599" t="e">
        <f>QA167-AVERAGE(QI102:QI103)</f>
        <v>#VALUE!</v>
      </c>
      <c r="QC167" s="672" t="e">
        <f>ABS(#REF!*QB167*3600)</f>
        <v>#REF!</v>
      </c>
      <c r="QD167" s="675" t="e">
        <f>ABS($B$34*QB167*3600)</f>
        <v>#VALUE!</v>
      </c>
      <c r="QE167" s="614" t="e">
        <f>QD167*$C$87</f>
        <v>#VALUE!</v>
      </c>
      <c r="QF167" s="672" t="e">
        <f>QD167*$F$78</f>
        <v>#VALUE!</v>
      </c>
      <c r="QG167" s="600" t="e">
        <f>QD167*$F$83</f>
        <v>#VALUE!</v>
      </c>
      <c r="QH167" s="672" t="e">
        <f>QD167*$F$80</f>
        <v>#VALUE!</v>
      </c>
      <c r="QI167" s="676" t="e">
        <f>QD167*$F$79</f>
        <v>#VALUE!</v>
      </c>
      <c r="QJ167" s="668"/>
      <c r="QK167" s="669"/>
      <c r="QL167" s="670"/>
      <c r="QM167" s="671"/>
      <c r="QN167" s="678"/>
      <c r="QO167" s="650"/>
      <c r="QP167" s="650"/>
      <c r="QQ167" s="671" t="str">
        <f>IF(QP167="Low",QM167*$D$42,IF(QP167="Med",QM167*$D$43,IF(QP167="High",QM167*$D$44,"rango cal. out")))</f>
        <v>rango cal. out</v>
      </c>
      <c r="QR167" s="619" t="e">
        <f>((273.2+QJ167)*$F$33/((273.2+$F$32)*QL167))</f>
        <v>#DIV/0!</v>
      </c>
      <c r="QS167" s="674" t="e">
        <f>QQ167/QN167*QR167*EXP(-LN(2)/10990*($F$96-QO167))</f>
        <v>#VALUE!</v>
      </c>
      <c r="QT167" s="599" t="e">
        <f>QS167-AVERAGE(RA102:RA103)</f>
        <v>#VALUE!</v>
      </c>
      <c r="QU167" s="672" t="e">
        <f>ABS(#REF!*QT167*3600)</f>
        <v>#REF!</v>
      </c>
      <c r="QV167" s="675" t="e">
        <f>ABS($B$34*QT167*3600)</f>
        <v>#VALUE!</v>
      </c>
      <c r="QW167" s="614" t="e">
        <f>QV167*$C$87</f>
        <v>#VALUE!</v>
      </c>
      <c r="QX167" s="672" t="e">
        <f>QV167*$F$78</f>
        <v>#VALUE!</v>
      </c>
      <c r="QY167" s="600" t="e">
        <f>QV167*$F$83</f>
        <v>#VALUE!</v>
      </c>
      <c r="QZ167" s="672" t="e">
        <f>QV167*$F$80</f>
        <v>#VALUE!</v>
      </c>
      <c r="RA167" s="676" t="e">
        <f>QV167*$F$79</f>
        <v>#VALUE!</v>
      </c>
      <c r="RB167" s="668"/>
      <c r="RC167" s="669"/>
      <c r="RD167" s="670"/>
      <c r="RE167" s="671"/>
      <c r="RF167" s="673">
        <v>100</v>
      </c>
      <c r="RG167" s="650"/>
      <c r="RH167" s="650"/>
      <c r="RI167" s="671" t="str">
        <f>IF(RH167="Low",RE167*$D$42,IF(RH167="Med",RE167*$D$43,IF(RH167="High",RE167*$D$44,"rango cal. out")))</f>
        <v>rango cal. out</v>
      </c>
      <c r="RJ167" s="619" t="e">
        <f>((273.2+RB167)*$F$33/((273.2+$F$32)*RD167))</f>
        <v>#DIV/0!</v>
      </c>
      <c r="RK167" s="674" t="e">
        <f>RI167/RF167*RJ167*EXP(-LN(2)/10990*($F$96-RG167))</f>
        <v>#VALUE!</v>
      </c>
      <c r="RL167" s="599" t="e">
        <f>RK167-AVERAGE(RS102:RS103)</f>
        <v>#VALUE!</v>
      </c>
      <c r="RM167" s="672" t="e">
        <f>ABS(#REF!*RL167*3600)</f>
        <v>#REF!</v>
      </c>
      <c r="RN167" s="675" t="e">
        <f>ABS($B$34*RL167*3600)</f>
        <v>#VALUE!</v>
      </c>
      <c r="RO167" s="614" t="e">
        <f>RN167*$C$87</f>
        <v>#VALUE!</v>
      </c>
      <c r="RP167" s="672" t="e">
        <f>RN167*$F$78</f>
        <v>#VALUE!</v>
      </c>
      <c r="RQ167" s="600" t="e">
        <f>RN167*$F$83</f>
        <v>#VALUE!</v>
      </c>
      <c r="RR167" s="672" t="e">
        <f>RN167*$F$80</f>
        <v>#VALUE!</v>
      </c>
      <c r="RS167" s="676" t="e">
        <f>RN167*$F$79</f>
        <v>#VALUE!</v>
      </c>
      <c r="RT167" s="668"/>
      <c r="RU167" s="669"/>
      <c r="RV167" s="669"/>
      <c r="RW167" s="679"/>
      <c r="RX167" s="673">
        <v>100</v>
      </c>
      <c r="RY167" s="650"/>
      <c r="RZ167" s="650"/>
      <c r="SA167" s="671" t="str">
        <f>IF(RZ167="Low",RW167*$D$42,IF(RZ167="Med",RW167*$D$43,IF(RZ167="High",RW167*$D$44,"rango cal. out")))</f>
        <v>rango cal. out</v>
      </c>
      <c r="SB167" s="619" t="e">
        <f>((273.2+RT167)*$F$33/((273.2+$F$32)*RV167))</f>
        <v>#DIV/0!</v>
      </c>
      <c r="SC167" s="674" t="e">
        <f>SA167/RX167*SB167*EXP(-LN(2)/10990*($F$96-RY167))</f>
        <v>#VALUE!</v>
      </c>
      <c r="SD167" s="599" t="e">
        <f>SC167-AVERAGE(SK102:SK103)</f>
        <v>#VALUE!</v>
      </c>
      <c r="SE167" s="672" t="e">
        <f>ABS(#REF!*SD167*3600)</f>
        <v>#REF!</v>
      </c>
      <c r="SF167" s="675" t="e">
        <f>ABS($B$34*SD167*3600)</f>
        <v>#VALUE!</v>
      </c>
      <c r="SG167" s="614" t="e">
        <f>SF167*$C$87</f>
        <v>#VALUE!</v>
      </c>
      <c r="SH167" s="672" t="e">
        <f>SF167*$F$78</f>
        <v>#VALUE!</v>
      </c>
      <c r="SI167" s="600" t="e">
        <f>SF167*$F$83</f>
        <v>#VALUE!</v>
      </c>
      <c r="SJ167" s="672" t="e">
        <f>SF167*$F$80</f>
        <v>#VALUE!</v>
      </c>
      <c r="SK167" s="676" t="e">
        <f>SF167*$F$79</f>
        <v>#VALUE!</v>
      </c>
      <c r="SL167" s="668"/>
      <c r="SM167" s="669"/>
      <c r="SN167" s="670"/>
      <c r="SO167" s="671"/>
      <c r="SP167" s="678"/>
      <c r="SQ167" s="650"/>
      <c r="SR167" s="650"/>
      <c r="SS167" s="671" t="str">
        <f>IF(SR167="Low",SO167*$D$42,IF(SR167="Med",SO167*$D$43,IF(SR167="High",SO167*$D$44,"rango cal. out")))</f>
        <v>rango cal. out</v>
      </c>
      <c r="ST167" s="619" t="e">
        <f>((273.2+SL167)*$F$33/((273.2+$F$32)*SN167))</f>
        <v>#DIV/0!</v>
      </c>
      <c r="SU167" s="674" t="e">
        <f>SS167/SP167*ST167*EXP(-LN(2)/10990*($F$96-SQ167))</f>
        <v>#VALUE!</v>
      </c>
      <c r="SV167" s="599" t="e">
        <f>SU167-AVERAGE(TC102:TC103)</f>
        <v>#VALUE!</v>
      </c>
      <c r="SW167" s="672" t="e">
        <f>ABS(#REF!*SV167*3600)</f>
        <v>#REF!</v>
      </c>
      <c r="SX167" s="675" t="e">
        <f>ABS($B$34*SV167*3600)</f>
        <v>#VALUE!</v>
      </c>
      <c r="SY167" s="614" t="e">
        <f>SX167*$C$87</f>
        <v>#VALUE!</v>
      </c>
      <c r="SZ167" s="672" t="e">
        <f>SX167*$F$78</f>
        <v>#VALUE!</v>
      </c>
      <c r="TA167" s="600" t="e">
        <f>SX167*$F$83</f>
        <v>#VALUE!</v>
      </c>
      <c r="TB167" s="672" t="e">
        <f>SX167*$F$80</f>
        <v>#VALUE!</v>
      </c>
      <c r="TC167" s="676" t="e">
        <f>SX167*$F$79</f>
        <v>#VALUE!</v>
      </c>
      <c r="TD167" s="668"/>
      <c r="TE167" s="669"/>
      <c r="TF167" s="670"/>
      <c r="TG167" s="671"/>
      <c r="TH167" s="678"/>
      <c r="TI167" s="650"/>
      <c r="TJ167" s="650"/>
      <c r="TK167" s="671" t="str">
        <f>IF(TJ167="Low",TG167*$D$42,IF(TJ167="Med",TG167*$D$43,IF(TJ167="High",TG167*$D$44,"rango cal. out")))</f>
        <v>rango cal. out</v>
      </c>
      <c r="TL167" s="619" t="e">
        <f>((273.2+TD167)*$F$33/((273.2+$F$32)*TF167))</f>
        <v>#DIV/0!</v>
      </c>
      <c r="TM167" s="674" t="e">
        <f>TK167/TH167*TL167*EXP(-LN(2)/10990*($F$96-TI167))</f>
        <v>#VALUE!</v>
      </c>
      <c r="TN167" s="599" t="e">
        <f>TM167-AVERAGE(TU102:TU103)</f>
        <v>#VALUE!</v>
      </c>
      <c r="TO167" s="672" t="e">
        <f>ABS(#REF!*TN167*3600)</f>
        <v>#REF!</v>
      </c>
      <c r="TP167" s="675" t="e">
        <f>ABS($B$34*TN167*3600)</f>
        <v>#VALUE!</v>
      </c>
      <c r="TQ167" s="614" t="e">
        <f>TP167*$C$87</f>
        <v>#VALUE!</v>
      </c>
      <c r="TR167" s="672" t="e">
        <f>TP167*$F$78</f>
        <v>#VALUE!</v>
      </c>
      <c r="TS167" s="600" t="e">
        <f>TP167*$F$83</f>
        <v>#VALUE!</v>
      </c>
      <c r="TT167" s="672" t="e">
        <f>TP167*$F$80</f>
        <v>#VALUE!</v>
      </c>
      <c r="TU167" s="676" t="e">
        <f>TP167*$F$79</f>
        <v>#VALUE!</v>
      </c>
      <c r="TV167" s="668"/>
      <c r="TW167" s="669"/>
      <c r="TX167" s="670"/>
      <c r="TY167" s="671"/>
      <c r="TZ167" s="678"/>
      <c r="UA167" s="650"/>
      <c r="UB167" s="650"/>
      <c r="UC167" s="671" t="str">
        <f>IF(UB167="Low",TY167*$D$42,IF(UB167="Med",TY167*$D$43,IF(UB167="High",TY167*$D$44,"rango cal. out")))</f>
        <v>rango cal. out</v>
      </c>
      <c r="UD167" s="619" t="e">
        <f>((273.2+TV167)*$F$33/((273.2+$F$32)*TX167))</f>
        <v>#DIV/0!</v>
      </c>
      <c r="UE167" s="674" t="e">
        <f>UC167/TZ167*UD167*EXP(-LN(2)/10990*($F$96-UA167))</f>
        <v>#VALUE!</v>
      </c>
      <c r="UF167" s="599" t="e">
        <f>UE167-AVERAGE(UM102:UM103)</f>
        <v>#VALUE!</v>
      </c>
      <c r="UG167" s="672" t="e">
        <f>ABS(#REF!*UF167*3600)</f>
        <v>#REF!</v>
      </c>
      <c r="UH167" s="675" t="e">
        <f>ABS($B$34*UF167*3600)</f>
        <v>#VALUE!</v>
      </c>
      <c r="UI167" s="614" t="e">
        <f>UH167*$C$87</f>
        <v>#VALUE!</v>
      </c>
      <c r="UJ167" s="672" t="e">
        <f>UH167*$F$78</f>
        <v>#VALUE!</v>
      </c>
      <c r="UK167" s="600" t="e">
        <f>UH167*$F$83</f>
        <v>#VALUE!</v>
      </c>
      <c r="UL167" s="672" t="e">
        <f>UH167*$F$80</f>
        <v>#VALUE!</v>
      </c>
      <c r="UM167" s="675" t="e">
        <f>UH167*$F$79</f>
        <v>#VALUE!</v>
      </c>
      <c r="UN167" s="668"/>
      <c r="UO167" s="669"/>
      <c r="UP167" s="670"/>
      <c r="UQ167" s="671"/>
      <c r="UR167" s="678"/>
      <c r="US167" s="650"/>
      <c r="UT167" s="650"/>
      <c r="UU167" s="671" t="str">
        <f>IF(UT167="Low",UQ167*$D$42,IF(UT167="Med",UQ167*$D$43,IF(UT167="High",UQ167*$D$44,"rango cal. out")))</f>
        <v>rango cal. out</v>
      </c>
      <c r="UV167" s="619" t="e">
        <f>((273.2+UN167)*$F$33/((273.2+$F$32)*UP167))</f>
        <v>#DIV/0!</v>
      </c>
      <c r="UW167" s="674" t="e">
        <f>UU167/UR167*UV167*EXP(-LN(2)/10990*($F$96-US167))</f>
        <v>#VALUE!</v>
      </c>
      <c r="UX167" s="599" t="e">
        <f>UW167-AVERAGE(VE102:VE103)</f>
        <v>#VALUE!</v>
      </c>
      <c r="UY167" s="672" t="e">
        <f>ABS(#REF!*UX167*3600)</f>
        <v>#REF!</v>
      </c>
      <c r="UZ167" s="675" t="e">
        <f>ABS($B$34*UX167*3600)</f>
        <v>#VALUE!</v>
      </c>
      <c r="VA167" s="614" t="e">
        <f>UZ167*$C$87</f>
        <v>#VALUE!</v>
      </c>
      <c r="VB167" s="672" t="e">
        <f>UZ167*$F$78</f>
        <v>#VALUE!</v>
      </c>
      <c r="VC167" s="600" t="e">
        <f>UZ167*$F$83</f>
        <v>#VALUE!</v>
      </c>
      <c r="VD167" s="672" t="e">
        <f>UZ167*$F$80</f>
        <v>#VALUE!</v>
      </c>
      <c r="VE167" s="676" t="e">
        <f>UZ167*$F$79</f>
        <v>#VALUE!</v>
      </c>
    </row>
    <row r="168" spans="1:577" x14ac:dyDescent="0.25">
      <c r="A168" s="2219"/>
      <c r="B168" s="668">
        <v>20.399999999999999</v>
      </c>
      <c r="C168" s="673">
        <v>56</v>
      </c>
      <c r="D168" s="673">
        <v>1010</v>
      </c>
      <c r="E168" s="671">
        <v>-1.7720000000000001E-9</v>
      </c>
      <c r="F168" s="673">
        <v>60</v>
      </c>
      <c r="G168" s="663">
        <v>44333</v>
      </c>
      <c r="H168" s="663" t="s">
        <v>1042</v>
      </c>
      <c r="I168" s="671">
        <f>IF(H168="Low",E168*$D$42,IF(H168="Med",E168*$D$43,IF(H168="High",E168*$D$44,"rango cal. out")))</f>
        <v>-1.773772E-9</v>
      </c>
      <c r="J168" s="619">
        <f>((273.2+B168)*$F$33/((273.2+$F$32)*D168))</f>
        <v>0.99778032681316897</v>
      </c>
      <c r="K168" s="674">
        <f>I168/F168*J168*EXP(-LN(2)/10990*($F$96-G168))</f>
        <v>-2.921028776134364E-11</v>
      </c>
      <c r="L168" s="599">
        <f>K168-AVERAGE(S102:S103)</f>
        <v>-2.918647579397214E-11</v>
      </c>
      <c r="M168" s="672" t="e">
        <f>ABS(#REF!*L168*3600)</f>
        <v>#REF!</v>
      </c>
      <c r="N168" s="675">
        <f>ABS($B$34*L168*3600)</f>
        <v>2.6477970840291525E-3</v>
      </c>
      <c r="O168" s="672">
        <f>N168*$C$87</f>
        <v>0.26477970840291526</v>
      </c>
      <c r="P168" s="672">
        <f>N168*$F$78</f>
        <v>3.177356500834983E-3</v>
      </c>
      <c r="Q168" s="600">
        <f>N168*$F$83</f>
        <v>3.2038344716752744E-3</v>
      </c>
      <c r="R168" s="672">
        <f>N168*$F$80</f>
        <v>3.2038344716752744E-3</v>
      </c>
      <c r="S168" s="676">
        <f>N168*$F$79</f>
        <v>3.3097463550364405E-3</v>
      </c>
      <c r="T168" s="677"/>
      <c r="U168" s="669"/>
      <c r="V168" s="670"/>
      <c r="W168" s="671"/>
      <c r="X168" s="678"/>
      <c r="Y168" s="650"/>
      <c r="Z168" s="663"/>
      <c r="AA168" s="671" t="str">
        <f>IF(Z168="Low",W168*$D$42,IF(Z168="Med",W168*$D$43,IF(Z168="High",W168*$D$44,"rango cal. out")))</f>
        <v>rango cal. out</v>
      </c>
      <c r="AB168" s="619" t="e">
        <f>((273.2+T168)*$F$33/((273.2+$F$32)*V168))</f>
        <v>#DIV/0!</v>
      </c>
      <c r="AC168" s="674" t="e">
        <f>AA168/X168*AB168*EXP(-LN(2)/10990*($F$96-Y168))</f>
        <v>#VALUE!</v>
      </c>
      <c r="AD168" s="599" t="e">
        <f>AC168-AVERAGE(#REF!)</f>
        <v>#VALUE!</v>
      </c>
      <c r="AE168" s="672" t="e">
        <f>ABS(#REF!*AD168*3600)</f>
        <v>#REF!</v>
      </c>
      <c r="AF168" s="675" t="e">
        <f>ABS($B$34*AD168*3600)</f>
        <v>#VALUE!</v>
      </c>
      <c r="AG168" s="672" t="e">
        <f>AF168*$C$87</f>
        <v>#VALUE!</v>
      </c>
      <c r="AH168" s="672" t="e">
        <f>AF168*$F$78</f>
        <v>#VALUE!</v>
      </c>
      <c r="AI168" s="600" t="e">
        <f>AF168*$F$83</f>
        <v>#VALUE!</v>
      </c>
      <c r="AJ168" s="672" t="e">
        <f>AF168*$F$80</f>
        <v>#VALUE!</v>
      </c>
      <c r="AK168" s="676" t="e">
        <f>AF168*$F$79</f>
        <v>#VALUE!</v>
      </c>
      <c r="AL168" s="677"/>
      <c r="AM168" s="669"/>
      <c r="AN168" s="670"/>
      <c r="AO168" s="671"/>
      <c r="AP168" s="678"/>
      <c r="AQ168" s="650"/>
      <c r="AR168" s="663"/>
      <c r="AS168" s="671" t="str">
        <f>IF(AR168="Low",AO168*$D$42,IF(AR168="Med",AO168*$D$43,IF(AR168="High",AO168*$D$44,"rango cal. out")))</f>
        <v>rango cal. out</v>
      </c>
      <c r="AT168" s="619" t="e">
        <f>((273.2+AL168)*$F$33/((273.2+$F$32)*AN168))</f>
        <v>#DIV/0!</v>
      </c>
      <c r="AU168" s="674" t="e">
        <f>AS168/AP168*AT168*EXP(-LN(2)/10990*($F$96-AQ168))</f>
        <v>#VALUE!</v>
      </c>
      <c r="AV168" s="599" t="e">
        <f>AU168-AVERAGE(BC102:BC103)</f>
        <v>#VALUE!</v>
      </c>
      <c r="AW168" s="672" t="e">
        <f>ABS(#REF!*AV168*3600)</f>
        <v>#REF!</v>
      </c>
      <c r="AX168" s="675" t="e">
        <f>ABS($B$34*AV168*3600)</f>
        <v>#VALUE!</v>
      </c>
      <c r="AY168" s="672" t="e">
        <f>AX168*$C$87</f>
        <v>#VALUE!</v>
      </c>
      <c r="AZ168" s="672" t="e">
        <f>AX168*$F$78</f>
        <v>#VALUE!</v>
      </c>
      <c r="BA168" s="600" t="e">
        <f>AX168*$F$83</f>
        <v>#VALUE!</v>
      </c>
      <c r="BB168" s="672" t="e">
        <f>AX168*$F$80</f>
        <v>#VALUE!</v>
      </c>
      <c r="BC168" s="676" t="e">
        <f>AX168*$F$79</f>
        <v>#VALUE!</v>
      </c>
      <c r="BD168" s="668"/>
      <c r="BE168" s="669"/>
      <c r="BF168" s="670"/>
      <c r="BG168" s="671"/>
      <c r="BH168" s="678"/>
      <c r="BI168" s="663">
        <v>44333</v>
      </c>
      <c r="BJ168" s="663"/>
      <c r="BK168" s="671" t="str">
        <f>IF(BJ168="Low",BG168*$D$42,IF(BJ168="Med",BG168*$D$43,IF(BJ168="High",BG168*$D$44,"rango cal. out")))</f>
        <v>rango cal. out</v>
      </c>
      <c r="BL168" s="619" t="e">
        <f>((273.2+BD168)*$F$33/((273.2+$F$32)*BF168))</f>
        <v>#DIV/0!</v>
      </c>
      <c r="BM168" s="674" t="e">
        <f>BK168/BH168*BL168*EXP(-LN(2)/10990*($F$96-BI168))</f>
        <v>#VALUE!</v>
      </c>
      <c r="BN168" s="599" t="e">
        <f>BM168-AVERAGE(BU102:BU103)</f>
        <v>#VALUE!</v>
      </c>
      <c r="BO168" s="672" t="e">
        <f>ABS(#REF!*BN168*3600)</f>
        <v>#REF!</v>
      </c>
      <c r="BP168" s="675" t="e">
        <f>ABS($B$34*BN168*3600)</f>
        <v>#VALUE!</v>
      </c>
      <c r="BQ168" s="672" t="e">
        <f>BP168*$C$87</f>
        <v>#VALUE!</v>
      </c>
      <c r="BR168" s="672" t="e">
        <f>BP168*$F$78</f>
        <v>#VALUE!</v>
      </c>
      <c r="BS168" s="600" t="e">
        <f>BP168*$F$83</f>
        <v>#VALUE!</v>
      </c>
      <c r="BT168" s="672" t="e">
        <f>BP168*$F$80</f>
        <v>#VALUE!</v>
      </c>
      <c r="BU168" s="676" t="e">
        <f>BP168*$F$79</f>
        <v>#VALUE!</v>
      </c>
      <c r="BV168" s="668"/>
      <c r="BW168" s="669"/>
      <c r="BX168" s="670"/>
      <c r="BY168" s="671"/>
      <c r="BZ168" s="678"/>
      <c r="CA168" s="663">
        <v>44333</v>
      </c>
      <c r="CB168" s="663"/>
      <c r="CC168" s="671" t="str">
        <f>IF(CB168="Low",BY168*$D$42,IF(CB168="Med",BY168*$D$43,IF(CB168="High",BY168*$D$44,"rango cal. out")))</f>
        <v>rango cal. out</v>
      </c>
      <c r="CD168" s="619" t="e">
        <f>((273.2+BV168)*$F$33/((273.2+$F$32)*BX168))</f>
        <v>#DIV/0!</v>
      </c>
      <c r="CE168" s="674" t="e">
        <f>CC168/BZ168*CD168*EXP(-LN(2)/10990*($F$96-CA168))</f>
        <v>#VALUE!</v>
      </c>
      <c r="CF168" s="599" t="e">
        <f>CE168-AVERAGE(CM102:CM103)</f>
        <v>#VALUE!</v>
      </c>
      <c r="CG168" s="672" t="e">
        <f>ABS(#REF!*CF168*3600)</f>
        <v>#REF!</v>
      </c>
      <c r="CH168" s="675" t="e">
        <f>ABS($B$34*CF168*3600)</f>
        <v>#VALUE!</v>
      </c>
      <c r="CI168" s="672" t="e">
        <f>CH168*$C$87</f>
        <v>#VALUE!</v>
      </c>
      <c r="CJ168" s="672" t="e">
        <f>CH168*$F$78</f>
        <v>#VALUE!</v>
      </c>
      <c r="CK168" s="600" t="e">
        <f>CH168*$F$83</f>
        <v>#VALUE!</v>
      </c>
      <c r="CL168" s="672" t="e">
        <f>CH168*$F$80</f>
        <v>#VALUE!</v>
      </c>
      <c r="CM168" s="676" t="e">
        <f>CH168*$F$79</f>
        <v>#VALUE!</v>
      </c>
      <c r="CN168" s="668"/>
      <c r="CO168" s="669"/>
      <c r="CP168" s="670"/>
      <c r="CQ168" s="671"/>
      <c r="CR168" s="678"/>
      <c r="CS168" s="663">
        <v>44333</v>
      </c>
      <c r="CT168" s="663"/>
      <c r="CU168" s="671" t="str">
        <f>IF(CT168="Low",CQ168*$D$42,IF(CT168="Med",CQ168*$D$43,IF(CT168="High",CQ168*$D$44,"rango cal. out")))</f>
        <v>rango cal. out</v>
      </c>
      <c r="CV168" s="619" t="e">
        <f>((273.2+CN168)*$F$33/((273.2+$F$32)*CP168))</f>
        <v>#DIV/0!</v>
      </c>
      <c r="CW168" s="674" t="e">
        <f>CU168/CR168*CV168*EXP(-LN(2)/10990*($F$96-CS168))</f>
        <v>#VALUE!</v>
      </c>
      <c r="CX168" s="599" t="e">
        <f>CW168-AVERAGE(DE102:DE103)</f>
        <v>#VALUE!</v>
      </c>
      <c r="CY168" s="672" t="e">
        <f>ABS(#REF!*CX168*3600)</f>
        <v>#REF!</v>
      </c>
      <c r="CZ168" s="675" t="e">
        <f>ABS($B$34*CX168*3600)</f>
        <v>#VALUE!</v>
      </c>
      <c r="DA168" s="672" t="e">
        <f>CZ168*$C$87</f>
        <v>#VALUE!</v>
      </c>
      <c r="DB168" s="672" t="e">
        <f>CZ168*$F$78</f>
        <v>#VALUE!</v>
      </c>
      <c r="DC168" s="600" t="e">
        <f>CZ168*$F$83</f>
        <v>#VALUE!</v>
      </c>
      <c r="DD168" s="672" t="e">
        <f>CZ168*$F$80</f>
        <v>#VALUE!</v>
      </c>
      <c r="DE168" s="676" t="e">
        <f>CZ168*$F$79</f>
        <v>#VALUE!</v>
      </c>
      <c r="DF168" s="668"/>
      <c r="DG168" s="669"/>
      <c r="DH168" s="670"/>
      <c r="DI168" s="671"/>
      <c r="DJ168" s="678"/>
      <c r="DK168" s="650"/>
      <c r="DL168" s="663"/>
      <c r="DM168" s="671" t="str">
        <f>IF(DL168="Low",DI168*$D$42,IF(DL168="Med",DI168*$D$43,IF(DL168="High",DI168*$D$44,"rango cal. out")))</f>
        <v>rango cal. out</v>
      </c>
      <c r="DN168" s="619" t="e">
        <f>((273.2+DF168)*$F$33/((273.2+$F$32)*DH168))</f>
        <v>#DIV/0!</v>
      </c>
      <c r="DO168" s="674" t="e">
        <f>DM168/DJ168*DN168*EXP(-LN(2)/10990*($F$96-DK168))</f>
        <v>#VALUE!</v>
      </c>
      <c r="DP168" s="599" t="e">
        <f>DO168-AVERAGE(DW102:DW103)</f>
        <v>#VALUE!</v>
      </c>
      <c r="DQ168" s="672" t="e">
        <f>ABS(#REF!*DP168*3600)</f>
        <v>#REF!</v>
      </c>
      <c r="DR168" s="675" t="e">
        <f>ABS($B$34*DP168*3600)</f>
        <v>#VALUE!</v>
      </c>
      <c r="DS168" s="672" t="e">
        <f>DR168*$C$87</f>
        <v>#VALUE!</v>
      </c>
      <c r="DT168" s="672" t="e">
        <f>DR168*$F$78</f>
        <v>#VALUE!</v>
      </c>
      <c r="DU168" s="600" t="e">
        <f>DR168*$F$83</f>
        <v>#VALUE!</v>
      </c>
      <c r="DV168" s="672" t="e">
        <f>DR168*$F$80</f>
        <v>#VALUE!</v>
      </c>
      <c r="DW168" s="676" t="e">
        <f>DR168*$F$79</f>
        <v>#VALUE!</v>
      </c>
      <c r="DX168" s="668"/>
      <c r="DY168" s="669"/>
      <c r="DZ168" s="677"/>
      <c r="EA168" s="679"/>
      <c r="EB168" s="678"/>
      <c r="EC168" s="650"/>
      <c r="ED168" s="663"/>
      <c r="EE168" s="671" t="str">
        <f>IF(ED168="Low",EA168*$D$42,IF(ED168="Med",EA168*$D$43,IF(ED168="High",EA168*$D$44,"rango cal. out")))</f>
        <v>rango cal. out</v>
      </c>
      <c r="EF168" s="619" t="e">
        <f>((273.2+DX168)*$F$33/((273.2+$F$32)*DZ168))</f>
        <v>#DIV/0!</v>
      </c>
      <c r="EG168" s="674" t="e">
        <f>EE168/EB168*EF168*EXP(-LN(2)/10990*($F$96-EC168))</f>
        <v>#VALUE!</v>
      </c>
      <c r="EH168" s="599" t="e">
        <f>EG168-AVERAGE(EO102:EO103)</f>
        <v>#VALUE!</v>
      </c>
      <c r="EI168" s="672" t="e">
        <f>ABS(#REF!*EH168*3600)</f>
        <v>#REF!</v>
      </c>
      <c r="EJ168" s="675" t="e">
        <f>ABS($B$34*EH168*3600)</f>
        <v>#VALUE!</v>
      </c>
      <c r="EK168" s="672" t="e">
        <f>EJ168*$C$87</f>
        <v>#VALUE!</v>
      </c>
      <c r="EL168" s="672" t="e">
        <f>EJ168*$F$78</f>
        <v>#VALUE!</v>
      </c>
      <c r="EM168" s="600" t="e">
        <f>EJ168*$F$83</f>
        <v>#VALUE!</v>
      </c>
      <c r="EN168" s="672" t="e">
        <f>EJ168*$F$80</f>
        <v>#VALUE!</v>
      </c>
      <c r="EO168" s="676" t="e">
        <f>EJ168*$F$79</f>
        <v>#VALUE!</v>
      </c>
      <c r="EP168" s="668"/>
      <c r="EQ168" s="669"/>
      <c r="ER168" s="670"/>
      <c r="ES168" s="671"/>
      <c r="ET168" s="678"/>
      <c r="EU168" s="663">
        <v>44333</v>
      </c>
      <c r="EV168" s="663"/>
      <c r="EW168" s="671" t="str">
        <f>IF(EV168="Low",ES168*$D$42,IF(EV168="Med",ES168*$D$43,IF(EV168="High",ES168*$D$44,"rango cal. out")))</f>
        <v>rango cal. out</v>
      </c>
      <c r="EX168" s="619" t="e">
        <f>((273.2+EP168)*$F$33/((273.2+$F$32)*ER168))</f>
        <v>#DIV/0!</v>
      </c>
      <c r="EY168" s="674" t="e">
        <f>EW168/ET168*EX168*EXP(-LN(2)/10990*($F$96-EU168))</f>
        <v>#VALUE!</v>
      </c>
      <c r="EZ168" s="599" t="e">
        <f>EY168-AVERAGE(FG102:FG103)</f>
        <v>#VALUE!</v>
      </c>
      <c r="FA168" s="672" t="e">
        <f>ABS(#REF!*EZ168*3600)</f>
        <v>#REF!</v>
      </c>
      <c r="FB168" s="675" t="e">
        <f>ABS($B$34*EZ168*3600)</f>
        <v>#VALUE!</v>
      </c>
      <c r="FC168" s="672" t="e">
        <f>FB168*$C$87</f>
        <v>#VALUE!</v>
      </c>
      <c r="FD168" s="672" t="e">
        <f>FB168*$F$78</f>
        <v>#VALUE!</v>
      </c>
      <c r="FE168" s="600" t="e">
        <f>FB168*$F$83</f>
        <v>#VALUE!</v>
      </c>
      <c r="FF168" s="672" t="e">
        <f>FB168*$F$80</f>
        <v>#VALUE!</v>
      </c>
      <c r="FG168" s="676" t="e">
        <f>FB168*$F$79</f>
        <v>#VALUE!</v>
      </c>
      <c r="FH168" s="668"/>
      <c r="FI168" s="669"/>
      <c r="FJ168" s="670"/>
      <c r="FK168" s="671"/>
      <c r="FL168" s="678"/>
      <c r="FM168" s="650"/>
      <c r="FN168" s="663"/>
      <c r="FO168" s="671" t="str">
        <f>IF(FN168="Low",FK168*$D$42,IF(FN168="Med",FK168*$D$43,IF(FN168="High",FK168*$D$44,"rango cal. out")))</f>
        <v>rango cal. out</v>
      </c>
      <c r="FP168" s="619" t="e">
        <f>((273.2+FH168)*$F$33/((273.2+$F$32)*FJ168))</f>
        <v>#DIV/0!</v>
      </c>
      <c r="FQ168" s="674" t="e">
        <f>FO168/FL168*FP168*EXP(-LN(2)/10990*($F$96-FM168))</f>
        <v>#VALUE!</v>
      </c>
      <c r="FR168" s="599" t="e">
        <f>FQ168-AVERAGE(FY102:FY103)</f>
        <v>#VALUE!</v>
      </c>
      <c r="FS168" s="672" t="e">
        <f>ABS(#REF!*FR168*3600)</f>
        <v>#REF!</v>
      </c>
      <c r="FT168" s="675" t="e">
        <f>ABS($B$34*FR168*3600)</f>
        <v>#VALUE!</v>
      </c>
      <c r="FU168" s="672" t="e">
        <f>FT168*$C$87</f>
        <v>#VALUE!</v>
      </c>
      <c r="FV168" s="672" t="e">
        <f>FT168*$F$78</f>
        <v>#VALUE!</v>
      </c>
      <c r="FW168" s="600" t="e">
        <f>FT168*$F$83</f>
        <v>#VALUE!</v>
      </c>
      <c r="FX168" s="672" t="e">
        <f>FT168*$F$80</f>
        <v>#VALUE!</v>
      </c>
      <c r="FY168" s="676" t="e">
        <f>FT168*$F$79</f>
        <v>#VALUE!</v>
      </c>
      <c r="FZ168" s="668"/>
      <c r="GA168" s="669"/>
      <c r="GB168" s="670"/>
      <c r="GC168" s="671"/>
      <c r="GD168" s="678"/>
      <c r="GE168" s="650"/>
      <c r="GF168" s="663"/>
      <c r="GG168" s="671" t="str">
        <f>IF(GF168="Low",GC168*$D$42,IF(GF168="Med",GC168*$D$43,IF(GF168="High",GC168*$D$44,"rango cal. out")))</f>
        <v>rango cal. out</v>
      </c>
      <c r="GH168" s="619" t="e">
        <f>((273.2+FZ168)*$F$33/((273.2+$F$32)*GB168))</f>
        <v>#DIV/0!</v>
      </c>
      <c r="GI168" s="674" t="e">
        <f>GG168/GD168*GH168*EXP(-LN(2)/10990*($F$96-GE168))</f>
        <v>#VALUE!</v>
      </c>
      <c r="GJ168" s="599" t="e">
        <f>GI168-AVERAGE(GQ102:GQ103)</f>
        <v>#VALUE!</v>
      </c>
      <c r="GK168" s="672" t="e">
        <f>ABS(#REF!*GJ168*3600)</f>
        <v>#REF!</v>
      </c>
      <c r="GL168" s="675" t="e">
        <f>ABS($B$34*GJ168*3600)</f>
        <v>#VALUE!</v>
      </c>
      <c r="GM168" s="672" t="e">
        <f>GL168*$C$87</f>
        <v>#VALUE!</v>
      </c>
      <c r="GN168" s="672" t="e">
        <f>GL168*$F$78</f>
        <v>#VALUE!</v>
      </c>
      <c r="GO168" s="600" t="e">
        <f>GL168*$F$83</f>
        <v>#VALUE!</v>
      </c>
      <c r="GP168" s="672" t="e">
        <f>GL168*$F$80</f>
        <v>#VALUE!</v>
      </c>
      <c r="GQ168" s="676" t="e">
        <f>GL168*$F$79</f>
        <v>#VALUE!</v>
      </c>
      <c r="GR168" s="668"/>
      <c r="GS168" s="669"/>
      <c r="GT168" s="677"/>
      <c r="GU168" s="679"/>
      <c r="GV168" s="678"/>
      <c r="GW168" s="650"/>
      <c r="GX168" s="663"/>
      <c r="GY168" s="671" t="str">
        <f>IF(GX168="Low",GU168*$D$42,IF(GX168="Med",GU168*$D$43,IF(GX168="High",GU168*$D$44,"rango cal. out")))</f>
        <v>rango cal. out</v>
      </c>
      <c r="GZ168" s="619" t="e">
        <f>((273.2+GR168)*$F$33/((273.2+$F$32)*GT168))</f>
        <v>#DIV/0!</v>
      </c>
      <c r="HA168" s="674" t="e">
        <f>GY168/GV168*GZ168*EXP(-LN(2)/10990*($F$96-GW168))</f>
        <v>#VALUE!</v>
      </c>
      <c r="HB168" s="599" t="e">
        <f>HA168-AVERAGE(HI102:HI103)</f>
        <v>#VALUE!</v>
      </c>
      <c r="HC168" s="672" t="e">
        <f>ABS(#REF!*HB168*3600)</f>
        <v>#REF!</v>
      </c>
      <c r="HD168" s="675" t="e">
        <f>ABS($B$34*HB168*3600)</f>
        <v>#VALUE!</v>
      </c>
      <c r="HE168" s="672" t="e">
        <f>HD168*$C$87</f>
        <v>#VALUE!</v>
      </c>
      <c r="HF168" s="672" t="e">
        <f>HD168*$F$78</f>
        <v>#VALUE!</v>
      </c>
      <c r="HG168" s="600" t="e">
        <f>HD168*$F$83</f>
        <v>#VALUE!</v>
      </c>
      <c r="HH168" s="672" t="e">
        <f>HD168*$F$80</f>
        <v>#VALUE!</v>
      </c>
      <c r="HI168" s="676" t="e">
        <f>HD168*$F$79</f>
        <v>#VALUE!</v>
      </c>
      <c r="HJ168" s="668"/>
      <c r="HK168" s="669"/>
      <c r="HL168" s="670"/>
      <c r="HM168" s="671"/>
      <c r="HN168" s="678"/>
      <c r="HO168" s="650"/>
      <c r="HP168" s="663"/>
      <c r="HQ168" s="671" t="str">
        <f>IF(HP168="Low",HM168*$D$42,IF(HP168="Med",HM168*$D$43,IF(HP168="High",HM168*$D$44,"rango cal. out")))</f>
        <v>rango cal. out</v>
      </c>
      <c r="HR168" s="619" t="e">
        <f>((273.2+HJ168)*$F$33/((273.2+$F$32)*HL168))</f>
        <v>#DIV/0!</v>
      </c>
      <c r="HS168" s="674" t="e">
        <f>HQ168/HN168*HR168*EXP(-LN(2)/10990*($F$96-HO168))</f>
        <v>#VALUE!</v>
      </c>
      <c r="HT168" s="599" t="e">
        <f>HS168-AVERAGE(IA102:IA103)</f>
        <v>#VALUE!</v>
      </c>
      <c r="HU168" s="672" t="e">
        <f>ABS(#REF!*HT168*3600)</f>
        <v>#REF!</v>
      </c>
      <c r="HV168" s="675" t="e">
        <f>ABS($B$34*HT168*3600)</f>
        <v>#VALUE!</v>
      </c>
      <c r="HW168" s="672" t="e">
        <f>HV168*$C$87</f>
        <v>#VALUE!</v>
      </c>
      <c r="HX168" s="672" t="e">
        <f>HV168*$F$78</f>
        <v>#VALUE!</v>
      </c>
      <c r="HY168" s="600" t="e">
        <f>HV168*$F$83</f>
        <v>#VALUE!</v>
      </c>
      <c r="HZ168" s="672" t="e">
        <f>HV168*$F$80</f>
        <v>#VALUE!</v>
      </c>
      <c r="IA168" s="676" t="e">
        <f>HV168*$F$79</f>
        <v>#VALUE!</v>
      </c>
      <c r="IB168" s="668"/>
      <c r="IC168" s="669"/>
      <c r="ID168" s="670"/>
      <c r="IE168" s="671"/>
      <c r="IF168" s="678"/>
      <c r="IG168" s="650"/>
      <c r="IH168" s="663"/>
      <c r="II168" s="671" t="str">
        <f>IF(IH168="Low",IE168*$D$42,IF(IH168="Med",IE168*$D$43,IF(IH168="High",IE168*$D$44,"rango cal. out")))</f>
        <v>rango cal. out</v>
      </c>
      <c r="IJ168" s="619" t="e">
        <f>((273.2+IB168)*$F$33/((273.2+$F$32)*ID168))</f>
        <v>#DIV/0!</v>
      </c>
      <c r="IK168" s="674" t="e">
        <f>II168/IF168*IJ168*EXP(-LN(2)/10990*($F$96-IG168))</f>
        <v>#VALUE!</v>
      </c>
      <c r="IL168" s="599" t="e">
        <f>IK168-AVERAGE(IS102:IS103)</f>
        <v>#VALUE!</v>
      </c>
      <c r="IM168" s="672" t="e">
        <f>ABS(#REF!*IL168*3600)</f>
        <v>#REF!</v>
      </c>
      <c r="IN168" s="675" t="e">
        <f>ABS($B$34*IL168*3600)</f>
        <v>#VALUE!</v>
      </c>
      <c r="IO168" s="672" t="e">
        <f>IN168*$C$87</f>
        <v>#VALUE!</v>
      </c>
      <c r="IP168" s="672" t="e">
        <f>IN168*$F$78</f>
        <v>#VALUE!</v>
      </c>
      <c r="IQ168" s="600" t="e">
        <f>IN168*$F$83</f>
        <v>#VALUE!</v>
      </c>
      <c r="IR168" s="672" t="e">
        <f>IN168*$F$80</f>
        <v>#VALUE!</v>
      </c>
      <c r="IS168" s="676" t="e">
        <f>IN168*$F$79</f>
        <v>#VALUE!</v>
      </c>
      <c r="IT168" s="668"/>
      <c r="IU168" s="669"/>
      <c r="IV168" s="670"/>
      <c r="IW168" s="671"/>
      <c r="IX168" s="678"/>
      <c r="IY168" s="650"/>
      <c r="IZ168" s="663"/>
      <c r="JA168" s="671" t="str">
        <f>IF(IZ168="Low",IW168*$D$42,IF(IZ168="Med",IW168*$D$43,IF(IZ168="High",IW168*$D$44,"rango cal. out")))</f>
        <v>rango cal. out</v>
      </c>
      <c r="JB168" s="619" t="e">
        <f>((273.2+IT168)*$F$33/((273.2+$F$32)*IV168))</f>
        <v>#DIV/0!</v>
      </c>
      <c r="JC168" s="674" t="e">
        <f>JA168/IX168*JB168*EXP(-LN(2)/10990*($F$96-IY168))</f>
        <v>#VALUE!</v>
      </c>
      <c r="JD168" s="599" t="e">
        <f>JC168-AVERAGE(JK102:JK103)</f>
        <v>#VALUE!</v>
      </c>
      <c r="JE168" s="672" t="e">
        <f>ABS(#REF!*JD168*3600)</f>
        <v>#REF!</v>
      </c>
      <c r="JF168" s="675" t="e">
        <f>ABS($B$34*JD168*3600)</f>
        <v>#VALUE!</v>
      </c>
      <c r="JG168" s="672" t="e">
        <f>JF168*$C$87</f>
        <v>#VALUE!</v>
      </c>
      <c r="JH168" s="672" t="e">
        <f>JF168*$F$78</f>
        <v>#VALUE!</v>
      </c>
      <c r="JI168" s="600" t="e">
        <f>JF168*$F$83</f>
        <v>#VALUE!</v>
      </c>
      <c r="JJ168" s="672" t="e">
        <f>JF168*$F$80</f>
        <v>#VALUE!</v>
      </c>
      <c r="JK168" s="676" t="e">
        <f>JF168*$F$79</f>
        <v>#VALUE!</v>
      </c>
      <c r="JL168" s="668"/>
      <c r="JM168" s="669"/>
      <c r="JN168" s="670"/>
      <c r="JO168" s="671"/>
      <c r="JP168" s="678"/>
      <c r="JQ168" s="650"/>
      <c r="JR168" s="663"/>
      <c r="JS168" s="671" t="str">
        <f>IF(JR168="Low",JO168*$D$42,IF(JR168="Med",JO168*$D$43,IF(JR168="High",JO168*$D$44,"rango cal. out")))</f>
        <v>rango cal. out</v>
      </c>
      <c r="JT168" s="619" t="e">
        <f>((273.2+JL168)*$F$33/((273.2+$F$32)*JN168))</f>
        <v>#DIV/0!</v>
      </c>
      <c r="JU168" s="674" t="e">
        <f>JS168/JP168*JT168*EXP(-LN(2)/10990*($F$96-JQ168))</f>
        <v>#VALUE!</v>
      </c>
      <c r="JV168" s="599" t="e">
        <f>JU168-AVERAGE(KC102:KC103)</f>
        <v>#VALUE!</v>
      </c>
      <c r="JW168" s="672" t="e">
        <f>ABS(#REF!*JV168*3600)</f>
        <v>#REF!</v>
      </c>
      <c r="JX168" s="675" t="e">
        <f>ABS($B$34*JV168*3600)</f>
        <v>#VALUE!</v>
      </c>
      <c r="JY168" s="672" t="e">
        <f>JX168*$C$87</f>
        <v>#VALUE!</v>
      </c>
      <c r="JZ168" s="672" t="e">
        <f>JX168*$F$78</f>
        <v>#VALUE!</v>
      </c>
      <c r="KA168" s="600" t="e">
        <f>JX168*$F$83</f>
        <v>#VALUE!</v>
      </c>
      <c r="KB168" s="672" t="e">
        <f>JX168*$F$80</f>
        <v>#VALUE!</v>
      </c>
      <c r="KC168" s="676" t="e">
        <f>JX168*$F$79</f>
        <v>#VALUE!</v>
      </c>
      <c r="KD168" s="668"/>
      <c r="KE168" s="669"/>
      <c r="KF168" s="670"/>
      <c r="KG168" s="671"/>
      <c r="KH168" s="678"/>
      <c r="KI168" s="650"/>
      <c r="KJ168" s="663"/>
      <c r="KK168" s="671" t="str">
        <f>IF(KJ168="Low",KG168*$D$42,IF(KJ168="Med",KG168*$D$43,IF(KJ168="High",KG168*$D$44,"rango cal. out")))</f>
        <v>rango cal. out</v>
      </c>
      <c r="KL168" s="619" t="e">
        <f>((273.2+KD168)*$F$33/((273.2+$F$32)*KF168))</f>
        <v>#DIV/0!</v>
      </c>
      <c r="KM168" s="674" t="e">
        <f>KK168/KH168*KL168*EXP(-LN(2)/10990*($F$96-KI168))</f>
        <v>#VALUE!</v>
      </c>
      <c r="KN168" s="599" t="e">
        <f>KM168-AVERAGE(KU102:KU103)</f>
        <v>#VALUE!</v>
      </c>
      <c r="KO168" s="672" t="e">
        <f>ABS(#REF!*KN168*3600)</f>
        <v>#REF!</v>
      </c>
      <c r="KP168" s="675" t="e">
        <f>ABS($B$34*KN168*3600)</f>
        <v>#VALUE!</v>
      </c>
      <c r="KQ168" s="672" t="e">
        <f>KP168*$C$87</f>
        <v>#VALUE!</v>
      </c>
      <c r="KR168" s="672" t="e">
        <f>KP168*$F$78</f>
        <v>#VALUE!</v>
      </c>
      <c r="KS168" s="600" t="e">
        <f>KP168*$F$83</f>
        <v>#VALUE!</v>
      </c>
      <c r="KT168" s="672" t="e">
        <f>KP168*$F$80</f>
        <v>#VALUE!</v>
      </c>
      <c r="KU168" s="676" t="e">
        <f>KP168*$F$79</f>
        <v>#VALUE!</v>
      </c>
      <c r="KV168" s="668"/>
      <c r="KW168" s="669"/>
      <c r="KX168" s="670"/>
      <c r="KY168" s="671"/>
      <c r="KZ168" s="678"/>
      <c r="LA168" s="650"/>
      <c r="LB168" s="663"/>
      <c r="LC168" s="671" t="str">
        <f>IF(LB168="Low",KY168*$D$42,IF(LB168="Med",KY168*$D$43,IF(LB168="High",KY168*$D$44,"rango cal. out")))</f>
        <v>rango cal. out</v>
      </c>
      <c r="LD168" s="619" t="e">
        <f>((273.2+KV168)*$F$33/((273.2+$F$32)*KX168))</f>
        <v>#DIV/0!</v>
      </c>
      <c r="LE168" s="674" t="e">
        <f>LC168/KZ168*LD168*EXP(-LN(2)/10990*($F$96-LA168))</f>
        <v>#VALUE!</v>
      </c>
      <c r="LF168" s="599" t="e">
        <f>LE168-AVERAGE(LM102:LM103)</f>
        <v>#VALUE!</v>
      </c>
      <c r="LG168" s="672" t="e">
        <f>ABS(#REF!*LF168*3600)</f>
        <v>#REF!</v>
      </c>
      <c r="LH168" s="675" t="e">
        <f>ABS($B$34*LF168*3600)</f>
        <v>#VALUE!</v>
      </c>
      <c r="LI168" s="672" t="e">
        <f>LH168*$C$87</f>
        <v>#VALUE!</v>
      </c>
      <c r="LJ168" s="672" t="e">
        <f>LH168*$F$78</f>
        <v>#VALUE!</v>
      </c>
      <c r="LK168" s="600" t="e">
        <f>LH168*$F$83</f>
        <v>#VALUE!</v>
      </c>
      <c r="LL168" s="672" t="e">
        <f>LH168*$F$80</f>
        <v>#VALUE!</v>
      </c>
      <c r="LM168" s="676" t="e">
        <f>LH168*$F$79</f>
        <v>#VALUE!</v>
      </c>
      <c r="LN168" s="668"/>
      <c r="LO168" s="669"/>
      <c r="LP168" s="670"/>
      <c r="LQ168" s="671"/>
      <c r="LR168" s="678"/>
      <c r="LS168" s="650"/>
      <c r="LT168" s="663"/>
      <c r="LU168" s="671" t="str">
        <f>IF(LT168="Low",LQ168*$D$42,IF(LT168="Med",LQ168*$D$43,IF(LT168="High",LQ168*$D$44,"rango cal. out")))</f>
        <v>rango cal. out</v>
      </c>
      <c r="LV168" s="619" t="e">
        <f>((273.2+LN168)*$F$33/((273.2+$F$32)*LP168))</f>
        <v>#DIV/0!</v>
      </c>
      <c r="LW168" s="674" t="e">
        <f>LU168/LR168*LV168*EXP(-LN(2)/10990*($F$96-LS168))</f>
        <v>#VALUE!</v>
      </c>
      <c r="LX168" s="599" t="e">
        <f>LW168-AVERAGE(ME102:ME103)</f>
        <v>#VALUE!</v>
      </c>
      <c r="LY168" s="672" t="e">
        <f>ABS(#REF!*LX168*3600)</f>
        <v>#REF!</v>
      </c>
      <c r="LZ168" s="675" t="e">
        <f>ABS($B$34*LX168*3600)</f>
        <v>#VALUE!</v>
      </c>
      <c r="MA168" s="672" t="e">
        <f>LZ168*$C$87</f>
        <v>#VALUE!</v>
      </c>
      <c r="MB168" s="672" t="e">
        <f>LZ168*$F$78</f>
        <v>#VALUE!</v>
      </c>
      <c r="MC168" s="600" t="e">
        <f>LZ168*$F$83</f>
        <v>#VALUE!</v>
      </c>
      <c r="MD168" s="672" t="e">
        <f>LZ168*$F$80</f>
        <v>#VALUE!</v>
      </c>
      <c r="ME168" s="676" t="e">
        <f>LZ168*$F$79</f>
        <v>#VALUE!</v>
      </c>
      <c r="MF168" s="668"/>
      <c r="MG168" s="669"/>
      <c r="MH168" s="670"/>
      <c r="MI168" s="671"/>
      <c r="MJ168" s="678"/>
      <c r="MK168" s="650"/>
      <c r="ML168" s="663"/>
      <c r="MM168" s="671" t="str">
        <f>IF(ML168="Low",MI168*$D$42,IF(ML168="Med",MI168*$D$43,IF(ML168="High",MI168*$D$44,"rango cal. out")))</f>
        <v>rango cal. out</v>
      </c>
      <c r="MN168" s="619" t="e">
        <f>((273.2+MF168)*$F$33/((273.2+$F$32)*MH168))</f>
        <v>#DIV/0!</v>
      </c>
      <c r="MO168" s="674" t="e">
        <f>MM168/MJ168*MN168*EXP(-LN(2)/10990*($F$96-MK168))</f>
        <v>#VALUE!</v>
      </c>
      <c r="MP168" s="599" t="e">
        <f>MO168-AVERAGE(MW102:MW103)</f>
        <v>#VALUE!</v>
      </c>
      <c r="MQ168" s="672" t="e">
        <f>ABS(#REF!*MP168*3600)</f>
        <v>#REF!</v>
      </c>
      <c r="MR168" s="675" t="e">
        <f>ABS($B$34*MP168*3600)</f>
        <v>#VALUE!</v>
      </c>
      <c r="MS168" s="672" t="e">
        <f>MR168*$C$87</f>
        <v>#VALUE!</v>
      </c>
      <c r="MT168" s="672" t="e">
        <f>MR168*$F$78</f>
        <v>#VALUE!</v>
      </c>
      <c r="MU168" s="600" t="e">
        <f>MR168*$F$83</f>
        <v>#VALUE!</v>
      </c>
      <c r="MV168" s="672" t="e">
        <f>MR168*$F$80</f>
        <v>#VALUE!</v>
      </c>
      <c r="MW168" s="676" t="e">
        <f>MR168*$F$79</f>
        <v>#VALUE!</v>
      </c>
      <c r="MX168" s="668"/>
      <c r="MY168" s="669"/>
      <c r="MZ168" s="670"/>
      <c r="NA168" s="671"/>
      <c r="NB168" s="678"/>
      <c r="NC168" s="650"/>
      <c r="ND168" s="663"/>
      <c r="NE168" s="671" t="str">
        <f>IF(ND168="Low",NA168*$D$42,IF(ND168="Med",NA168*$D$43,IF(ND168="High",NA168*$D$44,"rango cal. out")))</f>
        <v>rango cal. out</v>
      </c>
      <c r="NF168" s="619" t="e">
        <f>((273.2+MX168)*$F$33/((273.2+$F$32)*MZ168))</f>
        <v>#DIV/0!</v>
      </c>
      <c r="NG168" s="674" t="e">
        <f>NE168/NB168*NF168*EXP(-LN(2)/10990*($F$96-NC168))</f>
        <v>#VALUE!</v>
      </c>
      <c r="NH168" s="599" t="e">
        <f>NG168-AVERAGE(NO102:NO103)</f>
        <v>#VALUE!</v>
      </c>
      <c r="NI168" s="672" t="e">
        <f>ABS(#REF!*NH168*3600)</f>
        <v>#REF!</v>
      </c>
      <c r="NJ168" s="675" t="e">
        <f>ABS($B$34*NH168*3600)</f>
        <v>#VALUE!</v>
      </c>
      <c r="NK168" s="672" t="e">
        <f>NJ168*$C$87</f>
        <v>#VALUE!</v>
      </c>
      <c r="NL168" s="672" t="e">
        <f>NJ168*$F$78</f>
        <v>#VALUE!</v>
      </c>
      <c r="NM168" s="600" t="e">
        <f>NJ168*$F$83</f>
        <v>#VALUE!</v>
      </c>
      <c r="NN168" s="672" t="e">
        <f>NJ168*$F$80</f>
        <v>#VALUE!</v>
      </c>
      <c r="NO168" s="676" t="e">
        <f>NJ168*$F$79</f>
        <v>#VALUE!</v>
      </c>
      <c r="NP168" s="668"/>
      <c r="NQ168" s="669"/>
      <c r="NR168" s="670"/>
      <c r="NS168" s="671"/>
      <c r="NT168" s="678"/>
      <c r="NU168" s="650"/>
      <c r="NV168" s="663"/>
      <c r="NW168" s="671" t="str">
        <f>IF(NV168="Low",NS168*$D$42,IF(NV168="Med",NS168*$D$43,IF(NV168="High",NS168*$D$44,"rango cal. out")))</f>
        <v>rango cal. out</v>
      </c>
      <c r="NX168" s="619" t="e">
        <f>((273.2+NP168)*$F$33/((273.2+$F$32)*NR168))</f>
        <v>#DIV/0!</v>
      </c>
      <c r="NY168" s="674" t="e">
        <f>NW168/NT168*NX168*EXP(-LN(2)/10990*($F$96-NU168))</f>
        <v>#VALUE!</v>
      </c>
      <c r="NZ168" s="599" t="e">
        <f>NY168-AVERAGE(OG102:OG103)</f>
        <v>#VALUE!</v>
      </c>
      <c r="OA168" s="672" t="e">
        <f>ABS(#REF!*NZ168*3600)</f>
        <v>#REF!</v>
      </c>
      <c r="OB168" s="675" t="e">
        <f>ABS($B$34*NZ168*3600)</f>
        <v>#VALUE!</v>
      </c>
      <c r="OC168" s="672" t="e">
        <f>OB168*$C$87</f>
        <v>#VALUE!</v>
      </c>
      <c r="OD168" s="672" t="e">
        <f>OB168*$F$78</f>
        <v>#VALUE!</v>
      </c>
      <c r="OE168" s="600" t="e">
        <f>OB168*$F$83</f>
        <v>#VALUE!</v>
      </c>
      <c r="OF168" s="672" t="e">
        <f>OB168*$F$80</f>
        <v>#VALUE!</v>
      </c>
      <c r="OG168" s="676" t="e">
        <f>OB168*$F$79</f>
        <v>#VALUE!</v>
      </c>
      <c r="OH168" s="668"/>
      <c r="OI168" s="669"/>
      <c r="OJ168" s="670"/>
      <c r="OK168" s="671"/>
      <c r="OL168" s="678"/>
      <c r="OM168" s="650"/>
      <c r="ON168" s="663"/>
      <c r="OO168" s="671" t="str">
        <f>IF(ON168="Low",OK168*$D$42,IF(ON168="Med",OK168*$D$43,IF(ON168="High",OK168*$D$44,"rango cal. out")))</f>
        <v>rango cal. out</v>
      </c>
      <c r="OP168" s="619" t="e">
        <f>((273.2+OH168)*$F$33/((273.2+$F$32)*OJ168))</f>
        <v>#DIV/0!</v>
      </c>
      <c r="OQ168" s="674" t="e">
        <f>OO168/OL168*OP168*EXP(-LN(2)/10990*($F$96-OM168))</f>
        <v>#VALUE!</v>
      </c>
      <c r="OR168" s="599" t="e">
        <f>OQ168-AVERAGE(OY102:OY103)</f>
        <v>#VALUE!</v>
      </c>
      <c r="OS168" s="672" t="e">
        <f>ABS(#REF!*OR168*3600)</f>
        <v>#REF!</v>
      </c>
      <c r="OT168" s="675" t="e">
        <f>ABS($B$34*OR168*3600)</f>
        <v>#VALUE!</v>
      </c>
      <c r="OU168" s="672" t="e">
        <f>OT168*$C$87</f>
        <v>#VALUE!</v>
      </c>
      <c r="OV168" s="672" t="e">
        <f>OT168*$F$78</f>
        <v>#VALUE!</v>
      </c>
      <c r="OW168" s="600" t="e">
        <f>OT168*$F$83</f>
        <v>#VALUE!</v>
      </c>
      <c r="OX168" s="672" t="e">
        <f>OT168*$F$80</f>
        <v>#VALUE!</v>
      </c>
      <c r="OY168" s="676" t="e">
        <f>OT168*$F$79</f>
        <v>#VALUE!</v>
      </c>
      <c r="OZ168" s="668"/>
      <c r="PA168" s="669"/>
      <c r="PB168" s="670"/>
      <c r="PC168" s="671"/>
      <c r="PD168" s="678"/>
      <c r="PE168" s="650"/>
      <c r="PF168" s="663"/>
      <c r="PG168" s="671" t="str">
        <f>IF(PF168="Low",PC168*$D$42,IF(PF168="Med",PC168*$D$43,IF(PF168="High",PC168*$D$44,"rango cal. out")))</f>
        <v>rango cal. out</v>
      </c>
      <c r="PH168" s="619" t="e">
        <f>((273.2+OZ168)*$F$33/((273.2+$F$32)*PB168))</f>
        <v>#DIV/0!</v>
      </c>
      <c r="PI168" s="674" t="e">
        <f>PG168/PD168*PH168*EXP(-LN(2)/10990*($F$96-PE168))</f>
        <v>#VALUE!</v>
      </c>
      <c r="PJ168" s="599" t="e">
        <f>PI168-AVERAGE(PQ102:PQ103)</f>
        <v>#VALUE!</v>
      </c>
      <c r="PK168" s="672" t="e">
        <f>ABS(#REF!*PJ168*3600)</f>
        <v>#REF!</v>
      </c>
      <c r="PL168" s="675" t="e">
        <f>ABS($B$34*PJ168*3600)</f>
        <v>#VALUE!</v>
      </c>
      <c r="PM168" s="672" t="e">
        <f>PL168*$C$87</f>
        <v>#VALUE!</v>
      </c>
      <c r="PN168" s="672" t="e">
        <f>PL168*$F$78</f>
        <v>#VALUE!</v>
      </c>
      <c r="PO168" s="600" t="e">
        <f>PL168*$F$83</f>
        <v>#VALUE!</v>
      </c>
      <c r="PP168" s="672" t="e">
        <f>PL168*$F$80</f>
        <v>#VALUE!</v>
      </c>
      <c r="PQ168" s="676" t="e">
        <f>PL168*$F$79</f>
        <v>#VALUE!</v>
      </c>
      <c r="PR168" s="668"/>
      <c r="PS168" s="669"/>
      <c r="PT168" s="670"/>
      <c r="PU168" s="671"/>
      <c r="PV168" s="678"/>
      <c r="PW168" s="650"/>
      <c r="PX168" s="663"/>
      <c r="PY168" s="671" t="str">
        <f>IF(PX168="Low",PU168*$D$42,IF(PX168="Med",PU168*$D$43,IF(PX168="High",PU168*$D$44,"rango cal. out")))</f>
        <v>rango cal. out</v>
      </c>
      <c r="PZ168" s="619" t="e">
        <f>((273.2+PR168)*$F$33/((273.2+$F$32)*PT168))</f>
        <v>#DIV/0!</v>
      </c>
      <c r="QA168" s="674" t="e">
        <f>PY168/PV168*PZ168*EXP(-LN(2)/10990*($F$96-PW168))</f>
        <v>#VALUE!</v>
      </c>
      <c r="QB168" s="599" t="e">
        <f>QA168-AVERAGE(QI102:QI103)</f>
        <v>#VALUE!</v>
      </c>
      <c r="QC168" s="672" t="e">
        <f>ABS(#REF!*QB168*3600)</f>
        <v>#REF!</v>
      </c>
      <c r="QD168" s="675" t="e">
        <f>ABS($B$34*QB168*3600)</f>
        <v>#VALUE!</v>
      </c>
      <c r="QE168" s="672" t="e">
        <f>QD168*$C$87</f>
        <v>#VALUE!</v>
      </c>
      <c r="QF168" s="672" t="e">
        <f>QD168*$F$78</f>
        <v>#VALUE!</v>
      </c>
      <c r="QG168" s="600" t="e">
        <f>QD168*$F$83</f>
        <v>#VALUE!</v>
      </c>
      <c r="QH168" s="672" t="e">
        <f>QD168*$F$80</f>
        <v>#VALUE!</v>
      </c>
      <c r="QI168" s="676" t="e">
        <f>QD168*$F$79</f>
        <v>#VALUE!</v>
      </c>
      <c r="QJ168" s="668"/>
      <c r="QK168" s="669"/>
      <c r="QL168" s="670"/>
      <c r="QM168" s="671"/>
      <c r="QN168" s="678"/>
      <c r="QO168" s="650"/>
      <c r="QP168" s="663"/>
      <c r="QQ168" s="671" t="str">
        <f>IF(QP168="Low",QM168*$D$42,IF(QP168="Med",QM168*$D$43,IF(QP168="High",QM168*$D$44,"rango cal. out")))</f>
        <v>rango cal. out</v>
      </c>
      <c r="QR168" s="619" t="e">
        <f>((273.2+QJ168)*$F$33/((273.2+$F$32)*QL168))</f>
        <v>#DIV/0!</v>
      </c>
      <c r="QS168" s="674" t="e">
        <f>QQ168/QN168*QR168*EXP(-LN(2)/10990*($F$96-QO168))</f>
        <v>#VALUE!</v>
      </c>
      <c r="QT168" s="599" t="e">
        <f>QS168-AVERAGE(RA102:RA103)</f>
        <v>#VALUE!</v>
      </c>
      <c r="QU168" s="672" t="e">
        <f>ABS(#REF!*QT168*3600)</f>
        <v>#REF!</v>
      </c>
      <c r="QV168" s="675" t="e">
        <f>ABS($B$34*QT168*3600)</f>
        <v>#VALUE!</v>
      </c>
      <c r="QW168" s="672" t="e">
        <f>QV168*$C$87</f>
        <v>#VALUE!</v>
      </c>
      <c r="QX168" s="672" t="e">
        <f>QV168*$F$78</f>
        <v>#VALUE!</v>
      </c>
      <c r="QY168" s="600" t="e">
        <f>QV168*$F$83</f>
        <v>#VALUE!</v>
      </c>
      <c r="QZ168" s="672" t="e">
        <f>QV168*$F$80</f>
        <v>#VALUE!</v>
      </c>
      <c r="RA168" s="676" t="e">
        <f>QV168*$F$79</f>
        <v>#VALUE!</v>
      </c>
      <c r="RB168" s="668"/>
      <c r="RC168" s="669"/>
      <c r="RD168" s="670"/>
      <c r="RE168" s="671"/>
      <c r="RF168" s="673">
        <v>100</v>
      </c>
      <c r="RG168" s="650"/>
      <c r="RH168" s="663"/>
      <c r="RI168" s="671" t="str">
        <f>IF(RH168="Low",RE168*$D$42,IF(RH168="Med",RE168*$D$43,IF(RH168="High",RE168*$D$44,"rango cal. out")))</f>
        <v>rango cal. out</v>
      </c>
      <c r="RJ168" s="619" t="e">
        <f>((273.2+RB168)*$F$33/((273.2+$F$32)*RD168))</f>
        <v>#DIV/0!</v>
      </c>
      <c r="RK168" s="674" t="e">
        <f>RI168/RF168*RJ168*EXP(-LN(2)/10990*($F$96-RG168))</f>
        <v>#VALUE!</v>
      </c>
      <c r="RL168" s="599" t="e">
        <f>RK168-AVERAGE(RS102:RS103)</f>
        <v>#VALUE!</v>
      </c>
      <c r="RM168" s="672" t="e">
        <f>ABS(#REF!*RL168*3600)</f>
        <v>#REF!</v>
      </c>
      <c r="RN168" s="675" t="e">
        <f>ABS($B$34*RL168*3600)</f>
        <v>#VALUE!</v>
      </c>
      <c r="RO168" s="672" t="e">
        <f>RN168*$C$87</f>
        <v>#VALUE!</v>
      </c>
      <c r="RP168" s="672" t="e">
        <f>RN168*$F$78</f>
        <v>#VALUE!</v>
      </c>
      <c r="RQ168" s="600" t="e">
        <f>RN168*$F$83</f>
        <v>#VALUE!</v>
      </c>
      <c r="RR168" s="672" t="e">
        <f>RN168*$F$80</f>
        <v>#VALUE!</v>
      </c>
      <c r="RS168" s="676" t="e">
        <f>RN168*$F$79</f>
        <v>#VALUE!</v>
      </c>
      <c r="RT168" s="668"/>
      <c r="RU168" s="669"/>
      <c r="RV168" s="669"/>
      <c r="RW168" s="679"/>
      <c r="RX168" s="673">
        <v>100</v>
      </c>
      <c r="RY168" s="650"/>
      <c r="RZ168" s="663"/>
      <c r="SA168" s="671" t="str">
        <f>IF(RZ168="Low",RW168*$D$42,IF(RZ168="Med",RW168*$D$43,IF(RZ168="High",RW168*$D$44,"rango cal. out")))</f>
        <v>rango cal. out</v>
      </c>
      <c r="SB168" s="619" t="e">
        <f>((273.2+RT168)*$F$33/((273.2+$F$32)*RV168))</f>
        <v>#DIV/0!</v>
      </c>
      <c r="SC168" s="674" t="e">
        <f>SA168/RX168*SB168*EXP(-LN(2)/10990*($F$96-RY168))</f>
        <v>#VALUE!</v>
      </c>
      <c r="SD168" s="599" t="e">
        <f>SC168-AVERAGE(SK102:SK103)</f>
        <v>#VALUE!</v>
      </c>
      <c r="SE168" s="672" t="e">
        <f>ABS(#REF!*SD168*3600)</f>
        <v>#REF!</v>
      </c>
      <c r="SF168" s="675" t="e">
        <f>ABS($B$34*SD168*3600)</f>
        <v>#VALUE!</v>
      </c>
      <c r="SG168" s="672" t="e">
        <f>SF168*$C$87</f>
        <v>#VALUE!</v>
      </c>
      <c r="SH168" s="672" t="e">
        <f>SF168*$F$78</f>
        <v>#VALUE!</v>
      </c>
      <c r="SI168" s="600" t="e">
        <f>SF168*$F$83</f>
        <v>#VALUE!</v>
      </c>
      <c r="SJ168" s="672" t="e">
        <f>SF168*$F$80</f>
        <v>#VALUE!</v>
      </c>
      <c r="SK168" s="676" t="e">
        <f>SF168*$F$79</f>
        <v>#VALUE!</v>
      </c>
      <c r="SL168" s="668"/>
      <c r="SM168" s="669"/>
      <c r="SN168" s="670"/>
      <c r="SO168" s="671"/>
      <c r="SP168" s="678"/>
      <c r="SQ168" s="650"/>
      <c r="SR168" s="663"/>
      <c r="SS168" s="671" t="str">
        <f>IF(SR168="Low",SO168*$D$42,IF(SR168="Med",SO168*$D$43,IF(SR168="High",SO168*$D$44,"rango cal. out")))</f>
        <v>rango cal. out</v>
      </c>
      <c r="ST168" s="619" t="e">
        <f>((273.2+SL168)*$F$33/((273.2+$F$32)*SN168))</f>
        <v>#DIV/0!</v>
      </c>
      <c r="SU168" s="674" t="e">
        <f>SS168/SP168*ST168*EXP(-LN(2)/10990*($F$96-SQ168))</f>
        <v>#VALUE!</v>
      </c>
      <c r="SV168" s="599" t="e">
        <f>SU168-AVERAGE(TC102:TC103)</f>
        <v>#VALUE!</v>
      </c>
      <c r="SW168" s="672" t="e">
        <f>ABS(#REF!*SV168*3600)</f>
        <v>#REF!</v>
      </c>
      <c r="SX168" s="675" t="e">
        <f>ABS($B$34*SV168*3600)</f>
        <v>#VALUE!</v>
      </c>
      <c r="SY168" s="672" t="e">
        <f>SX168*$C$87</f>
        <v>#VALUE!</v>
      </c>
      <c r="SZ168" s="672" t="e">
        <f>SX168*$F$78</f>
        <v>#VALUE!</v>
      </c>
      <c r="TA168" s="600" t="e">
        <f>SX168*$F$83</f>
        <v>#VALUE!</v>
      </c>
      <c r="TB168" s="672" t="e">
        <f>SX168*$F$80</f>
        <v>#VALUE!</v>
      </c>
      <c r="TC168" s="676" t="e">
        <f>SX168*$F$79</f>
        <v>#VALUE!</v>
      </c>
      <c r="TD168" s="668"/>
      <c r="TE168" s="669"/>
      <c r="TF168" s="670"/>
      <c r="TG168" s="671"/>
      <c r="TH168" s="678"/>
      <c r="TI168" s="650"/>
      <c r="TJ168" s="663"/>
      <c r="TK168" s="671" t="str">
        <f>IF(TJ168="Low",TG168*$D$42,IF(TJ168="Med",TG168*$D$43,IF(TJ168="High",TG168*$D$44,"rango cal. out")))</f>
        <v>rango cal. out</v>
      </c>
      <c r="TL168" s="619" t="e">
        <f>((273.2+TD168)*$F$33/((273.2+$F$32)*TF168))</f>
        <v>#DIV/0!</v>
      </c>
      <c r="TM168" s="674" t="e">
        <f>TK168/TH168*TL168*EXP(-LN(2)/10990*($F$96-TI168))</f>
        <v>#VALUE!</v>
      </c>
      <c r="TN168" s="599" t="e">
        <f>TM168-AVERAGE(TU102:TU103)</f>
        <v>#VALUE!</v>
      </c>
      <c r="TO168" s="672" t="e">
        <f>ABS(#REF!*TN168*3600)</f>
        <v>#REF!</v>
      </c>
      <c r="TP168" s="675" t="e">
        <f>ABS($B$34*TN168*3600)</f>
        <v>#VALUE!</v>
      </c>
      <c r="TQ168" s="672" t="e">
        <f>TP168*$C$87</f>
        <v>#VALUE!</v>
      </c>
      <c r="TR168" s="672" t="e">
        <f>TP168*$F$78</f>
        <v>#VALUE!</v>
      </c>
      <c r="TS168" s="600" t="e">
        <f>TP168*$F$83</f>
        <v>#VALUE!</v>
      </c>
      <c r="TT168" s="672" t="e">
        <f>TP168*$F$80</f>
        <v>#VALUE!</v>
      </c>
      <c r="TU168" s="676" t="e">
        <f>TP168*$F$79</f>
        <v>#VALUE!</v>
      </c>
      <c r="TV168" s="668"/>
      <c r="TW168" s="669"/>
      <c r="TX168" s="670"/>
      <c r="TY168" s="671"/>
      <c r="TZ168" s="678"/>
      <c r="UA168" s="650"/>
      <c r="UB168" s="663"/>
      <c r="UC168" s="671" t="str">
        <f>IF(UB168="Low",TY168*$D$42,IF(UB168="Med",TY168*$D$43,IF(UB168="High",TY168*$D$44,"rango cal. out")))</f>
        <v>rango cal. out</v>
      </c>
      <c r="UD168" s="619" t="e">
        <f>((273.2+TV168)*$F$33/((273.2+$F$32)*TX168))</f>
        <v>#DIV/0!</v>
      </c>
      <c r="UE168" s="674" t="e">
        <f>UC168/TZ168*UD168*EXP(-LN(2)/10990*($F$96-UA168))</f>
        <v>#VALUE!</v>
      </c>
      <c r="UF168" s="599" t="e">
        <f>UE168-AVERAGE(UM102:UM103)</f>
        <v>#VALUE!</v>
      </c>
      <c r="UG168" s="672" t="e">
        <f>ABS(#REF!*UF168*3600)</f>
        <v>#REF!</v>
      </c>
      <c r="UH168" s="675" t="e">
        <f>ABS($B$34*UF168*3600)</f>
        <v>#VALUE!</v>
      </c>
      <c r="UI168" s="672" t="e">
        <f>UH168*$C$87</f>
        <v>#VALUE!</v>
      </c>
      <c r="UJ168" s="672" t="e">
        <f>UH168*$F$78</f>
        <v>#VALUE!</v>
      </c>
      <c r="UK168" s="600" t="e">
        <f>UH168*$F$83</f>
        <v>#VALUE!</v>
      </c>
      <c r="UL168" s="672" t="e">
        <f>UH168*$F$80</f>
        <v>#VALUE!</v>
      </c>
      <c r="UM168" s="675" t="e">
        <f>UH168*$F$79</f>
        <v>#VALUE!</v>
      </c>
      <c r="UN168" s="668"/>
      <c r="UO168" s="669"/>
      <c r="UP168" s="670"/>
      <c r="UQ168" s="671"/>
      <c r="UR168" s="678"/>
      <c r="US168" s="650"/>
      <c r="UT168" s="663"/>
      <c r="UU168" s="671" t="str">
        <f>IF(UT168="Low",UQ168*$D$42,IF(UT168="Med",UQ168*$D$43,IF(UT168="High",UQ168*$D$44,"rango cal. out")))</f>
        <v>rango cal. out</v>
      </c>
      <c r="UV168" s="619" t="e">
        <f>((273.2+UN168)*$F$33/((273.2+$F$32)*UP168))</f>
        <v>#DIV/0!</v>
      </c>
      <c r="UW168" s="674" t="e">
        <f>UU168/UR168*UV168*EXP(-LN(2)/10990*($F$96-US168))</f>
        <v>#VALUE!</v>
      </c>
      <c r="UX168" s="599" t="e">
        <f>UW168-AVERAGE(VE102:VE103)</f>
        <v>#VALUE!</v>
      </c>
      <c r="UY168" s="672" t="e">
        <f>ABS(#REF!*UX168*3600)</f>
        <v>#REF!</v>
      </c>
      <c r="UZ168" s="675" t="e">
        <f>ABS($B$34*UX168*3600)</f>
        <v>#VALUE!</v>
      </c>
      <c r="VA168" s="672" t="e">
        <f>UZ168*$C$87</f>
        <v>#VALUE!</v>
      </c>
      <c r="VB168" s="672" t="e">
        <f>UZ168*$F$78</f>
        <v>#VALUE!</v>
      </c>
      <c r="VC168" s="600" t="e">
        <f>UZ168*$F$83</f>
        <v>#VALUE!</v>
      </c>
      <c r="VD168" s="672" t="e">
        <f>UZ168*$F$80</f>
        <v>#VALUE!</v>
      </c>
      <c r="VE168" s="676" t="e">
        <f>UZ168*$F$79</f>
        <v>#VALUE!</v>
      </c>
    </row>
    <row r="169" spans="1:577" x14ac:dyDescent="0.25">
      <c r="A169" s="2219"/>
      <c r="B169" s="668">
        <v>20.100000000000001</v>
      </c>
      <c r="C169" s="673">
        <v>55</v>
      </c>
      <c r="D169" s="673">
        <v>1010</v>
      </c>
      <c r="E169" s="671">
        <v>-1.7720000000000001E-9</v>
      </c>
      <c r="F169" s="673">
        <v>60</v>
      </c>
      <c r="G169" s="663">
        <v>44333</v>
      </c>
      <c r="H169" s="650" t="s">
        <v>1042</v>
      </c>
      <c r="I169" s="671">
        <f>IF(H169="Low",E169*$D$42,IF(H169="Med",E169*$D$43,IF(H169="High",E169*$D$44,"rango cal. out")))</f>
        <v>-1.773772E-9</v>
      </c>
      <c r="J169" s="619">
        <f>((273.2+B169)*$F$33/((273.2+$F$32)*D169))</f>
        <v>0.99676079650648008</v>
      </c>
      <c r="K169" s="674">
        <f>I169/F169*J169*EXP(-LN(2)/10990*($F$96-G169))</f>
        <v>-2.918044073706435E-11</v>
      </c>
      <c r="L169" s="599">
        <f>K169-AVERAGE(S102:S103)</f>
        <v>-2.915662876969285E-11</v>
      </c>
      <c r="M169" s="672" t="e">
        <f>ABS(#REF!*L169*3600)</f>
        <v>#REF!</v>
      </c>
      <c r="N169" s="675">
        <f>ABS($B$34*L169*3600)</f>
        <v>2.6450893619865356E-3</v>
      </c>
      <c r="O169" s="614">
        <f>N169*$C$87</f>
        <v>0.26450893619865357</v>
      </c>
      <c r="P169" s="672">
        <f>N169*$F$78</f>
        <v>3.1741072343838424E-3</v>
      </c>
      <c r="Q169" s="600">
        <f>N169*$F$83</f>
        <v>3.2005581280037079E-3</v>
      </c>
      <c r="R169" s="672">
        <f>N169*$F$80</f>
        <v>3.2005581280037079E-3</v>
      </c>
      <c r="S169" s="676">
        <f>N169*$F$79</f>
        <v>3.3063617024831696E-3</v>
      </c>
      <c r="T169" s="677"/>
      <c r="U169" s="669"/>
      <c r="V169" s="670"/>
      <c r="W169" s="671"/>
      <c r="X169" s="678"/>
      <c r="Y169" s="650"/>
      <c r="Z169" s="650"/>
      <c r="AA169" s="671" t="str">
        <f>IF(Z169="Low",W169*$D$42,IF(Z169="Med",W169*$D$43,IF(Z169="High",W169*$D$44,"rango cal. out")))</f>
        <v>rango cal. out</v>
      </c>
      <c r="AB169" s="619" t="e">
        <f>((273.2+T169)*$F$33/((273.2+$F$32)*V169))</f>
        <v>#DIV/0!</v>
      </c>
      <c r="AC169" s="674" t="e">
        <f>AA169/X169*AB169*EXP(-LN(2)/10990*($F$96-Y169))</f>
        <v>#VALUE!</v>
      </c>
      <c r="AD169" s="599" t="e">
        <f>AC169-AVERAGE(#REF!)</f>
        <v>#VALUE!</v>
      </c>
      <c r="AE169" s="672" t="e">
        <f>ABS(#REF!*AD169*3600)</f>
        <v>#REF!</v>
      </c>
      <c r="AF169" s="675" t="e">
        <f>ABS($B$34*AD169*3600)</f>
        <v>#VALUE!</v>
      </c>
      <c r="AG169" s="614" t="e">
        <f>AF169*$C$87</f>
        <v>#VALUE!</v>
      </c>
      <c r="AH169" s="672" t="e">
        <f>AF169*$F$78</f>
        <v>#VALUE!</v>
      </c>
      <c r="AI169" s="600" t="e">
        <f>AF169*$F$83</f>
        <v>#VALUE!</v>
      </c>
      <c r="AJ169" s="672" t="e">
        <f>AF169*$F$80</f>
        <v>#VALUE!</v>
      </c>
      <c r="AK169" s="676" t="e">
        <f>AF169*$F$79</f>
        <v>#VALUE!</v>
      </c>
      <c r="AL169" s="677"/>
      <c r="AM169" s="669"/>
      <c r="AN169" s="670"/>
      <c r="AO169" s="671"/>
      <c r="AP169" s="678"/>
      <c r="AQ169" s="650"/>
      <c r="AR169" s="650"/>
      <c r="AS169" s="671" t="str">
        <f>IF(AR169="Low",AO169*$D$42,IF(AR169="Med",AO169*$D$43,IF(AR169="High",AO169*$D$44,"rango cal. out")))</f>
        <v>rango cal. out</v>
      </c>
      <c r="AT169" s="619" t="e">
        <f>((273.2+AL169)*$F$33/((273.2+$F$32)*AN169))</f>
        <v>#DIV/0!</v>
      </c>
      <c r="AU169" s="674" t="e">
        <f>AS169/AP169*AT169*EXP(-LN(2)/10990*($F$96-AQ169))</f>
        <v>#VALUE!</v>
      </c>
      <c r="AV169" s="599" t="e">
        <f>AU169-AVERAGE(BC102:BC103)</f>
        <v>#VALUE!</v>
      </c>
      <c r="AW169" s="672" t="e">
        <f>ABS(#REF!*AV169*3600)</f>
        <v>#REF!</v>
      </c>
      <c r="AX169" s="675" t="e">
        <f>ABS($B$34*AV169*3600)</f>
        <v>#VALUE!</v>
      </c>
      <c r="AY169" s="614" t="e">
        <f>AX169*$C$87</f>
        <v>#VALUE!</v>
      </c>
      <c r="AZ169" s="672" t="e">
        <f>AX169*$F$78</f>
        <v>#VALUE!</v>
      </c>
      <c r="BA169" s="600" t="e">
        <f>AX169*$F$83</f>
        <v>#VALUE!</v>
      </c>
      <c r="BB169" s="672" t="e">
        <f>AX169*$F$80</f>
        <v>#VALUE!</v>
      </c>
      <c r="BC169" s="676" t="e">
        <f>AX169*$F$79</f>
        <v>#VALUE!</v>
      </c>
      <c r="BD169" s="668"/>
      <c r="BE169" s="669"/>
      <c r="BF169" s="670"/>
      <c r="BG169" s="671"/>
      <c r="BH169" s="678"/>
      <c r="BI169" s="663">
        <v>44333</v>
      </c>
      <c r="BJ169" s="650"/>
      <c r="BK169" s="671" t="str">
        <f>IF(BJ169="Low",BG169*$D$42,IF(BJ169="Med",BG169*$D$43,IF(BJ169="High",BG169*$D$44,"rango cal. out")))</f>
        <v>rango cal. out</v>
      </c>
      <c r="BL169" s="619" t="e">
        <f>((273.2+BD169)*$F$33/((273.2+$F$32)*BF169))</f>
        <v>#DIV/0!</v>
      </c>
      <c r="BM169" s="674" t="e">
        <f>BK169/BH169*BL169*EXP(-LN(2)/10990*($F$96-BI169))</f>
        <v>#VALUE!</v>
      </c>
      <c r="BN169" s="599" t="e">
        <f>BM169-AVERAGE(BU102:BU103)</f>
        <v>#VALUE!</v>
      </c>
      <c r="BO169" s="672" t="e">
        <f>ABS(#REF!*BN169*3600)</f>
        <v>#REF!</v>
      </c>
      <c r="BP169" s="675" t="e">
        <f>ABS($B$34*BN169*3600)</f>
        <v>#VALUE!</v>
      </c>
      <c r="BQ169" s="614" t="e">
        <f>BP169*$C$87</f>
        <v>#VALUE!</v>
      </c>
      <c r="BR169" s="672" t="e">
        <f>BP169*$F$78</f>
        <v>#VALUE!</v>
      </c>
      <c r="BS169" s="600" t="e">
        <f>BP169*$F$83</f>
        <v>#VALUE!</v>
      </c>
      <c r="BT169" s="672" t="e">
        <f>BP169*$F$80</f>
        <v>#VALUE!</v>
      </c>
      <c r="BU169" s="676" t="e">
        <f>BP169*$F$79</f>
        <v>#VALUE!</v>
      </c>
      <c r="BV169" s="668"/>
      <c r="BW169" s="669"/>
      <c r="BX169" s="670"/>
      <c r="BY169" s="671"/>
      <c r="BZ169" s="678"/>
      <c r="CA169" s="663">
        <v>44333</v>
      </c>
      <c r="CB169" s="650"/>
      <c r="CC169" s="671" t="str">
        <f>IF(CB169="Low",BY169*$D$42,IF(CB169="Med",BY169*$D$43,IF(CB169="High",BY169*$D$44,"rango cal. out")))</f>
        <v>rango cal. out</v>
      </c>
      <c r="CD169" s="619" t="e">
        <f>((273.2+BV169)*$F$33/((273.2+$F$32)*BX169))</f>
        <v>#DIV/0!</v>
      </c>
      <c r="CE169" s="674" t="e">
        <f>CC169/BZ169*CD169*EXP(-LN(2)/10990*($F$96-CA169))</f>
        <v>#VALUE!</v>
      </c>
      <c r="CF169" s="599" t="e">
        <f>CE169-AVERAGE(CM102:CM103)</f>
        <v>#VALUE!</v>
      </c>
      <c r="CG169" s="672" t="e">
        <f>ABS(#REF!*CF169*3600)</f>
        <v>#REF!</v>
      </c>
      <c r="CH169" s="675" t="e">
        <f>ABS($B$34*CF169*3600)</f>
        <v>#VALUE!</v>
      </c>
      <c r="CI169" s="614" t="e">
        <f>CH169*$C$87</f>
        <v>#VALUE!</v>
      </c>
      <c r="CJ169" s="672" t="e">
        <f>CH169*$F$78</f>
        <v>#VALUE!</v>
      </c>
      <c r="CK169" s="600" t="e">
        <f>CH169*$F$83</f>
        <v>#VALUE!</v>
      </c>
      <c r="CL169" s="672" t="e">
        <f>CH169*$F$80</f>
        <v>#VALUE!</v>
      </c>
      <c r="CM169" s="676" t="e">
        <f>CH169*$F$79</f>
        <v>#VALUE!</v>
      </c>
      <c r="CN169" s="668"/>
      <c r="CO169" s="669"/>
      <c r="CP169" s="670"/>
      <c r="CQ169" s="671"/>
      <c r="CR169" s="678"/>
      <c r="CS169" s="663">
        <v>44333</v>
      </c>
      <c r="CT169" s="650"/>
      <c r="CU169" s="671" t="str">
        <f>IF(CT169="Low",CQ169*$D$42,IF(CT169="Med",CQ169*$D$43,IF(CT169="High",CQ169*$D$44,"rango cal. out")))</f>
        <v>rango cal. out</v>
      </c>
      <c r="CV169" s="619" t="e">
        <f>((273.2+CN169)*$F$33/((273.2+$F$32)*CP169))</f>
        <v>#DIV/0!</v>
      </c>
      <c r="CW169" s="674" t="e">
        <f>CU169/CR169*CV169*EXP(-LN(2)/10990*($F$96-CS169))</f>
        <v>#VALUE!</v>
      </c>
      <c r="CX169" s="599" t="e">
        <f>CW169-AVERAGE(DE102:DE103)</f>
        <v>#VALUE!</v>
      </c>
      <c r="CY169" s="672" t="e">
        <f>ABS(#REF!*CX169*3600)</f>
        <v>#REF!</v>
      </c>
      <c r="CZ169" s="675" t="e">
        <f>ABS($B$34*CX169*3600)</f>
        <v>#VALUE!</v>
      </c>
      <c r="DA169" s="614" t="e">
        <f>CZ169*$C$87</f>
        <v>#VALUE!</v>
      </c>
      <c r="DB169" s="672" t="e">
        <f>CZ169*$F$78</f>
        <v>#VALUE!</v>
      </c>
      <c r="DC169" s="600" t="e">
        <f>CZ169*$F$83</f>
        <v>#VALUE!</v>
      </c>
      <c r="DD169" s="672" t="e">
        <f>CZ169*$F$80</f>
        <v>#VALUE!</v>
      </c>
      <c r="DE169" s="676" t="e">
        <f>CZ169*$F$79</f>
        <v>#VALUE!</v>
      </c>
      <c r="DF169" s="668"/>
      <c r="DG169" s="669"/>
      <c r="DH169" s="670"/>
      <c r="DI169" s="671"/>
      <c r="DJ169" s="678"/>
      <c r="DK169" s="650"/>
      <c r="DL169" s="650"/>
      <c r="DM169" s="671" t="str">
        <f>IF(DL169="Low",DI169*$D$42,IF(DL169="Med",DI169*$D$43,IF(DL169="High",DI169*$D$44,"rango cal. out")))</f>
        <v>rango cal. out</v>
      </c>
      <c r="DN169" s="619" t="e">
        <f>((273.2+DF169)*$F$33/((273.2+$F$32)*DH169))</f>
        <v>#DIV/0!</v>
      </c>
      <c r="DO169" s="674" t="e">
        <f>DM169/DJ169*DN169*EXP(-LN(2)/10990*($F$96-DK169))</f>
        <v>#VALUE!</v>
      </c>
      <c r="DP169" s="599" t="e">
        <f>DO169-AVERAGE(DW102:DW103)</f>
        <v>#VALUE!</v>
      </c>
      <c r="DQ169" s="672" t="e">
        <f>ABS(#REF!*DP169*3600)</f>
        <v>#REF!</v>
      </c>
      <c r="DR169" s="675" t="e">
        <f>ABS($B$34*DP169*3600)</f>
        <v>#VALUE!</v>
      </c>
      <c r="DS169" s="614" t="e">
        <f>DR169*$C$87</f>
        <v>#VALUE!</v>
      </c>
      <c r="DT169" s="672" t="e">
        <f>DR169*$F$78</f>
        <v>#VALUE!</v>
      </c>
      <c r="DU169" s="600" t="e">
        <f>DR169*$F$83</f>
        <v>#VALUE!</v>
      </c>
      <c r="DV169" s="672" t="e">
        <f>DR169*$F$80</f>
        <v>#VALUE!</v>
      </c>
      <c r="DW169" s="676" t="e">
        <f>DR169*$F$79</f>
        <v>#VALUE!</v>
      </c>
      <c r="DX169" s="668"/>
      <c r="DY169" s="669"/>
      <c r="DZ169" s="677"/>
      <c r="EA169" s="679"/>
      <c r="EB169" s="678"/>
      <c r="EC169" s="650"/>
      <c r="ED169" s="650"/>
      <c r="EE169" s="671" t="str">
        <f>IF(ED169="Low",EA169*$D$42,IF(ED169="Med",EA169*$D$43,IF(ED169="High",EA169*$D$44,"rango cal. out")))</f>
        <v>rango cal. out</v>
      </c>
      <c r="EF169" s="619" t="e">
        <f>((273.2+DX169)*$F$33/((273.2+$F$32)*DZ169))</f>
        <v>#DIV/0!</v>
      </c>
      <c r="EG169" s="674" t="e">
        <f>EE169/EB169*EF169*EXP(-LN(2)/10990*($F$96-EC169))</f>
        <v>#VALUE!</v>
      </c>
      <c r="EH169" s="599" t="e">
        <f>EG169-AVERAGE(EO102:EO103)</f>
        <v>#VALUE!</v>
      </c>
      <c r="EI169" s="672" t="e">
        <f>ABS(#REF!*EH169*3600)</f>
        <v>#REF!</v>
      </c>
      <c r="EJ169" s="675" t="e">
        <f>ABS($B$34*EH169*3600)</f>
        <v>#VALUE!</v>
      </c>
      <c r="EK169" s="614" t="e">
        <f>EJ169*$C$87</f>
        <v>#VALUE!</v>
      </c>
      <c r="EL169" s="672" t="e">
        <f>EJ169*$F$78</f>
        <v>#VALUE!</v>
      </c>
      <c r="EM169" s="600" t="e">
        <f>EJ169*$F$83</f>
        <v>#VALUE!</v>
      </c>
      <c r="EN169" s="672" t="e">
        <f>EJ169*$F$80</f>
        <v>#VALUE!</v>
      </c>
      <c r="EO169" s="676" t="e">
        <f>EJ169*$F$79</f>
        <v>#VALUE!</v>
      </c>
      <c r="EP169" s="668"/>
      <c r="EQ169" s="669"/>
      <c r="ER169" s="670"/>
      <c r="ES169" s="671"/>
      <c r="ET169" s="678"/>
      <c r="EU169" s="663">
        <v>44333</v>
      </c>
      <c r="EV169" s="650"/>
      <c r="EW169" s="671" t="str">
        <f>IF(EV169="Low",ES169*$D$42,IF(EV169="Med",ES169*$D$43,IF(EV169="High",ES169*$D$44,"rango cal. out")))</f>
        <v>rango cal. out</v>
      </c>
      <c r="EX169" s="619" t="e">
        <f>((273.2+EP169)*$F$33/((273.2+$F$32)*ER169))</f>
        <v>#DIV/0!</v>
      </c>
      <c r="EY169" s="674" t="e">
        <f>EW169/ET169*EX169*EXP(-LN(2)/10990*($F$96-EU169))</f>
        <v>#VALUE!</v>
      </c>
      <c r="EZ169" s="599" t="e">
        <f>EY169-AVERAGE(FG102:FG103)</f>
        <v>#VALUE!</v>
      </c>
      <c r="FA169" s="672" t="e">
        <f>ABS(#REF!*EZ169*3600)</f>
        <v>#REF!</v>
      </c>
      <c r="FB169" s="675" t="e">
        <f>ABS($B$34*EZ169*3600)</f>
        <v>#VALUE!</v>
      </c>
      <c r="FC169" s="614" t="e">
        <f>FB169*$C$87</f>
        <v>#VALUE!</v>
      </c>
      <c r="FD169" s="672" t="e">
        <f>FB169*$F$78</f>
        <v>#VALUE!</v>
      </c>
      <c r="FE169" s="600" t="e">
        <f>FB169*$F$83</f>
        <v>#VALUE!</v>
      </c>
      <c r="FF169" s="672" t="e">
        <f>FB169*$F$80</f>
        <v>#VALUE!</v>
      </c>
      <c r="FG169" s="676" t="e">
        <f>FB169*$F$79</f>
        <v>#VALUE!</v>
      </c>
      <c r="FH169" s="668"/>
      <c r="FI169" s="669"/>
      <c r="FJ169" s="670"/>
      <c r="FK169" s="671"/>
      <c r="FL169" s="678"/>
      <c r="FM169" s="650"/>
      <c r="FN169" s="650"/>
      <c r="FO169" s="671" t="str">
        <f>IF(FN169="Low",FK169*$D$42,IF(FN169="Med",FK169*$D$43,IF(FN169="High",FK169*$D$44,"rango cal. out")))</f>
        <v>rango cal. out</v>
      </c>
      <c r="FP169" s="619" t="e">
        <f>((273.2+FH169)*$F$33/((273.2+$F$32)*FJ169))</f>
        <v>#DIV/0!</v>
      </c>
      <c r="FQ169" s="674" t="e">
        <f>FO169/FL169*FP169*EXP(-LN(2)/10990*($F$96-FM169))</f>
        <v>#VALUE!</v>
      </c>
      <c r="FR169" s="599" t="e">
        <f>FQ169-AVERAGE(FY102:FY103)</f>
        <v>#VALUE!</v>
      </c>
      <c r="FS169" s="672" t="e">
        <f>ABS(#REF!*FR169*3600)</f>
        <v>#REF!</v>
      </c>
      <c r="FT169" s="675" t="e">
        <f>ABS($B$34*FR169*3600)</f>
        <v>#VALUE!</v>
      </c>
      <c r="FU169" s="614" t="e">
        <f>FT169*$C$87</f>
        <v>#VALUE!</v>
      </c>
      <c r="FV169" s="672" t="e">
        <f>FT169*$F$78</f>
        <v>#VALUE!</v>
      </c>
      <c r="FW169" s="600" t="e">
        <f>FT169*$F$83</f>
        <v>#VALUE!</v>
      </c>
      <c r="FX169" s="672" t="e">
        <f>FT169*$F$80</f>
        <v>#VALUE!</v>
      </c>
      <c r="FY169" s="676" t="e">
        <f>FT169*$F$79</f>
        <v>#VALUE!</v>
      </c>
      <c r="FZ169" s="668"/>
      <c r="GA169" s="669"/>
      <c r="GB169" s="670"/>
      <c r="GC169" s="671"/>
      <c r="GD169" s="678"/>
      <c r="GE169" s="650"/>
      <c r="GF169" s="650"/>
      <c r="GG169" s="671" t="str">
        <f>IF(GF169="Low",GC169*$D$42,IF(GF169="Med",GC169*$D$43,IF(GF169="High",GC169*$D$44,"rango cal. out")))</f>
        <v>rango cal. out</v>
      </c>
      <c r="GH169" s="619" t="e">
        <f>((273.2+FZ169)*$F$33/((273.2+$F$32)*GB169))</f>
        <v>#DIV/0!</v>
      </c>
      <c r="GI169" s="674" t="e">
        <f>GG169/GD169*GH169*EXP(-LN(2)/10990*($F$96-GE169))</f>
        <v>#VALUE!</v>
      </c>
      <c r="GJ169" s="599" t="e">
        <f>GI169-AVERAGE(GQ102:GQ103)</f>
        <v>#VALUE!</v>
      </c>
      <c r="GK169" s="672" t="e">
        <f>ABS(#REF!*GJ169*3600)</f>
        <v>#REF!</v>
      </c>
      <c r="GL169" s="675" t="e">
        <f>ABS($B$34*GJ169*3600)</f>
        <v>#VALUE!</v>
      </c>
      <c r="GM169" s="614" t="e">
        <f>GL169*$C$87</f>
        <v>#VALUE!</v>
      </c>
      <c r="GN169" s="672" t="e">
        <f>GL169*$F$78</f>
        <v>#VALUE!</v>
      </c>
      <c r="GO169" s="600" t="e">
        <f>GL169*$F$83</f>
        <v>#VALUE!</v>
      </c>
      <c r="GP169" s="672" t="e">
        <f>GL169*$F$80</f>
        <v>#VALUE!</v>
      </c>
      <c r="GQ169" s="676" t="e">
        <f>GL169*$F$79</f>
        <v>#VALUE!</v>
      </c>
      <c r="GR169" s="668"/>
      <c r="GS169" s="669"/>
      <c r="GT169" s="677"/>
      <c r="GU169" s="679"/>
      <c r="GV169" s="678"/>
      <c r="GW169" s="650"/>
      <c r="GX169" s="650"/>
      <c r="GY169" s="671" t="str">
        <f>IF(GX169="Low",GU169*$D$42,IF(GX169="Med",GU169*$D$43,IF(GX169="High",GU169*$D$44,"rango cal. out")))</f>
        <v>rango cal. out</v>
      </c>
      <c r="GZ169" s="619" t="e">
        <f>((273.2+GR169)*$F$33/((273.2+$F$32)*GT169))</f>
        <v>#DIV/0!</v>
      </c>
      <c r="HA169" s="674" t="e">
        <f>GY169/GV169*GZ169*EXP(-LN(2)/10990*($F$96-GW169))</f>
        <v>#VALUE!</v>
      </c>
      <c r="HB169" s="599" t="e">
        <f>HA169-AVERAGE(HI102:HI103)</f>
        <v>#VALUE!</v>
      </c>
      <c r="HC169" s="672" t="e">
        <f>ABS(#REF!*HB169*3600)</f>
        <v>#REF!</v>
      </c>
      <c r="HD169" s="675" t="e">
        <f>ABS($B$34*HB169*3600)</f>
        <v>#VALUE!</v>
      </c>
      <c r="HE169" s="614" t="e">
        <f>HD169*$C$87</f>
        <v>#VALUE!</v>
      </c>
      <c r="HF169" s="672" t="e">
        <f>HD169*$F$78</f>
        <v>#VALUE!</v>
      </c>
      <c r="HG169" s="600" t="e">
        <f>HD169*$F$83</f>
        <v>#VALUE!</v>
      </c>
      <c r="HH169" s="672" t="e">
        <f>HD169*$F$80</f>
        <v>#VALUE!</v>
      </c>
      <c r="HI169" s="676" t="e">
        <f>HD169*$F$79</f>
        <v>#VALUE!</v>
      </c>
      <c r="HJ169" s="668"/>
      <c r="HK169" s="669"/>
      <c r="HL169" s="670"/>
      <c r="HM169" s="671"/>
      <c r="HN169" s="678"/>
      <c r="HO169" s="650"/>
      <c r="HP169" s="650"/>
      <c r="HQ169" s="671" t="str">
        <f>IF(HP169="Low",HM169*$D$42,IF(HP169="Med",HM169*$D$43,IF(HP169="High",HM169*$D$44,"rango cal. out")))</f>
        <v>rango cal. out</v>
      </c>
      <c r="HR169" s="619" t="e">
        <f>((273.2+HJ169)*$F$33/((273.2+$F$32)*HL169))</f>
        <v>#DIV/0!</v>
      </c>
      <c r="HS169" s="674" t="e">
        <f>HQ169/HN169*HR169*EXP(-LN(2)/10990*($F$96-HO169))</f>
        <v>#VALUE!</v>
      </c>
      <c r="HT169" s="599" t="e">
        <f>HS169-AVERAGE(IA102:IA103)</f>
        <v>#VALUE!</v>
      </c>
      <c r="HU169" s="672" t="e">
        <f>ABS(#REF!*HT169*3600)</f>
        <v>#REF!</v>
      </c>
      <c r="HV169" s="675" t="e">
        <f>ABS($B$34*HT169*3600)</f>
        <v>#VALUE!</v>
      </c>
      <c r="HW169" s="614" t="e">
        <f>HV169*$C$87</f>
        <v>#VALUE!</v>
      </c>
      <c r="HX169" s="672" t="e">
        <f>HV169*$F$78</f>
        <v>#VALUE!</v>
      </c>
      <c r="HY169" s="600" t="e">
        <f>HV169*$F$83</f>
        <v>#VALUE!</v>
      </c>
      <c r="HZ169" s="672" t="e">
        <f>HV169*$F$80</f>
        <v>#VALUE!</v>
      </c>
      <c r="IA169" s="676" t="e">
        <f>HV169*$F$79</f>
        <v>#VALUE!</v>
      </c>
      <c r="IB169" s="668"/>
      <c r="IC169" s="669"/>
      <c r="ID169" s="670"/>
      <c r="IE169" s="671"/>
      <c r="IF169" s="678"/>
      <c r="IG169" s="650"/>
      <c r="IH169" s="650"/>
      <c r="II169" s="671" t="str">
        <f>IF(IH169="Low",IE169*$D$42,IF(IH169="Med",IE169*$D$43,IF(IH169="High",IE169*$D$44,"rango cal. out")))</f>
        <v>rango cal. out</v>
      </c>
      <c r="IJ169" s="619" t="e">
        <f>((273.2+IB169)*$F$33/((273.2+$F$32)*ID169))</f>
        <v>#DIV/0!</v>
      </c>
      <c r="IK169" s="674" t="e">
        <f>II169/IF169*IJ169*EXP(-LN(2)/10990*($F$96-IG169))</f>
        <v>#VALUE!</v>
      </c>
      <c r="IL169" s="599" t="e">
        <f>IK169-AVERAGE(IS102:IS103)</f>
        <v>#VALUE!</v>
      </c>
      <c r="IM169" s="672" t="e">
        <f>ABS(#REF!*IL169*3600)</f>
        <v>#REF!</v>
      </c>
      <c r="IN169" s="675" t="e">
        <f>ABS($B$34*IL169*3600)</f>
        <v>#VALUE!</v>
      </c>
      <c r="IO169" s="614" t="e">
        <f>IN169*$C$87</f>
        <v>#VALUE!</v>
      </c>
      <c r="IP169" s="672" t="e">
        <f>IN169*$F$78</f>
        <v>#VALUE!</v>
      </c>
      <c r="IQ169" s="600" t="e">
        <f>IN169*$F$83</f>
        <v>#VALUE!</v>
      </c>
      <c r="IR169" s="672" t="e">
        <f>IN169*$F$80</f>
        <v>#VALUE!</v>
      </c>
      <c r="IS169" s="676" t="e">
        <f>IN169*$F$79</f>
        <v>#VALUE!</v>
      </c>
      <c r="IT169" s="668"/>
      <c r="IU169" s="669"/>
      <c r="IV169" s="670"/>
      <c r="IW169" s="671"/>
      <c r="IX169" s="678"/>
      <c r="IY169" s="650"/>
      <c r="IZ169" s="650"/>
      <c r="JA169" s="671" t="str">
        <f>IF(IZ169="Low",IW169*$D$42,IF(IZ169="Med",IW169*$D$43,IF(IZ169="High",IW169*$D$44,"rango cal. out")))</f>
        <v>rango cal. out</v>
      </c>
      <c r="JB169" s="619" t="e">
        <f>((273.2+IT169)*$F$33/((273.2+$F$32)*IV169))</f>
        <v>#DIV/0!</v>
      </c>
      <c r="JC169" s="674" t="e">
        <f>JA169/IX169*JB169*EXP(-LN(2)/10990*($F$96-IY169))</f>
        <v>#VALUE!</v>
      </c>
      <c r="JD169" s="599" t="e">
        <f>JC169-AVERAGE(JK102:JK103)</f>
        <v>#VALUE!</v>
      </c>
      <c r="JE169" s="672" t="e">
        <f>ABS(#REF!*JD169*3600)</f>
        <v>#REF!</v>
      </c>
      <c r="JF169" s="675" t="e">
        <f>ABS($B$34*JD169*3600)</f>
        <v>#VALUE!</v>
      </c>
      <c r="JG169" s="614" t="e">
        <f>JF169*$C$87</f>
        <v>#VALUE!</v>
      </c>
      <c r="JH169" s="672" t="e">
        <f>JF169*$F$78</f>
        <v>#VALUE!</v>
      </c>
      <c r="JI169" s="600" t="e">
        <f>JF169*$F$83</f>
        <v>#VALUE!</v>
      </c>
      <c r="JJ169" s="672" t="e">
        <f>JF169*$F$80</f>
        <v>#VALUE!</v>
      </c>
      <c r="JK169" s="676" t="e">
        <f>JF169*$F$79</f>
        <v>#VALUE!</v>
      </c>
      <c r="JL169" s="668"/>
      <c r="JM169" s="669"/>
      <c r="JN169" s="670"/>
      <c r="JO169" s="671"/>
      <c r="JP169" s="678"/>
      <c r="JQ169" s="650"/>
      <c r="JR169" s="650"/>
      <c r="JS169" s="671" t="str">
        <f>IF(JR169="Low",JO169*$D$42,IF(JR169="Med",JO169*$D$43,IF(JR169="High",JO169*$D$44,"rango cal. out")))</f>
        <v>rango cal. out</v>
      </c>
      <c r="JT169" s="619" t="e">
        <f>((273.2+JL169)*$F$33/((273.2+$F$32)*JN169))</f>
        <v>#DIV/0!</v>
      </c>
      <c r="JU169" s="674" t="e">
        <f>JS169/JP169*JT169*EXP(-LN(2)/10990*($F$96-JQ169))</f>
        <v>#VALUE!</v>
      </c>
      <c r="JV169" s="599" t="e">
        <f>JU169-AVERAGE(KC102:KC103)</f>
        <v>#VALUE!</v>
      </c>
      <c r="JW169" s="672" t="e">
        <f>ABS(#REF!*JV169*3600)</f>
        <v>#REF!</v>
      </c>
      <c r="JX169" s="675" t="e">
        <f>ABS($B$34*JV169*3600)</f>
        <v>#VALUE!</v>
      </c>
      <c r="JY169" s="614" t="e">
        <f>JX169*$C$87</f>
        <v>#VALUE!</v>
      </c>
      <c r="JZ169" s="672" t="e">
        <f>JX169*$F$78</f>
        <v>#VALUE!</v>
      </c>
      <c r="KA169" s="600" t="e">
        <f>JX169*$F$83</f>
        <v>#VALUE!</v>
      </c>
      <c r="KB169" s="672" t="e">
        <f>JX169*$F$80</f>
        <v>#VALUE!</v>
      </c>
      <c r="KC169" s="676" t="e">
        <f>JX169*$F$79</f>
        <v>#VALUE!</v>
      </c>
      <c r="KD169" s="668"/>
      <c r="KE169" s="669"/>
      <c r="KF169" s="670"/>
      <c r="KG169" s="671"/>
      <c r="KH169" s="678"/>
      <c r="KI169" s="650"/>
      <c r="KJ169" s="650"/>
      <c r="KK169" s="671" t="str">
        <f>IF(KJ169="Low",KG169*$D$42,IF(KJ169="Med",KG169*$D$43,IF(KJ169="High",KG169*$D$44,"rango cal. out")))</f>
        <v>rango cal. out</v>
      </c>
      <c r="KL169" s="619" t="e">
        <f>((273.2+KD169)*$F$33/((273.2+$F$32)*KF169))</f>
        <v>#DIV/0!</v>
      </c>
      <c r="KM169" s="674" t="e">
        <f>KK169/KH169*KL169*EXP(-LN(2)/10990*($F$96-KI169))</f>
        <v>#VALUE!</v>
      </c>
      <c r="KN169" s="599" t="e">
        <f>KM169-AVERAGE(KU102:KU103)</f>
        <v>#VALUE!</v>
      </c>
      <c r="KO169" s="672" t="e">
        <f>ABS(#REF!*KN169*3600)</f>
        <v>#REF!</v>
      </c>
      <c r="KP169" s="675" t="e">
        <f>ABS($B$34*KN169*3600)</f>
        <v>#VALUE!</v>
      </c>
      <c r="KQ169" s="614" t="e">
        <f>KP169*$C$87</f>
        <v>#VALUE!</v>
      </c>
      <c r="KR169" s="672" t="e">
        <f>KP169*$F$78</f>
        <v>#VALUE!</v>
      </c>
      <c r="KS169" s="600" t="e">
        <f>KP169*$F$83</f>
        <v>#VALUE!</v>
      </c>
      <c r="KT169" s="672" t="e">
        <f>KP169*$F$80</f>
        <v>#VALUE!</v>
      </c>
      <c r="KU169" s="676" t="e">
        <f>KP169*$F$79</f>
        <v>#VALUE!</v>
      </c>
      <c r="KV169" s="668"/>
      <c r="KW169" s="669"/>
      <c r="KX169" s="670"/>
      <c r="KY169" s="671"/>
      <c r="KZ169" s="678"/>
      <c r="LA169" s="650"/>
      <c r="LB169" s="650"/>
      <c r="LC169" s="671" t="str">
        <f>IF(LB169="Low",KY169*$D$42,IF(LB169="Med",KY169*$D$43,IF(LB169="High",KY169*$D$44,"rango cal. out")))</f>
        <v>rango cal. out</v>
      </c>
      <c r="LD169" s="619" t="e">
        <f>((273.2+KV169)*$F$33/((273.2+$F$32)*KX169))</f>
        <v>#DIV/0!</v>
      </c>
      <c r="LE169" s="674" t="e">
        <f>LC169/KZ169*LD169*EXP(-LN(2)/10990*($F$96-LA169))</f>
        <v>#VALUE!</v>
      </c>
      <c r="LF169" s="599" t="e">
        <f>LE169-AVERAGE(LM102:LM103)</f>
        <v>#VALUE!</v>
      </c>
      <c r="LG169" s="672" t="e">
        <f>ABS(#REF!*LF169*3600)</f>
        <v>#REF!</v>
      </c>
      <c r="LH169" s="675" t="e">
        <f>ABS($B$34*LF169*3600)</f>
        <v>#VALUE!</v>
      </c>
      <c r="LI169" s="614" t="e">
        <f>LH169*$C$87</f>
        <v>#VALUE!</v>
      </c>
      <c r="LJ169" s="672" t="e">
        <f>LH169*$F$78</f>
        <v>#VALUE!</v>
      </c>
      <c r="LK169" s="600" t="e">
        <f>LH169*$F$83</f>
        <v>#VALUE!</v>
      </c>
      <c r="LL169" s="672" t="e">
        <f>LH169*$F$80</f>
        <v>#VALUE!</v>
      </c>
      <c r="LM169" s="676" t="e">
        <f>LH169*$F$79</f>
        <v>#VALUE!</v>
      </c>
      <c r="LN169" s="668"/>
      <c r="LO169" s="669"/>
      <c r="LP169" s="670"/>
      <c r="LQ169" s="671"/>
      <c r="LR169" s="678"/>
      <c r="LS169" s="650"/>
      <c r="LT169" s="650"/>
      <c r="LU169" s="671" t="str">
        <f>IF(LT169="Low",LQ169*$D$42,IF(LT169="Med",LQ169*$D$43,IF(LT169="High",LQ169*$D$44,"rango cal. out")))</f>
        <v>rango cal. out</v>
      </c>
      <c r="LV169" s="619" t="e">
        <f>((273.2+LN169)*$F$33/((273.2+$F$32)*LP169))</f>
        <v>#DIV/0!</v>
      </c>
      <c r="LW169" s="674" t="e">
        <f>LU169/LR169*LV169*EXP(-LN(2)/10990*($F$96-LS169))</f>
        <v>#VALUE!</v>
      </c>
      <c r="LX169" s="599" t="e">
        <f>LW169-AVERAGE(ME102:ME103)</f>
        <v>#VALUE!</v>
      </c>
      <c r="LY169" s="672" t="e">
        <f>ABS(#REF!*LX169*3600)</f>
        <v>#REF!</v>
      </c>
      <c r="LZ169" s="675" t="e">
        <f>ABS($B$34*LX169*3600)</f>
        <v>#VALUE!</v>
      </c>
      <c r="MA169" s="614" t="e">
        <f>LZ169*$C$87</f>
        <v>#VALUE!</v>
      </c>
      <c r="MB169" s="672" t="e">
        <f>LZ169*$F$78</f>
        <v>#VALUE!</v>
      </c>
      <c r="MC169" s="600" t="e">
        <f>LZ169*$F$83</f>
        <v>#VALUE!</v>
      </c>
      <c r="MD169" s="672" t="e">
        <f>LZ169*$F$80</f>
        <v>#VALUE!</v>
      </c>
      <c r="ME169" s="676" t="e">
        <f>LZ169*$F$79</f>
        <v>#VALUE!</v>
      </c>
      <c r="MF169" s="668"/>
      <c r="MG169" s="669"/>
      <c r="MH169" s="670"/>
      <c r="MI169" s="671"/>
      <c r="MJ169" s="678"/>
      <c r="MK169" s="650"/>
      <c r="ML169" s="650"/>
      <c r="MM169" s="671" t="str">
        <f>IF(ML169="Low",MI169*$D$42,IF(ML169="Med",MI169*$D$43,IF(ML169="High",MI169*$D$44,"rango cal. out")))</f>
        <v>rango cal. out</v>
      </c>
      <c r="MN169" s="619" t="e">
        <f>((273.2+MF169)*$F$33/((273.2+$F$32)*MH169))</f>
        <v>#DIV/0!</v>
      </c>
      <c r="MO169" s="674" t="e">
        <f>MM169/MJ169*MN169*EXP(-LN(2)/10990*($F$96-MK169))</f>
        <v>#VALUE!</v>
      </c>
      <c r="MP169" s="599" t="e">
        <f>MO169-AVERAGE(MW102:MW103)</f>
        <v>#VALUE!</v>
      </c>
      <c r="MQ169" s="672" t="e">
        <f>ABS(#REF!*MP169*3600)</f>
        <v>#REF!</v>
      </c>
      <c r="MR169" s="675" t="e">
        <f>ABS($B$34*MP169*3600)</f>
        <v>#VALUE!</v>
      </c>
      <c r="MS169" s="614" t="e">
        <f>MR169*$C$87</f>
        <v>#VALUE!</v>
      </c>
      <c r="MT169" s="672" t="e">
        <f>MR169*$F$78</f>
        <v>#VALUE!</v>
      </c>
      <c r="MU169" s="600" t="e">
        <f>MR169*$F$83</f>
        <v>#VALUE!</v>
      </c>
      <c r="MV169" s="672" t="e">
        <f>MR169*$F$80</f>
        <v>#VALUE!</v>
      </c>
      <c r="MW169" s="676" t="e">
        <f>MR169*$F$79</f>
        <v>#VALUE!</v>
      </c>
      <c r="MX169" s="668"/>
      <c r="MY169" s="669"/>
      <c r="MZ169" s="670"/>
      <c r="NA169" s="671"/>
      <c r="NB169" s="678"/>
      <c r="NC169" s="650"/>
      <c r="ND169" s="650"/>
      <c r="NE169" s="671" t="str">
        <f>IF(ND169="Low",NA169*$D$42,IF(ND169="Med",NA169*$D$43,IF(ND169="High",NA169*$D$44,"rango cal. out")))</f>
        <v>rango cal. out</v>
      </c>
      <c r="NF169" s="619" t="e">
        <f>((273.2+MX169)*$F$33/((273.2+$F$32)*MZ169))</f>
        <v>#DIV/0!</v>
      </c>
      <c r="NG169" s="674" t="e">
        <f>NE169/NB169*NF169*EXP(-LN(2)/10990*($F$96-NC169))</f>
        <v>#VALUE!</v>
      </c>
      <c r="NH169" s="599" t="e">
        <f>NG169-AVERAGE(NO102:NO103)</f>
        <v>#VALUE!</v>
      </c>
      <c r="NI169" s="672" t="e">
        <f>ABS(#REF!*NH169*3600)</f>
        <v>#REF!</v>
      </c>
      <c r="NJ169" s="675" t="e">
        <f>ABS($B$34*NH169*3600)</f>
        <v>#VALUE!</v>
      </c>
      <c r="NK169" s="614" t="e">
        <f>NJ169*$C$87</f>
        <v>#VALUE!</v>
      </c>
      <c r="NL169" s="672" t="e">
        <f>NJ169*$F$78</f>
        <v>#VALUE!</v>
      </c>
      <c r="NM169" s="600" t="e">
        <f>NJ169*$F$83</f>
        <v>#VALUE!</v>
      </c>
      <c r="NN169" s="672" t="e">
        <f>NJ169*$F$80</f>
        <v>#VALUE!</v>
      </c>
      <c r="NO169" s="676" t="e">
        <f>NJ169*$F$79</f>
        <v>#VALUE!</v>
      </c>
      <c r="NP169" s="668"/>
      <c r="NQ169" s="669"/>
      <c r="NR169" s="670"/>
      <c r="NS169" s="671"/>
      <c r="NT169" s="678"/>
      <c r="NU169" s="650"/>
      <c r="NV169" s="650"/>
      <c r="NW169" s="671" t="str">
        <f>IF(NV169="Low",NS169*$D$42,IF(NV169="Med",NS169*$D$43,IF(NV169="High",NS169*$D$44,"rango cal. out")))</f>
        <v>rango cal. out</v>
      </c>
      <c r="NX169" s="619" t="e">
        <f>((273.2+NP169)*$F$33/((273.2+$F$32)*NR169))</f>
        <v>#DIV/0!</v>
      </c>
      <c r="NY169" s="674" t="e">
        <f>NW169/NT169*NX169*EXP(-LN(2)/10990*($F$96-NU169))</f>
        <v>#VALUE!</v>
      </c>
      <c r="NZ169" s="599" t="e">
        <f>NY169-AVERAGE(OG102:OG103)</f>
        <v>#VALUE!</v>
      </c>
      <c r="OA169" s="672" t="e">
        <f>ABS(#REF!*NZ169*3600)</f>
        <v>#REF!</v>
      </c>
      <c r="OB169" s="675" t="e">
        <f>ABS($B$34*NZ169*3600)</f>
        <v>#VALUE!</v>
      </c>
      <c r="OC169" s="614" t="e">
        <f>OB169*$C$87</f>
        <v>#VALUE!</v>
      </c>
      <c r="OD169" s="672" t="e">
        <f>OB169*$F$78</f>
        <v>#VALUE!</v>
      </c>
      <c r="OE169" s="600" t="e">
        <f>OB169*$F$83</f>
        <v>#VALUE!</v>
      </c>
      <c r="OF169" s="672" t="e">
        <f>OB169*$F$80</f>
        <v>#VALUE!</v>
      </c>
      <c r="OG169" s="676" t="e">
        <f>OB169*$F$79</f>
        <v>#VALUE!</v>
      </c>
      <c r="OH169" s="668"/>
      <c r="OI169" s="669"/>
      <c r="OJ169" s="670"/>
      <c r="OK169" s="671"/>
      <c r="OL169" s="678"/>
      <c r="OM169" s="650"/>
      <c r="ON169" s="650"/>
      <c r="OO169" s="671" t="str">
        <f>IF(ON169="Low",OK169*$D$42,IF(ON169="Med",OK169*$D$43,IF(ON169="High",OK169*$D$44,"rango cal. out")))</f>
        <v>rango cal. out</v>
      </c>
      <c r="OP169" s="619" t="e">
        <f>((273.2+OH169)*$F$33/((273.2+$F$32)*OJ169))</f>
        <v>#DIV/0!</v>
      </c>
      <c r="OQ169" s="674" t="e">
        <f>OO169/OL169*OP169*EXP(-LN(2)/10990*($F$96-OM169))</f>
        <v>#VALUE!</v>
      </c>
      <c r="OR169" s="599" t="e">
        <f>OQ169-AVERAGE(OY102:OY103)</f>
        <v>#VALUE!</v>
      </c>
      <c r="OS169" s="672" t="e">
        <f>ABS(#REF!*OR169*3600)</f>
        <v>#REF!</v>
      </c>
      <c r="OT169" s="675" t="e">
        <f>ABS($B$34*OR169*3600)</f>
        <v>#VALUE!</v>
      </c>
      <c r="OU169" s="614" t="e">
        <f>OT169*$C$87</f>
        <v>#VALUE!</v>
      </c>
      <c r="OV169" s="672" t="e">
        <f>OT169*$F$78</f>
        <v>#VALUE!</v>
      </c>
      <c r="OW169" s="600" t="e">
        <f>OT169*$F$83</f>
        <v>#VALUE!</v>
      </c>
      <c r="OX169" s="672" t="e">
        <f>OT169*$F$80</f>
        <v>#VALUE!</v>
      </c>
      <c r="OY169" s="676" t="e">
        <f>OT169*$F$79</f>
        <v>#VALUE!</v>
      </c>
      <c r="OZ169" s="668"/>
      <c r="PA169" s="669"/>
      <c r="PB169" s="670"/>
      <c r="PC169" s="671"/>
      <c r="PD169" s="678"/>
      <c r="PE169" s="650"/>
      <c r="PF169" s="650"/>
      <c r="PG169" s="671" t="str">
        <f>IF(PF169="Low",PC169*$D$42,IF(PF169="Med",PC169*$D$43,IF(PF169="High",PC169*$D$44,"rango cal. out")))</f>
        <v>rango cal. out</v>
      </c>
      <c r="PH169" s="619" t="e">
        <f>((273.2+OZ169)*$F$33/((273.2+$F$32)*PB169))</f>
        <v>#DIV/0!</v>
      </c>
      <c r="PI169" s="674" t="e">
        <f>PG169/PD169*PH169*EXP(-LN(2)/10990*($F$96-PE169))</f>
        <v>#VALUE!</v>
      </c>
      <c r="PJ169" s="599" t="e">
        <f>PI169-AVERAGE(PQ102:PQ103)</f>
        <v>#VALUE!</v>
      </c>
      <c r="PK169" s="672" t="e">
        <f>ABS(#REF!*PJ169*3600)</f>
        <v>#REF!</v>
      </c>
      <c r="PL169" s="675" t="e">
        <f>ABS($B$34*PJ169*3600)</f>
        <v>#VALUE!</v>
      </c>
      <c r="PM169" s="614" t="e">
        <f>PL169*$C$87</f>
        <v>#VALUE!</v>
      </c>
      <c r="PN169" s="672" t="e">
        <f>PL169*$F$78</f>
        <v>#VALUE!</v>
      </c>
      <c r="PO169" s="600" t="e">
        <f>PL169*$F$83</f>
        <v>#VALUE!</v>
      </c>
      <c r="PP169" s="672" t="e">
        <f>PL169*$F$80</f>
        <v>#VALUE!</v>
      </c>
      <c r="PQ169" s="676" t="e">
        <f>PL169*$F$79</f>
        <v>#VALUE!</v>
      </c>
      <c r="PR169" s="668"/>
      <c r="PS169" s="669"/>
      <c r="PT169" s="670"/>
      <c r="PU169" s="671"/>
      <c r="PV169" s="678"/>
      <c r="PW169" s="650"/>
      <c r="PX169" s="650"/>
      <c r="PY169" s="671" t="str">
        <f>IF(PX169="Low",PU169*$D$42,IF(PX169="Med",PU169*$D$43,IF(PX169="High",PU169*$D$44,"rango cal. out")))</f>
        <v>rango cal. out</v>
      </c>
      <c r="PZ169" s="619" t="e">
        <f>((273.2+PR169)*$F$33/((273.2+$F$32)*PT169))</f>
        <v>#DIV/0!</v>
      </c>
      <c r="QA169" s="674" t="e">
        <f>PY169/PV169*PZ169*EXP(-LN(2)/10990*($F$96-PW169))</f>
        <v>#VALUE!</v>
      </c>
      <c r="QB169" s="599" t="e">
        <f>QA169-AVERAGE(QI102:QI103)</f>
        <v>#VALUE!</v>
      </c>
      <c r="QC169" s="672" t="e">
        <f>ABS(#REF!*QB169*3600)</f>
        <v>#REF!</v>
      </c>
      <c r="QD169" s="675" t="e">
        <f>ABS($B$34*QB169*3600)</f>
        <v>#VALUE!</v>
      </c>
      <c r="QE169" s="614" t="e">
        <f>QD169*$C$87</f>
        <v>#VALUE!</v>
      </c>
      <c r="QF169" s="672" t="e">
        <f>QD169*$F$78</f>
        <v>#VALUE!</v>
      </c>
      <c r="QG169" s="600" t="e">
        <f>QD169*$F$83</f>
        <v>#VALUE!</v>
      </c>
      <c r="QH169" s="672" t="e">
        <f>QD169*$F$80</f>
        <v>#VALUE!</v>
      </c>
      <c r="QI169" s="676" t="e">
        <f>QD169*$F$79</f>
        <v>#VALUE!</v>
      </c>
      <c r="QJ169" s="668"/>
      <c r="QK169" s="669"/>
      <c r="QL169" s="670"/>
      <c r="QM169" s="671"/>
      <c r="QN169" s="678"/>
      <c r="QO169" s="650"/>
      <c r="QP169" s="650"/>
      <c r="QQ169" s="671" t="str">
        <f>IF(QP169="Low",QM169*$D$42,IF(QP169="Med",QM169*$D$43,IF(QP169="High",QM169*$D$44,"rango cal. out")))</f>
        <v>rango cal. out</v>
      </c>
      <c r="QR169" s="619" t="e">
        <f>((273.2+QJ169)*$F$33/((273.2+$F$32)*QL169))</f>
        <v>#DIV/0!</v>
      </c>
      <c r="QS169" s="674" t="e">
        <f>QQ169/QN169*QR169*EXP(-LN(2)/10990*($F$96-QO169))</f>
        <v>#VALUE!</v>
      </c>
      <c r="QT169" s="599" t="e">
        <f>QS169-AVERAGE(RA102:RA103)</f>
        <v>#VALUE!</v>
      </c>
      <c r="QU169" s="672" t="e">
        <f>ABS(#REF!*QT169*3600)</f>
        <v>#REF!</v>
      </c>
      <c r="QV169" s="675" t="e">
        <f>ABS($B$34*QT169*3600)</f>
        <v>#VALUE!</v>
      </c>
      <c r="QW169" s="614" t="e">
        <f>QV169*$C$87</f>
        <v>#VALUE!</v>
      </c>
      <c r="QX169" s="672" t="e">
        <f>QV169*$F$78</f>
        <v>#VALUE!</v>
      </c>
      <c r="QY169" s="600" t="e">
        <f>QV169*$F$83</f>
        <v>#VALUE!</v>
      </c>
      <c r="QZ169" s="672" t="e">
        <f>QV169*$F$80</f>
        <v>#VALUE!</v>
      </c>
      <c r="RA169" s="676" t="e">
        <f>QV169*$F$79</f>
        <v>#VALUE!</v>
      </c>
      <c r="RB169" s="668"/>
      <c r="RC169" s="669"/>
      <c r="RD169" s="670"/>
      <c r="RE169" s="671"/>
      <c r="RF169" s="673">
        <v>100</v>
      </c>
      <c r="RG169" s="650"/>
      <c r="RH169" s="650"/>
      <c r="RI169" s="671" t="str">
        <f>IF(RH169="Low",RE169*$D$42,IF(RH169="Med",RE169*$D$43,IF(RH169="High",RE169*$D$44,"rango cal. out")))</f>
        <v>rango cal. out</v>
      </c>
      <c r="RJ169" s="619" t="e">
        <f>((273.2+RB169)*$F$33/((273.2+$F$32)*RD169))</f>
        <v>#DIV/0!</v>
      </c>
      <c r="RK169" s="674" t="e">
        <f>RI169/RF169*RJ169*EXP(-LN(2)/10990*($F$96-RG169))</f>
        <v>#VALUE!</v>
      </c>
      <c r="RL169" s="599" t="e">
        <f>RK169-AVERAGE(RS102:RS103)</f>
        <v>#VALUE!</v>
      </c>
      <c r="RM169" s="672" t="e">
        <f>ABS(#REF!*RL169*3600)</f>
        <v>#REF!</v>
      </c>
      <c r="RN169" s="675" t="e">
        <f>ABS($B$34*RL169*3600)</f>
        <v>#VALUE!</v>
      </c>
      <c r="RO169" s="614" t="e">
        <f>RN169*$C$87</f>
        <v>#VALUE!</v>
      </c>
      <c r="RP169" s="672" t="e">
        <f>RN169*$F$78</f>
        <v>#VALUE!</v>
      </c>
      <c r="RQ169" s="600" t="e">
        <f>RN169*$F$83</f>
        <v>#VALUE!</v>
      </c>
      <c r="RR169" s="672" t="e">
        <f>RN169*$F$80</f>
        <v>#VALUE!</v>
      </c>
      <c r="RS169" s="676" t="e">
        <f>RN169*$F$79</f>
        <v>#VALUE!</v>
      </c>
      <c r="RT169" s="668"/>
      <c r="RU169" s="669"/>
      <c r="RV169" s="669"/>
      <c r="RW169" s="679"/>
      <c r="RX169" s="673">
        <v>100</v>
      </c>
      <c r="RY169" s="650"/>
      <c r="RZ169" s="650"/>
      <c r="SA169" s="671" t="str">
        <f>IF(RZ169="Low",RW169*$D$42,IF(RZ169="Med",RW169*$D$43,IF(RZ169="High",RW169*$D$44,"rango cal. out")))</f>
        <v>rango cal. out</v>
      </c>
      <c r="SB169" s="619" t="e">
        <f>((273.2+RT169)*$F$33/((273.2+$F$32)*RV169))</f>
        <v>#DIV/0!</v>
      </c>
      <c r="SC169" s="674" t="e">
        <f>SA169/RX169*SB169*EXP(-LN(2)/10990*($F$96-RY169))</f>
        <v>#VALUE!</v>
      </c>
      <c r="SD169" s="599" t="e">
        <f>SC169-AVERAGE(SK102:SK103)</f>
        <v>#VALUE!</v>
      </c>
      <c r="SE169" s="672" t="e">
        <f>ABS(#REF!*SD169*3600)</f>
        <v>#REF!</v>
      </c>
      <c r="SF169" s="675" t="e">
        <f>ABS($B$34*SD169*3600)</f>
        <v>#VALUE!</v>
      </c>
      <c r="SG169" s="614" t="e">
        <f>SF169*$C$87</f>
        <v>#VALUE!</v>
      </c>
      <c r="SH169" s="672" t="e">
        <f>SF169*$F$78</f>
        <v>#VALUE!</v>
      </c>
      <c r="SI169" s="600" t="e">
        <f>SF169*$F$83</f>
        <v>#VALUE!</v>
      </c>
      <c r="SJ169" s="672" t="e">
        <f>SF169*$F$80</f>
        <v>#VALUE!</v>
      </c>
      <c r="SK169" s="676" t="e">
        <f>SF169*$F$79</f>
        <v>#VALUE!</v>
      </c>
      <c r="SL169" s="668"/>
      <c r="SM169" s="669"/>
      <c r="SN169" s="670"/>
      <c r="SO169" s="671"/>
      <c r="SP169" s="678"/>
      <c r="SQ169" s="650"/>
      <c r="SR169" s="650"/>
      <c r="SS169" s="671" t="str">
        <f>IF(SR169="Low",SO169*$D$42,IF(SR169="Med",SO169*$D$43,IF(SR169="High",SO169*$D$44,"rango cal. out")))</f>
        <v>rango cal. out</v>
      </c>
      <c r="ST169" s="619" t="e">
        <f>((273.2+SL169)*$F$33/((273.2+$F$32)*SN169))</f>
        <v>#DIV/0!</v>
      </c>
      <c r="SU169" s="674" t="e">
        <f>SS169/SP169*ST169*EXP(-LN(2)/10990*($F$96-SQ169))</f>
        <v>#VALUE!</v>
      </c>
      <c r="SV169" s="599" t="e">
        <f>SU169-AVERAGE(TC102:TC103)</f>
        <v>#VALUE!</v>
      </c>
      <c r="SW169" s="672" t="e">
        <f>ABS(#REF!*SV169*3600)</f>
        <v>#REF!</v>
      </c>
      <c r="SX169" s="675" t="e">
        <f>ABS($B$34*SV169*3600)</f>
        <v>#VALUE!</v>
      </c>
      <c r="SY169" s="614" t="e">
        <f>SX169*$C$87</f>
        <v>#VALUE!</v>
      </c>
      <c r="SZ169" s="672" t="e">
        <f>SX169*$F$78</f>
        <v>#VALUE!</v>
      </c>
      <c r="TA169" s="600" t="e">
        <f>SX169*$F$83</f>
        <v>#VALUE!</v>
      </c>
      <c r="TB169" s="672" t="e">
        <f>SX169*$F$80</f>
        <v>#VALUE!</v>
      </c>
      <c r="TC169" s="676" t="e">
        <f>SX169*$F$79</f>
        <v>#VALUE!</v>
      </c>
      <c r="TD169" s="668"/>
      <c r="TE169" s="669"/>
      <c r="TF169" s="670"/>
      <c r="TG169" s="671"/>
      <c r="TH169" s="678"/>
      <c r="TI169" s="650"/>
      <c r="TJ169" s="650"/>
      <c r="TK169" s="671" t="str">
        <f>IF(TJ169="Low",TG169*$D$42,IF(TJ169="Med",TG169*$D$43,IF(TJ169="High",TG169*$D$44,"rango cal. out")))</f>
        <v>rango cal. out</v>
      </c>
      <c r="TL169" s="619" t="e">
        <f>((273.2+TD169)*$F$33/((273.2+$F$32)*TF169))</f>
        <v>#DIV/0!</v>
      </c>
      <c r="TM169" s="674" t="e">
        <f>TK169/TH169*TL169*EXP(-LN(2)/10990*($F$96-TI169))</f>
        <v>#VALUE!</v>
      </c>
      <c r="TN169" s="599" t="e">
        <f>TM169-AVERAGE(TU102:TU103)</f>
        <v>#VALUE!</v>
      </c>
      <c r="TO169" s="672" t="e">
        <f>ABS(#REF!*TN169*3600)</f>
        <v>#REF!</v>
      </c>
      <c r="TP169" s="675" t="e">
        <f>ABS($B$34*TN169*3600)</f>
        <v>#VALUE!</v>
      </c>
      <c r="TQ169" s="614" t="e">
        <f>TP169*$C$87</f>
        <v>#VALUE!</v>
      </c>
      <c r="TR169" s="672" t="e">
        <f>TP169*$F$78</f>
        <v>#VALUE!</v>
      </c>
      <c r="TS169" s="600" t="e">
        <f>TP169*$F$83</f>
        <v>#VALUE!</v>
      </c>
      <c r="TT169" s="672" t="e">
        <f>TP169*$F$80</f>
        <v>#VALUE!</v>
      </c>
      <c r="TU169" s="676" t="e">
        <f>TP169*$F$79</f>
        <v>#VALUE!</v>
      </c>
      <c r="TV169" s="668"/>
      <c r="TW169" s="669"/>
      <c r="TX169" s="670"/>
      <c r="TY169" s="671"/>
      <c r="TZ169" s="678"/>
      <c r="UA169" s="650"/>
      <c r="UB169" s="650"/>
      <c r="UC169" s="671" t="str">
        <f>IF(UB169="Low",TY169*$D$42,IF(UB169="Med",TY169*$D$43,IF(UB169="High",TY169*$D$44,"rango cal. out")))</f>
        <v>rango cal. out</v>
      </c>
      <c r="UD169" s="619" t="e">
        <f>((273.2+TV169)*$F$33/((273.2+$F$32)*TX169))</f>
        <v>#DIV/0!</v>
      </c>
      <c r="UE169" s="674" t="e">
        <f>UC169/TZ169*UD169*EXP(-LN(2)/10990*($F$96-UA169))</f>
        <v>#VALUE!</v>
      </c>
      <c r="UF169" s="599" t="e">
        <f>UE169-AVERAGE(UM102:UM103)</f>
        <v>#VALUE!</v>
      </c>
      <c r="UG169" s="672" t="e">
        <f>ABS(#REF!*UF169*3600)</f>
        <v>#REF!</v>
      </c>
      <c r="UH169" s="675" t="e">
        <f>ABS($B$34*UF169*3600)</f>
        <v>#VALUE!</v>
      </c>
      <c r="UI169" s="614" t="e">
        <f>UH169*$C$87</f>
        <v>#VALUE!</v>
      </c>
      <c r="UJ169" s="672" t="e">
        <f>UH169*$F$78</f>
        <v>#VALUE!</v>
      </c>
      <c r="UK169" s="600" t="e">
        <f>UH169*$F$83</f>
        <v>#VALUE!</v>
      </c>
      <c r="UL169" s="672" t="e">
        <f>UH169*$F$80</f>
        <v>#VALUE!</v>
      </c>
      <c r="UM169" s="675" t="e">
        <f>UH169*$F$79</f>
        <v>#VALUE!</v>
      </c>
      <c r="UN169" s="668"/>
      <c r="UO169" s="669"/>
      <c r="UP169" s="670"/>
      <c r="UQ169" s="671"/>
      <c r="UR169" s="678"/>
      <c r="US169" s="650"/>
      <c r="UT169" s="650"/>
      <c r="UU169" s="671" t="str">
        <f>IF(UT169="Low",UQ169*$D$42,IF(UT169="Med",UQ169*$D$43,IF(UT169="High",UQ169*$D$44,"rango cal. out")))</f>
        <v>rango cal. out</v>
      </c>
      <c r="UV169" s="619" t="e">
        <f>((273.2+UN169)*$F$33/((273.2+$F$32)*UP169))</f>
        <v>#DIV/0!</v>
      </c>
      <c r="UW169" s="674" t="e">
        <f>UU169/UR169*UV169*EXP(-LN(2)/10990*($F$96-US169))</f>
        <v>#VALUE!</v>
      </c>
      <c r="UX169" s="599" t="e">
        <f>UW169-AVERAGE(VE102:VE103)</f>
        <v>#VALUE!</v>
      </c>
      <c r="UY169" s="672" t="e">
        <f>ABS(#REF!*UX169*3600)</f>
        <v>#REF!</v>
      </c>
      <c r="UZ169" s="675" t="e">
        <f>ABS($B$34*UX169*3600)</f>
        <v>#VALUE!</v>
      </c>
      <c r="VA169" s="614" t="e">
        <f>UZ169*$C$87</f>
        <v>#VALUE!</v>
      </c>
      <c r="VB169" s="672" t="e">
        <f>UZ169*$F$78</f>
        <v>#VALUE!</v>
      </c>
      <c r="VC169" s="600" t="e">
        <f>UZ169*$F$83</f>
        <v>#VALUE!</v>
      </c>
      <c r="VD169" s="672" t="e">
        <f>UZ169*$F$80</f>
        <v>#VALUE!</v>
      </c>
      <c r="VE169" s="676" t="e">
        <f>UZ169*$F$79</f>
        <v>#VALUE!</v>
      </c>
    </row>
    <row r="170" spans="1:577" x14ac:dyDescent="0.25">
      <c r="A170" s="2220"/>
      <c r="B170" s="668">
        <v>20.2</v>
      </c>
      <c r="C170" s="673">
        <v>55</v>
      </c>
      <c r="D170" s="673">
        <v>1010</v>
      </c>
      <c r="E170" s="671">
        <v>-1.771E-9</v>
      </c>
      <c r="F170" s="673">
        <v>60</v>
      </c>
      <c r="G170" s="663">
        <v>44333</v>
      </c>
      <c r="H170" s="650" t="s">
        <v>1042</v>
      </c>
      <c r="I170" s="651">
        <f>IF(H170="Low",E170*$D$42,IF(H170="Med",E170*$D$43,IF(H170="High",E170*$D$44,"rango cal. out")))</f>
        <v>-1.7727709999999998E-9</v>
      </c>
      <c r="J170" s="619">
        <f>((273.2+B170)*$F$33/((273.2+$F$32)*D170))</f>
        <v>0.9971006399420429</v>
      </c>
      <c r="K170" s="674">
        <f>I170/F170*J170*EXP(-LN(2)/10990*($F$96-G170))</f>
        <v>-2.9173916613247078E-11</v>
      </c>
      <c r="L170" s="599">
        <f>K170-AVERAGE(S102:S103)</f>
        <v>-2.9150104645875579E-11</v>
      </c>
      <c r="M170" s="599" t="e">
        <f>ABS(#REF!*L170*3600)</f>
        <v>#REF!</v>
      </c>
      <c r="N170" s="657">
        <f>ABS($B$34*L170*3600)</f>
        <v>2.6444974934738325E-3</v>
      </c>
      <c r="O170" s="614">
        <f>N170*$C$87</f>
        <v>0.26444974934738325</v>
      </c>
      <c r="P170" s="672">
        <f>N170*$F$78</f>
        <v>3.1733969921685988E-3</v>
      </c>
      <c r="Q170" s="600">
        <f>N170*$F$83</f>
        <v>3.1998419671033372E-3</v>
      </c>
      <c r="R170" s="672">
        <f>N170*$F$80</f>
        <v>3.1998419671033372E-3</v>
      </c>
      <c r="S170" s="676">
        <f>N170*$F$79</f>
        <v>3.3056218668422906E-3</v>
      </c>
      <c r="T170" s="677"/>
      <c r="U170" s="669"/>
      <c r="V170" s="670"/>
      <c r="W170" s="671"/>
      <c r="X170" s="678"/>
      <c r="Y170" s="663"/>
      <c r="Z170" s="650"/>
      <c r="AA170" s="651" t="str">
        <f>IF(Z170="Low",W170*$D$42,IF(Z170="Med",W170*$D$43,IF(Z170="High",W170*$D$44,"rango cal. out")))</f>
        <v>rango cal. out</v>
      </c>
      <c r="AB170" s="619" t="e">
        <f>((273.2+T170)*$F$33/((273.2+$F$32)*V170))</f>
        <v>#DIV/0!</v>
      </c>
      <c r="AC170" s="674" t="e">
        <f>AA170/X170*AB170*EXP(-LN(2)/10990*($F$96-Y170))</f>
        <v>#VALUE!</v>
      </c>
      <c r="AD170" s="599" t="e">
        <f>AC170-AVERAGE(#REF!)</f>
        <v>#VALUE!</v>
      </c>
      <c r="AE170" s="599" t="e">
        <f>ABS(#REF!*AD170*3600)</f>
        <v>#REF!</v>
      </c>
      <c r="AF170" s="657" t="e">
        <f>ABS($B$34*AD170*3600)</f>
        <v>#VALUE!</v>
      </c>
      <c r="AG170" s="614" t="e">
        <f>AF170*$C$87</f>
        <v>#VALUE!</v>
      </c>
      <c r="AH170" s="672" t="e">
        <f>AF170*$F$78</f>
        <v>#VALUE!</v>
      </c>
      <c r="AI170" s="600" t="e">
        <f>AF170*$F$83</f>
        <v>#VALUE!</v>
      </c>
      <c r="AJ170" s="672" t="e">
        <f>AF170*$F$80</f>
        <v>#VALUE!</v>
      </c>
      <c r="AK170" s="676" t="e">
        <f>AF170*$F$79</f>
        <v>#VALUE!</v>
      </c>
      <c r="AL170" s="677"/>
      <c r="AM170" s="669"/>
      <c r="AN170" s="670"/>
      <c r="AO170" s="671"/>
      <c r="AP170" s="678"/>
      <c r="AQ170" s="663"/>
      <c r="AR170" s="650"/>
      <c r="AS170" s="651" t="str">
        <f>IF(AR170="Low",AO170*$D$42,IF(AR170="Med",AO170*$D$43,IF(AR170="High",AO170*$D$44,"rango cal. out")))</f>
        <v>rango cal. out</v>
      </c>
      <c r="AT170" s="619" t="e">
        <f>((273.2+AL170)*$F$33/((273.2+$F$32)*AN170))</f>
        <v>#DIV/0!</v>
      </c>
      <c r="AU170" s="674" t="e">
        <f>AS170/AP170*AT170*EXP(-LN(2)/10990*($F$96-AQ170))</f>
        <v>#VALUE!</v>
      </c>
      <c r="AV170" s="599" t="e">
        <f>AU170-AVERAGE(BC102:BC103)</f>
        <v>#VALUE!</v>
      </c>
      <c r="AW170" s="599" t="e">
        <f>ABS(#REF!*AV170*3600)</f>
        <v>#REF!</v>
      </c>
      <c r="AX170" s="657" t="e">
        <f>ABS($B$34*AV170*3600)</f>
        <v>#VALUE!</v>
      </c>
      <c r="AY170" s="614" t="e">
        <f>AX170*$C$87</f>
        <v>#VALUE!</v>
      </c>
      <c r="AZ170" s="672" t="e">
        <f>AX170*$F$78</f>
        <v>#VALUE!</v>
      </c>
      <c r="BA170" s="600" t="e">
        <f>AX170*$F$83</f>
        <v>#VALUE!</v>
      </c>
      <c r="BB170" s="672" t="e">
        <f>AX170*$F$80</f>
        <v>#VALUE!</v>
      </c>
      <c r="BC170" s="676" t="e">
        <f>AX170*$F$79</f>
        <v>#VALUE!</v>
      </c>
      <c r="BD170" s="668"/>
      <c r="BE170" s="669"/>
      <c r="BF170" s="670"/>
      <c r="BG170" s="671"/>
      <c r="BH170" s="678"/>
      <c r="BI170" s="663">
        <v>44333</v>
      </c>
      <c r="BJ170" s="650"/>
      <c r="BK170" s="651" t="str">
        <f>IF(BJ170="Low",BG170*$D$42,IF(BJ170="Med",BG170*$D$43,IF(BJ170="High",BG170*$D$44,"rango cal. out")))</f>
        <v>rango cal. out</v>
      </c>
      <c r="BL170" s="619" t="e">
        <f>((273.2+BD170)*$F$33/((273.2+$F$32)*BF170))</f>
        <v>#DIV/0!</v>
      </c>
      <c r="BM170" s="674" t="e">
        <f>BK170/BH170*BL170*EXP(-LN(2)/10990*($F$96-BI170))</f>
        <v>#VALUE!</v>
      </c>
      <c r="BN170" s="599" t="e">
        <f>BM170-AVERAGE(BU102:BU103)</f>
        <v>#VALUE!</v>
      </c>
      <c r="BO170" s="599" t="e">
        <f>ABS(#REF!*BN170*3600)</f>
        <v>#REF!</v>
      </c>
      <c r="BP170" s="657" t="e">
        <f>ABS($B$34*BN170*3600)</f>
        <v>#VALUE!</v>
      </c>
      <c r="BQ170" s="614" t="e">
        <f>BP170*$C$87</f>
        <v>#VALUE!</v>
      </c>
      <c r="BR170" s="672" t="e">
        <f>BP170*$F$78</f>
        <v>#VALUE!</v>
      </c>
      <c r="BS170" s="600" t="e">
        <f>BP170*$F$83</f>
        <v>#VALUE!</v>
      </c>
      <c r="BT170" s="672" t="e">
        <f>BP170*$F$80</f>
        <v>#VALUE!</v>
      </c>
      <c r="BU170" s="676" t="e">
        <f>BP170*$F$79</f>
        <v>#VALUE!</v>
      </c>
      <c r="BV170" s="668"/>
      <c r="BW170" s="669"/>
      <c r="BX170" s="670"/>
      <c r="BY170" s="671"/>
      <c r="BZ170" s="678"/>
      <c r="CA170" s="663">
        <v>44333</v>
      </c>
      <c r="CB170" s="650"/>
      <c r="CC170" s="651" t="str">
        <f>IF(CB170="Low",BY170*$D$42,IF(CB170="Med",BY170*$D$43,IF(CB170="High",BY170*$D$44,"rango cal. out")))</f>
        <v>rango cal. out</v>
      </c>
      <c r="CD170" s="619" t="e">
        <f>((273.2+BV170)*$F$33/((273.2+$F$32)*BX170))</f>
        <v>#DIV/0!</v>
      </c>
      <c r="CE170" s="674" t="e">
        <f>CC170/BZ170*CD170*EXP(-LN(2)/10990*($F$96-CA170))</f>
        <v>#VALUE!</v>
      </c>
      <c r="CF170" s="599" t="e">
        <f>CE170-AVERAGE(CM102:CM103)</f>
        <v>#VALUE!</v>
      </c>
      <c r="CG170" s="599" t="e">
        <f>ABS(#REF!*CF170*3600)</f>
        <v>#REF!</v>
      </c>
      <c r="CH170" s="657" t="e">
        <f>ABS($B$34*CF170*3600)</f>
        <v>#VALUE!</v>
      </c>
      <c r="CI170" s="614" t="e">
        <f>CH170*$C$87</f>
        <v>#VALUE!</v>
      </c>
      <c r="CJ170" s="672" t="e">
        <f>CH170*$F$78</f>
        <v>#VALUE!</v>
      </c>
      <c r="CK170" s="600" t="e">
        <f>CH170*$F$83</f>
        <v>#VALUE!</v>
      </c>
      <c r="CL170" s="672" t="e">
        <f>CH170*$F$80</f>
        <v>#VALUE!</v>
      </c>
      <c r="CM170" s="676" t="e">
        <f>CH170*$F$79</f>
        <v>#VALUE!</v>
      </c>
      <c r="CN170" s="668"/>
      <c r="CO170" s="669"/>
      <c r="CP170" s="670"/>
      <c r="CQ170" s="671"/>
      <c r="CR170" s="678"/>
      <c r="CS170" s="663">
        <v>44333</v>
      </c>
      <c r="CT170" s="650"/>
      <c r="CU170" s="651" t="str">
        <f>IF(CT170="Low",CQ170*$D$42,IF(CT170="Med",CQ170*$D$43,IF(CT170="High",CQ170*$D$44,"rango cal. out")))</f>
        <v>rango cal. out</v>
      </c>
      <c r="CV170" s="619" t="e">
        <f>((273.2+CN170)*$F$33/((273.2+$F$32)*CP170))</f>
        <v>#DIV/0!</v>
      </c>
      <c r="CW170" s="674" t="e">
        <f>CU170/CR170*CV170*EXP(-LN(2)/10990*($F$96-CS170))</f>
        <v>#VALUE!</v>
      </c>
      <c r="CX170" s="599" t="e">
        <f>CW170-AVERAGE(DE102:DE103)</f>
        <v>#VALUE!</v>
      </c>
      <c r="CY170" s="599" t="e">
        <f>ABS(#REF!*CX170*3600)</f>
        <v>#REF!</v>
      </c>
      <c r="CZ170" s="657" t="e">
        <f>ABS($B$34*CX170*3600)</f>
        <v>#VALUE!</v>
      </c>
      <c r="DA170" s="614" t="e">
        <f>CZ170*$C$87</f>
        <v>#VALUE!</v>
      </c>
      <c r="DB170" s="672" t="e">
        <f>CZ170*$F$78</f>
        <v>#VALUE!</v>
      </c>
      <c r="DC170" s="600" t="e">
        <f>CZ170*$F$83</f>
        <v>#VALUE!</v>
      </c>
      <c r="DD170" s="672" t="e">
        <f>CZ170*$F$80</f>
        <v>#VALUE!</v>
      </c>
      <c r="DE170" s="676" t="e">
        <f>CZ170*$F$79</f>
        <v>#VALUE!</v>
      </c>
      <c r="DF170" s="668"/>
      <c r="DG170" s="669"/>
      <c r="DH170" s="670"/>
      <c r="DI170" s="671"/>
      <c r="DJ170" s="678"/>
      <c r="DK170" s="663"/>
      <c r="DL170" s="650"/>
      <c r="DM170" s="651" t="str">
        <f>IF(DL170="Low",DI170*$D$42,IF(DL170="Med",DI170*$D$43,IF(DL170="High",DI170*$D$44,"rango cal. out")))</f>
        <v>rango cal. out</v>
      </c>
      <c r="DN170" s="619" t="e">
        <f>((273.2+DF170)*$F$33/((273.2+$F$32)*DH170))</f>
        <v>#DIV/0!</v>
      </c>
      <c r="DO170" s="674" t="e">
        <f>DM170/DJ170*DN170*EXP(-LN(2)/10990*($F$96-DK170))</f>
        <v>#VALUE!</v>
      </c>
      <c r="DP170" s="599" t="e">
        <f>DO170-AVERAGE(DW102:DW103)</f>
        <v>#VALUE!</v>
      </c>
      <c r="DQ170" s="599" t="e">
        <f>ABS(#REF!*DP170*3600)</f>
        <v>#REF!</v>
      </c>
      <c r="DR170" s="657" t="e">
        <f>ABS($B$34*DP170*3600)</f>
        <v>#VALUE!</v>
      </c>
      <c r="DS170" s="614" t="e">
        <f>DR170*$C$87</f>
        <v>#VALUE!</v>
      </c>
      <c r="DT170" s="672" t="e">
        <f>DR170*$F$78</f>
        <v>#VALUE!</v>
      </c>
      <c r="DU170" s="600" t="e">
        <f>DR170*$F$83</f>
        <v>#VALUE!</v>
      </c>
      <c r="DV170" s="672" t="e">
        <f>DR170*$F$80</f>
        <v>#VALUE!</v>
      </c>
      <c r="DW170" s="676" t="e">
        <f>DR170*$F$79</f>
        <v>#VALUE!</v>
      </c>
      <c r="DX170" s="668"/>
      <c r="DY170" s="669"/>
      <c r="DZ170" s="677"/>
      <c r="EA170" s="679"/>
      <c r="EB170" s="678"/>
      <c r="EC170" s="663"/>
      <c r="ED170" s="650"/>
      <c r="EE170" s="651" t="str">
        <f>IF(ED170="Low",EA170*$D$42,IF(ED170="Med",EA170*$D$43,IF(ED170="High",EA170*$D$44,"rango cal. out")))</f>
        <v>rango cal. out</v>
      </c>
      <c r="EF170" s="619" t="e">
        <f>((273.2+DX170)*$F$33/((273.2+$F$32)*DZ170))</f>
        <v>#DIV/0!</v>
      </c>
      <c r="EG170" s="674" t="e">
        <f>EE170/EB170*EF170*EXP(-LN(2)/10990*($F$96-EC170))</f>
        <v>#VALUE!</v>
      </c>
      <c r="EH170" s="599" t="e">
        <f>EG170-AVERAGE(EO102:EO103)</f>
        <v>#VALUE!</v>
      </c>
      <c r="EI170" s="599" t="e">
        <f>ABS(#REF!*EH170*3600)</f>
        <v>#REF!</v>
      </c>
      <c r="EJ170" s="657" t="e">
        <f>ABS($B$34*EH170*3600)</f>
        <v>#VALUE!</v>
      </c>
      <c r="EK170" s="614" t="e">
        <f>EJ170*$C$87</f>
        <v>#VALUE!</v>
      </c>
      <c r="EL170" s="672" t="e">
        <f>EJ170*$F$78</f>
        <v>#VALUE!</v>
      </c>
      <c r="EM170" s="600" t="e">
        <f>EJ170*$F$83</f>
        <v>#VALUE!</v>
      </c>
      <c r="EN170" s="672" t="e">
        <f>EJ170*$F$80</f>
        <v>#VALUE!</v>
      </c>
      <c r="EO170" s="676" t="e">
        <f>EJ170*$F$79</f>
        <v>#VALUE!</v>
      </c>
      <c r="EP170" s="668"/>
      <c r="EQ170" s="669"/>
      <c r="ER170" s="670"/>
      <c r="ES170" s="671"/>
      <c r="ET170" s="678"/>
      <c r="EU170" s="663">
        <v>44333</v>
      </c>
      <c r="EV170" s="650"/>
      <c r="EW170" s="651" t="str">
        <f>IF(EV170="Low",ES170*$D$42,IF(EV170="Med",ES170*$D$43,IF(EV170="High",ES170*$D$44,"rango cal. out")))</f>
        <v>rango cal. out</v>
      </c>
      <c r="EX170" s="619" t="e">
        <f>((273.2+EP170)*$F$33/((273.2+$F$32)*ER170))</f>
        <v>#DIV/0!</v>
      </c>
      <c r="EY170" s="674" t="e">
        <f>EW170/ET170*EX170*EXP(-LN(2)/10990*($F$96-EU170))</f>
        <v>#VALUE!</v>
      </c>
      <c r="EZ170" s="599" t="e">
        <f>EY170-AVERAGE(FG102:FG103)</f>
        <v>#VALUE!</v>
      </c>
      <c r="FA170" s="599" t="e">
        <f>ABS(#REF!*EZ170*3600)</f>
        <v>#REF!</v>
      </c>
      <c r="FB170" s="657" t="e">
        <f>ABS($B$34*EZ170*3600)</f>
        <v>#VALUE!</v>
      </c>
      <c r="FC170" s="614" t="e">
        <f>FB170*$C$87</f>
        <v>#VALUE!</v>
      </c>
      <c r="FD170" s="672" t="e">
        <f>FB170*$F$78</f>
        <v>#VALUE!</v>
      </c>
      <c r="FE170" s="600" t="e">
        <f>FB170*$F$83</f>
        <v>#VALUE!</v>
      </c>
      <c r="FF170" s="672" t="e">
        <f>FB170*$F$80</f>
        <v>#VALUE!</v>
      </c>
      <c r="FG170" s="676" t="e">
        <f>FB170*$F$79</f>
        <v>#VALUE!</v>
      </c>
      <c r="FH170" s="668"/>
      <c r="FI170" s="669"/>
      <c r="FJ170" s="670"/>
      <c r="FK170" s="671"/>
      <c r="FL170" s="678"/>
      <c r="FM170" s="663"/>
      <c r="FN170" s="650"/>
      <c r="FO170" s="651" t="str">
        <f>IF(FN170="Low",FK170*$D$42,IF(FN170="Med",FK170*$D$43,IF(FN170="High",FK170*$D$44,"rango cal. out")))</f>
        <v>rango cal. out</v>
      </c>
      <c r="FP170" s="619" t="e">
        <f>((273.2+FH170)*$F$33/((273.2+$F$32)*FJ170))</f>
        <v>#DIV/0!</v>
      </c>
      <c r="FQ170" s="674" t="e">
        <f>FO170/FL170*FP170*EXP(-LN(2)/10990*($F$96-FM170))</f>
        <v>#VALUE!</v>
      </c>
      <c r="FR170" s="599" t="e">
        <f>FQ170-AVERAGE(FY102:FY103)</f>
        <v>#VALUE!</v>
      </c>
      <c r="FS170" s="599" t="e">
        <f>ABS(#REF!*FR170*3600)</f>
        <v>#REF!</v>
      </c>
      <c r="FT170" s="657" t="e">
        <f>ABS($B$34*FR170*3600)</f>
        <v>#VALUE!</v>
      </c>
      <c r="FU170" s="614" t="e">
        <f>FT170*$C$87</f>
        <v>#VALUE!</v>
      </c>
      <c r="FV170" s="672" t="e">
        <f>FT170*$F$78</f>
        <v>#VALUE!</v>
      </c>
      <c r="FW170" s="600" t="e">
        <f>FT170*$F$83</f>
        <v>#VALUE!</v>
      </c>
      <c r="FX170" s="672" t="e">
        <f>FT170*$F$80</f>
        <v>#VALUE!</v>
      </c>
      <c r="FY170" s="676" t="e">
        <f>FT170*$F$79</f>
        <v>#VALUE!</v>
      </c>
      <c r="FZ170" s="668"/>
      <c r="GA170" s="669"/>
      <c r="GB170" s="670"/>
      <c r="GC170" s="671"/>
      <c r="GD170" s="678"/>
      <c r="GE170" s="663"/>
      <c r="GF170" s="650"/>
      <c r="GG170" s="651" t="str">
        <f>IF(GF170="Low",GC170*$D$42,IF(GF170="Med",GC170*$D$43,IF(GF170="High",GC170*$D$44,"rango cal. out")))</f>
        <v>rango cal. out</v>
      </c>
      <c r="GH170" s="619" t="e">
        <f>((273.2+FZ170)*$F$33/((273.2+$F$32)*GB170))</f>
        <v>#DIV/0!</v>
      </c>
      <c r="GI170" s="674" t="e">
        <f>GG170/GD170*GH170*EXP(-LN(2)/10990*($F$96-GE170))</f>
        <v>#VALUE!</v>
      </c>
      <c r="GJ170" s="599" t="e">
        <f>GI170-AVERAGE(GQ102:GQ103)</f>
        <v>#VALUE!</v>
      </c>
      <c r="GK170" s="599" t="e">
        <f>ABS(#REF!*GJ170*3600)</f>
        <v>#REF!</v>
      </c>
      <c r="GL170" s="657" t="e">
        <f>ABS($B$34*GJ170*3600)</f>
        <v>#VALUE!</v>
      </c>
      <c r="GM170" s="614" t="e">
        <f>GL170*$C$87</f>
        <v>#VALUE!</v>
      </c>
      <c r="GN170" s="672" t="e">
        <f>GL170*$F$78</f>
        <v>#VALUE!</v>
      </c>
      <c r="GO170" s="600" t="e">
        <f>GL170*$F$83</f>
        <v>#VALUE!</v>
      </c>
      <c r="GP170" s="672" t="e">
        <f>GL170*$F$80</f>
        <v>#VALUE!</v>
      </c>
      <c r="GQ170" s="676" t="e">
        <f>GL170*$F$79</f>
        <v>#VALUE!</v>
      </c>
      <c r="GR170" s="668"/>
      <c r="GS170" s="669"/>
      <c r="GT170" s="677"/>
      <c r="GU170" s="679"/>
      <c r="GV170" s="678"/>
      <c r="GW170" s="663"/>
      <c r="GX170" s="650"/>
      <c r="GY170" s="651" t="str">
        <f>IF(GX170="Low",GU170*$D$42,IF(GX170="Med",GU170*$D$43,IF(GX170="High",GU170*$D$44,"rango cal. out")))</f>
        <v>rango cal. out</v>
      </c>
      <c r="GZ170" s="619" t="e">
        <f>((273.2+GR170)*$F$33/((273.2+$F$32)*GT170))</f>
        <v>#DIV/0!</v>
      </c>
      <c r="HA170" s="674" t="e">
        <f>GY170/GV170*GZ170*EXP(-LN(2)/10990*($F$96-GW170))</f>
        <v>#VALUE!</v>
      </c>
      <c r="HB170" s="599" t="e">
        <f>HA170-AVERAGE(HI102:HI103)</f>
        <v>#VALUE!</v>
      </c>
      <c r="HC170" s="599" t="e">
        <f>ABS(#REF!*HB170*3600)</f>
        <v>#REF!</v>
      </c>
      <c r="HD170" s="657" t="e">
        <f>ABS($B$34*HB170*3600)</f>
        <v>#VALUE!</v>
      </c>
      <c r="HE170" s="614" t="e">
        <f>HD170*$C$87</f>
        <v>#VALUE!</v>
      </c>
      <c r="HF170" s="672" t="e">
        <f>HD170*$F$78</f>
        <v>#VALUE!</v>
      </c>
      <c r="HG170" s="600" t="e">
        <f>HD170*$F$83</f>
        <v>#VALUE!</v>
      </c>
      <c r="HH170" s="672" t="e">
        <f>HD170*$F$80</f>
        <v>#VALUE!</v>
      </c>
      <c r="HI170" s="676" t="e">
        <f>HD170*$F$79</f>
        <v>#VALUE!</v>
      </c>
      <c r="HJ170" s="668"/>
      <c r="HK170" s="669"/>
      <c r="HL170" s="670"/>
      <c r="HM170" s="671"/>
      <c r="HN170" s="678"/>
      <c r="HO170" s="663"/>
      <c r="HP170" s="650"/>
      <c r="HQ170" s="651" t="str">
        <f>IF(HP170="Low",HM170*$D$42,IF(HP170="Med",HM170*$D$43,IF(HP170="High",HM170*$D$44,"rango cal. out")))</f>
        <v>rango cal. out</v>
      </c>
      <c r="HR170" s="619" t="e">
        <f>((273.2+HJ170)*$F$33/((273.2+$F$32)*HL170))</f>
        <v>#DIV/0!</v>
      </c>
      <c r="HS170" s="674" t="e">
        <f>HQ170/HN170*HR170*EXP(-LN(2)/10990*($F$96-HO170))</f>
        <v>#VALUE!</v>
      </c>
      <c r="HT170" s="599" t="e">
        <f>HS170-AVERAGE(IA102:IA103)</f>
        <v>#VALUE!</v>
      </c>
      <c r="HU170" s="599" t="e">
        <f>ABS(#REF!*HT170*3600)</f>
        <v>#REF!</v>
      </c>
      <c r="HV170" s="657" t="e">
        <f>ABS($B$34*HT170*3600)</f>
        <v>#VALUE!</v>
      </c>
      <c r="HW170" s="614" t="e">
        <f>HV170*$C$87</f>
        <v>#VALUE!</v>
      </c>
      <c r="HX170" s="672" t="e">
        <f>HV170*$F$78</f>
        <v>#VALUE!</v>
      </c>
      <c r="HY170" s="600" t="e">
        <f>HV170*$F$83</f>
        <v>#VALUE!</v>
      </c>
      <c r="HZ170" s="672" t="e">
        <f>HV170*$F$80</f>
        <v>#VALUE!</v>
      </c>
      <c r="IA170" s="676" t="e">
        <f>HV170*$F$79</f>
        <v>#VALUE!</v>
      </c>
      <c r="IB170" s="668"/>
      <c r="IC170" s="669"/>
      <c r="ID170" s="670"/>
      <c r="IE170" s="671"/>
      <c r="IF170" s="678"/>
      <c r="IG170" s="663"/>
      <c r="IH170" s="650"/>
      <c r="II170" s="651" t="str">
        <f>IF(IH170="Low",IE170*$D$42,IF(IH170="Med",IE170*$D$43,IF(IH170="High",IE170*$D$44,"rango cal. out")))</f>
        <v>rango cal. out</v>
      </c>
      <c r="IJ170" s="619" t="e">
        <f>((273.2+IB170)*$F$33/((273.2+$F$32)*ID170))</f>
        <v>#DIV/0!</v>
      </c>
      <c r="IK170" s="674" t="e">
        <f>II170/IF170*IJ170*EXP(-LN(2)/10990*($F$96-IG170))</f>
        <v>#VALUE!</v>
      </c>
      <c r="IL170" s="599" t="e">
        <f>IK170-AVERAGE(IS102:IS103)</f>
        <v>#VALUE!</v>
      </c>
      <c r="IM170" s="599" t="e">
        <f>ABS(#REF!*IL170*3600)</f>
        <v>#REF!</v>
      </c>
      <c r="IN170" s="657" t="e">
        <f>ABS($B$34*IL170*3600)</f>
        <v>#VALUE!</v>
      </c>
      <c r="IO170" s="614" t="e">
        <f>IN170*$C$87</f>
        <v>#VALUE!</v>
      </c>
      <c r="IP170" s="672" t="e">
        <f>IN170*$F$78</f>
        <v>#VALUE!</v>
      </c>
      <c r="IQ170" s="600" t="e">
        <f>IN170*$F$83</f>
        <v>#VALUE!</v>
      </c>
      <c r="IR170" s="672" t="e">
        <f>IN170*$F$80</f>
        <v>#VALUE!</v>
      </c>
      <c r="IS170" s="676" t="e">
        <f>IN170*$F$79</f>
        <v>#VALUE!</v>
      </c>
      <c r="IT170" s="668"/>
      <c r="IU170" s="669"/>
      <c r="IV170" s="670"/>
      <c r="IW170" s="671"/>
      <c r="IX170" s="678"/>
      <c r="IY170" s="663"/>
      <c r="IZ170" s="650"/>
      <c r="JA170" s="651" t="str">
        <f>IF(IZ170="Low",IW170*$D$42,IF(IZ170="Med",IW170*$D$43,IF(IZ170="High",IW170*$D$44,"rango cal. out")))</f>
        <v>rango cal. out</v>
      </c>
      <c r="JB170" s="619" t="e">
        <f>((273.2+IT170)*$F$33/((273.2+$F$32)*IV170))</f>
        <v>#DIV/0!</v>
      </c>
      <c r="JC170" s="674" t="e">
        <f>JA170/IX170*JB170*EXP(-LN(2)/10990*($F$96-IY170))</f>
        <v>#VALUE!</v>
      </c>
      <c r="JD170" s="599" t="e">
        <f>JC170-AVERAGE(JK102:JK103)</f>
        <v>#VALUE!</v>
      </c>
      <c r="JE170" s="599" t="e">
        <f>ABS(#REF!*JD170*3600)</f>
        <v>#REF!</v>
      </c>
      <c r="JF170" s="657" t="e">
        <f>ABS($B$34*JD170*3600)</f>
        <v>#VALUE!</v>
      </c>
      <c r="JG170" s="614" t="e">
        <f>JF170*$C$87</f>
        <v>#VALUE!</v>
      </c>
      <c r="JH170" s="672" t="e">
        <f>JF170*$F$78</f>
        <v>#VALUE!</v>
      </c>
      <c r="JI170" s="600" t="e">
        <f>JF170*$F$83</f>
        <v>#VALUE!</v>
      </c>
      <c r="JJ170" s="672" t="e">
        <f>JF170*$F$80</f>
        <v>#VALUE!</v>
      </c>
      <c r="JK170" s="676" t="e">
        <f>JF170*$F$79</f>
        <v>#VALUE!</v>
      </c>
      <c r="JL170" s="668"/>
      <c r="JM170" s="669"/>
      <c r="JN170" s="670"/>
      <c r="JO170" s="671"/>
      <c r="JP170" s="678"/>
      <c r="JQ170" s="663"/>
      <c r="JR170" s="650"/>
      <c r="JS170" s="651" t="str">
        <f>IF(JR170="Low",JO170*$D$42,IF(JR170="Med",JO170*$D$43,IF(JR170="High",JO170*$D$44,"rango cal. out")))</f>
        <v>rango cal. out</v>
      </c>
      <c r="JT170" s="619" t="e">
        <f>((273.2+JL170)*$F$33/((273.2+$F$32)*JN170))</f>
        <v>#DIV/0!</v>
      </c>
      <c r="JU170" s="674" t="e">
        <f>JS170/JP170*JT170*EXP(-LN(2)/10990*($F$96-JQ170))</f>
        <v>#VALUE!</v>
      </c>
      <c r="JV170" s="599" t="e">
        <f>JU170-AVERAGE(KC102:KC103)</f>
        <v>#VALUE!</v>
      </c>
      <c r="JW170" s="599" t="e">
        <f>ABS(#REF!*JV170*3600)</f>
        <v>#REF!</v>
      </c>
      <c r="JX170" s="657" t="e">
        <f>ABS($B$34*JV170*3600)</f>
        <v>#VALUE!</v>
      </c>
      <c r="JY170" s="614" t="e">
        <f>JX170*$C$87</f>
        <v>#VALUE!</v>
      </c>
      <c r="JZ170" s="672" t="e">
        <f>JX170*$F$78</f>
        <v>#VALUE!</v>
      </c>
      <c r="KA170" s="600" t="e">
        <f>JX170*$F$83</f>
        <v>#VALUE!</v>
      </c>
      <c r="KB170" s="672" t="e">
        <f>JX170*$F$80</f>
        <v>#VALUE!</v>
      </c>
      <c r="KC170" s="676" t="e">
        <f>JX170*$F$79</f>
        <v>#VALUE!</v>
      </c>
      <c r="KD170" s="668"/>
      <c r="KE170" s="669"/>
      <c r="KF170" s="670"/>
      <c r="KG170" s="671"/>
      <c r="KH170" s="678"/>
      <c r="KI170" s="663"/>
      <c r="KJ170" s="650"/>
      <c r="KK170" s="651" t="str">
        <f>IF(KJ170="Low",KG170*$D$42,IF(KJ170="Med",KG170*$D$43,IF(KJ170="High",KG170*$D$44,"rango cal. out")))</f>
        <v>rango cal. out</v>
      </c>
      <c r="KL170" s="619" t="e">
        <f>((273.2+KD170)*$F$33/((273.2+$F$32)*KF170))</f>
        <v>#DIV/0!</v>
      </c>
      <c r="KM170" s="674" t="e">
        <f>KK170/KH170*KL170*EXP(-LN(2)/10990*($F$96-KI170))</f>
        <v>#VALUE!</v>
      </c>
      <c r="KN170" s="599" t="e">
        <f>KM170-AVERAGE(KU102:KU103)</f>
        <v>#VALUE!</v>
      </c>
      <c r="KO170" s="599" t="e">
        <f>ABS(#REF!*KN170*3600)</f>
        <v>#REF!</v>
      </c>
      <c r="KP170" s="657" t="e">
        <f>ABS($B$34*KN170*3600)</f>
        <v>#VALUE!</v>
      </c>
      <c r="KQ170" s="614" t="e">
        <f>KP170*$C$87</f>
        <v>#VALUE!</v>
      </c>
      <c r="KR170" s="672" t="e">
        <f>KP170*$F$78</f>
        <v>#VALUE!</v>
      </c>
      <c r="KS170" s="600" t="e">
        <f>KP170*$F$83</f>
        <v>#VALUE!</v>
      </c>
      <c r="KT170" s="672" t="e">
        <f>KP170*$F$80</f>
        <v>#VALUE!</v>
      </c>
      <c r="KU170" s="676" t="e">
        <f>KP170*$F$79</f>
        <v>#VALUE!</v>
      </c>
      <c r="KV170" s="668"/>
      <c r="KW170" s="669"/>
      <c r="KX170" s="670"/>
      <c r="KY170" s="671"/>
      <c r="KZ170" s="678"/>
      <c r="LA170" s="663"/>
      <c r="LB170" s="650"/>
      <c r="LC170" s="651" t="str">
        <f>IF(LB170="Low",KY170*$D$42,IF(LB170="Med",KY170*$D$43,IF(LB170="High",KY170*$D$44,"rango cal. out")))</f>
        <v>rango cal. out</v>
      </c>
      <c r="LD170" s="619" t="e">
        <f>((273.2+KV170)*$F$33/((273.2+$F$32)*KX170))</f>
        <v>#DIV/0!</v>
      </c>
      <c r="LE170" s="674" t="e">
        <f>LC170/KZ170*LD170*EXP(-LN(2)/10990*($F$96-LA170))</f>
        <v>#VALUE!</v>
      </c>
      <c r="LF170" s="599" t="e">
        <f>LE170-AVERAGE(LM102:LM103)</f>
        <v>#VALUE!</v>
      </c>
      <c r="LG170" s="599" t="e">
        <f>ABS(#REF!*LF170*3600)</f>
        <v>#REF!</v>
      </c>
      <c r="LH170" s="657" t="e">
        <f>ABS($B$34*LF170*3600)</f>
        <v>#VALUE!</v>
      </c>
      <c r="LI170" s="614" t="e">
        <f>LH170*$C$87</f>
        <v>#VALUE!</v>
      </c>
      <c r="LJ170" s="672" t="e">
        <f>LH170*$F$78</f>
        <v>#VALUE!</v>
      </c>
      <c r="LK170" s="600" t="e">
        <f>LH170*$F$83</f>
        <v>#VALUE!</v>
      </c>
      <c r="LL170" s="672" t="e">
        <f>LH170*$F$80</f>
        <v>#VALUE!</v>
      </c>
      <c r="LM170" s="676" t="e">
        <f>LH170*$F$79</f>
        <v>#VALUE!</v>
      </c>
      <c r="LN170" s="668"/>
      <c r="LO170" s="669"/>
      <c r="LP170" s="670"/>
      <c r="LQ170" s="671"/>
      <c r="LR170" s="678"/>
      <c r="LS170" s="663"/>
      <c r="LT170" s="650"/>
      <c r="LU170" s="651" t="str">
        <f>IF(LT170="Low",LQ170*$D$42,IF(LT170="Med",LQ170*$D$43,IF(LT170="High",LQ170*$D$44,"rango cal. out")))</f>
        <v>rango cal. out</v>
      </c>
      <c r="LV170" s="619" t="e">
        <f>((273.2+LN170)*$F$33/((273.2+$F$32)*LP170))</f>
        <v>#DIV/0!</v>
      </c>
      <c r="LW170" s="674" t="e">
        <f>LU170/LR170*LV170*EXP(-LN(2)/10990*($F$96-LS170))</f>
        <v>#VALUE!</v>
      </c>
      <c r="LX170" s="599" t="e">
        <f>LW170-AVERAGE(ME102:ME103)</f>
        <v>#VALUE!</v>
      </c>
      <c r="LY170" s="599" t="e">
        <f>ABS(#REF!*LX170*3600)</f>
        <v>#REF!</v>
      </c>
      <c r="LZ170" s="657" t="e">
        <f>ABS($B$34*LX170*3600)</f>
        <v>#VALUE!</v>
      </c>
      <c r="MA170" s="614" t="e">
        <f>LZ170*$C$87</f>
        <v>#VALUE!</v>
      </c>
      <c r="MB170" s="672" t="e">
        <f>LZ170*$F$78</f>
        <v>#VALUE!</v>
      </c>
      <c r="MC170" s="600" t="e">
        <f>LZ170*$F$83</f>
        <v>#VALUE!</v>
      </c>
      <c r="MD170" s="672" t="e">
        <f>LZ170*$F$80</f>
        <v>#VALUE!</v>
      </c>
      <c r="ME170" s="676" t="e">
        <f>LZ170*$F$79</f>
        <v>#VALUE!</v>
      </c>
      <c r="MF170" s="668"/>
      <c r="MG170" s="669"/>
      <c r="MH170" s="670"/>
      <c r="MI170" s="671"/>
      <c r="MJ170" s="678"/>
      <c r="MK170" s="663"/>
      <c r="ML170" s="650"/>
      <c r="MM170" s="651" t="str">
        <f>IF(ML170="Low",MI170*$D$42,IF(ML170="Med",MI170*$D$43,IF(ML170="High",MI170*$D$44,"rango cal. out")))</f>
        <v>rango cal. out</v>
      </c>
      <c r="MN170" s="619" t="e">
        <f>((273.2+MF170)*$F$33/((273.2+$F$32)*MH170))</f>
        <v>#DIV/0!</v>
      </c>
      <c r="MO170" s="674" t="e">
        <f>MM170/MJ170*MN170*EXP(-LN(2)/10990*($F$96-MK170))</f>
        <v>#VALUE!</v>
      </c>
      <c r="MP170" s="599" t="e">
        <f>MO170-AVERAGE(MW102:MW103)</f>
        <v>#VALUE!</v>
      </c>
      <c r="MQ170" s="599" t="e">
        <f>ABS(#REF!*MP170*3600)</f>
        <v>#REF!</v>
      </c>
      <c r="MR170" s="657" t="e">
        <f>ABS($B$34*MP170*3600)</f>
        <v>#VALUE!</v>
      </c>
      <c r="MS170" s="614" t="e">
        <f>MR170*$C$87</f>
        <v>#VALUE!</v>
      </c>
      <c r="MT170" s="672" t="e">
        <f>MR170*$F$78</f>
        <v>#VALUE!</v>
      </c>
      <c r="MU170" s="600" t="e">
        <f>MR170*$F$83</f>
        <v>#VALUE!</v>
      </c>
      <c r="MV170" s="672" t="e">
        <f>MR170*$F$80</f>
        <v>#VALUE!</v>
      </c>
      <c r="MW170" s="676" t="e">
        <f>MR170*$F$79</f>
        <v>#VALUE!</v>
      </c>
      <c r="MX170" s="668"/>
      <c r="MY170" s="669"/>
      <c r="MZ170" s="670"/>
      <c r="NA170" s="671"/>
      <c r="NB170" s="678"/>
      <c r="NC170" s="663"/>
      <c r="ND170" s="650"/>
      <c r="NE170" s="651" t="str">
        <f>IF(ND170="Low",NA170*$D$42,IF(ND170="Med",NA170*$D$43,IF(ND170="High",NA170*$D$44,"rango cal. out")))</f>
        <v>rango cal. out</v>
      </c>
      <c r="NF170" s="619" t="e">
        <f>((273.2+MX170)*$F$33/((273.2+$F$32)*MZ170))</f>
        <v>#DIV/0!</v>
      </c>
      <c r="NG170" s="674" t="e">
        <f>NE170/NB170*NF170*EXP(-LN(2)/10990*($F$96-NC170))</f>
        <v>#VALUE!</v>
      </c>
      <c r="NH170" s="599" t="e">
        <f>NG170-AVERAGE(NO102:NO103)</f>
        <v>#VALUE!</v>
      </c>
      <c r="NI170" s="599" t="e">
        <f>ABS(#REF!*NH170*3600)</f>
        <v>#REF!</v>
      </c>
      <c r="NJ170" s="657" t="e">
        <f>ABS($B$34*NH170*3600)</f>
        <v>#VALUE!</v>
      </c>
      <c r="NK170" s="614" t="e">
        <f>NJ170*$C$87</f>
        <v>#VALUE!</v>
      </c>
      <c r="NL170" s="672" t="e">
        <f>NJ170*$F$78</f>
        <v>#VALUE!</v>
      </c>
      <c r="NM170" s="600" t="e">
        <f>NJ170*$F$83</f>
        <v>#VALUE!</v>
      </c>
      <c r="NN170" s="672" t="e">
        <f>NJ170*$F$80</f>
        <v>#VALUE!</v>
      </c>
      <c r="NO170" s="676" t="e">
        <f>NJ170*$F$79</f>
        <v>#VALUE!</v>
      </c>
      <c r="NP170" s="668"/>
      <c r="NQ170" s="669"/>
      <c r="NR170" s="670"/>
      <c r="NS170" s="671"/>
      <c r="NT170" s="678"/>
      <c r="NU170" s="663"/>
      <c r="NV170" s="650"/>
      <c r="NW170" s="651" t="str">
        <f>IF(NV170="Low",NS170*$D$42,IF(NV170="Med",NS170*$D$43,IF(NV170="High",NS170*$D$44,"rango cal. out")))</f>
        <v>rango cal. out</v>
      </c>
      <c r="NX170" s="619" t="e">
        <f>((273.2+NP170)*$F$33/((273.2+$F$32)*NR170))</f>
        <v>#DIV/0!</v>
      </c>
      <c r="NY170" s="674" t="e">
        <f>NW170/NT170*NX170*EXP(-LN(2)/10990*($F$96-NU170))</f>
        <v>#VALUE!</v>
      </c>
      <c r="NZ170" s="599" t="e">
        <f>NY170-AVERAGE(OG102:OG103)</f>
        <v>#VALUE!</v>
      </c>
      <c r="OA170" s="599" t="e">
        <f>ABS(#REF!*NZ170*3600)</f>
        <v>#REF!</v>
      </c>
      <c r="OB170" s="657" t="e">
        <f>ABS($B$34*NZ170*3600)</f>
        <v>#VALUE!</v>
      </c>
      <c r="OC170" s="614" t="e">
        <f>OB170*$C$87</f>
        <v>#VALUE!</v>
      </c>
      <c r="OD170" s="672" t="e">
        <f>OB170*$F$78</f>
        <v>#VALUE!</v>
      </c>
      <c r="OE170" s="600" t="e">
        <f>OB170*$F$83</f>
        <v>#VALUE!</v>
      </c>
      <c r="OF170" s="672" t="e">
        <f>OB170*$F$80</f>
        <v>#VALUE!</v>
      </c>
      <c r="OG170" s="676" t="e">
        <f>OB170*$F$79</f>
        <v>#VALUE!</v>
      </c>
      <c r="OH170" s="668"/>
      <c r="OI170" s="669"/>
      <c r="OJ170" s="670"/>
      <c r="OK170" s="671"/>
      <c r="OL170" s="678"/>
      <c r="OM170" s="663"/>
      <c r="ON170" s="650"/>
      <c r="OO170" s="651" t="str">
        <f>IF(ON170="Low",OK170*$D$42,IF(ON170="Med",OK170*$D$43,IF(ON170="High",OK170*$D$44,"rango cal. out")))</f>
        <v>rango cal. out</v>
      </c>
      <c r="OP170" s="619" t="e">
        <f>((273.2+OH170)*$F$33/((273.2+$F$32)*OJ170))</f>
        <v>#DIV/0!</v>
      </c>
      <c r="OQ170" s="674" t="e">
        <f>OO170/OL170*OP170*EXP(-LN(2)/10990*($F$96-OM170))</f>
        <v>#VALUE!</v>
      </c>
      <c r="OR170" s="599" t="e">
        <f>OQ170-AVERAGE(OY102:OY103)</f>
        <v>#VALUE!</v>
      </c>
      <c r="OS170" s="599" t="e">
        <f>ABS(#REF!*OR170*3600)</f>
        <v>#REF!</v>
      </c>
      <c r="OT170" s="657" t="e">
        <f>ABS($B$34*OR170*3600)</f>
        <v>#VALUE!</v>
      </c>
      <c r="OU170" s="614" t="e">
        <f>OT170*$C$87</f>
        <v>#VALUE!</v>
      </c>
      <c r="OV170" s="672" t="e">
        <f>OT170*$F$78</f>
        <v>#VALUE!</v>
      </c>
      <c r="OW170" s="600" t="e">
        <f>OT170*$F$83</f>
        <v>#VALUE!</v>
      </c>
      <c r="OX170" s="672" t="e">
        <f>OT170*$F$80</f>
        <v>#VALUE!</v>
      </c>
      <c r="OY170" s="676" t="e">
        <f>OT170*$F$79</f>
        <v>#VALUE!</v>
      </c>
      <c r="OZ170" s="668"/>
      <c r="PA170" s="669"/>
      <c r="PB170" s="670"/>
      <c r="PC170" s="671"/>
      <c r="PD170" s="678"/>
      <c r="PE170" s="663"/>
      <c r="PF170" s="650"/>
      <c r="PG170" s="651" t="str">
        <f>IF(PF170="Low",PC170*$D$42,IF(PF170="Med",PC170*$D$43,IF(PF170="High",PC170*$D$44,"rango cal. out")))</f>
        <v>rango cal. out</v>
      </c>
      <c r="PH170" s="619" t="e">
        <f>((273.2+OZ170)*$F$33/((273.2+$F$32)*PB170))</f>
        <v>#DIV/0!</v>
      </c>
      <c r="PI170" s="674" t="e">
        <f>PG170/PD170*PH170*EXP(-LN(2)/10990*($F$96-PE170))</f>
        <v>#VALUE!</v>
      </c>
      <c r="PJ170" s="599" t="e">
        <f>PI170-AVERAGE(PQ102:PQ103)</f>
        <v>#VALUE!</v>
      </c>
      <c r="PK170" s="599" t="e">
        <f>ABS(#REF!*PJ170*3600)</f>
        <v>#REF!</v>
      </c>
      <c r="PL170" s="657" t="e">
        <f>ABS($B$34*PJ170*3600)</f>
        <v>#VALUE!</v>
      </c>
      <c r="PM170" s="614" t="e">
        <f>PL170*$C$87</f>
        <v>#VALUE!</v>
      </c>
      <c r="PN170" s="672" t="e">
        <f>PL170*$F$78</f>
        <v>#VALUE!</v>
      </c>
      <c r="PO170" s="600" t="e">
        <f>PL170*$F$83</f>
        <v>#VALUE!</v>
      </c>
      <c r="PP170" s="672" t="e">
        <f>PL170*$F$80</f>
        <v>#VALUE!</v>
      </c>
      <c r="PQ170" s="676" t="e">
        <f>PL170*$F$79</f>
        <v>#VALUE!</v>
      </c>
      <c r="PR170" s="668"/>
      <c r="PS170" s="669"/>
      <c r="PT170" s="670"/>
      <c r="PU170" s="671"/>
      <c r="PV170" s="678"/>
      <c r="PW170" s="663"/>
      <c r="PX170" s="650"/>
      <c r="PY170" s="651" t="str">
        <f>IF(PX170="Low",PU170*$D$42,IF(PX170="Med",PU170*$D$43,IF(PX170="High",PU170*$D$44,"rango cal. out")))</f>
        <v>rango cal. out</v>
      </c>
      <c r="PZ170" s="619" t="e">
        <f>((273.2+PR170)*$F$33/((273.2+$F$32)*PT170))</f>
        <v>#DIV/0!</v>
      </c>
      <c r="QA170" s="674" t="e">
        <f>PY170/PV170*PZ170*EXP(-LN(2)/10990*($F$96-PW170))</f>
        <v>#VALUE!</v>
      </c>
      <c r="QB170" s="599" t="e">
        <f>QA170-AVERAGE(QI102:QI103)</f>
        <v>#VALUE!</v>
      </c>
      <c r="QC170" s="599" t="e">
        <f>ABS(#REF!*QB170*3600)</f>
        <v>#REF!</v>
      </c>
      <c r="QD170" s="657" t="e">
        <f>ABS($B$34*QB170*3600)</f>
        <v>#VALUE!</v>
      </c>
      <c r="QE170" s="614" t="e">
        <f>QD170*$C$87</f>
        <v>#VALUE!</v>
      </c>
      <c r="QF170" s="672" t="e">
        <f>QD170*$F$78</f>
        <v>#VALUE!</v>
      </c>
      <c r="QG170" s="600" t="e">
        <f>QD170*$F$83</f>
        <v>#VALUE!</v>
      </c>
      <c r="QH170" s="672" t="e">
        <f>QD170*$F$80</f>
        <v>#VALUE!</v>
      </c>
      <c r="QI170" s="676" t="e">
        <f>QD170*$F$79</f>
        <v>#VALUE!</v>
      </c>
      <c r="QJ170" s="668"/>
      <c r="QK170" s="669"/>
      <c r="QL170" s="670"/>
      <c r="QM170" s="671"/>
      <c r="QN170" s="678"/>
      <c r="QO170" s="663"/>
      <c r="QP170" s="650"/>
      <c r="QQ170" s="651" t="str">
        <f>IF(QP170="Low",QM170*$D$42,IF(QP170="Med",QM170*$D$43,IF(QP170="High",QM170*$D$44,"rango cal. out")))</f>
        <v>rango cal. out</v>
      </c>
      <c r="QR170" s="619" t="e">
        <f>((273.2+QJ170)*$F$33/((273.2+$F$32)*QL170))</f>
        <v>#DIV/0!</v>
      </c>
      <c r="QS170" s="674" t="e">
        <f>QQ170/QN170*QR170*EXP(-LN(2)/10990*($F$96-QO170))</f>
        <v>#VALUE!</v>
      </c>
      <c r="QT170" s="599" t="e">
        <f>QS170-AVERAGE(RA102:RA103)</f>
        <v>#VALUE!</v>
      </c>
      <c r="QU170" s="599" t="e">
        <f>ABS(#REF!*QT170*3600)</f>
        <v>#REF!</v>
      </c>
      <c r="QV170" s="657" t="e">
        <f>ABS($B$34*QT170*3600)</f>
        <v>#VALUE!</v>
      </c>
      <c r="QW170" s="614" t="e">
        <f>QV170*$C$87</f>
        <v>#VALUE!</v>
      </c>
      <c r="QX170" s="672" t="e">
        <f>QV170*$F$78</f>
        <v>#VALUE!</v>
      </c>
      <c r="QY170" s="600" t="e">
        <f>QV170*$F$83</f>
        <v>#VALUE!</v>
      </c>
      <c r="QZ170" s="672" t="e">
        <f>QV170*$F$80</f>
        <v>#VALUE!</v>
      </c>
      <c r="RA170" s="676" t="e">
        <f>QV170*$F$79</f>
        <v>#VALUE!</v>
      </c>
      <c r="RB170" s="668"/>
      <c r="RC170" s="669"/>
      <c r="RD170" s="670"/>
      <c r="RE170" s="671"/>
      <c r="RF170" s="673">
        <v>100</v>
      </c>
      <c r="RG170" s="663"/>
      <c r="RH170" s="650"/>
      <c r="RI170" s="651" t="str">
        <f>IF(RH170="Low",RE170*$D$42,IF(RH170="Med",RE170*$D$43,IF(RH170="High",RE170*$D$44,"rango cal. out")))</f>
        <v>rango cal. out</v>
      </c>
      <c r="RJ170" s="619" t="e">
        <f>((273.2+RB170)*$F$33/((273.2+$F$32)*RD170))</f>
        <v>#DIV/0!</v>
      </c>
      <c r="RK170" s="674" t="e">
        <f>RI170/RF170*RJ170*EXP(-LN(2)/10990*($F$96-RG170))</f>
        <v>#VALUE!</v>
      </c>
      <c r="RL170" s="599" t="e">
        <f>RK170-AVERAGE(RS102:RS103)</f>
        <v>#VALUE!</v>
      </c>
      <c r="RM170" s="599" t="e">
        <f>ABS(#REF!*RL170*3600)</f>
        <v>#REF!</v>
      </c>
      <c r="RN170" s="657" t="e">
        <f>ABS($B$34*RL170*3600)</f>
        <v>#VALUE!</v>
      </c>
      <c r="RO170" s="614" t="e">
        <f>RN170*$C$87</f>
        <v>#VALUE!</v>
      </c>
      <c r="RP170" s="672" t="e">
        <f>RN170*$F$78</f>
        <v>#VALUE!</v>
      </c>
      <c r="RQ170" s="600" t="e">
        <f>RN170*$F$83</f>
        <v>#VALUE!</v>
      </c>
      <c r="RR170" s="672" t="e">
        <f>RN170*$F$80</f>
        <v>#VALUE!</v>
      </c>
      <c r="RS170" s="676" t="e">
        <f>RN170*$F$79</f>
        <v>#VALUE!</v>
      </c>
      <c r="RT170" s="668"/>
      <c r="RU170" s="669"/>
      <c r="RV170" s="669"/>
      <c r="RW170" s="679"/>
      <c r="RX170" s="673">
        <v>100</v>
      </c>
      <c r="RY170" s="663"/>
      <c r="RZ170" s="650"/>
      <c r="SA170" s="651" t="str">
        <f>IF(RZ170="Low",RW170*$D$42,IF(RZ170="Med",RW170*$D$43,IF(RZ170="High",RW170*$D$44,"rango cal. out")))</f>
        <v>rango cal. out</v>
      </c>
      <c r="SB170" s="619" t="e">
        <f>((273.2+RT170)*$F$33/((273.2+$F$32)*RV170))</f>
        <v>#DIV/0!</v>
      </c>
      <c r="SC170" s="674" t="e">
        <f>SA170/RX170*SB170*EXP(-LN(2)/10990*($F$96-RY170))</f>
        <v>#VALUE!</v>
      </c>
      <c r="SD170" s="599" t="e">
        <f>SC170-AVERAGE(SK102:SK103)</f>
        <v>#VALUE!</v>
      </c>
      <c r="SE170" s="599" t="e">
        <f>ABS(#REF!*SD170*3600)</f>
        <v>#REF!</v>
      </c>
      <c r="SF170" s="657" t="e">
        <f>ABS($B$34*SD170*3600)</f>
        <v>#VALUE!</v>
      </c>
      <c r="SG170" s="614" t="e">
        <f>SF170*$C$87</f>
        <v>#VALUE!</v>
      </c>
      <c r="SH170" s="672" t="e">
        <f>SF170*$F$78</f>
        <v>#VALUE!</v>
      </c>
      <c r="SI170" s="600" t="e">
        <f>SF170*$F$83</f>
        <v>#VALUE!</v>
      </c>
      <c r="SJ170" s="672" t="e">
        <f>SF170*$F$80</f>
        <v>#VALUE!</v>
      </c>
      <c r="SK170" s="676" t="e">
        <f>SF170*$F$79</f>
        <v>#VALUE!</v>
      </c>
      <c r="SL170" s="668"/>
      <c r="SM170" s="669"/>
      <c r="SN170" s="670"/>
      <c r="SO170" s="671"/>
      <c r="SP170" s="678"/>
      <c r="SQ170" s="663"/>
      <c r="SR170" s="650"/>
      <c r="SS170" s="651" t="str">
        <f>IF(SR170="Low",SO170*$D$42,IF(SR170="Med",SO170*$D$43,IF(SR170="High",SO170*$D$44,"rango cal. out")))</f>
        <v>rango cal. out</v>
      </c>
      <c r="ST170" s="619" t="e">
        <f>((273.2+SL170)*$F$33/((273.2+$F$32)*SN170))</f>
        <v>#DIV/0!</v>
      </c>
      <c r="SU170" s="674" t="e">
        <f>SS170/SP170*ST170*EXP(-LN(2)/10990*($F$96-SQ170))</f>
        <v>#VALUE!</v>
      </c>
      <c r="SV170" s="599" t="e">
        <f>SU170-AVERAGE(TC102:TC103)</f>
        <v>#VALUE!</v>
      </c>
      <c r="SW170" s="599" t="e">
        <f>ABS(#REF!*SV170*3600)</f>
        <v>#REF!</v>
      </c>
      <c r="SX170" s="657" t="e">
        <f>ABS($B$34*SV170*3600)</f>
        <v>#VALUE!</v>
      </c>
      <c r="SY170" s="614" t="e">
        <f>SX170*$C$87</f>
        <v>#VALUE!</v>
      </c>
      <c r="SZ170" s="672" t="e">
        <f>SX170*$F$78</f>
        <v>#VALUE!</v>
      </c>
      <c r="TA170" s="600" t="e">
        <f>SX170*$F$83</f>
        <v>#VALUE!</v>
      </c>
      <c r="TB170" s="672" t="e">
        <f>SX170*$F$80</f>
        <v>#VALUE!</v>
      </c>
      <c r="TC170" s="676" t="e">
        <f>SX170*$F$79</f>
        <v>#VALUE!</v>
      </c>
      <c r="TD170" s="668"/>
      <c r="TE170" s="669"/>
      <c r="TF170" s="670"/>
      <c r="TG170" s="671"/>
      <c r="TH170" s="678"/>
      <c r="TI170" s="663"/>
      <c r="TJ170" s="650"/>
      <c r="TK170" s="651" t="str">
        <f>IF(TJ170="Low",TG170*$D$42,IF(TJ170="Med",TG170*$D$43,IF(TJ170="High",TG170*$D$44,"rango cal. out")))</f>
        <v>rango cal. out</v>
      </c>
      <c r="TL170" s="619" t="e">
        <f>((273.2+TD170)*$F$33/((273.2+$F$32)*TF170))</f>
        <v>#DIV/0!</v>
      </c>
      <c r="TM170" s="674" t="e">
        <f>TK170/TH170*TL170*EXP(-LN(2)/10990*($F$96-TI170))</f>
        <v>#VALUE!</v>
      </c>
      <c r="TN170" s="599" t="e">
        <f>TM170-AVERAGE(TU102:TU103)</f>
        <v>#VALUE!</v>
      </c>
      <c r="TO170" s="599" t="e">
        <f>ABS(#REF!*TN170*3600)</f>
        <v>#REF!</v>
      </c>
      <c r="TP170" s="657" t="e">
        <f>ABS($B$34*TN170*3600)</f>
        <v>#VALUE!</v>
      </c>
      <c r="TQ170" s="614" t="e">
        <f>TP170*$C$87</f>
        <v>#VALUE!</v>
      </c>
      <c r="TR170" s="672" t="e">
        <f>TP170*$F$78</f>
        <v>#VALUE!</v>
      </c>
      <c r="TS170" s="600" t="e">
        <f>TP170*$F$83</f>
        <v>#VALUE!</v>
      </c>
      <c r="TT170" s="672" t="e">
        <f>TP170*$F$80</f>
        <v>#VALUE!</v>
      </c>
      <c r="TU170" s="676" t="e">
        <f>TP170*$F$79</f>
        <v>#VALUE!</v>
      </c>
      <c r="TV170" s="668"/>
      <c r="TW170" s="669"/>
      <c r="TX170" s="670"/>
      <c r="TY170" s="671"/>
      <c r="TZ170" s="678"/>
      <c r="UA170" s="663"/>
      <c r="UB170" s="650"/>
      <c r="UC170" s="651" t="str">
        <f>IF(UB170="Low",TY170*$D$42,IF(UB170="Med",TY170*$D$43,IF(UB170="High",TY170*$D$44,"rango cal. out")))</f>
        <v>rango cal. out</v>
      </c>
      <c r="UD170" s="619" t="e">
        <f>((273.2+TV170)*$F$33/((273.2+$F$32)*TX170))</f>
        <v>#DIV/0!</v>
      </c>
      <c r="UE170" s="674" t="e">
        <f>UC170/TZ170*UD170*EXP(-LN(2)/10990*($F$96-UA170))</f>
        <v>#VALUE!</v>
      </c>
      <c r="UF170" s="599" t="e">
        <f>UE170-AVERAGE(UM102:UM103)</f>
        <v>#VALUE!</v>
      </c>
      <c r="UG170" s="599" t="e">
        <f>ABS(#REF!*UF170*3600)</f>
        <v>#REF!</v>
      </c>
      <c r="UH170" s="657" t="e">
        <f>ABS($B$34*UF170*3600)</f>
        <v>#VALUE!</v>
      </c>
      <c r="UI170" s="614" t="e">
        <f>UH170*$C$87</f>
        <v>#VALUE!</v>
      </c>
      <c r="UJ170" s="672" t="e">
        <f>UH170*$F$78</f>
        <v>#VALUE!</v>
      </c>
      <c r="UK170" s="600" t="e">
        <f>UH170*$F$83</f>
        <v>#VALUE!</v>
      </c>
      <c r="UL170" s="672" t="e">
        <f>UH170*$F$80</f>
        <v>#VALUE!</v>
      </c>
      <c r="UM170" s="675" t="e">
        <f>UH170*$F$79</f>
        <v>#VALUE!</v>
      </c>
      <c r="UN170" s="668"/>
      <c r="UO170" s="669"/>
      <c r="UP170" s="670"/>
      <c r="UQ170" s="671"/>
      <c r="UR170" s="678"/>
      <c r="US170" s="663"/>
      <c r="UT170" s="650"/>
      <c r="UU170" s="651" t="str">
        <f>IF(UT170="Low",UQ170*$D$42,IF(UT170="Med",UQ170*$D$43,IF(UT170="High",UQ170*$D$44,"rango cal. out")))</f>
        <v>rango cal. out</v>
      </c>
      <c r="UV170" s="619" t="e">
        <f>((273.2+UN170)*$F$33/((273.2+$F$32)*UP170))</f>
        <v>#DIV/0!</v>
      </c>
      <c r="UW170" s="674" t="e">
        <f>UU170/UR170*UV170*EXP(-LN(2)/10990*($F$96-US170))</f>
        <v>#VALUE!</v>
      </c>
      <c r="UX170" s="599" t="e">
        <f>UW170-AVERAGE(VE102:VE103)</f>
        <v>#VALUE!</v>
      </c>
      <c r="UY170" s="599" t="e">
        <f>ABS(#REF!*UX170*3600)</f>
        <v>#REF!</v>
      </c>
      <c r="UZ170" s="657" t="e">
        <f>ABS($B$34*UX170*3600)</f>
        <v>#VALUE!</v>
      </c>
      <c r="VA170" s="614" t="e">
        <f>UZ170*$C$87</f>
        <v>#VALUE!</v>
      </c>
      <c r="VB170" s="672" t="e">
        <f>UZ170*$F$78</f>
        <v>#VALUE!</v>
      </c>
      <c r="VC170" s="600" t="e">
        <f>UZ170*$F$83</f>
        <v>#VALUE!</v>
      </c>
      <c r="VD170" s="672" t="e">
        <f>UZ170*$F$80</f>
        <v>#VALUE!</v>
      </c>
      <c r="VE170" s="676" t="e">
        <f>UZ170*$F$79</f>
        <v>#VALUE!</v>
      </c>
    </row>
    <row r="171" spans="1:577" x14ac:dyDescent="0.25">
      <c r="A171" s="681" t="s">
        <v>61</v>
      </c>
      <c r="B171" s="688">
        <f t="shared" ref="B171:F171" si="1286">AVERAGE(B166:B170)</f>
        <v>20.28</v>
      </c>
      <c r="C171" s="689">
        <f t="shared" si="1286"/>
        <v>55.6</v>
      </c>
      <c r="D171" s="689">
        <f t="shared" si="1286"/>
        <v>1010</v>
      </c>
      <c r="E171" s="672">
        <f t="shared" si="1286"/>
        <v>-1.7708000000000001E-9</v>
      </c>
      <c r="F171" s="689">
        <f t="shared" si="1286"/>
        <v>60</v>
      </c>
      <c r="G171" s="685" t="s">
        <v>93</v>
      </c>
      <c r="H171" s="90" t="s">
        <v>93</v>
      </c>
      <c r="I171" s="599">
        <f t="shared" ref="I171" si="1287">AVERAGE(I166:I170)</f>
        <v>-1.7725707999999999E-9</v>
      </c>
      <c r="J171" s="619">
        <f t="shared" ref="J171:X171" si="1288">AVERAGE(J166:J170)</f>
        <v>0.99737251469049348</v>
      </c>
      <c r="K171" s="675">
        <f t="shared" si="1288"/>
        <v>-2.9178572210036473E-11</v>
      </c>
      <c r="L171" s="672">
        <f t="shared" si="1288"/>
        <v>-2.9154760242664973E-11</v>
      </c>
      <c r="M171" s="687" t="e">
        <f t="shared" si="1288"/>
        <v>#REF!</v>
      </c>
      <c r="N171" s="686">
        <f t="shared" si="1288"/>
        <v>2.6449198492145662E-3</v>
      </c>
      <c r="O171" s="687">
        <f t="shared" si="1288"/>
        <v>0.26449198492145659</v>
      </c>
      <c r="P171" s="2121">
        <f t="shared" si="1288"/>
        <v>3.173903819057479E-3</v>
      </c>
      <c r="Q171" s="687">
        <f t="shared" si="1288"/>
        <v>3.2003530175496253E-3</v>
      </c>
      <c r="R171" s="687">
        <f t="shared" si="1288"/>
        <v>3.2003530175496253E-3</v>
      </c>
      <c r="S171" s="690">
        <f t="shared" si="1288"/>
        <v>3.3061498115182081E-3</v>
      </c>
      <c r="T171" s="691" t="e">
        <f t="shared" si="1288"/>
        <v>#DIV/0!</v>
      </c>
      <c r="U171" s="683" t="e">
        <f t="shared" si="1288"/>
        <v>#DIV/0!</v>
      </c>
      <c r="V171" s="684" t="e">
        <f t="shared" si="1288"/>
        <v>#DIV/0!</v>
      </c>
      <c r="W171" s="599" t="e">
        <f t="shared" si="1288"/>
        <v>#DIV/0!</v>
      </c>
      <c r="X171" s="685" t="e">
        <f t="shared" si="1288"/>
        <v>#DIV/0!</v>
      </c>
      <c r="Y171" s="685" t="s">
        <v>93</v>
      </c>
      <c r="Z171" s="90" t="s">
        <v>93</v>
      </c>
      <c r="AA171" s="599" t="e">
        <f t="shared" ref="AA171" si="1289">AVERAGE(AA166:AA170)</f>
        <v>#DIV/0!</v>
      </c>
      <c r="AB171" s="619" t="e">
        <f t="shared" ref="AB171:AP171" si="1290">AVERAGE(AB166:AB170)</f>
        <v>#DIV/0!</v>
      </c>
      <c r="AC171" s="675" t="e">
        <f t="shared" si="1290"/>
        <v>#VALUE!</v>
      </c>
      <c r="AD171" s="672" t="e">
        <f t="shared" si="1290"/>
        <v>#VALUE!</v>
      </c>
      <c r="AE171" s="687" t="e">
        <f t="shared" si="1290"/>
        <v>#REF!</v>
      </c>
      <c r="AF171" s="686" t="e">
        <f t="shared" si="1290"/>
        <v>#VALUE!</v>
      </c>
      <c r="AG171" s="687" t="e">
        <f t="shared" si="1290"/>
        <v>#VALUE!</v>
      </c>
      <c r="AH171" s="687" t="e">
        <f t="shared" si="1290"/>
        <v>#VALUE!</v>
      </c>
      <c r="AI171" s="687" t="e">
        <f t="shared" si="1290"/>
        <v>#VALUE!</v>
      </c>
      <c r="AJ171" s="687" t="e">
        <f t="shared" si="1290"/>
        <v>#VALUE!</v>
      </c>
      <c r="AK171" s="690" t="e">
        <f t="shared" si="1290"/>
        <v>#VALUE!</v>
      </c>
      <c r="AL171" s="691" t="e">
        <f t="shared" si="1290"/>
        <v>#DIV/0!</v>
      </c>
      <c r="AM171" s="683" t="e">
        <f t="shared" si="1290"/>
        <v>#DIV/0!</v>
      </c>
      <c r="AN171" s="684" t="e">
        <f t="shared" si="1290"/>
        <v>#DIV/0!</v>
      </c>
      <c r="AO171" s="599" t="e">
        <f t="shared" si="1290"/>
        <v>#DIV/0!</v>
      </c>
      <c r="AP171" s="685" t="e">
        <f t="shared" si="1290"/>
        <v>#DIV/0!</v>
      </c>
      <c r="AQ171" s="685" t="s">
        <v>93</v>
      </c>
      <c r="AR171" s="90" t="s">
        <v>93</v>
      </c>
      <c r="AS171" s="599" t="e">
        <f t="shared" ref="AS171" si="1291">AVERAGE(AS166:AS170)</f>
        <v>#DIV/0!</v>
      </c>
      <c r="AT171" s="619" t="e">
        <f t="shared" ref="AT171:BH171" si="1292">AVERAGE(AT166:AT170)</f>
        <v>#DIV/0!</v>
      </c>
      <c r="AU171" s="675" t="e">
        <f t="shared" si="1292"/>
        <v>#VALUE!</v>
      </c>
      <c r="AV171" s="672" t="e">
        <f t="shared" si="1292"/>
        <v>#VALUE!</v>
      </c>
      <c r="AW171" s="687" t="e">
        <f t="shared" si="1292"/>
        <v>#REF!</v>
      </c>
      <c r="AX171" s="686" t="e">
        <f t="shared" si="1292"/>
        <v>#VALUE!</v>
      </c>
      <c r="AY171" s="687" t="e">
        <f t="shared" si="1292"/>
        <v>#VALUE!</v>
      </c>
      <c r="AZ171" s="687" t="e">
        <f t="shared" si="1292"/>
        <v>#VALUE!</v>
      </c>
      <c r="BA171" s="687" t="e">
        <f t="shared" si="1292"/>
        <v>#VALUE!</v>
      </c>
      <c r="BB171" s="687" t="e">
        <f t="shared" si="1292"/>
        <v>#VALUE!</v>
      </c>
      <c r="BC171" s="690" t="e">
        <f t="shared" si="1292"/>
        <v>#VALUE!</v>
      </c>
      <c r="BD171" s="682" t="e">
        <f t="shared" si="1292"/>
        <v>#DIV/0!</v>
      </c>
      <c r="BE171" s="683" t="e">
        <f t="shared" si="1292"/>
        <v>#DIV/0!</v>
      </c>
      <c r="BF171" s="684" t="e">
        <f t="shared" si="1292"/>
        <v>#DIV/0!</v>
      </c>
      <c r="BG171" s="599" t="e">
        <f t="shared" si="1292"/>
        <v>#DIV/0!</v>
      </c>
      <c r="BH171" s="685" t="e">
        <f t="shared" si="1292"/>
        <v>#DIV/0!</v>
      </c>
      <c r="BI171" s="685" t="s">
        <v>93</v>
      </c>
      <c r="BJ171" s="90" t="s">
        <v>93</v>
      </c>
      <c r="BK171" s="599" t="e">
        <f t="shared" ref="BK171" si="1293">AVERAGE(BK166:BK170)</f>
        <v>#DIV/0!</v>
      </c>
      <c r="BL171" s="619" t="e">
        <f t="shared" ref="BL171:BZ171" si="1294">AVERAGE(BL166:BL170)</f>
        <v>#DIV/0!</v>
      </c>
      <c r="BM171" s="675" t="e">
        <f t="shared" si="1294"/>
        <v>#VALUE!</v>
      </c>
      <c r="BN171" s="672" t="e">
        <f t="shared" si="1294"/>
        <v>#VALUE!</v>
      </c>
      <c r="BO171" s="687" t="e">
        <f t="shared" si="1294"/>
        <v>#REF!</v>
      </c>
      <c r="BP171" s="686" t="e">
        <f t="shared" si="1294"/>
        <v>#VALUE!</v>
      </c>
      <c r="BQ171" s="687" t="e">
        <f t="shared" si="1294"/>
        <v>#VALUE!</v>
      </c>
      <c r="BR171" s="687" t="e">
        <f t="shared" si="1294"/>
        <v>#VALUE!</v>
      </c>
      <c r="BS171" s="687" t="e">
        <f t="shared" si="1294"/>
        <v>#VALUE!</v>
      </c>
      <c r="BT171" s="687" t="e">
        <f t="shared" si="1294"/>
        <v>#VALUE!</v>
      </c>
      <c r="BU171" s="690" t="e">
        <f t="shared" si="1294"/>
        <v>#VALUE!</v>
      </c>
      <c r="BV171" s="682" t="e">
        <f t="shared" si="1294"/>
        <v>#DIV/0!</v>
      </c>
      <c r="BW171" s="683" t="e">
        <f t="shared" si="1294"/>
        <v>#DIV/0!</v>
      </c>
      <c r="BX171" s="684" t="e">
        <f t="shared" si="1294"/>
        <v>#DIV/0!</v>
      </c>
      <c r="BY171" s="599" t="e">
        <f t="shared" si="1294"/>
        <v>#DIV/0!</v>
      </c>
      <c r="BZ171" s="685" t="e">
        <f t="shared" si="1294"/>
        <v>#DIV/0!</v>
      </c>
      <c r="CA171" s="685" t="s">
        <v>93</v>
      </c>
      <c r="CB171" s="90" t="s">
        <v>93</v>
      </c>
      <c r="CC171" s="599" t="e">
        <f t="shared" ref="CC171" si="1295">AVERAGE(CC166:CC170)</f>
        <v>#DIV/0!</v>
      </c>
      <c r="CD171" s="619" t="e">
        <f t="shared" ref="CD171:CR171" si="1296">AVERAGE(CD166:CD170)</f>
        <v>#DIV/0!</v>
      </c>
      <c r="CE171" s="675" t="e">
        <f t="shared" si="1296"/>
        <v>#VALUE!</v>
      </c>
      <c r="CF171" s="672" t="e">
        <f t="shared" si="1296"/>
        <v>#VALUE!</v>
      </c>
      <c r="CG171" s="687" t="e">
        <f t="shared" si="1296"/>
        <v>#REF!</v>
      </c>
      <c r="CH171" s="686" t="e">
        <f t="shared" si="1296"/>
        <v>#VALUE!</v>
      </c>
      <c r="CI171" s="687" t="e">
        <f t="shared" si="1296"/>
        <v>#VALUE!</v>
      </c>
      <c r="CJ171" s="687" t="e">
        <f t="shared" si="1296"/>
        <v>#VALUE!</v>
      </c>
      <c r="CK171" s="687" t="e">
        <f t="shared" si="1296"/>
        <v>#VALUE!</v>
      </c>
      <c r="CL171" s="687" t="e">
        <f t="shared" si="1296"/>
        <v>#VALUE!</v>
      </c>
      <c r="CM171" s="690" t="e">
        <f t="shared" si="1296"/>
        <v>#VALUE!</v>
      </c>
      <c r="CN171" s="682" t="e">
        <f t="shared" si="1296"/>
        <v>#DIV/0!</v>
      </c>
      <c r="CO171" s="683" t="e">
        <f t="shared" si="1296"/>
        <v>#DIV/0!</v>
      </c>
      <c r="CP171" s="684" t="e">
        <f t="shared" si="1296"/>
        <v>#DIV/0!</v>
      </c>
      <c r="CQ171" s="599" t="e">
        <f t="shared" si="1296"/>
        <v>#DIV/0!</v>
      </c>
      <c r="CR171" s="685" t="e">
        <f t="shared" si="1296"/>
        <v>#DIV/0!</v>
      </c>
      <c r="CS171" s="685" t="s">
        <v>93</v>
      </c>
      <c r="CT171" s="90" t="s">
        <v>93</v>
      </c>
      <c r="CU171" s="599" t="e">
        <f t="shared" ref="CU171" si="1297">AVERAGE(CU166:CU170)</f>
        <v>#DIV/0!</v>
      </c>
      <c r="CV171" s="619" t="e">
        <f t="shared" ref="CV171:DJ171" si="1298">AVERAGE(CV166:CV170)</f>
        <v>#DIV/0!</v>
      </c>
      <c r="CW171" s="675" t="e">
        <f t="shared" si="1298"/>
        <v>#VALUE!</v>
      </c>
      <c r="CX171" s="672" t="e">
        <f t="shared" si="1298"/>
        <v>#VALUE!</v>
      </c>
      <c r="CY171" s="687" t="e">
        <f t="shared" si="1298"/>
        <v>#REF!</v>
      </c>
      <c r="CZ171" s="686" t="e">
        <f t="shared" si="1298"/>
        <v>#VALUE!</v>
      </c>
      <c r="DA171" s="687" t="e">
        <f t="shared" si="1298"/>
        <v>#VALUE!</v>
      </c>
      <c r="DB171" s="687" t="e">
        <f t="shared" si="1298"/>
        <v>#VALUE!</v>
      </c>
      <c r="DC171" s="687" t="e">
        <f t="shared" si="1298"/>
        <v>#VALUE!</v>
      </c>
      <c r="DD171" s="687" t="e">
        <f t="shared" si="1298"/>
        <v>#VALUE!</v>
      </c>
      <c r="DE171" s="690" t="e">
        <f t="shared" si="1298"/>
        <v>#VALUE!</v>
      </c>
      <c r="DF171" s="682" t="e">
        <f t="shared" si="1298"/>
        <v>#DIV/0!</v>
      </c>
      <c r="DG171" s="683" t="e">
        <f t="shared" si="1298"/>
        <v>#DIV/0!</v>
      </c>
      <c r="DH171" s="684" t="e">
        <f t="shared" si="1298"/>
        <v>#DIV/0!</v>
      </c>
      <c r="DI171" s="599" t="e">
        <f t="shared" si="1298"/>
        <v>#DIV/0!</v>
      </c>
      <c r="DJ171" s="685" t="e">
        <f t="shared" si="1298"/>
        <v>#DIV/0!</v>
      </c>
      <c r="DK171" s="685" t="s">
        <v>93</v>
      </c>
      <c r="DL171" s="90" t="s">
        <v>93</v>
      </c>
      <c r="DM171" s="599" t="e">
        <f t="shared" ref="DM171" si="1299">AVERAGE(DM166:DM170)</f>
        <v>#DIV/0!</v>
      </c>
      <c r="DN171" s="619" t="e">
        <f t="shared" ref="DN171:EB171" si="1300">AVERAGE(DN166:DN170)</f>
        <v>#DIV/0!</v>
      </c>
      <c r="DO171" s="675" t="e">
        <f t="shared" si="1300"/>
        <v>#VALUE!</v>
      </c>
      <c r="DP171" s="672" t="e">
        <f t="shared" si="1300"/>
        <v>#VALUE!</v>
      </c>
      <c r="DQ171" s="687" t="e">
        <f t="shared" si="1300"/>
        <v>#REF!</v>
      </c>
      <c r="DR171" s="686" t="e">
        <f t="shared" si="1300"/>
        <v>#VALUE!</v>
      </c>
      <c r="DS171" s="687" t="e">
        <f t="shared" si="1300"/>
        <v>#VALUE!</v>
      </c>
      <c r="DT171" s="687" t="e">
        <f t="shared" si="1300"/>
        <v>#VALUE!</v>
      </c>
      <c r="DU171" s="687" t="e">
        <f t="shared" si="1300"/>
        <v>#VALUE!</v>
      </c>
      <c r="DV171" s="687" t="e">
        <f t="shared" si="1300"/>
        <v>#VALUE!</v>
      </c>
      <c r="DW171" s="690" t="e">
        <f t="shared" si="1300"/>
        <v>#VALUE!</v>
      </c>
      <c r="DX171" s="682" t="e">
        <f t="shared" si="1300"/>
        <v>#DIV/0!</v>
      </c>
      <c r="DY171" s="683" t="e">
        <f t="shared" si="1300"/>
        <v>#DIV/0!</v>
      </c>
      <c r="DZ171" s="684" t="e">
        <f t="shared" si="1300"/>
        <v>#DIV/0!</v>
      </c>
      <c r="EA171" s="653" t="e">
        <f t="shared" si="1300"/>
        <v>#DIV/0!</v>
      </c>
      <c r="EB171" s="685" t="e">
        <f t="shared" si="1300"/>
        <v>#DIV/0!</v>
      </c>
      <c r="EC171" s="685" t="s">
        <v>93</v>
      </c>
      <c r="ED171" s="90" t="s">
        <v>93</v>
      </c>
      <c r="EE171" s="599" t="e">
        <f t="shared" ref="EE171" si="1301">AVERAGE(EE166:EE170)</f>
        <v>#DIV/0!</v>
      </c>
      <c r="EF171" s="619" t="e">
        <f t="shared" ref="EF171:ET171" si="1302">AVERAGE(EF166:EF170)</f>
        <v>#DIV/0!</v>
      </c>
      <c r="EG171" s="675" t="e">
        <f t="shared" si="1302"/>
        <v>#VALUE!</v>
      </c>
      <c r="EH171" s="672" t="e">
        <f t="shared" si="1302"/>
        <v>#VALUE!</v>
      </c>
      <c r="EI171" s="687" t="e">
        <f t="shared" si="1302"/>
        <v>#REF!</v>
      </c>
      <c r="EJ171" s="686" t="e">
        <f t="shared" si="1302"/>
        <v>#VALUE!</v>
      </c>
      <c r="EK171" s="687" t="e">
        <f t="shared" si="1302"/>
        <v>#VALUE!</v>
      </c>
      <c r="EL171" s="687" t="e">
        <f t="shared" si="1302"/>
        <v>#VALUE!</v>
      </c>
      <c r="EM171" s="687" t="e">
        <f t="shared" si="1302"/>
        <v>#VALUE!</v>
      </c>
      <c r="EN171" s="687" t="e">
        <f t="shared" si="1302"/>
        <v>#VALUE!</v>
      </c>
      <c r="EO171" s="690" t="e">
        <f t="shared" si="1302"/>
        <v>#VALUE!</v>
      </c>
      <c r="EP171" s="682" t="e">
        <f t="shared" si="1302"/>
        <v>#DIV/0!</v>
      </c>
      <c r="EQ171" s="683" t="e">
        <f t="shared" si="1302"/>
        <v>#DIV/0!</v>
      </c>
      <c r="ER171" s="684" t="e">
        <f t="shared" si="1302"/>
        <v>#DIV/0!</v>
      </c>
      <c r="ES171" s="599" t="e">
        <f t="shared" si="1302"/>
        <v>#DIV/0!</v>
      </c>
      <c r="ET171" s="685" t="e">
        <f t="shared" si="1302"/>
        <v>#DIV/0!</v>
      </c>
      <c r="EU171" s="685" t="s">
        <v>93</v>
      </c>
      <c r="EV171" s="90" t="s">
        <v>93</v>
      </c>
      <c r="EW171" s="599" t="e">
        <f t="shared" ref="EW171" si="1303">AVERAGE(EW166:EW170)</f>
        <v>#DIV/0!</v>
      </c>
      <c r="EX171" s="619" t="e">
        <f t="shared" ref="EX171:FL171" si="1304">AVERAGE(EX166:EX170)</f>
        <v>#DIV/0!</v>
      </c>
      <c r="EY171" s="675" t="e">
        <f t="shared" si="1304"/>
        <v>#VALUE!</v>
      </c>
      <c r="EZ171" s="672" t="e">
        <f t="shared" si="1304"/>
        <v>#VALUE!</v>
      </c>
      <c r="FA171" s="687" t="e">
        <f t="shared" si="1304"/>
        <v>#REF!</v>
      </c>
      <c r="FB171" s="686" t="e">
        <f t="shared" si="1304"/>
        <v>#VALUE!</v>
      </c>
      <c r="FC171" s="687" t="e">
        <f t="shared" si="1304"/>
        <v>#VALUE!</v>
      </c>
      <c r="FD171" s="687" t="e">
        <f t="shared" si="1304"/>
        <v>#VALUE!</v>
      </c>
      <c r="FE171" s="687" t="e">
        <f t="shared" si="1304"/>
        <v>#VALUE!</v>
      </c>
      <c r="FF171" s="687" t="e">
        <f t="shared" si="1304"/>
        <v>#VALUE!</v>
      </c>
      <c r="FG171" s="690" t="e">
        <f t="shared" si="1304"/>
        <v>#VALUE!</v>
      </c>
      <c r="FH171" s="682" t="e">
        <f t="shared" si="1304"/>
        <v>#DIV/0!</v>
      </c>
      <c r="FI171" s="683" t="e">
        <f t="shared" si="1304"/>
        <v>#DIV/0!</v>
      </c>
      <c r="FJ171" s="684" t="e">
        <f t="shared" si="1304"/>
        <v>#DIV/0!</v>
      </c>
      <c r="FK171" s="599" t="e">
        <f t="shared" si="1304"/>
        <v>#DIV/0!</v>
      </c>
      <c r="FL171" s="685" t="e">
        <f t="shared" si="1304"/>
        <v>#DIV/0!</v>
      </c>
      <c r="FM171" s="685" t="s">
        <v>93</v>
      </c>
      <c r="FN171" s="90" t="s">
        <v>93</v>
      </c>
      <c r="FO171" s="599" t="e">
        <f t="shared" ref="FO171" si="1305">AVERAGE(FO166:FO170)</f>
        <v>#DIV/0!</v>
      </c>
      <c r="FP171" s="619" t="e">
        <f t="shared" ref="FP171:GD171" si="1306">AVERAGE(FP166:FP170)</f>
        <v>#DIV/0!</v>
      </c>
      <c r="FQ171" s="675" t="e">
        <f t="shared" si="1306"/>
        <v>#VALUE!</v>
      </c>
      <c r="FR171" s="672" t="e">
        <f t="shared" si="1306"/>
        <v>#VALUE!</v>
      </c>
      <c r="FS171" s="687" t="e">
        <f t="shared" si="1306"/>
        <v>#REF!</v>
      </c>
      <c r="FT171" s="686" t="e">
        <f t="shared" si="1306"/>
        <v>#VALUE!</v>
      </c>
      <c r="FU171" s="687" t="e">
        <f t="shared" si="1306"/>
        <v>#VALUE!</v>
      </c>
      <c r="FV171" s="687" t="e">
        <f t="shared" si="1306"/>
        <v>#VALUE!</v>
      </c>
      <c r="FW171" s="687" t="e">
        <f t="shared" si="1306"/>
        <v>#VALUE!</v>
      </c>
      <c r="FX171" s="687" t="e">
        <f t="shared" si="1306"/>
        <v>#VALUE!</v>
      </c>
      <c r="FY171" s="690" t="e">
        <f t="shared" si="1306"/>
        <v>#VALUE!</v>
      </c>
      <c r="FZ171" s="682" t="e">
        <f t="shared" si="1306"/>
        <v>#DIV/0!</v>
      </c>
      <c r="GA171" s="683" t="e">
        <f t="shared" si="1306"/>
        <v>#DIV/0!</v>
      </c>
      <c r="GB171" s="684" t="e">
        <f t="shared" si="1306"/>
        <v>#DIV/0!</v>
      </c>
      <c r="GC171" s="599" t="e">
        <f t="shared" si="1306"/>
        <v>#DIV/0!</v>
      </c>
      <c r="GD171" s="685" t="e">
        <f t="shared" si="1306"/>
        <v>#DIV/0!</v>
      </c>
      <c r="GE171" s="685" t="s">
        <v>93</v>
      </c>
      <c r="GF171" s="90" t="s">
        <v>93</v>
      </c>
      <c r="GG171" s="599" t="e">
        <f t="shared" ref="GG171" si="1307">AVERAGE(GG166:GG170)</f>
        <v>#DIV/0!</v>
      </c>
      <c r="GH171" s="619" t="e">
        <f t="shared" ref="GH171:GV171" si="1308">AVERAGE(GH166:GH170)</f>
        <v>#DIV/0!</v>
      </c>
      <c r="GI171" s="675" t="e">
        <f t="shared" si="1308"/>
        <v>#VALUE!</v>
      </c>
      <c r="GJ171" s="672" t="e">
        <f t="shared" si="1308"/>
        <v>#VALUE!</v>
      </c>
      <c r="GK171" s="687" t="e">
        <f t="shared" si="1308"/>
        <v>#REF!</v>
      </c>
      <c r="GL171" s="686" t="e">
        <f t="shared" si="1308"/>
        <v>#VALUE!</v>
      </c>
      <c r="GM171" s="687" t="e">
        <f t="shared" si="1308"/>
        <v>#VALUE!</v>
      </c>
      <c r="GN171" s="687" t="e">
        <f t="shared" si="1308"/>
        <v>#VALUE!</v>
      </c>
      <c r="GO171" s="687" t="e">
        <f t="shared" si="1308"/>
        <v>#VALUE!</v>
      </c>
      <c r="GP171" s="687" t="e">
        <f t="shared" si="1308"/>
        <v>#VALUE!</v>
      </c>
      <c r="GQ171" s="690" t="e">
        <f t="shared" si="1308"/>
        <v>#VALUE!</v>
      </c>
      <c r="GR171" s="682" t="e">
        <f t="shared" si="1308"/>
        <v>#DIV/0!</v>
      </c>
      <c r="GS171" s="683" t="e">
        <f t="shared" si="1308"/>
        <v>#DIV/0!</v>
      </c>
      <c r="GT171" s="684" t="e">
        <f t="shared" si="1308"/>
        <v>#DIV/0!</v>
      </c>
      <c r="GU171" s="653" t="e">
        <f t="shared" si="1308"/>
        <v>#DIV/0!</v>
      </c>
      <c r="GV171" s="685" t="e">
        <f t="shared" si="1308"/>
        <v>#DIV/0!</v>
      </c>
      <c r="GW171" s="685" t="s">
        <v>93</v>
      </c>
      <c r="GX171" s="90" t="s">
        <v>93</v>
      </c>
      <c r="GY171" s="599" t="e">
        <f t="shared" ref="GY171" si="1309">AVERAGE(GY166:GY170)</f>
        <v>#DIV/0!</v>
      </c>
      <c r="GZ171" s="619" t="e">
        <f t="shared" ref="GZ171:HN171" si="1310">AVERAGE(GZ166:GZ170)</f>
        <v>#DIV/0!</v>
      </c>
      <c r="HA171" s="675" t="e">
        <f t="shared" si="1310"/>
        <v>#VALUE!</v>
      </c>
      <c r="HB171" s="672" t="e">
        <f t="shared" si="1310"/>
        <v>#VALUE!</v>
      </c>
      <c r="HC171" s="687" t="e">
        <f t="shared" si="1310"/>
        <v>#REF!</v>
      </c>
      <c r="HD171" s="686" t="e">
        <f t="shared" si="1310"/>
        <v>#VALUE!</v>
      </c>
      <c r="HE171" s="687" t="e">
        <f t="shared" si="1310"/>
        <v>#VALUE!</v>
      </c>
      <c r="HF171" s="687" t="e">
        <f t="shared" si="1310"/>
        <v>#VALUE!</v>
      </c>
      <c r="HG171" s="687" t="e">
        <f t="shared" si="1310"/>
        <v>#VALUE!</v>
      </c>
      <c r="HH171" s="687" t="e">
        <f t="shared" si="1310"/>
        <v>#VALUE!</v>
      </c>
      <c r="HI171" s="690" t="e">
        <f t="shared" si="1310"/>
        <v>#VALUE!</v>
      </c>
      <c r="HJ171" s="682" t="e">
        <f t="shared" si="1310"/>
        <v>#DIV/0!</v>
      </c>
      <c r="HK171" s="683" t="e">
        <f t="shared" si="1310"/>
        <v>#DIV/0!</v>
      </c>
      <c r="HL171" s="684" t="e">
        <f t="shared" si="1310"/>
        <v>#DIV/0!</v>
      </c>
      <c r="HM171" s="599" t="e">
        <f t="shared" si="1310"/>
        <v>#DIV/0!</v>
      </c>
      <c r="HN171" s="685" t="e">
        <f t="shared" si="1310"/>
        <v>#DIV/0!</v>
      </c>
      <c r="HO171" s="685" t="s">
        <v>93</v>
      </c>
      <c r="HP171" s="90" t="s">
        <v>93</v>
      </c>
      <c r="HQ171" s="599" t="e">
        <f t="shared" ref="HQ171" si="1311">AVERAGE(HQ166:HQ170)</f>
        <v>#DIV/0!</v>
      </c>
      <c r="HR171" s="619" t="e">
        <f t="shared" ref="HR171:IF171" si="1312">AVERAGE(HR166:HR170)</f>
        <v>#DIV/0!</v>
      </c>
      <c r="HS171" s="675" t="e">
        <f t="shared" si="1312"/>
        <v>#VALUE!</v>
      </c>
      <c r="HT171" s="672" t="e">
        <f t="shared" si="1312"/>
        <v>#VALUE!</v>
      </c>
      <c r="HU171" s="687" t="e">
        <f t="shared" si="1312"/>
        <v>#REF!</v>
      </c>
      <c r="HV171" s="686" t="e">
        <f t="shared" si="1312"/>
        <v>#VALUE!</v>
      </c>
      <c r="HW171" s="687" t="e">
        <f t="shared" si="1312"/>
        <v>#VALUE!</v>
      </c>
      <c r="HX171" s="687" t="e">
        <f t="shared" si="1312"/>
        <v>#VALUE!</v>
      </c>
      <c r="HY171" s="687" t="e">
        <f t="shared" si="1312"/>
        <v>#VALUE!</v>
      </c>
      <c r="HZ171" s="687" t="e">
        <f t="shared" si="1312"/>
        <v>#VALUE!</v>
      </c>
      <c r="IA171" s="690" t="e">
        <f t="shared" si="1312"/>
        <v>#VALUE!</v>
      </c>
      <c r="IB171" s="682" t="e">
        <f t="shared" si="1312"/>
        <v>#DIV/0!</v>
      </c>
      <c r="IC171" s="683" t="e">
        <f t="shared" si="1312"/>
        <v>#DIV/0!</v>
      </c>
      <c r="ID171" s="684" t="e">
        <f t="shared" si="1312"/>
        <v>#DIV/0!</v>
      </c>
      <c r="IE171" s="599" t="e">
        <f t="shared" si="1312"/>
        <v>#DIV/0!</v>
      </c>
      <c r="IF171" s="685" t="e">
        <f t="shared" si="1312"/>
        <v>#DIV/0!</v>
      </c>
      <c r="IG171" s="685" t="s">
        <v>93</v>
      </c>
      <c r="IH171" s="90" t="s">
        <v>93</v>
      </c>
      <c r="II171" s="599" t="e">
        <f t="shared" ref="II171" si="1313">AVERAGE(II166:II170)</f>
        <v>#DIV/0!</v>
      </c>
      <c r="IJ171" s="619" t="e">
        <f t="shared" ref="IJ171:IX171" si="1314">AVERAGE(IJ166:IJ170)</f>
        <v>#DIV/0!</v>
      </c>
      <c r="IK171" s="675" t="e">
        <f t="shared" si="1314"/>
        <v>#VALUE!</v>
      </c>
      <c r="IL171" s="672" t="e">
        <f t="shared" si="1314"/>
        <v>#VALUE!</v>
      </c>
      <c r="IM171" s="687" t="e">
        <f t="shared" si="1314"/>
        <v>#REF!</v>
      </c>
      <c r="IN171" s="686" t="e">
        <f t="shared" si="1314"/>
        <v>#VALUE!</v>
      </c>
      <c r="IO171" s="687" t="e">
        <f t="shared" si="1314"/>
        <v>#VALUE!</v>
      </c>
      <c r="IP171" s="687" t="e">
        <f t="shared" si="1314"/>
        <v>#VALUE!</v>
      </c>
      <c r="IQ171" s="687" t="e">
        <f t="shared" si="1314"/>
        <v>#VALUE!</v>
      </c>
      <c r="IR171" s="687" t="e">
        <f t="shared" si="1314"/>
        <v>#VALUE!</v>
      </c>
      <c r="IS171" s="690" t="e">
        <f t="shared" si="1314"/>
        <v>#VALUE!</v>
      </c>
      <c r="IT171" s="682" t="e">
        <f t="shared" si="1314"/>
        <v>#DIV/0!</v>
      </c>
      <c r="IU171" s="683" t="e">
        <f t="shared" si="1314"/>
        <v>#DIV/0!</v>
      </c>
      <c r="IV171" s="684" t="e">
        <f t="shared" si="1314"/>
        <v>#DIV/0!</v>
      </c>
      <c r="IW171" s="599" t="e">
        <f t="shared" si="1314"/>
        <v>#DIV/0!</v>
      </c>
      <c r="IX171" s="685" t="e">
        <f t="shared" si="1314"/>
        <v>#DIV/0!</v>
      </c>
      <c r="IY171" s="685" t="s">
        <v>93</v>
      </c>
      <c r="IZ171" s="90" t="s">
        <v>93</v>
      </c>
      <c r="JA171" s="599" t="e">
        <f t="shared" ref="JA171" si="1315">AVERAGE(JA166:JA170)</f>
        <v>#DIV/0!</v>
      </c>
      <c r="JB171" s="619" t="e">
        <f t="shared" ref="JB171:JP171" si="1316">AVERAGE(JB166:JB170)</f>
        <v>#DIV/0!</v>
      </c>
      <c r="JC171" s="675" t="e">
        <f t="shared" si="1316"/>
        <v>#VALUE!</v>
      </c>
      <c r="JD171" s="672" t="e">
        <f t="shared" si="1316"/>
        <v>#VALUE!</v>
      </c>
      <c r="JE171" s="687" t="e">
        <f t="shared" si="1316"/>
        <v>#REF!</v>
      </c>
      <c r="JF171" s="686" t="e">
        <f t="shared" si="1316"/>
        <v>#VALUE!</v>
      </c>
      <c r="JG171" s="687" t="e">
        <f t="shared" si="1316"/>
        <v>#VALUE!</v>
      </c>
      <c r="JH171" s="687" t="e">
        <f t="shared" si="1316"/>
        <v>#VALUE!</v>
      </c>
      <c r="JI171" s="687" t="e">
        <f t="shared" si="1316"/>
        <v>#VALUE!</v>
      </c>
      <c r="JJ171" s="687" t="e">
        <f t="shared" si="1316"/>
        <v>#VALUE!</v>
      </c>
      <c r="JK171" s="690" t="e">
        <f t="shared" si="1316"/>
        <v>#VALUE!</v>
      </c>
      <c r="JL171" s="682" t="e">
        <f t="shared" si="1316"/>
        <v>#DIV/0!</v>
      </c>
      <c r="JM171" s="683" t="e">
        <f t="shared" si="1316"/>
        <v>#DIV/0!</v>
      </c>
      <c r="JN171" s="684" t="e">
        <f t="shared" si="1316"/>
        <v>#DIV/0!</v>
      </c>
      <c r="JO171" s="599" t="e">
        <f t="shared" si="1316"/>
        <v>#DIV/0!</v>
      </c>
      <c r="JP171" s="685" t="e">
        <f t="shared" si="1316"/>
        <v>#DIV/0!</v>
      </c>
      <c r="JQ171" s="685" t="s">
        <v>93</v>
      </c>
      <c r="JR171" s="90" t="s">
        <v>93</v>
      </c>
      <c r="JS171" s="599" t="e">
        <f t="shared" ref="JS171" si="1317">AVERAGE(JS166:JS170)</f>
        <v>#DIV/0!</v>
      </c>
      <c r="JT171" s="619" t="e">
        <f t="shared" ref="JT171:KH171" si="1318">AVERAGE(JT166:JT170)</f>
        <v>#DIV/0!</v>
      </c>
      <c r="JU171" s="675" t="e">
        <f t="shared" si="1318"/>
        <v>#VALUE!</v>
      </c>
      <c r="JV171" s="672" t="e">
        <f t="shared" si="1318"/>
        <v>#VALUE!</v>
      </c>
      <c r="JW171" s="687" t="e">
        <f t="shared" si="1318"/>
        <v>#REF!</v>
      </c>
      <c r="JX171" s="686" t="e">
        <f t="shared" si="1318"/>
        <v>#VALUE!</v>
      </c>
      <c r="JY171" s="687" t="e">
        <f t="shared" si="1318"/>
        <v>#VALUE!</v>
      </c>
      <c r="JZ171" s="687" t="e">
        <f t="shared" si="1318"/>
        <v>#VALUE!</v>
      </c>
      <c r="KA171" s="687" t="e">
        <f t="shared" si="1318"/>
        <v>#VALUE!</v>
      </c>
      <c r="KB171" s="687" t="e">
        <f t="shared" si="1318"/>
        <v>#VALUE!</v>
      </c>
      <c r="KC171" s="690" t="e">
        <f t="shared" si="1318"/>
        <v>#VALUE!</v>
      </c>
      <c r="KD171" s="682" t="e">
        <f t="shared" si="1318"/>
        <v>#DIV/0!</v>
      </c>
      <c r="KE171" s="683" t="e">
        <f t="shared" si="1318"/>
        <v>#DIV/0!</v>
      </c>
      <c r="KF171" s="684" t="e">
        <f t="shared" si="1318"/>
        <v>#DIV/0!</v>
      </c>
      <c r="KG171" s="599" t="e">
        <f t="shared" si="1318"/>
        <v>#DIV/0!</v>
      </c>
      <c r="KH171" s="685" t="e">
        <f t="shared" si="1318"/>
        <v>#DIV/0!</v>
      </c>
      <c r="KI171" s="685" t="s">
        <v>93</v>
      </c>
      <c r="KJ171" s="90" t="s">
        <v>93</v>
      </c>
      <c r="KK171" s="599" t="e">
        <f t="shared" ref="KK171" si="1319">AVERAGE(KK166:KK170)</f>
        <v>#DIV/0!</v>
      </c>
      <c r="KL171" s="619" t="e">
        <f t="shared" ref="KL171:KZ171" si="1320">AVERAGE(KL166:KL170)</f>
        <v>#DIV/0!</v>
      </c>
      <c r="KM171" s="675" t="e">
        <f t="shared" si="1320"/>
        <v>#VALUE!</v>
      </c>
      <c r="KN171" s="672" t="e">
        <f t="shared" si="1320"/>
        <v>#VALUE!</v>
      </c>
      <c r="KO171" s="687" t="e">
        <f t="shared" si="1320"/>
        <v>#REF!</v>
      </c>
      <c r="KP171" s="686" t="e">
        <f t="shared" si="1320"/>
        <v>#VALUE!</v>
      </c>
      <c r="KQ171" s="687" t="e">
        <f t="shared" si="1320"/>
        <v>#VALUE!</v>
      </c>
      <c r="KR171" s="687" t="e">
        <f t="shared" si="1320"/>
        <v>#VALUE!</v>
      </c>
      <c r="KS171" s="687" t="e">
        <f t="shared" si="1320"/>
        <v>#VALUE!</v>
      </c>
      <c r="KT171" s="687" t="e">
        <f t="shared" si="1320"/>
        <v>#VALUE!</v>
      </c>
      <c r="KU171" s="690" t="e">
        <f t="shared" si="1320"/>
        <v>#VALUE!</v>
      </c>
      <c r="KV171" s="682" t="e">
        <f t="shared" si="1320"/>
        <v>#DIV/0!</v>
      </c>
      <c r="KW171" s="683" t="e">
        <f t="shared" si="1320"/>
        <v>#DIV/0!</v>
      </c>
      <c r="KX171" s="684" t="e">
        <f t="shared" si="1320"/>
        <v>#DIV/0!</v>
      </c>
      <c r="KY171" s="599" t="e">
        <f t="shared" si="1320"/>
        <v>#DIV/0!</v>
      </c>
      <c r="KZ171" s="685" t="e">
        <f t="shared" si="1320"/>
        <v>#DIV/0!</v>
      </c>
      <c r="LA171" s="685" t="s">
        <v>93</v>
      </c>
      <c r="LB171" s="90" t="s">
        <v>93</v>
      </c>
      <c r="LC171" s="599" t="e">
        <f t="shared" ref="LC171" si="1321">AVERAGE(LC166:LC170)</f>
        <v>#DIV/0!</v>
      </c>
      <c r="LD171" s="619" t="e">
        <f t="shared" ref="LD171:LR171" si="1322">AVERAGE(LD166:LD170)</f>
        <v>#DIV/0!</v>
      </c>
      <c r="LE171" s="675" t="e">
        <f t="shared" si="1322"/>
        <v>#VALUE!</v>
      </c>
      <c r="LF171" s="672" t="e">
        <f t="shared" si="1322"/>
        <v>#VALUE!</v>
      </c>
      <c r="LG171" s="687" t="e">
        <f t="shared" si="1322"/>
        <v>#REF!</v>
      </c>
      <c r="LH171" s="686" t="e">
        <f t="shared" si="1322"/>
        <v>#VALUE!</v>
      </c>
      <c r="LI171" s="687" t="e">
        <f t="shared" si="1322"/>
        <v>#VALUE!</v>
      </c>
      <c r="LJ171" s="687" t="e">
        <f t="shared" si="1322"/>
        <v>#VALUE!</v>
      </c>
      <c r="LK171" s="687" t="e">
        <f t="shared" si="1322"/>
        <v>#VALUE!</v>
      </c>
      <c r="LL171" s="687" t="e">
        <f t="shared" si="1322"/>
        <v>#VALUE!</v>
      </c>
      <c r="LM171" s="690" t="e">
        <f t="shared" si="1322"/>
        <v>#VALUE!</v>
      </c>
      <c r="LN171" s="682" t="e">
        <f t="shared" si="1322"/>
        <v>#DIV/0!</v>
      </c>
      <c r="LO171" s="683" t="e">
        <f t="shared" si="1322"/>
        <v>#DIV/0!</v>
      </c>
      <c r="LP171" s="684" t="e">
        <f t="shared" si="1322"/>
        <v>#DIV/0!</v>
      </c>
      <c r="LQ171" s="599" t="e">
        <f t="shared" si="1322"/>
        <v>#DIV/0!</v>
      </c>
      <c r="LR171" s="685" t="e">
        <f t="shared" si="1322"/>
        <v>#DIV/0!</v>
      </c>
      <c r="LS171" s="685" t="s">
        <v>93</v>
      </c>
      <c r="LT171" s="90" t="s">
        <v>93</v>
      </c>
      <c r="LU171" s="599" t="e">
        <f t="shared" ref="LU171" si="1323">AVERAGE(LU166:LU170)</f>
        <v>#DIV/0!</v>
      </c>
      <c r="LV171" s="619" t="e">
        <f t="shared" ref="LV171:MJ171" si="1324">AVERAGE(LV166:LV170)</f>
        <v>#DIV/0!</v>
      </c>
      <c r="LW171" s="675" t="e">
        <f t="shared" si="1324"/>
        <v>#VALUE!</v>
      </c>
      <c r="LX171" s="672" t="e">
        <f t="shared" si="1324"/>
        <v>#VALUE!</v>
      </c>
      <c r="LY171" s="687" t="e">
        <f t="shared" si="1324"/>
        <v>#REF!</v>
      </c>
      <c r="LZ171" s="686" t="e">
        <f t="shared" si="1324"/>
        <v>#VALUE!</v>
      </c>
      <c r="MA171" s="687" t="e">
        <f t="shared" si="1324"/>
        <v>#VALUE!</v>
      </c>
      <c r="MB171" s="687" t="e">
        <f t="shared" si="1324"/>
        <v>#VALUE!</v>
      </c>
      <c r="MC171" s="687" t="e">
        <f t="shared" si="1324"/>
        <v>#VALUE!</v>
      </c>
      <c r="MD171" s="687" t="e">
        <f t="shared" si="1324"/>
        <v>#VALUE!</v>
      </c>
      <c r="ME171" s="690" t="e">
        <f t="shared" si="1324"/>
        <v>#VALUE!</v>
      </c>
      <c r="MF171" s="682" t="e">
        <f t="shared" si="1324"/>
        <v>#DIV/0!</v>
      </c>
      <c r="MG171" s="683" t="e">
        <f t="shared" si="1324"/>
        <v>#DIV/0!</v>
      </c>
      <c r="MH171" s="684" t="e">
        <f t="shared" si="1324"/>
        <v>#DIV/0!</v>
      </c>
      <c r="MI171" s="599" t="e">
        <f t="shared" si="1324"/>
        <v>#DIV/0!</v>
      </c>
      <c r="MJ171" s="685" t="e">
        <f t="shared" si="1324"/>
        <v>#DIV/0!</v>
      </c>
      <c r="MK171" s="685" t="s">
        <v>93</v>
      </c>
      <c r="ML171" s="90" t="s">
        <v>93</v>
      </c>
      <c r="MM171" s="599" t="e">
        <f t="shared" ref="MM171" si="1325">AVERAGE(MM166:MM170)</f>
        <v>#DIV/0!</v>
      </c>
      <c r="MN171" s="619" t="e">
        <f t="shared" ref="MN171:NB171" si="1326">AVERAGE(MN166:MN170)</f>
        <v>#DIV/0!</v>
      </c>
      <c r="MO171" s="675" t="e">
        <f t="shared" si="1326"/>
        <v>#VALUE!</v>
      </c>
      <c r="MP171" s="672" t="e">
        <f t="shared" si="1326"/>
        <v>#VALUE!</v>
      </c>
      <c r="MQ171" s="687" t="e">
        <f t="shared" si="1326"/>
        <v>#REF!</v>
      </c>
      <c r="MR171" s="686" t="e">
        <f t="shared" si="1326"/>
        <v>#VALUE!</v>
      </c>
      <c r="MS171" s="687" t="e">
        <f t="shared" si="1326"/>
        <v>#VALUE!</v>
      </c>
      <c r="MT171" s="687" t="e">
        <f t="shared" si="1326"/>
        <v>#VALUE!</v>
      </c>
      <c r="MU171" s="687" t="e">
        <f t="shared" si="1326"/>
        <v>#VALUE!</v>
      </c>
      <c r="MV171" s="687" t="e">
        <f t="shared" si="1326"/>
        <v>#VALUE!</v>
      </c>
      <c r="MW171" s="690" t="e">
        <f t="shared" si="1326"/>
        <v>#VALUE!</v>
      </c>
      <c r="MX171" s="682" t="e">
        <f t="shared" si="1326"/>
        <v>#DIV/0!</v>
      </c>
      <c r="MY171" s="683" t="e">
        <f t="shared" si="1326"/>
        <v>#DIV/0!</v>
      </c>
      <c r="MZ171" s="684" t="e">
        <f t="shared" si="1326"/>
        <v>#DIV/0!</v>
      </c>
      <c r="NA171" s="599" t="e">
        <f t="shared" si="1326"/>
        <v>#DIV/0!</v>
      </c>
      <c r="NB171" s="685" t="e">
        <f t="shared" si="1326"/>
        <v>#DIV/0!</v>
      </c>
      <c r="NC171" s="685" t="s">
        <v>93</v>
      </c>
      <c r="ND171" s="90" t="s">
        <v>93</v>
      </c>
      <c r="NE171" s="599" t="e">
        <f t="shared" ref="NE171" si="1327">AVERAGE(NE166:NE170)</f>
        <v>#DIV/0!</v>
      </c>
      <c r="NF171" s="619" t="e">
        <f t="shared" ref="NF171:NT171" si="1328">AVERAGE(NF166:NF170)</f>
        <v>#DIV/0!</v>
      </c>
      <c r="NG171" s="675" t="e">
        <f t="shared" si="1328"/>
        <v>#VALUE!</v>
      </c>
      <c r="NH171" s="672" t="e">
        <f t="shared" si="1328"/>
        <v>#VALUE!</v>
      </c>
      <c r="NI171" s="687" t="e">
        <f t="shared" si="1328"/>
        <v>#REF!</v>
      </c>
      <c r="NJ171" s="686" t="e">
        <f t="shared" si="1328"/>
        <v>#VALUE!</v>
      </c>
      <c r="NK171" s="687" t="e">
        <f t="shared" si="1328"/>
        <v>#VALUE!</v>
      </c>
      <c r="NL171" s="687" t="e">
        <f t="shared" si="1328"/>
        <v>#VALUE!</v>
      </c>
      <c r="NM171" s="687" t="e">
        <f t="shared" si="1328"/>
        <v>#VALUE!</v>
      </c>
      <c r="NN171" s="687" t="e">
        <f t="shared" si="1328"/>
        <v>#VALUE!</v>
      </c>
      <c r="NO171" s="690" t="e">
        <f t="shared" si="1328"/>
        <v>#VALUE!</v>
      </c>
      <c r="NP171" s="682" t="e">
        <f t="shared" si="1328"/>
        <v>#DIV/0!</v>
      </c>
      <c r="NQ171" s="683" t="e">
        <f t="shared" si="1328"/>
        <v>#DIV/0!</v>
      </c>
      <c r="NR171" s="684" t="e">
        <f t="shared" si="1328"/>
        <v>#DIV/0!</v>
      </c>
      <c r="NS171" s="599" t="e">
        <f t="shared" si="1328"/>
        <v>#DIV/0!</v>
      </c>
      <c r="NT171" s="685" t="e">
        <f t="shared" si="1328"/>
        <v>#DIV/0!</v>
      </c>
      <c r="NU171" s="685" t="s">
        <v>93</v>
      </c>
      <c r="NV171" s="90" t="s">
        <v>93</v>
      </c>
      <c r="NW171" s="599" t="e">
        <f t="shared" ref="NW171" si="1329">AVERAGE(NW166:NW170)</f>
        <v>#DIV/0!</v>
      </c>
      <c r="NX171" s="619" t="e">
        <f t="shared" ref="NX171:OL171" si="1330">AVERAGE(NX166:NX170)</f>
        <v>#DIV/0!</v>
      </c>
      <c r="NY171" s="675" t="e">
        <f t="shared" si="1330"/>
        <v>#VALUE!</v>
      </c>
      <c r="NZ171" s="672" t="e">
        <f t="shared" si="1330"/>
        <v>#VALUE!</v>
      </c>
      <c r="OA171" s="687" t="e">
        <f t="shared" si="1330"/>
        <v>#REF!</v>
      </c>
      <c r="OB171" s="686" t="e">
        <f t="shared" si="1330"/>
        <v>#VALUE!</v>
      </c>
      <c r="OC171" s="687" t="e">
        <f t="shared" si="1330"/>
        <v>#VALUE!</v>
      </c>
      <c r="OD171" s="687" t="e">
        <f t="shared" si="1330"/>
        <v>#VALUE!</v>
      </c>
      <c r="OE171" s="687" t="e">
        <f t="shared" si="1330"/>
        <v>#VALUE!</v>
      </c>
      <c r="OF171" s="687" t="e">
        <f t="shared" si="1330"/>
        <v>#VALUE!</v>
      </c>
      <c r="OG171" s="690" t="e">
        <f t="shared" si="1330"/>
        <v>#VALUE!</v>
      </c>
      <c r="OH171" s="682" t="e">
        <f t="shared" si="1330"/>
        <v>#DIV/0!</v>
      </c>
      <c r="OI171" s="683" t="e">
        <f t="shared" si="1330"/>
        <v>#DIV/0!</v>
      </c>
      <c r="OJ171" s="684" t="e">
        <f t="shared" si="1330"/>
        <v>#DIV/0!</v>
      </c>
      <c r="OK171" s="599" t="e">
        <f t="shared" si="1330"/>
        <v>#DIV/0!</v>
      </c>
      <c r="OL171" s="685" t="e">
        <f t="shared" si="1330"/>
        <v>#DIV/0!</v>
      </c>
      <c r="OM171" s="685" t="s">
        <v>93</v>
      </c>
      <c r="ON171" s="90" t="s">
        <v>93</v>
      </c>
      <c r="OO171" s="599" t="e">
        <f t="shared" ref="OO171" si="1331">AVERAGE(OO166:OO170)</f>
        <v>#DIV/0!</v>
      </c>
      <c r="OP171" s="619" t="e">
        <f t="shared" ref="OP171:PD171" si="1332">AVERAGE(OP166:OP170)</f>
        <v>#DIV/0!</v>
      </c>
      <c r="OQ171" s="675" t="e">
        <f t="shared" si="1332"/>
        <v>#VALUE!</v>
      </c>
      <c r="OR171" s="672" t="e">
        <f t="shared" si="1332"/>
        <v>#VALUE!</v>
      </c>
      <c r="OS171" s="687" t="e">
        <f t="shared" si="1332"/>
        <v>#REF!</v>
      </c>
      <c r="OT171" s="686" t="e">
        <f t="shared" si="1332"/>
        <v>#VALUE!</v>
      </c>
      <c r="OU171" s="687" t="e">
        <f t="shared" si="1332"/>
        <v>#VALUE!</v>
      </c>
      <c r="OV171" s="687" t="e">
        <f t="shared" si="1332"/>
        <v>#VALUE!</v>
      </c>
      <c r="OW171" s="687" t="e">
        <f t="shared" si="1332"/>
        <v>#VALUE!</v>
      </c>
      <c r="OX171" s="687" t="e">
        <f t="shared" si="1332"/>
        <v>#VALUE!</v>
      </c>
      <c r="OY171" s="690" t="e">
        <f t="shared" si="1332"/>
        <v>#VALUE!</v>
      </c>
      <c r="OZ171" s="682" t="e">
        <f t="shared" si="1332"/>
        <v>#DIV/0!</v>
      </c>
      <c r="PA171" s="683" t="e">
        <f t="shared" si="1332"/>
        <v>#DIV/0!</v>
      </c>
      <c r="PB171" s="684" t="e">
        <f t="shared" si="1332"/>
        <v>#DIV/0!</v>
      </c>
      <c r="PC171" s="599" t="e">
        <f t="shared" si="1332"/>
        <v>#DIV/0!</v>
      </c>
      <c r="PD171" s="685" t="e">
        <f t="shared" si="1332"/>
        <v>#DIV/0!</v>
      </c>
      <c r="PE171" s="685" t="s">
        <v>93</v>
      </c>
      <c r="PF171" s="90" t="s">
        <v>93</v>
      </c>
      <c r="PG171" s="599" t="e">
        <f t="shared" ref="PG171" si="1333">AVERAGE(PG166:PG170)</f>
        <v>#DIV/0!</v>
      </c>
      <c r="PH171" s="619" t="e">
        <f t="shared" ref="PH171:PV171" si="1334">AVERAGE(PH166:PH170)</f>
        <v>#DIV/0!</v>
      </c>
      <c r="PI171" s="675" t="e">
        <f t="shared" si="1334"/>
        <v>#VALUE!</v>
      </c>
      <c r="PJ171" s="672" t="e">
        <f t="shared" si="1334"/>
        <v>#VALUE!</v>
      </c>
      <c r="PK171" s="687" t="e">
        <f t="shared" si="1334"/>
        <v>#REF!</v>
      </c>
      <c r="PL171" s="686" t="e">
        <f t="shared" si="1334"/>
        <v>#VALUE!</v>
      </c>
      <c r="PM171" s="687" t="e">
        <f t="shared" si="1334"/>
        <v>#VALUE!</v>
      </c>
      <c r="PN171" s="687" t="e">
        <f t="shared" si="1334"/>
        <v>#VALUE!</v>
      </c>
      <c r="PO171" s="687" t="e">
        <f t="shared" si="1334"/>
        <v>#VALUE!</v>
      </c>
      <c r="PP171" s="687" t="e">
        <f t="shared" si="1334"/>
        <v>#VALUE!</v>
      </c>
      <c r="PQ171" s="690" t="e">
        <f t="shared" si="1334"/>
        <v>#VALUE!</v>
      </c>
      <c r="PR171" s="682" t="e">
        <f t="shared" si="1334"/>
        <v>#DIV/0!</v>
      </c>
      <c r="PS171" s="683" t="e">
        <f t="shared" si="1334"/>
        <v>#DIV/0!</v>
      </c>
      <c r="PT171" s="684" t="e">
        <f t="shared" si="1334"/>
        <v>#DIV/0!</v>
      </c>
      <c r="PU171" s="599" t="e">
        <f t="shared" si="1334"/>
        <v>#DIV/0!</v>
      </c>
      <c r="PV171" s="685" t="e">
        <f t="shared" si="1334"/>
        <v>#DIV/0!</v>
      </c>
      <c r="PW171" s="685" t="s">
        <v>93</v>
      </c>
      <c r="PX171" s="90" t="s">
        <v>93</v>
      </c>
      <c r="PY171" s="599" t="e">
        <f t="shared" ref="PY171" si="1335">AVERAGE(PY166:PY170)</f>
        <v>#DIV/0!</v>
      </c>
      <c r="PZ171" s="619" t="e">
        <f t="shared" ref="PZ171:QN171" si="1336">AVERAGE(PZ166:PZ170)</f>
        <v>#DIV/0!</v>
      </c>
      <c r="QA171" s="675" t="e">
        <f t="shared" si="1336"/>
        <v>#VALUE!</v>
      </c>
      <c r="QB171" s="672" t="e">
        <f t="shared" si="1336"/>
        <v>#VALUE!</v>
      </c>
      <c r="QC171" s="687" t="e">
        <f t="shared" si="1336"/>
        <v>#REF!</v>
      </c>
      <c r="QD171" s="686" t="e">
        <f t="shared" si="1336"/>
        <v>#VALUE!</v>
      </c>
      <c r="QE171" s="687" t="e">
        <f t="shared" si="1336"/>
        <v>#VALUE!</v>
      </c>
      <c r="QF171" s="687" t="e">
        <f t="shared" si="1336"/>
        <v>#VALUE!</v>
      </c>
      <c r="QG171" s="687" t="e">
        <f t="shared" si="1336"/>
        <v>#VALUE!</v>
      </c>
      <c r="QH171" s="687" t="e">
        <f t="shared" si="1336"/>
        <v>#VALUE!</v>
      </c>
      <c r="QI171" s="690" t="e">
        <f t="shared" si="1336"/>
        <v>#VALUE!</v>
      </c>
      <c r="QJ171" s="682" t="e">
        <f t="shared" si="1336"/>
        <v>#DIV/0!</v>
      </c>
      <c r="QK171" s="683" t="e">
        <f t="shared" si="1336"/>
        <v>#DIV/0!</v>
      </c>
      <c r="QL171" s="684" t="e">
        <f t="shared" si="1336"/>
        <v>#DIV/0!</v>
      </c>
      <c r="QM171" s="599" t="e">
        <f t="shared" si="1336"/>
        <v>#DIV/0!</v>
      </c>
      <c r="QN171" s="685" t="e">
        <f t="shared" si="1336"/>
        <v>#DIV/0!</v>
      </c>
      <c r="QO171" s="685" t="s">
        <v>93</v>
      </c>
      <c r="QP171" s="90" t="s">
        <v>93</v>
      </c>
      <c r="QQ171" s="599" t="e">
        <f t="shared" ref="QQ171" si="1337">AVERAGE(QQ166:QQ170)</f>
        <v>#DIV/0!</v>
      </c>
      <c r="QR171" s="619" t="e">
        <f t="shared" ref="QR171:RF171" si="1338">AVERAGE(QR166:QR170)</f>
        <v>#DIV/0!</v>
      </c>
      <c r="QS171" s="675" t="e">
        <f t="shared" si="1338"/>
        <v>#VALUE!</v>
      </c>
      <c r="QT171" s="672" t="e">
        <f t="shared" si="1338"/>
        <v>#VALUE!</v>
      </c>
      <c r="QU171" s="687" t="e">
        <f t="shared" si="1338"/>
        <v>#REF!</v>
      </c>
      <c r="QV171" s="686" t="e">
        <f t="shared" si="1338"/>
        <v>#VALUE!</v>
      </c>
      <c r="QW171" s="687" t="e">
        <f t="shared" si="1338"/>
        <v>#VALUE!</v>
      </c>
      <c r="QX171" s="687" t="e">
        <f t="shared" si="1338"/>
        <v>#VALUE!</v>
      </c>
      <c r="QY171" s="687" t="e">
        <f t="shared" si="1338"/>
        <v>#VALUE!</v>
      </c>
      <c r="QZ171" s="687" t="e">
        <f t="shared" si="1338"/>
        <v>#VALUE!</v>
      </c>
      <c r="RA171" s="690" t="e">
        <f t="shared" si="1338"/>
        <v>#VALUE!</v>
      </c>
      <c r="RB171" s="682" t="e">
        <f t="shared" si="1338"/>
        <v>#DIV/0!</v>
      </c>
      <c r="RC171" s="683" t="e">
        <f t="shared" si="1338"/>
        <v>#DIV/0!</v>
      </c>
      <c r="RD171" s="684" t="e">
        <f t="shared" si="1338"/>
        <v>#DIV/0!</v>
      </c>
      <c r="RE171" s="599" t="e">
        <f t="shared" si="1338"/>
        <v>#DIV/0!</v>
      </c>
      <c r="RF171" s="694">
        <f t="shared" si="1338"/>
        <v>100</v>
      </c>
      <c r="RG171" s="685" t="s">
        <v>93</v>
      </c>
      <c r="RH171" s="90" t="s">
        <v>93</v>
      </c>
      <c r="RI171" s="599" t="e">
        <f t="shared" ref="RI171" si="1339">AVERAGE(RI166:RI170)</f>
        <v>#DIV/0!</v>
      </c>
      <c r="RJ171" s="619" t="e">
        <f t="shared" ref="RJ171:RX171" si="1340">AVERAGE(RJ166:RJ170)</f>
        <v>#DIV/0!</v>
      </c>
      <c r="RK171" s="675" t="e">
        <f t="shared" si="1340"/>
        <v>#VALUE!</v>
      </c>
      <c r="RL171" s="672" t="e">
        <f t="shared" si="1340"/>
        <v>#VALUE!</v>
      </c>
      <c r="RM171" s="687" t="e">
        <f t="shared" si="1340"/>
        <v>#REF!</v>
      </c>
      <c r="RN171" s="686" t="e">
        <f t="shared" si="1340"/>
        <v>#VALUE!</v>
      </c>
      <c r="RO171" s="687" t="e">
        <f t="shared" si="1340"/>
        <v>#VALUE!</v>
      </c>
      <c r="RP171" s="687" t="e">
        <f t="shared" si="1340"/>
        <v>#VALUE!</v>
      </c>
      <c r="RQ171" s="687" t="e">
        <f t="shared" si="1340"/>
        <v>#VALUE!</v>
      </c>
      <c r="RR171" s="687" t="e">
        <f t="shared" si="1340"/>
        <v>#VALUE!</v>
      </c>
      <c r="RS171" s="690" t="e">
        <f t="shared" si="1340"/>
        <v>#VALUE!</v>
      </c>
      <c r="RT171" s="682" t="e">
        <f t="shared" si="1340"/>
        <v>#DIV/0!</v>
      </c>
      <c r="RU171" s="683" t="e">
        <f t="shared" si="1340"/>
        <v>#DIV/0!</v>
      </c>
      <c r="RV171" s="710" t="e">
        <f t="shared" si="1340"/>
        <v>#DIV/0!</v>
      </c>
      <c r="RW171" s="653" t="e">
        <f t="shared" si="1340"/>
        <v>#DIV/0!</v>
      </c>
      <c r="RX171" s="694">
        <f t="shared" si="1340"/>
        <v>100</v>
      </c>
      <c r="RY171" s="685" t="s">
        <v>93</v>
      </c>
      <c r="RZ171" s="90" t="s">
        <v>93</v>
      </c>
      <c r="SA171" s="599" t="e">
        <f t="shared" ref="SA171" si="1341">AVERAGE(SA166:SA170)</f>
        <v>#DIV/0!</v>
      </c>
      <c r="SB171" s="619" t="e">
        <f t="shared" ref="SB171:SP171" si="1342">AVERAGE(SB166:SB170)</f>
        <v>#DIV/0!</v>
      </c>
      <c r="SC171" s="675" t="e">
        <f t="shared" si="1342"/>
        <v>#VALUE!</v>
      </c>
      <c r="SD171" s="672" t="e">
        <f t="shared" si="1342"/>
        <v>#VALUE!</v>
      </c>
      <c r="SE171" s="687" t="e">
        <f t="shared" si="1342"/>
        <v>#REF!</v>
      </c>
      <c r="SF171" s="686" t="e">
        <f t="shared" si="1342"/>
        <v>#VALUE!</v>
      </c>
      <c r="SG171" s="687" t="e">
        <f t="shared" si="1342"/>
        <v>#VALUE!</v>
      </c>
      <c r="SH171" s="687" t="e">
        <f t="shared" si="1342"/>
        <v>#VALUE!</v>
      </c>
      <c r="SI171" s="687" t="e">
        <f t="shared" si="1342"/>
        <v>#VALUE!</v>
      </c>
      <c r="SJ171" s="687" t="e">
        <f t="shared" si="1342"/>
        <v>#VALUE!</v>
      </c>
      <c r="SK171" s="690" t="e">
        <f t="shared" si="1342"/>
        <v>#VALUE!</v>
      </c>
      <c r="SL171" s="682" t="e">
        <f t="shared" si="1342"/>
        <v>#DIV/0!</v>
      </c>
      <c r="SM171" s="683" t="e">
        <f t="shared" si="1342"/>
        <v>#DIV/0!</v>
      </c>
      <c r="SN171" s="684" t="e">
        <f t="shared" si="1342"/>
        <v>#DIV/0!</v>
      </c>
      <c r="SO171" s="599" t="e">
        <f t="shared" si="1342"/>
        <v>#DIV/0!</v>
      </c>
      <c r="SP171" s="685" t="e">
        <f t="shared" si="1342"/>
        <v>#DIV/0!</v>
      </c>
      <c r="SQ171" s="685" t="s">
        <v>93</v>
      </c>
      <c r="SR171" s="90" t="s">
        <v>93</v>
      </c>
      <c r="SS171" s="599" t="e">
        <f t="shared" ref="SS171" si="1343">AVERAGE(SS166:SS170)</f>
        <v>#DIV/0!</v>
      </c>
      <c r="ST171" s="619" t="e">
        <f t="shared" ref="ST171:TH171" si="1344">AVERAGE(ST166:ST170)</f>
        <v>#DIV/0!</v>
      </c>
      <c r="SU171" s="675" t="e">
        <f t="shared" si="1344"/>
        <v>#VALUE!</v>
      </c>
      <c r="SV171" s="672" t="e">
        <f t="shared" si="1344"/>
        <v>#VALUE!</v>
      </c>
      <c r="SW171" s="687" t="e">
        <f t="shared" si="1344"/>
        <v>#REF!</v>
      </c>
      <c r="SX171" s="686" t="e">
        <f t="shared" si="1344"/>
        <v>#VALUE!</v>
      </c>
      <c r="SY171" s="687" t="e">
        <f t="shared" si="1344"/>
        <v>#VALUE!</v>
      </c>
      <c r="SZ171" s="687" t="e">
        <f t="shared" si="1344"/>
        <v>#VALUE!</v>
      </c>
      <c r="TA171" s="687" t="e">
        <f t="shared" si="1344"/>
        <v>#VALUE!</v>
      </c>
      <c r="TB171" s="687" t="e">
        <f t="shared" si="1344"/>
        <v>#VALUE!</v>
      </c>
      <c r="TC171" s="690" t="e">
        <f t="shared" si="1344"/>
        <v>#VALUE!</v>
      </c>
      <c r="TD171" s="682" t="e">
        <f t="shared" si="1344"/>
        <v>#DIV/0!</v>
      </c>
      <c r="TE171" s="683" t="e">
        <f t="shared" si="1344"/>
        <v>#DIV/0!</v>
      </c>
      <c r="TF171" s="684" t="e">
        <f t="shared" si="1344"/>
        <v>#DIV/0!</v>
      </c>
      <c r="TG171" s="599" t="e">
        <f t="shared" si="1344"/>
        <v>#DIV/0!</v>
      </c>
      <c r="TH171" s="685" t="e">
        <f t="shared" si="1344"/>
        <v>#DIV/0!</v>
      </c>
      <c r="TI171" s="685" t="s">
        <v>93</v>
      </c>
      <c r="TJ171" s="90" t="s">
        <v>93</v>
      </c>
      <c r="TK171" s="599" t="e">
        <f t="shared" ref="TK171" si="1345">AVERAGE(TK166:TK170)</f>
        <v>#DIV/0!</v>
      </c>
      <c r="TL171" s="619" t="e">
        <f t="shared" ref="TL171:TZ171" si="1346">AVERAGE(TL166:TL170)</f>
        <v>#DIV/0!</v>
      </c>
      <c r="TM171" s="675" t="e">
        <f t="shared" si="1346"/>
        <v>#VALUE!</v>
      </c>
      <c r="TN171" s="672" t="e">
        <f t="shared" si="1346"/>
        <v>#VALUE!</v>
      </c>
      <c r="TO171" s="687" t="e">
        <f t="shared" si="1346"/>
        <v>#REF!</v>
      </c>
      <c r="TP171" s="686" t="e">
        <f t="shared" si="1346"/>
        <v>#VALUE!</v>
      </c>
      <c r="TQ171" s="687" t="e">
        <f t="shared" si="1346"/>
        <v>#VALUE!</v>
      </c>
      <c r="TR171" s="687" t="e">
        <f t="shared" si="1346"/>
        <v>#VALUE!</v>
      </c>
      <c r="TS171" s="687" t="e">
        <f t="shared" si="1346"/>
        <v>#VALUE!</v>
      </c>
      <c r="TT171" s="687" t="e">
        <f t="shared" si="1346"/>
        <v>#VALUE!</v>
      </c>
      <c r="TU171" s="690" t="e">
        <f t="shared" si="1346"/>
        <v>#VALUE!</v>
      </c>
      <c r="TV171" s="682" t="e">
        <f t="shared" si="1346"/>
        <v>#DIV/0!</v>
      </c>
      <c r="TW171" s="683" t="e">
        <f t="shared" si="1346"/>
        <v>#DIV/0!</v>
      </c>
      <c r="TX171" s="684" t="e">
        <f t="shared" si="1346"/>
        <v>#DIV/0!</v>
      </c>
      <c r="TY171" s="599" t="e">
        <f t="shared" si="1346"/>
        <v>#DIV/0!</v>
      </c>
      <c r="TZ171" s="685" t="e">
        <f t="shared" si="1346"/>
        <v>#DIV/0!</v>
      </c>
      <c r="UA171" s="685" t="s">
        <v>93</v>
      </c>
      <c r="UB171" s="90" t="s">
        <v>93</v>
      </c>
      <c r="UC171" s="599" t="e">
        <f t="shared" ref="UC171" si="1347">AVERAGE(UC166:UC170)</f>
        <v>#DIV/0!</v>
      </c>
      <c r="UD171" s="619" t="e">
        <f t="shared" ref="UD171:UR171" si="1348">AVERAGE(UD166:UD170)</f>
        <v>#DIV/0!</v>
      </c>
      <c r="UE171" s="675" t="e">
        <f t="shared" si="1348"/>
        <v>#VALUE!</v>
      </c>
      <c r="UF171" s="672" t="e">
        <f t="shared" si="1348"/>
        <v>#VALUE!</v>
      </c>
      <c r="UG171" s="687" t="e">
        <f t="shared" si="1348"/>
        <v>#REF!</v>
      </c>
      <c r="UH171" s="686" t="e">
        <f t="shared" si="1348"/>
        <v>#VALUE!</v>
      </c>
      <c r="UI171" s="687" t="e">
        <f t="shared" si="1348"/>
        <v>#VALUE!</v>
      </c>
      <c r="UJ171" s="687" t="e">
        <f t="shared" si="1348"/>
        <v>#VALUE!</v>
      </c>
      <c r="UK171" s="687" t="e">
        <f t="shared" si="1348"/>
        <v>#VALUE!</v>
      </c>
      <c r="UL171" s="687" t="e">
        <f t="shared" si="1348"/>
        <v>#VALUE!</v>
      </c>
      <c r="UM171" s="686" t="e">
        <f t="shared" si="1348"/>
        <v>#VALUE!</v>
      </c>
      <c r="UN171" s="682" t="e">
        <f t="shared" si="1348"/>
        <v>#DIV/0!</v>
      </c>
      <c r="UO171" s="683" t="e">
        <f t="shared" si="1348"/>
        <v>#DIV/0!</v>
      </c>
      <c r="UP171" s="684" t="e">
        <f t="shared" si="1348"/>
        <v>#DIV/0!</v>
      </c>
      <c r="UQ171" s="599" t="e">
        <f t="shared" si="1348"/>
        <v>#DIV/0!</v>
      </c>
      <c r="UR171" s="685" t="e">
        <f t="shared" si="1348"/>
        <v>#DIV/0!</v>
      </c>
      <c r="US171" s="685" t="s">
        <v>93</v>
      </c>
      <c r="UT171" s="90" t="s">
        <v>93</v>
      </c>
      <c r="UU171" s="599" t="e">
        <f t="shared" ref="UU171" si="1349">AVERAGE(UU166:UU170)</f>
        <v>#DIV/0!</v>
      </c>
      <c r="UV171" s="619" t="e">
        <f t="shared" ref="UV171:VE171" si="1350">AVERAGE(UV166:UV170)</f>
        <v>#DIV/0!</v>
      </c>
      <c r="UW171" s="675" t="e">
        <f t="shared" si="1350"/>
        <v>#VALUE!</v>
      </c>
      <c r="UX171" s="672" t="e">
        <f t="shared" si="1350"/>
        <v>#VALUE!</v>
      </c>
      <c r="UY171" s="687" t="e">
        <f t="shared" si="1350"/>
        <v>#REF!</v>
      </c>
      <c r="UZ171" s="686" t="e">
        <f t="shared" si="1350"/>
        <v>#VALUE!</v>
      </c>
      <c r="VA171" s="687" t="e">
        <f t="shared" si="1350"/>
        <v>#VALUE!</v>
      </c>
      <c r="VB171" s="687" t="e">
        <f t="shared" si="1350"/>
        <v>#VALUE!</v>
      </c>
      <c r="VC171" s="687" t="e">
        <f t="shared" si="1350"/>
        <v>#VALUE!</v>
      </c>
      <c r="VD171" s="687" t="e">
        <f t="shared" si="1350"/>
        <v>#VALUE!</v>
      </c>
      <c r="VE171" s="690" t="e">
        <f t="shared" si="1350"/>
        <v>#VALUE!</v>
      </c>
    </row>
    <row r="172" spans="1:577" x14ac:dyDescent="0.25">
      <c r="A172" s="681" t="s">
        <v>62</v>
      </c>
      <c r="B172" s="688">
        <f t="shared" ref="B172:F172" si="1351">STDEVA(B166:B170)</f>
        <v>0.13038404810405196</v>
      </c>
      <c r="C172" s="619">
        <f t="shared" si="1351"/>
        <v>0.54772255750516607</v>
      </c>
      <c r="D172" s="619">
        <f t="shared" si="1351"/>
        <v>0</v>
      </c>
      <c r="E172" s="672">
        <f t="shared" si="1351"/>
        <v>1.303840481040557E-12</v>
      </c>
      <c r="F172" s="619">
        <f t="shared" si="1351"/>
        <v>0</v>
      </c>
      <c r="G172" s="652" t="s">
        <v>93</v>
      </c>
      <c r="H172" s="40" t="s">
        <v>93</v>
      </c>
      <c r="I172" s="599">
        <f>STDEVA(I166:I170)</f>
        <v>1.3051443215216406E-12</v>
      </c>
      <c r="J172" s="652">
        <f t="shared" ref="J172:X172" si="1352">STDEVA(J166:J170)</f>
        <v>4.4310162850290331E-4</v>
      </c>
      <c r="K172" s="675">
        <f t="shared" si="1352"/>
        <v>1.9176154203441994E-14</v>
      </c>
      <c r="L172" s="672">
        <f t="shared" si="1352"/>
        <v>1.9176154203441994E-14</v>
      </c>
      <c r="M172" s="672" t="e">
        <f t="shared" si="1352"/>
        <v>#REF!</v>
      </c>
      <c r="N172" s="675">
        <f t="shared" si="1352"/>
        <v>1.7396607093362161E-6</v>
      </c>
      <c r="O172" s="672">
        <f t="shared" si="1352"/>
        <v>1.7396607093362427E-4</v>
      </c>
      <c r="P172" s="672">
        <f t="shared" si="1352"/>
        <v>2.0875928512035464E-6</v>
      </c>
      <c r="Q172" s="672">
        <f>STDEVA(Q166:Q170)</f>
        <v>2.1049894582968319E-6</v>
      </c>
      <c r="R172" s="672">
        <f t="shared" si="1352"/>
        <v>2.1049894582968319E-6</v>
      </c>
      <c r="S172" s="676">
        <f t="shared" si="1352"/>
        <v>2.1745758866701685E-6</v>
      </c>
      <c r="T172" s="691" t="e">
        <f t="shared" si="1352"/>
        <v>#DIV/0!</v>
      </c>
      <c r="U172" s="691" t="e">
        <f t="shared" si="1352"/>
        <v>#DIV/0!</v>
      </c>
      <c r="V172" s="695" t="e">
        <f t="shared" si="1352"/>
        <v>#DIV/0!</v>
      </c>
      <c r="W172" s="599" t="e">
        <f t="shared" si="1352"/>
        <v>#DIV/0!</v>
      </c>
      <c r="X172" s="652" t="e">
        <f t="shared" si="1352"/>
        <v>#DIV/0!</v>
      </c>
      <c r="Y172" s="652" t="s">
        <v>93</v>
      </c>
      <c r="Z172" s="40" t="s">
        <v>93</v>
      </c>
      <c r="AA172" s="599">
        <f>STDEVA(AA166:AA170)</f>
        <v>0</v>
      </c>
      <c r="AB172" s="652" t="e">
        <f t="shared" ref="AB172:AP172" si="1353">STDEVA(AB166:AB170)</f>
        <v>#DIV/0!</v>
      </c>
      <c r="AC172" s="675" t="e">
        <f t="shared" si="1353"/>
        <v>#VALUE!</v>
      </c>
      <c r="AD172" s="672" t="e">
        <f t="shared" si="1353"/>
        <v>#VALUE!</v>
      </c>
      <c r="AE172" s="672" t="e">
        <f t="shared" si="1353"/>
        <v>#REF!</v>
      </c>
      <c r="AF172" s="675" t="e">
        <f t="shared" si="1353"/>
        <v>#VALUE!</v>
      </c>
      <c r="AG172" s="672" t="e">
        <f t="shared" si="1353"/>
        <v>#VALUE!</v>
      </c>
      <c r="AH172" s="672" t="e">
        <f t="shared" si="1353"/>
        <v>#VALUE!</v>
      </c>
      <c r="AI172" s="672" t="e">
        <f>STDEVA(AI166:AI170)</f>
        <v>#VALUE!</v>
      </c>
      <c r="AJ172" s="672" t="e">
        <f t="shared" si="1353"/>
        <v>#VALUE!</v>
      </c>
      <c r="AK172" s="676" t="e">
        <f t="shared" si="1353"/>
        <v>#VALUE!</v>
      </c>
      <c r="AL172" s="691" t="e">
        <f t="shared" si="1353"/>
        <v>#DIV/0!</v>
      </c>
      <c r="AM172" s="691" t="e">
        <f t="shared" si="1353"/>
        <v>#DIV/0!</v>
      </c>
      <c r="AN172" s="695" t="e">
        <f t="shared" si="1353"/>
        <v>#DIV/0!</v>
      </c>
      <c r="AO172" s="599" t="e">
        <f t="shared" si="1353"/>
        <v>#DIV/0!</v>
      </c>
      <c r="AP172" s="652" t="e">
        <f t="shared" si="1353"/>
        <v>#DIV/0!</v>
      </c>
      <c r="AQ172" s="652" t="s">
        <v>93</v>
      </c>
      <c r="AR172" s="40" t="s">
        <v>93</v>
      </c>
      <c r="AS172" s="599">
        <f>STDEVA(AS166:AS170)</f>
        <v>0</v>
      </c>
      <c r="AT172" s="652" t="e">
        <f t="shared" ref="AT172:BH172" si="1354">STDEVA(AT166:AT170)</f>
        <v>#DIV/0!</v>
      </c>
      <c r="AU172" s="675" t="e">
        <f t="shared" si="1354"/>
        <v>#VALUE!</v>
      </c>
      <c r="AV172" s="672" t="e">
        <f t="shared" si="1354"/>
        <v>#VALUE!</v>
      </c>
      <c r="AW172" s="672" t="e">
        <f t="shared" si="1354"/>
        <v>#REF!</v>
      </c>
      <c r="AX172" s="675" t="e">
        <f t="shared" si="1354"/>
        <v>#VALUE!</v>
      </c>
      <c r="AY172" s="672" t="e">
        <f t="shared" si="1354"/>
        <v>#VALUE!</v>
      </c>
      <c r="AZ172" s="672" t="e">
        <f t="shared" si="1354"/>
        <v>#VALUE!</v>
      </c>
      <c r="BA172" s="672" t="e">
        <f>STDEVA(BA166:BA170)</f>
        <v>#VALUE!</v>
      </c>
      <c r="BB172" s="672" t="e">
        <f t="shared" si="1354"/>
        <v>#VALUE!</v>
      </c>
      <c r="BC172" s="676" t="e">
        <f t="shared" si="1354"/>
        <v>#VALUE!</v>
      </c>
      <c r="BD172" s="682" t="e">
        <f t="shared" si="1354"/>
        <v>#DIV/0!</v>
      </c>
      <c r="BE172" s="691" t="e">
        <f t="shared" si="1354"/>
        <v>#DIV/0!</v>
      </c>
      <c r="BF172" s="695" t="e">
        <f t="shared" si="1354"/>
        <v>#DIV/0!</v>
      </c>
      <c r="BG172" s="599" t="e">
        <f t="shared" si="1354"/>
        <v>#DIV/0!</v>
      </c>
      <c r="BH172" s="652" t="e">
        <f t="shared" si="1354"/>
        <v>#DIV/0!</v>
      </c>
      <c r="BI172" s="652" t="s">
        <v>93</v>
      </c>
      <c r="BJ172" s="40" t="s">
        <v>93</v>
      </c>
      <c r="BK172" s="599">
        <f>STDEVA(BK166:BK170)</f>
        <v>0</v>
      </c>
      <c r="BL172" s="652" t="e">
        <f t="shared" ref="BL172:BZ172" si="1355">STDEVA(BL166:BL170)</f>
        <v>#DIV/0!</v>
      </c>
      <c r="BM172" s="675" t="e">
        <f t="shared" si="1355"/>
        <v>#VALUE!</v>
      </c>
      <c r="BN172" s="672" t="e">
        <f t="shared" si="1355"/>
        <v>#VALUE!</v>
      </c>
      <c r="BO172" s="672" t="e">
        <f t="shared" si="1355"/>
        <v>#REF!</v>
      </c>
      <c r="BP172" s="675" t="e">
        <f t="shared" si="1355"/>
        <v>#VALUE!</v>
      </c>
      <c r="BQ172" s="672" t="e">
        <f t="shared" si="1355"/>
        <v>#VALUE!</v>
      </c>
      <c r="BR172" s="672" t="e">
        <f t="shared" si="1355"/>
        <v>#VALUE!</v>
      </c>
      <c r="BS172" s="672" t="e">
        <f>STDEVA(BS166:BS170)</f>
        <v>#VALUE!</v>
      </c>
      <c r="BT172" s="672" t="e">
        <f t="shared" si="1355"/>
        <v>#VALUE!</v>
      </c>
      <c r="BU172" s="676" t="e">
        <f t="shared" si="1355"/>
        <v>#VALUE!</v>
      </c>
      <c r="BV172" s="682" t="e">
        <f t="shared" si="1355"/>
        <v>#DIV/0!</v>
      </c>
      <c r="BW172" s="691" t="e">
        <f t="shared" si="1355"/>
        <v>#DIV/0!</v>
      </c>
      <c r="BX172" s="695" t="e">
        <f t="shared" si="1355"/>
        <v>#DIV/0!</v>
      </c>
      <c r="BY172" s="599" t="e">
        <f t="shared" si="1355"/>
        <v>#DIV/0!</v>
      </c>
      <c r="BZ172" s="652" t="e">
        <f t="shared" si="1355"/>
        <v>#DIV/0!</v>
      </c>
      <c r="CA172" s="652" t="s">
        <v>93</v>
      </c>
      <c r="CB172" s="40" t="s">
        <v>93</v>
      </c>
      <c r="CC172" s="599">
        <f>STDEVA(CC166:CC170)</f>
        <v>0</v>
      </c>
      <c r="CD172" s="652" t="e">
        <f t="shared" ref="CD172:CR172" si="1356">STDEVA(CD166:CD170)</f>
        <v>#DIV/0!</v>
      </c>
      <c r="CE172" s="675" t="e">
        <f t="shared" si="1356"/>
        <v>#VALUE!</v>
      </c>
      <c r="CF172" s="672" t="e">
        <f t="shared" si="1356"/>
        <v>#VALUE!</v>
      </c>
      <c r="CG172" s="672" t="e">
        <f t="shared" si="1356"/>
        <v>#REF!</v>
      </c>
      <c r="CH172" s="675" t="e">
        <f t="shared" si="1356"/>
        <v>#VALUE!</v>
      </c>
      <c r="CI172" s="672" t="e">
        <f t="shared" si="1356"/>
        <v>#VALUE!</v>
      </c>
      <c r="CJ172" s="672" t="e">
        <f t="shared" si="1356"/>
        <v>#VALUE!</v>
      </c>
      <c r="CK172" s="672" t="e">
        <f>STDEVA(CK166:CK170)</f>
        <v>#VALUE!</v>
      </c>
      <c r="CL172" s="672" t="e">
        <f t="shared" si="1356"/>
        <v>#VALUE!</v>
      </c>
      <c r="CM172" s="676" t="e">
        <f t="shared" si="1356"/>
        <v>#VALUE!</v>
      </c>
      <c r="CN172" s="682" t="e">
        <f t="shared" si="1356"/>
        <v>#DIV/0!</v>
      </c>
      <c r="CO172" s="691" t="e">
        <f t="shared" si="1356"/>
        <v>#DIV/0!</v>
      </c>
      <c r="CP172" s="695" t="e">
        <f t="shared" si="1356"/>
        <v>#DIV/0!</v>
      </c>
      <c r="CQ172" s="599" t="e">
        <f t="shared" si="1356"/>
        <v>#DIV/0!</v>
      </c>
      <c r="CR172" s="652" t="e">
        <f t="shared" si="1356"/>
        <v>#DIV/0!</v>
      </c>
      <c r="CS172" s="652" t="s">
        <v>93</v>
      </c>
      <c r="CT172" s="40" t="s">
        <v>93</v>
      </c>
      <c r="CU172" s="599">
        <f>STDEVA(CU166:CU170)</f>
        <v>0</v>
      </c>
      <c r="CV172" s="652" t="e">
        <f t="shared" ref="CV172:DJ172" si="1357">STDEVA(CV166:CV170)</f>
        <v>#DIV/0!</v>
      </c>
      <c r="CW172" s="675" t="e">
        <f t="shared" si="1357"/>
        <v>#VALUE!</v>
      </c>
      <c r="CX172" s="672" t="e">
        <f t="shared" si="1357"/>
        <v>#VALUE!</v>
      </c>
      <c r="CY172" s="672" t="e">
        <f t="shared" si="1357"/>
        <v>#REF!</v>
      </c>
      <c r="CZ172" s="675" t="e">
        <f t="shared" si="1357"/>
        <v>#VALUE!</v>
      </c>
      <c r="DA172" s="672" t="e">
        <f t="shared" si="1357"/>
        <v>#VALUE!</v>
      </c>
      <c r="DB172" s="672" t="e">
        <f t="shared" si="1357"/>
        <v>#VALUE!</v>
      </c>
      <c r="DC172" s="672" t="e">
        <f>STDEVA(DC166:DC170)</f>
        <v>#VALUE!</v>
      </c>
      <c r="DD172" s="672" t="e">
        <f t="shared" si="1357"/>
        <v>#VALUE!</v>
      </c>
      <c r="DE172" s="676" t="e">
        <f t="shared" si="1357"/>
        <v>#VALUE!</v>
      </c>
      <c r="DF172" s="682" t="e">
        <f t="shared" si="1357"/>
        <v>#DIV/0!</v>
      </c>
      <c r="DG172" s="691" t="e">
        <f t="shared" si="1357"/>
        <v>#DIV/0!</v>
      </c>
      <c r="DH172" s="695" t="e">
        <f t="shared" si="1357"/>
        <v>#DIV/0!</v>
      </c>
      <c r="DI172" s="599" t="e">
        <f t="shared" si="1357"/>
        <v>#DIV/0!</v>
      </c>
      <c r="DJ172" s="652" t="e">
        <f t="shared" si="1357"/>
        <v>#DIV/0!</v>
      </c>
      <c r="DK172" s="652" t="s">
        <v>93</v>
      </c>
      <c r="DL172" s="40" t="s">
        <v>93</v>
      </c>
      <c r="DM172" s="599">
        <f>STDEVA(DM166:DM170)</f>
        <v>0</v>
      </c>
      <c r="DN172" s="652" t="e">
        <f t="shared" ref="DN172:EB172" si="1358">STDEVA(DN166:DN170)</f>
        <v>#DIV/0!</v>
      </c>
      <c r="DO172" s="675" t="e">
        <f t="shared" si="1358"/>
        <v>#VALUE!</v>
      </c>
      <c r="DP172" s="672" t="e">
        <f t="shared" si="1358"/>
        <v>#VALUE!</v>
      </c>
      <c r="DQ172" s="672" t="e">
        <f t="shared" si="1358"/>
        <v>#REF!</v>
      </c>
      <c r="DR172" s="675" t="e">
        <f t="shared" si="1358"/>
        <v>#VALUE!</v>
      </c>
      <c r="DS172" s="672" t="e">
        <f t="shared" si="1358"/>
        <v>#VALUE!</v>
      </c>
      <c r="DT172" s="672" t="e">
        <f t="shared" si="1358"/>
        <v>#VALUE!</v>
      </c>
      <c r="DU172" s="672" t="e">
        <f>STDEVA(DU166:DU170)</f>
        <v>#VALUE!</v>
      </c>
      <c r="DV172" s="672" t="e">
        <f t="shared" si="1358"/>
        <v>#VALUE!</v>
      </c>
      <c r="DW172" s="676" t="e">
        <f t="shared" si="1358"/>
        <v>#VALUE!</v>
      </c>
      <c r="DX172" s="682" t="e">
        <f t="shared" si="1358"/>
        <v>#DIV/0!</v>
      </c>
      <c r="DY172" s="691" t="e">
        <f t="shared" si="1358"/>
        <v>#DIV/0!</v>
      </c>
      <c r="DZ172" s="695" t="e">
        <f t="shared" si="1358"/>
        <v>#DIV/0!</v>
      </c>
      <c r="EA172" s="653" t="e">
        <f t="shared" si="1358"/>
        <v>#DIV/0!</v>
      </c>
      <c r="EB172" s="652" t="e">
        <f t="shared" si="1358"/>
        <v>#DIV/0!</v>
      </c>
      <c r="EC172" s="652" t="s">
        <v>93</v>
      </c>
      <c r="ED172" s="40" t="s">
        <v>93</v>
      </c>
      <c r="EE172" s="599">
        <f>STDEVA(EE166:EE170)</f>
        <v>0</v>
      </c>
      <c r="EF172" s="652" t="e">
        <f t="shared" ref="EF172:ET172" si="1359">STDEVA(EF166:EF170)</f>
        <v>#DIV/0!</v>
      </c>
      <c r="EG172" s="675" t="e">
        <f t="shared" si="1359"/>
        <v>#VALUE!</v>
      </c>
      <c r="EH172" s="672" t="e">
        <f t="shared" si="1359"/>
        <v>#VALUE!</v>
      </c>
      <c r="EI172" s="672" t="e">
        <f t="shared" si="1359"/>
        <v>#REF!</v>
      </c>
      <c r="EJ172" s="675" t="e">
        <f t="shared" si="1359"/>
        <v>#VALUE!</v>
      </c>
      <c r="EK172" s="672" t="e">
        <f t="shared" si="1359"/>
        <v>#VALUE!</v>
      </c>
      <c r="EL172" s="672" t="e">
        <f t="shared" si="1359"/>
        <v>#VALUE!</v>
      </c>
      <c r="EM172" s="672" t="e">
        <f>STDEVA(EM166:EM170)</f>
        <v>#VALUE!</v>
      </c>
      <c r="EN172" s="672" t="e">
        <f t="shared" si="1359"/>
        <v>#VALUE!</v>
      </c>
      <c r="EO172" s="676" t="e">
        <f t="shared" si="1359"/>
        <v>#VALUE!</v>
      </c>
      <c r="EP172" s="682" t="e">
        <f t="shared" si="1359"/>
        <v>#DIV/0!</v>
      </c>
      <c r="EQ172" s="691" t="e">
        <f t="shared" si="1359"/>
        <v>#DIV/0!</v>
      </c>
      <c r="ER172" s="695" t="e">
        <f t="shared" si="1359"/>
        <v>#DIV/0!</v>
      </c>
      <c r="ES172" s="599" t="e">
        <f t="shared" si="1359"/>
        <v>#DIV/0!</v>
      </c>
      <c r="ET172" s="652" t="e">
        <f t="shared" si="1359"/>
        <v>#DIV/0!</v>
      </c>
      <c r="EU172" s="652" t="s">
        <v>93</v>
      </c>
      <c r="EV172" s="40" t="s">
        <v>93</v>
      </c>
      <c r="EW172" s="599">
        <f>STDEVA(EW166:EW170)</f>
        <v>0</v>
      </c>
      <c r="EX172" s="652" t="e">
        <f t="shared" ref="EX172:FL172" si="1360">STDEVA(EX166:EX170)</f>
        <v>#DIV/0!</v>
      </c>
      <c r="EY172" s="675" t="e">
        <f t="shared" si="1360"/>
        <v>#VALUE!</v>
      </c>
      <c r="EZ172" s="672" t="e">
        <f t="shared" si="1360"/>
        <v>#VALUE!</v>
      </c>
      <c r="FA172" s="672" t="e">
        <f t="shared" si="1360"/>
        <v>#REF!</v>
      </c>
      <c r="FB172" s="675" t="e">
        <f t="shared" si="1360"/>
        <v>#VALUE!</v>
      </c>
      <c r="FC172" s="672" t="e">
        <f t="shared" si="1360"/>
        <v>#VALUE!</v>
      </c>
      <c r="FD172" s="672" t="e">
        <f t="shared" si="1360"/>
        <v>#VALUE!</v>
      </c>
      <c r="FE172" s="672" t="e">
        <f>STDEVA(FE166:FE170)</f>
        <v>#VALUE!</v>
      </c>
      <c r="FF172" s="672" t="e">
        <f t="shared" si="1360"/>
        <v>#VALUE!</v>
      </c>
      <c r="FG172" s="676" t="e">
        <f t="shared" si="1360"/>
        <v>#VALUE!</v>
      </c>
      <c r="FH172" s="682" t="e">
        <f t="shared" si="1360"/>
        <v>#DIV/0!</v>
      </c>
      <c r="FI172" s="691" t="e">
        <f t="shared" si="1360"/>
        <v>#DIV/0!</v>
      </c>
      <c r="FJ172" s="695" t="e">
        <f t="shared" si="1360"/>
        <v>#DIV/0!</v>
      </c>
      <c r="FK172" s="599" t="e">
        <f t="shared" si="1360"/>
        <v>#DIV/0!</v>
      </c>
      <c r="FL172" s="652" t="e">
        <f t="shared" si="1360"/>
        <v>#DIV/0!</v>
      </c>
      <c r="FM172" s="652" t="s">
        <v>93</v>
      </c>
      <c r="FN172" s="40" t="s">
        <v>93</v>
      </c>
      <c r="FO172" s="599">
        <f>STDEVA(FO166:FO170)</f>
        <v>0</v>
      </c>
      <c r="FP172" s="652" t="e">
        <f t="shared" ref="FP172:GD172" si="1361">STDEVA(FP166:FP170)</f>
        <v>#DIV/0!</v>
      </c>
      <c r="FQ172" s="675" t="e">
        <f t="shared" si="1361"/>
        <v>#VALUE!</v>
      </c>
      <c r="FR172" s="672" t="e">
        <f t="shared" si="1361"/>
        <v>#VALUE!</v>
      </c>
      <c r="FS172" s="672" t="e">
        <f t="shared" si="1361"/>
        <v>#REF!</v>
      </c>
      <c r="FT172" s="675" t="e">
        <f t="shared" si="1361"/>
        <v>#VALUE!</v>
      </c>
      <c r="FU172" s="672" t="e">
        <f t="shared" si="1361"/>
        <v>#VALUE!</v>
      </c>
      <c r="FV172" s="672" t="e">
        <f t="shared" si="1361"/>
        <v>#VALUE!</v>
      </c>
      <c r="FW172" s="672" t="e">
        <f>STDEVA(FW166:FW170)</f>
        <v>#VALUE!</v>
      </c>
      <c r="FX172" s="672" t="e">
        <f t="shared" si="1361"/>
        <v>#VALUE!</v>
      </c>
      <c r="FY172" s="676" t="e">
        <f t="shared" si="1361"/>
        <v>#VALUE!</v>
      </c>
      <c r="FZ172" s="682" t="e">
        <f t="shared" si="1361"/>
        <v>#DIV/0!</v>
      </c>
      <c r="GA172" s="691" t="e">
        <f t="shared" si="1361"/>
        <v>#DIV/0!</v>
      </c>
      <c r="GB172" s="695" t="e">
        <f t="shared" si="1361"/>
        <v>#DIV/0!</v>
      </c>
      <c r="GC172" s="599" t="e">
        <f t="shared" si="1361"/>
        <v>#DIV/0!</v>
      </c>
      <c r="GD172" s="652" t="e">
        <f t="shared" si="1361"/>
        <v>#DIV/0!</v>
      </c>
      <c r="GE172" s="652" t="s">
        <v>93</v>
      </c>
      <c r="GF172" s="40" t="s">
        <v>93</v>
      </c>
      <c r="GG172" s="599">
        <f>STDEVA(GG166:GG170)</f>
        <v>0</v>
      </c>
      <c r="GH172" s="652" t="e">
        <f t="shared" ref="GH172:GV172" si="1362">STDEVA(GH166:GH170)</f>
        <v>#DIV/0!</v>
      </c>
      <c r="GI172" s="675" t="e">
        <f t="shared" si="1362"/>
        <v>#VALUE!</v>
      </c>
      <c r="GJ172" s="672" t="e">
        <f t="shared" si="1362"/>
        <v>#VALUE!</v>
      </c>
      <c r="GK172" s="672" t="e">
        <f t="shared" si="1362"/>
        <v>#REF!</v>
      </c>
      <c r="GL172" s="675" t="e">
        <f t="shared" si="1362"/>
        <v>#VALUE!</v>
      </c>
      <c r="GM172" s="672" t="e">
        <f t="shared" si="1362"/>
        <v>#VALUE!</v>
      </c>
      <c r="GN172" s="672" t="e">
        <f t="shared" si="1362"/>
        <v>#VALUE!</v>
      </c>
      <c r="GO172" s="672" t="e">
        <f>STDEVA(GO166:GO170)</f>
        <v>#VALUE!</v>
      </c>
      <c r="GP172" s="672" t="e">
        <f t="shared" si="1362"/>
        <v>#VALUE!</v>
      </c>
      <c r="GQ172" s="676" t="e">
        <f t="shared" si="1362"/>
        <v>#VALUE!</v>
      </c>
      <c r="GR172" s="682" t="e">
        <f t="shared" si="1362"/>
        <v>#DIV/0!</v>
      </c>
      <c r="GS172" s="691" t="e">
        <f t="shared" si="1362"/>
        <v>#DIV/0!</v>
      </c>
      <c r="GT172" s="695" t="e">
        <f t="shared" si="1362"/>
        <v>#DIV/0!</v>
      </c>
      <c r="GU172" s="653" t="e">
        <f t="shared" si="1362"/>
        <v>#DIV/0!</v>
      </c>
      <c r="GV172" s="652" t="e">
        <f t="shared" si="1362"/>
        <v>#DIV/0!</v>
      </c>
      <c r="GW172" s="652" t="s">
        <v>93</v>
      </c>
      <c r="GX172" s="40" t="s">
        <v>93</v>
      </c>
      <c r="GY172" s="599">
        <f>STDEVA(GY166:GY170)</f>
        <v>0</v>
      </c>
      <c r="GZ172" s="652" t="e">
        <f t="shared" ref="GZ172:HN172" si="1363">STDEVA(GZ166:GZ170)</f>
        <v>#DIV/0!</v>
      </c>
      <c r="HA172" s="675" t="e">
        <f t="shared" si="1363"/>
        <v>#VALUE!</v>
      </c>
      <c r="HB172" s="672" t="e">
        <f t="shared" si="1363"/>
        <v>#VALUE!</v>
      </c>
      <c r="HC172" s="672" t="e">
        <f t="shared" si="1363"/>
        <v>#REF!</v>
      </c>
      <c r="HD172" s="675" t="e">
        <f t="shared" si="1363"/>
        <v>#VALUE!</v>
      </c>
      <c r="HE172" s="672" t="e">
        <f t="shared" si="1363"/>
        <v>#VALUE!</v>
      </c>
      <c r="HF172" s="672" t="e">
        <f t="shared" si="1363"/>
        <v>#VALUE!</v>
      </c>
      <c r="HG172" s="672" t="e">
        <f>STDEVA(HG166:HG170)</f>
        <v>#VALUE!</v>
      </c>
      <c r="HH172" s="672" t="e">
        <f t="shared" si="1363"/>
        <v>#VALUE!</v>
      </c>
      <c r="HI172" s="676" t="e">
        <f t="shared" si="1363"/>
        <v>#VALUE!</v>
      </c>
      <c r="HJ172" s="682" t="e">
        <f t="shared" si="1363"/>
        <v>#DIV/0!</v>
      </c>
      <c r="HK172" s="691" t="e">
        <f t="shared" si="1363"/>
        <v>#DIV/0!</v>
      </c>
      <c r="HL172" s="695" t="e">
        <f t="shared" si="1363"/>
        <v>#DIV/0!</v>
      </c>
      <c r="HM172" s="599" t="e">
        <f t="shared" si="1363"/>
        <v>#DIV/0!</v>
      </c>
      <c r="HN172" s="652" t="e">
        <f t="shared" si="1363"/>
        <v>#DIV/0!</v>
      </c>
      <c r="HO172" s="652" t="s">
        <v>93</v>
      </c>
      <c r="HP172" s="40" t="s">
        <v>93</v>
      </c>
      <c r="HQ172" s="599">
        <f>STDEVA(HQ166:HQ170)</f>
        <v>0</v>
      </c>
      <c r="HR172" s="652" t="e">
        <f t="shared" ref="HR172:IF172" si="1364">STDEVA(HR166:HR170)</f>
        <v>#DIV/0!</v>
      </c>
      <c r="HS172" s="675" t="e">
        <f t="shared" si="1364"/>
        <v>#VALUE!</v>
      </c>
      <c r="HT172" s="672" t="e">
        <f t="shared" si="1364"/>
        <v>#VALUE!</v>
      </c>
      <c r="HU172" s="672" t="e">
        <f t="shared" si="1364"/>
        <v>#REF!</v>
      </c>
      <c r="HV172" s="675" t="e">
        <f t="shared" si="1364"/>
        <v>#VALUE!</v>
      </c>
      <c r="HW172" s="672" t="e">
        <f t="shared" si="1364"/>
        <v>#VALUE!</v>
      </c>
      <c r="HX172" s="672" t="e">
        <f t="shared" si="1364"/>
        <v>#VALUE!</v>
      </c>
      <c r="HY172" s="672" t="e">
        <f>STDEVA(HY166:HY170)</f>
        <v>#VALUE!</v>
      </c>
      <c r="HZ172" s="672" t="e">
        <f t="shared" si="1364"/>
        <v>#VALUE!</v>
      </c>
      <c r="IA172" s="676" t="e">
        <f t="shared" si="1364"/>
        <v>#VALUE!</v>
      </c>
      <c r="IB172" s="682" t="e">
        <f t="shared" si="1364"/>
        <v>#DIV/0!</v>
      </c>
      <c r="IC172" s="691" t="e">
        <f t="shared" si="1364"/>
        <v>#DIV/0!</v>
      </c>
      <c r="ID172" s="695" t="e">
        <f t="shared" si="1364"/>
        <v>#DIV/0!</v>
      </c>
      <c r="IE172" s="599" t="e">
        <f t="shared" si="1364"/>
        <v>#DIV/0!</v>
      </c>
      <c r="IF172" s="652" t="e">
        <f t="shared" si="1364"/>
        <v>#DIV/0!</v>
      </c>
      <c r="IG172" s="652" t="s">
        <v>93</v>
      </c>
      <c r="IH172" s="40" t="s">
        <v>93</v>
      </c>
      <c r="II172" s="599">
        <f>STDEVA(II166:II170)</f>
        <v>0</v>
      </c>
      <c r="IJ172" s="652" t="e">
        <f t="shared" ref="IJ172:IX172" si="1365">STDEVA(IJ166:IJ170)</f>
        <v>#DIV/0!</v>
      </c>
      <c r="IK172" s="675" t="e">
        <f t="shared" si="1365"/>
        <v>#VALUE!</v>
      </c>
      <c r="IL172" s="672" t="e">
        <f t="shared" si="1365"/>
        <v>#VALUE!</v>
      </c>
      <c r="IM172" s="672" t="e">
        <f t="shared" si="1365"/>
        <v>#REF!</v>
      </c>
      <c r="IN172" s="675" t="e">
        <f t="shared" si="1365"/>
        <v>#VALUE!</v>
      </c>
      <c r="IO172" s="672" t="e">
        <f t="shared" si="1365"/>
        <v>#VALUE!</v>
      </c>
      <c r="IP172" s="672" t="e">
        <f t="shared" si="1365"/>
        <v>#VALUE!</v>
      </c>
      <c r="IQ172" s="672" t="e">
        <f>STDEVA(IQ166:IQ170)</f>
        <v>#VALUE!</v>
      </c>
      <c r="IR172" s="672" t="e">
        <f t="shared" si="1365"/>
        <v>#VALUE!</v>
      </c>
      <c r="IS172" s="676" t="e">
        <f t="shared" si="1365"/>
        <v>#VALUE!</v>
      </c>
      <c r="IT172" s="682" t="e">
        <f t="shared" si="1365"/>
        <v>#DIV/0!</v>
      </c>
      <c r="IU172" s="691" t="e">
        <f t="shared" si="1365"/>
        <v>#DIV/0!</v>
      </c>
      <c r="IV172" s="695" t="e">
        <f t="shared" si="1365"/>
        <v>#DIV/0!</v>
      </c>
      <c r="IW172" s="599" t="e">
        <f t="shared" si="1365"/>
        <v>#DIV/0!</v>
      </c>
      <c r="IX172" s="652" t="e">
        <f t="shared" si="1365"/>
        <v>#DIV/0!</v>
      </c>
      <c r="IY172" s="652" t="s">
        <v>93</v>
      </c>
      <c r="IZ172" s="40" t="s">
        <v>93</v>
      </c>
      <c r="JA172" s="599">
        <f>STDEVA(JA166:JA170)</f>
        <v>0</v>
      </c>
      <c r="JB172" s="652" t="e">
        <f t="shared" ref="JB172:JP172" si="1366">STDEVA(JB166:JB170)</f>
        <v>#DIV/0!</v>
      </c>
      <c r="JC172" s="675" t="e">
        <f t="shared" si="1366"/>
        <v>#VALUE!</v>
      </c>
      <c r="JD172" s="672" t="e">
        <f t="shared" si="1366"/>
        <v>#VALUE!</v>
      </c>
      <c r="JE172" s="672" t="e">
        <f t="shared" si="1366"/>
        <v>#REF!</v>
      </c>
      <c r="JF172" s="675" t="e">
        <f t="shared" si="1366"/>
        <v>#VALUE!</v>
      </c>
      <c r="JG172" s="672" t="e">
        <f t="shared" si="1366"/>
        <v>#VALUE!</v>
      </c>
      <c r="JH172" s="672" t="e">
        <f t="shared" si="1366"/>
        <v>#VALUE!</v>
      </c>
      <c r="JI172" s="672" t="e">
        <f>STDEVA(JI166:JI170)</f>
        <v>#VALUE!</v>
      </c>
      <c r="JJ172" s="672" t="e">
        <f t="shared" si="1366"/>
        <v>#VALUE!</v>
      </c>
      <c r="JK172" s="676" t="e">
        <f t="shared" si="1366"/>
        <v>#VALUE!</v>
      </c>
      <c r="JL172" s="682" t="e">
        <f t="shared" si="1366"/>
        <v>#DIV/0!</v>
      </c>
      <c r="JM172" s="691" t="e">
        <f t="shared" si="1366"/>
        <v>#DIV/0!</v>
      </c>
      <c r="JN172" s="695" t="e">
        <f t="shared" si="1366"/>
        <v>#DIV/0!</v>
      </c>
      <c r="JO172" s="599" t="e">
        <f t="shared" si="1366"/>
        <v>#DIV/0!</v>
      </c>
      <c r="JP172" s="652" t="e">
        <f t="shared" si="1366"/>
        <v>#DIV/0!</v>
      </c>
      <c r="JQ172" s="652" t="s">
        <v>93</v>
      </c>
      <c r="JR172" s="40" t="s">
        <v>93</v>
      </c>
      <c r="JS172" s="599">
        <f>STDEVA(JS166:JS170)</f>
        <v>0</v>
      </c>
      <c r="JT172" s="652" t="e">
        <f t="shared" ref="JT172:KH172" si="1367">STDEVA(JT166:JT170)</f>
        <v>#DIV/0!</v>
      </c>
      <c r="JU172" s="675" t="e">
        <f t="shared" si="1367"/>
        <v>#VALUE!</v>
      </c>
      <c r="JV172" s="672" t="e">
        <f t="shared" si="1367"/>
        <v>#VALUE!</v>
      </c>
      <c r="JW172" s="672" t="e">
        <f t="shared" si="1367"/>
        <v>#REF!</v>
      </c>
      <c r="JX172" s="675" t="e">
        <f t="shared" si="1367"/>
        <v>#VALUE!</v>
      </c>
      <c r="JY172" s="672" t="e">
        <f t="shared" si="1367"/>
        <v>#VALUE!</v>
      </c>
      <c r="JZ172" s="672" t="e">
        <f t="shared" si="1367"/>
        <v>#VALUE!</v>
      </c>
      <c r="KA172" s="672" t="e">
        <f>STDEVA(KA166:KA170)</f>
        <v>#VALUE!</v>
      </c>
      <c r="KB172" s="672" t="e">
        <f t="shared" si="1367"/>
        <v>#VALUE!</v>
      </c>
      <c r="KC172" s="676" t="e">
        <f t="shared" si="1367"/>
        <v>#VALUE!</v>
      </c>
      <c r="KD172" s="682" t="e">
        <f t="shared" si="1367"/>
        <v>#DIV/0!</v>
      </c>
      <c r="KE172" s="691" t="e">
        <f t="shared" si="1367"/>
        <v>#DIV/0!</v>
      </c>
      <c r="KF172" s="695" t="e">
        <f t="shared" si="1367"/>
        <v>#DIV/0!</v>
      </c>
      <c r="KG172" s="599" t="e">
        <f t="shared" si="1367"/>
        <v>#DIV/0!</v>
      </c>
      <c r="KH172" s="652" t="e">
        <f t="shared" si="1367"/>
        <v>#DIV/0!</v>
      </c>
      <c r="KI172" s="652" t="s">
        <v>93</v>
      </c>
      <c r="KJ172" s="40" t="s">
        <v>93</v>
      </c>
      <c r="KK172" s="599">
        <f>STDEVA(KK166:KK170)</f>
        <v>0</v>
      </c>
      <c r="KL172" s="652" t="e">
        <f t="shared" ref="KL172:KZ172" si="1368">STDEVA(KL166:KL170)</f>
        <v>#DIV/0!</v>
      </c>
      <c r="KM172" s="675" t="e">
        <f t="shared" si="1368"/>
        <v>#VALUE!</v>
      </c>
      <c r="KN172" s="672" t="e">
        <f t="shared" si="1368"/>
        <v>#VALUE!</v>
      </c>
      <c r="KO172" s="672" t="e">
        <f t="shared" si="1368"/>
        <v>#REF!</v>
      </c>
      <c r="KP172" s="675" t="e">
        <f t="shared" si="1368"/>
        <v>#VALUE!</v>
      </c>
      <c r="KQ172" s="672" t="e">
        <f t="shared" si="1368"/>
        <v>#VALUE!</v>
      </c>
      <c r="KR172" s="672" t="e">
        <f t="shared" si="1368"/>
        <v>#VALUE!</v>
      </c>
      <c r="KS172" s="672" t="e">
        <f>STDEVA(KS166:KS170)</f>
        <v>#VALUE!</v>
      </c>
      <c r="KT172" s="672" t="e">
        <f t="shared" si="1368"/>
        <v>#VALUE!</v>
      </c>
      <c r="KU172" s="676" t="e">
        <f t="shared" si="1368"/>
        <v>#VALUE!</v>
      </c>
      <c r="KV172" s="682" t="e">
        <f t="shared" si="1368"/>
        <v>#DIV/0!</v>
      </c>
      <c r="KW172" s="691" t="e">
        <f t="shared" si="1368"/>
        <v>#DIV/0!</v>
      </c>
      <c r="KX172" s="695" t="e">
        <f t="shared" si="1368"/>
        <v>#DIV/0!</v>
      </c>
      <c r="KY172" s="599" t="e">
        <f t="shared" si="1368"/>
        <v>#DIV/0!</v>
      </c>
      <c r="KZ172" s="652" t="e">
        <f t="shared" si="1368"/>
        <v>#DIV/0!</v>
      </c>
      <c r="LA172" s="652" t="s">
        <v>93</v>
      </c>
      <c r="LB172" s="40" t="s">
        <v>93</v>
      </c>
      <c r="LC172" s="599">
        <f>STDEVA(LC166:LC170)</f>
        <v>0</v>
      </c>
      <c r="LD172" s="652" t="e">
        <f t="shared" ref="LD172:LR172" si="1369">STDEVA(LD166:LD170)</f>
        <v>#DIV/0!</v>
      </c>
      <c r="LE172" s="675" t="e">
        <f t="shared" si="1369"/>
        <v>#VALUE!</v>
      </c>
      <c r="LF172" s="672" t="e">
        <f t="shared" si="1369"/>
        <v>#VALUE!</v>
      </c>
      <c r="LG172" s="672" t="e">
        <f t="shared" si="1369"/>
        <v>#REF!</v>
      </c>
      <c r="LH172" s="675" t="e">
        <f t="shared" si="1369"/>
        <v>#VALUE!</v>
      </c>
      <c r="LI172" s="672" t="e">
        <f t="shared" si="1369"/>
        <v>#VALUE!</v>
      </c>
      <c r="LJ172" s="672" t="e">
        <f t="shared" si="1369"/>
        <v>#VALUE!</v>
      </c>
      <c r="LK172" s="672" t="e">
        <f>STDEVA(LK166:LK170)</f>
        <v>#VALUE!</v>
      </c>
      <c r="LL172" s="672" t="e">
        <f t="shared" si="1369"/>
        <v>#VALUE!</v>
      </c>
      <c r="LM172" s="676" t="e">
        <f t="shared" si="1369"/>
        <v>#VALUE!</v>
      </c>
      <c r="LN172" s="682" t="e">
        <f t="shared" si="1369"/>
        <v>#DIV/0!</v>
      </c>
      <c r="LO172" s="691" t="e">
        <f t="shared" si="1369"/>
        <v>#DIV/0!</v>
      </c>
      <c r="LP172" s="695" t="e">
        <f t="shared" si="1369"/>
        <v>#DIV/0!</v>
      </c>
      <c r="LQ172" s="599" t="e">
        <f t="shared" si="1369"/>
        <v>#DIV/0!</v>
      </c>
      <c r="LR172" s="652" t="e">
        <f t="shared" si="1369"/>
        <v>#DIV/0!</v>
      </c>
      <c r="LS172" s="652" t="s">
        <v>93</v>
      </c>
      <c r="LT172" s="40" t="s">
        <v>93</v>
      </c>
      <c r="LU172" s="599">
        <f>STDEVA(LU166:LU170)</f>
        <v>0</v>
      </c>
      <c r="LV172" s="652" t="e">
        <f t="shared" ref="LV172:MJ172" si="1370">STDEVA(LV166:LV170)</f>
        <v>#DIV/0!</v>
      </c>
      <c r="LW172" s="675" t="e">
        <f t="shared" si="1370"/>
        <v>#VALUE!</v>
      </c>
      <c r="LX172" s="672" t="e">
        <f t="shared" si="1370"/>
        <v>#VALUE!</v>
      </c>
      <c r="LY172" s="672" t="e">
        <f t="shared" si="1370"/>
        <v>#REF!</v>
      </c>
      <c r="LZ172" s="675" t="e">
        <f t="shared" si="1370"/>
        <v>#VALUE!</v>
      </c>
      <c r="MA172" s="672" t="e">
        <f t="shared" si="1370"/>
        <v>#VALUE!</v>
      </c>
      <c r="MB172" s="672" t="e">
        <f t="shared" si="1370"/>
        <v>#VALUE!</v>
      </c>
      <c r="MC172" s="672" t="e">
        <f>STDEVA(MC166:MC170)</f>
        <v>#VALUE!</v>
      </c>
      <c r="MD172" s="672" t="e">
        <f t="shared" si="1370"/>
        <v>#VALUE!</v>
      </c>
      <c r="ME172" s="676" t="e">
        <f t="shared" si="1370"/>
        <v>#VALUE!</v>
      </c>
      <c r="MF172" s="682" t="e">
        <f t="shared" si="1370"/>
        <v>#DIV/0!</v>
      </c>
      <c r="MG172" s="691" t="e">
        <f t="shared" si="1370"/>
        <v>#DIV/0!</v>
      </c>
      <c r="MH172" s="695" t="e">
        <f t="shared" si="1370"/>
        <v>#DIV/0!</v>
      </c>
      <c r="MI172" s="599" t="e">
        <f t="shared" si="1370"/>
        <v>#DIV/0!</v>
      </c>
      <c r="MJ172" s="652" t="e">
        <f t="shared" si="1370"/>
        <v>#DIV/0!</v>
      </c>
      <c r="MK172" s="652" t="s">
        <v>93</v>
      </c>
      <c r="ML172" s="40" t="s">
        <v>93</v>
      </c>
      <c r="MM172" s="599">
        <f>STDEVA(MM166:MM170)</f>
        <v>0</v>
      </c>
      <c r="MN172" s="652" t="e">
        <f t="shared" ref="MN172:NB172" si="1371">STDEVA(MN166:MN170)</f>
        <v>#DIV/0!</v>
      </c>
      <c r="MO172" s="675" t="e">
        <f t="shared" si="1371"/>
        <v>#VALUE!</v>
      </c>
      <c r="MP172" s="672" t="e">
        <f t="shared" si="1371"/>
        <v>#VALUE!</v>
      </c>
      <c r="MQ172" s="672" t="e">
        <f t="shared" si="1371"/>
        <v>#REF!</v>
      </c>
      <c r="MR172" s="675" t="e">
        <f t="shared" si="1371"/>
        <v>#VALUE!</v>
      </c>
      <c r="MS172" s="672" t="e">
        <f t="shared" si="1371"/>
        <v>#VALUE!</v>
      </c>
      <c r="MT172" s="672" t="e">
        <f t="shared" si="1371"/>
        <v>#VALUE!</v>
      </c>
      <c r="MU172" s="672" t="e">
        <f>STDEVA(MU166:MU170)</f>
        <v>#VALUE!</v>
      </c>
      <c r="MV172" s="672" t="e">
        <f t="shared" si="1371"/>
        <v>#VALUE!</v>
      </c>
      <c r="MW172" s="676" t="e">
        <f t="shared" si="1371"/>
        <v>#VALUE!</v>
      </c>
      <c r="MX172" s="682" t="e">
        <f t="shared" si="1371"/>
        <v>#DIV/0!</v>
      </c>
      <c r="MY172" s="691" t="e">
        <f t="shared" si="1371"/>
        <v>#DIV/0!</v>
      </c>
      <c r="MZ172" s="695" t="e">
        <f t="shared" si="1371"/>
        <v>#DIV/0!</v>
      </c>
      <c r="NA172" s="599" t="e">
        <f t="shared" si="1371"/>
        <v>#DIV/0!</v>
      </c>
      <c r="NB172" s="652" t="e">
        <f t="shared" si="1371"/>
        <v>#DIV/0!</v>
      </c>
      <c r="NC172" s="652" t="s">
        <v>93</v>
      </c>
      <c r="ND172" s="40" t="s">
        <v>93</v>
      </c>
      <c r="NE172" s="599">
        <f>STDEVA(NE166:NE170)</f>
        <v>0</v>
      </c>
      <c r="NF172" s="652" t="e">
        <f t="shared" ref="NF172:NT172" si="1372">STDEVA(NF166:NF170)</f>
        <v>#DIV/0!</v>
      </c>
      <c r="NG172" s="675" t="e">
        <f t="shared" si="1372"/>
        <v>#VALUE!</v>
      </c>
      <c r="NH172" s="672" t="e">
        <f t="shared" si="1372"/>
        <v>#VALUE!</v>
      </c>
      <c r="NI172" s="672" t="e">
        <f t="shared" si="1372"/>
        <v>#REF!</v>
      </c>
      <c r="NJ172" s="675" t="e">
        <f t="shared" si="1372"/>
        <v>#VALUE!</v>
      </c>
      <c r="NK172" s="672" t="e">
        <f t="shared" si="1372"/>
        <v>#VALUE!</v>
      </c>
      <c r="NL172" s="672" t="e">
        <f t="shared" si="1372"/>
        <v>#VALUE!</v>
      </c>
      <c r="NM172" s="672" t="e">
        <f>STDEVA(NM166:NM170)</f>
        <v>#VALUE!</v>
      </c>
      <c r="NN172" s="672" t="e">
        <f t="shared" si="1372"/>
        <v>#VALUE!</v>
      </c>
      <c r="NO172" s="676" t="e">
        <f t="shared" si="1372"/>
        <v>#VALUE!</v>
      </c>
      <c r="NP172" s="682" t="e">
        <f t="shared" si="1372"/>
        <v>#DIV/0!</v>
      </c>
      <c r="NQ172" s="691" t="e">
        <f t="shared" si="1372"/>
        <v>#DIV/0!</v>
      </c>
      <c r="NR172" s="695" t="e">
        <f t="shared" si="1372"/>
        <v>#DIV/0!</v>
      </c>
      <c r="NS172" s="599" t="e">
        <f t="shared" si="1372"/>
        <v>#DIV/0!</v>
      </c>
      <c r="NT172" s="652" t="e">
        <f t="shared" si="1372"/>
        <v>#DIV/0!</v>
      </c>
      <c r="NU172" s="652" t="s">
        <v>93</v>
      </c>
      <c r="NV172" s="40" t="s">
        <v>93</v>
      </c>
      <c r="NW172" s="599">
        <f>STDEVA(NW166:NW170)</f>
        <v>0</v>
      </c>
      <c r="NX172" s="652" t="e">
        <f t="shared" ref="NX172:OL172" si="1373">STDEVA(NX166:NX170)</f>
        <v>#DIV/0!</v>
      </c>
      <c r="NY172" s="675" t="e">
        <f t="shared" si="1373"/>
        <v>#VALUE!</v>
      </c>
      <c r="NZ172" s="672" t="e">
        <f t="shared" si="1373"/>
        <v>#VALUE!</v>
      </c>
      <c r="OA172" s="672" t="e">
        <f t="shared" si="1373"/>
        <v>#REF!</v>
      </c>
      <c r="OB172" s="675" t="e">
        <f t="shared" si="1373"/>
        <v>#VALUE!</v>
      </c>
      <c r="OC172" s="672" t="e">
        <f t="shared" si="1373"/>
        <v>#VALUE!</v>
      </c>
      <c r="OD172" s="672" t="e">
        <f t="shared" si="1373"/>
        <v>#VALUE!</v>
      </c>
      <c r="OE172" s="672" t="e">
        <f>STDEVA(OE166:OE170)</f>
        <v>#VALUE!</v>
      </c>
      <c r="OF172" s="672" t="e">
        <f t="shared" si="1373"/>
        <v>#VALUE!</v>
      </c>
      <c r="OG172" s="676" t="e">
        <f t="shared" si="1373"/>
        <v>#VALUE!</v>
      </c>
      <c r="OH172" s="682" t="e">
        <f t="shared" si="1373"/>
        <v>#DIV/0!</v>
      </c>
      <c r="OI172" s="691" t="e">
        <f t="shared" si="1373"/>
        <v>#DIV/0!</v>
      </c>
      <c r="OJ172" s="695" t="e">
        <f t="shared" si="1373"/>
        <v>#DIV/0!</v>
      </c>
      <c r="OK172" s="599" t="e">
        <f t="shared" si="1373"/>
        <v>#DIV/0!</v>
      </c>
      <c r="OL172" s="652" t="e">
        <f t="shared" si="1373"/>
        <v>#DIV/0!</v>
      </c>
      <c r="OM172" s="652" t="s">
        <v>93</v>
      </c>
      <c r="ON172" s="40" t="s">
        <v>93</v>
      </c>
      <c r="OO172" s="599">
        <f>STDEVA(OO166:OO170)</f>
        <v>0</v>
      </c>
      <c r="OP172" s="652" t="e">
        <f t="shared" ref="OP172:PD172" si="1374">STDEVA(OP166:OP170)</f>
        <v>#DIV/0!</v>
      </c>
      <c r="OQ172" s="675" t="e">
        <f t="shared" si="1374"/>
        <v>#VALUE!</v>
      </c>
      <c r="OR172" s="672" t="e">
        <f t="shared" si="1374"/>
        <v>#VALUE!</v>
      </c>
      <c r="OS172" s="672" t="e">
        <f t="shared" si="1374"/>
        <v>#REF!</v>
      </c>
      <c r="OT172" s="675" t="e">
        <f t="shared" si="1374"/>
        <v>#VALUE!</v>
      </c>
      <c r="OU172" s="672" t="e">
        <f t="shared" si="1374"/>
        <v>#VALUE!</v>
      </c>
      <c r="OV172" s="672" t="e">
        <f t="shared" si="1374"/>
        <v>#VALUE!</v>
      </c>
      <c r="OW172" s="672" t="e">
        <f>STDEVA(OW166:OW170)</f>
        <v>#VALUE!</v>
      </c>
      <c r="OX172" s="672" t="e">
        <f t="shared" si="1374"/>
        <v>#VALUE!</v>
      </c>
      <c r="OY172" s="676" t="e">
        <f t="shared" si="1374"/>
        <v>#VALUE!</v>
      </c>
      <c r="OZ172" s="682" t="e">
        <f t="shared" si="1374"/>
        <v>#DIV/0!</v>
      </c>
      <c r="PA172" s="691" t="e">
        <f t="shared" si="1374"/>
        <v>#DIV/0!</v>
      </c>
      <c r="PB172" s="695" t="e">
        <f t="shared" si="1374"/>
        <v>#DIV/0!</v>
      </c>
      <c r="PC172" s="599" t="e">
        <f t="shared" si="1374"/>
        <v>#DIV/0!</v>
      </c>
      <c r="PD172" s="652" t="e">
        <f t="shared" si="1374"/>
        <v>#DIV/0!</v>
      </c>
      <c r="PE172" s="652" t="s">
        <v>93</v>
      </c>
      <c r="PF172" s="40" t="s">
        <v>93</v>
      </c>
      <c r="PG172" s="599">
        <f>STDEVA(PG166:PG170)</f>
        <v>0</v>
      </c>
      <c r="PH172" s="652" t="e">
        <f t="shared" ref="PH172:PV172" si="1375">STDEVA(PH166:PH170)</f>
        <v>#DIV/0!</v>
      </c>
      <c r="PI172" s="675" t="e">
        <f t="shared" si="1375"/>
        <v>#VALUE!</v>
      </c>
      <c r="PJ172" s="672" t="e">
        <f t="shared" si="1375"/>
        <v>#VALUE!</v>
      </c>
      <c r="PK172" s="672" t="e">
        <f t="shared" si="1375"/>
        <v>#REF!</v>
      </c>
      <c r="PL172" s="675" t="e">
        <f t="shared" si="1375"/>
        <v>#VALUE!</v>
      </c>
      <c r="PM172" s="672" t="e">
        <f t="shared" si="1375"/>
        <v>#VALUE!</v>
      </c>
      <c r="PN172" s="672" t="e">
        <f t="shared" si="1375"/>
        <v>#VALUE!</v>
      </c>
      <c r="PO172" s="672" t="e">
        <f>STDEVA(PO166:PO170)</f>
        <v>#VALUE!</v>
      </c>
      <c r="PP172" s="672" t="e">
        <f t="shared" si="1375"/>
        <v>#VALUE!</v>
      </c>
      <c r="PQ172" s="676" t="e">
        <f t="shared" si="1375"/>
        <v>#VALUE!</v>
      </c>
      <c r="PR172" s="682" t="e">
        <f t="shared" si="1375"/>
        <v>#DIV/0!</v>
      </c>
      <c r="PS172" s="691" t="e">
        <f t="shared" si="1375"/>
        <v>#DIV/0!</v>
      </c>
      <c r="PT172" s="695" t="e">
        <f t="shared" si="1375"/>
        <v>#DIV/0!</v>
      </c>
      <c r="PU172" s="599" t="e">
        <f t="shared" si="1375"/>
        <v>#DIV/0!</v>
      </c>
      <c r="PV172" s="652" t="e">
        <f t="shared" si="1375"/>
        <v>#DIV/0!</v>
      </c>
      <c r="PW172" s="652" t="s">
        <v>93</v>
      </c>
      <c r="PX172" s="40" t="s">
        <v>93</v>
      </c>
      <c r="PY172" s="599">
        <f>STDEVA(PY166:PY170)</f>
        <v>0</v>
      </c>
      <c r="PZ172" s="652" t="e">
        <f t="shared" ref="PZ172:QN172" si="1376">STDEVA(PZ166:PZ170)</f>
        <v>#DIV/0!</v>
      </c>
      <c r="QA172" s="675" t="e">
        <f t="shared" si="1376"/>
        <v>#VALUE!</v>
      </c>
      <c r="QB172" s="672" t="e">
        <f t="shared" si="1376"/>
        <v>#VALUE!</v>
      </c>
      <c r="QC172" s="672" t="e">
        <f t="shared" si="1376"/>
        <v>#REF!</v>
      </c>
      <c r="QD172" s="675" t="e">
        <f t="shared" si="1376"/>
        <v>#VALUE!</v>
      </c>
      <c r="QE172" s="672" t="e">
        <f t="shared" si="1376"/>
        <v>#VALUE!</v>
      </c>
      <c r="QF172" s="672" t="e">
        <f t="shared" si="1376"/>
        <v>#VALUE!</v>
      </c>
      <c r="QG172" s="672" t="e">
        <f>STDEVA(QG166:QG170)</f>
        <v>#VALUE!</v>
      </c>
      <c r="QH172" s="672" t="e">
        <f t="shared" si="1376"/>
        <v>#VALUE!</v>
      </c>
      <c r="QI172" s="676" t="e">
        <f t="shared" si="1376"/>
        <v>#VALUE!</v>
      </c>
      <c r="QJ172" s="682" t="e">
        <f t="shared" si="1376"/>
        <v>#DIV/0!</v>
      </c>
      <c r="QK172" s="691" t="e">
        <f t="shared" si="1376"/>
        <v>#DIV/0!</v>
      </c>
      <c r="QL172" s="695" t="e">
        <f t="shared" si="1376"/>
        <v>#DIV/0!</v>
      </c>
      <c r="QM172" s="599" t="e">
        <f t="shared" si="1376"/>
        <v>#DIV/0!</v>
      </c>
      <c r="QN172" s="652" t="e">
        <f t="shared" si="1376"/>
        <v>#DIV/0!</v>
      </c>
      <c r="QO172" s="652" t="s">
        <v>93</v>
      </c>
      <c r="QP172" s="40" t="s">
        <v>93</v>
      </c>
      <c r="QQ172" s="599">
        <f>STDEVA(QQ166:QQ170)</f>
        <v>0</v>
      </c>
      <c r="QR172" s="652" t="e">
        <f t="shared" ref="QR172:RF172" si="1377">STDEVA(QR166:QR170)</f>
        <v>#DIV/0!</v>
      </c>
      <c r="QS172" s="675" t="e">
        <f t="shared" si="1377"/>
        <v>#VALUE!</v>
      </c>
      <c r="QT172" s="672" t="e">
        <f t="shared" si="1377"/>
        <v>#VALUE!</v>
      </c>
      <c r="QU172" s="672" t="e">
        <f t="shared" si="1377"/>
        <v>#REF!</v>
      </c>
      <c r="QV172" s="675" t="e">
        <f t="shared" si="1377"/>
        <v>#VALUE!</v>
      </c>
      <c r="QW172" s="672" t="e">
        <f t="shared" si="1377"/>
        <v>#VALUE!</v>
      </c>
      <c r="QX172" s="672" t="e">
        <f t="shared" si="1377"/>
        <v>#VALUE!</v>
      </c>
      <c r="QY172" s="672" t="e">
        <f>STDEVA(QY166:QY170)</f>
        <v>#VALUE!</v>
      </c>
      <c r="QZ172" s="672" t="e">
        <f t="shared" si="1377"/>
        <v>#VALUE!</v>
      </c>
      <c r="RA172" s="676" t="e">
        <f t="shared" si="1377"/>
        <v>#VALUE!</v>
      </c>
      <c r="RB172" s="682" t="e">
        <f t="shared" si="1377"/>
        <v>#DIV/0!</v>
      </c>
      <c r="RC172" s="691" t="e">
        <f t="shared" si="1377"/>
        <v>#DIV/0!</v>
      </c>
      <c r="RD172" s="695" t="e">
        <f t="shared" si="1377"/>
        <v>#DIV/0!</v>
      </c>
      <c r="RE172" s="599" t="e">
        <f t="shared" si="1377"/>
        <v>#DIV/0!</v>
      </c>
      <c r="RF172" s="652">
        <f t="shared" si="1377"/>
        <v>0</v>
      </c>
      <c r="RG172" s="652" t="s">
        <v>93</v>
      </c>
      <c r="RH172" s="40" t="s">
        <v>93</v>
      </c>
      <c r="RI172" s="599">
        <f>STDEVA(RI166:RI170)</f>
        <v>0</v>
      </c>
      <c r="RJ172" s="652" t="e">
        <f t="shared" ref="RJ172:RX172" si="1378">STDEVA(RJ166:RJ170)</f>
        <v>#DIV/0!</v>
      </c>
      <c r="RK172" s="675" t="e">
        <f t="shared" si="1378"/>
        <v>#VALUE!</v>
      </c>
      <c r="RL172" s="672" t="e">
        <f t="shared" si="1378"/>
        <v>#VALUE!</v>
      </c>
      <c r="RM172" s="672" t="e">
        <f t="shared" si="1378"/>
        <v>#REF!</v>
      </c>
      <c r="RN172" s="675" t="e">
        <f t="shared" si="1378"/>
        <v>#VALUE!</v>
      </c>
      <c r="RO172" s="672" t="e">
        <f t="shared" si="1378"/>
        <v>#VALUE!</v>
      </c>
      <c r="RP172" s="672" t="e">
        <f t="shared" si="1378"/>
        <v>#VALUE!</v>
      </c>
      <c r="RQ172" s="672" t="e">
        <f>STDEVA(RQ166:RQ170)</f>
        <v>#VALUE!</v>
      </c>
      <c r="RR172" s="672" t="e">
        <f t="shared" si="1378"/>
        <v>#VALUE!</v>
      </c>
      <c r="RS172" s="676" t="e">
        <f t="shared" si="1378"/>
        <v>#VALUE!</v>
      </c>
      <c r="RT172" s="682" t="e">
        <f t="shared" si="1378"/>
        <v>#DIV/0!</v>
      </c>
      <c r="RU172" s="691" t="e">
        <f t="shared" si="1378"/>
        <v>#DIV/0!</v>
      </c>
      <c r="RV172" s="619" t="e">
        <f t="shared" si="1378"/>
        <v>#DIV/0!</v>
      </c>
      <c r="RW172" s="653" t="e">
        <f t="shared" si="1378"/>
        <v>#DIV/0!</v>
      </c>
      <c r="RX172" s="652">
        <f t="shared" si="1378"/>
        <v>0</v>
      </c>
      <c r="RY172" s="652" t="s">
        <v>93</v>
      </c>
      <c r="RZ172" s="40" t="s">
        <v>93</v>
      </c>
      <c r="SA172" s="599">
        <f>STDEVA(SA166:SA170)</f>
        <v>0</v>
      </c>
      <c r="SB172" s="652" t="e">
        <f t="shared" ref="SB172:SP172" si="1379">STDEVA(SB166:SB170)</f>
        <v>#DIV/0!</v>
      </c>
      <c r="SC172" s="675" t="e">
        <f t="shared" si="1379"/>
        <v>#VALUE!</v>
      </c>
      <c r="SD172" s="672" t="e">
        <f t="shared" si="1379"/>
        <v>#VALUE!</v>
      </c>
      <c r="SE172" s="672" t="e">
        <f t="shared" si="1379"/>
        <v>#REF!</v>
      </c>
      <c r="SF172" s="675" t="e">
        <f t="shared" si="1379"/>
        <v>#VALUE!</v>
      </c>
      <c r="SG172" s="672" t="e">
        <f t="shared" si="1379"/>
        <v>#VALUE!</v>
      </c>
      <c r="SH172" s="672" t="e">
        <f t="shared" si="1379"/>
        <v>#VALUE!</v>
      </c>
      <c r="SI172" s="672" t="e">
        <f>STDEVA(SI166:SI170)</f>
        <v>#VALUE!</v>
      </c>
      <c r="SJ172" s="672" t="e">
        <f t="shared" si="1379"/>
        <v>#VALUE!</v>
      </c>
      <c r="SK172" s="676" t="e">
        <f t="shared" si="1379"/>
        <v>#VALUE!</v>
      </c>
      <c r="SL172" s="682" t="e">
        <f t="shared" si="1379"/>
        <v>#DIV/0!</v>
      </c>
      <c r="SM172" s="691" t="e">
        <f t="shared" si="1379"/>
        <v>#DIV/0!</v>
      </c>
      <c r="SN172" s="695" t="e">
        <f t="shared" si="1379"/>
        <v>#DIV/0!</v>
      </c>
      <c r="SO172" s="599" t="e">
        <f t="shared" si="1379"/>
        <v>#DIV/0!</v>
      </c>
      <c r="SP172" s="652" t="e">
        <f t="shared" si="1379"/>
        <v>#DIV/0!</v>
      </c>
      <c r="SQ172" s="652" t="s">
        <v>93</v>
      </c>
      <c r="SR172" s="40" t="s">
        <v>93</v>
      </c>
      <c r="SS172" s="599">
        <f>STDEVA(SS166:SS170)</f>
        <v>0</v>
      </c>
      <c r="ST172" s="652" t="e">
        <f t="shared" ref="ST172:TH172" si="1380">STDEVA(ST166:ST170)</f>
        <v>#DIV/0!</v>
      </c>
      <c r="SU172" s="675" t="e">
        <f t="shared" si="1380"/>
        <v>#VALUE!</v>
      </c>
      <c r="SV172" s="672" t="e">
        <f t="shared" si="1380"/>
        <v>#VALUE!</v>
      </c>
      <c r="SW172" s="672" t="e">
        <f t="shared" si="1380"/>
        <v>#REF!</v>
      </c>
      <c r="SX172" s="675" t="e">
        <f t="shared" si="1380"/>
        <v>#VALUE!</v>
      </c>
      <c r="SY172" s="672" t="e">
        <f t="shared" si="1380"/>
        <v>#VALUE!</v>
      </c>
      <c r="SZ172" s="672" t="e">
        <f t="shared" si="1380"/>
        <v>#VALUE!</v>
      </c>
      <c r="TA172" s="672" t="e">
        <f>STDEVA(TA166:TA170)</f>
        <v>#VALUE!</v>
      </c>
      <c r="TB172" s="672" t="e">
        <f t="shared" si="1380"/>
        <v>#VALUE!</v>
      </c>
      <c r="TC172" s="676" t="e">
        <f t="shared" si="1380"/>
        <v>#VALUE!</v>
      </c>
      <c r="TD172" s="682" t="e">
        <f t="shared" si="1380"/>
        <v>#DIV/0!</v>
      </c>
      <c r="TE172" s="691" t="e">
        <f t="shared" si="1380"/>
        <v>#DIV/0!</v>
      </c>
      <c r="TF172" s="695" t="e">
        <f t="shared" si="1380"/>
        <v>#DIV/0!</v>
      </c>
      <c r="TG172" s="599" t="e">
        <f t="shared" si="1380"/>
        <v>#DIV/0!</v>
      </c>
      <c r="TH172" s="652" t="e">
        <f t="shared" si="1380"/>
        <v>#DIV/0!</v>
      </c>
      <c r="TI172" s="652" t="s">
        <v>93</v>
      </c>
      <c r="TJ172" s="40" t="s">
        <v>93</v>
      </c>
      <c r="TK172" s="599">
        <f>STDEVA(TK166:TK170)</f>
        <v>0</v>
      </c>
      <c r="TL172" s="652" t="e">
        <f t="shared" ref="TL172:TZ172" si="1381">STDEVA(TL166:TL170)</f>
        <v>#DIV/0!</v>
      </c>
      <c r="TM172" s="675" t="e">
        <f t="shared" si="1381"/>
        <v>#VALUE!</v>
      </c>
      <c r="TN172" s="672" t="e">
        <f t="shared" si="1381"/>
        <v>#VALUE!</v>
      </c>
      <c r="TO172" s="672" t="e">
        <f t="shared" si="1381"/>
        <v>#REF!</v>
      </c>
      <c r="TP172" s="675" t="e">
        <f t="shared" si="1381"/>
        <v>#VALUE!</v>
      </c>
      <c r="TQ172" s="672" t="e">
        <f t="shared" si="1381"/>
        <v>#VALUE!</v>
      </c>
      <c r="TR172" s="672" t="e">
        <f t="shared" si="1381"/>
        <v>#VALUE!</v>
      </c>
      <c r="TS172" s="672" t="e">
        <f>STDEVA(TS166:TS170)</f>
        <v>#VALUE!</v>
      </c>
      <c r="TT172" s="672" t="e">
        <f t="shared" si="1381"/>
        <v>#VALUE!</v>
      </c>
      <c r="TU172" s="676" t="e">
        <f t="shared" si="1381"/>
        <v>#VALUE!</v>
      </c>
      <c r="TV172" s="682" t="e">
        <f t="shared" si="1381"/>
        <v>#DIV/0!</v>
      </c>
      <c r="TW172" s="691" t="e">
        <f t="shared" si="1381"/>
        <v>#DIV/0!</v>
      </c>
      <c r="TX172" s="695" t="e">
        <f t="shared" si="1381"/>
        <v>#DIV/0!</v>
      </c>
      <c r="TY172" s="599" t="e">
        <f t="shared" si="1381"/>
        <v>#DIV/0!</v>
      </c>
      <c r="TZ172" s="652" t="e">
        <f t="shared" si="1381"/>
        <v>#DIV/0!</v>
      </c>
      <c r="UA172" s="652" t="s">
        <v>93</v>
      </c>
      <c r="UB172" s="40" t="s">
        <v>93</v>
      </c>
      <c r="UC172" s="599">
        <f>STDEVA(UC166:UC170)</f>
        <v>0</v>
      </c>
      <c r="UD172" s="652" t="e">
        <f t="shared" ref="UD172:UR172" si="1382">STDEVA(UD166:UD170)</f>
        <v>#DIV/0!</v>
      </c>
      <c r="UE172" s="675" t="e">
        <f t="shared" si="1382"/>
        <v>#VALUE!</v>
      </c>
      <c r="UF172" s="672" t="e">
        <f t="shared" si="1382"/>
        <v>#VALUE!</v>
      </c>
      <c r="UG172" s="672" t="e">
        <f t="shared" si="1382"/>
        <v>#REF!</v>
      </c>
      <c r="UH172" s="675" t="e">
        <f t="shared" si="1382"/>
        <v>#VALUE!</v>
      </c>
      <c r="UI172" s="672" t="e">
        <f t="shared" si="1382"/>
        <v>#VALUE!</v>
      </c>
      <c r="UJ172" s="672" t="e">
        <f t="shared" si="1382"/>
        <v>#VALUE!</v>
      </c>
      <c r="UK172" s="672" t="e">
        <f>STDEVA(UK166:UK170)</f>
        <v>#VALUE!</v>
      </c>
      <c r="UL172" s="672" t="e">
        <f t="shared" si="1382"/>
        <v>#VALUE!</v>
      </c>
      <c r="UM172" s="675" t="e">
        <f t="shared" si="1382"/>
        <v>#VALUE!</v>
      </c>
      <c r="UN172" s="682" t="e">
        <f t="shared" si="1382"/>
        <v>#DIV/0!</v>
      </c>
      <c r="UO172" s="691" t="e">
        <f t="shared" si="1382"/>
        <v>#DIV/0!</v>
      </c>
      <c r="UP172" s="695" t="e">
        <f t="shared" si="1382"/>
        <v>#DIV/0!</v>
      </c>
      <c r="UQ172" s="599" t="e">
        <f t="shared" si="1382"/>
        <v>#DIV/0!</v>
      </c>
      <c r="UR172" s="652" t="e">
        <f t="shared" si="1382"/>
        <v>#DIV/0!</v>
      </c>
      <c r="US172" s="652" t="s">
        <v>93</v>
      </c>
      <c r="UT172" s="40" t="s">
        <v>93</v>
      </c>
      <c r="UU172" s="599">
        <f>STDEVA(UU166:UU170)</f>
        <v>0</v>
      </c>
      <c r="UV172" s="652" t="e">
        <f t="shared" ref="UV172:VE172" si="1383">STDEVA(UV166:UV170)</f>
        <v>#DIV/0!</v>
      </c>
      <c r="UW172" s="675" t="e">
        <f t="shared" si="1383"/>
        <v>#VALUE!</v>
      </c>
      <c r="UX172" s="672" t="e">
        <f t="shared" si="1383"/>
        <v>#VALUE!</v>
      </c>
      <c r="UY172" s="672" t="e">
        <f t="shared" si="1383"/>
        <v>#REF!</v>
      </c>
      <c r="UZ172" s="675" t="e">
        <f t="shared" si="1383"/>
        <v>#VALUE!</v>
      </c>
      <c r="VA172" s="672" t="e">
        <f t="shared" si="1383"/>
        <v>#VALUE!</v>
      </c>
      <c r="VB172" s="672" t="e">
        <f t="shared" si="1383"/>
        <v>#VALUE!</v>
      </c>
      <c r="VC172" s="672" t="e">
        <f>STDEVA(VC166:VC170)</f>
        <v>#VALUE!</v>
      </c>
      <c r="VD172" s="672" t="e">
        <f t="shared" si="1383"/>
        <v>#VALUE!</v>
      </c>
      <c r="VE172" s="676" t="e">
        <f t="shared" si="1383"/>
        <v>#VALUE!</v>
      </c>
    </row>
    <row r="173" spans="1:577" x14ac:dyDescent="0.25">
      <c r="A173" s="1537" t="s">
        <v>63</v>
      </c>
      <c r="B173" s="688">
        <f t="shared" ref="B173:F173" si="1384">B172/B171*100</f>
        <v>0.64291936934936855</v>
      </c>
      <c r="C173" s="619">
        <f t="shared" si="1384"/>
        <v>0.98511251349850015</v>
      </c>
      <c r="D173" s="619">
        <f t="shared" si="1384"/>
        <v>0</v>
      </c>
      <c r="E173" s="672">
        <f t="shared" si="1384"/>
        <v>-7.3630024906288505E-2</v>
      </c>
      <c r="F173" s="619">
        <f t="shared" si="1384"/>
        <v>0</v>
      </c>
      <c r="G173" s="619" t="s">
        <v>93</v>
      </c>
      <c r="H173" s="38" t="s">
        <v>93</v>
      </c>
      <c r="I173" s="672">
        <f>I172/I171*100</f>
        <v>-7.3630024906290947E-2</v>
      </c>
      <c r="J173" s="619">
        <f t="shared" ref="J173:X173" si="1385">J172/J171*100</f>
        <v>4.4426893861257789E-2</v>
      </c>
      <c r="K173" s="675">
        <f t="shared" si="1385"/>
        <v>-6.5719988165994045E-2</v>
      </c>
      <c r="L173" s="672">
        <f t="shared" si="1385"/>
        <v>-6.5773664553686426E-2</v>
      </c>
      <c r="M173" s="672" t="e">
        <f t="shared" si="1385"/>
        <v>#REF!</v>
      </c>
      <c r="N173" s="675">
        <f t="shared" si="1385"/>
        <v>6.5773664553684857E-2</v>
      </c>
      <c r="O173" s="672">
        <f t="shared" si="1385"/>
        <v>6.5773664553685871E-2</v>
      </c>
      <c r="P173" s="672">
        <f t="shared" si="1385"/>
        <v>6.5773664553687619E-2</v>
      </c>
      <c r="Q173" s="672">
        <f>Q172/Q171*100</f>
        <v>6.5773664553685177E-2</v>
      </c>
      <c r="R173" s="672">
        <f t="shared" si="1385"/>
        <v>6.5773664553685177E-2</v>
      </c>
      <c r="S173" s="676">
        <f t="shared" si="1385"/>
        <v>6.5773664553681777E-2</v>
      </c>
      <c r="T173" s="1538" t="e">
        <f t="shared" si="1385"/>
        <v>#DIV/0!</v>
      </c>
      <c r="U173" s="1538" t="e">
        <f t="shared" si="1385"/>
        <v>#DIV/0!</v>
      </c>
      <c r="V173" s="1539" t="e">
        <f t="shared" si="1385"/>
        <v>#DIV/0!</v>
      </c>
      <c r="W173" s="672" t="e">
        <f t="shared" si="1385"/>
        <v>#DIV/0!</v>
      </c>
      <c r="X173" s="619" t="e">
        <f t="shared" si="1385"/>
        <v>#DIV/0!</v>
      </c>
      <c r="Y173" s="619" t="s">
        <v>93</v>
      </c>
      <c r="Z173" s="38" t="s">
        <v>93</v>
      </c>
      <c r="AA173" s="672" t="e">
        <f>AA172/AA171*100</f>
        <v>#DIV/0!</v>
      </c>
      <c r="AB173" s="619" t="e">
        <f t="shared" ref="AB173:AP173" si="1386">AB172/AB171*100</f>
        <v>#DIV/0!</v>
      </c>
      <c r="AC173" s="675" t="e">
        <f t="shared" si="1386"/>
        <v>#VALUE!</v>
      </c>
      <c r="AD173" s="672" t="e">
        <f t="shared" si="1386"/>
        <v>#VALUE!</v>
      </c>
      <c r="AE173" s="672" t="e">
        <f t="shared" si="1386"/>
        <v>#REF!</v>
      </c>
      <c r="AF173" s="675" t="e">
        <f t="shared" si="1386"/>
        <v>#VALUE!</v>
      </c>
      <c r="AG173" s="672" t="e">
        <f t="shared" si="1386"/>
        <v>#VALUE!</v>
      </c>
      <c r="AH173" s="672" t="e">
        <f t="shared" si="1386"/>
        <v>#VALUE!</v>
      </c>
      <c r="AI173" s="672" t="e">
        <f>AI172/AI171*100</f>
        <v>#VALUE!</v>
      </c>
      <c r="AJ173" s="672" t="e">
        <f t="shared" si="1386"/>
        <v>#VALUE!</v>
      </c>
      <c r="AK173" s="676" t="e">
        <f t="shared" si="1386"/>
        <v>#VALUE!</v>
      </c>
      <c r="AL173" s="1538" t="e">
        <f t="shared" si="1386"/>
        <v>#DIV/0!</v>
      </c>
      <c r="AM173" s="1538" t="e">
        <f t="shared" si="1386"/>
        <v>#DIV/0!</v>
      </c>
      <c r="AN173" s="1539" t="e">
        <f t="shared" si="1386"/>
        <v>#DIV/0!</v>
      </c>
      <c r="AO173" s="672" t="e">
        <f t="shared" si="1386"/>
        <v>#DIV/0!</v>
      </c>
      <c r="AP173" s="619" t="e">
        <f t="shared" si="1386"/>
        <v>#DIV/0!</v>
      </c>
      <c r="AQ173" s="619" t="s">
        <v>93</v>
      </c>
      <c r="AR173" s="38" t="s">
        <v>93</v>
      </c>
      <c r="AS173" s="672" t="e">
        <f>AS172/AS171*100</f>
        <v>#DIV/0!</v>
      </c>
      <c r="AT173" s="619" t="e">
        <f t="shared" ref="AT173:BH173" si="1387">AT172/AT171*100</f>
        <v>#DIV/0!</v>
      </c>
      <c r="AU173" s="675" t="e">
        <f t="shared" si="1387"/>
        <v>#VALUE!</v>
      </c>
      <c r="AV173" s="672" t="e">
        <f t="shared" si="1387"/>
        <v>#VALUE!</v>
      </c>
      <c r="AW173" s="672" t="e">
        <f t="shared" si="1387"/>
        <v>#REF!</v>
      </c>
      <c r="AX173" s="675" t="e">
        <f t="shared" si="1387"/>
        <v>#VALUE!</v>
      </c>
      <c r="AY173" s="672" t="e">
        <f t="shared" si="1387"/>
        <v>#VALUE!</v>
      </c>
      <c r="AZ173" s="672" t="e">
        <f t="shared" si="1387"/>
        <v>#VALUE!</v>
      </c>
      <c r="BA173" s="672" t="e">
        <f>BA172/BA171*100</f>
        <v>#VALUE!</v>
      </c>
      <c r="BB173" s="672" t="e">
        <f t="shared" si="1387"/>
        <v>#VALUE!</v>
      </c>
      <c r="BC173" s="676" t="e">
        <f t="shared" si="1387"/>
        <v>#VALUE!</v>
      </c>
      <c r="BD173" s="688" t="e">
        <f t="shared" si="1387"/>
        <v>#DIV/0!</v>
      </c>
      <c r="BE173" s="1538" t="e">
        <f t="shared" si="1387"/>
        <v>#DIV/0!</v>
      </c>
      <c r="BF173" s="1539" t="e">
        <f t="shared" si="1387"/>
        <v>#DIV/0!</v>
      </c>
      <c r="BG173" s="672" t="e">
        <f t="shared" si="1387"/>
        <v>#DIV/0!</v>
      </c>
      <c r="BH173" s="619" t="e">
        <f t="shared" si="1387"/>
        <v>#DIV/0!</v>
      </c>
      <c r="BI173" s="619" t="s">
        <v>93</v>
      </c>
      <c r="BJ173" s="38" t="s">
        <v>93</v>
      </c>
      <c r="BK173" s="672" t="e">
        <f>BK172/BK171*100</f>
        <v>#DIV/0!</v>
      </c>
      <c r="BL173" s="619" t="e">
        <f t="shared" ref="BL173:BZ173" si="1388">BL172/BL171*100</f>
        <v>#DIV/0!</v>
      </c>
      <c r="BM173" s="675" t="e">
        <f t="shared" si="1388"/>
        <v>#VALUE!</v>
      </c>
      <c r="BN173" s="672" t="e">
        <f t="shared" si="1388"/>
        <v>#VALUE!</v>
      </c>
      <c r="BO173" s="672" t="e">
        <f t="shared" si="1388"/>
        <v>#REF!</v>
      </c>
      <c r="BP173" s="675" t="e">
        <f t="shared" si="1388"/>
        <v>#VALUE!</v>
      </c>
      <c r="BQ173" s="672" t="e">
        <f t="shared" si="1388"/>
        <v>#VALUE!</v>
      </c>
      <c r="BR173" s="672" t="e">
        <f t="shared" si="1388"/>
        <v>#VALUE!</v>
      </c>
      <c r="BS173" s="672" t="e">
        <f>BS172/BS171*100</f>
        <v>#VALUE!</v>
      </c>
      <c r="BT173" s="672" t="e">
        <f t="shared" si="1388"/>
        <v>#VALUE!</v>
      </c>
      <c r="BU173" s="676" t="e">
        <f t="shared" si="1388"/>
        <v>#VALUE!</v>
      </c>
      <c r="BV173" s="688" t="e">
        <f t="shared" si="1388"/>
        <v>#DIV/0!</v>
      </c>
      <c r="BW173" s="1538" t="e">
        <f t="shared" si="1388"/>
        <v>#DIV/0!</v>
      </c>
      <c r="BX173" s="1539" t="e">
        <f t="shared" si="1388"/>
        <v>#DIV/0!</v>
      </c>
      <c r="BY173" s="672" t="e">
        <f t="shared" si="1388"/>
        <v>#DIV/0!</v>
      </c>
      <c r="BZ173" s="619" t="e">
        <f t="shared" si="1388"/>
        <v>#DIV/0!</v>
      </c>
      <c r="CA173" s="619" t="s">
        <v>93</v>
      </c>
      <c r="CB173" s="38" t="s">
        <v>93</v>
      </c>
      <c r="CC173" s="672" t="e">
        <f>CC172/CC171*100</f>
        <v>#DIV/0!</v>
      </c>
      <c r="CD173" s="619" t="e">
        <f t="shared" ref="CD173:CR173" si="1389">CD172/CD171*100</f>
        <v>#DIV/0!</v>
      </c>
      <c r="CE173" s="675" t="e">
        <f t="shared" si="1389"/>
        <v>#VALUE!</v>
      </c>
      <c r="CF173" s="672" t="e">
        <f t="shared" si="1389"/>
        <v>#VALUE!</v>
      </c>
      <c r="CG173" s="672" t="e">
        <f t="shared" si="1389"/>
        <v>#REF!</v>
      </c>
      <c r="CH173" s="675" t="e">
        <f t="shared" si="1389"/>
        <v>#VALUE!</v>
      </c>
      <c r="CI173" s="672" t="e">
        <f t="shared" si="1389"/>
        <v>#VALUE!</v>
      </c>
      <c r="CJ173" s="672" t="e">
        <f t="shared" si="1389"/>
        <v>#VALUE!</v>
      </c>
      <c r="CK173" s="672" t="e">
        <f>CK172/CK171*100</f>
        <v>#VALUE!</v>
      </c>
      <c r="CL173" s="672" t="e">
        <f t="shared" si="1389"/>
        <v>#VALUE!</v>
      </c>
      <c r="CM173" s="676" t="e">
        <f t="shared" si="1389"/>
        <v>#VALUE!</v>
      </c>
      <c r="CN173" s="688" t="e">
        <f t="shared" si="1389"/>
        <v>#DIV/0!</v>
      </c>
      <c r="CO173" s="1538" t="e">
        <f t="shared" si="1389"/>
        <v>#DIV/0!</v>
      </c>
      <c r="CP173" s="1539" t="e">
        <f t="shared" si="1389"/>
        <v>#DIV/0!</v>
      </c>
      <c r="CQ173" s="672" t="e">
        <f t="shared" si="1389"/>
        <v>#DIV/0!</v>
      </c>
      <c r="CR173" s="619" t="e">
        <f t="shared" si="1389"/>
        <v>#DIV/0!</v>
      </c>
      <c r="CS173" s="619" t="s">
        <v>93</v>
      </c>
      <c r="CT173" s="38" t="s">
        <v>93</v>
      </c>
      <c r="CU173" s="672" t="e">
        <f>CU172/CU171*100</f>
        <v>#DIV/0!</v>
      </c>
      <c r="CV173" s="619" t="e">
        <f t="shared" ref="CV173:DJ173" si="1390">CV172/CV171*100</f>
        <v>#DIV/0!</v>
      </c>
      <c r="CW173" s="675" t="e">
        <f t="shared" si="1390"/>
        <v>#VALUE!</v>
      </c>
      <c r="CX173" s="672" t="e">
        <f t="shared" si="1390"/>
        <v>#VALUE!</v>
      </c>
      <c r="CY173" s="672" t="e">
        <f t="shared" si="1390"/>
        <v>#REF!</v>
      </c>
      <c r="CZ173" s="675" t="e">
        <f t="shared" si="1390"/>
        <v>#VALUE!</v>
      </c>
      <c r="DA173" s="672" t="e">
        <f t="shared" si="1390"/>
        <v>#VALUE!</v>
      </c>
      <c r="DB173" s="672" t="e">
        <f t="shared" si="1390"/>
        <v>#VALUE!</v>
      </c>
      <c r="DC173" s="672" t="e">
        <f>DC172/DC171*100</f>
        <v>#VALUE!</v>
      </c>
      <c r="DD173" s="672" t="e">
        <f t="shared" si="1390"/>
        <v>#VALUE!</v>
      </c>
      <c r="DE173" s="676" t="e">
        <f t="shared" si="1390"/>
        <v>#VALUE!</v>
      </c>
      <c r="DF173" s="688" t="e">
        <f t="shared" si="1390"/>
        <v>#DIV/0!</v>
      </c>
      <c r="DG173" s="1538" t="e">
        <f t="shared" si="1390"/>
        <v>#DIV/0!</v>
      </c>
      <c r="DH173" s="1539" t="e">
        <f t="shared" si="1390"/>
        <v>#DIV/0!</v>
      </c>
      <c r="DI173" s="672" t="e">
        <f t="shared" si="1390"/>
        <v>#DIV/0!</v>
      </c>
      <c r="DJ173" s="619" t="e">
        <f t="shared" si="1390"/>
        <v>#DIV/0!</v>
      </c>
      <c r="DK173" s="619" t="s">
        <v>93</v>
      </c>
      <c r="DL173" s="38" t="s">
        <v>93</v>
      </c>
      <c r="DM173" s="672" t="e">
        <f>DM172/DM171*100</f>
        <v>#DIV/0!</v>
      </c>
      <c r="DN173" s="619" t="e">
        <f t="shared" ref="DN173:EB173" si="1391">DN172/DN171*100</f>
        <v>#DIV/0!</v>
      </c>
      <c r="DO173" s="675" t="e">
        <f t="shared" si="1391"/>
        <v>#VALUE!</v>
      </c>
      <c r="DP173" s="672" t="e">
        <f t="shared" si="1391"/>
        <v>#VALUE!</v>
      </c>
      <c r="DQ173" s="672" t="e">
        <f t="shared" si="1391"/>
        <v>#REF!</v>
      </c>
      <c r="DR173" s="675" t="e">
        <f t="shared" si="1391"/>
        <v>#VALUE!</v>
      </c>
      <c r="DS173" s="672" t="e">
        <f t="shared" si="1391"/>
        <v>#VALUE!</v>
      </c>
      <c r="DT173" s="672" t="e">
        <f t="shared" si="1391"/>
        <v>#VALUE!</v>
      </c>
      <c r="DU173" s="672" t="e">
        <f>DU172/DU171*100</f>
        <v>#VALUE!</v>
      </c>
      <c r="DV173" s="672" t="e">
        <f t="shared" si="1391"/>
        <v>#VALUE!</v>
      </c>
      <c r="DW173" s="676" t="e">
        <f t="shared" si="1391"/>
        <v>#VALUE!</v>
      </c>
      <c r="DX173" s="688" t="e">
        <f t="shared" si="1391"/>
        <v>#DIV/0!</v>
      </c>
      <c r="DY173" s="1538" t="e">
        <f t="shared" si="1391"/>
        <v>#DIV/0!</v>
      </c>
      <c r="DZ173" s="1539" t="e">
        <f t="shared" si="1391"/>
        <v>#DIV/0!</v>
      </c>
      <c r="EA173" s="674" t="e">
        <f t="shared" si="1391"/>
        <v>#DIV/0!</v>
      </c>
      <c r="EB173" s="619" t="e">
        <f t="shared" si="1391"/>
        <v>#DIV/0!</v>
      </c>
      <c r="EC173" s="619" t="s">
        <v>93</v>
      </c>
      <c r="ED173" s="38" t="s">
        <v>93</v>
      </c>
      <c r="EE173" s="672" t="e">
        <f>EE172/EE171*100</f>
        <v>#DIV/0!</v>
      </c>
      <c r="EF173" s="619" t="e">
        <f t="shared" ref="EF173:ET173" si="1392">EF172/EF171*100</f>
        <v>#DIV/0!</v>
      </c>
      <c r="EG173" s="675" t="e">
        <f t="shared" si="1392"/>
        <v>#VALUE!</v>
      </c>
      <c r="EH173" s="672" t="e">
        <f t="shared" si="1392"/>
        <v>#VALUE!</v>
      </c>
      <c r="EI173" s="672" t="e">
        <f t="shared" si="1392"/>
        <v>#REF!</v>
      </c>
      <c r="EJ173" s="675" t="e">
        <f t="shared" si="1392"/>
        <v>#VALUE!</v>
      </c>
      <c r="EK173" s="672" t="e">
        <f t="shared" si="1392"/>
        <v>#VALUE!</v>
      </c>
      <c r="EL173" s="672" t="e">
        <f t="shared" si="1392"/>
        <v>#VALUE!</v>
      </c>
      <c r="EM173" s="672" t="e">
        <f>EM172/EM171*100</f>
        <v>#VALUE!</v>
      </c>
      <c r="EN173" s="672" t="e">
        <f t="shared" si="1392"/>
        <v>#VALUE!</v>
      </c>
      <c r="EO173" s="676" t="e">
        <f t="shared" si="1392"/>
        <v>#VALUE!</v>
      </c>
      <c r="EP173" s="688" t="e">
        <f t="shared" si="1392"/>
        <v>#DIV/0!</v>
      </c>
      <c r="EQ173" s="1538" t="e">
        <f t="shared" si="1392"/>
        <v>#DIV/0!</v>
      </c>
      <c r="ER173" s="1539" t="e">
        <f t="shared" si="1392"/>
        <v>#DIV/0!</v>
      </c>
      <c r="ES173" s="672" t="e">
        <f t="shared" si="1392"/>
        <v>#DIV/0!</v>
      </c>
      <c r="ET173" s="619" t="e">
        <f t="shared" si="1392"/>
        <v>#DIV/0!</v>
      </c>
      <c r="EU173" s="619" t="s">
        <v>93</v>
      </c>
      <c r="EV173" s="38" t="s">
        <v>93</v>
      </c>
      <c r="EW173" s="672" t="e">
        <f>EW172/EW171*100</f>
        <v>#DIV/0!</v>
      </c>
      <c r="EX173" s="619" t="e">
        <f t="shared" ref="EX173:FL173" si="1393">EX172/EX171*100</f>
        <v>#DIV/0!</v>
      </c>
      <c r="EY173" s="675" t="e">
        <f t="shared" si="1393"/>
        <v>#VALUE!</v>
      </c>
      <c r="EZ173" s="672" t="e">
        <f t="shared" si="1393"/>
        <v>#VALUE!</v>
      </c>
      <c r="FA173" s="672" t="e">
        <f t="shared" si="1393"/>
        <v>#REF!</v>
      </c>
      <c r="FB173" s="675" t="e">
        <f t="shared" si="1393"/>
        <v>#VALUE!</v>
      </c>
      <c r="FC173" s="672" t="e">
        <f t="shared" si="1393"/>
        <v>#VALUE!</v>
      </c>
      <c r="FD173" s="672" t="e">
        <f t="shared" si="1393"/>
        <v>#VALUE!</v>
      </c>
      <c r="FE173" s="672" t="e">
        <f>FE172/FE171*100</f>
        <v>#VALUE!</v>
      </c>
      <c r="FF173" s="672" t="e">
        <f t="shared" si="1393"/>
        <v>#VALUE!</v>
      </c>
      <c r="FG173" s="676" t="e">
        <f t="shared" si="1393"/>
        <v>#VALUE!</v>
      </c>
      <c r="FH173" s="688" t="e">
        <f t="shared" si="1393"/>
        <v>#DIV/0!</v>
      </c>
      <c r="FI173" s="1538" t="e">
        <f t="shared" si="1393"/>
        <v>#DIV/0!</v>
      </c>
      <c r="FJ173" s="1539" t="e">
        <f t="shared" si="1393"/>
        <v>#DIV/0!</v>
      </c>
      <c r="FK173" s="672" t="e">
        <f t="shared" si="1393"/>
        <v>#DIV/0!</v>
      </c>
      <c r="FL173" s="619" t="e">
        <f t="shared" si="1393"/>
        <v>#DIV/0!</v>
      </c>
      <c r="FM173" s="619" t="s">
        <v>93</v>
      </c>
      <c r="FN173" s="38" t="s">
        <v>93</v>
      </c>
      <c r="FO173" s="672" t="e">
        <f>FO172/FO171*100</f>
        <v>#DIV/0!</v>
      </c>
      <c r="FP173" s="619" t="e">
        <f t="shared" ref="FP173:GD173" si="1394">FP172/FP171*100</f>
        <v>#DIV/0!</v>
      </c>
      <c r="FQ173" s="675" t="e">
        <f t="shared" si="1394"/>
        <v>#VALUE!</v>
      </c>
      <c r="FR173" s="672" t="e">
        <f t="shared" si="1394"/>
        <v>#VALUE!</v>
      </c>
      <c r="FS173" s="672" t="e">
        <f t="shared" si="1394"/>
        <v>#REF!</v>
      </c>
      <c r="FT173" s="675" t="e">
        <f t="shared" si="1394"/>
        <v>#VALUE!</v>
      </c>
      <c r="FU173" s="672" t="e">
        <f t="shared" si="1394"/>
        <v>#VALUE!</v>
      </c>
      <c r="FV173" s="672" t="e">
        <f t="shared" si="1394"/>
        <v>#VALUE!</v>
      </c>
      <c r="FW173" s="672" t="e">
        <f>FW172/FW171*100</f>
        <v>#VALUE!</v>
      </c>
      <c r="FX173" s="672" t="e">
        <f t="shared" si="1394"/>
        <v>#VALUE!</v>
      </c>
      <c r="FY173" s="676" t="e">
        <f t="shared" si="1394"/>
        <v>#VALUE!</v>
      </c>
      <c r="FZ173" s="688" t="e">
        <f t="shared" si="1394"/>
        <v>#DIV/0!</v>
      </c>
      <c r="GA173" s="1538" t="e">
        <f t="shared" si="1394"/>
        <v>#DIV/0!</v>
      </c>
      <c r="GB173" s="1539" t="e">
        <f t="shared" si="1394"/>
        <v>#DIV/0!</v>
      </c>
      <c r="GC173" s="672" t="e">
        <f t="shared" si="1394"/>
        <v>#DIV/0!</v>
      </c>
      <c r="GD173" s="619" t="e">
        <f t="shared" si="1394"/>
        <v>#DIV/0!</v>
      </c>
      <c r="GE173" s="619" t="s">
        <v>93</v>
      </c>
      <c r="GF173" s="38" t="s">
        <v>93</v>
      </c>
      <c r="GG173" s="672" t="e">
        <f>GG172/GG171*100</f>
        <v>#DIV/0!</v>
      </c>
      <c r="GH173" s="619" t="e">
        <f t="shared" ref="GH173:GV173" si="1395">GH172/GH171*100</f>
        <v>#DIV/0!</v>
      </c>
      <c r="GI173" s="675" t="e">
        <f t="shared" si="1395"/>
        <v>#VALUE!</v>
      </c>
      <c r="GJ173" s="672" t="e">
        <f t="shared" si="1395"/>
        <v>#VALUE!</v>
      </c>
      <c r="GK173" s="672" t="e">
        <f t="shared" si="1395"/>
        <v>#REF!</v>
      </c>
      <c r="GL173" s="675" t="e">
        <f t="shared" si="1395"/>
        <v>#VALUE!</v>
      </c>
      <c r="GM173" s="672" t="e">
        <f t="shared" si="1395"/>
        <v>#VALUE!</v>
      </c>
      <c r="GN173" s="672" t="e">
        <f t="shared" si="1395"/>
        <v>#VALUE!</v>
      </c>
      <c r="GO173" s="672" t="e">
        <f>GO172/GO171*100</f>
        <v>#VALUE!</v>
      </c>
      <c r="GP173" s="672" t="e">
        <f t="shared" si="1395"/>
        <v>#VALUE!</v>
      </c>
      <c r="GQ173" s="676" t="e">
        <f t="shared" si="1395"/>
        <v>#VALUE!</v>
      </c>
      <c r="GR173" s="688" t="e">
        <f t="shared" si="1395"/>
        <v>#DIV/0!</v>
      </c>
      <c r="GS173" s="1538" t="e">
        <f t="shared" si="1395"/>
        <v>#DIV/0!</v>
      </c>
      <c r="GT173" s="1539" t="e">
        <f t="shared" si="1395"/>
        <v>#DIV/0!</v>
      </c>
      <c r="GU173" s="674" t="e">
        <f t="shared" si="1395"/>
        <v>#DIV/0!</v>
      </c>
      <c r="GV173" s="619" t="e">
        <f t="shared" si="1395"/>
        <v>#DIV/0!</v>
      </c>
      <c r="GW173" s="619" t="s">
        <v>93</v>
      </c>
      <c r="GX173" s="38" t="s">
        <v>93</v>
      </c>
      <c r="GY173" s="672" t="e">
        <f>GY172/GY171*100</f>
        <v>#DIV/0!</v>
      </c>
      <c r="GZ173" s="619" t="e">
        <f t="shared" ref="GZ173:HN173" si="1396">GZ172/GZ171*100</f>
        <v>#DIV/0!</v>
      </c>
      <c r="HA173" s="675" t="e">
        <f t="shared" si="1396"/>
        <v>#VALUE!</v>
      </c>
      <c r="HB173" s="672" t="e">
        <f t="shared" si="1396"/>
        <v>#VALUE!</v>
      </c>
      <c r="HC173" s="672" t="e">
        <f t="shared" si="1396"/>
        <v>#REF!</v>
      </c>
      <c r="HD173" s="675" t="e">
        <f t="shared" si="1396"/>
        <v>#VALUE!</v>
      </c>
      <c r="HE173" s="672" t="e">
        <f t="shared" si="1396"/>
        <v>#VALUE!</v>
      </c>
      <c r="HF173" s="672" t="e">
        <f t="shared" si="1396"/>
        <v>#VALUE!</v>
      </c>
      <c r="HG173" s="672" t="e">
        <f>HG172/HG171*100</f>
        <v>#VALUE!</v>
      </c>
      <c r="HH173" s="672" t="e">
        <f t="shared" si="1396"/>
        <v>#VALUE!</v>
      </c>
      <c r="HI173" s="676" t="e">
        <f t="shared" si="1396"/>
        <v>#VALUE!</v>
      </c>
      <c r="HJ173" s="688" t="e">
        <f t="shared" si="1396"/>
        <v>#DIV/0!</v>
      </c>
      <c r="HK173" s="1538" t="e">
        <f t="shared" si="1396"/>
        <v>#DIV/0!</v>
      </c>
      <c r="HL173" s="1539" t="e">
        <f t="shared" si="1396"/>
        <v>#DIV/0!</v>
      </c>
      <c r="HM173" s="672" t="e">
        <f t="shared" si="1396"/>
        <v>#DIV/0!</v>
      </c>
      <c r="HN173" s="619" t="e">
        <f t="shared" si="1396"/>
        <v>#DIV/0!</v>
      </c>
      <c r="HO173" s="619" t="s">
        <v>93</v>
      </c>
      <c r="HP173" s="38" t="s">
        <v>93</v>
      </c>
      <c r="HQ173" s="672" t="e">
        <f>HQ172/HQ171*100</f>
        <v>#DIV/0!</v>
      </c>
      <c r="HR173" s="619" t="e">
        <f t="shared" ref="HR173:IF173" si="1397">HR172/HR171*100</f>
        <v>#DIV/0!</v>
      </c>
      <c r="HS173" s="675" t="e">
        <f t="shared" si="1397"/>
        <v>#VALUE!</v>
      </c>
      <c r="HT173" s="672" t="e">
        <f t="shared" si="1397"/>
        <v>#VALUE!</v>
      </c>
      <c r="HU173" s="672" t="e">
        <f t="shared" si="1397"/>
        <v>#REF!</v>
      </c>
      <c r="HV173" s="675" t="e">
        <f t="shared" si="1397"/>
        <v>#VALUE!</v>
      </c>
      <c r="HW173" s="672" t="e">
        <f t="shared" si="1397"/>
        <v>#VALUE!</v>
      </c>
      <c r="HX173" s="672" t="e">
        <f t="shared" si="1397"/>
        <v>#VALUE!</v>
      </c>
      <c r="HY173" s="672" t="e">
        <f>HY172/HY171*100</f>
        <v>#VALUE!</v>
      </c>
      <c r="HZ173" s="672" t="e">
        <f t="shared" si="1397"/>
        <v>#VALUE!</v>
      </c>
      <c r="IA173" s="676" t="e">
        <f t="shared" si="1397"/>
        <v>#VALUE!</v>
      </c>
      <c r="IB173" s="688" t="e">
        <f t="shared" si="1397"/>
        <v>#DIV/0!</v>
      </c>
      <c r="IC173" s="1538" t="e">
        <f t="shared" si="1397"/>
        <v>#DIV/0!</v>
      </c>
      <c r="ID173" s="1539" t="e">
        <f t="shared" si="1397"/>
        <v>#DIV/0!</v>
      </c>
      <c r="IE173" s="672" t="e">
        <f t="shared" si="1397"/>
        <v>#DIV/0!</v>
      </c>
      <c r="IF173" s="619" t="e">
        <f t="shared" si="1397"/>
        <v>#DIV/0!</v>
      </c>
      <c r="IG173" s="619" t="s">
        <v>93</v>
      </c>
      <c r="IH173" s="38" t="s">
        <v>93</v>
      </c>
      <c r="II173" s="672" t="e">
        <f>II172/II171*100</f>
        <v>#DIV/0!</v>
      </c>
      <c r="IJ173" s="619" t="e">
        <f t="shared" ref="IJ173:IX173" si="1398">IJ172/IJ171*100</f>
        <v>#DIV/0!</v>
      </c>
      <c r="IK173" s="675" t="e">
        <f t="shared" si="1398"/>
        <v>#VALUE!</v>
      </c>
      <c r="IL173" s="672" t="e">
        <f t="shared" si="1398"/>
        <v>#VALUE!</v>
      </c>
      <c r="IM173" s="672" t="e">
        <f t="shared" si="1398"/>
        <v>#REF!</v>
      </c>
      <c r="IN173" s="675" t="e">
        <f t="shared" si="1398"/>
        <v>#VALUE!</v>
      </c>
      <c r="IO173" s="672" t="e">
        <f t="shared" si="1398"/>
        <v>#VALUE!</v>
      </c>
      <c r="IP173" s="672" t="e">
        <f t="shared" si="1398"/>
        <v>#VALUE!</v>
      </c>
      <c r="IQ173" s="672" t="e">
        <f>IQ172/IQ171*100</f>
        <v>#VALUE!</v>
      </c>
      <c r="IR173" s="672" t="e">
        <f t="shared" si="1398"/>
        <v>#VALUE!</v>
      </c>
      <c r="IS173" s="676" t="e">
        <f t="shared" si="1398"/>
        <v>#VALUE!</v>
      </c>
      <c r="IT173" s="688" t="e">
        <f t="shared" si="1398"/>
        <v>#DIV/0!</v>
      </c>
      <c r="IU173" s="1538" t="e">
        <f t="shared" si="1398"/>
        <v>#DIV/0!</v>
      </c>
      <c r="IV173" s="1539" t="e">
        <f t="shared" si="1398"/>
        <v>#DIV/0!</v>
      </c>
      <c r="IW173" s="672" t="e">
        <f t="shared" si="1398"/>
        <v>#DIV/0!</v>
      </c>
      <c r="IX173" s="619" t="e">
        <f t="shared" si="1398"/>
        <v>#DIV/0!</v>
      </c>
      <c r="IY173" s="619" t="s">
        <v>93</v>
      </c>
      <c r="IZ173" s="38" t="s">
        <v>93</v>
      </c>
      <c r="JA173" s="672" t="e">
        <f>JA172/JA171*100</f>
        <v>#DIV/0!</v>
      </c>
      <c r="JB173" s="619" t="e">
        <f t="shared" ref="JB173:JP173" si="1399">JB172/JB171*100</f>
        <v>#DIV/0!</v>
      </c>
      <c r="JC173" s="675" t="e">
        <f t="shared" si="1399"/>
        <v>#VALUE!</v>
      </c>
      <c r="JD173" s="672" t="e">
        <f t="shared" si="1399"/>
        <v>#VALUE!</v>
      </c>
      <c r="JE173" s="672" t="e">
        <f t="shared" si="1399"/>
        <v>#REF!</v>
      </c>
      <c r="JF173" s="675" t="e">
        <f t="shared" si="1399"/>
        <v>#VALUE!</v>
      </c>
      <c r="JG173" s="672" t="e">
        <f t="shared" si="1399"/>
        <v>#VALUE!</v>
      </c>
      <c r="JH173" s="672" t="e">
        <f t="shared" si="1399"/>
        <v>#VALUE!</v>
      </c>
      <c r="JI173" s="672" t="e">
        <f>JI172/JI171*100</f>
        <v>#VALUE!</v>
      </c>
      <c r="JJ173" s="672" t="e">
        <f t="shared" si="1399"/>
        <v>#VALUE!</v>
      </c>
      <c r="JK173" s="676" t="e">
        <f t="shared" si="1399"/>
        <v>#VALUE!</v>
      </c>
      <c r="JL173" s="688" t="e">
        <f t="shared" si="1399"/>
        <v>#DIV/0!</v>
      </c>
      <c r="JM173" s="1538" t="e">
        <f t="shared" si="1399"/>
        <v>#DIV/0!</v>
      </c>
      <c r="JN173" s="1539" t="e">
        <f t="shared" si="1399"/>
        <v>#DIV/0!</v>
      </c>
      <c r="JO173" s="672" t="e">
        <f t="shared" si="1399"/>
        <v>#DIV/0!</v>
      </c>
      <c r="JP173" s="619" t="e">
        <f t="shared" si="1399"/>
        <v>#DIV/0!</v>
      </c>
      <c r="JQ173" s="619" t="s">
        <v>93</v>
      </c>
      <c r="JR173" s="38" t="s">
        <v>93</v>
      </c>
      <c r="JS173" s="672" t="e">
        <f>JS172/JS171*100</f>
        <v>#DIV/0!</v>
      </c>
      <c r="JT173" s="619" t="e">
        <f t="shared" ref="JT173:KH173" si="1400">JT172/JT171*100</f>
        <v>#DIV/0!</v>
      </c>
      <c r="JU173" s="675" t="e">
        <f t="shared" si="1400"/>
        <v>#VALUE!</v>
      </c>
      <c r="JV173" s="672" t="e">
        <f t="shared" si="1400"/>
        <v>#VALUE!</v>
      </c>
      <c r="JW173" s="672" t="e">
        <f t="shared" si="1400"/>
        <v>#REF!</v>
      </c>
      <c r="JX173" s="675" t="e">
        <f t="shared" si="1400"/>
        <v>#VALUE!</v>
      </c>
      <c r="JY173" s="672" t="e">
        <f t="shared" si="1400"/>
        <v>#VALUE!</v>
      </c>
      <c r="JZ173" s="672" t="e">
        <f t="shared" si="1400"/>
        <v>#VALUE!</v>
      </c>
      <c r="KA173" s="672" t="e">
        <f>KA172/KA171*100</f>
        <v>#VALUE!</v>
      </c>
      <c r="KB173" s="672" t="e">
        <f t="shared" si="1400"/>
        <v>#VALUE!</v>
      </c>
      <c r="KC173" s="676" t="e">
        <f t="shared" si="1400"/>
        <v>#VALUE!</v>
      </c>
      <c r="KD173" s="688" t="e">
        <f t="shared" si="1400"/>
        <v>#DIV/0!</v>
      </c>
      <c r="KE173" s="1538" t="e">
        <f t="shared" si="1400"/>
        <v>#DIV/0!</v>
      </c>
      <c r="KF173" s="1539" t="e">
        <f t="shared" si="1400"/>
        <v>#DIV/0!</v>
      </c>
      <c r="KG173" s="672" t="e">
        <f t="shared" si="1400"/>
        <v>#DIV/0!</v>
      </c>
      <c r="KH173" s="619" t="e">
        <f t="shared" si="1400"/>
        <v>#DIV/0!</v>
      </c>
      <c r="KI173" s="619" t="s">
        <v>93</v>
      </c>
      <c r="KJ173" s="38" t="s">
        <v>93</v>
      </c>
      <c r="KK173" s="672" t="e">
        <f>KK172/KK171*100</f>
        <v>#DIV/0!</v>
      </c>
      <c r="KL173" s="619" t="e">
        <f t="shared" ref="KL173:KZ173" si="1401">KL172/KL171*100</f>
        <v>#DIV/0!</v>
      </c>
      <c r="KM173" s="675" t="e">
        <f t="shared" si="1401"/>
        <v>#VALUE!</v>
      </c>
      <c r="KN173" s="672" t="e">
        <f t="shared" si="1401"/>
        <v>#VALUE!</v>
      </c>
      <c r="KO173" s="672" t="e">
        <f t="shared" si="1401"/>
        <v>#REF!</v>
      </c>
      <c r="KP173" s="675" t="e">
        <f t="shared" si="1401"/>
        <v>#VALUE!</v>
      </c>
      <c r="KQ173" s="672" t="e">
        <f t="shared" si="1401"/>
        <v>#VALUE!</v>
      </c>
      <c r="KR173" s="672" t="e">
        <f t="shared" si="1401"/>
        <v>#VALUE!</v>
      </c>
      <c r="KS173" s="672" t="e">
        <f>KS172/KS171*100</f>
        <v>#VALUE!</v>
      </c>
      <c r="KT173" s="672" t="e">
        <f t="shared" si="1401"/>
        <v>#VALUE!</v>
      </c>
      <c r="KU173" s="676" t="e">
        <f t="shared" si="1401"/>
        <v>#VALUE!</v>
      </c>
      <c r="KV173" s="688" t="e">
        <f t="shared" si="1401"/>
        <v>#DIV/0!</v>
      </c>
      <c r="KW173" s="1538" t="e">
        <f t="shared" si="1401"/>
        <v>#DIV/0!</v>
      </c>
      <c r="KX173" s="1539" t="e">
        <f t="shared" si="1401"/>
        <v>#DIV/0!</v>
      </c>
      <c r="KY173" s="672" t="e">
        <f t="shared" si="1401"/>
        <v>#DIV/0!</v>
      </c>
      <c r="KZ173" s="619" t="e">
        <f t="shared" si="1401"/>
        <v>#DIV/0!</v>
      </c>
      <c r="LA173" s="619" t="s">
        <v>93</v>
      </c>
      <c r="LB173" s="38" t="s">
        <v>93</v>
      </c>
      <c r="LC173" s="672" t="e">
        <f>LC172/LC171*100</f>
        <v>#DIV/0!</v>
      </c>
      <c r="LD173" s="619" t="e">
        <f t="shared" ref="LD173:LR173" si="1402">LD172/LD171*100</f>
        <v>#DIV/0!</v>
      </c>
      <c r="LE173" s="675" t="e">
        <f t="shared" si="1402"/>
        <v>#VALUE!</v>
      </c>
      <c r="LF173" s="672" t="e">
        <f t="shared" si="1402"/>
        <v>#VALUE!</v>
      </c>
      <c r="LG173" s="672" t="e">
        <f t="shared" si="1402"/>
        <v>#REF!</v>
      </c>
      <c r="LH173" s="675" t="e">
        <f t="shared" si="1402"/>
        <v>#VALUE!</v>
      </c>
      <c r="LI173" s="672" t="e">
        <f t="shared" si="1402"/>
        <v>#VALUE!</v>
      </c>
      <c r="LJ173" s="672" t="e">
        <f t="shared" si="1402"/>
        <v>#VALUE!</v>
      </c>
      <c r="LK173" s="672" t="e">
        <f>LK172/LK171*100</f>
        <v>#VALUE!</v>
      </c>
      <c r="LL173" s="672" t="e">
        <f t="shared" si="1402"/>
        <v>#VALUE!</v>
      </c>
      <c r="LM173" s="676" t="e">
        <f t="shared" si="1402"/>
        <v>#VALUE!</v>
      </c>
      <c r="LN173" s="688" t="e">
        <f t="shared" si="1402"/>
        <v>#DIV/0!</v>
      </c>
      <c r="LO173" s="1538" t="e">
        <f t="shared" si="1402"/>
        <v>#DIV/0!</v>
      </c>
      <c r="LP173" s="1539" t="e">
        <f t="shared" si="1402"/>
        <v>#DIV/0!</v>
      </c>
      <c r="LQ173" s="672" t="e">
        <f t="shared" si="1402"/>
        <v>#DIV/0!</v>
      </c>
      <c r="LR173" s="619" t="e">
        <f t="shared" si="1402"/>
        <v>#DIV/0!</v>
      </c>
      <c r="LS173" s="619" t="s">
        <v>93</v>
      </c>
      <c r="LT173" s="38" t="s">
        <v>93</v>
      </c>
      <c r="LU173" s="672" t="e">
        <f>LU172/LU171*100</f>
        <v>#DIV/0!</v>
      </c>
      <c r="LV173" s="619" t="e">
        <f t="shared" ref="LV173:MJ173" si="1403">LV172/LV171*100</f>
        <v>#DIV/0!</v>
      </c>
      <c r="LW173" s="675" t="e">
        <f t="shared" si="1403"/>
        <v>#VALUE!</v>
      </c>
      <c r="LX173" s="672" t="e">
        <f t="shared" si="1403"/>
        <v>#VALUE!</v>
      </c>
      <c r="LY173" s="672" t="e">
        <f t="shared" si="1403"/>
        <v>#REF!</v>
      </c>
      <c r="LZ173" s="675" t="e">
        <f t="shared" si="1403"/>
        <v>#VALUE!</v>
      </c>
      <c r="MA173" s="672" t="e">
        <f t="shared" si="1403"/>
        <v>#VALUE!</v>
      </c>
      <c r="MB173" s="672" t="e">
        <f t="shared" si="1403"/>
        <v>#VALUE!</v>
      </c>
      <c r="MC173" s="672" t="e">
        <f>MC172/MC171*100</f>
        <v>#VALUE!</v>
      </c>
      <c r="MD173" s="672" t="e">
        <f t="shared" si="1403"/>
        <v>#VALUE!</v>
      </c>
      <c r="ME173" s="676" t="e">
        <f t="shared" si="1403"/>
        <v>#VALUE!</v>
      </c>
      <c r="MF173" s="688" t="e">
        <f t="shared" si="1403"/>
        <v>#DIV/0!</v>
      </c>
      <c r="MG173" s="1538" t="e">
        <f t="shared" si="1403"/>
        <v>#DIV/0!</v>
      </c>
      <c r="MH173" s="1539" t="e">
        <f t="shared" si="1403"/>
        <v>#DIV/0!</v>
      </c>
      <c r="MI173" s="672" t="e">
        <f t="shared" si="1403"/>
        <v>#DIV/0!</v>
      </c>
      <c r="MJ173" s="619" t="e">
        <f t="shared" si="1403"/>
        <v>#DIV/0!</v>
      </c>
      <c r="MK173" s="619" t="s">
        <v>93</v>
      </c>
      <c r="ML173" s="38" t="s">
        <v>93</v>
      </c>
      <c r="MM173" s="672" t="e">
        <f>MM172/MM171*100</f>
        <v>#DIV/0!</v>
      </c>
      <c r="MN173" s="619" t="e">
        <f t="shared" ref="MN173:NB173" si="1404">MN172/MN171*100</f>
        <v>#DIV/0!</v>
      </c>
      <c r="MO173" s="675" t="e">
        <f t="shared" si="1404"/>
        <v>#VALUE!</v>
      </c>
      <c r="MP173" s="672" t="e">
        <f t="shared" si="1404"/>
        <v>#VALUE!</v>
      </c>
      <c r="MQ173" s="672" t="e">
        <f t="shared" si="1404"/>
        <v>#REF!</v>
      </c>
      <c r="MR173" s="675" t="e">
        <f t="shared" si="1404"/>
        <v>#VALUE!</v>
      </c>
      <c r="MS173" s="672" t="e">
        <f t="shared" si="1404"/>
        <v>#VALUE!</v>
      </c>
      <c r="MT173" s="672" t="e">
        <f t="shared" si="1404"/>
        <v>#VALUE!</v>
      </c>
      <c r="MU173" s="672" t="e">
        <f>MU172/MU171*100</f>
        <v>#VALUE!</v>
      </c>
      <c r="MV173" s="672" t="e">
        <f t="shared" si="1404"/>
        <v>#VALUE!</v>
      </c>
      <c r="MW173" s="676" t="e">
        <f t="shared" si="1404"/>
        <v>#VALUE!</v>
      </c>
      <c r="MX173" s="688" t="e">
        <f t="shared" si="1404"/>
        <v>#DIV/0!</v>
      </c>
      <c r="MY173" s="1538" t="e">
        <f t="shared" si="1404"/>
        <v>#DIV/0!</v>
      </c>
      <c r="MZ173" s="1539" t="e">
        <f t="shared" si="1404"/>
        <v>#DIV/0!</v>
      </c>
      <c r="NA173" s="672" t="e">
        <f t="shared" si="1404"/>
        <v>#DIV/0!</v>
      </c>
      <c r="NB173" s="619" t="e">
        <f t="shared" si="1404"/>
        <v>#DIV/0!</v>
      </c>
      <c r="NC173" s="619" t="s">
        <v>93</v>
      </c>
      <c r="ND173" s="38" t="s">
        <v>93</v>
      </c>
      <c r="NE173" s="672" t="e">
        <f>NE172/NE171*100</f>
        <v>#DIV/0!</v>
      </c>
      <c r="NF173" s="619" t="e">
        <f t="shared" ref="NF173:NT173" si="1405">NF172/NF171*100</f>
        <v>#DIV/0!</v>
      </c>
      <c r="NG173" s="675" t="e">
        <f t="shared" si="1405"/>
        <v>#VALUE!</v>
      </c>
      <c r="NH173" s="672" t="e">
        <f t="shared" si="1405"/>
        <v>#VALUE!</v>
      </c>
      <c r="NI173" s="672" t="e">
        <f t="shared" si="1405"/>
        <v>#REF!</v>
      </c>
      <c r="NJ173" s="675" t="e">
        <f t="shared" si="1405"/>
        <v>#VALUE!</v>
      </c>
      <c r="NK173" s="672" t="e">
        <f t="shared" si="1405"/>
        <v>#VALUE!</v>
      </c>
      <c r="NL173" s="672" t="e">
        <f t="shared" si="1405"/>
        <v>#VALUE!</v>
      </c>
      <c r="NM173" s="672" t="e">
        <f>NM172/NM171*100</f>
        <v>#VALUE!</v>
      </c>
      <c r="NN173" s="672" t="e">
        <f t="shared" si="1405"/>
        <v>#VALUE!</v>
      </c>
      <c r="NO173" s="676" t="e">
        <f t="shared" si="1405"/>
        <v>#VALUE!</v>
      </c>
      <c r="NP173" s="688" t="e">
        <f t="shared" si="1405"/>
        <v>#DIV/0!</v>
      </c>
      <c r="NQ173" s="1538" t="e">
        <f t="shared" si="1405"/>
        <v>#DIV/0!</v>
      </c>
      <c r="NR173" s="1539" t="e">
        <f t="shared" si="1405"/>
        <v>#DIV/0!</v>
      </c>
      <c r="NS173" s="672" t="e">
        <f t="shared" si="1405"/>
        <v>#DIV/0!</v>
      </c>
      <c r="NT173" s="619" t="e">
        <f t="shared" si="1405"/>
        <v>#DIV/0!</v>
      </c>
      <c r="NU173" s="619" t="s">
        <v>93</v>
      </c>
      <c r="NV173" s="38" t="s">
        <v>93</v>
      </c>
      <c r="NW173" s="672" t="e">
        <f>NW172/NW171*100</f>
        <v>#DIV/0!</v>
      </c>
      <c r="NX173" s="619" t="e">
        <f t="shared" ref="NX173:OL173" si="1406">NX172/NX171*100</f>
        <v>#DIV/0!</v>
      </c>
      <c r="NY173" s="675" t="e">
        <f t="shared" si="1406"/>
        <v>#VALUE!</v>
      </c>
      <c r="NZ173" s="672" t="e">
        <f t="shared" si="1406"/>
        <v>#VALUE!</v>
      </c>
      <c r="OA173" s="672" t="e">
        <f t="shared" si="1406"/>
        <v>#REF!</v>
      </c>
      <c r="OB173" s="675" t="e">
        <f t="shared" si="1406"/>
        <v>#VALUE!</v>
      </c>
      <c r="OC173" s="672" t="e">
        <f t="shared" si="1406"/>
        <v>#VALUE!</v>
      </c>
      <c r="OD173" s="672" t="e">
        <f t="shared" si="1406"/>
        <v>#VALUE!</v>
      </c>
      <c r="OE173" s="672" t="e">
        <f>OE172/OE171*100</f>
        <v>#VALUE!</v>
      </c>
      <c r="OF173" s="672" t="e">
        <f t="shared" si="1406"/>
        <v>#VALUE!</v>
      </c>
      <c r="OG173" s="676" t="e">
        <f t="shared" si="1406"/>
        <v>#VALUE!</v>
      </c>
      <c r="OH173" s="688" t="e">
        <f t="shared" si="1406"/>
        <v>#DIV/0!</v>
      </c>
      <c r="OI173" s="1538" t="e">
        <f t="shared" si="1406"/>
        <v>#DIV/0!</v>
      </c>
      <c r="OJ173" s="1539" t="e">
        <f t="shared" si="1406"/>
        <v>#DIV/0!</v>
      </c>
      <c r="OK173" s="672" t="e">
        <f t="shared" si="1406"/>
        <v>#DIV/0!</v>
      </c>
      <c r="OL173" s="619" t="e">
        <f t="shared" si="1406"/>
        <v>#DIV/0!</v>
      </c>
      <c r="OM173" s="619" t="s">
        <v>93</v>
      </c>
      <c r="ON173" s="38" t="s">
        <v>93</v>
      </c>
      <c r="OO173" s="672" t="e">
        <f>OO172/OO171*100</f>
        <v>#DIV/0!</v>
      </c>
      <c r="OP173" s="619" t="e">
        <f t="shared" ref="OP173:PD173" si="1407">OP172/OP171*100</f>
        <v>#DIV/0!</v>
      </c>
      <c r="OQ173" s="675" t="e">
        <f t="shared" si="1407"/>
        <v>#VALUE!</v>
      </c>
      <c r="OR173" s="672" t="e">
        <f t="shared" si="1407"/>
        <v>#VALUE!</v>
      </c>
      <c r="OS173" s="672" t="e">
        <f t="shared" si="1407"/>
        <v>#REF!</v>
      </c>
      <c r="OT173" s="675" t="e">
        <f t="shared" si="1407"/>
        <v>#VALUE!</v>
      </c>
      <c r="OU173" s="672" t="e">
        <f t="shared" si="1407"/>
        <v>#VALUE!</v>
      </c>
      <c r="OV173" s="672" t="e">
        <f t="shared" si="1407"/>
        <v>#VALUE!</v>
      </c>
      <c r="OW173" s="672" t="e">
        <f>OW172/OW171*100</f>
        <v>#VALUE!</v>
      </c>
      <c r="OX173" s="672" t="e">
        <f t="shared" si="1407"/>
        <v>#VALUE!</v>
      </c>
      <c r="OY173" s="676" t="e">
        <f t="shared" si="1407"/>
        <v>#VALUE!</v>
      </c>
      <c r="OZ173" s="688" t="e">
        <f t="shared" si="1407"/>
        <v>#DIV/0!</v>
      </c>
      <c r="PA173" s="1538" t="e">
        <f t="shared" si="1407"/>
        <v>#DIV/0!</v>
      </c>
      <c r="PB173" s="1539" t="e">
        <f t="shared" si="1407"/>
        <v>#DIV/0!</v>
      </c>
      <c r="PC173" s="672" t="e">
        <f t="shared" si="1407"/>
        <v>#DIV/0!</v>
      </c>
      <c r="PD173" s="619" t="e">
        <f t="shared" si="1407"/>
        <v>#DIV/0!</v>
      </c>
      <c r="PE173" s="619" t="s">
        <v>93</v>
      </c>
      <c r="PF173" s="38" t="s">
        <v>93</v>
      </c>
      <c r="PG173" s="672" t="e">
        <f>PG172/PG171*100</f>
        <v>#DIV/0!</v>
      </c>
      <c r="PH173" s="619" t="e">
        <f t="shared" ref="PH173:PV173" si="1408">PH172/PH171*100</f>
        <v>#DIV/0!</v>
      </c>
      <c r="PI173" s="675" t="e">
        <f t="shared" si="1408"/>
        <v>#VALUE!</v>
      </c>
      <c r="PJ173" s="672" t="e">
        <f t="shared" si="1408"/>
        <v>#VALUE!</v>
      </c>
      <c r="PK173" s="672" t="e">
        <f t="shared" si="1408"/>
        <v>#REF!</v>
      </c>
      <c r="PL173" s="675" t="e">
        <f t="shared" si="1408"/>
        <v>#VALUE!</v>
      </c>
      <c r="PM173" s="672" t="e">
        <f t="shared" si="1408"/>
        <v>#VALUE!</v>
      </c>
      <c r="PN173" s="672" t="e">
        <f t="shared" si="1408"/>
        <v>#VALUE!</v>
      </c>
      <c r="PO173" s="672" t="e">
        <f>PO172/PO171*100</f>
        <v>#VALUE!</v>
      </c>
      <c r="PP173" s="672" t="e">
        <f t="shared" si="1408"/>
        <v>#VALUE!</v>
      </c>
      <c r="PQ173" s="676" t="e">
        <f t="shared" si="1408"/>
        <v>#VALUE!</v>
      </c>
      <c r="PR173" s="688" t="e">
        <f t="shared" si="1408"/>
        <v>#DIV/0!</v>
      </c>
      <c r="PS173" s="1538" t="e">
        <f t="shared" si="1408"/>
        <v>#DIV/0!</v>
      </c>
      <c r="PT173" s="1539" t="e">
        <f t="shared" si="1408"/>
        <v>#DIV/0!</v>
      </c>
      <c r="PU173" s="672" t="e">
        <f t="shared" si="1408"/>
        <v>#DIV/0!</v>
      </c>
      <c r="PV173" s="619" t="e">
        <f t="shared" si="1408"/>
        <v>#DIV/0!</v>
      </c>
      <c r="PW173" s="619" t="s">
        <v>93</v>
      </c>
      <c r="PX173" s="38" t="s">
        <v>93</v>
      </c>
      <c r="PY173" s="672" t="e">
        <f>PY172/PY171*100</f>
        <v>#DIV/0!</v>
      </c>
      <c r="PZ173" s="619" t="e">
        <f t="shared" ref="PZ173:QN173" si="1409">PZ172/PZ171*100</f>
        <v>#DIV/0!</v>
      </c>
      <c r="QA173" s="675" t="e">
        <f t="shared" si="1409"/>
        <v>#VALUE!</v>
      </c>
      <c r="QB173" s="672" t="e">
        <f t="shared" si="1409"/>
        <v>#VALUE!</v>
      </c>
      <c r="QC173" s="672" t="e">
        <f t="shared" si="1409"/>
        <v>#REF!</v>
      </c>
      <c r="QD173" s="675" t="e">
        <f t="shared" si="1409"/>
        <v>#VALUE!</v>
      </c>
      <c r="QE173" s="672" t="e">
        <f t="shared" si="1409"/>
        <v>#VALUE!</v>
      </c>
      <c r="QF173" s="672" t="e">
        <f t="shared" si="1409"/>
        <v>#VALUE!</v>
      </c>
      <c r="QG173" s="672" t="e">
        <f>QG172/QG171*100</f>
        <v>#VALUE!</v>
      </c>
      <c r="QH173" s="672" t="e">
        <f t="shared" si="1409"/>
        <v>#VALUE!</v>
      </c>
      <c r="QI173" s="676" t="e">
        <f t="shared" si="1409"/>
        <v>#VALUE!</v>
      </c>
      <c r="QJ173" s="688" t="e">
        <f t="shared" si="1409"/>
        <v>#DIV/0!</v>
      </c>
      <c r="QK173" s="1538" t="e">
        <f t="shared" si="1409"/>
        <v>#DIV/0!</v>
      </c>
      <c r="QL173" s="1539" t="e">
        <f t="shared" si="1409"/>
        <v>#DIV/0!</v>
      </c>
      <c r="QM173" s="672" t="e">
        <f t="shared" si="1409"/>
        <v>#DIV/0!</v>
      </c>
      <c r="QN173" s="619" t="e">
        <f t="shared" si="1409"/>
        <v>#DIV/0!</v>
      </c>
      <c r="QO173" s="619" t="s">
        <v>93</v>
      </c>
      <c r="QP173" s="38" t="s">
        <v>93</v>
      </c>
      <c r="QQ173" s="672" t="e">
        <f>QQ172/QQ171*100</f>
        <v>#DIV/0!</v>
      </c>
      <c r="QR173" s="619" t="e">
        <f t="shared" ref="QR173:RF173" si="1410">QR172/QR171*100</f>
        <v>#DIV/0!</v>
      </c>
      <c r="QS173" s="675" t="e">
        <f t="shared" si="1410"/>
        <v>#VALUE!</v>
      </c>
      <c r="QT173" s="672" t="e">
        <f t="shared" si="1410"/>
        <v>#VALUE!</v>
      </c>
      <c r="QU173" s="672" t="e">
        <f t="shared" si="1410"/>
        <v>#REF!</v>
      </c>
      <c r="QV173" s="675" t="e">
        <f t="shared" si="1410"/>
        <v>#VALUE!</v>
      </c>
      <c r="QW173" s="672" t="e">
        <f t="shared" si="1410"/>
        <v>#VALUE!</v>
      </c>
      <c r="QX173" s="672" t="e">
        <f t="shared" si="1410"/>
        <v>#VALUE!</v>
      </c>
      <c r="QY173" s="672" t="e">
        <f>QY172/QY171*100</f>
        <v>#VALUE!</v>
      </c>
      <c r="QZ173" s="672" t="e">
        <f t="shared" si="1410"/>
        <v>#VALUE!</v>
      </c>
      <c r="RA173" s="676" t="e">
        <f t="shared" si="1410"/>
        <v>#VALUE!</v>
      </c>
      <c r="RB173" s="688" t="e">
        <f t="shared" si="1410"/>
        <v>#DIV/0!</v>
      </c>
      <c r="RC173" s="1538" t="e">
        <f t="shared" si="1410"/>
        <v>#DIV/0!</v>
      </c>
      <c r="RD173" s="1539" t="e">
        <f t="shared" si="1410"/>
        <v>#DIV/0!</v>
      </c>
      <c r="RE173" s="672" t="e">
        <f t="shared" si="1410"/>
        <v>#DIV/0!</v>
      </c>
      <c r="RF173" s="619">
        <f t="shared" si="1410"/>
        <v>0</v>
      </c>
      <c r="RG173" s="619" t="s">
        <v>93</v>
      </c>
      <c r="RH173" s="38" t="s">
        <v>93</v>
      </c>
      <c r="RI173" s="672" t="e">
        <f>RI172/RI171*100</f>
        <v>#DIV/0!</v>
      </c>
      <c r="RJ173" s="619" t="e">
        <f t="shared" ref="RJ173:RX173" si="1411">RJ172/RJ171*100</f>
        <v>#DIV/0!</v>
      </c>
      <c r="RK173" s="675" t="e">
        <f t="shared" si="1411"/>
        <v>#VALUE!</v>
      </c>
      <c r="RL173" s="672" t="e">
        <f t="shared" si="1411"/>
        <v>#VALUE!</v>
      </c>
      <c r="RM173" s="672" t="e">
        <f t="shared" si="1411"/>
        <v>#REF!</v>
      </c>
      <c r="RN173" s="675" t="e">
        <f t="shared" si="1411"/>
        <v>#VALUE!</v>
      </c>
      <c r="RO173" s="672" t="e">
        <f t="shared" si="1411"/>
        <v>#VALUE!</v>
      </c>
      <c r="RP173" s="672" t="e">
        <f t="shared" si="1411"/>
        <v>#VALUE!</v>
      </c>
      <c r="RQ173" s="672" t="e">
        <f>RQ172/RQ171*100</f>
        <v>#VALUE!</v>
      </c>
      <c r="RR173" s="672" t="e">
        <f t="shared" si="1411"/>
        <v>#VALUE!</v>
      </c>
      <c r="RS173" s="676" t="e">
        <f t="shared" si="1411"/>
        <v>#VALUE!</v>
      </c>
      <c r="RT173" s="688" t="e">
        <f t="shared" si="1411"/>
        <v>#DIV/0!</v>
      </c>
      <c r="RU173" s="1538" t="e">
        <f t="shared" si="1411"/>
        <v>#DIV/0!</v>
      </c>
      <c r="RV173" s="619" t="e">
        <f t="shared" si="1411"/>
        <v>#DIV/0!</v>
      </c>
      <c r="RW173" s="674" t="e">
        <f t="shared" si="1411"/>
        <v>#DIV/0!</v>
      </c>
      <c r="RX173" s="619">
        <f t="shared" si="1411"/>
        <v>0</v>
      </c>
      <c r="RY173" s="619" t="s">
        <v>93</v>
      </c>
      <c r="RZ173" s="38" t="s">
        <v>93</v>
      </c>
      <c r="SA173" s="672" t="e">
        <f>SA172/SA171*100</f>
        <v>#DIV/0!</v>
      </c>
      <c r="SB173" s="619" t="e">
        <f t="shared" ref="SB173:SP173" si="1412">SB172/SB171*100</f>
        <v>#DIV/0!</v>
      </c>
      <c r="SC173" s="675" t="e">
        <f t="shared" si="1412"/>
        <v>#VALUE!</v>
      </c>
      <c r="SD173" s="672" t="e">
        <f t="shared" si="1412"/>
        <v>#VALUE!</v>
      </c>
      <c r="SE173" s="672" t="e">
        <f t="shared" si="1412"/>
        <v>#REF!</v>
      </c>
      <c r="SF173" s="675" t="e">
        <f t="shared" si="1412"/>
        <v>#VALUE!</v>
      </c>
      <c r="SG173" s="672" t="e">
        <f t="shared" si="1412"/>
        <v>#VALUE!</v>
      </c>
      <c r="SH173" s="672" t="e">
        <f t="shared" si="1412"/>
        <v>#VALUE!</v>
      </c>
      <c r="SI173" s="672" t="e">
        <f>SI172/SI171*100</f>
        <v>#VALUE!</v>
      </c>
      <c r="SJ173" s="672" t="e">
        <f t="shared" si="1412"/>
        <v>#VALUE!</v>
      </c>
      <c r="SK173" s="676" t="e">
        <f t="shared" si="1412"/>
        <v>#VALUE!</v>
      </c>
      <c r="SL173" s="688" t="e">
        <f t="shared" si="1412"/>
        <v>#DIV/0!</v>
      </c>
      <c r="SM173" s="1538" t="e">
        <f t="shared" si="1412"/>
        <v>#DIV/0!</v>
      </c>
      <c r="SN173" s="1539" t="e">
        <f t="shared" si="1412"/>
        <v>#DIV/0!</v>
      </c>
      <c r="SO173" s="672" t="e">
        <f t="shared" si="1412"/>
        <v>#DIV/0!</v>
      </c>
      <c r="SP173" s="619" t="e">
        <f t="shared" si="1412"/>
        <v>#DIV/0!</v>
      </c>
      <c r="SQ173" s="619" t="s">
        <v>93</v>
      </c>
      <c r="SR173" s="38" t="s">
        <v>93</v>
      </c>
      <c r="SS173" s="672" t="e">
        <f>SS172/SS171*100</f>
        <v>#DIV/0!</v>
      </c>
      <c r="ST173" s="619" t="e">
        <f t="shared" ref="ST173:TH173" si="1413">ST172/ST171*100</f>
        <v>#DIV/0!</v>
      </c>
      <c r="SU173" s="675" t="e">
        <f t="shared" si="1413"/>
        <v>#VALUE!</v>
      </c>
      <c r="SV173" s="672" t="e">
        <f t="shared" si="1413"/>
        <v>#VALUE!</v>
      </c>
      <c r="SW173" s="672" t="e">
        <f t="shared" si="1413"/>
        <v>#REF!</v>
      </c>
      <c r="SX173" s="675" t="e">
        <f t="shared" si="1413"/>
        <v>#VALUE!</v>
      </c>
      <c r="SY173" s="672" t="e">
        <f t="shared" si="1413"/>
        <v>#VALUE!</v>
      </c>
      <c r="SZ173" s="672" t="e">
        <f t="shared" si="1413"/>
        <v>#VALUE!</v>
      </c>
      <c r="TA173" s="672" t="e">
        <f>TA172/TA171*100</f>
        <v>#VALUE!</v>
      </c>
      <c r="TB173" s="672" t="e">
        <f t="shared" si="1413"/>
        <v>#VALUE!</v>
      </c>
      <c r="TC173" s="676" t="e">
        <f t="shared" si="1413"/>
        <v>#VALUE!</v>
      </c>
      <c r="TD173" s="688" t="e">
        <f t="shared" si="1413"/>
        <v>#DIV/0!</v>
      </c>
      <c r="TE173" s="1538" t="e">
        <f t="shared" si="1413"/>
        <v>#DIV/0!</v>
      </c>
      <c r="TF173" s="1539" t="e">
        <f t="shared" si="1413"/>
        <v>#DIV/0!</v>
      </c>
      <c r="TG173" s="672" t="e">
        <f t="shared" si="1413"/>
        <v>#DIV/0!</v>
      </c>
      <c r="TH173" s="619" t="e">
        <f t="shared" si="1413"/>
        <v>#DIV/0!</v>
      </c>
      <c r="TI173" s="619" t="s">
        <v>93</v>
      </c>
      <c r="TJ173" s="38" t="s">
        <v>93</v>
      </c>
      <c r="TK173" s="672" t="e">
        <f>TK172/TK171*100</f>
        <v>#DIV/0!</v>
      </c>
      <c r="TL173" s="619" t="e">
        <f t="shared" ref="TL173:TZ173" si="1414">TL172/TL171*100</f>
        <v>#DIV/0!</v>
      </c>
      <c r="TM173" s="675" t="e">
        <f t="shared" si="1414"/>
        <v>#VALUE!</v>
      </c>
      <c r="TN173" s="672" t="e">
        <f t="shared" si="1414"/>
        <v>#VALUE!</v>
      </c>
      <c r="TO173" s="672" t="e">
        <f t="shared" si="1414"/>
        <v>#REF!</v>
      </c>
      <c r="TP173" s="675" t="e">
        <f t="shared" si="1414"/>
        <v>#VALUE!</v>
      </c>
      <c r="TQ173" s="672" t="e">
        <f t="shared" si="1414"/>
        <v>#VALUE!</v>
      </c>
      <c r="TR173" s="672" t="e">
        <f t="shared" si="1414"/>
        <v>#VALUE!</v>
      </c>
      <c r="TS173" s="672" t="e">
        <f>TS172/TS171*100</f>
        <v>#VALUE!</v>
      </c>
      <c r="TT173" s="672" t="e">
        <f t="shared" si="1414"/>
        <v>#VALUE!</v>
      </c>
      <c r="TU173" s="676" t="e">
        <f t="shared" si="1414"/>
        <v>#VALUE!</v>
      </c>
      <c r="TV173" s="688" t="e">
        <f t="shared" si="1414"/>
        <v>#DIV/0!</v>
      </c>
      <c r="TW173" s="1538" t="e">
        <f t="shared" si="1414"/>
        <v>#DIV/0!</v>
      </c>
      <c r="TX173" s="1539" t="e">
        <f t="shared" si="1414"/>
        <v>#DIV/0!</v>
      </c>
      <c r="TY173" s="672" t="e">
        <f t="shared" si="1414"/>
        <v>#DIV/0!</v>
      </c>
      <c r="TZ173" s="619" t="e">
        <f t="shared" si="1414"/>
        <v>#DIV/0!</v>
      </c>
      <c r="UA173" s="619" t="s">
        <v>93</v>
      </c>
      <c r="UB173" s="38" t="s">
        <v>93</v>
      </c>
      <c r="UC173" s="672" t="e">
        <f>UC172/UC171*100</f>
        <v>#DIV/0!</v>
      </c>
      <c r="UD173" s="619" t="e">
        <f t="shared" ref="UD173:UR173" si="1415">UD172/UD171*100</f>
        <v>#DIV/0!</v>
      </c>
      <c r="UE173" s="675" t="e">
        <f t="shared" si="1415"/>
        <v>#VALUE!</v>
      </c>
      <c r="UF173" s="672" t="e">
        <f t="shared" si="1415"/>
        <v>#VALUE!</v>
      </c>
      <c r="UG173" s="672" t="e">
        <f t="shared" si="1415"/>
        <v>#REF!</v>
      </c>
      <c r="UH173" s="675" t="e">
        <f t="shared" si="1415"/>
        <v>#VALUE!</v>
      </c>
      <c r="UI173" s="672" t="e">
        <f t="shared" si="1415"/>
        <v>#VALUE!</v>
      </c>
      <c r="UJ173" s="672" t="e">
        <f t="shared" si="1415"/>
        <v>#VALUE!</v>
      </c>
      <c r="UK173" s="672" t="e">
        <f>UK172/UK171*100</f>
        <v>#VALUE!</v>
      </c>
      <c r="UL173" s="672" t="e">
        <f t="shared" si="1415"/>
        <v>#VALUE!</v>
      </c>
      <c r="UM173" s="675" t="e">
        <f t="shared" si="1415"/>
        <v>#VALUE!</v>
      </c>
      <c r="UN173" s="688" t="e">
        <f t="shared" si="1415"/>
        <v>#DIV/0!</v>
      </c>
      <c r="UO173" s="1538" t="e">
        <f t="shared" si="1415"/>
        <v>#DIV/0!</v>
      </c>
      <c r="UP173" s="1539" t="e">
        <f t="shared" si="1415"/>
        <v>#DIV/0!</v>
      </c>
      <c r="UQ173" s="672" t="e">
        <f t="shared" si="1415"/>
        <v>#DIV/0!</v>
      </c>
      <c r="UR173" s="619" t="e">
        <f t="shared" si="1415"/>
        <v>#DIV/0!</v>
      </c>
      <c r="US173" s="619" t="s">
        <v>93</v>
      </c>
      <c r="UT173" s="38" t="s">
        <v>93</v>
      </c>
      <c r="UU173" s="672" t="e">
        <f>UU172/UU171*100</f>
        <v>#DIV/0!</v>
      </c>
      <c r="UV173" s="619" t="e">
        <f t="shared" ref="UV173:VE173" si="1416">UV172/UV171*100</f>
        <v>#DIV/0!</v>
      </c>
      <c r="UW173" s="675" t="e">
        <f t="shared" si="1416"/>
        <v>#VALUE!</v>
      </c>
      <c r="UX173" s="672" t="e">
        <f t="shared" si="1416"/>
        <v>#VALUE!</v>
      </c>
      <c r="UY173" s="672" t="e">
        <f t="shared" si="1416"/>
        <v>#REF!</v>
      </c>
      <c r="UZ173" s="675" t="e">
        <f t="shared" si="1416"/>
        <v>#VALUE!</v>
      </c>
      <c r="VA173" s="672" t="e">
        <f t="shared" si="1416"/>
        <v>#VALUE!</v>
      </c>
      <c r="VB173" s="672" t="e">
        <f t="shared" si="1416"/>
        <v>#VALUE!</v>
      </c>
      <c r="VC173" s="672" t="e">
        <f>VC172/VC171*100</f>
        <v>#VALUE!</v>
      </c>
      <c r="VD173" s="672" t="e">
        <f t="shared" si="1416"/>
        <v>#VALUE!</v>
      </c>
      <c r="VE173" s="676" t="e">
        <f t="shared" si="1416"/>
        <v>#VALUE!</v>
      </c>
    </row>
    <row r="174" spans="1:577" ht="15.75" thickBot="1" x14ac:dyDescent="0.3">
      <c r="A174" s="1541" t="s">
        <v>1059</v>
      </c>
      <c r="B174" s="700"/>
      <c r="C174" s="700"/>
      <c r="D174" s="700"/>
      <c r="E174" s="604"/>
      <c r="F174" s="700"/>
      <c r="G174" s="700"/>
      <c r="H174" s="700"/>
      <c r="I174" s="604"/>
      <c r="J174" s="700"/>
      <c r="K174" s="604"/>
      <c r="L174" s="604"/>
      <c r="M174" s="604"/>
      <c r="N174" s="604"/>
      <c r="O174" s="604"/>
      <c r="P174" s="604"/>
      <c r="Q174" s="604"/>
      <c r="R174" s="604"/>
      <c r="S174" s="604"/>
      <c r="T174" s="700"/>
      <c r="U174" s="700"/>
      <c r="V174" s="700"/>
      <c r="W174" s="604"/>
      <c r="X174" s="700"/>
      <c r="Y174" s="700"/>
      <c r="Z174" s="700"/>
      <c r="AA174" s="604"/>
      <c r="AB174" s="700"/>
      <c r="AC174" s="604"/>
      <c r="AD174" s="604"/>
      <c r="AE174" s="604"/>
      <c r="AF174" s="604"/>
      <c r="AG174" s="604"/>
      <c r="AH174" s="604"/>
      <c r="AI174" s="604"/>
      <c r="AJ174" s="604"/>
      <c r="AK174" s="604"/>
      <c r="AL174" s="700"/>
      <c r="AM174" s="700"/>
      <c r="AN174" s="700"/>
      <c r="AO174" s="604"/>
      <c r="AP174" s="700"/>
      <c r="AQ174" s="700"/>
      <c r="AR174" s="700"/>
      <c r="AS174" s="604"/>
      <c r="AT174" s="700"/>
      <c r="AU174" s="604"/>
      <c r="AV174" s="604"/>
      <c r="AW174" s="604"/>
      <c r="AX174" s="604"/>
      <c r="AY174" s="604"/>
      <c r="AZ174" s="604"/>
      <c r="BA174" s="604"/>
      <c r="BB174" s="604"/>
      <c r="BC174" s="604"/>
      <c r="BD174" s="700"/>
      <c r="BE174" s="700"/>
      <c r="BF174" s="700"/>
      <c r="BG174" s="604"/>
      <c r="BH174" s="700"/>
      <c r="BI174" s="700"/>
      <c r="BJ174" s="700"/>
      <c r="BK174" s="604"/>
      <c r="BL174" s="700"/>
      <c r="BM174" s="604"/>
      <c r="BN174" s="604"/>
      <c r="BO174" s="604"/>
      <c r="BP174" s="604"/>
      <c r="BQ174" s="604"/>
      <c r="BR174" s="604"/>
      <c r="BS174" s="604"/>
      <c r="BT174" s="604"/>
      <c r="BU174" s="604"/>
      <c r="BV174" s="700"/>
      <c r="BW174" s="700"/>
      <c r="BX174" s="700"/>
      <c r="BY174" s="604"/>
      <c r="BZ174" s="700"/>
      <c r="CA174" s="700"/>
      <c r="CB174" s="700"/>
      <c r="CC174" s="604"/>
      <c r="CD174" s="700"/>
      <c r="CE174" s="604"/>
      <c r="CF174" s="604"/>
      <c r="CG174" s="604"/>
      <c r="CH174" s="604"/>
      <c r="CI174" s="604"/>
      <c r="CJ174" s="604"/>
      <c r="CK174" s="604"/>
      <c r="CL174" s="604"/>
      <c r="CM174" s="604"/>
      <c r="CN174" s="700"/>
      <c r="CO174" s="700"/>
      <c r="CP174" s="700"/>
      <c r="CQ174" s="604"/>
      <c r="CR174" s="700"/>
      <c r="CS174" s="700"/>
      <c r="CT174" s="700"/>
      <c r="CU174" s="604"/>
      <c r="CV174" s="700"/>
      <c r="CW174" s="604"/>
      <c r="CX174" s="604"/>
      <c r="CY174" s="604"/>
      <c r="CZ174" s="604"/>
      <c r="DA174" s="604"/>
      <c r="DB174" s="604"/>
      <c r="DC174" s="604"/>
      <c r="DD174" s="604"/>
      <c r="DE174" s="604"/>
      <c r="DF174" s="700"/>
      <c r="DG174" s="700"/>
      <c r="DH174" s="700"/>
      <c r="DI174" s="604"/>
      <c r="DJ174" s="700"/>
      <c r="DK174" s="700"/>
      <c r="DL174" s="700"/>
      <c r="DM174" s="604"/>
      <c r="DN174" s="700"/>
      <c r="DO174" s="604"/>
      <c r="DP174" s="604"/>
      <c r="DQ174" s="604"/>
      <c r="DR174" s="604"/>
      <c r="DS174" s="604"/>
      <c r="DT174" s="604"/>
      <c r="DU174" s="604"/>
      <c r="DV174" s="604"/>
      <c r="DW174" s="604"/>
      <c r="DX174" s="700"/>
      <c r="DY174" s="700"/>
      <c r="DZ174" s="700"/>
      <c r="EA174" s="604"/>
      <c r="EB174" s="700"/>
      <c r="EC174" s="700"/>
      <c r="ED174" s="700"/>
      <c r="EE174" s="604"/>
      <c r="EF174" s="700"/>
      <c r="EG174" s="604"/>
      <c r="EH174" s="604"/>
      <c r="EI174" s="604"/>
      <c r="EJ174" s="604"/>
      <c r="EK174" s="604"/>
      <c r="EL174" s="604"/>
      <c r="EM174" s="604"/>
      <c r="EN174" s="604"/>
      <c r="EO174" s="604"/>
      <c r="EP174" s="700"/>
      <c r="EQ174" s="700"/>
      <c r="ER174" s="700"/>
      <c r="ES174" s="604"/>
      <c r="ET174" s="700"/>
      <c r="EU174" s="700"/>
      <c r="EV174" s="700"/>
      <c r="EW174" s="604"/>
      <c r="EX174" s="700"/>
      <c r="EY174" s="604"/>
      <c r="EZ174" s="604"/>
      <c r="FA174" s="604"/>
      <c r="FB174" s="604"/>
      <c r="FC174" s="604"/>
      <c r="FD174" s="604"/>
      <c r="FE174" s="604"/>
      <c r="FF174" s="604"/>
      <c r="FG174" s="604"/>
      <c r="FH174" s="700"/>
      <c r="FI174" s="700"/>
      <c r="FJ174" s="700"/>
      <c r="FK174" s="604"/>
      <c r="FL174" s="700"/>
      <c r="FM174" s="700"/>
      <c r="FN174" s="700"/>
      <c r="FO174" s="604"/>
      <c r="FP174" s="700"/>
      <c r="FQ174" s="604"/>
      <c r="FR174" s="604"/>
      <c r="FS174" s="604"/>
      <c r="FT174" s="604"/>
      <c r="FU174" s="604"/>
      <c r="FV174" s="604"/>
      <c r="FW174" s="604"/>
      <c r="FX174" s="604"/>
      <c r="FY174" s="604"/>
      <c r="FZ174" s="700"/>
      <c r="GA174" s="700"/>
      <c r="GB174" s="700"/>
      <c r="GC174" s="604"/>
      <c r="GD174" s="700"/>
      <c r="GE174" s="700"/>
      <c r="GF174" s="700"/>
      <c r="GG174" s="604"/>
      <c r="GH174" s="700"/>
      <c r="GI174" s="604"/>
      <c r="GJ174" s="604"/>
      <c r="GK174" s="604"/>
      <c r="GL174" s="604"/>
      <c r="GM174" s="604"/>
      <c r="GN174" s="604"/>
      <c r="GO174" s="604"/>
      <c r="GP174" s="604"/>
      <c r="GQ174" s="604"/>
      <c r="GR174" s="700"/>
      <c r="GS174" s="700"/>
      <c r="GT174" s="700"/>
      <c r="GU174" s="604"/>
      <c r="GV174" s="700"/>
      <c r="GW174" s="700"/>
      <c r="GX174" s="700"/>
      <c r="GY174" s="604"/>
      <c r="GZ174" s="700"/>
      <c r="HA174" s="604"/>
      <c r="HB174" s="604"/>
      <c r="HC174" s="604"/>
      <c r="HD174" s="604"/>
      <c r="HE174" s="604"/>
      <c r="HF174" s="604"/>
      <c r="HG174" s="604"/>
      <c r="HH174" s="604"/>
      <c r="HI174" s="604"/>
      <c r="HJ174" s="700"/>
      <c r="HK174" s="700"/>
      <c r="HL174" s="700"/>
      <c r="HM174" s="604"/>
      <c r="HN174" s="700"/>
      <c r="HO174" s="700"/>
      <c r="HP174" s="700"/>
      <c r="HQ174" s="604"/>
      <c r="HR174" s="700"/>
      <c r="HS174" s="604"/>
      <c r="HT174" s="604"/>
      <c r="HU174" s="604"/>
      <c r="HV174" s="604"/>
      <c r="HW174" s="604"/>
      <c r="HX174" s="604"/>
      <c r="HY174" s="604"/>
      <c r="HZ174" s="604"/>
      <c r="IA174" s="604"/>
      <c r="IB174" s="700"/>
      <c r="IC174" s="700"/>
      <c r="ID174" s="700"/>
      <c r="IE174" s="604"/>
      <c r="IF174" s="700"/>
      <c r="IG174" s="700"/>
      <c r="IH174" s="700"/>
      <c r="II174" s="604"/>
      <c r="IJ174" s="700"/>
      <c r="IK174" s="604"/>
      <c r="IL174" s="604"/>
      <c r="IM174" s="604"/>
      <c r="IN174" s="604"/>
      <c r="IO174" s="604"/>
      <c r="IP174" s="604"/>
      <c r="IQ174" s="604"/>
      <c r="IR174" s="604"/>
      <c r="IS174" s="604"/>
      <c r="IT174" s="700"/>
      <c r="IU174" s="700"/>
      <c r="IV174" s="700"/>
      <c r="IW174" s="604"/>
      <c r="IX174" s="700"/>
      <c r="IY174" s="700"/>
      <c r="IZ174" s="700"/>
      <c r="JA174" s="604"/>
      <c r="JB174" s="700"/>
      <c r="JC174" s="604"/>
      <c r="JD174" s="604"/>
      <c r="JE174" s="604"/>
      <c r="JF174" s="604"/>
      <c r="JG174" s="604"/>
      <c r="JH174" s="604"/>
      <c r="JI174" s="604"/>
      <c r="JJ174" s="604"/>
      <c r="JK174" s="604"/>
      <c r="JL174" s="700"/>
      <c r="JM174" s="700"/>
      <c r="JN174" s="700"/>
      <c r="JO174" s="604"/>
      <c r="JP174" s="700"/>
      <c r="JQ174" s="700"/>
      <c r="JR174" s="700"/>
      <c r="JS174" s="604"/>
      <c r="JT174" s="700"/>
      <c r="JU174" s="604"/>
      <c r="JV174" s="604"/>
      <c r="JW174" s="604"/>
      <c r="JX174" s="604"/>
      <c r="JY174" s="604"/>
      <c r="JZ174" s="604"/>
      <c r="KA174" s="604"/>
      <c r="KB174" s="604"/>
      <c r="KC174" s="604"/>
      <c r="KD174" s="700"/>
      <c r="KE174" s="700"/>
      <c r="KF174" s="700"/>
      <c r="KG174" s="604"/>
      <c r="KH174" s="700"/>
      <c r="KI174" s="700"/>
      <c r="KJ174" s="700"/>
      <c r="KK174" s="604"/>
      <c r="KL174" s="700"/>
      <c r="KM174" s="604"/>
      <c r="KN174" s="604"/>
      <c r="KO174" s="604"/>
      <c r="KP174" s="604"/>
      <c r="KQ174" s="604"/>
      <c r="KR174" s="604"/>
      <c r="KS174" s="604"/>
      <c r="KT174" s="604"/>
      <c r="KU174" s="604"/>
      <c r="KV174" s="700"/>
      <c r="KW174" s="700"/>
      <c r="KX174" s="700"/>
      <c r="KY174" s="604"/>
      <c r="KZ174" s="700"/>
      <c r="LA174" s="700"/>
      <c r="LB174" s="700"/>
      <c r="LC174" s="604"/>
      <c r="LD174" s="700"/>
      <c r="LE174" s="604"/>
      <c r="LF174" s="604"/>
      <c r="LG174" s="604"/>
      <c r="LH174" s="604"/>
      <c r="LI174" s="604"/>
      <c r="LJ174" s="604"/>
      <c r="LK174" s="604"/>
      <c r="LL174" s="604"/>
      <c r="LM174" s="604"/>
      <c r="LN174" s="700"/>
      <c r="LO174" s="700"/>
      <c r="LP174" s="700"/>
      <c r="LQ174" s="604"/>
      <c r="LR174" s="700"/>
      <c r="LS174" s="700"/>
      <c r="LT174" s="700"/>
      <c r="LU174" s="604"/>
      <c r="LV174" s="700"/>
      <c r="LW174" s="604"/>
      <c r="LX174" s="604"/>
      <c r="LY174" s="604"/>
      <c r="LZ174" s="604"/>
      <c r="MA174" s="604"/>
      <c r="MB174" s="604"/>
      <c r="MC174" s="604"/>
      <c r="MD174" s="604"/>
      <c r="ME174" s="604"/>
      <c r="MF174" s="700"/>
      <c r="MG174" s="700"/>
      <c r="MH174" s="700"/>
      <c r="MI174" s="604"/>
      <c r="MJ174" s="700"/>
      <c r="MK174" s="700"/>
      <c r="ML174" s="700"/>
      <c r="MM174" s="604"/>
      <c r="MN174" s="700"/>
      <c r="MO174" s="604"/>
      <c r="MP174" s="604"/>
      <c r="MQ174" s="604"/>
      <c r="MR174" s="604"/>
      <c r="MS174" s="604"/>
      <c r="MT174" s="604"/>
      <c r="MU174" s="604"/>
      <c r="MV174" s="604"/>
      <c r="MW174" s="604"/>
      <c r="MX174" s="700"/>
      <c r="MY174" s="700"/>
      <c r="MZ174" s="700"/>
      <c r="NA174" s="604"/>
      <c r="NB174" s="700"/>
      <c r="NC174" s="700"/>
      <c r="ND174" s="700"/>
      <c r="NE174" s="604"/>
      <c r="NF174" s="700"/>
      <c r="NG174" s="604"/>
      <c r="NH174" s="604"/>
      <c r="NI174" s="604"/>
      <c r="NJ174" s="604"/>
      <c r="NK174" s="604"/>
      <c r="NL174" s="604"/>
      <c r="NM174" s="604"/>
      <c r="NN174" s="604"/>
      <c r="NO174" s="604"/>
      <c r="NP174" s="700"/>
      <c r="NQ174" s="700"/>
      <c r="NR174" s="700"/>
      <c r="NS174" s="604"/>
      <c r="NT174" s="700"/>
      <c r="NU174" s="700"/>
      <c r="NV174" s="700"/>
      <c r="NW174" s="604"/>
      <c r="NX174" s="700"/>
      <c r="NY174" s="604"/>
      <c r="NZ174" s="604"/>
      <c r="OA174" s="604"/>
      <c r="OB174" s="604"/>
      <c r="OC174" s="604"/>
      <c r="OD174" s="604"/>
      <c r="OE174" s="604"/>
      <c r="OF174" s="604"/>
      <c r="OG174" s="604"/>
      <c r="OH174" s="700"/>
      <c r="OI174" s="700"/>
      <c r="OJ174" s="700"/>
      <c r="OK174" s="604"/>
      <c r="OL174" s="700"/>
      <c r="OM174" s="700"/>
      <c r="ON174" s="700"/>
      <c r="OO174" s="604"/>
      <c r="OP174" s="700"/>
      <c r="OQ174" s="604"/>
      <c r="OR174" s="604"/>
      <c r="OS174" s="604"/>
      <c r="OT174" s="604"/>
      <c r="OU174" s="604"/>
      <c r="OV174" s="604"/>
      <c r="OW174" s="604"/>
      <c r="OX174" s="604"/>
      <c r="OY174" s="604"/>
      <c r="OZ174" s="700"/>
      <c r="PA174" s="700"/>
      <c r="PB174" s="700"/>
      <c r="PC174" s="604"/>
      <c r="PD174" s="700"/>
      <c r="PE174" s="700"/>
      <c r="PF174" s="700"/>
      <c r="PG174" s="604"/>
      <c r="PH174" s="700"/>
      <c r="PI174" s="604"/>
      <c r="PJ174" s="604"/>
      <c r="PK174" s="604"/>
      <c r="PL174" s="604"/>
      <c r="PM174" s="604"/>
      <c r="PN174" s="604"/>
      <c r="PO174" s="604"/>
      <c r="PP174" s="604"/>
      <c r="PQ174" s="604"/>
      <c r="PR174" s="700"/>
      <c r="PS174" s="700"/>
      <c r="PT174" s="700"/>
      <c r="PU174" s="604"/>
      <c r="PV174" s="700"/>
      <c r="PW174" s="700"/>
      <c r="PX174" s="700"/>
      <c r="PY174" s="604"/>
      <c r="PZ174" s="700"/>
      <c r="QA174" s="604"/>
      <c r="QB174" s="604"/>
      <c r="QC174" s="604"/>
      <c r="QD174" s="604"/>
      <c r="QE174" s="604"/>
      <c r="QF174" s="604"/>
      <c r="QG174" s="604"/>
      <c r="QH174" s="604"/>
      <c r="QI174" s="604"/>
      <c r="QJ174" s="700"/>
      <c r="QK174" s="700"/>
      <c r="QL174" s="700"/>
      <c r="QM174" s="604"/>
      <c r="QN174" s="700"/>
      <c r="QO174" s="700"/>
      <c r="QP174" s="700"/>
      <c r="QQ174" s="604"/>
      <c r="QR174" s="700"/>
      <c r="QS174" s="604"/>
      <c r="QT174" s="604"/>
      <c r="QU174" s="604"/>
      <c r="QV174" s="604"/>
      <c r="QW174" s="604"/>
      <c r="QX174" s="604"/>
      <c r="QY174" s="604"/>
      <c r="QZ174" s="604"/>
      <c r="RA174" s="604"/>
      <c r="RB174" s="700"/>
      <c r="RC174" s="700"/>
      <c r="RD174" s="700"/>
      <c r="RE174" s="604"/>
      <c r="RF174" s="700"/>
      <c r="RG174" s="700"/>
      <c r="RH174" s="700"/>
      <c r="RI174" s="604"/>
      <c r="RJ174" s="700"/>
      <c r="RK174" s="604"/>
      <c r="RL174" s="604"/>
      <c r="RM174" s="604"/>
      <c r="RN174" s="604"/>
      <c r="RO174" s="604"/>
      <c r="RP174" s="604"/>
      <c r="RQ174" s="604"/>
      <c r="RR174" s="604"/>
      <c r="RS174" s="604"/>
      <c r="RT174" s="700"/>
      <c r="RU174" s="700"/>
      <c r="RV174" s="700"/>
      <c r="RW174" s="604"/>
      <c r="RX174" s="700"/>
      <c r="RY174" s="700"/>
      <c r="RZ174" s="700"/>
      <c r="SA174" s="604"/>
      <c r="SB174" s="700"/>
      <c r="SC174" s="604"/>
      <c r="SD174" s="604"/>
      <c r="SE174" s="604"/>
      <c r="SF174" s="604"/>
      <c r="SG174" s="604"/>
      <c r="SH174" s="604"/>
      <c r="SI174" s="604"/>
      <c r="SJ174" s="604"/>
      <c r="SK174" s="604"/>
      <c r="SL174" s="700"/>
      <c r="SM174" s="700"/>
      <c r="SN174" s="700"/>
      <c r="SO174" s="604"/>
      <c r="SP174" s="700"/>
      <c r="SQ174" s="700"/>
      <c r="SR174" s="700"/>
      <c r="SS174" s="604"/>
      <c r="ST174" s="700"/>
      <c r="SU174" s="604"/>
      <c r="SV174" s="604"/>
      <c r="SW174" s="604"/>
      <c r="SX174" s="604"/>
      <c r="SY174" s="604"/>
      <c r="SZ174" s="604"/>
      <c r="TA174" s="604"/>
      <c r="TB174" s="604"/>
      <c r="TC174" s="604"/>
      <c r="TD174" s="700"/>
      <c r="TE174" s="700"/>
      <c r="TF174" s="700"/>
      <c r="TG174" s="604"/>
      <c r="TH174" s="700"/>
      <c r="TI174" s="700"/>
      <c r="TJ174" s="700"/>
      <c r="TK174" s="604"/>
      <c r="TL174" s="700"/>
      <c r="TM174" s="604"/>
      <c r="TN174" s="604"/>
      <c r="TO174" s="604"/>
      <c r="TP174" s="604"/>
      <c r="TQ174" s="604"/>
      <c r="TR174" s="604"/>
      <c r="TS174" s="604"/>
      <c r="TT174" s="604"/>
      <c r="TU174" s="604"/>
      <c r="TV174" s="700"/>
      <c r="TW174" s="700"/>
      <c r="TX174" s="700"/>
      <c r="TY174" s="604"/>
      <c r="TZ174" s="700"/>
      <c r="UA174" s="700"/>
      <c r="UB174" s="700"/>
      <c r="UC174" s="604"/>
      <c r="UD174" s="700"/>
      <c r="UE174" s="604"/>
      <c r="UF174" s="604"/>
      <c r="UG174" s="604"/>
      <c r="UH174" s="604"/>
      <c r="UI174" s="604"/>
      <c r="UJ174" s="604"/>
      <c r="UK174" s="604"/>
      <c r="UL174" s="604"/>
      <c r="UM174" s="697"/>
      <c r="UN174" s="699"/>
      <c r="UO174" s="700"/>
      <c r="UP174" s="700"/>
      <c r="UQ174" s="604"/>
      <c r="UR174" s="700"/>
      <c r="US174" s="700"/>
      <c r="UT174" s="700"/>
      <c r="UU174" s="604"/>
      <c r="UV174" s="700"/>
      <c r="UW174" s="604"/>
      <c r="UX174" s="604"/>
      <c r="UY174" s="604"/>
      <c r="UZ174" s="604"/>
      <c r="VA174" s="604"/>
      <c r="VB174" s="604"/>
      <c r="VC174" s="604"/>
      <c r="VD174" s="604"/>
      <c r="VE174" s="607"/>
    </row>
    <row r="175" spans="1:577" x14ac:dyDescent="0.25">
      <c r="B175" s="712"/>
      <c r="S175" s="713"/>
      <c r="T175" s="712"/>
      <c r="AK175" s="713"/>
      <c r="AL175" s="712"/>
      <c r="BC175" s="713"/>
      <c r="BD175" s="712"/>
      <c r="BU175" s="713"/>
      <c r="BV175" s="712"/>
      <c r="CM175" s="713"/>
      <c r="CN175" s="712"/>
      <c r="DE175" s="713"/>
      <c r="DF175" s="712"/>
      <c r="DW175" s="713"/>
      <c r="DX175" s="712"/>
      <c r="EO175" s="713"/>
      <c r="EP175" s="712"/>
      <c r="FG175" s="713"/>
      <c r="FH175" s="712"/>
      <c r="FY175" s="713"/>
      <c r="FZ175" s="712"/>
      <c r="GQ175" s="713"/>
      <c r="GR175" s="712"/>
      <c r="HI175" s="713"/>
      <c r="HJ175" s="712"/>
      <c r="IA175" s="713"/>
      <c r="IB175" s="712"/>
      <c r="IS175" s="713"/>
      <c r="IT175" s="712"/>
      <c r="JK175" s="713"/>
      <c r="JL175" s="712"/>
      <c r="KC175" s="713"/>
      <c r="KD175" s="712"/>
      <c r="KU175" s="713"/>
      <c r="KV175" s="712"/>
      <c r="LM175" s="713"/>
      <c r="LN175" s="712"/>
      <c r="ME175" s="713"/>
      <c r="MF175" s="712"/>
      <c r="MW175" s="713"/>
      <c r="MX175" s="712"/>
      <c r="NO175" s="713"/>
      <c r="NP175" s="712"/>
      <c r="OG175" s="713"/>
      <c r="OH175" s="712"/>
      <c r="OY175" s="713"/>
      <c r="OZ175" s="712"/>
      <c r="PQ175" s="713"/>
      <c r="PR175" s="712"/>
      <c r="QI175" s="713"/>
      <c r="QJ175" s="712"/>
      <c r="RA175" s="713"/>
      <c r="RB175" s="712"/>
      <c r="RS175" s="713"/>
      <c r="RT175" s="712"/>
      <c r="SK175" s="713"/>
      <c r="SL175" s="712"/>
      <c r="TC175" s="713"/>
      <c r="TD175" s="712"/>
      <c r="TU175" s="713"/>
      <c r="TV175" s="712"/>
      <c r="UM175" s="713"/>
      <c r="UN175" s="712"/>
      <c r="VE175" s="713"/>
    </row>
    <row r="176" spans="1:577" x14ac:dyDescent="0.25">
      <c r="B176" s="2216" t="s">
        <v>83</v>
      </c>
      <c r="C176" s="2217"/>
      <c r="D176" s="2217"/>
      <c r="E176" s="2217"/>
      <c r="F176" s="2217"/>
      <c r="G176" s="2217"/>
      <c r="H176" s="2217"/>
      <c r="I176" s="2217"/>
      <c r="J176" s="2217"/>
      <c r="K176" s="2217"/>
      <c r="L176" s="2217"/>
      <c r="M176" s="2217"/>
      <c r="N176" s="2217"/>
      <c r="O176" s="714"/>
      <c r="P176" s="714"/>
      <c r="Q176" s="714"/>
      <c r="R176" s="714"/>
      <c r="S176" s="715"/>
      <c r="T176" s="712"/>
      <c r="AI176" s="714"/>
      <c r="AK176" s="713"/>
      <c r="AL176" s="712"/>
      <c r="BA176" s="714"/>
      <c r="BC176" s="713"/>
      <c r="BD176" s="2216" t="s">
        <v>83</v>
      </c>
      <c r="BE176" s="2217"/>
      <c r="BF176" s="2217"/>
      <c r="BG176" s="2217"/>
      <c r="BH176" s="2217"/>
      <c r="BI176" s="2217"/>
      <c r="BJ176" s="2217"/>
      <c r="BK176" s="2217"/>
      <c r="BL176" s="2217"/>
      <c r="BM176" s="2217"/>
      <c r="BN176" s="2217"/>
      <c r="BO176" s="2217"/>
      <c r="BP176" s="2217"/>
      <c r="BQ176" s="714"/>
      <c r="BR176" s="714"/>
      <c r="BS176" s="714"/>
      <c r="BT176" s="714"/>
      <c r="BU176" s="715"/>
      <c r="BV176" s="2216" t="s">
        <v>83</v>
      </c>
      <c r="BW176" s="2217"/>
      <c r="BX176" s="2217"/>
      <c r="BY176" s="2217"/>
      <c r="BZ176" s="2217"/>
      <c r="CA176" s="2217"/>
      <c r="CB176" s="2217"/>
      <c r="CC176" s="2217"/>
      <c r="CD176" s="2217"/>
      <c r="CE176" s="2217"/>
      <c r="CF176" s="2217"/>
      <c r="CG176" s="2217"/>
      <c r="CH176" s="2217"/>
      <c r="CI176" s="714"/>
      <c r="CJ176" s="714"/>
      <c r="CK176" s="714"/>
      <c r="CL176" s="714"/>
      <c r="CM176" s="715"/>
      <c r="CN176" s="2216" t="s">
        <v>83</v>
      </c>
      <c r="CO176" s="2217"/>
      <c r="CP176" s="2217"/>
      <c r="CQ176" s="2217"/>
      <c r="CR176" s="2217"/>
      <c r="CS176" s="2217"/>
      <c r="CT176" s="2217"/>
      <c r="CU176" s="2217"/>
      <c r="CV176" s="2217"/>
      <c r="CW176" s="2217"/>
      <c r="CX176" s="2217"/>
      <c r="CY176" s="2217"/>
      <c r="CZ176" s="2217"/>
      <c r="DA176" s="714"/>
      <c r="DB176" s="714"/>
      <c r="DC176" s="714"/>
      <c r="DD176" s="714"/>
      <c r="DE176" s="715"/>
      <c r="DF176" s="712"/>
      <c r="DU176" s="714"/>
      <c r="DW176" s="713"/>
      <c r="DX176" s="712"/>
      <c r="EM176" s="714"/>
      <c r="EO176" s="713"/>
      <c r="EP176" s="2216" t="s">
        <v>83</v>
      </c>
      <c r="EQ176" s="2217"/>
      <c r="ER176" s="2217"/>
      <c r="ES176" s="2217"/>
      <c r="ET176" s="2217"/>
      <c r="EU176" s="2217"/>
      <c r="EV176" s="2217"/>
      <c r="EW176" s="2217"/>
      <c r="EX176" s="2217"/>
      <c r="EY176" s="2217"/>
      <c r="EZ176" s="2217"/>
      <c r="FA176" s="2217"/>
      <c r="FB176" s="2217"/>
      <c r="FC176" s="714"/>
      <c r="FD176" s="714"/>
      <c r="FE176" s="714"/>
      <c r="FF176" s="714"/>
      <c r="FG176" s="715"/>
      <c r="FH176" s="712"/>
      <c r="FW176" s="714"/>
      <c r="FY176" s="713"/>
      <c r="FZ176" s="712"/>
      <c r="GO176" s="714"/>
      <c r="GQ176" s="713"/>
      <c r="GR176" s="712"/>
      <c r="HG176" s="714"/>
      <c r="HI176" s="713"/>
      <c r="HJ176" s="712"/>
      <c r="HY176" s="714"/>
      <c r="IA176" s="713"/>
      <c r="IB176" s="712"/>
      <c r="IQ176" s="714"/>
      <c r="IS176" s="713"/>
      <c r="IT176" s="712"/>
      <c r="JI176" s="714"/>
      <c r="JK176" s="713"/>
      <c r="JL176" s="712"/>
      <c r="KA176" s="714"/>
      <c r="KC176" s="713"/>
      <c r="KD176" s="712"/>
      <c r="KS176" s="714"/>
      <c r="KU176" s="713"/>
      <c r="KV176" s="712"/>
      <c r="LK176" s="714"/>
      <c r="LM176" s="713"/>
      <c r="LN176" s="712"/>
      <c r="MC176" s="714"/>
      <c r="ME176" s="713"/>
      <c r="MF176" s="712"/>
      <c r="MU176" s="714"/>
      <c r="MW176" s="713"/>
      <c r="MX176" s="2216" t="s">
        <v>83</v>
      </c>
      <c r="MY176" s="2217"/>
      <c r="MZ176" s="2217"/>
      <c r="NA176" s="2217"/>
      <c r="NB176" s="2217"/>
      <c r="NC176" s="2217"/>
      <c r="ND176" s="2217"/>
      <c r="NE176" s="2217"/>
      <c r="NF176" s="2217"/>
      <c r="NG176" s="2217"/>
      <c r="NH176" s="2217"/>
      <c r="NI176" s="2217"/>
      <c r="NJ176" s="2217"/>
      <c r="NK176" s="714"/>
      <c r="NL176" s="714"/>
      <c r="NM176" s="714"/>
      <c r="NN176" s="714"/>
      <c r="NO176" s="715"/>
      <c r="NP176" s="2216" t="s">
        <v>83</v>
      </c>
      <c r="NQ176" s="2217"/>
      <c r="NR176" s="2217"/>
      <c r="NS176" s="2217"/>
      <c r="NT176" s="2217"/>
      <c r="NU176" s="2217"/>
      <c r="NV176" s="2217"/>
      <c r="NW176" s="2217"/>
      <c r="NX176" s="2217"/>
      <c r="NY176" s="2217"/>
      <c r="NZ176" s="2217"/>
      <c r="OA176" s="2217"/>
      <c r="OB176" s="2217"/>
      <c r="OC176" s="714"/>
      <c r="OD176" s="714"/>
      <c r="OE176" s="714"/>
      <c r="OF176" s="714"/>
      <c r="OG176" s="715"/>
      <c r="OH176" s="712"/>
      <c r="OW176" s="714"/>
      <c r="OY176" s="713"/>
      <c r="OZ176" s="2216" t="s">
        <v>83</v>
      </c>
      <c r="PA176" s="2217"/>
      <c r="PB176" s="2217"/>
      <c r="PC176" s="2217"/>
      <c r="PD176" s="2217"/>
      <c r="PE176" s="2217"/>
      <c r="PF176" s="2217"/>
      <c r="PG176" s="2217"/>
      <c r="PH176" s="2217"/>
      <c r="PI176" s="2217"/>
      <c r="PJ176" s="2217"/>
      <c r="PK176" s="2217"/>
      <c r="PL176" s="2217"/>
      <c r="PM176" s="714"/>
      <c r="PN176" s="714"/>
      <c r="PO176" s="714"/>
      <c r="PP176" s="714"/>
      <c r="PQ176" s="715"/>
      <c r="PR176" s="712"/>
      <c r="QG176" s="714"/>
      <c r="QI176" s="713"/>
      <c r="QJ176" s="712"/>
      <c r="QY176" s="714"/>
      <c r="RA176" s="713"/>
      <c r="RB176" s="2216" t="s">
        <v>83</v>
      </c>
      <c r="RC176" s="2217"/>
      <c r="RD176" s="2217"/>
      <c r="RE176" s="2217"/>
      <c r="RF176" s="2217"/>
      <c r="RG176" s="2217"/>
      <c r="RH176" s="2217"/>
      <c r="RI176" s="2217"/>
      <c r="RJ176" s="2217"/>
      <c r="RK176" s="2217"/>
      <c r="RL176" s="2217"/>
      <c r="RM176" s="2217"/>
      <c r="RN176" s="2217"/>
      <c r="RO176" s="714"/>
      <c r="RP176" s="714"/>
      <c r="RQ176" s="714"/>
      <c r="RR176" s="714"/>
      <c r="RS176" s="715"/>
      <c r="RT176" s="2216" t="s">
        <v>83</v>
      </c>
      <c r="RU176" s="2217"/>
      <c r="RV176" s="2217"/>
      <c r="RW176" s="2217"/>
      <c r="RX176" s="2217"/>
      <c r="RY176" s="2217"/>
      <c r="RZ176" s="2217"/>
      <c r="SA176" s="2217"/>
      <c r="SB176" s="2217"/>
      <c r="SC176" s="2217"/>
      <c r="SD176" s="2217"/>
      <c r="SE176" s="2217"/>
      <c r="SF176" s="2217"/>
      <c r="SG176" s="714"/>
      <c r="SH176" s="714"/>
      <c r="SI176" s="714"/>
      <c r="SJ176" s="714"/>
      <c r="SK176" s="715"/>
      <c r="SL176" s="2216" t="s">
        <v>83</v>
      </c>
      <c r="SM176" s="2217"/>
      <c r="SN176" s="2217"/>
      <c r="SO176" s="2217"/>
      <c r="SP176" s="2217"/>
      <c r="SQ176" s="2217"/>
      <c r="SR176" s="2217"/>
      <c r="SS176" s="2217"/>
      <c r="ST176" s="2217"/>
      <c r="SU176" s="2217"/>
      <c r="SV176" s="2217"/>
      <c r="SW176" s="2217"/>
      <c r="SX176" s="2217"/>
      <c r="SY176" s="714"/>
      <c r="SZ176" s="714"/>
      <c r="TA176" s="714"/>
      <c r="TB176" s="714"/>
      <c r="TC176" s="715"/>
      <c r="TD176" s="2216" t="s">
        <v>83</v>
      </c>
      <c r="TE176" s="2217"/>
      <c r="TF176" s="2217"/>
      <c r="TG176" s="2217"/>
      <c r="TH176" s="2217"/>
      <c r="TI176" s="2217"/>
      <c r="TJ176" s="2217"/>
      <c r="TK176" s="2217"/>
      <c r="TL176" s="2217"/>
      <c r="TM176" s="2217"/>
      <c r="TN176" s="2217"/>
      <c r="TO176" s="2217"/>
      <c r="TP176" s="2217"/>
      <c r="TQ176" s="714"/>
      <c r="TR176" s="714"/>
      <c r="TS176" s="714"/>
      <c r="TT176" s="714"/>
      <c r="TU176" s="715"/>
      <c r="TV176" s="712"/>
      <c r="UK176" s="714"/>
      <c r="UM176" s="713"/>
      <c r="UN176" s="2216" t="s">
        <v>83</v>
      </c>
      <c r="UO176" s="2217"/>
      <c r="UP176" s="2217"/>
      <c r="UQ176" s="2217"/>
      <c r="UR176" s="2217"/>
      <c r="US176" s="2217"/>
      <c r="UT176" s="2217"/>
      <c r="UU176" s="2217"/>
      <c r="UV176" s="2217"/>
      <c r="UW176" s="2217"/>
      <c r="UX176" s="2217"/>
      <c r="UY176" s="2217"/>
      <c r="UZ176" s="2217"/>
      <c r="VA176" s="714"/>
      <c r="VB176" s="714"/>
      <c r="VC176" s="714"/>
      <c r="VD176" s="714"/>
      <c r="VE176" s="715"/>
    </row>
    <row r="177" spans="2:577" x14ac:dyDescent="0.25">
      <c r="B177" s="712"/>
      <c r="S177" s="713"/>
      <c r="T177" s="712"/>
      <c r="AK177" s="713"/>
      <c r="AL177" s="712"/>
      <c r="BC177" s="713"/>
      <c r="BD177" s="712"/>
      <c r="BS177" s="56"/>
      <c r="BU177" s="713"/>
      <c r="BV177" s="712"/>
      <c r="CM177" s="713"/>
      <c r="CN177" s="712"/>
      <c r="DE177" s="713"/>
      <c r="DF177" s="712"/>
      <c r="DW177" s="713"/>
      <c r="DX177" s="712"/>
      <c r="EO177" s="713"/>
      <c r="EP177" s="712"/>
      <c r="FG177" s="713"/>
      <c r="FH177" s="712"/>
      <c r="FY177" s="713"/>
      <c r="FZ177" s="712"/>
      <c r="GQ177" s="713"/>
      <c r="GR177" s="712"/>
      <c r="HI177" s="713"/>
      <c r="HJ177" s="712"/>
      <c r="IA177" s="713"/>
      <c r="IB177" s="712"/>
      <c r="IS177" s="713"/>
      <c r="IT177" s="712"/>
      <c r="JK177" s="713"/>
      <c r="JL177" s="712"/>
      <c r="KC177" s="713"/>
      <c r="KD177" s="712"/>
      <c r="KU177" s="713"/>
      <c r="KV177" s="712"/>
      <c r="LM177" s="713"/>
      <c r="LN177" s="712"/>
      <c r="ME177" s="713"/>
      <c r="MF177" s="712"/>
      <c r="MW177" s="713"/>
      <c r="MX177" s="712"/>
      <c r="NO177" s="713"/>
      <c r="NP177" s="712"/>
      <c r="OG177" s="713"/>
      <c r="OH177" s="712"/>
      <c r="OY177" s="713"/>
      <c r="OZ177" s="712"/>
      <c r="PQ177" s="713"/>
      <c r="PR177" s="712"/>
      <c r="QI177" s="713"/>
      <c r="QJ177" s="712"/>
      <c r="RA177" s="713"/>
      <c r="RB177" s="712"/>
      <c r="RS177" s="713"/>
      <c r="RT177" s="712"/>
      <c r="SK177" s="713"/>
      <c r="SL177" s="712"/>
      <c r="TC177" s="713"/>
      <c r="TD177" s="712"/>
      <c r="TU177" s="713"/>
      <c r="TV177" s="712"/>
      <c r="UM177" s="713"/>
      <c r="UN177" s="712"/>
      <c r="VE177" s="713"/>
    </row>
    <row r="178" spans="2:577" x14ac:dyDescent="0.25">
      <c r="B178" s="712"/>
      <c r="S178" s="713"/>
      <c r="T178" s="712"/>
      <c r="AK178" s="713"/>
      <c r="AL178" s="712"/>
      <c r="BC178" s="713"/>
      <c r="BD178" s="712"/>
      <c r="BS178" s="56"/>
      <c r="BU178" s="713"/>
      <c r="BV178" s="712"/>
      <c r="CM178" s="713"/>
      <c r="CN178" s="712"/>
      <c r="DC178" s="56"/>
      <c r="DE178" s="713"/>
      <c r="DF178" s="712"/>
      <c r="DW178" s="713"/>
      <c r="DX178" s="712"/>
      <c r="EO178" s="713"/>
      <c r="EP178" s="712"/>
      <c r="FE178" s="56"/>
      <c r="FG178" s="713"/>
      <c r="FH178" s="712"/>
      <c r="FY178" s="713"/>
      <c r="FZ178" s="712"/>
      <c r="GQ178" s="713"/>
      <c r="GR178" s="712"/>
      <c r="HI178" s="713"/>
      <c r="HJ178" s="712"/>
      <c r="IA178" s="713"/>
      <c r="IB178" s="712"/>
      <c r="IS178" s="713"/>
      <c r="IT178" s="712"/>
      <c r="JK178" s="713"/>
      <c r="JL178" s="712"/>
      <c r="KC178" s="713"/>
      <c r="KD178" s="712"/>
      <c r="KU178" s="713"/>
      <c r="KV178" s="712"/>
      <c r="LM178" s="713"/>
      <c r="LN178" s="712"/>
      <c r="ME178" s="713"/>
      <c r="MF178" s="712"/>
      <c r="MW178" s="713"/>
      <c r="MX178" s="712"/>
      <c r="NO178" s="713"/>
      <c r="NP178" s="712"/>
      <c r="OG178" s="713"/>
      <c r="OH178" s="712"/>
      <c r="OY178" s="713"/>
      <c r="OZ178" s="712"/>
      <c r="PQ178" s="713"/>
      <c r="PR178" s="712"/>
      <c r="QI178" s="713"/>
      <c r="QJ178" s="712"/>
      <c r="RA178" s="713"/>
      <c r="RB178" s="712"/>
      <c r="RS178" s="713"/>
      <c r="RT178" s="712"/>
      <c r="SK178" s="713"/>
      <c r="SL178" s="712"/>
      <c r="TC178" s="713"/>
      <c r="TD178" s="712"/>
      <c r="TU178" s="713"/>
      <c r="TV178" s="712"/>
      <c r="UM178" s="713"/>
      <c r="UN178" s="712"/>
      <c r="VE178" s="713"/>
    </row>
    <row r="179" spans="2:577" x14ac:dyDescent="0.25">
      <c r="B179" s="712"/>
      <c r="S179" s="713"/>
      <c r="T179" s="712"/>
      <c r="AK179" s="713"/>
      <c r="AL179" s="712"/>
      <c r="BC179" s="713"/>
      <c r="BD179" s="712"/>
      <c r="BS179" s="56"/>
      <c r="BT179" s="56"/>
      <c r="BU179" s="713"/>
      <c r="BV179" s="712"/>
      <c r="CL179" s="56"/>
      <c r="CM179" s="713"/>
      <c r="CN179" s="712"/>
      <c r="DC179" s="56"/>
      <c r="DE179" s="713"/>
      <c r="DF179" s="712"/>
      <c r="DW179" s="713"/>
      <c r="DX179" s="712"/>
      <c r="EO179" s="713"/>
      <c r="EP179" s="712"/>
      <c r="FE179" s="56"/>
      <c r="FG179" s="713"/>
      <c r="FH179" s="712"/>
      <c r="FY179" s="713"/>
      <c r="FZ179" s="712"/>
      <c r="GQ179" s="713"/>
      <c r="GR179" s="712"/>
      <c r="HI179" s="713"/>
      <c r="HJ179" s="712"/>
      <c r="IA179" s="713"/>
      <c r="IB179" s="712"/>
      <c r="IS179" s="713"/>
      <c r="IT179" s="712"/>
      <c r="JK179" s="713"/>
      <c r="JL179" s="712"/>
      <c r="KC179" s="713"/>
      <c r="KD179" s="712"/>
      <c r="KU179" s="713"/>
      <c r="KV179" s="712"/>
      <c r="LM179" s="713"/>
      <c r="LN179" s="712"/>
      <c r="ME179" s="713"/>
      <c r="MF179" s="712"/>
      <c r="MW179" s="713"/>
      <c r="MX179" s="712"/>
      <c r="NO179" s="713"/>
      <c r="NP179" s="712"/>
      <c r="OG179" s="713"/>
      <c r="OH179" s="712"/>
      <c r="OY179" s="713"/>
      <c r="OZ179" s="712"/>
      <c r="PO179" s="56"/>
      <c r="PQ179" s="713"/>
      <c r="PR179" s="712"/>
      <c r="QI179" s="713"/>
      <c r="QJ179" s="712"/>
      <c r="RA179" s="713"/>
      <c r="RB179" s="712"/>
      <c r="RS179" s="713"/>
      <c r="RT179" s="712"/>
      <c r="SK179" s="713"/>
      <c r="SL179" s="712"/>
      <c r="TB179" s="56"/>
      <c r="TC179" s="713"/>
      <c r="TD179" s="712"/>
      <c r="TS179" s="56"/>
      <c r="TU179" s="713"/>
      <c r="TV179" s="712"/>
      <c r="UM179" s="713"/>
      <c r="UN179" s="712"/>
      <c r="VC179" s="56"/>
      <c r="VE179" s="713"/>
    </row>
    <row r="180" spans="2:577" x14ac:dyDescent="0.25">
      <c r="B180" s="712"/>
      <c r="S180" s="713"/>
      <c r="T180" s="712"/>
      <c r="AK180" s="713"/>
      <c r="AL180" s="712"/>
      <c r="BC180" s="713"/>
      <c r="BD180" s="712"/>
      <c r="BS180" s="56"/>
      <c r="BT180" s="56"/>
      <c r="BU180" s="713"/>
      <c r="BV180" s="712"/>
      <c r="CL180" s="56"/>
      <c r="CM180" s="713"/>
      <c r="CN180" s="712"/>
      <c r="DC180" s="56"/>
      <c r="DE180" s="713"/>
      <c r="DF180" s="712"/>
      <c r="DW180" s="713"/>
      <c r="DX180" s="712"/>
      <c r="EO180" s="713"/>
      <c r="EP180" s="712"/>
      <c r="FE180" s="56"/>
      <c r="FG180" s="713"/>
      <c r="FH180" s="712"/>
      <c r="FY180" s="713"/>
      <c r="FZ180" s="712"/>
      <c r="GQ180" s="713"/>
      <c r="GR180" s="712"/>
      <c r="HI180" s="713"/>
      <c r="HJ180" s="712"/>
      <c r="IA180" s="713"/>
      <c r="IB180" s="712"/>
      <c r="IS180" s="713"/>
      <c r="IT180" s="712"/>
      <c r="JK180" s="713"/>
      <c r="JL180" s="712"/>
      <c r="KC180" s="713"/>
      <c r="KD180" s="712"/>
      <c r="KU180" s="713"/>
      <c r="KV180" s="712"/>
      <c r="LM180" s="713"/>
      <c r="LN180" s="712"/>
      <c r="ME180" s="713"/>
      <c r="MF180" s="712"/>
      <c r="MW180" s="713"/>
      <c r="MX180" s="712"/>
      <c r="NO180" s="713"/>
      <c r="NP180" s="712"/>
      <c r="OG180" s="713"/>
      <c r="OH180" s="712"/>
      <c r="OY180" s="713"/>
      <c r="OZ180" s="712"/>
      <c r="PO180" s="56"/>
      <c r="PQ180" s="713"/>
      <c r="PR180" s="712"/>
      <c r="QI180" s="713"/>
      <c r="QJ180" s="712"/>
      <c r="RA180" s="713"/>
      <c r="RB180" s="712"/>
      <c r="RS180" s="713"/>
      <c r="RT180" s="712"/>
      <c r="SK180" s="713"/>
      <c r="SL180" s="712"/>
      <c r="TB180" s="56"/>
      <c r="TC180" s="713"/>
      <c r="TD180" s="712"/>
      <c r="TS180" s="56"/>
      <c r="TU180" s="713"/>
      <c r="TV180" s="712"/>
      <c r="UM180" s="713"/>
      <c r="UN180" s="712"/>
      <c r="VC180" s="56"/>
      <c r="VE180" s="713"/>
    </row>
    <row r="181" spans="2:577" x14ac:dyDescent="0.25">
      <c r="B181" s="712"/>
      <c r="S181" s="713"/>
      <c r="T181" s="712"/>
      <c r="AK181" s="713"/>
      <c r="AL181" s="712"/>
      <c r="BC181" s="713"/>
      <c r="BD181" s="712"/>
      <c r="BT181" s="56"/>
      <c r="BU181" s="713"/>
      <c r="BV181" s="712"/>
      <c r="CL181" s="56"/>
      <c r="CM181" s="713"/>
      <c r="CN181" s="712"/>
      <c r="DE181" s="713"/>
      <c r="DF181" s="712"/>
      <c r="DW181" s="713"/>
      <c r="DX181" s="712"/>
      <c r="EO181" s="713"/>
      <c r="EP181" s="712"/>
      <c r="FG181" s="713"/>
      <c r="FH181" s="712"/>
      <c r="FY181" s="713"/>
      <c r="FZ181" s="712"/>
      <c r="GQ181" s="713"/>
      <c r="GR181" s="712"/>
      <c r="HI181" s="713"/>
      <c r="HJ181" s="712"/>
      <c r="IA181" s="713"/>
      <c r="IB181" s="712"/>
      <c r="IS181" s="713"/>
      <c r="IT181" s="712"/>
      <c r="JK181" s="713"/>
      <c r="JL181" s="712"/>
      <c r="KC181" s="713"/>
      <c r="KD181" s="712"/>
      <c r="KU181" s="713"/>
      <c r="KV181" s="712"/>
      <c r="LM181" s="713"/>
      <c r="LN181" s="712"/>
      <c r="ME181" s="713"/>
      <c r="MF181" s="712"/>
      <c r="MW181" s="713"/>
      <c r="MX181" s="712"/>
      <c r="NO181" s="713"/>
      <c r="NP181" s="712"/>
      <c r="OG181" s="713"/>
      <c r="OH181" s="712"/>
      <c r="OY181" s="713"/>
      <c r="OZ181" s="712"/>
      <c r="PO181" s="56"/>
      <c r="PQ181" s="713"/>
      <c r="PR181" s="712"/>
      <c r="QI181" s="713"/>
      <c r="QJ181" s="712"/>
      <c r="RA181" s="713"/>
      <c r="RB181" s="712"/>
      <c r="RS181" s="713"/>
      <c r="RT181" s="712"/>
      <c r="SK181" s="713"/>
      <c r="SL181" s="712"/>
      <c r="TB181" s="56"/>
      <c r="TC181" s="713"/>
      <c r="TD181" s="712"/>
      <c r="TS181" s="56"/>
      <c r="TU181" s="713"/>
      <c r="TV181" s="712"/>
      <c r="UM181" s="713"/>
      <c r="UN181" s="712"/>
      <c r="VC181" s="56"/>
      <c r="VE181" s="713"/>
    </row>
    <row r="182" spans="2:577" x14ac:dyDescent="0.25">
      <c r="B182" s="712"/>
      <c r="S182" s="713"/>
      <c r="T182" s="712"/>
      <c r="AK182" s="713"/>
      <c r="AL182" s="712"/>
      <c r="BC182" s="713"/>
      <c r="BD182" s="712"/>
      <c r="BU182" s="713"/>
      <c r="BV182" s="712"/>
      <c r="CM182" s="713"/>
      <c r="CN182" s="712"/>
      <c r="DE182" s="713"/>
      <c r="DF182" s="712"/>
      <c r="DW182" s="713"/>
      <c r="DX182" s="712"/>
      <c r="EO182" s="713"/>
      <c r="EP182" s="712"/>
      <c r="FG182" s="713"/>
      <c r="FH182" s="712"/>
      <c r="FY182" s="713"/>
      <c r="FZ182" s="712"/>
      <c r="GQ182" s="713"/>
      <c r="GR182" s="712"/>
      <c r="HI182" s="713"/>
      <c r="HJ182" s="712"/>
      <c r="IA182" s="713"/>
      <c r="IB182" s="712"/>
      <c r="IS182" s="713"/>
      <c r="IT182" s="712"/>
      <c r="JK182" s="713"/>
      <c r="JL182" s="712"/>
      <c r="KC182" s="713"/>
      <c r="KD182" s="712"/>
      <c r="KU182" s="713"/>
      <c r="KV182" s="712"/>
      <c r="LM182" s="713"/>
      <c r="LN182" s="712"/>
      <c r="ME182" s="713"/>
      <c r="MF182" s="712"/>
      <c r="MW182" s="713"/>
      <c r="MX182" s="712"/>
      <c r="NO182" s="713"/>
      <c r="NP182" s="712"/>
      <c r="OG182" s="713"/>
      <c r="OH182" s="712"/>
      <c r="OY182" s="713"/>
      <c r="OZ182" s="712"/>
      <c r="PO182" s="56"/>
      <c r="PQ182" s="713"/>
      <c r="PR182" s="712"/>
      <c r="QI182" s="713"/>
      <c r="QJ182" s="712"/>
      <c r="RA182" s="713"/>
      <c r="RB182" s="712"/>
      <c r="RS182" s="713"/>
      <c r="RT182" s="712"/>
      <c r="SK182" s="713"/>
      <c r="SL182" s="712"/>
      <c r="TC182" s="713"/>
      <c r="TD182" s="712"/>
      <c r="TU182" s="713"/>
      <c r="TV182" s="712"/>
      <c r="UM182" s="713"/>
      <c r="UN182" s="712"/>
      <c r="VE182" s="713"/>
    </row>
    <row r="183" spans="2:577" x14ac:dyDescent="0.25">
      <c r="B183" s="712"/>
      <c r="S183" s="713"/>
      <c r="T183" s="712"/>
      <c r="AK183" s="713"/>
      <c r="AL183" s="712"/>
      <c r="BC183" s="713"/>
      <c r="BD183" s="712"/>
      <c r="BU183" s="713"/>
      <c r="BV183" s="712"/>
      <c r="CM183" s="713"/>
      <c r="CN183" s="712"/>
      <c r="DE183" s="713"/>
      <c r="DF183" s="712"/>
      <c r="DW183" s="713"/>
      <c r="DX183" s="712"/>
      <c r="EO183" s="713"/>
      <c r="EP183" s="712"/>
      <c r="FG183" s="713"/>
      <c r="FH183" s="712"/>
      <c r="FY183" s="713"/>
      <c r="FZ183" s="712"/>
      <c r="GQ183" s="713"/>
      <c r="GR183" s="712"/>
      <c r="HI183" s="713"/>
      <c r="HJ183" s="712"/>
      <c r="IA183" s="713"/>
      <c r="IB183" s="712"/>
      <c r="IS183" s="713"/>
      <c r="IT183" s="712"/>
      <c r="JK183" s="713"/>
      <c r="JL183" s="712"/>
      <c r="KC183" s="713"/>
      <c r="KD183" s="712"/>
      <c r="KU183" s="713"/>
      <c r="KV183" s="712"/>
      <c r="LM183" s="713"/>
      <c r="LN183" s="712"/>
      <c r="ME183" s="713"/>
      <c r="MF183" s="712"/>
      <c r="MW183" s="713"/>
      <c r="MX183" s="712"/>
      <c r="NO183" s="713"/>
      <c r="NP183" s="712"/>
      <c r="OG183" s="713"/>
      <c r="OH183" s="712"/>
      <c r="OY183" s="713"/>
      <c r="OZ183" s="712"/>
      <c r="PQ183" s="713"/>
      <c r="PR183" s="712"/>
      <c r="QI183" s="713"/>
      <c r="QJ183" s="712"/>
      <c r="RA183" s="713"/>
      <c r="RB183" s="712"/>
      <c r="RS183" s="713"/>
      <c r="RT183" s="712"/>
      <c r="SK183" s="713"/>
      <c r="SL183" s="712"/>
      <c r="TC183" s="713"/>
      <c r="TD183" s="712"/>
      <c r="TU183" s="713"/>
      <c r="TV183" s="712"/>
      <c r="UM183" s="713"/>
      <c r="UN183" s="712"/>
      <c r="VE183" s="713"/>
    </row>
    <row r="184" spans="2:577" x14ac:dyDescent="0.25">
      <c r="B184" s="712"/>
      <c r="S184" s="713"/>
      <c r="T184" s="712"/>
      <c r="AK184" s="713"/>
      <c r="AL184" s="712"/>
      <c r="BC184" s="713"/>
      <c r="BD184" s="712"/>
      <c r="BU184" s="713"/>
      <c r="BV184" s="712"/>
      <c r="CM184" s="713"/>
      <c r="CN184" s="712"/>
      <c r="DE184" s="713"/>
      <c r="DF184" s="712"/>
      <c r="DW184" s="713"/>
      <c r="DX184" s="712"/>
      <c r="EO184" s="713"/>
      <c r="EP184" s="712"/>
      <c r="FG184" s="713"/>
      <c r="FH184" s="712"/>
      <c r="FY184" s="713"/>
      <c r="FZ184" s="712"/>
      <c r="GQ184" s="713"/>
      <c r="GR184" s="712"/>
      <c r="HI184" s="713"/>
      <c r="HJ184" s="712"/>
      <c r="IA184" s="713"/>
      <c r="IB184" s="712"/>
      <c r="IS184" s="713"/>
      <c r="IT184" s="712"/>
      <c r="JK184" s="713"/>
      <c r="JL184" s="712"/>
      <c r="KC184" s="713"/>
      <c r="KD184" s="712"/>
      <c r="KU184" s="713"/>
      <c r="KV184" s="712"/>
      <c r="LM184" s="713"/>
      <c r="LN184" s="712"/>
      <c r="ME184" s="713"/>
      <c r="MF184" s="712"/>
      <c r="MW184" s="713"/>
      <c r="MX184" s="712"/>
      <c r="NO184" s="713"/>
      <c r="NP184" s="712"/>
      <c r="OG184" s="713"/>
      <c r="OH184" s="712"/>
      <c r="OY184" s="713"/>
      <c r="OZ184" s="712"/>
      <c r="PQ184" s="713"/>
      <c r="PR184" s="712"/>
      <c r="QI184" s="713"/>
      <c r="QJ184" s="712"/>
      <c r="RA184" s="713"/>
      <c r="RB184" s="712"/>
      <c r="RS184" s="713"/>
      <c r="RT184" s="712"/>
      <c r="SK184" s="713"/>
      <c r="SL184" s="712"/>
      <c r="TC184" s="713"/>
      <c r="TD184" s="712"/>
      <c r="TU184" s="713"/>
      <c r="TV184" s="712"/>
      <c r="UM184" s="713"/>
      <c r="UN184" s="712"/>
      <c r="VE184" s="713"/>
    </row>
    <row r="185" spans="2:577" x14ac:dyDescent="0.25">
      <c r="B185" s="712"/>
      <c r="S185" s="713"/>
      <c r="T185" s="712"/>
      <c r="AK185" s="713"/>
      <c r="AL185" s="712"/>
      <c r="BC185" s="713"/>
      <c r="BD185" s="712"/>
      <c r="BU185" s="713"/>
      <c r="BV185" s="712"/>
      <c r="CM185" s="713"/>
      <c r="CN185" s="712"/>
      <c r="DE185" s="713"/>
      <c r="DF185" s="712"/>
      <c r="DW185" s="713"/>
      <c r="DX185" s="712"/>
      <c r="EO185" s="713"/>
      <c r="EP185" s="712"/>
      <c r="FG185" s="713"/>
      <c r="FH185" s="712"/>
      <c r="FY185" s="713"/>
      <c r="FZ185" s="712"/>
      <c r="GQ185" s="713"/>
      <c r="GR185" s="712"/>
      <c r="HI185" s="713"/>
      <c r="HJ185" s="712"/>
      <c r="IA185" s="713"/>
      <c r="IB185" s="712"/>
      <c r="IS185" s="713"/>
      <c r="IT185" s="712"/>
      <c r="JK185" s="713"/>
      <c r="JL185" s="712"/>
      <c r="KC185" s="713"/>
      <c r="KD185" s="712"/>
      <c r="KU185" s="713"/>
      <c r="KV185" s="712"/>
      <c r="LM185" s="713"/>
      <c r="LN185" s="712"/>
      <c r="ME185" s="713"/>
      <c r="MF185" s="712"/>
      <c r="MW185" s="713"/>
      <c r="MX185" s="712"/>
      <c r="NO185" s="713"/>
      <c r="NP185" s="712"/>
      <c r="OG185" s="713"/>
      <c r="OH185" s="712"/>
      <c r="OY185" s="713"/>
      <c r="OZ185" s="712"/>
      <c r="PQ185" s="713"/>
      <c r="PR185" s="712"/>
      <c r="QI185" s="713"/>
      <c r="QJ185" s="712"/>
      <c r="RA185" s="713"/>
      <c r="RB185" s="712"/>
      <c r="RS185" s="713"/>
      <c r="RT185" s="712"/>
      <c r="SK185" s="713"/>
      <c r="SL185" s="712"/>
      <c r="TC185" s="713"/>
      <c r="TD185" s="712"/>
      <c r="TU185" s="713"/>
      <c r="TV185" s="712"/>
      <c r="UM185" s="713"/>
      <c r="UN185" s="712"/>
      <c r="VE185" s="713"/>
    </row>
    <row r="186" spans="2:577" x14ac:dyDescent="0.25">
      <c r="B186" s="712"/>
      <c r="S186" s="713"/>
      <c r="T186" s="712"/>
      <c r="AK186" s="713"/>
      <c r="AL186" s="712"/>
      <c r="BC186" s="713"/>
      <c r="BD186" s="712"/>
      <c r="BU186" s="713"/>
      <c r="BV186" s="712"/>
      <c r="CM186" s="713"/>
      <c r="CN186" s="712"/>
      <c r="DE186" s="713"/>
      <c r="DF186" s="712"/>
      <c r="DW186" s="713"/>
      <c r="DX186" s="712"/>
      <c r="EO186" s="713"/>
      <c r="EP186" s="712"/>
      <c r="FG186" s="713"/>
      <c r="FH186" s="712"/>
      <c r="FY186" s="713"/>
      <c r="FZ186" s="712"/>
      <c r="GQ186" s="713"/>
      <c r="GR186" s="712"/>
      <c r="HI186" s="713"/>
      <c r="HJ186" s="712"/>
      <c r="IA186" s="713"/>
      <c r="IB186" s="712"/>
      <c r="IS186" s="713"/>
      <c r="IT186" s="712"/>
      <c r="JK186" s="713"/>
      <c r="JL186" s="712"/>
      <c r="KC186" s="713"/>
      <c r="KD186" s="712"/>
      <c r="KU186" s="713"/>
      <c r="KV186" s="712"/>
      <c r="LM186" s="713"/>
      <c r="LN186" s="712"/>
      <c r="ME186" s="713"/>
      <c r="MF186" s="712"/>
      <c r="MW186" s="713"/>
      <c r="MX186" s="712"/>
      <c r="NO186" s="713"/>
      <c r="NP186" s="712"/>
      <c r="OG186" s="713"/>
      <c r="OH186" s="712"/>
      <c r="OY186" s="713"/>
      <c r="OZ186" s="712"/>
      <c r="PQ186" s="713"/>
      <c r="PR186" s="712"/>
      <c r="QI186" s="713"/>
      <c r="QJ186" s="712"/>
      <c r="RA186" s="713"/>
      <c r="RB186" s="712"/>
      <c r="RS186" s="713"/>
      <c r="RT186" s="712"/>
      <c r="SK186" s="713"/>
      <c r="SL186" s="712"/>
      <c r="TC186" s="713"/>
      <c r="TD186" s="712"/>
      <c r="TU186" s="713"/>
      <c r="TV186" s="712"/>
      <c r="UM186" s="713"/>
      <c r="UN186" s="712"/>
      <c r="VE186" s="713"/>
    </row>
    <row r="187" spans="2:577" x14ac:dyDescent="0.25">
      <c r="B187" s="712"/>
      <c r="S187" s="713"/>
      <c r="T187" s="712"/>
      <c r="AK187" s="713"/>
      <c r="AL187" s="712"/>
      <c r="BC187" s="713"/>
      <c r="BD187" s="712"/>
      <c r="BU187" s="713"/>
      <c r="BV187" s="712"/>
      <c r="CM187" s="713"/>
      <c r="CN187" s="712"/>
      <c r="DE187" s="713"/>
      <c r="DF187" s="712"/>
      <c r="DW187" s="713"/>
      <c r="DX187" s="712"/>
      <c r="EO187" s="713"/>
      <c r="EP187" s="712"/>
      <c r="FG187" s="713"/>
      <c r="FH187" s="712"/>
      <c r="FY187" s="713"/>
      <c r="FZ187" s="712"/>
      <c r="GQ187" s="713"/>
      <c r="GR187" s="712"/>
      <c r="HI187" s="713"/>
      <c r="HJ187" s="712"/>
      <c r="IA187" s="713"/>
      <c r="IB187" s="712"/>
      <c r="IS187" s="713"/>
      <c r="IT187" s="712"/>
      <c r="JK187" s="713"/>
      <c r="JL187" s="712"/>
      <c r="KC187" s="713"/>
      <c r="KD187" s="712"/>
      <c r="KU187" s="713"/>
      <c r="KV187" s="712"/>
      <c r="LM187" s="713"/>
      <c r="LN187" s="712"/>
      <c r="ME187" s="713"/>
      <c r="MF187" s="712"/>
      <c r="MW187" s="713"/>
      <c r="MX187" s="712"/>
      <c r="NO187" s="713"/>
      <c r="NP187" s="712"/>
      <c r="OG187" s="713"/>
      <c r="OH187" s="712"/>
      <c r="OY187" s="713"/>
      <c r="OZ187" s="712"/>
      <c r="PQ187" s="713"/>
      <c r="PR187" s="712"/>
      <c r="QI187" s="713"/>
      <c r="QJ187" s="712"/>
      <c r="RA187" s="713"/>
      <c r="RB187" s="712"/>
      <c r="RS187" s="713"/>
      <c r="RT187" s="712"/>
      <c r="SK187" s="713"/>
      <c r="SL187" s="712"/>
      <c r="TC187" s="713"/>
      <c r="TD187" s="712"/>
      <c r="TU187" s="713"/>
      <c r="TV187" s="712"/>
      <c r="UM187" s="713"/>
      <c r="UN187" s="712"/>
      <c r="VE187" s="713"/>
    </row>
    <row r="188" spans="2:577" x14ac:dyDescent="0.25">
      <c r="B188" s="712"/>
      <c r="S188" s="713"/>
      <c r="T188" s="712"/>
      <c r="AK188" s="713"/>
      <c r="AL188" s="712"/>
      <c r="BC188" s="713"/>
      <c r="BD188" s="712"/>
      <c r="BU188" s="713"/>
      <c r="BV188" s="712"/>
      <c r="CM188" s="713"/>
      <c r="CN188" s="712"/>
      <c r="DE188" s="713"/>
      <c r="DF188" s="712"/>
      <c r="DW188" s="713"/>
      <c r="DX188" s="712"/>
      <c r="EO188" s="713"/>
      <c r="EP188" s="712"/>
      <c r="FG188" s="713"/>
      <c r="FH188" s="712"/>
      <c r="FY188" s="713"/>
      <c r="FZ188" s="712"/>
      <c r="GQ188" s="713"/>
      <c r="GR188" s="712"/>
      <c r="HI188" s="713"/>
      <c r="HJ188" s="712"/>
      <c r="IA188" s="713"/>
      <c r="IB188" s="712"/>
      <c r="IS188" s="713"/>
      <c r="IT188" s="712"/>
      <c r="JK188" s="713"/>
      <c r="JL188" s="712"/>
      <c r="KC188" s="713"/>
      <c r="KD188" s="712"/>
      <c r="KU188" s="713"/>
      <c r="KV188" s="712"/>
      <c r="LM188" s="713"/>
      <c r="LN188" s="712"/>
      <c r="ME188" s="713"/>
      <c r="MF188" s="712"/>
      <c r="MW188" s="713"/>
      <c r="MX188" s="712"/>
      <c r="NO188" s="713"/>
      <c r="NP188" s="712"/>
      <c r="OG188" s="713"/>
      <c r="OH188" s="712"/>
      <c r="OY188" s="713"/>
      <c r="OZ188" s="712"/>
      <c r="PQ188" s="713"/>
      <c r="PR188" s="712"/>
      <c r="QI188" s="713"/>
      <c r="QJ188" s="712"/>
      <c r="RA188" s="713"/>
      <c r="RB188" s="712"/>
      <c r="RS188" s="713"/>
      <c r="RT188" s="712"/>
      <c r="SK188" s="713"/>
      <c r="SL188" s="712"/>
      <c r="TC188" s="713"/>
      <c r="TD188" s="712"/>
      <c r="TU188" s="713"/>
      <c r="TV188" s="712"/>
      <c r="UM188" s="713"/>
      <c r="UN188" s="712"/>
      <c r="VE188" s="713"/>
    </row>
    <row r="189" spans="2:577" x14ac:dyDescent="0.25">
      <c r="B189" s="712"/>
      <c r="S189" s="713"/>
      <c r="T189" s="712"/>
      <c r="AK189" s="713"/>
      <c r="AL189" s="712"/>
      <c r="BC189" s="713"/>
      <c r="BD189" s="712"/>
      <c r="BU189" s="713"/>
      <c r="BV189" s="712"/>
      <c r="CM189" s="713"/>
      <c r="CN189" s="712"/>
      <c r="DE189" s="713"/>
      <c r="DF189" s="712"/>
      <c r="DW189" s="713"/>
      <c r="DX189" s="712"/>
      <c r="EO189" s="713"/>
      <c r="EP189" s="712"/>
      <c r="FG189" s="713"/>
      <c r="FH189" s="712"/>
      <c r="FY189" s="713"/>
      <c r="FZ189" s="712"/>
      <c r="GQ189" s="713"/>
      <c r="GR189" s="712"/>
      <c r="HI189" s="713"/>
      <c r="HJ189" s="712"/>
      <c r="IA189" s="713"/>
      <c r="IB189" s="712"/>
      <c r="IS189" s="713"/>
      <c r="IT189" s="712"/>
      <c r="JK189" s="713"/>
      <c r="JL189" s="712"/>
      <c r="KC189" s="713"/>
      <c r="KD189" s="712"/>
      <c r="KU189" s="713"/>
      <c r="KV189" s="712"/>
      <c r="LM189" s="713"/>
      <c r="LN189" s="712"/>
      <c r="ME189" s="713"/>
      <c r="MF189" s="712"/>
      <c r="MW189" s="713"/>
      <c r="MX189" s="712"/>
      <c r="NO189" s="713"/>
      <c r="NP189" s="712"/>
      <c r="OG189" s="713"/>
      <c r="OH189" s="712"/>
      <c r="OY189" s="713"/>
      <c r="OZ189" s="712"/>
      <c r="PQ189" s="713"/>
      <c r="PR189" s="712"/>
      <c r="QI189" s="713"/>
      <c r="QJ189" s="712"/>
      <c r="RA189" s="713"/>
      <c r="RB189" s="712"/>
      <c r="RS189" s="713"/>
      <c r="RT189" s="712"/>
      <c r="SK189" s="713"/>
      <c r="SL189" s="712"/>
      <c r="TC189" s="713"/>
      <c r="TD189" s="712"/>
      <c r="TU189" s="713"/>
      <c r="TV189" s="712"/>
      <c r="UM189" s="713"/>
      <c r="UN189" s="712"/>
      <c r="VE189" s="713"/>
    </row>
    <row r="190" spans="2:577" x14ac:dyDescent="0.25">
      <c r="B190" s="712"/>
      <c r="S190" s="713"/>
      <c r="T190" s="712"/>
      <c r="AK190" s="713"/>
      <c r="AL190" s="712"/>
      <c r="BC190" s="713"/>
      <c r="BD190" s="712"/>
      <c r="BU190" s="713"/>
      <c r="BV190" s="712"/>
      <c r="CM190" s="713"/>
      <c r="CN190" s="712"/>
      <c r="DE190" s="713"/>
      <c r="DF190" s="712"/>
      <c r="DW190" s="713"/>
      <c r="DX190" s="712"/>
      <c r="EO190" s="713"/>
      <c r="EP190" s="712"/>
      <c r="FG190" s="713"/>
      <c r="FH190" s="712"/>
      <c r="FY190" s="713"/>
      <c r="FZ190" s="712"/>
      <c r="GQ190" s="713"/>
      <c r="GR190" s="712"/>
      <c r="HI190" s="713"/>
      <c r="HJ190" s="712"/>
      <c r="IA190" s="713"/>
      <c r="IB190" s="712"/>
      <c r="IS190" s="713"/>
      <c r="IT190" s="712"/>
      <c r="JK190" s="713"/>
      <c r="JL190" s="712"/>
      <c r="KC190" s="713"/>
      <c r="KD190" s="712"/>
      <c r="KU190" s="713"/>
      <c r="KV190" s="712"/>
      <c r="LM190" s="713"/>
      <c r="LN190" s="712"/>
      <c r="ME190" s="713"/>
      <c r="MF190" s="712"/>
      <c r="MW190" s="713"/>
      <c r="MX190" s="712"/>
      <c r="NO190" s="713"/>
      <c r="NP190" s="712"/>
      <c r="OG190" s="713"/>
      <c r="OH190" s="712"/>
      <c r="OY190" s="713"/>
      <c r="OZ190" s="712"/>
      <c r="PQ190" s="713"/>
      <c r="PR190" s="712"/>
      <c r="QI190" s="713"/>
      <c r="QJ190" s="712"/>
      <c r="RA190" s="713"/>
      <c r="RB190" s="712"/>
      <c r="RS190" s="713"/>
      <c r="RT190" s="712"/>
      <c r="SK190" s="713"/>
      <c r="SL190" s="712"/>
      <c r="TC190" s="713"/>
      <c r="TD190" s="712"/>
      <c r="TU190" s="713"/>
      <c r="TV190" s="712"/>
      <c r="UM190" s="713"/>
      <c r="UN190" s="712"/>
      <c r="VE190" s="713"/>
    </row>
    <row r="191" spans="2:577" x14ac:dyDescent="0.25">
      <c r="B191" s="712"/>
      <c r="S191" s="713"/>
      <c r="T191" s="712"/>
      <c r="AK191" s="713"/>
      <c r="AL191" s="712"/>
      <c r="BC191" s="713"/>
      <c r="BD191" s="712"/>
      <c r="BU191" s="713"/>
      <c r="BV191" s="712"/>
      <c r="CM191" s="713"/>
      <c r="CN191" s="712"/>
      <c r="DE191" s="713"/>
      <c r="DF191" s="712"/>
      <c r="DW191" s="713"/>
      <c r="DX191" s="712"/>
      <c r="EO191" s="713"/>
      <c r="EP191" s="712"/>
      <c r="FG191" s="713"/>
      <c r="FH191" s="712"/>
      <c r="FY191" s="713"/>
      <c r="FZ191" s="712"/>
      <c r="GQ191" s="713"/>
      <c r="GR191" s="712"/>
      <c r="HI191" s="713"/>
      <c r="HJ191" s="712"/>
      <c r="IA191" s="713"/>
      <c r="IB191" s="712"/>
      <c r="IS191" s="713"/>
      <c r="IT191" s="712"/>
      <c r="JK191" s="713"/>
      <c r="JL191" s="712"/>
      <c r="KC191" s="713"/>
      <c r="KD191" s="712"/>
      <c r="KU191" s="713"/>
      <c r="KV191" s="712"/>
      <c r="LM191" s="713"/>
      <c r="LN191" s="712"/>
      <c r="ME191" s="713"/>
      <c r="MF191" s="712"/>
      <c r="MW191" s="713"/>
      <c r="MX191" s="712"/>
      <c r="NO191" s="713"/>
      <c r="NP191" s="712"/>
      <c r="OG191" s="713"/>
      <c r="OH191" s="712"/>
      <c r="OY191" s="713"/>
      <c r="OZ191" s="712"/>
      <c r="PQ191" s="713"/>
      <c r="PR191" s="712"/>
      <c r="QI191" s="713"/>
      <c r="QJ191" s="712"/>
      <c r="RA191" s="713"/>
      <c r="RB191" s="712"/>
      <c r="RS191" s="713"/>
      <c r="RT191" s="712"/>
      <c r="SK191" s="713"/>
      <c r="SL191" s="712"/>
      <c r="TC191" s="713"/>
      <c r="TD191" s="712"/>
      <c r="TU191" s="713"/>
      <c r="TV191" s="712"/>
      <c r="UM191" s="713"/>
      <c r="UN191" s="712"/>
      <c r="VE191" s="713"/>
    </row>
    <row r="192" spans="2:577" x14ac:dyDescent="0.25">
      <c r="B192" s="712"/>
      <c r="S192" s="713"/>
      <c r="T192" s="712"/>
      <c r="AK192" s="713"/>
      <c r="AL192" s="712"/>
      <c r="BC192" s="713"/>
      <c r="BD192" s="712"/>
      <c r="BU192" s="713"/>
      <c r="BV192" s="712"/>
      <c r="CM192" s="713"/>
      <c r="CN192" s="712"/>
      <c r="DE192" s="713"/>
      <c r="DF192" s="712"/>
      <c r="DW192" s="713"/>
      <c r="DX192" s="712"/>
      <c r="EO192" s="713"/>
      <c r="EP192" s="712"/>
      <c r="FG192" s="713"/>
      <c r="FH192" s="712"/>
      <c r="FY192" s="713"/>
      <c r="FZ192" s="712"/>
      <c r="GQ192" s="713"/>
      <c r="GR192" s="712"/>
      <c r="HI192" s="713"/>
      <c r="HJ192" s="712"/>
      <c r="IA192" s="713"/>
      <c r="IB192" s="712"/>
      <c r="IS192" s="713"/>
      <c r="IT192" s="712"/>
      <c r="JK192" s="713"/>
      <c r="JL192" s="712"/>
      <c r="KC192" s="713"/>
      <c r="KD192" s="712"/>
      <c r="KU192" s="713"/>
      <c r="KV192" s="712"/>
      <c r="LM192" s="713"/>
      <c r="LN192" s="712"/>
      <c r="ME192" s="713"/>
      <c r="MF192" s="712"/>
      <c r="MW192" s="713"/>
      <c r="MX192" s="712"/>
      <c r="NO192" s="713"/>
      <c r="NP192" s="712"/>
      <c r="OG192" s="713"/>
      <c r="OH192" s="712"/>
      <c r="OY192" s="713"/>
      <c r="OZ192" s="712"/>
      <c r="PQ192" s="713"/>
      <c r="PR192" s="712"/>
      <c r="QI192" s="713"/>
      <c r="QJ192" s="712"/>
      <c r="RA192" s="713"/>
      <c r="RB192" s="712"/>
      <c r="RS192" s="713"/>
      <c r="RT192" s="712"/>
      <c r="SK192" s="713"/>
      <c r="SL192" s="712"/>
      <c r="TC192" s="713"/>
      <c r="TD192" s="712"/>
      <c r="TU192" s="713"/>
      <c r="TV192" s="712"/>
      <c r="UM192" s="713"/>
      <c r="UN192" s="712"/>
      <c r="VE192" s="713"/>
    </row>
    <row r="193" spans="2:577" x14ac:dyDescent="0.25">
      <c r="B193" s="712"/>
      <c r="S193" s="713"/>
      <c r="T193" s="712"/>
      <c r="AK193" s="713"/>
      <c r="AL193" s="712"/>
      <c r="BC193" s="713"/>
      <c r="BD193" s="712"/>
      <c r="BU193" s="713"/>
      <c r="BV193" s="712"/>
      <c r="CM193" s="713"/>
      <c r="CN193" s="712"/>
      <c r="DE193" s="713"/>
      <c r="DF193" s="712"/>
      <c r="DW193" s="713"/>
      <c r="DX193" s="712"/>
      <c r="EO193" s="713"/>
      <c r="EP193" s="712"/>
      <c r="FG193" s="713"/>
      <c r="FH193" s="712"/>
      <c r="FY193" s="713"/>
      <c r="FZ193" s="712"/>
      <c r="GQ193" s="713"/>
      <c r="GR193" s="712"/>
      <c r="HI193" s="713"/>
      <c r="HJ193" s="712"/>
      <c r="IA193" s="713"/>
      <c r="IB193" s="712"/>
      <c r="IS193" s="713"/>
      <c r="IT193" s="712"/>
      <c r="JK193" s="713"/>
      <c r="JL193" s="712"/>
      <c r="KC193" s="713"/>
      <c r="KD193" s="712"/>
      <c r="KU193" s="713"/>
      <c r="KV193" s="712"/>
      <c r="LM193" s="713"/>
      <c r="LN193" s="712"/>
      <c r="ME193" s="713"/>
      <c r="MF193" s="712"/>
      <c r="MW193" s="713"/>
      <c r="MX193" s="712"/>
      <c r="NO193" s="713"/>
      <c r="NP193" s="712"/>
      <c r="OG193" s="713"/>
      <c r="OH193" s="712"/>
      <c r="OY193" s="713"/>
      <c r="OZ193" s="712"/>
      <c r="PQ193" s="713"/>
      <c r="PR193" s="712"/>
      <c r="QI193" s="713"/>
      <c r="QJ193" s="712"/>
      <c r="RA193" s="713"/>
      <c r="RB193" s="712"/>
      <c r="RS193" s="713"/>
      <c r="RT193" s="712"/>
      <c r="SK193" s="713"/>
      <c r="SL193" s="712"/>
      <c r="TC193" s="713"/>
      <c r="TD193" s="712"/>
      <c r="TU193" s="713"/>
      <c r="TV193" s="712"/>
      <c r="UM193" s="713"/>
      <c r="UN193" s="712"/>
      <c r="VE193" s="713"/>
    </row>
    <row r="194" spans="2:577" x14ac:dyDescent="0.25">
      <c r="B194" s="712"/>
      <c r="P194" s="642"/>
      <c r="S194" s="713"/>
      <c r="T194" s="712"/>
      <c r="AK194" s="713"/>
      <c r="AL194" s="712"/>
      <c r="BC194" s="713"/>
      <c r="BD194" s="712"/>
      <c r="BU194" s="713"/>
      <c r="BV194" s="712"/>
      <c r="CM194" s="713"/>
      <c r="CN194" s="712"/>
      <c r="DE194" s="713"/>
      <c r="DF194" s="712"/>
      <c r="DW194" s="713"/>
      <c r="DX194" s="712"/>
      <c r="EO194" s="713"/>
      <c r="EP194" s="712"/>
      <c r="FG194" s="713"/>
      <c r="FH194" s="712"/>
      <c r="FY194" s="713"/>
      <c r="FZ194" s="712"/>
      <c r="GQ194" s="713"/>
      <c r="GR194" s="712"/>
      <c r="HI194" s="713"/>
      <c r="HJ194" s="712"/>
      <c r="IA194" s="713"/>
      <c r="IB194" s="712"/>
      <c r="IS194" s="713"/>
      <c r="IT194" s="712"/>
      <c r="JK194" s="713"/>
      <c r="JL194" s="712"/>
      <c r="KC194" s="713"/>
      <c r="KD194" s="712"/>
      <c r="KU194" s="713"/>
      <c r="KV194" s="712"/>
      <c r="LM194" s="713"/>
      <c r="LN194" s="712"/>
      <c r="ME194" s="713"/>
      <c r="MF194" s="712"/>
      <c r="MW194" s="713"/>
      <c r="MX194" s="712"/>
      <c r="NO194" s="713"/>
      <c r="NP194" s="712"/>
      <c r="OG194" s="713"/>
      <c r="OH194" s="712"/>
      <c r="OY194" s="713"/>
      <c r="OZ194" s="712"/>
      <c r="PQ194" s="713"/>
      <c r="PR194" s="712"/>
      <c r="QI194" s="713"/>
      <c r="QJ194" s="712"/>
      <c r="RA194" s="713"/>
      <c r="RB194" s="712"/>
      <c r="RS194" s="713"/>
      <c r="RT194" s="712"/>
      <c r="SK194" s="713"/>
      <c r="SL194" s="712"/>
      <c r="TC194" s="713"/>
      <c r="TD194" s="712"/>
      <c r="TU194" s="713"/>
      <c r="TV194" s="712"/>
      <c r="UM194" s="713"/>
      <c r="UN194" s="712"/>
      <c r="VE194" s="713"/>
    </row>
    <row r="195" spans="2:577" ht="15.75" customHeight="1" x14ac:dyDescent="0.25">
      <c r="B195" s="712"/>
      <c r="P195" s="642"/>
      <c r="S195" s="713"/>
      <c r="T195" s="712"/>
      <c r="AK195" s="713"/>
      <c r="AL195" s="712"/>
      <c r="BC195" s="713"/>
      <c r="BD195" s="712"/>
      <c r="BU195" s="713"/>
      <c r="BV195" s="712"/>
      <c r="CM195" s="713"/>
      <c r="CN195" s="712"/>
      <c r="DE195" s="713"/>
      <c r="DF195" s="712"/>
      <c r="DW195" s="713"/>
      <c r="DX195" s="712"/>
      <c r="EO195" s="713"/>
      <c r="EP195" s="712"/>
      <c r="FG195" s="713"/>
      <c r="FH195" s="712"/>
      <c r="FY195" s="713"/>
      <c r="FZ195" s="712"/>
      <c r="GQ195" s="713"/>
      <c r="GR195" s="712"/>
      <c r="HI195" s="713"/>
      <c r="HJ195" s="712"/>
      <c r="IA195" s="713"/>
      <c r="IB195" s="712"/>
      <c r="IS195" s="713"/>
      <c r="IT195" s="712"/>
      <c r="JK195" s="713"/>
      <c r="JL195" s="712"/>
      <c r="KC195" s="713"/>
      <c r="KD195" s="712"/>
      <c r="KU195" s="713"/>
      <c r="KV195" s="712"/>
      <c r="LM195" s="713"/>
      <c r="LN195" s="712"/>
      <c r="ME195" s="713"/>
      <c r="MF195" s="712"/>
      <c r="MW195" s="713"/>
      <c r="MX195" s="712"/>
      <c r="NO195" s="713"/>
      <c r="NP195" s="712"/>
      <c r="OG195" s="713"/>
      <c r="OH195" s="712"/>
      <c r="OY195" s="713"/>
      <c r="OZ195" s="712"/>
      <c r="PQ195" s="713"/>
      <c r="PR195" s="712"/>
      <c r="QI195" s="713"/>
      <c r="QJ195" s="712"/>
      <c r="RA195" s="713"/>
      <c r="RB195" s="712"/>
      <c r="RS195" s="713"/>
      <c r="RT195" s="712"/>
      <c r="SK195" s="713"/>
      <c r="SL195" s="712"/>
      <c r="TC195" s="713"/>
      <c r="TD195" s="712"/>
      <c r="TU195" s="713"/>
      <c r="TV195" s="712"/>
      <c r="UM195" s="713"/>
      <c r="UN195" s="712"/>
      <c r="VE195" s="713"/>
    </row>
    <row r="196" spans="2:577" x14ac:dyDescent="0.25">
      <c r="B196" s="712"/>
      <c r="S196" s="713"/>
      <c r="T196" s="712"/>
      <c r="AK196" s="713"/>
      <c r="AL196" s="712"/>
      <c r="BC196" s="713"/>
      <c r="BD196" s="712"/>
      <c r="BU196" s="713"/>
      <c r="BV196" s="712"/>
      <c r="CM196" s="713"/>
      <c r="CN196" s="712"/>
      <c r="DE196" s="713"/>
      <c r="DF196" s="712"/>
      <c r="DW196" s="713"/>
      <c r="DX196" s="712"/>
      <c r="EO196" s="713"/>
      <c r="EP196" s="712"/>
      <c r="FG196" s="713"/>
      <c r="FH196" s="712"/>
      <c r="FY196" s="713"/>
      <c r="FZ196" s="712"/>
      <c r="GQ196" s="713"/>
      <c r="GR196" s="712"/>
      <c r="HI196" s="713"/>
      <c r="HJ196" s="712"/>
      <c r="IA196" s="713"/>
      <c r="IB196" s="712"/>
      <c r="IS196" s="713"/>
      <c r="IT196" s="712"/>
      <c r="JK196" s="713"/>
      <c r="JL196" s="712"/>
      <c r="KC196" s="713"/>
      <c r="KD196" s="712"/>
      <c r="KU196" s="713"/>
      <c r="KV196" s="712"/>
      <c r="LM196" s="713"/>
      <c r="LN196" s="712"/>
      <c r="ME196" s="713"/>
      <c r="MF196" s="712"/>
      <c r="MW196" s="713"/>
      <c r="MX196" s="712"/>
      <c r="NO196" s="713"/>
      <c r="NP196" s="712"/>
      <c r="OG196" s="713"/>
      <c r="OH196" s="712"/>
      <c r="OY196" s="713"/>
      <c r="OZ196" s="712"/>
      <c r="PQ196" s="713"/>
      <c r="PR196" s="712"/>
      <c r="QI196" s="713"/>
      <c r="QJ196" s="712"/>
      <c r="RA196" s="713"/>
      <c r="RB196" s="712"/>
      <c r="RS196" s="713"/>
      <c r="RT196" s="712"/>
      <c r="SK196" s="713"/>
      <c r="SL196" s="712"/>
      <c r="TC196" s="713"/>
      <c r="TD196" s="712"/>
      <c r="TU196" s="713"/>
      <c r="TV196" s="712"/>
      <c r="UM196" s="713"/>
      <c r="UN196" s="712"/>
      <c r="VE196" s="713"/>
    </row>
    <row r="197" spans="2:577" x14ac:dyDescent="0.25">
      <c r="B197" s="712"/>
      <c r="S197" s="713"/>
      <c r="T197" s="712"/>
      <c r="AK197" s="713"/>
      <c r="AL197" s="712"/>
      <c r="BC197" s="713"/>
      <c r="BD197" s="712"/>
      <c r="BU197" s="713"/>
      <c r="BV197" s="712"/>
      <c r="CM197" s="713"/>
      <c r="CN197" s="712"/>
      <c r="DE197" s="713"/>
      <c r="DF197" s="712"/>
      <c r="DW197" s="713"/>
      <c r="DX197" s="712"/>
      <c r="EO197" s="713"/>
      <c r="EP197" s="712"/>
      <c r="FG197" s="713"/>
      <c r="FH197" s="712"/>
      <c r="FY197" s="713"/>
      <c r="FZ197" s="712"/>
      <c r="GQ197" s="713"/>
      <c r="GR197" s="712"/>
      <c r="HI197" s="713"/>
      <c r="HJ197" s="712"/>
      <c r="IA197" s="713"/>
      <c r="IB197" s="712"/>
      <c r="IS197" s="713"/>
      <c r="IT197" s="712"/>
      <c r="JK197" s="713"/>
      <c r="JL197" s="712"/>
      <c r="KC197" s="713"/>
      <c r="KD197" s="712"/>
      <c r="KU197" s="713"/>
      <c r="KV197" s="712"/>
      <c r="LM197" s="713"/>
      <c r="LN197" s="712"/>
      <c r="ME197" s="713"/>
      <c r="MF197" s="712"/>
      <c r="MW197" s="713"/>
      <c r="MX197" s="712"/>
      <c r="NO197" s="713"/>
      <c r="NP197" s="712"/>
      <c r="OG197" s="713"/>
      <c r="OH197" s="712"/>
      <c r="OY197" s="713"/>
      <c r="OZ197" s="712"/>
      <c r="PQ197" s="713"/>
      <c r="PR197" s="712"/>
      <c r="QI197" s="713"/>
      <c r="QJ197" s="712"/>
      <c r="RA197" s="713"/>
      <c r="RB197" s="712"/>
      <c r="RS197" s="713"/>
      <c r="RT197" s="712"/>
      <c r="SK197" s="713"/>
      <c r="SL197" s="712"/>
      <c r="TC197" s="713"/>
      <c r="TD197" s="712"/>
      <c r="TU197" s="713"/>
      <c r="TV197" s="712"/>
      <c r="UM197" s="713"/>
      <c r="UN197" s="712"/>
      <c r="VE197" s="713"/>
    </row>
    <row r="198" spans="2:577" x14ac:dyDescent="0.25">
      <c r="B198" s="712"/>
      <c r="S198" s="713"/>
      <c r="T198" s="712"/>
      <c r="AK198" s="713"/>
      <c r="AL198" s="712"/>
      <c r="BC198" s="713"/>
      <c r="BD198" s="712"/>
      <c r="BU198" s="713"/>
      <c r="BV198" s="712"/>
      <c r="CM198" s="713"/>
      <c r="CN198" s="712"/>
      <c r="DE198" s="713"/>
      <c r="DF198" s="712"/>
      <c r="DW198" s="713"/>
      <c r="DX198" s="712"/>
      <c r="EO198" s="713"/>
      <c r="EP198" s="712"/>
      <c r="FG198" s="713"/>
      <c r="FH198" s="712"/>
      <c r="FY198" s="713"/>
      <c r="FZ198" s="712"/>
      <c r="GQ198" s="713"/>
      <c r="GR198" s="712"/>
      <c r="HI198" s="713"/>
      <c r="HJ198" s="712"/>
      <c r="IA198" s="713"/>
      <c r="IB198" s="712"/>
      <c r="IS198" s="713"/>
      <c r="IT198" s="712"/>
      <c r="JK198" s="713"/>
      <c r="JL198" s="712"/>
      <c r="KC198" s="713"/>
      <c r="KD198" s="712"/>
      <c r="KU198" s="713"/>
      <c r="KV198" s="712"/>
      <c r="LM198" s="713"/>
      <c r="LN198" s="712"/>
      <c r="ME198" s="713"/>
      <c r="MF198" s="712"/>
      <c r="MW198" s="713"/>
      <c r="MX198" s="712"/>
      <c r="NO198" s="713"/>
      <c r="NP198" s="712"/>
      <c r="OG198" s="713"/>
      <c r="OH198" s="712"/>
      <c r="OY198" s="713"/>
      <c r="OZ198" s="712"/>
      <c r="PQ198" s="713"/>
      <c r="PR198" s="712"/>
      <c r="QI198" s="713"/>
      <c r="QJ198" s="712"/>
      <c r="RA198" s="713"/>
      <c r="RB198" s="712"/>
      <c r="RS198" s="713"/>
      <c r="RT198" s="712"/>
      <c r="SK198" s="713"/>
      <c r="SL198" s="712"/>
      <c r="TC198" s="713"/>
      <c r="TD198" s="712"/>
      <c r="TU198" s="713"/>
      <c r="TV198" s="712"/>
      <c r="UM198" s="713"/>
      <c r="UN198" s="712"/>
      <c r="VE198" s="713"/>
    </row>
    <row r="199" spans="2:577" x14ac:dyDescent="0.25">
      <c r="B199" s="712"/>
      <c r="S199" s="713"/>
      <c r="T199" s="712"/>
      <c r="AK199" s="713"/>
      <c r="AL199" s="712"/>
      <c r="BC199" s="713"/>
      <c r="BD199" s="712"/>
      <c r="BU199" s="713"/>
      <c r="BV199" s="712"/>
      <c r="CM199" s="713"/>
      <c r="CN199" s="712"/>
      <c r="DE199" s="713"/>
      <c r="DF199" s="712"/>
      <c r="DW199" s="713"/>
      <c r="DX199" s="712"/>
      <c r="EO199" s="713"/>
      <c r="EP199" s="712"/>
      <c r="FG199" s="713"/>
      <c r="FH199" s="712"/>
      <c r="FY199" s="713"/>
      <c r="FZ199" s="712"/>
      <c r="GQ199" s="713"/>
      <c r="GR199" s="712"/>
      <c r="HI199" s="713"/>
      <c r="HJ199" s="712"/>
      <c r="IA199" s="713"/>
      <c r="IB199" s="712"/>
      <c r="IS199" s="713"/>
      <c r="IT199" s="712"/>
      <c r="JK199" s="713"/>
      <c r="JL199" s="712"/>
      <c r="KC199" s="713"/>
      <c r="KD199" s="712"/>
      <c r="KU199" s="713"/>
      <c r="KV199" s="712"/>
      <c r="LM199" s="713"/>
      <c r="LN199" s="712"/>
      <c r="ME199" s="713"/>
      <c r="MF199" s="712"/>
      <c r="MW199" s="713"/>
      <c r="MX199" s="712"/>
      <c r="NO199" s="713"/>
      <c r="NP199" s="712"/>
      <c r="OG199" s="713"/>
      <c r="OH199" s="712"/>
      <c r="OY199" s="713"/>
      <c r="OZ199" s="712"/>
      <c r="PQ199" s="713"/>
      <c r="PR199" s="712"/>
      <c r="QI199" s="713"/>
      <c r="QJ199" s="712"/>
      <c r="RA199" s="713"/>
      <c r="RB199" s="712"/>
      <c r="RS199" s="713"/>
      <c r="RT199" s="712"/>
      <c r="SK199" s="713"/>
      <c r="SL199" s="712"/>
      <c r="TC199" s="713"/>
      <c r="TD199" s="712"/>
      <c r="TU199" s="713"/>
      <c r="TV199" s="712"/>
      <c r="UM199" s="713"/>
      <c r="UN199" s="712"/>
      <c r="VE199" s="713"/>
    </row>
    <row r="200" spans="2:577" x14ac:dyDescent="0.25">
      <c r="B200" s="712"/>
      <c r="S200" s="713"/>
      <c r="T200" s="712"/>
      <c r="AK200" s="713"/>
      <c r="AL200" s="712"/>
      <c r="BC200" s="713"/>
      <c r="BD200" s="712"/>
      <c r="BU200" s="713"/>
      <c r="BV200" s="712"/>
      <c r="CM200" s="713"/>
      <c r="CN200" s="712"/>
      <c r="DE200" s="713"/>
      <c r="DF200" s="712"/>
      <c r="DW200" s="713"/>
      <c r="DX200" s="712"/>
      <c r="EO200" s="713"/>
      <c r="EP200" s="712"/>
      <c r="FG200" s="713"/>
      <c r="FH200" s="712"/>
      <c r="FY200" s="713"/>
      <c r="FZ200" s="712"/>
      <c r="GQ200" s="713"/>
      <c r="GR200" s="712"/>
      <c r="HI200" s="713"/>
      <c r="HJ200" s="712"/>
      <c r="IA200" s="713"/>
      <c r="IB200" s="712"/>
      <c r="IS200" s="713"/>
      <c r="IT200" s="712"/>
      <c r="JK200" s="713"/>
      <c r="JL200" s="712"/>
      <c r="KC200" s="713"/>
      <c r="KD200" s="712"/>
      <c r="KU200" s="713"/>
      <c r="KV200" s="712"/>
      <c r="LM200" s="713"/>
      <c r="LN200" s="712"/>
      <c r="ME200" s="713"/>
      <c r="MF200" s="712"/>
      <c r="MW200" s="713"/>
      <c r="MX200" s="712"/>
      <c r="NO200" s="713"/>
      <c r="NP200" s="712"/>
      <c r="OG200" s="713"/>
      <c r="OH200" s="712"/>
      <c r="OY200" s="713"/>
      <c r="OZ200" s="712"/>
      <c r="PQ200" s="713"/>
      <c r="PR200" s="712"/>
      <c r="QI200" s="713"/>
      <c r="QJ200" s="712"/>
      <c r="RA200" s="713"/>
      <c r="RB200" s="712"/>
      <c r="RS200" s="713"/>
      <c r="RT200" s="712"/>
      <c r="SK200" s="713"/>
      <c r="SL200" s="712"/>
      <c r="TC200" s="713"/>
      <c r="TD200" s="712"/>
      <c r="TU200" s="713"/>
      <c r="TV200" s="712"/>
      <c r="UM200" s="713"/>
      <c r="UN200" s="712"/>
      <c r="VE200" s="713"/>
    </row>
    <row r="201" spans="2:577" x14ac:dyDescent="0.25">
      <c r="B201" s="712"/>
      <c r="S201" s="713"/>
      <c r="T201" s="712"/>
      <c r="AK201" s="713"/>
      <c r="AL201" s="712"/>
      <c r="BC201" s="713"/>
      <c r="BD201" s="712"/>
      <c r="BU201" s="713"/>
      <c r="BV201" s="712"/>
      <c r="CM201" s="713"/>
      <c r="CN201" s="712"/>
      <c r="DE201" s="713"/>
      <c r="DF201" s="712"/>
      <c r="DW201" s="713"/>
      <c r="DX201" s="712"/>
      <c r="EO201" s="713"/>
      <c r="EP201" s="712"/>
      <c r="FG201" s="713"/>
      <c r="FH201" s="712"/>
      <c r="FY201" s="713"/>
      <c r="FZ201" s="712"/>
      <c r="GQ201" s="713"/>
      <c r="GR201" s="712"/>
      <c r="HI201" s="713"/>
      <c r="HJ201" s="712"/>
      <c r="IA201" s="713"/>
      <c r="IB201" s="712"/>
      <c r="IS201" s="713"/>
      <c r="IT201" s="712"/>
      <c r="JK201" s="713"/>
      <c r="JL201" s="712"/>
      <c r="KC201" s="713"/>
      <c r="KD201" s="712"/>
      <c r="KU201" s="713"/>
      <c r="KV201" s="712"/>
      <c r="LM201" s="713"/>
      <c r="LN201" s="712"/>
      <c r="ME201" s="713"/>
      <c r="MF201" s="712"/>
      <c r="MW201" s="713"/>
      <c r="MX201" s="712"/>
      <c r="NO201" s="713"/>
      <c r="NP201" s="712"/>
      <c r="OG201" s="713"/>
      <c r="OH201" s="712"/>
      <c r="OY201" s="713"/>
      <c r="OZ201" s="712"/>
      <c r="PQ201" s="713"/>
      <c r="PR201" s="712"/>
      <c r="QI201" s="713"/>
      <c r="QJ201" s="712"/>
      <c r="RA201" s="713"/>
      <c r="RB201" s="712"/>
      <c r="RS201" s="713"/>
      <c r="RT201" s="712"/>
      <c r="SK201" s="713"/>
      <c r="SL201" s="712"/>
      <c r="TC201" s="713"/>
      <c r="TD201" s="712"/>
      <c r="TU201" s="713"/>
      <c r="TV201" s="712"/>
      <c r="UM201" s="713"/>
      <c r="UN201" s="712"/>
      <c r="VE201" s="713"/>
    </row>
    <row r="202" spans="2:577" x14ac:dyDescent="0.25">
      <c r="B202" s="712"/>
      <c r="S202" s="713"/>
      <c r="T202" s="712"/>
      <c r="AK202" s="713"/>
      <c r="AL202" s="712"/>
      <c r="BC202" s="713"/>
      <c r="BD202" s="712"/>
      <c r="BU202" s="713"/>
      <c r="BV202" s="712"/>
      <c r="CM202" s="713"/>
      <c r="CN202" s="712"/>
      <c r="DE202" s="713"/>
      <c r="DF202" s="712"/>
      <c r="DW202" s="713"/>
      <c r="DX202" s="712"/>
      <c r="EO202" s="713"/>
      <c r="EP202" s="712"/>
      <c r="FG202" s="713"/>
      <c r="FH202" s="712"/>
      <c r="FY202" s="713"/>
      <c r="FZ202" s="712"/>
      <c r="GQ202" s="713"/>
      <c r="GR202" s="712"/>
      <c r="HI202" s="713"/>
      <c r="HJ202" s="712"/>
      <c r="IA202" s="713"/>
      <c r="IB202" s="712"/>
      <c r="IS202" s="713"/>
      <c r="IT202" s="712"/>
      <c r="JK202" s="713"/>
      <c r="JL202" s="712"/>
      <c r="KC202" s="713"/>
      <c r="KD202" s="712"/>
      <c r="KU202" s="713"/>
      <c r="KV202" s="712"/>
      <c r="LM202" s="713"/>
      <c r="LN202" s="712"/>
      <c r="ME202" s="713"/>
      <c r="MF202" s="712"/>
      <c r="MW202" s="713"/>
      <c r="MX202" s="712"/>
      <c r="NO202" s="713"/>
      <c r="NP202" s="712"/>
      <c r="OG202" s="713"/>
      <c r="OH202" s="712"/>
      <c r="OY202" s="713"/>
      <c r="OZ202" s="712"/>
      <c r="PQ202" s="713"/>
      <c r="PR202" s="712"/>
      <c r="QI202" s="713"/>
      <c r="QJ202" s="712"/>
      <c r="RA202" s="713"/>
      <c r="RB202" s="712"/>
      <c r="RS202" s="713"/>
      <c r="RT202" s="712"/>
      <c r="SK202" s="713"/>
      <c r="SL202" s="712"/>
      <c r="TC202" s="713"/>
      <c r="TD202" s="712"/>
      <c r="TU202" s="713"/>
      <c r="TV202" s="712"/>
      <c r="UM202" s="713"/>
      <c r="UN202" s="712"/>
      <c r="VE202" s="713"/>
    </row>
    <row r="203" spans="2:577" x14ac:dyDescent="0.25">
      <c r="B203" s="712"/>
      <c r="S203" s="713"/>
      <c r="T203" s="712"/>
      <c r="AK203" s="713"/>
      <c r="AL203" s="712"/>
      <c r="BC203" s="713"/>
      <c r="BD203" s="712"/>
      <c r="BU203" s="713"/>
      <c r="BV203" s="712"/>
      <c r="CM203" s="713"/>
      <c r="CN203" s="712"/>
      <c r="DE203" s="713"/>
      <c r="DF203" s="712"/>
      <c r="DW203" s="713"/>
      <c r="DX203" s="712"/>
      <c r="EO203" s="713"/>
      <c r="EP203" s="712"/>
      <c r="FG203" s="713"/>
      <c r="FH203" s="712"/>
      <c r="FY203" s="713"/>
      <c r="FZ203" s="712"/>
      <c r="GQ203" s="713"/>
      <c r="GR203" s="712"/>
      <c r="HI203" s="713"/>
      <c r="HJ203" s="712"/>
      <c r="IA203" s="713"/>
      <c r="IB203" s="712"/>
      <c r="IS203" s="713"/>
      <c r="IT203" s="712"/>
      <c r="JK203" s="713"/>
      <c r="JL203" s="712"/>
      <c r="KC203" s="713"/>
      <c r="KD203" s="712"/>
      <c r="KU203" s="713"/>
      <c r="KV203" s="712"/>
      <c r="LM203" s="713"/>
      <c r="LN203" s="712"/>
      <c r="ME203" s="713"/>
      <c r="MF203" s="712"/>
      <c r="MW203" s="713"/>
      <c r="MX203" s="712"/>
      <c r="NO203" s="713"/>
      <c r="NP203" s="712"/>
      <c r="OG203" s="713"/>
      <c r="OH203" s="712"/>
      <c r="OY203" s="713"/>
      <c r="OZ203" s="712"/>
      <c r="PQ203" s="713"/>
      <c r="PR203" s="712"/>
      <c r="QI203" s="713"/>
      <c r="QJ203" s="712"/>
      <c r="RA203" s="713"/>
      <c r="RB203" s="712"/>
      <c r="RS203" s="713"/>
      <c r="RT203" s="712"/>
      <c r="SK203" s="713"/>
      <c r="SL203" s="712"/>
      <c r="TC203" s="713"/>
      <c r="TD203" s="712"/>
      <c r="TU203" s="713"/>
      <c r="TV203" s="712"/>
      <c r="UM203" s="713"/>
      <c r="UN203" s="712"/>
      <c r="VE203" s="713"/>
    </row>
    <row r="204" spans="2:577" x14ac:dyDescent="0.25">
      <c r="B204" s="712"/>
      <c r="S204" s="713"/>
      <c r="T204" s="712"/>
      <c r="AK204" s="713"/>
      <c r="AL204" s="712"/>
      <c r="BC204" s="713"/>
      <c r="BD204" s="712"/>
      <c r="BU204" s="713"/>
      <c r="BV204" s="712"/>
      <c r="CM204" s="713"/>
      <c r="CN204" s="712"/>
      <c r="DE204" s="713"/>
      <c r="DF204" s="712"/>
      <c r="DW204" s="713"/>
      <c r="DX204" s="712"/>
      <c r="EO204" s="713"/>
      <c r="EP204" s="712"/>
      <c r="FG204" s="713"/>
      <c r="FH204" s="712"/>
      <c r="FY204" s="713"/>
      <c r="FZ204" s="712"/>
      <c r="GQ204" s="713"/>
      <c r="GR204" s="712"/>
      <c r="HI204" s="713"/>
      <c r="HJ204" s="712"/>
      <c r="IA204" s="713"/>
      <c r="IB204" s="712"/>
      <c r="IS204" s="713"/>
      <c r="IT204" s="712"/>
      <c r="JK204" s="713"/>
      <c r="JL204" s="712"/>
      <c r="KC204" s="713"/>
      <c r="KD204" s="712"/>
      <c r="KU204" s="713"/>
      <c r="KV204" s="712"/>
      <c r="LM204" s="713"/>
      <c r="LN204" s="712"/>
      <c r="ME204" s="713"/>
      <c r="MF204" s="712"/>
      <c r="MW204" s="713"/>
      <c r="MX204" s="712"/>
      <c r="NO204" s="713"/>
      <c r="NP204" s="712"/>
      <c r="OG204" s="713"/>
      <c r="OH204" s="712"/>
      <c r="OY204" s="713"/>
      <c r="OZ204" s="712"/>
      <c r="PQ204" s="713"/>
      <c r="PR204" s="712"/>
      <c r="QI204" s="713"/>
      <c r="QJ204" s="712"/>
      <c r="RA204" s="713"/>
      <c r="RB204" s="712"/>
      <c r="RS204" s="713"/>
      <c r="RT204" s="712"/>
      <c r="SK204" s="713"/>
      <c r="SL204" s="712"/>
      <c r="TC204" s="713"/>
      <c r="TD204" s="712"/>
      <c r="TU204" s="713"/>
      <c r="TV204" s="712"/>
      <c r="UM204" s="713"/>
      <c r="UN204" s="712"/>
      <c r="VE204" s="713"/>
    </row>
    <row r="205" spans="2:577" x14ac:dyDescent="0.25">
      <c r="B205" s="712"/>
      <c r="S205" s="713"/>
      <c r="T205" s="712"/>
      <c r="AK205" s="713"/>
      <c r="AL205" s="712"/>
      <c r="BC205" s="713"/>
      <c r="BD205" s="712"/>
      <c r="BU205" s="713"/>
      <c r="BV205" s="712"/>
      <c r="CM205" s="713"/>
      <c r="CN205" s="712"/>
      <c r="DE205" s="713"/>
      <c r="DF205" s="712"/>
      <c r="DW205" s="713"/>
      <c r="DX205" s="712"/>
      <c r="EO205" s="713"/>
      <c r="EP205" s="712"/>
      <c r="FG205" s="713"/>
      <c r="FH205" s="712"/>
      <c r="FY205" s="713"/>
      <c r="FZ205" s="712"/>
      <c r="GQ205" s="713"/>
      <c r="GR205" s="712"/>
      <c r="HI205" s="713"/>
      <c r="HJ205" s="712"/>
      <c r="IA205" s="713"/>
      <c r="IB205" s="712"/>
      <c r="IS205" s="713"/>
      <c r="IT205" s="712"/>
      <c r="JK205" s="713"/>
      <c r="JL205" s="712"/>
      <c r="KC205" s="713"/>
      <c r="KD205" s="712"/>
      <c r="KU205" s="713"/>
      <c r="KV205" s="712"/>
      <c r="LM205" s="713"/>
      <c r="LN205" s="712"/>
      <c r="ME205" s="713"/>
      <c r="MF205" s="712"/>
      <c r="MW205" s="713"/>
      <c r="MX205" s="712"/>
      <c r="NO205" s="713"/>
      <c r="NP205" s="712"/>
      <c r="OG205" s="713"/>
      <c r="OH205" s="712"/>
      <c r="OY205" s="713"/>
      <c r="OZ205" s="712"/>
      <c r="PQ205" s="713"/>
      <c r="PR205" s="712"/>
      <c r="QI205" s="713"/>
      <c r="QJ205" s="712"/>
      <c r="RA205" s="713"/>
      <c r="RB205" s="712"/>
      <c r="RS205" s="713"/>
      <c r="RT205" s="712"/>
      <c r="SK205" s="713"/>
      <c r="SL205" s="712"/>
      <c r="TC205" s="713"/>
      <c r="TD205" s="712"/>
      <c r="TU205" s="713"/>
      <c r="TV205" s="712"/>
      <c r="UM205" s="713"/>
      <c r="UN205" s="712"/>
      <c r="VE205" s="713"/>
    </row>
    <row r="206" spans="2:577" x14ac:dyDescent="0.25">
      <c r="B206" s="712"/>
      <c r="S206" s="713"/>
      <c r="T206" s="712"/>
      <c r="AK206" s="713"/>
      <c r="AL206" s="712"/>
      <c r="BC206" s="713"/>
      <c r="BD206" s="712"/>
      <c r="BU206" s="713"/>
      <c r="BV206" s="712"/>
      <c r="CM206" s="713"/>
      <c r="CN206" s="712"/>
      <c r="DE206" s="713"/>
      <c r="DF206" s="712"/>
      <c r="DW206" s="713"/>
      <c r="DX206" s="712"/>
      <c r="EO206" s="713"/>
      <c r="EP206" s="712"/>
      <c r="FG206" s="713"/>
      <c r="FH206" s="712"/>
      <c r="FY206" s="713"/>
      <c r="FZ206" s="712"/>
      <c r="GQ206" s="713"/>
      <c r="GR206" s="712"/>
      <c r="HI206" s="713"/>
      <c r="HJ206" s="712"/>
      <c r="IA206" s="713"/>
      <c r="IB206" s="712"/>
      <c r="IS206" s="713"/>
      <c r="IT206" s="712"/>
      <c r="JK206" s="713"/>
      <c r="JL206" s="712"/>
      <c r="KC206" s="713"/>
      <c r="KD206" s="712"/>
      <c r="KU206" s="713"/>
      <c r="KV206" s="712"/>
      <c r="LM206" s="713"/>
      <c r="LN206" s="712"/>
      <c r="ME206" s="713"/>
      <c r="MF206" s="712"/>
      <c r="MW206" s="713"/>
      <c r="MX206" s="712"/>
      <c r="NO206" s="713"/>
      <c r="NP206" s="712"/>
      <c r="OG206" s="713"/>
      <c r="OH206" s="712"/>
      <c r="OY206" s="713"/>
      <c r="OZ206" s="712"/>
      <c r="PQ206" s="713"/>
      <c r="PR206" s="712"/>
      <c r="QI206" s="713"/>
      <c r="QJ206" s="712"/>
      <c r="RA206" s="713"/>
      <c r="RB206" s="712"/>
      <c r="RS206" s="713"/>
      <c r="RT206" s="712"/>
      <c r="SK206" s="713"/>
      <c r="SL206" s="712"/>
      <c r="TC206" s="713"/>
      <c r="TD206" s="712"/>
      <c r="TU206" s="713"/>
      <c r="TV206" s="712"/>
      <c r="UM206" s="713"/>
      <c r="UN206" s="712"/>
      <c r="VE206" s="713"/>
    </row>
    <row r="207" spans="2:577" x14ac:dyDescent="0.25">
      <c r="B207" s="712"/>
      <c r="S207" s="713"/>
      <c r="T207" s="712"/>
      <c r="AK207" s="713"/>
      <c r="AL207" s="712"/>
      <c r="BC207" s="713"/>
      <c r="BD207" s="712"/>
      <c r="BU207" s="713"/>
      <c r="BV207" s="712"/>
      <c r="CM207" s="713"/>
      <c r="CN207" s="712"/>
      <c r="DE207" s="713"/>
      <c r="DF207" s="712"/>
      <c r="DW207" s="713"/>
      <c r="DX207" s="712"/>
      <c r="EO207" s="713"/>
      <c r="EP207" s="712"/>
      <c r="FG207" s="713"/>
      <c r="FH207" s="712"/>
      <c r="FY207" s="713"/>
      <c r="FZ207" s="712"/>
      <c r="GQ207" s="713"/>
      <c r="GR207" s="712"/>
      <c r="HI207" s="713"/>
      <c r="HJ207" s="712"/>
      <c r="IA207" s="713"/>
      <c r="IB207" s="712"/>
      <c r="IS207" s="713"/>
      <c r="IT207" s="712"/>
      <c r="JK207" s="713"/>
      <c r="JL207" s="712"/>
      <c r="KC207" s="713"/>
      <c r="KD207" s="712"/>
      <c r="KU207" s="713"/>
      <c r="KV207" s="712"/>
      <c r="LM207" s="713"/>
      <c r="LN207" s="712"/>
      <c r="ME207" s="713"/>
      <c r="MF207" s="712"/>
      <c r="MW207" s="713"/>
      <c r="MX207" s="712"/>
      <c r="NO207" s="713"/>
      <c r="NP207" s="712"/>
      <c r="OG207" s="713"/>
      <c r="OH207" s="712"/>
      <c r="OY207" s="713"/>
      <c r="OZ207" s="712"/>
      <c r="PQ207" s="713"/>
      <c r="PR207" s="712"/>
      <c r="QI207" s="713"/>
      <c r="QJ207" s="712"/>
      <c r="RA207" s="713"/>
      <c r="RB207" s="712"/>
      <c r="RS207" s="713"/>
      <c r="RT207" s="712"/>
      <c r="SK207" s="713"/>
      <c r="SL207" s="712"/>
      <c r="TC207" s="713"/>
      <c r="TD207" s="712"/>
      <c r="TU207" s="713"/>
      <c r="TV207" s="712"/>
      <c r="UM207" s="713"/>
      <c r="UN207" s="712"/>
      <c r="VE207" s="713"/>
    </row>
    <row r="208" spans="2:577" x14ac:dyDescent="0.25">
      <c r="B208" s="712"/>
      <c r="S208" s="713"/>
      <c r="T208" s="712"/>
      <c r="AK208" s="713"/>
      <c r="AL208" s="712"/>
      <c r="BC208" s="713"/>
      <c r="BD208" s="712"/>
      <c r="BU208" s="713"/>
      <c r="BV208" s="712"/>
      <c r="CM208" s="713"/>
      <c r="CN208" s="712"/>
      <c r="DE208" s="713"/>
      <c r="DF208" s="712"/>
      <c r="DW208" s="713"/>
      <c r="DX208" s="712"/>
      <c r="EO208" s="713"/>
      <c r="EP208" s="712"/>
      <c r="FG208" s="713"/>
      <c r="FH208" s="712"/>
      <c r="FY208" s="713"/>
      <c r="FZ208" s="712"/>
      <c r="GQ208" s="713"/>
      <c r="GR208" s="712"/>
      <c r="HI208" s="713"/>
      <c r="HJ208" s="712"/>
      <c r="IA208" s="713"/>
      <c r="IB208" s="712"/>
      <c r="IS208" s="713"/>
      <c r="IT208" s="712"/>
      <c r="JK208" s="713"/>
      <c r="JL208" s="712"/>
      <c r="KC208" s="713"/>
      <c r="KD208" s="712"/>
      <c r="KU208" s="713"/>
      <c r="KV208" s="712"/>
      <c r="LM208" s="713"/>
      <c r="LN208" s="712"/>
      <c r="ME208" s="713"/>
      <c r="MF208" s="712"/>
      <c r="MW208" s="713"/>
      <c r="MX208" s="712"/>
      <c r="NO208" s="713"/>
      <c r="NP208" s="712"/>
      <c r="OG208" s="713"/>
      <c r="OH208" s="712"/>
      <c r="OY208" s="713"/>
      <c r="OZ208" s="712"/>
      <c r="PQ208" s="713"/>
      <c r="PR208" s="712"/>
      <c r="QI208" s="713"/>
      <c r="QJ208" s="712"/>
      <c r="RA208" s="713"/>
      <c r="RB208" s="712"/>
      <c r="RS208" s="713"/>
      <c r="RT208" s="712"/>
      <c r="SK208" s="713"/>
      <c r="SL208" s="712"/>
      <c r="TC208" s="713"/>
      <c r="TD208" s="712"/>
      <c r="TU208" s="713"/>
      <c r="TV208" s="712"/>
      <c r="UM208" s="713"/>
      <c r="UN208" s="712"/>
      <c r="UY208" s="56"/>
      <c r="VE208" s="713"/>
    </row>
    <row r="209" spans="2:577" x14ac:dyDescent="0.25">
      <c r="B209" s="712"/>
      <c r="S209" s="713"/>
      <c r="T209" s="712"/>
      <c r="AK209" s="713"/>
      <c r="AL209" s="712"/>
      <c r="BC209" s="713"/>
      <c r="BD209" s="712"/>
      <c r="BU209" s="713"/>
      <c r="BV209" s="712"/>
      <c r="CM209" s="713"/>
      <c r="CN209" s="712"/>
      <c r="DE209" s="713"/>
      <c r="DF209" s="712"/>
      <c r="DW209" s="713"/>
      <c r="DX209" s="712"/>
      <c r="EO209" s="713"/>
      <c r="EP209" s="712"/>
      <c r="FG209" s="713"/>
      <c r="FH209" s="712"/>
      <c r="FY209" s="713"/>
      <c r="FZ209" s="712"/>
      <c r="GQ209" s="713"/>
      <c r="GR209" s="712"/>
      <c r="HI209" s="713"/>
      <c r="HJ209" s="712"/>
      <c r="IA209" s="713"/>
      <c r="IB209" s="712"/>
      <c r="IS209" s="713"/>
      <c r="IT209" s="712"/>
      <c r="JK209" s="713"/>
      <c r="JL209" s="712"/>
      <c r="KC209" s="713"/>
      <c r="KD209" s="712"/>
      <c r="KU209" s="713"/>
      <c r="KV209" s="712"/>
      <c r="LM209" s="713"/>
      <c r="LN209" s="712"/>
      <c r="ME209" s="713"/>
      <c r="MF209" s="712"/>
      <c r="MW209" s="713"/>
      <c r="MX209" s="712"/>
      <c r="NO209" s="713"/>
      <c r="NP209" s="712"/>
      <c r="OG209" s="713"/>
      <c r="OH209" s="712"/>
      <c r="OY209" s="713"/>
      <c r="OZ209" s="712"/>
      <c r="PQ209" s="713"/>
      <c r="PR209" s="712"/>
      <c r="QI209" s="713"/>
      <c r="QJ209" s="712"/>
      <c r="RA209" s="713"/>
      <c r="RB209" s="712"/>
      <c r="RS209" s="713"/>
      <c r="RT209" s="712"/>
      <c r="SK209" s="713"/>
      <c r="SL209" s="712"/>
      <c r="TC209" s="713"/>
      <c r="TD209" s="712"/>
      <c r="TU209" s="713"/>
      <c r="TV209" s="712"/>
      <c r="UM209" s="713"/>
      <c r="UN209" s="712"/>
      <c r="UY209" s="56"/>
      <c r="VE209" s="713"/>
    </row>
    <row r="210" spans="2:577" x14ac:dyDescent="0.25">
      <c r="B210" s="712"/>
      <c r="S210" s="713"/>
      <c r="T210" s="712"/>
      <c r="AK210" s="713"/>
      <c r="AL210" s="712"/>
      <c r="BC210" s="713"/>
      <c r="BD210" s="712"/>
      <c r="BU210" s="713"/>
      <c r="BV210" s="712"/>
      <c r="CM210" s="713"/>
      <c r="CN210" s="712"/>
      <c r="DE210" s="713"/>
      <c r="DF210" s="712"/>
      <c r="DW210" s="713"/>
      <c r="DX210" s="712"/>
      <c r="EO210" s="713"/>
      <c r="EP210" s="712"/>
      <c r="FG210" s="713"/>
      <c r="FH210" s="712"/>
      <c r="FY210" s="713"/>
      <c r="FZ210" s="712"/>
      <c r="GQ210" s="713"/>
      <c r="GR210" s="712"/>
      <c r="HI210" s="713"/>
      <c r="HJ210" s="712"/>
      <c r="IA210" s="713"/>
      <c r="IB210" s="712"/>
      <c r="IS210" s="713"/>
      <c r="IT210" s="712"/>
      <c r="JK210" s="713"/>
      <c r="JL210" s="712"/>
      <c r="KC210" s="713"/>
      <c r="KD210" s="712"/>
      <c r="KU210" s="713"/>
      <c r="KV210" s="712"/>
      <c r="LM210" s="713"/>
      <c r="LN210" s="712"/>
      <c r="ME210" s="713"/>
      <c r="MF210" s="712"/>
      <c r="MW210" s="713"/>
      <c r="MX210" s="712"/>
      <c r="NO210" s="713"/>
      <c r="NP210" s="712"/>
      <c r="OG210" s="713"/>
      <c r="OH210" s="712"/>
      <c r="OY210" s="713"/>
      <c r="OZ210" s="712"/>
      <c r="PQ210" s="713"/>
      <c r="PR210" s="712"/>
      <c r="QI210" s="713"/>
      <c r="QJ210" s="712"/>
      <c r="RA210" s="713"/>
      <c r="RB210" s="712"/>
      <c r="RS210" s="713"/>
      <c r="RT210" s="712"/>
      <c r="SK210" s="713"/>
      <c r="SL210" s="712"/>
      <c r="TC210" s="713"/>
      <c r="TD210" s="712"/>
      <c r="TU210" s="713"/>
      <c r="TV210" s="712"/>
      <c r="UM210" s="713"/>
      <c r="UN210" s="712"/>
      <c r="VE210" s="713"/>
    </row>
    <row r="211" spans="2:577" x14ac:dyDescent="0.25">
      <c r="B211" s="712"/>
      <c r="S211" s="713"/>
      <c r="T211" s="712"/>
      <c r="AK211" s="713"/>
      <c r="AL211" s="712"/>
      <c r="BC211" s="713"/>
      <c r="BD211" s="712"/>
      <c r="BU211" s="713"/>
      <c r="BV211" s="712"/>
      <c r="CM211" s="713"/>
      <c r="CN211" s="712"/>
      <c r="DE211" s="713"/>
      <c r="DF211" s="712"/>
      <c r="DW211" s="713"/>
      <c r="DX211" s="712"/>
      <c r="EO211" s="713"/>
      <c r="EP211" s="712"/>
      <c r="FG211" s="713"/>
      <c r="FH211" s="712"/>
      <c r="FY211" s="713"/>
      <c r="FZ211" s="712"/>
      <c r="GQ211" s="713"/>
      <c r="GR211" s="712"/>
      <c r="HI211" s="713"/>
      <c r="HJ211" s="712"/>
      <c r="IA211" s="713"/>
      <c r="IB211" s="712"/>
      <c r="IS211" s="713"/>
      <c r="IT211" s="712"/>
      <c r="JK211" s="713"/>
      <c r="JL211" s="712"/>
      <c r="KC211" s="713"/>
      <c r="KD211" s="712"/>
      <c r="KU211" s="713"/>
      <c r="KV211" s="712"/>
      <c r="LM211" s="713"/>
      <c r="LN211" s="712"/>
      <c r="ME211" s="713"/>
      <c r="MF211" s="712"/>
      <c r="MW211" s="713"/>
      <c r="MX211" s="712"/>
      <c r="NO211" s="713"/>
      <c r="NP211" s="712"/>
      <c r="OE211" s="56"/>
      <c r="OG211" s="713"/>
      <c r="OH211" s="712"/>
      <c r="OY211" s="713"/>
      <c r="OZ211" s="712"/>
      <c r="PQ211" s="713"/>
      <c r="PR211" s="712"/>
      <c r="QI211" s="713"/>
      <c r="QJ211" s="712"/>
      <c r="RA211" s="713"/>
      <c r="RB211" s="712"/>
      <c r="RS211" s="713"/>
      <c r="RT211" s="712"/>
      <c r="SK211" s="713"/>
      <c r="SL211" s="712"/>
      <c r="TC211" s="713"/>
      <c r="TD211" s="712"/>
      <c r="TU211" s="713"/>
      <c r="TV211" s="712"/>
      <c r="UM211" s="713"/>
      <c r="UN211" s="712"/>
      <c r="VE211" s="713"/>
    </row>
    <row r="212" spans="2:577" ht="15" customHeight="1" x14ac:dyDescent="0.25">
      <c r="B212" s="2312" t="s">
        <v>1226</v>
      </c>
      <c r="C212" s="2313"/>
      <c r="D212" s="2313"/>
      <c r="E212" s="2313"/>
      <c r="F212" s="2313"/>
      <c r="S212" s="713"/>
      <c r="T212" s="712"/>
      <c r="AK212" s="713"/>
      <c r="AL212" s="712"/>
      <c r="BC212" s="713"/>
      <c r="BD212" s="2312" t="s">
        <v>1226</v>
      </c>
      <c r="BE212" s="2314"/>
      <c r="BF212" s="2314"/>
      <c r="BG212" s="2314"/>
      <c r="BH212" s="2314"/>
      <c r="BU212" s="713"/>
      <c r="BV212" s="2312" t="s">
        <v>1226</v>
      </c>
      <c r="BW212" s="2313"/>
      <c r="BX212" s="2313"/>
      <c r="BY212" s="2313"/>
      <c r="BZ212" s="2313"/>
      <c r="CM212" s="713"/>
      <c r="CN212" s="2312" t="s">
        <v>1226</v>
      </c>
      <c r="CO212" s="2313"/>
      <c r="CP212" s="2313"/>
      <c r="CQ212" s="2313"/>
      <c r="CR212" s="2313"/>
      <c r="DE212" s="713"/>
      <c r="DF212" s="712"/>
      <c r="DW212" s="713"/>
      <c r="DX212" s="712"/>
      <c r="EO212" s="713"/>
      <c r="EP212" s="2312" t="s">
        <v>1226</v>
      </c>
      <c r="EQ212" s="2314"/>
      <c r="ER212" s="2314"/>
      <c r="ES212" s="2314"/>
      <c r="ET212" s="2314"/>
      <c r="FG212" s="713"/>
      <c r="FH212" s="712"/>
      <c r="FY212" s="713"/>
      <c r="FZ212" s="712"/>
      <c r="GQ212" s="713"/>
      <c r="GR212" s="712"/>
      <c r="HI212" s="713"/>
      <c r="HJ212" s="712"/>
      <c r="IA212" s="713"/>
      <c r="IB212" s="712"/>
      <c r="IS212" s="713"/>
      <c r="IT212" s="712"/>
      <c r="JK212" s="713"/>
      <c r="JL212" s="712"/>
      <c r="KC212" s="713"/>
      <c r="KD212" s="712"/>
      <c r="KU212" s="713"/>
      <c r="KV212" s="712"/>
      <c r="LM212" s="713"/>
      <c r="LN212" s="712"/>
      <c r="ME212" s="713"/>
      <c r="MF212" s="712"/>
      <c r="MW212" s="713"/>
      <c r="MX212" s="712"/>
      <c r="NO212" s="713"/>
      <c r="NP212" s="2312" t="s">
        <v>1226</v>
      </c>
      <c r="NQ212" s="2314"/>
      <c r="NR212" s="2314"/>
      <c r="NS212" s="2314"/>
      <c r="NT212" s="2314"/>
      <c r="OE212" s="56"/>
      <c r="OG212" s="713"/>
      <c r="OH212" s="712"/>
      <c r="OY212" s="713"/>
      <c r="OZ212" s="2312" t="s">
        <v>1226</v>
      </c>
      <c r="PA212" s="2314"/>
      <c r="PB212" s="2314"/>
      <c r="PC212" s="2314"/>
      <c r="PD212" s="2314"/>
      <c r="PQ212" s="713"/>
      <c r="PR212" s="712"/>
      <c r="QI212" s="713"/>
      <c r="QJ212" s="712"/>
      <c r="RA212" s="713"/>
      <c r="RB212" s="712"/>
      <c r="RS212" s="713"/>
      <c r="RT212" s="712"/>
      <c r="SK212" s="713"/>
      <c r="SL212" s="2312" t="s">
        <v>1226</v>
      </c>
      <c r="SM212" s="2314"/>
      <c r="SN212" s="2314"/>
      <c r="SO212" s="2314"/>
      <c r="SP212" s="2314"/>
      <c r="TC212" s="713"/>
      <c r="TD212" s="2312" t="s">
        <v>1226</v>
      </c>
      <c r="TE212" s="2314"/>
      <c r="TF212" s="2314"/>
      <c r="TG212" s="2314"/>
      <c r="TH212" s="2314"/>
      <c r="TU212" s="713"/>
      <c r="TV212" s="712"/>
      <c r="UM212" s="713"/>
      <c r="UN212" s="2312" t="s">
        <v>1226</v>
      </c>
      <c r="UO212" s="2314"/>
      <c r="UP212" s="2314"/>
      <c r="UQ212" s="2314"/>
      <c r="UR212" s="2314"/>
      <c r="VE212" s="713"/>
    </row>
    <row r="213" spans="2:577" x14ac:dyDescent="0.25">
      <c r="B213" s="712"/>
      <c r="N213" s="56"/>
      <c r="S213" s="713"/>
      <c r="T213" s="712"/>
      <c r="AK213" s="713"/>
      <c r="AL213" s="712"/>
      <c r="BC213" s="713"/>
      <c r="BD213" s="712"/>
      <c r="BU213" s="713"/>
      <c r="BV213" s="712"/>
      <c r="CM213" s="713"/>
      <c r="CN213" s="712"/>
      <c r="DE213" s="713"/>
      <c r="DF213" s="712"/>
      <c r="DW213" s="713"/>
      <c r="DX213" s="712"/>
      <c r="EO213" s="713"/>
      <c r="EP213" s="1858"/>
      <c r="EQ213" s="1860"/>
      <c r="ER213" s="1860"/>
      <c r="ES213" s="1860"/>
      <c r="ET213" s="1860"/>
      <c r="FG213" s="713"/>
      <c r="FH213" s="712"/>
      <c r="FY213" s="713"/>
      <c r="FZ213" s="712"/>
      <c r="GQ213" s="713"/>
      <c r="GR213" s="712"/>
      <c r="HI213" s="713"/>
      <c r="HJ213" s="712"/>
      <c r="IA213" s="713"/>
      <c r="IB213" s="712"/>
      <c r="IS213" s="713"/>
      <c r="IT213" s="712"/>
      <c r="JK213" s="713"/>
      <c r="JL213" s="712"/>
      <c r="KC213" s="713"/>
      <c r="KD213" s="712"/>
      <c r="KU213" s="713"/>
      <c r="KV213" s="712"/>
      <c r="LM213" s="713"/>
      <c r="LN213" s="712"/>
      <c r="ME213" s="713"/>
      <c r="MF213" s="712"/>
      <c r="MW213" s="713"/>
      <c r="MX213" s="712"/>
      <c r="NO213" s="713"/>
      <c r="NP213" s="712"/>
      <c r="OE213" s="56"/>
      <c r="OG213" s="713"/>
      <c r="OH213" s="712"/>
      <c r="OY213" s="713"/>
      <c r="OZ213" s="712"/>
      <c r="PQ213" s="713"/>
      <c r="PR213" s="712"/>
      <c r="QI213" s="713"/>
      <c r="QJ213" s="712"/>
      <c r="RA213" s="713"/>
      <c r="RB213" s="712"/>
      <c r="RS213" s="713"/>
      <c r="RT213" s="712"/>
      <c r="SK213" s="713"/>
      <c r="SL213" s="712"/>
      <c r="TC213" s="713"/>
      <c r="TD213" s="712"/>
      <c r="TU213" s="713"/>
      <c r="TV213" s="712"/>
      <c r="UM213" s="713"/>
      <c r="UN213" s="712"/>
      <c r="VE213" s="713"/>
    </row>
    <row r="214" spans="2:577" x14ac:dyDescent="0.25">
      <c r="B214" s="716"/>
      <c r="C214" s="1651" t="s">
        <v>79</v>
      </c>
      <c r="D214" s="2088">
        <v>3.7819999999999999E-2</v>
      </c>
      <c r="E214" s="718" t="s">
        <v>78</v>
      </c>
      <c r="F214" s="560">
        <v>1.121E-4</v>
      </c>
      <c r="N214" s="56"/>
      <c r="S214" s="713"/>
      <c r="T214" s="712"/>
      <c r="AK214" s="713"/>
      <c r="AL214" s="712"/>
      <c r="BC214" s="713"/>
      <c r="BD214" s="716"/>
      <c r="BU214" s="713"/>
      <c r="BV214" s="716"/>
      <c r="CM214" s="713"/>
      <c r="CN214" s="716"/>
      <c r="DE214" s="713"/>
      <c r="DF214" s="712"/>
      <c r="DW214" s="713"/>
      <c r="DX214" s="712"/>
      <c r="EO214" s="713"/>
      <c r="EP214" s="716"/>
      <c r="FG214" s="713"/>
      <c r="FH214" s="712"/>
      <c r="FY214" s="713"/>
      <c r="FZ214" s="712"/>
      <c r="GQ214" s="713"/>
      <c r="GR214" s="712"/>
      <c r="HI214" s="713"/>
      <c r="HJ214" s="712"/>
      <c r="IA214" s="713"/>
      <c r="IB214" s="712"/>
      <c r="IS214" s="713"/>
      <c r="IT214" s="712"/>
      <c r="JK214" s="713"/>
      <c r="JL214" s="712"/>
      <c r="KC214" s="713"/>
      <c r="KD214" s="712"/>
      <c r="KU214" s="713"/>
      <c r="KV214" s="712"/>
      <c r="LM214" s="713"/>
      <c r="LN214" s="712"/>
      <c r="ME214" s="713"/>
      <c r="MF214" s="712"/>
      <c r="MW214" s="713"/>
      <c r="MX214" s="716"/>
      <c r="NO214" s="713"/>
      <c r="NP214" s="716"/>
      <c r="OG214" s="713"/>
      <c r="OH214" s="712"/>
      <c r="OY214" s="713"/>
      <c r="OZ214" s="716"/>
      <c r="PQ214" s="713"/>
      <c r="PR214" s="712"/>
      <c r="QI214" s="713"/>
      <c r="QJ214" s="712"/>
      <c r="RA214" s="713"/>
      <c r="RB214" s="716"/>
      <c r="RS214" s="713"/>
      <c r="RT214" s="716"/>
      <c r="SK214" s="713"/>
      <c r="SL214" s="716"/>
      <c r="TC214" s="713"/>
      <c r="TD214" s="716"/>
      <c r="TU214" s="713"/>
      <c r="TV214" s="712"/>
      <c r="UM214" s="713"/>
      <c r="UN214" s="716"/>
      <c r="VE214" s="713"/>
    </row>
    <row r="215" spans="2:577" x14ac:dyDescent="0.25">
      <c r="B215" s="712"/>
      <c r="C215" s="1651" t="s">
        <v>1094</v>
      </c>
      <c r="D215" s="2089">
        <f>0.03782*EXP((-LN(2)/10990)*($F$96-$F$95))</f>
        <v>3.7454436696101712E-2</v>
      </c>
      <c r="E215" s="718"/>
      <c r="N215" s="56"/>
      <c r="S215" s="713"/>
      <c r="T215" s="712"/>
      <c r="AK215" s="713"/>
      <c r="AL215" s="712"/>
      <c r="BC215" s="713"/>
      <c r="BD215" s="712"/>
      <c r="BE215" s="717" t="s">
        <v>79</v>
      </c>
      <c r="BF215" s="560">
        <f>0.006023*EXP(-LN(2)/10990*($F$96-$F$95))</f>
        <v>5.9647824489852093E-3</v>
      </c>
      <c r="BG215" s="718" t="s">
        <v>78</v>
      </c>
      <c r="BH215" s="642">
        <v>5.8200000000000002E-6</v>
      </c>
      <c r="BU215" s="713"/>
      <c r="BV215" s="712"/>
      <c r="BW215" s="717" t="s">
        <v>79</v>
      </c>
      <c r="BX215" s="560">
        <f>0.0002479*EXP(-LN(2)/10990*($F$96-$F$95))</f>
        <v>2.4550383016826058E-4</v>
      </c>
      <c r="BY215" s="718" t="s">
        <v>78</v>
      </c>
      <c r="BZ215" s="642">
        <v>1.4300000000000001E-6</v>
      </c>
      <c r="CM215" s="713"/>
      <c r="CN215" s="712"/>
      <c r="CO215" s="717" t="s">
        <v>79</v>
      </c>
      <c r="CP215" s="560">
        <f>0.01407*EXP(-LN(2)/10990*($F$96-$F$95))</f>
        <v>1.3934001171712087E-2</v>
      </c>
      <c r="CQ215" s="718" t="s">
        <v>78</v>
      </c>
      <c r="CR215" s="642">
        <v>1.347E-5</v>
      </c>
      <c r="DE215" s="713"/>
      <c r="DF215" s="712"/>
      <c r="DW215" s="713"/>
      <c r="DX215" s="712"/>
      <c r="EO215" s="713"/>
      <c r="EP215" s="712"/>
      <c r="EQ215" s="717" t="s">
        <v>79</v>
      </c>
      <c r="ER215" s="642">
        <f>0.00001894*EXP(-LN(2)/10990*($F$96-$F$95))</f>
        <v>1.875692837187114E-5</v>
      </c>
      <c r="ES215" s="718" t="s">
        <v>78</v>
      </c>
      <c r="ET215" s="642">
        <v>1.885E-7</v>
      </c>
      <c r="FG215" s="713"/>
      <c r="FH215" s="712"/>
      <c r="FY215" s="713"/>
      <c r="FZ215" s="712"/>
      <c r="GQ215" s="713"/>
      <c r="GR215" s="712"/>
      <c r="HI215" s="713"/>
      <c r="HJ215" s="712"/>
      <c r="IA215" s="713"/>
      <c r="IB215" s="712"/>
      <c r="IS215" s="713"/>
      <c r="IT215" s="712"/>
      <c r="JK215" s="713"/>
      <c r="JL215" s="712"/>
      <c r="KC215" s="713"/>
      <c r="KD215" s="712"/>
      <c r="KU215" s="713"/>
      <c r="KV215" s="712"/>
      <c r="LM215" s="713"/>
      <c r="LN215" s="712"/>
      <c r="ME215" s="713"/>
      <c r="MF215" s="712"/>
      <c r="MW215" s="713"/>
      <c r="MX215" s="712"/>
      <c r="MY215" s="717"/>
      <c r="MZ215" s="642"/>
      <c r="NA215" s="718"/>
      <c r="NB215" s="642"/>
      <c r="NO215" s="713"/>
      <c r="NP215" s="712"/>
      <c r="NQ215" s="717" t="s">
        <v>79</v>
      </c>
      <c r="NR215" s="560">
        <f>0.0004046*EXP(-LN(2)/10990*($F$96-$F$95))</f>
        <v>4.0068918792286501E-4</v>
      </c>
      <c r="NS215" s="718" t="s">
        <v>78</v>
      </c>
      <c r="NT215" s="642">
        <v>1.457E-6</v>
      </c>
      <c r="OG215" s="713"/>
      <c r="OH215" s="712"/>
      <c r="OY215" s="713"/>
      <c r="OZ215" s="712"/>
      <c r="PA215" s="717" t="s">
        <v>79</v>
      </c>
      <c r="PB215" s="560">
        <f>0.0009378*EXP(-LN(2)/10990*($F$96-$F$95))</f>
        <v>9.2873534462200398E-4</v>
      </c>
      <c r="PC215" s="718" t="s">
        <v>78</v>
      </c>
      <c r="PD215" s="642">
        <v>3.0979999999999998E-6</v>
      </c>
      <c r="PQ215" s="713"/>
      <c r="PR215" s="712"/>
      <c r="QI215" s="713"/>
      <c r="QJ215" s="712"/>
      <c r="RA215" s="713"/>
      <c r="RB215" s="712"/>
      <c r="RC215" s="717"/>
      <c r="RD215" s="642"/>
      <c r="RE215" s="718"/>
      <c r="RF215" s="642"/>
      <c r="RS215" s="713"/>
      <c r="RT215" s="712"/>
      <c r="RU215" s="717"/>
      <c r="RV215" s="642"/>
      <c r="RW215" s="718"/>
      <c r="RX215" s="642"/>
      <c r="SK215" s="713"/>
      <c r="SL215" s="712"/>
      <c r="SM215" s="717" t="s">
        <v>79</v>
      </c>
      <c r="SN215" s="642">
        <f>0.00004249*EXP(-LN(2)/10990*($F$96-$F$95))</f>
        <v>4.2079297070792222E-5</v>
      </c>
      <c r="SO215" s="718" t="s">
        <v>78</v>
      </c>
      <c r="SP215" s="642">
        <v>1.5949999999999999E-7</v>
      </c>
      <c r="TC215" s="713"/>
      <c r="TD215" s="712"/>
      <c r="TE215" s="717" t="s">
        <v>79</v>
      </c>
      <c r="TF215" s="560">
        <f>0.002322*EXP(-LN(2)/10990*($F$96-$F$95))</f>
        <v>2.2995558436897986E-3</v>
      </c>
      <c r="TG215" s="718" t="s">
        <v>78</v>
      </c>
      <c r="TH215" s="642">
        <v>4.3599999999999998E-6</v>
      </c>
      <c r="TU215" s="713"/>
      <c r="TV215" s="712"/>
      <c r="UM215" s="713"/>
      <c r="UN215" s="712"/>
      <c r="UO215" s="717" t="s">
        <v>79</v>
      </c>
      <c r="UP215" s="560">
        <f>0.00009762*EXP(-LN(2)/10990*($F$96-$F$95))</f>
        <v>9.667641751119644E-5</v>
      </c>
      <c r="UQ215" s="718" t="s">
        <v>78</v>
      </c>
      <c r="UR215" s="642">
        <v>6.4700000000000001E-7</v>
      </c>
      <c r="VE215" s="713"/>
    </row>
    <row r="216" spans="2:577" x14ac:dyDescent="0.25">
      <c r="B216" s="2222" t="s">
        <v>301</v>
      </c>
      <c r="C216" s="2223"/>
      <c r="D216" s="719">
        <f>P144</f>
        <v>8.621836232670075E-3</v>
      </c>
      <c r="F216" s="719"/>
      <c r="G216" s="719"/>
      <c r="H216" s="719"/>
      <c r="I216" s="719"/>
      <c r="S216" s="713"/>
      <c r="T216" s="712"/>
      <c r="AK216" s="713"/>
      <c r="AL216" s="712"/>
      <c r="BC216" s="713"/>
      <c r="BD216" s="2222" t="s">
        <v>301</v>
      </c>
      <c r="BE216" s="2223"/>
      <c r="BF216" s="719">
        <f>BR144</f>
        <v>1.4009541163464367E-3</v>
      </c>
      <c r="BU216" s="713"/>
      <c r="BV216" s="2222" t="s">
        <v>301</v>
      </c>
      <c r="BW216" s="2223"/>
      <c r="BX216" s="719">
        <f>CJ144</f>
        <v>6.3127494865616971E-5</v>
      </c>
      <c r="CM216" s="713"/>
      <c r="CN216" s="2222" t="s">
        <v>301</v>
      </c>
      <c r="CO216" s="2223"/>
      <c r="CP216" s="719">
        <f>DB144</f>
        <v>3.2759686748416623E-3</v>
      </c>
      <c r="DE216" s="713"/>
      <c r="DF216" s="712"/>
      <c r="DW216" s="713"/>
      <c r="DX216" s="712"/>
      <c r="EO216" s="713"/>
      <c r="EP216" s="2222" t="s">
        <v>301</v>
      </c>
      <c r="EQ216" s="2223"/>
      <c r="ER216" s="719">
        <f>FD144</f>
        <v>1.4328243884478004E-5</v>
      </c>
      <c r="FG216" s="713"/>
      <c r="FH216" s="712"/>
      <c r="FY216" s="713"/>
      <c r="FZ216" s="712"/>
      <c r="GQ216" s="713"/>
      <c r="GR216" s="712"/>
      <c r="HI216" s="713"/>
      <c r="HJ216" s="712"/>
      <c r="IA216" s="713"/>
      <c r="IB216" s="712"/>
      <c r="IS216" s="713"/>
      <c r="IT216" s="712"/>
      <c r="JK216" s="713"/>
      <c r="JL216" s="712"/>
      <c r="KC216" s="713"/>
      <c r="KD216" s="712"/>
      <c r="KU216" s="713"/>
      <c r="KV216" s="712"/>
      <c r="LM216" s="713"/>
      <c r="LN216" s="712"/>
      <c r="ME216" s="713"/>
      <c r="MF216" s="712"/>
      <c r="MW216" s="713"/>
      <c r="MX216" s="2222"/>
      <c r="MY216" s="2223"/>
      <c r="MZ216" s="719"/>
      <c r="NO216" s="713"/>
      <c r="NP216" s="2222" t="s">
        <v>301</v>
      </c>
      <c r="NQ216" s="2223"/>
      <c r="NR216" s="719">
        <f>OD144</f>
        <v>1.1126630825234988E-4</v>
      </c>
      <c r="OG216" s="713"/>
      <c r="OH216" s="712"/>
      <c r="OY216" s="713"/>
      <c r="OZ216" s="2222" t="s">
        <v>304</v>
      </c>
      <c r="PA216" s="2223"/>
      <c r="PB216" s="719">
        <v>2.9999999999999997E-4</v>
      </c>
      <c r="PQ216" s="713"/>
      <c r="PR216" s="712"/>
      <c r="QI216" s="713"/>
      <c r="QJ216" s="712"/>
      <c r="RA216" s="713"/>
      <c r="RB216" s="2222"/>
      <c r="RC216" s="2223"/>
      <c r="RD216" s="719"/>
      <c r="RS216" s="713"/>
      <c r="RT216" s="2222"/>
      <c r="RU216" s="2223"/>
      <c r="RV216" s="719"/>
      <c r="SK216" s="713"/>
      <c r="SL216" s="2222" t="s">
        <v>301</v>
      </c>
      <c r="SM216" s="2223"/>
      <c r="SN216" s="719">
        <v>1.0000000000000001E-5</v>
      </c>
      <c r="TC216" s="713"/>
      <c r="TD216" s="2222" t="s">
        <v>301</v>
      </c>
      <c r="TE216" s="2223"/>
      <c r="TF216" s="719">
        <f>TR144</f>
        <v>5.5089198264840716E-4</v>
      </c>
      <c r="TU216" s="713"/>
      <c r="TV216" s="712"/>
      <c r="UM216" s="713"/>
      <c r="UN216" s="2222" t="s">
        <v>301</v>
      </c>
      <c r="UO216" s="2223"/>
      <c r="UP216" s="719">
        <f>VB144</f>
        <v>3.7793578034842223E-5</v>
      </c>
      <c r="VE216" s="713"/>
    </row>
    <row r="217" spans="2:577" x14ac:dyDescent="0.25">
      <c r="B217" s="2222" t="s">
        <v>81</v>
      </c>
      <c r="C217" s="2223"/>
      <c r="D217" s="720">
        <f>SQRT(D215/D216)</f>
        <v>2.0842593105359573</v>
      </c>
      <c r="F217" s="696"/>
      <c r="G217" s="696"/>
      <c r="H217" s="696"/>
      <c r="I217" s="696"/>
      <c r="S217" s="713"/>
      <c r="T217" s="712"/>
      <c r="AK217" s="713"/>
      <c r="AL217" s="712"/>
      <c r="BC217" s="713"/>
      <c r="BD217" s="2222" t="s">
        <v>81</v>
      </c>
      <c r="BE217" s="2223"/>
      <c r="BF217" s="720">
        <f>SQRT(BF215/BF216)</f>
        <v>2.0634091327229744</v>
      </c>
      <c r="BU217" s="713"/>
      <c r="BV217" s="2222" t="s">
        <v>81</v>
      </c>
      <c r="BW217" s="2223"/>
      <c r="BX217" s="720">
        <f>SQRT(BX215/BX216)</f>
        <v>1.9720587929148781</v>
      </c>
      <c r="CM217" s="713"/>
      <c r="CN217" s="2222" t="s">
        <v>81</v>
      </c>
      <c r="CO217" s="2223"/>
      <c r="CP217" s="720">
        <f>SQRT(CP215/CP216)</f>
        <v>2.0623769738053572</v>
      </c>
      <c r="DE217" s="713"/>
      <c r="DF217" s="712"/>
      <c r="DW217" s="713"/>
      <c r="DX217" s="712"/>
      <c r="EO217" s="713"/>
      <c r="EP217" s="2222" t="s">
        <v>81</v>
      </c>
      <c r="EQ217" s="2223"/>
      <c r="ER217" s="720">
        <f>SQRT(ER215/ER216)</f>
        <v>1.1441537211820942</v>
      </c>
      <c r="FG217" s="713"/>
      <c r="FH217" s="712"/>
      <c r="FY217" s="713"/>
      <c r="FZ217" s="712"/>
      <c r="GQ217" s="713"/>
      <c r="GR217" s="712"/>
      <c r="HI217" s="713"/>
      <c r="HJ217" s="712"/>
      <c r="IA217" s="713"/>
      <c r="IB217" s="712"/>
      <c r="IS217" s="713"/>
      <c r="IT217" s="712"/>
      <c r="JK217" s="713"/>
      <c r="JL217" s="712"/>
      <c r="KC217" s="713"/>
      <c r="KD217" s="712"/>
      <c r="KU217" s="713"/>
      <c r="KV217" s="712"/>
      <c r="LM217" s="713"/>
      <c r="LN217" s="712"/>
      <c r="ME217" s="713"/>
      <c r="MF217" s="712"/>
      <c r="MW217" s="713"/>
      <c r="MX217" s="2222"/>
      <c r="MY217" s="2223"/>
      <c r="MZ217" s="696"/>
      <c r="NO217" s="713"/>
      <c r="NP217" s="2222" t="s">
        <v>81</v>
      </c>
      <c r="NQ217" s="2223"/>
      <c r="NR217" s="720">
        <f>SQRT(NR215/NR216)</f>
        <v>1.8976755955589406</v>
      </c>
      <c r="OG217" s="713"/>
      <c r="OH217" s="712"/>
      <c r="OY217" s="713"/>
      <c r="OZ217" s="2222" t="s">
        <v>81</v>
      </c>
      <c r="PA217" s="2223"/>
      <c r="PB217" s="1425">
        <f>SQRT(PB215/PB216)</f>
        <v>1.7594841522654721</v>
      </c>
      <c r="PQ217" s="713"/>
      <c r="PR217" s="712"/>
      <c r="QI217" s="713"/>
      <c r="QJ217" s="712"/>
      <c r="RA217" s="713"/>
      <c r="RB217" s="2222"/>
      <c r="RC217" s="2223"/>
      <c r="RD217" s="720"/>
      <c r="RS217" s="713"/>
      <c r="RT217" s="2222"/>
      <c r="RU217" s="2223"/>
      <c r="RV217" s="696"/>
      <c r="SK217" s="713"/>
      <c r="SL217" s="2222" t="s">
        <v>81</v>
      </c>
      <c r="SM217" s="2223"/>
      <c r="SN217" s="1425">
        <f>SQRT(SN215/SN216)</f>
        <v>2.0513238913148801</v>
      </c>
      <c r="TC217" s="713"/>
      <c r="TD217" s="2222" t="s">
        <v>81</v>
      </c>
      <c r="TE217" s="2223"/>
      <c r="TF217" s="720">
        <f>SQRT(TF215/TF216)</f>
        <v>2.0430959098386059</v>
      </c>
      <c r="TU217" s="713"/>
      <c r="TV217" s="712"/>
      <c r="UM217" s="713"/>
      <c r="UN217" s="2222" t="s">
        <v>81</v>
      </c>
      <c r="UO217" s="2223"/>
      <c r="UP217" s="720">
        <f>SQRT(UP215/UP216)</f>
        <v>1.5993785580000002</v>
      </c>
      <c r="VE217" s="713"/>
    </row>
    <row r="218" spans="2:577" x14ac:dyDescent="0.25">
      <c r="B218" s="712"/>
      <c r="S218" s="713"/>
      <c r="T218" s="712"/>
      <c r="AK218" s="713"/>
      <c r="AL218" s="712"/>
      <c r="BC218" s="713"/>
      <c r="BD218" s="712"/>
      <c r="BU218" s="713"/>
      <c r="BV218" s="712"/>
      <c r="CM218" s="713"/>
      <c r="CN218" s="712"/>
      <c r="DE218" s="713"/>
      <c r="DF218" s="712"/>
      <c r="DW218" s="713"/>
      <c r="DX218" s="712"/>
      <c r="EO218" s="713"/>
      <c r="EP218" s="712"/>
      <c r="FG218" s="713"/>
      <c r="FH218" s="712"/>
      <c r="FY218" s="713"/>
      <c r="FZ218" s="712"/>
      <c r="GQ218" s="713"/>
      <c r="GR218" s="712"/>
      <c r="HI218" s="713"/>
      <c r="HJ218" s="712"/>
      <c r="IA218" s="713"/>
      <c r="IB218" s="712"/>
      <c r="IS218" s="713"/>
      <c r="IT218" s="712"/>
      <c r="JK218" s="713"/>
      <c r="JL218" s="712"/>
      <c r="KC218" s="713"/>
      <c r="KD218" s="712"/>
      <c r="KU218" s="713"/>
      <c r="KV218" s="712"/>
      <c r="LM218" s="713"/>
      <c r="LN218" s="712"/>
      <c r="ME218" s="713"/>
      <c r="MF218" s="712"/>
      <c r="MW218" s="713"/>
      <c r="MX218" s="712"/>
      <c r="NO218" s="713"/>
      <c r="NP218" s="712"/>
      <c r="OG218" s="713"/>
      <c r="OH218" s="712"/>
      <c r="OY218" s="713"/>
      <c r="OZ218" s="712"/>
      <c r="PQ218" s="713"/>
      <c r="PR218" s="712"/>
      <c r="QI218" s="713"/>
      <c r="QJ218" s="712"/>
      <c r="RA218" s="713"/>
      <c r="RB218" s="712"/>
      <c r="RS218" s="713"/>
      <c r="RT218" s="712"/>
      <c r="SK218" s="713"/>
      <c r="SL218" s="712"/>
      <c r="TC218" s="713"/>
      <c r="TD218" s="712"/>
      <c r="TU218" s="713"/>
      <c r="TV218" s="712"/>
      <c r="UM218" s="713"/>
      <c r="UN218" s="712"/>
      <c r="VE218" s="713"/>
    </row>
    <row r="219" spans="2:577" ht="15" customHeight="1" x14ac:dyDescent="0.25">
      <c r="B219" s="2216" t="s">
        <v>82</v>
      </c>
      <c r="C219" s="2226"/>
      <c r="D219" s="2226"/>
      <c r="E219" s="2226"/>
      <c r="F219" s="2226"/>
      <c r="G219" s="1859"/>
      <c r="H219" s="1859"/>
      <c r="I219" s="1859"/>
      <c r="J219" s="1859"/>
      <c r="K219" s="1859"/>
      <c r="L219" s="1859"/>
      <c r="M219" s="1859"/>
      <c r="N219" s="1859"/>
      <c r="O219" s="714"/>
      <c r="P219" s="714"/>
      <c r="Q219" s="714"/>
      <c r="R219" s="714"/>
      <c r="S219" s="715"/>
      <c r="T219" s="712"/>
      <c r="AI219" s="714"/>
      <c r="AK219" s="713"/>
      <c r="AL219" s="712"/>
      <c r="BA219" s="714"/>
      <c r="BC219" s="713"/>
      <c r="BD219" s="2216" t="s">
        <v>82</v>
      </c>
      <c r="BE219" s="2226"/>
      <c r="BF219" s="2226"/>
      <c r="BG219" s="2226"/>
      <c r="BH219" s="2226"/>
      <c r="BI219" s="1859"/>
      <c r="BJ219" s="1859"/>
      <c r="BK219" s="1859"/>
      <c r="BL219" s="1859"/>
      <c r="BM219" s="1859"/>
      <c r="BN219" s="1859"/>
      <c r="BO219" s="1859"/>
      <c r="BP219" s="1859"/>
      <c r="BQ219" s="714"/>
      <c r="BR219" s="714"/>
      <c r="BS219" s="714"/>
      <c r="BT219" s="714"/>
      <c r="BU219" s="715"/>
      <c r="BV219" s="2216" t="s">
        <v>82</v>
      </c>
      <c r="BW219" s="2226"/>
      <c r="BX219" s="2226"/>
      <c r="BY219" s="2226"/>
      <c r="BZ219" s="2226"/>
      <c r="CA219" s="1859"/>
      <c r="CB219" s="1859"/>
      <c r="CC219" s="1859"/>
      <c r="CD219" s="1859"/>
      <c r="CE219" s="1859"/>
      <c r="CF219" s="1859"/>
      <c r="CG219" s="1859"/>
      <c r="CH219" s="1859"/>
      <c r="CI219" s="714"/>
      <c r="CJ219" s="714"/>
      <c r="CK219" s="714"/>
      <c r="CL219" s="714"/>
      <c r="CM219" s="715"/>
      <c r="CN219" s="2216" t="s">
        <v>82</v>
      </c>
      <c r="CO219" s="2226"/>
      <c r="CP219" s="2226"/>
      <c r="CQ219" s="2226"/>
      <c r="CR219" s="2226"/>
      <c r="CS219" s="1859"/>
      <c r="CT219" s="1859"/>
      <c r="CU219" s="1859"/>
      <c r="CV219" s="1859"/>
      <c r="CW219" s="1859"/>
      <c r="CX219" s="1859"/>
      <c r="CY219" s="1859"/>
      <c r="CZ219" s="1859"/>
      <c r="DA219" s="714"/>
      <c r="DB219" s="714"/>
      <c r="DC219" s="714"/>
      <c r="DD219" s="714"/>
      <c r="DE219" s="715"/>
      <c r="DF219" s="712"/>
      <c r="DU219" s="714"/>
      <c r="DW219" s="713"/>
      <c r="DX219" s="712"/>
      <c r="EM219" s="714"/>
      <c r="EO219" s="713"/>
      <c r="EP219" s="2216" t="s">
        <v>82</v>
      </c>
      <c r="EQ219" s="2226"/>
      <c r="ER219" s="2226"/>
      <c r="ES219" s="2226"/>
      <c r="ET219" s="2226"/>
      <c r="EU219" s="1859"/>
      <c r="EV219" s="1859"/>
      <c r="EW219" s="1859"/>
      <c r="EX219" s="1859"/>
      <c r="EY219" s="1859"/>
      <c r="EZ219" s="1859"/>
      <c r="FA219" s="1859"/>
      <c r="FB219" s="1859"/>
      <c r="FC219" s="714"/>
      <c r="FD219" s="714"/>
      <c r="FE219" s="714"/>
      <c r="FF219" s="714"/>
      <c r="FG219" s="715"/>
      <c r="FH219" s="712"/>
      <c r="FW219" s="714"/>
      <c r="FY219" s="713"/>
      <c r="FZ219" s="712"/>
      <c r="GO219" s="714"/>
      <c r="GQ219" s="713"/>
      <c r="GR219" s="712"/>
      <c r="HG219" s="714"/>
      <c r="HI219" s="713"/>
      <c r="HJ219" s="712"/>
      <c r="HY219" s="714"/>
      <c r="IA219" s="713"/>
      <c r="IB219" s="712"/>
      <c r="IQ219" s="714"/>
      <c r="IS219" s="713"/>
      <c r="IT219" s="712"/>
      <c r="JI219" s="714"/>
      <c r="JK219" s="713"/>
      <c r="JL219" s="712"/>
      <c r="KA219" s="714"/>
      <c r="KC219" s="713"/>
      <c r="KD219" s="712"/>
      <c r="KS219" s="714"/>
      <c r="KU219" s="713"/>
      <c r="KV219" s="712"/>
      <c r="LK219" s="714"/>
      <c r="LM219" s="713"/>
      <c r="LN219" s="712"/>
      <c r="MC219" s="714"/>
      <c r="ME219" s="713"/>
      <c r="MF219" s="712"/>
      <c r="MU219" s="714"/>
      <c r="MW219" s="713"/>
      <c r="MX219" s="2216"/>
      <c r="MY219" s="2217"/>
      <c r="MZ219" s="2217"/>
      <c r="NA219" s="2217"/>
      <c r="NB219" s="2217"/>
      <c r="NC219" s="2217"/>
      <c r="ND219" s="2217"/>
      <c r="NE219" s="2217"/>
      <c r="NF219" s="2217"/>
      <c r="NG219" s="2217"/>
      <c r="NH219" s="2217"/>
      <c r="NI219" s="2217"/>
      <c r="NJ219" s="2217"/>
      <c r="NK219" s="714"/>
      <c r="NL219" s="714"/>
      <c r="NM219" s="714"/>
      <c r="NN219" s="714"/>
      <c r="NO219" s="715"/>
      <c r="NP219" s="2216" t="s">
        <v>82</v>
      </c>
      <c r="NQ219" s="2226"/>
      <c r="NR219" s="2226"/>
      <c r="NS219" s="2226"/>
      <c r="NT219" s="2226"/>
      <c r="NU219" s="1859"/>
      <c r="NV219" s="1859"/>
      <c r="NW219" s="1859"/>
      <c r="NX219" s="1859"/>
      <c r="NY219" s="1859"/>
      <c r="NZ219" s="1859"/>
      <c r="OA219" s="1859"/>
      <c r="OB219" s="1859"/>
      <c r="OC219" s="714"/>
      <c r="OD219" s="714"/>
      <c r="OE219" s="714"/>
      <c r="OF219" s="714"/>
      <c r="OG219" s="715"/>
      <c r="OH219" s="712"/>
      <c r="OW219" s="714"/>
      <c r="OY219" s="713"/>
      <c r="OZ219" s="2216" t="s">
        <v>82</v>
      </c>
      <c r="PA219" s="2226"/>
      <c r="PB219" s="2226"/>
      <c r="PC219" s="2226"/>
      <c r="PD219" s="2226"/>
      <c r="PE219" s="1859"/>
      <c r="PF219" s="1859"/>
      <c r="PG219" s="1859"/>
      <c r="PH219" s="1859"/>
      <c r="PI219" s="1859"/>
      <c r="PJ219" s="1859"/>
      <c r="PK219" s="1859"/>
      <c r="PL219" s="1859"/>
      <c r="PM219" s="714"/>
      <c r="PN219" s="714"/>
      <c r="PO219" s="714"/>
      <c r="PP219" s="714"/>
      <c r="PQ219" s="715"/>
      <c r="PR219" s="712"/>
      <c r="QG219" s="714"/>
      <c r="QI219" s="713"/>
      <c r="QJ219" s="712"/>
      <c r="QY219" s="714"/>
      <c r="RA219" s="713"/>
      <c r="RB219" s="2216"/>
      <c r="RC219" s="2217"/>
      <c r="RD219" s="2217"/>
      <c r="RE219" s="2217"/>
      <c r="RF219" s="2217"/>
      <c r="RG219" s="2217"/>
      <c r="RH219" s="2217"/>
      <c r="RI219" s="2217"/>
      <c r="RJ219" s="2217"/>
      <c r="RK219" s="2217"/>
      <c r="RL219" s="2217"/>
      <c r="RM219" s="2217"/>
      <c r="RN219" s="2217"/>
      <c r="RO219" s="714"/>
      <c r="RP219" s="714"/>
      <c r="RQ219" s="714"/>
      <c r="RR219" s="714"/>
      <c r="RS219" s="715"/>
      <c r="RT219" s="2216"/>
      <c r="RU219" s="2217"/>
      <c r="RV219" s="2217"/>
      <c r="RW219" s="2217"/>
      <c r="RX219" s="2217"/>
      <c r="RY219" s="2217"/>
      <c r="RZ219" s="2217"/>
      <c r="SA219" s="2217"/>
      <c r="SB219" s="2217"/>
      <c r="SC219" s="2217"/>
      <c r="SD219" s="2217"/>
      <c r="SE219" s="2217"/>
      <c r="SF219" s="2217"/>
      <c r="SG219" s="714"/>
      <c r="SH219" s="714"/>
      <c r="SI219" s="714"/>
      <c r="SJ219" s="714"/>
      <c r="SK219" s="715"/>
      <c r="SL219" s="2216" t="s">
        <v>82</v>
      </c>
      <c r="SM219" s="2226"/>
      <c r="SN219" s="2226"/>
      <c r="SO219" s="2226"/>
      <c r="SP219" s="2226"/>
      <c r="SQ219" s="1859"/>
      <c r="SR219" s="1859"/>
      <c r="SS219" s="1859"/>
      <c r="ST219" s="1859"/>
      <c r="SU219" s="1859"/>
      <c r="SV219" s="1859"/>
      <c r="SW219" s="1859"/>
      <c r="SX219" s="1859"/>
      <c r="SY219" s="714"/>
      <c r="SZ219" s="714"/>
      <c r="TA219" s="714"/>
      <c r="TB219" s="714"/>
      <c r="TC219" s="715"/>
      <c r="TD219" s="2216" t="s">
        <v>82</v>
      </c>
      <c r="TE219" s="2226"/>
      <c r="TF219" s="2226"/>
      <c r="TG219" s="2226"/>
      <c r="TH219" s="2226"/>
      <c r="TI219" s="1859"/>
      <c r="TJ219" s="1859"/>
      <c r="TK219" s="1859"/>
      <c r="TL219" s="1859"/>
      <c r="TM219" s="1859"/>
      <c r="TN219" s="1859"/>
      <c r="TO219" s="1859"/>
      <c r="TP219" s="1859"/>
      <c r="TQ219" s="714"/>
      <c r="TR219" s="714"/>
      <c r="TS219" s="714"/>
      <c r="TT219" s="714"/>
      <c r="TU219" s="715"/>
      <c r="TV219" s="712"/>
      <c r="UK219" s="714"/>
      <c r="UM219" s="713"/>
      <c r="UN219" s="2216" t="s">
        <v>82</v>
      </c>
      <c r="UO219" s="2226"/>
      <c r="UP219" s="2226"/>
      <c r="UQ219" s="2226"/>
      <c r="UR219" s="2226"/>
      <c r="US219" s="1859"/>
      <c r="UT219" s="1859"/>
      <c r="UU219" s="1859"/>
      <c r="UV219" s="1859"/>
      <c r="UW219" s="1859"/>
      <c r="UX219" s="1859"/>
      <c r="UY219" s="1859"/>
      <c r="UZ219" s="1859"/>
      <c r="VA219" s="714"/>
      <c r="VB219" s="714"/>
      <c r="VC219" s="714"/>
      <c r="VD219" s="714"/>
      <c r="VE219" s="715"/>
    </row>
    <row r="220" spans="2:577" x14ac:dyDescent="0.25">
      <c r="B220" s="712"/>
      <c r="S220" s="713"/>
      <c r="T220" s="712"/>
      <c r="AK220" s="713"/>
      <c r="AL220" s="712"/>
      <c r="BC220" s="713"/>
      <c r="BD220" s="712"/>
      <c r="BU220" s="713"/>
      <c r="BV220" s="712"/>
      <c r="CM220" s="713"/>
      <c r="CN220" s="712"/>
      <c r="DE220" s="713"/>
      <c r="DF220" s="712"/>
      <c r="DW220" s="713"/>
      <c r="DX220" s="712"/>
      <c r="EO220" s="713"/>
      <c r="EP220" s="712"/>
      <c r="FG220" s="713"/>
      <c r="FH220" s="712"/>
      <c r="FY220" s="713"/>
      <c r="FZ220" s="712"/>
      <c r="GQ220" s="713"/>
      <c r="GR220" s="712"/>
      <c r="HI220" s="713"/>
      <c r="HJ220" s="712"/>
      <c r="IA220" s="713"/>
      <c r="IB220" s="712"/>
      <c r="IS220" s="713"/>
      <c r="IT220" s="712"/>
      <c r="JK220" s="713"/>
      <c r="JL220" s="712"/>
      <c r="KC220" s="713"/>
      <c r="KD220" s="712"/>
      <c r="KU220" s="713"/>
      <c r="KV220" s="712"/>
      <c r="LM220" s="713"/>
      <c r="LN220" s="712"/>
      <c r="ME220" s="713"/>
      <c r="MF220" s="712"/>
      <c r="MW220" s="713"/>
      <c r="MX220" s="712"/>
      <c r="NO220" s="713"/>
      <c r="NP220" s="712"/>
      <c r="OG220" s="713"/>
      <c r="OH220" s="712"/>
      <c r="OY220" s="713"/>
      <c r="OZ220" s="712"/>
      <c r="PQ220" s="713"/>
      <c r="PR220" s="712"/>
      <c r="QI220" s="713"/>
      <c r="QJ220" s="712"/>
      <c r="RA220" s="713"/>
      <c r="RB220" s="712"/>
      <c r="RS220" s="713"/>
      <c r="RT220" s="712"/>
      <c r="SK220" s="713"/>
      <c r="SL220" s="712"/>
      <c r="TC220" s="713"/>
      <c r="TD220" s="712"/>
      <c r="TU220" s="713"/>
      <c r="TV220" s="712"/>
      <c r="UM220" s="713"/>
      <c r="UN220" s="712"/>
      <c r="VE220" s="713"/>
    </row>
    <row r="221" spans="2:577" x14ac:dyDescent="0.25">
      <c r="B221" s="2222" t="s">
        <v>87</v>
      </c>
      <c r="C221" s="2223"/>
      <c r="D221" s="2090">
        <v>1</v>
      </c>
      <c r="F221" s="722"/>
      <c r="G221" s="722"/>
      <c r="H221" s="722"/>
      <c r="I221" s="722"/>
      <c r="S221" s="713"/>
      <c r="T221" s="712"/>
      <c r="AK221" s="713"/>
      <c r="AL221" s="712"/>
      <c r="BC221" s="713"/>
      <c r="BD221" s="2222" t="s">
        <v>87</v>
      </c>
      <c r="BE221" s="2223"/>
      <c r="BF221" s="722">
        <v>1.5</v>
      </c>
      <c r="BU221" s="713"/>
      <c r="BV221" s="2222" t="s">
        <v>87</v>
      </c>
      <c r="BW221" s="2223"/>
      <c r="BX221" s="722">
        <v>1.5</v>
      </c>
      <c r="CM221" s="713"/>
      <c r="CN221" s="2222" t="s">
        <v>87</v>
      </c>
      <c r="CO221" s="2223"/>
      <c r="CP221" s="722">
        <v>1.5</v>
      </c>
      <c r="DE221" s="713"/>
      <c r="DF221" s="712"/>
      <c r="DW221" s="713"/>
      <c r="DX221" s="712"/>
      <c r="EO221" s="713"/>
      <c r="EP221" s="2222" t="s">
        <v>87</v>
      </c>
      <c r="EQ221" s="2223"/>
      <c r="ER221" s="722">
        <v>1.5</v>
      </c>
      <c r="FG221" s="713"/>
      <c r="FH221" s="712"/>
      <c r="FY221" s="713"/>
      <c r="FZ221" s="712"/>
      <c r="GQ221" s="713"/>
      <c r="GR221" s="712"/>
      <c r="HI221" s="713"/>
      <c r="HJ221" s="712"/>
      <c r="IA221" s="713"/>
      <c r="IB221" s="712"/>
      <c r="IS221" s="713"/>
      <c r="IT221" s="712"/>
      <c r="JK221" s="713"/>
      <c r="JL221" s="712"/>
      <c r="KC221" s="713"/>
      <c r="KD221" s="712"/>
      <c r="KU221" s="713"/>
      <c r="KV221" s="712"/>
      <c r="LM221" s="713"/>
      <c r="LN221" s="712"/>
      <c r="ME221" s="713"/>
      <c r="MF221" s="712"/>
      <c r="MW221" s="713"/>
      <c r="MX221" s="2222"/>
      <c r="MY221" s="2223"/>
      <c r="MZ221" s="722"/>
      <c r="NO221" s="713"/>
      <c r="NP221" s="2222" t="s">
        <v>87</v>
      </c>
      <c r="NQ221" s="2223"/>
      <c r="NR221" s="722">
        <v>1.5</v>
      </c>
      <c r="OG221" s="713"/>
      <c r="OH221" s="712"/>
      <c r="OY221" s="713"/>
      <c r="OZ221" s="2222" t="s">
        <v>87</v>
      </c>
      <c r="PA221" s="2223"/>
      <c r="PB221" s="722">
        <v>1.5</v>
      </c>
      <c r="PQ221" s="713"/>
      <c r="PR221" s="712"/>
      <c r="QI221" s="713"/>
      <c r="QJ221" s="712"/>
      <c r="RA221" s="713"/>
      <c r="RB221" s="2222"/>
      <c r="RC221" s="2223"/>
      <c r="RD221" s="722"/>
      <c r="RS221" s="713"/>
      <c r="RT221" s="2222"/>
      <c r="RU221" s="2223"/>
      <c r="RV221" s="722"/>
      <c r="SK221" s="713"/>
      <c r="SL221" s="2222" t="s">
        <v>87</v>
      </c>
      <c r="SM221" s="2223"/>
      <c r="SN221" s="722">
        <v>1.5</v>
      </c>
      <c r="TC221" s="713"/>
      <c r="TD221" s="2222" t="s">
        <v>87</v>
      </c>
      <c r="TE221" s="2223"/>
      <c r="TF221" s="722">
        <v>1.5</v>
      </c>
      <c r="TU221" s="713"/>
      <c r="TV221" s="712"/>
      <c r="UM221" s="713"/>
      <c r="UN221" s="2222" t="s">
        <v>87</v>
      </c>
      <c r="UO221" s="2223"/>
      <c r="UP221" s="722">
        <v>1.5</v>
      </c>
      <c r="VE221" s="713"/>
    </row>
    <row r="222" spans="2:577" ht="15" customHeight="1" x14ac:dyDescent="0.25">
      <c r="B222" s="2222" t="s">
        <v>302</v>
      </c>
      <c r="C222" s="2223"/>
      <c r="D222" s="2091">
        <f>D215/(D221^2)</f>
        <v>3.7454436696101712E-2</v>
      </c>
      <c r="F222" s="642"/>
      <c r="G222" s="642"/>
      <c r="H222" s="642"/>
      <c r="I222" s="642"/>
      <c r="S222" s="713"/>
      <c r="T222" s="712"/>
      <c r="AK222" s="713"/>
      <c r="AL222" s="712"/>
      <c r="BC222" s="713"/>
      <c r="BD222" s="2222" t="s">
        <v>302</v>
      </c>
      <c r="BE222" s="2223"/>
      <c r="BF222" s="642">
        <f>BF215/BF221^2</f>
        <v>2.651014421771204E-3</v>
      </c>
      <c r="BU222" s="713"/>
      <c r="BV222" s="2222" t="s">
        <v>302</v>
      </c>
      <c r="BW222" s="2223"/>
      <c r="BX222" s="642">
        <f>BX215/BX221^2</f>
        <v>1.0911281340811581E-4</v>
      </c>
      <c r="CM222" s="713"/>
      <c r="CN222" s="2222" t="s">
        <v>302</v>
      </c>
      <c r="CO222" s="2223"/>
      <c r="CP222" s="642">
        <f>CP215/CP221^2</f>
        <v>6.1928894096498167E-3</v>
      </c>
      <c r="DE222" s="713"/>
      <c r="DF222" s="712"/>
      <c r="DW222" s="713"/>
      <c r="DX222" s="712"/>
      <c r="EO222" s="713"/>
      <c r="EP222" s="2222" t="s">
        <v>302</v>
      </c>
      <c r="EQ222" s="2223"/>
      <c r="ER222" s="642">
        <f>ER215/ER221^2</f>
        <v>8.3364126097205072E-6</v>
      </c>
      <c r="FG222" s="713"/>
      <c r="FH222" s="712"/>
      <c r="FY222" s="713"/>
      <c r="FZ222" s="712"/>
      <c r="GQ222" s="713"/>
      <c r="GR222" s="712"/>
      <c r="HI222" s="713"/>
      <c r="HJ222" s="712"/>
      <c r="IA222" s="713"/>
      <c r="IB222" s="712"/>
      <c r="IS222" s="713"/>
      <c r="IT222" s="712"/>
      <c r="JK222" s="713"/>
      <c r="JL222" s="712"/>
      <c r="KC222" s="713"/>
      <c r="KD222" s="712"/>
      <c r="KU222" s="713"/>
      <c r="KV222" s="712"/>
      <c r="LM222" s="713"/>
      <c r="LN222" s="712"/>
      <c r="ME222" s="713"/>
      <c r="MF222" s="712"/>
      <c r="MW222" s="713"/>
      <c r="MX222" s="2222"/>
      <c r="MY222" s="2223"/>
      <c r="MZ222" s="642"/>
      <c r="NO222" s="713"/>
      <c r="NP222" s="2222" t="s">
        <v>302</v>
      </c>
      <c r="NQ222" s="2223"/>
      <c r="NR222" s="642">
        <f>NR215/NR221^2</f>
        <v>1.7808408352127335E-4</v>
      </c>
      <c r="OG222" s="713"/>
      <c r="OH222" s="712"/>
      <c r="OY222" s="713"/>
      <c r="OZ222" s="2222" t="s">
        <v>302</v>
      </c>
      <c r="PA222" s="2223"/>
      <c r="PB222" s="642">
        <f>PB215/PB221^2</f>
        <v>4.127712642764462E-4</v>
      </c>
      <c r="PQ222" s="713"/>
      <c r="PR222" s="712"/>
      <c r="QI222" s="713"/>
      <c r="QJ222" s="712"/>
      <c r="RA222" s="713"/>
      <c r="RB222" s="2222"/>
      <c r="RC222" s="2223"/>
      <c r="RD222" s="642"/>
      <c r="RS222" s="713"/>
      <c r="RT222" s="2222"/>
      <c r="RU222" s="2223"/>
      <c r="RV222" s="642"/>
      <c r="SK222" s="713"/>
      <c r="SL222" s="2222" t="s">
        <v>302</v>
      </c>
      <c r="SM222" s="2223"/>
      <c r="SN222" s="642">
        <f>SN215/SN221^2</f>
        <v>1.8701909809240989E-5</v>
      </c>
      <c r="TC222" s="713"/>
      <c r="TD222" s="2222" t="s">
        <v>302</v>
      </c>
      <c r="TE222" s="2223"/>
      <c r="TF222" s="642">
        <f>TF215/TF221^2</f>
        <v>1.0220248194176883E-3</v>
      </c>
      <c r="TU222" s="713"/>
      <c r="TV222" s="712"/>
      <c r="UM222" s="713"/>
      <c r="UN222" s="2222" t="s">
        <v>302</v>
      </c>
      <c r="UO222" s="2223"/>
      <c r="UP222" s="642">
        <f>UP215/UP221^2</f>
        <v>4.2967296671642863E-5</v>
      </c>
      <c r="VE222" s="713"/>
    </row>
    <row r="223" spans="2:577" x14ac:dyDescent="0.25">
      <c r="B223" s="712"/>
      <c r="S223" s="713"/>
      <c r="T223" s="712"/>
      <c r="AK223" s="713"/>
      <c r="AL223" s="712"/>
      <c r="BC223" s="713"/>
      <c r="BD223" s="712"/>
      <c r="BU223" s="713"/>
      <c r="BV223" s="712"/>
      <c r="CM223" s="713"/>
      <c r="CN223" s="712"/>
      <c r="DE223" s="713"/>
      <c r="DF223" s="712"/>
      <c r="DW223" s="713"/>
      <c r="DX223" s="712"/>
      <c r="EO223" s="713"/>
      <c r="EP223" s="712"/>
      <c r="FG223" s="713"/>
      <c r="FH223" s="712"/>
      <c r="FY223" s="713"/>
      <c r="FZ223" s="712"/>
      <c r="GQ223" s="713"/>
      <c r="GR223" s="712"/>
      <c r="HI223" s="713"/>
      <c r="HJ223" s="712"/>
      <c r="IA223" s="713"/>
      <c r="IB223" s="712"/>
      <c r="IS223" s="713"/>
      <c r="IT223" s="712"/>
      <c r="JK223" s="713"/>
      <c r="JL223" s="712"/>
      <c r="KC223" s="713"/>
      <c r="KD223" s="712"/>
      <c r="KU223" s="713"/>
      <c r="KV223" s="712"/>
      <c r="LM223" s="713"/>
      <c r="LN223" s="712"/>
      <c r="ME223" s="713"/>
      <c r="MF223" s="712"/>
      <c r="MW223" s="713"/>
      <c r="MX223" s="712"/>
      <c r="NO223" s="713"/>
      <c r="NP223" s="712"/>
      <c r="OG223" s="713"/>
      <c r="OH223" s="712"/>
      <c r="OY223" s="713"/>
      <c r="OZ223" s="712"/>
      <c r="PQ223" s="713"/>
      <c r="PR223" s="712"/>
      <c r="QI223" s="713"/>
      <c r="QJ223" s="712"/>
      <c r="RA223" s="713"/>
      <c r="RB223" s="712"/>
      <c r="RS223" s="713"/>
      <c r="RT223" s="712"/>
      <c r="SK223" s="713"/>
      <c r="SL223" s="712"/>
      <c r="TC223" s="713"/>
      <c r="TD223" s="712"/>
      <c r="TU223" s="713"/>
      <c r="TV223" s="712"/>
      <c r="UM223" s="713"/>
      <c r="UN223" s="712"/>
      <c r="VE223" s="713"/>
    </row>
    <row r="224" spans="2:577" x14ac:dyDescent="0.25">
      <c r="B224" s="2222" t="s">
        <v>88</v>
      </c>
      <c r="C224" s="2223"/>
      <c r="D224" s="2090">
        <v>3</v>
      </c>
      <c r="F224" s="722"/>
      <c r="G224" s="722"/>
      <c r="H224" s="722"/>
      <c r="I224" s="722"/>
      <c r="S224" s="713"/>
      <c r="T224" s="712"/>
      <c r="AK224" s="713"/>
      <c r="AL224" s="712"/>
      <c r="BC224" s="713"/>
      <c r="BD224" s="2222" t="s">
        <v>88</v>
      </c>
      <c r="BE224" s="2223"/>
      <c r="BF224" s="722">
        <v>2.5</v>
      </c>
      <c r="BU224" s="713"/>
      <c r="BV224" s="2222" t="s">
        <v>88</v>
      </c>
      <c r="BW224" s="2223"/>
      <c r="BX224" s="722">
        <v>2.5</v>
      </c>
      <c r="CM224" s="713"/>
      <c r="CN224" s="2222" t="s">
        <v>88</v>
      </c>
      <c r="CO224" s="2223"/>
      <c r="CP224" s="722">
        <v>2.5</v>
      </c>
      <c r="DE224" s="713"/>
      <c r="DF224" s="712"/>
      <c r="DW224" s="713"/>
      <c r="DX224" s="712"/>
      <c r="EO224" s="713"/>
      <c r="EP224" s="2222" t="s">
        <v>88</v>
      </c>
      <c r="EQ224" s="2223"/>
      <c r="ER224" s="722">
        <v>2.5</v>
      </c>
      <c r="FG224" s="713"/>
      <c r="FH224" s="712"/>
      <c r="FY224" s="713"/>
      <c r="FZ224" s="712"/>
      <c r="GQ224" s="713"/>
      <c r="GR224" s="712"/>
      <c r="HI224" s="713"/>
      <c r="HJ224" s="712"/>
      <c r="IA224" s="713"/>
      <c r="IB224" s="712"/>
      <c r="IS224" s="713"/>
      <c r="IT224" s="712"/>
      <c r="JK224" s="713"/>
      <c r="JL224" s="712"/>
      <c r="KC224" s="713"/>
      <c r="KD224" s="712"/>
      <c r="KU224" s="713"/>
      <c r="KV224" s="712"/>
      <c r="LM224" s="713"/>
      <c r="LN224" s="712"/>
      <c r="ME224" s="713"/>
      <c r="MF224" s="712"/>
      <c r="MW224" s="713"/>
      <c r="MX224" s="2222"/>
      <c r="MY224" s="2223"/>
      <c r="MZ224" s="722"/>
      <c r="NO224" s="713"/>
      <c r="NP224" s="2222" t="s">
        <v>88</v>
      </c>
      <c r="NQ224" s="2223"/>
      <c r="NR224" s="722">
        <v>2.5</v>
      </c>
      <c r="OG224" s="713"/>
      <c r="OH224" s="712"/>
      <c r="OY224" s="713"/>
      <c r="OZ224" s="2222" t="s">
        <v>88</v>
      </c>
      <c r="PA224" s="2223"/>
      <c r="PB224" s="722">
        <v>2.5</v>
      </c>
      <c r="PQ224" s="713"/>
      <c r="PR224" s="712"/>
      <c r="QI224" s="713"/>
      <c r="QJ224" s="712"/>
      <c r="RA224" s="713"/>
      <c r="RB224" s="2222"/>
      <c r="RC224" s="2223"/>
      <c r="RD224" s="722"/>
      <c r="RS224" s="713"/>
      <c r="RT224" s="2222"/>
      <c r="RU224" s="2223"/>
      <c r="RV224" s="722"/>
      <c r="SK224" s="713"/>
      <c r="SL224" s="2222" t="s">
        <v>88</v>
      </c>
      <c r="SM224" s="2223"/>
      <c r="SN224" s="722">
        <v>2.5</v>
      </c>
      <c r="TC224" s="713"/>
      <c r="TD224" s="2222" t="s">
        <v>88</v>
      </c>
      <c r="TE224" s="2223"/>
      <c r="TF224" s="722">
        <v>2.5</v>
      </c>
      <c r="TU224" s="713"/>
      <c r="TV224" s="712"/>
      <c r="UM224" s="713"/>
      <c r="UN224" s="2222" t="s">
        <v>88</v>
      </c>
      <c r="UO224" s="2223"/>
      <c r="UP224" s="722">
        <v>2.5</v>
      </c>
      <c r="VE224" s="713"/>
    </row>
    <row r="225" spans="2:577" ht="15.75" thickBot="1" x14ac:dyDescent="0.3">
      <c r="B225" s="2224" t="s">
        <v>303</v>
      </c>
      <c r="C225" s="2225"/>
      <c r="D225" s="2092">
        <f>D215/D224^2</f>
        <v>4.1616040773446343E-3</v>
      </c>
      <c r="E225" s="724"/>
      <c r="F225" s="701"/>
      <c r="G225" s="701"/>
      <c r="H225" s="701"/>
      <c r="I225" s="701"/>
      <c r="J225" s="724"/>
      <c r="K225" s="724"/>
      <c r="L225" s="724"/>
      <c r="M225" s="724"/>
      <c r="N225" s="724"/>
      <c r="O225" s="724"/>
      <c r="P225" s="724"/>
      <c r="Q225" s="724"/>
      <c r="R225" s="724"/>
      <c r="S225" s="593"/>
      <c r="T225" s="723"/>
      <c r="U225" s="724"/>
      <c r="V225" s="724"/>
      <c r="W225" s="724"/>
      <c r="X225" s="724"/>
      <c r="Y225" s="724"/>
      <c r="Z225" s="724"/>
      <c r="AA225" s="724"/>
      <c r="AB225" s="724"/>
      <c r="AC225" s="724"/>
      <c r="AD225" s="724"/>
      <c r="AE225" s="724"/>
      <c r="AF225" s="724"/>
      <c r="AG225" s="724"/>
      <c r="AH225" s="724"/>
      <c r="AI225" s="724"/>
      <c r="AJ225" s="724"/>
      <c r="AK225" s="593"/>
      <c r="AL225" s="723"/>
      <c r="AM225" s="724"/>
      <c r="AN225" s="724"/>
      <c r="AO225" s="724"/>
      <c r="AP225" s="724"/>
      <c r="AQ225" s="724"/>
      <c r="AR225" s="724"/>
      <c r="AS225" s="724"/>
      <c r="AT225" s="724"/>
      <c r="AU225" s="724"/>
      <c r="AV225" s="724"/>
      <c r="AW225" s="724"/>
      <c r="AX225" s="724"/>
      <c r="AY225" s="724"/>
      <c r="AZ225" s="724"/>
      <c r="BA225" s="724"/>
      <c r="BB225" s="724"/>
      <c r="BC225" s="593"/>
      <c r="BD225" s="2224" t="s">
        <v>303</v>
      </c>
      <c r="BE225" s="2225"/>
      <c r="BF225" s="701">
        <f>BF215/BF224^2</f>
        <v>9.5436519183763344E-4</v>
      </c>
      <c r="BG225" s="724"/>
      <c r="BH225" s="724"/>
      <c r="BI225" s="724"/>
      <c r="BJ225" s="724"/>
      <c r="BK225" s="724"/>
      <c r="BL225" s="724"/>
      <c r="BM225" s="724"/>
      <c r="BN225" s="724"/>
      <c r="BO225" s="724"/>
      <c r="BP225" s="724"/>
      <c r="BQ225" s="724"/>
      <c r="BR225" s="724"/>
      <c r="BS225" s="724"/>
      <c r="BT225" s="724"/>
      <c r="BU225" s="593"/>
      <c r="BV225" s="2224" t="s">
        <v>303</v>
      </c>
      <c r="BW225" s="2225"/>
      <c r="BX225" s="701">
        <f>BX215/BX224^2</f>
        <v>3.9280612826921692E-5</v>
      </c>
      <c r="BY225" s="724"/>
      <c r="BZ225" s="724"/>
      <c r="CA225" s="724"/>
      <c r="CB225" s="724"/>
      <c r="CC225" s="724"/>
      <c r="CD225" s="724"/>
      <c r="CE225" s="724"/>
      <c r="CF225" s="724"/>
      <c r="CG225" s="724"/>
      <c r="CH225" s="724"/>
      <c r="CI225" s="724"/>
      <c r="CJ225" s="724"/>
      <c r="CK225" s="724"/>
      <c r="CL225" s="724"/>
      <c r="CM225" s="593"/>
      <c r="CN225" s="2224" t="s">
        <v>305</v>
      </c>
      <c r="CO225" s="2225"/>
      <c r="CP225" s="701">
        <f>CP215/CP224^2</f>
        <v>2.229440187473934E-3</v>
      </c>
      <c r="CQ225" s="724"/>
      <c r="CR225" s="724"/>
      <c r="CS225" s="724"/>
      <c r="CT225" s="724"/>
      <c r="CU225" s="724"/>
      <c r="CV225" s="724"/>
      <c r="CW225" s="724"/>
      <c r="CX225" s="724"/>
      <c r="CY225" s="724"/>
      <c r="CZ225" s="724"/>
      <c r="DA225" s="724"/>
      <c r="DB225" s="724"/>
      <c r="DC225" s="724"/>
      <c r="DD225" s="724"/>
      <c r="DE225" s="593"/>
      <c r="DF225" s="723"/>
      <c r="DG225" s="724"/>
      <c r="DH225" s="724"/>
      <c r="DI225" s="724"/>
      <c r="DJ225" s="724"/>
      <c r="DK225" s="724"/>
      <c r="DL225" s="724"/>
      <c r="DM225" s="724"/>
      <c r="DN225" s="724"/>
      <c r="DO225" s="724"/>
      <c r="DP225" s="724"/>
      <c r="DQ225" s="724"/>
      <c r="DR225" s="724"/>
      <c r="DS225" s="724"/>
      <c r="DT225" s="724"/>
      <c r="DU225" s="724"/>
      <c r="DV225" s="724"/>
      <c r="DW225" s="593"/>
      <c r="DX225" s="723"/>
      <c r="DY225" s="724"/>
      <c r="DZ225" s="724"/>
      <c r="EA225" s="724"/>
      <c r="EB225" s="724"/>
      <c r="EC225" s="724"/>
      <c r="ED225" s="724"/>
      <c r="EE225" s="724"/>
      <c r="EF225" s="724"/>
      <c r="EG225" s="724"/>
      <c r="EH225" s="724"/>
      <c r="EI225" s="724"/>
      <c r="EJ225" s="724"/>
      <c r="EK225" s="724"/>
      <c r="EL225" s="724"/>
      <c r="EM225" s="724"/>
      <c r="EN225" s="724"/>
      <c r="EO225" s="593"/>
      <c r="EP225" s="2224" t="s">
        <v>303</v>
      </c>
      <c r="EQ225" s="2225"/>
      <c r="ER225" s="701">
        <f>ER215/ER224^2</f>
        <v>3.0011085394993824E-6</v>
      </c>
      <c r="ES225" s="724"/>
      <c r="ET225" s="724"/>
      <c r="EU225" s="724"/>
      <c r="EV225" s="724"/>
      <c r="EW225" s="724"/>
      <c r="EX225" s="724"/>
      <c r="EY225" s="724"/>
      <c r="EZ225" s="724"/>
      <c r="FA225" s="724"/>
      <c r="FB225" s="724"/>
      <c r="FC225" s="724"/>
      <c r="FD225" s="724"/>
      <c r="FE225" s="724"/>
      <c r="FF225" s="724"/>
      <c r="FG225" s="593"/>
      <c r="FH225" s="723"/>
      <c r="FI225" s="724"/>
      <c r="FJ225" s="724"/>
      <c r="FK225" s="724"/>
      <c r="FL225" s="724"/>
      <c r="FM225" s="724"/>
      <c r="FN225" s="724"/>
      <c r="FO225" s="724"/>
      <c r="FP225" s="724"/>
      <c r="FQ225" s="724"/>
      <c r="FR225" s="724"/>
      <c r="FS225" s="724"/>
      <c r="FT225" s="724"/>
      <c r="FU225" s="724"/>
      <c r="FV225" s="724"/>
      <c r="FW225" s="724"/>
      <c r="FX225" s="724"/>
      <c r="FY225" s="593"/>
      <c r="FZ225" s="723"/>
      <c r="GA225" s="724"/>
      <c r="GB225" s="724"/>
      <c r="GC225" s="724"/>
      <c r="GD225" s="724"/>
      <c r="GE225" s="724"/>
      <c r="GF225" s="724"/>
      <c r="GG225" s="724"/>
      <c r="GH225" s="724"/>
      <c r="GI225" s="724"/>
      <c r="GJ225" s="724"/>
      <c r="GK225" s="724"/>
      <c r="GL225" s="724"/>
      <c r="GM225" s="724"/>
      <c r="GN225" s="724"/>
      <c r="GO225" s="724"/>
      <c r="GP225" s="724"/>
      <c r="GQ225" s="593"/>
      <c r="GR225" s="723"/>
      <c r="GS225" s="724"/>
      <c r="GT225" s="724"/>
      <c r="GU225" s="724"/>
      <c r="GV225" s="724"/>
      <c r="GW225" s="724"/>
      <c r="GX225" s="724"/>
      <c r="GY225" s="724"/>
      <c r="GZ225" s="724"/>
      <c r="HA225" s="724"/>
      <c r="HB225" s="724"/>
      <c r="HC225" s="724"/>
      <c r="HD225" s="724"/>
      <c r="HE225" s="724"/>
      <c r="HF225" s="724"/>
      <c r="HG225" s="724"/>
      <c r="HH225" s="724"/>
      <c r="HI225" s="593"/>
      <c r="HJ225" s="723"/>
      <c r="HK225" s="724"/>
      <c r="HL225" s="724"/>
      <c r="HM225" s="724"/>
      <c r="HN225" s="724"/>
      <c r="HO225" s="724"/>
      <c r="HP225" s="724"/>
      <c r="HQ225" s="724"/>
      <c r="HR225" s="724"/>
      <c r="HS225" s="724"/>
      <c r="HT225" s="724"/>
      <c r="HU225" s="724"/>
      <c r="HV225" s="724"/>
      <c r="HW225" s="724"/>
      <c r="HX225" s="724"/>
      <c r="HY225" s="724"/>
      <c r="HZ225" s="724"/>
      <c r="IA225" s="593"/>
      <c r="IB225" s="723"/>
      <c r="IC225" s="724"/>
      <c r="ID225" s="724"/>
      <c r="IE225" s="724"/>
      <c r="IF225" s="724"/>
      <c r="IG225" s="724"/>
      <c r="IH225" s="724"/>
      <c r="II225" s="724"/>
      <c r="IJ225" s="724"/>
      <c r="IK225" s="724"/>
      <c r="IL225" s="724"/>
      <c r="IM225" s="724"/>
      <c r="IN225" s="724"/>
      <c r="IO225" s="724"/>
      <c r="IP225" s="724"/>
      <c r="IQ225" s="724"/>
      <c r="IR225" s="724"/>
      <c r="IS225" s="593"/>
      <c r="IT225" s="723"/>
      <c r="IU225" s="724"/>
      <c r="IV225" s="724"/>
      <c r="IW225" s="724"/>
      <c r="IX225" s="724"/>
      <c r="IY225" s="724"/>
      <c r="IZ225" s="724"/>
      <c r="JA225" s="724"/>
      <c r="JB225" s="724"/>
      <c r="JC225" s="724"/>
      <c r="JD225" s="724"/>
      <c r="JE225" s="724"/>
      <c r="JF225" s="724"/>
      <c r="JG225" s="724"/>
      <c r="JH225" s="724"/>
      <c r="JI225" s="724"/>
      <c r="JJ225" s="724"/>
      <c r="JK225" s="593"/>
      <c r="JL225" s="723"/>
      <c r="JM225" s="724"/>
      <c r="JN225" s="724"/>
      <c r="JO225" s="724"/>
      <c r="JP225" s="724"/>
      <c r="JQ225" s="724"/>
      <c r="JR225" s="724"/>
      <c r="JS225" s="724"/>
      <c r="JT225" s="724"/>
      <c r="JU225" s="724"/>
      <c r="JV225" s="724"/>
      <c r="JW225" s="724"/>
      <c r="JX225" s="724"/>
      <c r="JY225" s="724"/>
      <c r="JZ225" s="724"/>
      <c r="KA225" s="724"/>
      <c r="KB225" s="724"/>
      <c r="KC225" s="593"/>
      <c r="KD225" s="723"/>
      <c r="KE225" s="724"/>
      <c r="KF225" s="724"/>
      <c r="KG225" s="724"/>
      <c r="KH225" s="724"/>
      <c r="KI225" s="724"/>
      <c r="KJ225" s="724"/>
      <c r="KK225" s="724"/>
      <c r="KL225" s="724"/>
      <c r="KM225" s="724"/>
      <c r="KN225" s="724"/>
      <c r="KO225" s="724"/>
      <c r="KP225" s="724"/>
      <c r="KQ225" s="724"/>
      <c r="KR225" s="724"/>
      <c r="KS225" s="724"/>
      <c r="KT225" s="724"/>
      <c r="KU225" s="593"/>
      <c r="KV225" s="723"/>
      <c r="KW225" s="724"/>
      <c r="KX225" s="724"/>
      <c r="KY225" s="724"/>
      <c r="KZ225" s="724"/>
      <c r="LA225" s="724"/>
      <c r="LB225" s="724"/>
      <c r="LC225" s="724"/>
      <c r="LD225" s="724"/>
      <c r="LE225" s="724"/>
      <c r="LF225" s="724"/>
      <c r="LG225" s="724"/>
      <c r="LH225" s="724"/>
      <c r="LI225" s="724"/>
      <c r="LJ225" s="724"/>
      <c r="LK225" s="724"/>
      <c r="LL225" s="724"/>
      <c r="LM225" s="593"/>
      <c r="LN225" s="723"/>
      <c r="LO225" s="724"/>
      <c r="LP225" s="724"/>
      <c r="LQ225" s="724"/>
      <c r="LR225" s="724"/>
      <c r="LS225" s="724"/>
      <c r="LT225" s="724"/>
      <c r="LU225" s="724"/>
      <c r="LV225" s="724"/>
      <c r="LW225" s="724"/>
      <c r="LX225" s="724"/>
      <c r="LY225" s="724"/>
      <c r="LZ225" s="724"/>
      <c r="MA225" s="724"/>
      <c r="MB225" s="724"/>
      <c r="MC225" s="724"/>
      <c r="MD225" s="724"/>
      <c r="ME225" s="593"/>
      <c r="MF225" s="723"/>
      <c r="MG225" s="724"/>
      <c r="MH225" s="724"/>
      <c r="MI225" s="724"/>
      <c r="MJ225" s="724"/>
      <c r="MK225" s="724"/>
      <c r="ML225" s="724"/>
      <c r="MM225" s="724"/>
      <c r="MN225" s="724"/>
      <c r="MO225" s="724"/>
      <c r="MP225" s="724"/>
      <c r="MQ225" s="724"/>
      <c r="MR225" s="724"/>
      <c r="MS225" s="724"/>
      <c r="MT225" s="724"/>
      <c r="MU225" s="724"/>
      <c r="MV225" s="724"/>
      <c r="MW225" s="593"/>
      <c r="MX225" s="2224"/>
      <c r="MY225" s="2225"/>
      <c r="MZ225" s="701"/>
      <c r="NA225" s="724"/>
      <c r="NB225" s="724"/>
      <c r="NC225" s="724"/>
      <c r="ND225" s="724"/>
      <c r="NE225" s="724"/>
      <c r="NF225" s="724"/>
      <c r="NG225" s="724"/>
      <c r="NH225" s="724"/>
      <c r="NI225" s="724"/>
      <c r="NJ225" s="724"/>
      <c r="NK225" s="724"/>
      <c r="NL225" s="724"/>
      <c r="NM225" s="724"/>
      <c r="NN225" s="724"/>
      <c r="NO225" s="593"/>
      <c r="NP225" s="2224" t="s">
        <v>303</v>
      </c>
      <c r="NQ225" s="2225"/>
      <c r="NR225" s="701">
        <f>NR215/NR224^2</f>
        <v>6.4110270067658403E-5</v>
      </c>
      <c r="NS225" s="724"/>
      <c r="NT225" s="724"/>
      <c r="NU225" s="724"/>
      <c r="NV225" s="724"/>
      <c r="NW225" s="724"/>
      <c r="NX225" s="724"/>
      <c r="NY225" s="724"/>
      <c r="NZ225" s="724"/>
      <c r="OA225" s="724"/>
      <c r="OB225" s="724"/>
      <c r="OC225" s="724"/>
      <c r="OD225" s="724"/>
      <c r="OE225" s="724"/>
      <c r="OF225" s="724"/>
      <c r="OG225" s="593"/>
      <c r="OH225" s="723"/>
      <c r="OI225" s="724"/>
      <c r="OJ225" s="724"/>
      <c r="OK225" s="724"/>
      <c r="OL225" s="724"/>
      <c r="OM225" s="724"/>
      <c r="ON225" s="724"/>
      <c r="OO225" s="724"/>
      <c r="OP225" s="724"/>
      <c r="OQ225" s="724"/>
      <c r="OR225" s="724"/>
      <c r="OS225" s="724"/>
      <c r="OT225" s="724"/>
      <c r="OU225" s="724"/>
      <c r="OV225" s="724"/>
      <c r="OW225" s="724"/>
      <c r="OX225" s="724"/>
      <c r="OY225" s="593"/>
      <c r="OZ225" s="2224" t="s">
        <v>303</v>
      </c>
      <c r="PA225" s="2225"/>
      <c r="PB225" s="701">
        <f>PB215/PB224^2</f>
        <v>1.4859765513952064E-4</v>
      </c>
      <c r="PC225" s="724"/>
      <c r="PD225" s="724"/>
      <c r="PE225" s="724"/>
      <c r="PF225" s="724"/>
      <c r="PG225" s="724"/>
      <c r="PH225" s="724"/>
      <c r="PI225" s="724"/>
      <c r="PJ225" s="724"/>
      <c r="PK225" s="724"/>
      <c r="PL225" s="724"/>
      <c r="PM225" s="724"/>
      <c r="PN225" s="724"/>
      <c r="PO225" s="724"/>
      <c r="PP225" s="724"/>
      <c r="PQ225" s="593"/>
      <c r="PR225" s="723"/>
      <c r="PS225" s="724"/>
      <c r="PT225" s="724"/>
      <c r="PU225" s="724"/>
      <c r="PV225" s="724"/>
      <c r="PW225" s="724"/>
      <c r="PX225" s="724"/>
      <c r="PY225" s="724"/>
      <c r="PZ225" s="724"/>
      <c r="QA225" s="724"/>
      <c r="QB225" s="724"/>
      <c r="QC225" s="724"/>
      <c r="QD225" s="724"/>
      <c r="QE225" s="724"/>
      <c r="QF225" s="724"/>
      <c r="QG225" s="724"/>
      <c r="QH225" s="724"/>
      <c r="QI225" s="593"/>
      <c r="QJ225" s="723"/>
      <c r="QK225" s="724"/>
      <c r="QL225" s="724"/>
      <c r="QM225" s="724"/>
      <c r="QN225" s="724"/>
      <c r="QO225" s="724"/>
      <c r="QP225" s="724"/>
      <c r="QQ225" s="724"/>
      <c r="QR225" s="724"/>
      <c r="QS225" s="724"/>
      <c r="QT225" s="724"/>
      <c r="QU225" s="724"/>
      <c r="QV225" s="724"/>
      <c r="QW225" s="724"/>
      <c r="QX225" s="724"/>
      <c r="QY225" s="724"/>
      <c r="QZ225" s="724"/>
      <c r="RA225" s="593"/>
      <c r="RB225" s="2224"/>
      <c r="RC225" s="2225"/>
      <c r="RD225" s="701"/>
      <c r="RE225" s="724"/>
      <c r="RF225" s="724"/>
      <c r="RG225" s="724"/>
      <c r="RH225" s="724"/>
      <c r="RI225" s="724"/>
      <c r="RJ225" s="724"/>
      <c r="RK225" s="724"/>
      <c r="RL225" s="724"/>
      <c r="RM225" s="724"/>
      <c r="RN225" s="724"/>
      <c r="RO225" s="724"/>
      <c r="RP225" s="724"/>
      <c r="RQ225" s="724"/>
      <c r="RR225" s="724"/>
      <c r="RS225" s="593"/>
      <c r="RT225" s="2224"/>
      <c r="RU225" s="2225"/>
      <c r="RV225" s="701"/>
      <c r="RW225" s="724"/>
      <c r="RX225" s="724"/>
      <c r="RY225" s="724"/>
      <c r="RZ225" s="724"/>
      <c r="SA225" s="724"/>
      <c r="SB225" s="724"/>
      <c r="SC225" s="724"/>
      <c r="SD225" s="724"/>
      <c r="SE225" s="724"/>
      <c r="SF225" s="724"/>
      <c r="SG225" s="724"/>
      <c r="SH225" s="724"/>
      <c r="SI225" s="724"/>
      <c r="SJ225" s="724"/>
      <c r="SK225" s="593"/>
      <c r="SL225" s="2224" t="s">
        <v>303</v>
      </c>
      <c r="SM225" s="2225"/>
      <c r="SN225" s="701">
        <f>SN215/SN224^2</f>
        <v>6.7326875313267554E-6</v>
      </c>
      <c r="SO225" s="724"/>
      <c r="SP225" s="724"/>
      <c r="SQ225" s="724"/>
      <c r="SR225" s="724"/>
      <c r="SS225" s="724"/>
      <c r="ST225" s="724"/>
      <c r="SU225" s="724"/>
      <c r="SV225" s="724"/>
      <c r="SW225" s="724"/>
      <c r="SX225" s="724"/>
      <c r="SY225" s="724"/>
      <c r="SZ225" s="724"/>
      <c r="TA225" s="724"/>
      <c r="TB225" s="724"/>
      <c r="TC225" s="593"/>
      <c r="TD225" s="2224" t="s">
        <v>303</v>
      </c>
      <c r="TE225" s="2225"/>
      <c r="TF225" s="701">
        <f>TF215/TF224^2</f>
        <v>3.6792893499036779E-4</v>
      </c>
      <c r="TG225" s="724"/>
      <c r="TH225" s="724"/>
      <c r="TI225" s="724"/>
      <c r="TJ225" s="724"/>
      <c r="TK225" s="724"/>
      <c r="TL225" s="724"/>
      <c r="TM225" s="724"/>
      <c r="TN225" s="724"/>
      <c r="TO225" s="724"/>
      <c r="TP225" s="724"/>
      <c r="TQ225" s="724"/>
      <c r="TR225" s="724"/>
      <c r="TS225" s="724"/>
      <c r="TT225" s="724"/>
      <c r="TU225" s="593"/>
      <c r="TV225" s="723"/>
      <c r="TW225" s="724"/>
      <c r="TX225" s="724"/>
      <c r="TY225" s="724"/>
      <c r="TZ225" s="724"/>
      <c r="UA225" s="724"/>
      <c r="UB225" s="724"/>
      <c r="UC225" s="724"/>
      <c r="UD225" s="724"/>
      <c r="UE225" s="724"/>
      <c r="UF225" s="724"/>
      <c r="UG225" s="724"/>
      <c r="UH225" s="724"/>
      <c r="UI225" s="724"/>
      <c r="UJ225" s="724"/>
      <c r="UK225" s="724"/>
      <c r="UL225" s="724"/>
      <c r="UM225" s="593"/>
      <c r="UN225" s="2224" t="s">
        <v>303</v>
      </c>
      <c r="UO225" s="2225"/>
      <c r="UP225" s="701">
        <f>UP215/UP224^2</f>
        <v>1.546822680179143E-5</v>
      </c>
      <c r="UQ225" s="724"/>
      <c r="UR225" s="724"/>
      <c r="US225" s="724"/>
      <c r="UT225" s="724"/>
      <c r="UU225" s="724"/>
      <c r="UV225" s="724"/>
      <c r="UW225" s="724"/>
      <c r="UX225" s="724"/>
      <c r="UY225" s="724"/>
      <c r="UZ225" s="724"/>
      <c r="VA225" s="724"/>
      <c r="VB225" s="724"/>
      <c r="VC225" s="724"/>
      <c r="VD225" s="724"/>
      <c r="VE225" s="593"/>
    </row>
    <row r="226" spans="2:577" ht="15.75" thickBot="1" x14ac:dyDescent="0.3"/>
    <row r="227" spans="2:577" ht="15.75" thickBot="1" x14ac:dyDescent="0.3">
      <c r="L227" s="2125"/>
      <c r="M227" s="2138" t="s">
        <v>1339</v>
      </c>
      <c r="N227" s="2134">
        <f>DATE(O227,(P227),Q227)</f>
        <v>42576</v>
      </c>
      <c r="O227" s="2135">
        <v>2016</v>
      </c>
      <c r="P227" s="2136">
        <v>7</v>
      </c>
      <c r="Q227" s="2137">
        <v>25</v>
      </c>
      <c r="RN227" s="642"/>
    </row>
    <row r="228" spans="2:577" ht="15.75" thickBot="1" x14ac:dyDescent="0.3">
      <c r="C228" s="56"/>
      <c r="L228" s="2125"/>
      <c r="M228" s="2138" t="s">
        <v>1340</v>
      </c>
      <c r="N228" s="2134">
        <v>42941</v>
      </c>
      <c r="O228" s="2135">
        <v>2021</v>
      </c>
      <c r="P228" s="2137">
        <v>10</v>
      </c>
      <c r="Q228" s="2137">
        <v>11</v>
      </c>
    </row>
    <row r="229" spans="2:577" ht="15.75" thickBot="1" x14ac:dyDescent="0.3">
      <c r="I229" s="56" t="s">
        <v>1064</v>
      </c>
      <c r="J229" s="56" t="s">
        <v>1065</v>
      </c>
      <c r="K229" s="56" t="s">
        <v>1080</v>
      </c>
      <c r="L229" s="2126"/>
      <c r="M229" s="2139" t="s">
        <v>1341</v>
      </c>
      <c r="N229" s="2140">
        <f>N228-N227</f>
        <v>365</v>
      </c>
    </row>
    <row r="230" spans="2:577" x14ac:dyDescent="0.25">
      <c r="B230" s="664">
        <v>20.6</v>
      </c>
      <c r="C230" s="667">
        <v>54</v>
      </c>
      <c r="D230" s="667">
        <v>1009</v>
      </c>
      <c r="E230" s="651">
        <v>-5.3789999999999997E-9</v>
      </c>
      <c r="F230" s="667">
        <v>60</v>
      </c>
      <c r="G230" s="663">
        <v>43402</v>
      </c>
      <c r="H230" s="651" t="str">
        <f>IF(AND(ABS(E230)&gt;=$F$42,ABS(E230)&lt;=$G$42),E230*$D$42,IF(AND(ABS(E230)&gt;=$F$43,ABS(E230)&lt;=$G$43),E230*$D$43,IF(AND(ABS(E230)&gt;=$F$44,ABS(E230)&lt;=$G$44),E230*$D$44,"rango cal. out")))</f>
        <v>rango cal. out</v>
      </c>
      <c r="I230" s="642" t="e">
        <f>ABS(H230)</f>
        <v>#VALUE!</v>
      </c>
      <c r="J230" s="560" t="e">
        <f t="shared" ref="J230:J244" si="1417">I230/MAX($I$230:$I$244)</f>
        <v>#VALUE!</v>
      </c>
      <c r="K230" s="560">
        <v>0</v>
      </c>
      <c r="L230" s="2125"/>
      <c r="M230" s="2125"/>
    </row>
    <row r="231" spans="2:577" x14ac:dyDescent="0.25">
      <c r="B231" s="668">
        <v>20.399999999999999</v>
      </c>
      <c r="C231" s="673">
        <v>54</v>
      </c>
      <c r="D231" s="673">
        <v>1009</v>
      </c>
      <c r="E231" s="671">
        <v>-5.3780000000000002E-9</v>
      </c>
      <c r="F231" s="673">
        <v>60</v>
      </c>
      <c r="G231" s="650">
        <v>43402</v>
      </c>
      <c r="H231" s="651" t="str">
        <f t="shared" ref="H231:H244" si="1418">IF(AND(ABS(E231)&gt;=$F$42,ABS(E231)&lt;=$G$42),E231*$D$42,IF(AND(ABS(E231)&gt;=$F$43,ABS(E231)&lt;=$G$43),E231*$D$43,IF(AND(ABS(E231)&gt;=$F$44,ABS(E231)&lt;=$G$44),E231*$D$44,"rango cal. out")))</f>
        <v>rango cal. out</v>
      </c>
      <c r="I231" s="642" t="e">
        <f t="shared" ref="I231:I243" si="1419">ABS(H231)</f>
        <v>#VALUE!</v>
      </c>
      <c r="J231" s="560" t="e">
        <f t="shared" si="1417"/>
        <v>#VALUE!</v>
      </c>
      <c r="K231" s="560">
        <v>5</v>
      </c>
    </row>
    <row r="232" spans="2:577" x14ac:dyDescent="0.25">
      <c r="B232" s="668">
        <v>20.5</v>
      </c>
      <c r="C232" s="673">
        <v>56</v>
      </c>
      <c r="D232" s="673">
        <v>1009</v>
      </c>
      <c r="E232" s="671">
        <v>-5.3759999999999996E-9</v>
      </c>
      <c r="F232" s="673">
        <v>60</v>
      </c>
      <c r="G232" s="663">
        <v>43402</v>
      </c>
      <c r="H232" s="651" t="str">
        <f t="shared" si="1418"/>
        <v>rango cal. out</v>
      </c>
      <c r="I232" s="642" t="e">
        <f t="shared" si="1419"/>
        <v>#VALUE!</v>
      </c>
      <c r="J232" s="560" t="e">
        <f t="shared" si="1417"/>
        <v>#VALUE!</v>
      </c>
      <c r="K232" s="560">
        <v>10</v>
      </c>
    </row>
    <row r="233" spans="2:577" x14ac:dyDescent="0.25">
      <c r="B233" s="668">
        <v>20.5</v>
      </c>
      <c r="C233" s="673">
        <v>56</v>
      </c>
      <c r="D233" s="673">
        <v>1009</v>
      </c>
      <c r="E233" s="671">
        <v>-5.3739999999999998E-9</v>
      </c>
      <c r="F233" s="673">
        <v>60</v>
      </c>
      <c r="G233" s="650">
        <v>43402</v>
      </c>
      <c r="H233" s="651" t="str">
        <f t="shared" si="1418"/>
        <v>rango cal. out</v>
      </c>
      <c r="I233" s="642" t="e">
        <f t="shared" si="1419"/>
        <v>#VALUE!</v>
      </c>
      <c r="J233" s="560" t="e">
        <f t="shared" si="1417"/>
        <v>#VALUE!</v>
      </c>
      <c r="K233" s="560">
        <v>15</v>
      </c>
    </row>
    <row r="234" spans="2:577" x14ac:dyDescent="0.25">
      <c r="B234" s="668">
        <v>20.6</v>
      </c>
      <c r="C234" s="673">
        <v>53</v>
      </c>
      <c r="D234" s="673">
        <v>1009</v>
      </c>
      <c r="E234" s="671">
        <v>-5.3789999999999997E-9</v>
      </c>
      <c r="F234" s="673">
        <v>60</v>
      </c>
      <c r="G234" s="663">
        <v>43402</v>
      </c>
      <c r="H234" s="651" t="str">
        <f t="shared" si="1418"/>
        <v>rango cal. out</v>
      </c>
      <c r="I234" s="642" t="e">
        <f t="shared" si="1419"/>
        <v>#VALUE!</v>
      </c>
      <c r="J234" s="560" t="e">
        <f t="shared" si="1417"/>
        <v>#VALUE!</v>
      </c>
      <c r="K234" s="560">
        <v>20</v>
      </c>
    </row>
    <row r="235" spans="2:577" x14ac:dyDescent="0.25">
      <c r="B235" s="668">
        <v>20.3</v>
      </c>
      <c r="C235" s="673">
        <v>53</v>
      </c>
      <c r="D235" s="673">
        <v>1009</v>
      </c>
      <c r="E235" s="671">
        <v>-5.3780000000000002E-9</v>
      </c>
      <c r="F235" s="673">
        <v>60</v>
      </c>
      <c r="G235" s="650">
        <v>43402</v>
      </c>
      <c r="H235" s="651" t="str">
        <f t="shared" si="1418"/>
        <v>rango cal. out</v>
      </c>
      <c r="I235" s="642" t="e">
        <f t="shared" si="1419"/>
        <v>#VALUE!</v>
      </c>
      <c r="J235" s="560" t="e">
        <f t="shared" si="1417"/>
        <v>#VALUE!</v>
      </c>
      <c r="K235" s="560">
        <v>25</v>
      </c>
    </row>
    <row r="236" spans="2:577" x14ac:dyDescent="0.25">
      <c r="B236" s="668">
        <v>20.3</v>
      </c>
      <c r="C236" s="673">
        <v>55</v>
      </c>
      <c r="D236" s="673">
        <v>1009</v>
      </c>
      <c r="E236" s="671">
        <v>-5.3759999999999996E-9</v>
      </c>
      <c r="F236" s="673">
        <v>60</v>
      </c>
      <c r="G236" s="663">
        <v>43402</v>
      </c>
      <c r="H236" s="651" t="str">
        <f t="shared" si="1418"/>
        <v>rango cal. out</v>
      </c>
      <c r="I236" s="642" t="e">
        <f t="shared" si="1419"/>
        <v>#VALUE!</v>
      </c>
      <c r="J236" s="560" t="e">
        <f t="shared" si="1417"/>
        <v>#VALUE!</v>
      </c>
      <c r="K236" s="560">
        <v>30</v>
      </c>
    </row>
    <row r="237" spans="2:577" x14ac:dyDescent="0.25">
      <c r="B237" s="668">
        <v>20.399999999999999</v>
      </c>
      <c r="C237" s="673">
        <v>54</v>
      </c>
      <c r="D237" s="673">
        <v>1009</v>
      </c>
      <c r="E237" s="671">
        <v>-5.3739999999999998E-9</v>
      </c>
      <c r="F237" s="673">
        <v>60</v>
      </c>
      <c r="G237" s="650">
        <v>43402</v>
      </c>
      <c r="H237" s="651" t="str">
        <f t="shared" si="1418"/>
        <v>rango cal. out</v>
      </c>
      <c r="I237" s="642" t="e">
        <f t="shared" si="1419"/>
        <v>#VALUE!</v>
      </c>
      <c r="J237" s="560" t="e">
        <f t="shared" si="1417"/>
        <v>#VALUE!</v>
      </c>
      <c r="K237" s="560">
        <v>35</v>
      </c>
    </row>
    <row r="238" spans="2:577" x14ac:dyDescent="0.25">
      <c r="B238" s="668">
        <v>20.5</v>
      </c>
      <c r="C238" s="673">
        <v>55</v>
      </c>
      <c r="D238" s="673">
        <v>1009</v>
      </c>
      <c r="E238" s="671">
        <v>-5.3730000000000004E-9</v>
      </c>
      <c r="F238" s="673">
        <v>60</v>
      </c>
      <c r="G238" s="663">
        <v>43402</v>
      </c>
      <c r="H238" s="651" t="str">
        <f t="shared" si="1418"/>
        <v>rango cal. out</v>
      </c>
      <c r="I238" s="642" t="e">
        <f t="shared" si="1419"/>
        <v>#VALUE!</v>
      </c>
      <c r="J238" s="560" t="e">
        <f t="shared" si="1417"/>
        <v>#VALUE!</v>
      </c>
      <c r="K238" s="560">
        <v>40</v>
      </c>
    </row>
    <row r="239" spans="2:577" x14ac:dyDescent="0.25">
      <c r="B239" s="1542">
        <v>20.6</v>
      </c>
      <c r="C239" s="1543">
        <v>53</v>
      </c>
      <c r="D239" s="1543">
        <v>1009</v>
      </c>
      <c r="E239" s="1544">
        <v>-5.3730000000000004E-9</v>
      </c>
      <c r="F239" s="1543">
        <v>60</v>
      </c>
      <c r="G239" s="650">
        <v>43402</v>
      </c>
      <c r="H239" s="1545" t="str">
        <f t="shared" si="1418"/>
        <v>rango cal. out</v>
      </c>
      <c r="I239" s="642" t="e">
        <f t="shared" si="1419"/>
        <v>#VALUE!</v>
      </c>
      <c r="J239" s="560" t="e">
        <f t="shared" si="1417"/>
        <v>#VALUE!</v>
      </c>
      <c r="K239" s="560">
        <v>45</v>
      </c>
    </row>
    <row r="240" spans="2:577" x14ac:dyDescent="0.25">
      <c r="B240" s="1542">
        <v>20.7</v>
      </c>
      <c r="C240" s="1543">
        <v>53</v>
      </c>
      <c r="D240" s="1543">
        <v>1009</v>
      </c>
      <c r="E240" s="1544">
        <v>-5.3730000000000004E-9</v>
      </c>
      <c r="F240" s="1543">
        <v>60</v>
      </c>
      <c r="G240" s="663">
        <v>43402</v>
      </c>
      <c r="H240" s="1545" t="str">
        <f t="shared" si="1418"/>
        <v>rango cal. out</v>
      </c>
      <c r="I240" s="642" t="e">
        <f t="shared" si="1419"/>
        <v>#VALUE!</v>
      </c>
      <c r="J240" s="560" t="e">
        <f t="shared" si="1417"/>
        <v>#VALUE!</v>
      </c>
      <c r="K240" s="560">
        <v>50</v>
      </c>
    </row>
    <row r="241" spans="2:567" x14ac:dyDescent="0.25">
      <c r="B241" s="721">
        <v>20.5</v>
      </c>
      <c r="C241" s="1546">
        <v>52</v>
      </c>
      <c r="D241" s="1546">
        <v>1009</v>
      </c>
      <c r="E241" s="719">
        <v>-5.3720000000000001E-9</v>
      </c>
      <c r="F241" s="1546">
        <v>60</v>
      </c>
      <c r="G241" s="650">
        <v>43402</v>
      </c>
      <c r="H241" s="1545" t="str">
        <f t="shared" si="1418"/>
        <v>rango cal. out</v>
      </c>
      <c r="I241" s="642" t="e">
        <f t="shared" si="1419"/>
        <v>#VALUE!</v>
      </c>
      <c r="J241" s="560" t="e">
        <f t="shared" si="1417"/>
        <v>#VALUE!</v>
      </c>
      <c r="K241" s="560">
        <v>55</v>
      </c>
    </row>
    <row r="242" spans="2:567" x14ac:dyDescent="0.25">
      <c r="B242" s="721">
        <v>20.5</v>
      </c>
      <c r="C242" s="1546">
        <v>51</v>
      </c>
      <c r="D242" s="1546">
        <v>1009</v>
      </c>
      <c r="E242" s="719">
        <v>-5.3709999999999998E-9</v>
      </c>
      <c r="F242" s="1546">
        <v>60</v>
      </c>
      <c r="G242" s="663">
        <v>43402</v>
      </c>
      <c r="H242" s="1545" t="str">
        <f t="shared" si="1418"/>
        <v>rango cal. out</v>
      </c>
      <c r="I242" s="642" t="e">
        <f t="shared" si="1419"/>
        <v>#VALUE!</v>
      </c>
      <c r="J242" s="560" t="e">
        <f t="shared" si="1417"/>
        <v>#VALUE!</v>
      </c>
      <c r="K242" s="560">
        <v>60</v>
      </c>
    </row>
    <row r="243" spans="2:567" x14ac:dyDescent="0.25">
      <c r="B243" s="721">
        <v>20.3</v>
      </c>
      <c r="C243" s="1546">
        <v>53</v>
      </c>
      <c r="D243" s="1546">
        <v>1009</v>
      </c>
      <c r="E243" s="719">
        <v>-5.3730000000000004E-9</v>
      </c>
      <c r="F243" s="1546">
        <v>60</v>
      </c>
      <c r="G243" s="650">
        <v>43402</v>
      </c>
      <c r="H243" s="1545" t="str">
        <f t="shared" si="1418"/>
        <v>rango cal. out</v>
      </c>
      <c r="I243" s="642" t="e">
        <f t="shared" si="1419"/>
        <v>#VALUE!</v>
      </c>
      <c r="J243" s="560" t="e">
        <f t="shared" si="1417"/>
        <v>#VALUE!</v>
      </c>
      <c r="K243" s="560">
        <v>65</v>
      </c>
    </row>
    <row r="244" spans="2:567" x14ac:dyDescent="0.25">
      <c r="B244" s="721">
        <v>20.399999999999999</v>
      </c>
      <c r="C244" s="1546">
        <v>53</v>
      </c>
      <c r="D244" s="1546">
        <v>1009</v>
      </c>
      <c r="E244" s="719">
        <v>-5.3709999999999998E-9</v>
      </c>
      <c r="F244" s="1546">
        <v>60</v>
      </c>
      <c r="G244" s="663">
        <v>43402</v>
      </c>
      <c r="H244" s="1545" t="str">
        <f t="shared" si="1418"/>
        <v>rango cal. out</v>
      </c>
      <c r="I244" s="642" t="e">
        <f>ABS(H244)</f>
        <v>#VALUE!</v>
      </c>
      <c r="J244" s="642" t="e">
        <f t="shared" si="1417"/>
        <v>#VALUE!</v>
      </c>
      <c r="K244" s="560">
        <v>70</v>
      </c>
    </row>
    <row r="245" spans="2:567" x14ac:dyDescent="0.25">
      <c r="E245" s="642"/>
      <c r="G245" s="650"/>
      <c r="H245" s="1545"/>
      <c r="I245" s="642"/>
      <c r="J245" s="1547"/>
    </row>
    <row r="256" spans="2:567" x14ac:dyDescent="0.25">
      <c r="UT256" s="560">
        <v>1</v>
      </c>
      <c r="UU256" s="560">
        <v>4</v>
      </c>
    </row>
    <row r="257" spans="2:567" x14ac:dyDescent="0.25">
      <c r="UT257" s="560">
        <v>2</v>
      </c>
      <c r="UU257" s="560">
        <v>8</v>
      </c>
    </row>
    <row r="258" spans="2:567" x14ac:dyDescent="0.25">
      <c r="UT258" s="560">
        <v>3</v>
      </c>
      <c r="UU258" s="560">
        <v>13</v>
      </c>
    </row>
    <row r="259" spans="2:567" x14ac:dyDescent="0.25">
      <c r="UT259" s="560">
        <v>4</v>
      </c>
      <c r="UU259" s="560">
        <v>16</v>
      </c>
    </row>
    <row r="260" spans="2:567" x14ac:dyDescent="0.25">
      <c r="UT260" s="560">
        <v>5</v>
      </c>
      <c r="UU260" s="560">
        <v>19</v>
      </c>
    </row>
    <row r="261" spans="2:567" x14ac:dyDescent="0.25">
      <c r="UT261" s="560">
        <v>6</v>
      </c>
      <c r="UU261" s="560">
        <v>25</v>
      </c>
    </row>
    <row r="264" spans="2:567" x14ac:dyDescent="0.25">
      <c r="B264" s="2124" t="s">
        <v>84</v>
      </c>
      <c r="C264" s="560" t="s">
        <v>6</v>
      </c>
      <c r="D264" s="560" t="s">
        <v>306</v>
      </c>
      <c r="F264" s="560" t="s">
        <v>80</v>
      </c>
      <c r="I264" s="2115"/>
    </row>
    <row r="265" spans="2:567" x14ac:dyDescent="0.25">
      <c r="B265" s="2061" t="s">
        <v>65</v>
      </c>
      <c r="C265" s="2062" t="s">
        <v>85</v>
      </c>
      <c r="D265" s="2063">
        <f>D222</f>
        <v>3.7454436696101712E-2</v>
      </c>
      <c r="E265" s="2064"/>
      <c r="F265" s="2065">
        <f>SQRT($D$215/D265)</f>
        <v>1</v>
      </c>
      <c r="I265" s="2115"/>
    </row>
    <row r="266" spans="2:567" x14ac:dyDescent="0.25">
      <c r="B266" s="2066"/>
      <c r="C266" s="2067" t="s">
        <v>86</v>
      </c>
      <c r="D266" s="2068">
        <f>D225</f>
        <v>4.1616040773446343E-3</v>
      </c>
      <c r="E266" s="2069"/>
      <c r="F266" s="2070">
        <f>SQRT($D$215/D266)</f>
        <v>3</v>
      </c>
      <c r="G266" s="560" t="str">
        <f>IF(D266&lt;D267,"SI","NO")</f>
        <v>SI</v>
      </c>
      <c r="I266" s="2115"/>
    </row>
    <row r="267" spans="2:567" x14ac:dyDescent="0.25">
      <c r="B267" s="560" t="s">
        <v>29</v>
      </c>
      <c r="C267" s="560" t="s">
        <v>85</v>
      </c>
      <c r="D267" s="725">
        <f>CP222</f>
        <v>6.1928894096498167E-3</v>
      </c>
      <c r="E267" s="726"/>
      <c r="F267" s="727">
        <f>SQRT($CP$215/D267)</f>
        <v>1.5</v>
      </c>
      <c r="I267" s="2115"/>
    </row>
    <row r="268" spans="2:567" x14ac:dyDescent="0.25">
      <c r="C268" s="560" t="s">
        <v>86</v>
      </c>
      <c r="D268" s="725">
        <f>CP225</f>
        <v>2.229440187473934E-3</v>
      </c>
      <c r="E268" s="726"/>
      <c r="F268" s="727">
        <f>SQRT($CP$215/D268)</f>
        <v>2.5</v>
      </c>
      <c r="G268" s="560" t="str">
        <f>IF(D268&lt;D269,"SI","NO")</f>
        <v>SI</v>
      </c>
      <c r="I268" s="2115"/>
    </row>
    <row r="269" spans="2:567" x14ac:dyDescent="0.25">
      <c r="B269" s="560" t="s">
        <v>27</v>
      </c>
      <c r="C269" s="560" t="s">
        <v>85</v>
      </c>
      <c r="D269" s="725">
        <f>BF222</f>
        <v>2.651014421771204E-3</v>
      </c>
      <c r="E269" s="726"/>
      <c r="F269" s="727">
        <f>SQRT($BF$215/D269)</f>
        <v>1.5</v>
      </c>
      <c r="I269" s="2115"/>
    </row>
    <row r="270" spans="2:567" x14ac:dyDescent="0.25">
      <c r="C270" s="560" t="s">
        <v>86</v>
      </c>
      <c r="D270" s="725">
        <f>BF225</f>
        <v>9.5436519183763344E-4</v>
      </c>
      <c r="E270" s="726"/>
      <c r="F270" s="727">
        <f>SQRT($BF$215/D270)</f>
        <v>2.5</v>
      </c>
      <c r="G270" s="560" t="str">
        <f>IF(D270&lt;D271,"SI","NO")</f>
        <v>SI</v>
      </c>
      <c r="I270" s="2115"/>
    </row>
    <row r="271" spans="2:567" x14ac:dyDescent="0.25">
      <c r="B271" s="560" t="s">
        <v>53</v>
      </c>
      <c r="C271" s="560" t="s">
        <v>85</v>
      </c>
      <c r="D271" s="725">
        <f>TF222</f>
        <v>1.0220248194176883E-3</v>
      </c>
      <c r="E271" s="726"/>
      <c r="F271" s="727">
        <f>SQRT($TF$215/D271)</f>
        <v>1.5</v>
      </c>
      <c r="I271" s="2115"/>
    </row>
    <row r="272" spans="2:567" x14ac:dyDescent="0.25">
      <c r="C272" s="560" t="s">
        <v>86</v>
      </c>
      <c r="D272" s="725">
        <f>TF225</f>
        <v>3.6792893499036779E-4</v>
      </c>
      <c r="E272" s="726"/>
      <c r="F272" s="727">
        <f>SQRT($TF$215/D272)</f>
        <v>2.5</v>
      </c>
      <c r="G272" s="560" t="str">
        <f>IF(D272&lt;D273,"SI","NO")</f>
        <v>SI</v>
      </c>
      <c r="I272" s="2115"/>
    </row>
    <row r="273" spans="2:9" x14ac:dyDescent="0.25">
      <c r="B273" s="560" t="s">
        <v>47</v>
      </c>
      <c r="C273" s="560" t="s">
        <v>85</v>
      </c>
      <c r="D273" s="725">
        <f>PB222</f>
        <v>4.127712642764462E-4</v>
      </c>
      <c r="E273" s="726"/>
      <c r="F273" s="727">
        <f>SQRT($PB$215/D273)</f>
        <v>1.5</v>
      </c>
      <c r="I273" s="2115"/>
    </row>
    <row r="274" spans="2:9" x14ac:dyDescent="0.25">
      <c r="C274" s="560" t="s">
        <v>86</v>
      </c>
      <c r="D274" s="725">
        <f>PB225</f>
        <v>1.4859765513952064E-4</v>
      </c>
      <c r="E274" s="726"/>
      <c r="F274" s="727">
        <f>SQRT($PB$215/D274)</f>
        <v>2.5</v>
      </c>
      <c r="G274" s="560" t="str">
        <f>IF(D274&lt;D275,"SI","NO")</f>
        <v>SI</v>
      </c>
      <c r="I274" s="2115"/>
    </row>
    <row r="275" spans="2:9" x14ac:dyDescent="0.25">
      <c r="B275" s="560" t="s">
        <v>45</v>
      </c>
      <c r="C275" s="560" t="s">
        <v>85</v>
      </c>
      <c r="D275" s="725">
        <f>NR222</f>
        <v>1.7808408352127335E-4</v>
      </c>
      <c r="E275" s="726"/>
      <c r="F275" s="727">
        <f>SQRT($NR$215/D275)</f>
        <v>1.5</v>
      </c>
      <c r="I275" s="2115"/>
    </row>
    <row r="276" spans="2:9" x14ac:dyDescent="0.25">
      <c r="C276" s="560" t="s">
        <v>86</v>
      </c>
      <c r="D276" s="725">
        <f>NR225</f>
        <v>6.4110270067658403E-5</v>
      </c>
      <c r="E276" s="726"/>
      <c r="F276" s="727">
        <f>SQRT($NR$215/D276)</f>
        <v>2.5</v>
      </c>
      <c r="G276" s="560" t="str">
        <f>IF(D276&lt;D277,"SI","NO")</f>
        <v>SI</v>
      </c>
      <c r="I276" s="2115"/>
    </row>
    <row r="277" spans="2:9" x14ac:dyDescent="0.25">
      <c r="B277" s="560" t="s">
        <v>28</v>
      </c>
      <c r="C277" s="560" t="s">
        <v>85</v>
      </c>
      <c r="D277" s="725">
        <f>BX222</f>
        <v>1.0911281340811581E-4</v>
      </c>
      <c r="E277" s="726"/>
      <c r="F277" s="727">
        <f>SQRT($BX$215/D277)</f>
        <v>1.5</v>
      </c>
      <c r="I277" s="2115"/>
    </row>
    <row r="278" spans="2:9" x14ac:dyDescent="0.25">
      <c r="C278" s="560" t="s">
        <v>86</v>
      </c>
      <c r="D278" s="725">
        <f>BX225</f>
        <v>3.9280612826921692E-5</v>
      </c>
      <c r="E278" s="726"/>
      <c r="F278" s="727">
        <f>SQRT($BX$215/D278)</f>
        <v>2.5</v>
      </c>
      <c r="G278" s="560" t="str">
        <f>IF(D278&lt;D279,"SI","NO")</f>
        <v>SI</v>
      </c>
      <c r="I278" s="2115"/>
    </row>
    <row r="279" spans="2:9" x14ac:dyDescent="0.25">
      <c r="B279" s="560" t="s">
        <v>55</v>
      </c>
      <c r="C279" s="560" t="s">
        <v>85</v>
      </c>
      <c r="D279" s="725">
        <f>UP222</f>
        <v>4.2967296671642863E-5</v>
      </c>
      <c r="E279" s="726"/>
      <c r="F279" s="727">
        <f>SQRT($UP$215/D279)</f>
        <v>1.5</v>
      </c>
      <c r="I279" s="2115"/>
    </row>
    <row r="280" spans="2:9" x14ac:dyDescent="0.25">
      <c r="C280" s="560" t="s">
        <v>86</v>
      </c>
      <c r="D280" s="725">
        <f>UP225</f>
        <v>1.546822680179143E-5</v>
      </c>
      <c r="E280" s="726"/>
      <c r="F280" s="727">
        <f>SQRT($UP$215/D280)</f>
        <v>2.5</v>
      </c>
      <c r="G280" s="560" t="str">
        <f>IF(D280&lt;D281,"SI","NO")</f>
        <v>SI</v>
      </c>
    </row>
    <row r="281" spans="2:9" x14ac:dyDescent="0.25">
      <c r="B281" s="560" t="s">
        <v>52</v>
      </c>
      <c r="C281" s="560" t="s">
        <v>85</v>
      </c>
      <c r="D281" s="725">
        <f>SN222</f>
        <v>1.8701909809240989E-5</v>
      </c>
      <c r="E281" s="726"/>
      <c r="F281" s="727">
        <f>SQRT($SN$215/D281)</f>
        <v>1.5</v>
      </c>
    </row>
    <row r="282" spans="2:9" x14ac:dyDescent="0.25">
      <c r="C282" s="560" t="s">
        <v>86</v>
      </c>
      <c r="D282" s="725">
        <f>SN225</f>
        <v>6.7326875313267554E-6</v>
      </c>
      <c r="E282" s="726"/>
      <c r="F282" s="727">
        <f>SQRT($SN$215/D282)</f>
        <v>2.5</v>
      </c>
      <c r="G282" s="560" t="str">
        <f>IF(D282&lt;D283,"SI","NO")</f>
        <v>SI</v>
      </c>
    </row>
    <row r="283" spans="2:9" x14ac:dyDescent="0.25">
      <c r="B283" s="560" t="s">
        <v>32</v>
      </c>
      <c r="C283" s="560" t="s">
        <v>85</v>
      </c>
      <c r="D283" s="725">
        <f>ER222</f>
        <v>8.3364126097205072E-6</v>
      </c>
      <c r="E283" s="726"/>
      <c r="F283" s="727">
        <f>SQRT($ER$215/D283)</f>
        <v>1.5</v>
      </c>
    </row>
    <row r="284" spans="2:9" x14ac:dyDescent="0.25">
      <c r="C284" s="560" t="s">
        <v>86</v>
      </c>
      <c r="D284" s="725">
        <f>ER225</f>
        <v>3.0011085394993824E-6</v>
      </c>
      <c r="E284" s="726"/>
      <c r="F284" s="727">
        <f>SQRT($ER$215/D284)</f>
        <v>2.5</v>
      </c>
      <c r="G284" s="560" t="str">
        <f>IF(D284&lt;D285,"SI","NO")</f>
        <v>NO</v>
      </c>
    </row>
    <row r="285" spans="2:9" x14ac:dyDescent="0.25">
      <c r="B285" s="560" t="s">
        <v>50</v>
      </c>
      <c r="C285" s="560" t="s">
        <v>85</v>
      </c>
      <c r="D285" s="725">
        <f>RD222</f>
        <v>0</v>
      </c>
      <c r="E285" s="726"/>
      <c r="F285" s="727" t="e">
        <f>SQRT($RD$215/D285)</f>
        <v>#DIV/0!</v>
      </c>
    </row>
    <row r="286" spans="2:9" x14ac:dyDescent="0.25">
      <c r="C286" s="560" t="s">
        <v>86</v>
      </c>
      <c r="D286" s="725">
        <f>RD225</f>
        <v>0</v>
      </c>
      <c r="E286" s="726"/>
      <c r="F286" s="727" t="e">
        <f>SQRT($RD$215/D286)</f>
        <v>#DIV/0!</v>
      </c>
      <c r="G286" s="560" t="str">
        <f>IF(D286&lt;D287,"SI","NO")</f>
        <v>NO</v>
      </c>
    </row>
    <row r="287" spans="2:9" x14ac:dyDescent="0.25">
      <c r="B287" s="560" t="s">
        <v>51</v>
      </c>
      <c r="C287" s="560" t="s">
        <v>85</v>
      </c>
      <c r="D287" s="725">
        <f>RV222</f>
        <v>0</v>
      </c>
      <c r="E287" s="726"/>
      <c r="F287" s="727" t="e">
        <f>SQRT($RV$215/D287)</f>
        <v>#DIV/0!</v>
      </c>
    </row>
    <row r="288" spans="2:9" x14ac:dyDescent="0.25">
      <c r="C288" s="560" t="s">
        <v>86</v>
      </c>
      <c r="D288" s="725">
        <f>RV225</f>
        <v>0</v>
      </c>
      <c r="E288" s="726"/>
      <c r="F288" s="727" t="e">
        <f>SQRT($RV$215/D288)</f>
        <v>#DIV/0!</v>
      </c>
      <c r="G288" s="560" t="str">
        <f>IF(D288&lt;D289,"SI","NO")</f>
        <v>NO</v>
      </c>
    </row>
    <row r="289" spans="2:6" x14ac:dyDescent="0.25">
      <c r="B289" s="560" t="s">
        <v>44</v>
      </c>
      <c r="C289" s="560" t="s">
        <v>85</v>
      </c>
      <c r="D289" s="642">
        <f>MZ222</f>
        <v>0</v>
      </c>
      <c r="F289" s="696" t="e">
        <f>SQRT($MZ$215/D289)</f>
        <v>#DIV/0!</v>
      </c>
    </row>
    <row r="290" spans="2:6" x14ac:dyDescent="0.25">
      <c r="C290" s="560" t="s">
        <v>86</v>
      </c>
      <c r="D290" s="642">
        <f>MZ225</f>
        <v>0</v>
      </c>
      <c r="F290" s="696" t="e">
        <f>SQRT($MZ$215/D290)</f>
        <v>#DIV/0!</v>
      </c>
    </row>
    <row r="294" spans="2:6" ht="45" x14ac:dyDescent="0.25">
      <c r="B294" s="560" t="s">
        <v>307</v>
      </c>
      <c r="C294" s="560" t="s">
        <v>89</v>
      </c>
      <c r="D294" s="560" t="s">
        <v>90</v>
      </c>
    </row>
    <row r="295" spans="2:6" ht="45" x14ac:dyDescent="0.25">
      <c r="B295" s="642">
        <v>3</v>
      </c>
      <c r="C295" s="560" t="str">
        <f>IF(AND(B295&lt;=D265,B295&gt;=D266),B265,IF(AND(B295&lt;=D267,B295&gt;=D268),B267,IF(AND(B295&lt;=D269,B295&gt;=D270),B269,IF(AND(B295&lt;=D271,B295&gt;=D272),B271,IF(AND(B295&lt;=D273,B295&gt;=D274),B273,IF(AND(B295&lt;=D275,B295&gt;=D276),B275,IF(AND(B295&lt;=D277,B295&gt;=D278),B277,IF(AND(B295&lt;=D279,B295&gt;=D280),B279,IF(AND(B295&lt;=D281,B295&gt;=D282),B281,IF(AND(B295&lt;=D283,B295&gt;=D284),B283,IF(AND(B295&lt;=D285,B295&gt;=D286),B285,IF(AND(B295&lt;=D287,B295&gt;=D288),B287,IF(AND(B295&lt;=D289,B295&gt;=D290),B289,"Tasa de dosis fuera de rango")))))))))))))</f>
        <v>Tasa de dosis fuera de rango</v>
      </c>
      <c r="D295" s="696" t="str">
        <f>IF(AND(B295&lt;=D265,B295&gt;=D266),SQRT(D215/B295),IF(AND(B295&lt;=D267,B295&gt;=D268),SQRT(CP215/B295),IF(AND(B295&lt;=D269,B295&gt;=D270),SQRT(BF215/B295),IF(AND(B295&lt;=D271,B295&gt;=D272),SQRT(TF215/B295),IF(AND(B295&lt;=D273,B295&gt;=D274),SQRT(PB215/B295),IF(AND(B295&lt;=D275,B295&gt;=D276),SQRT(NR215/B295),IF(AND(B295&lt;=D277,B295&gt;=D278),SQRT(BX215/B295),IF(AND(B295&lt;=D279,B295&gt;=D280),SQRT(UP215/B295),IF(AND(B295&lt;=D281,B295&gt;=D282),SQRT(SN215/B295),IF(AND(B295&lt;=D283,B295&gt;=D284),SQRT(ER215/B295),IF(AND(B295&lt;=D285,B295&gt;=D286),SQRT(RD215/B295),IF(AND(B295&lt;=D287,B295&gt;=D288),SQRT(RV215/B295),"Tasa de dosis fuera de rango"))))))))))))</f>
        <v>Tasa de dosis fuera de rango</v>
      </c>
    </row>
  </sheetData>
  <mergeCells count="190">
    <mergeCell ref="TD212:TH212"/>
    <mergeCell ref="TD219:TH219"/>
    <mergeCell ref="UN212:UR212"/>
    <mergeCell ref="UN219:UR219"/>
    <mergeCell ref="UN217:UO217"/>
    <mergeCell ref="RT219:SF219"/>
    <mergeCell ref="CN212:CR212"/>
    <mergeCell ref="CN219:CR219"/>
    <mergeCell ref="EP212:ET212"/>
    <mergeCell ref="EP219:ET219"/>
    <mergeCell ref="NP212:NT212"/>
    <mergeCell ref="NP219:NT219"/>
    <mergeCell ref="OZ212:PD212"/>
    <mergeCell ref="OZ219:PD219"/>
    <mergeCell ref="SL212:SP212"/>
    <mergeCell ref="SL219:SP219"/>
    <mergeCell ref="B63:F64"/>
    <mergeCell ref="B62:F62"/>
    <mergeCell ref="B69:F69"/>
    <mergeCell ref="B70:F71"/>
    <mergeCell ref="B212:F212"/>
    <mergeCell ref="BD212:BH212"/>
    <mergeCell ref="BD219:BH219"/>
    <mergeCell ref="BV212:BZ212"/>
    <mergeCell ref="BV219:BZ219"/>
    <mergeCell ref="B85:D85"/>
    <mergeCell ref="B81:C81"/>
    <mergeCell ref="B82:C82"/>
    <mergeCell ref="B83:C83"/>
    <mergeCell ref="B79:C80"/>
    <mergeCell ref="B77:C78"/>
    <mergeCell ref="B75:F75"/>
    <mergeCell ref="B76:C76"/>
    <mergeCell ref="BV176:CH176"/>
    <mergeCell ref="B29:D30"/>
    <mergeCell ref="C32:D32"/>
    <mergeCell ref="B1:C4"/>
    <mergeCell ref="E1:P4"/>
    <mergeCell ref="H40:I40"/>
    <mergeCell ref="B37:I37"/>
    <mergeCell ref="B38:I39"/>
    <mergeCell ref="H42:H44"/>
    <mergeCell ref="I42:I44"/>
    <mergeCell ref="B7:G8"/>
    <mergeCell ref="B10:E10"/>
    <mergeCell ref="B14:C15"/>
    <mergeCell ref="F40:G40"/>
    <mergeCell ref="B40:B41"/>
    <mergeCell ref="C40:C41"/>
    <mergeCell ref="D40:D41"/>
    <mergeCell ref="B23:E23"/>
    <mergeCell ref="B24:E27"/>
    <mergeCell ref="E40:E41"/>
    <mergeCell ref="F29:G31"/>
    <mergeCell ref="C31:D31"/>
    <mergeCell ref="B48:G49"/>
    <mergeCell ref="B47:G47"/>
    <mergeCell ref="B56:G56"/>
    <mergeCell ref="B57:G57"/>
    <mergeCell ref="RB224:RC224"/>
    <mergeCell ref="RB225:RC225"/>
    <mergeCell ref="OZ221:PA221"/>
    <mergeCell ref="RB216:RC216"/>
    <mergeCell ref="RB217:RC217"/>
    <mergeCell ref="OZ216:PA216"/>
    <mergeCell ref="OZ217:PA217"/>
    <mergeCell ref="OZ222:PA222"/>
    <mergeCell ref="OZ224:PA224"/>
    <mergeCell ref="OZ225:PA225"/>
    <mergeCell ref="CN222:CO222"/>
    <mergeCell ref="EP224:EQ224"/>
    <mergeCell ref="EP225:EQ225"/>
    <mergeCell ref="NP221:NQ221"/>
    <mergeCell ref="NP222:NQ222"/>
    <mergeCell ref="NP224:NQ224"/>
    <mergeCell ref="NP225:NQ225"/>
    <mergeCell ref="MX221:MY221"/>
    <mergeCell ref="MX222:MY222"/>
    <mergeCell ref="MX224:MY224"/>
    <mergeCell ref="MX225:MY225"/>
    <mergeCell ref="EP221:EQ221"/>
    <mergeCell ref="UN224:UO224"/>
    <mergeCell ref="UN225:UO225"/>
    <mergeCell ref="RT216:RU216"/>
    <mergeCell ref="RT217:RU217"/>
    <mergeCell ref="RT221:RU221"/>
    <mergeCell ref="RT222:RU222"/>
    <mergeCell ref="RT224:RU224"/>
    <mergeCell ref="RT225:RU225"/>
    <mergeCell ref="TD216:TE216"/>
    <mergeCell ref="TD217:TE217"/>
    <mergeCell ref="TD221:TE221"/>
    <mergeCell ref="TD222:TE222"/>
    <mergeCell ref="TD224:TE224"/>
    <mergeCell ref="TD225:TE225"/>
    <mergeCell ref="SL216:SM216"/>
    <mergeCell ref="SL217:SM217"/>
    <mergeCell ref="SL221:SM221"/>
    <mergeCell ref="SL222:SM222"/>
    <mergeCell ref="SL224:SM224"/>
    <mergeCell ref="SL225:SM225"/>
    <mergeCell ref="UN216:UO216"/>
    <mergeCell ref="UN221:UO221"/>
    <mergeCell ref="CN224:CO224"/>
    <mergeCell ref="B216:C216"/>
    <mergeCell ref="B217:C217"/>
    <mergeCell ref="B221:C221"/>
    <mergeCell ref="CN225:CO225"/>
    <mergeCell ref="BV216:BW216"/>
    <mergeCell ref="BV221:BW221"/>
    <mergeCell ref="BV222:BW222"/>
    <mergeCell ref="BV224:BW224"/>
    <mergeCell ref="BV225:BW225"/>
    <mergeCell ref="BD222:BE222"/>
    <mergeCell ref="BD224:BE224"/>
    <mergeCell ref="BD225:BE225"/>
    <mergeCell ref="BD221:BE221"/>
    <mergeCell ref="BD217:BE217"/>
    <mergeCell ref="CN221:CO221"/>
    <mergeCell ref="B219:F219"/>
    <mergeCell ref="B222:C222"/>
    <mergeCell ref="BV217:BW217"/>
    <mergeCell ref="CN216:CO216"/>
    <mergeCell ref="CN217:CO217"/>
    <mergeCell ref="BD216:BE216"/>
    <mergeCell ref="B224:C224"/>
    <mergeCell ref="B225:C225"/>
    <mergeCell ref="UN222:UO222"/>
    <mergeCell ref="EP222:EQ222"/>
    <mergeCell ref="RB221:RC221"/>
    <mergeCell ref="RB222:RC222"/>
    <mergeCell ref="MX216:MY216"/>
    <mergeCell ref="MX217:MY217"/>
    <mergeCell ref="RB219:RN219"/>
    <mergeCell ref="MX219:NJ219"/>
    <mergeCell ref="NP216:NQ216"/>
    <mergeCell ref="NP217:NQ217"/>
    <mergeCell ref="EP216:EQ216"/>
    <mergeCell ref="EP217:EQ217"/>
    <mergeCell ref="SL105:TC105"/>
    <mergeCell ref="TD105:TU105"/>
    <mergeCell ref="TV105:UM105"/>
    <mergeCell ref="UN105:VE105"/>
    <mergeCell ref="MX176:NJ176"/>
    <mergeCell ref="GR105:HI105"/>
    <mergeCell ref="HJ105:IA105"/>
    <mergeCell ref="PR105:QI105"/>
    <mergeCell ref="QJ105:RA105"/>
    <mergeCell ref="OZ105:PQ105"/>
    <mergeCell ref="RT176:SF176"/>
    <mergeCell ref="OZ176:PL176"/>
    <mergeCell ref="NP105:OG105"/>
    <mergeCell ref="RB176:RN176"/>
    <mergeCell ref="NP176:OB176"/>
    <mergeCell ref="IT105:JK105"/>
    <mergeCell ref="UN176:UZ176"/>
    <mergeCell ref="SL176:SX176"/>
    <mergeCell ref="TD176:TP176"/>
    <mergeCell ref="CN176:CZ176"/>
    <mergeCell ref="EP176:FB176"/>
    <mergeCell ref="A166:A170"/>
    <mergeCell ref="A157:A161"/>
    <mergeCell ref="A148:A152"/>
    <mergeCell ref="A134:A143"/>
    <mergeCell ref="A125:A129"/>
    <mergeCell ref="A116:A120"/>
    <mergeCell ref="B176:N176"/>
    <mergeCell ref="BD176:BP176"/>
    <mergeCell ref="A107:A111"/>
    <mergeCell ref="RT105:SK105"/>
    <mergeCell ref="RB105:RS105"/>
    <mergeCell ref="JL105:KC105"/>
    <mergeCell ref="KD105:KU105"/>
    <mergeCell ref="KV105:LM105"/>
    <mergeCell ref="LN105:ME105"/>
    <mergeCell ref="MF105:MW105"/>
    <mergeCell ref="MX105:NO105"/>
    <mergeCell ref="OH105:OY105"/>
    <mergeCell ref="CN105:DE105"/>
    <mergeCell ref="DF105:DW105"/>
    <mergeCell ref="DX105:EO105"/>
    <mergeCell ref="EP105:FG105"/>
    <mergeCell ref="IB105:IS105"/>
    <mergeCell ref="FH105:FY105"/>
    <mergeCell ref="FZ105:GQ105"/>
    <mergeCell ref="B105:S105"/>
    <mergeCell ref="T105:AK105"/>
    <mergeCell ref="AL105:BC105"/>
    <mergeCell ref="BD105:BU105"/>
    <mergeCell ref="BV105:CM105"/>
  </mergeCells>
  <dataValidations count="1">
    <dataValidation type="list" allowBlank="1" showInputMessage="1" showErrorMessage="1" sqref="H102:H103 H107:H111 H116:H120 H125:H129 H134:H143 H148:H152 H157:H161 H166:H170 Z107:Z111 Z116:Z120 Z125:Z129 Z134:Z143 Z148:Z152 Z157:Z161 Z166:Z170 Z102:Z103 AR102:AR103 AR107:AR111 AR116:AR120 AR125:AR129 AR134:AR143 AR148:AR152 AR157:AR161 AR166:AR170 BJ102:BJ103 BJ107:BJ111 BJ116:BJ120 BJ125:BJ129 BJ134:BJ143 BJ148:BJ152 BJ157:BJ161 BJ166:BJ170 CB102:CB103 CB107:CB111 CB116:CB120 CB125:CB129 CB134:CB143 CB148:CB152 CB157:CB161 CB166:CB170 CT102:CT103 CT107:CT111 CT116:CT120 CT125:CT129 CT134:CT143 CT148:CT152 CT157:CT161 CT166:CT170 DL102:DL103 DL107:DL111 DL116:DL120 DL125:DL129 DL134:DL143 DL148:DL152 DL157:DL161 DL166:DL170 ED102:ED103 ED107:ED111 ED116:ED120 ED125:ED129 ED134:ED143 ED148:ED152 ED157:ED161 ED166:ED170 EV102:EV103 EV107:EV111 EV116:EV120 EV125:EV129 EV134:EV143 EV148:EV152 EV157:EV161 EV166:EV170 FN102:FN103 FN107:FN111 FN116:FN120 FN125:FN129 FN134:FN143 FN148:FN152 FN157:FN161 FN166:FN170 GF102:GF103 GF107:GF111 GF116:GF120 GF125:GF129 GF134:GF143 GF148:GF152 GF157:GF161 GF166:GF170 GX102:GX103 GX107:GX111 GX116:GX120 GX125:GX129 GX134:GX143 GX148:GX152 GX157:GX161 GX166:GX170 HP102:HP103 HP107:HP111 HP116:HP120 HP125:HP129 HP134:HP143 HP148:HP152 HP157:HP161 HP166:HP170 IH102:IH103 IH107:IH111 IH116:IH120 IH125:IH129 IH134:IH143 IH148:IH152 IH157:IH161 IH166:IH170 IZ102:IZ103 IZ107:IZ111 IZ116:IZ120 IZ125:IZ129 IZ134:IZ143 IZ148:IZ152 IZ157:IZ161 IZ166:IZ170 JR102:JR103 JR107:JR111 JR116:JR120 JR125:JR129 JR134:JR143 JR148:JR152 JR157:JR161 JR166:JR170 KJ102:KJ103 KJ107:KJ111 KJ116:KJ120 KJ125:KJ129 KJ134:KJ143 KJ148:KJ152 KJ157:KJ161 KJ166:KJ170 LB102:LB103 LB107:LB111 LB116:LB120 LB125:LB129 LB134:LB143 LB148:LB152 LB157:LB161 LB166:LB170 LT102:LT103 LT107:LT111 LT116:LT120 LT125:LT129 LT134:LT143 LT148:LT152 LT157:LT161 LT166:LT170 ML102:ML103 ML107:ML111 ML116:ML120 ML125:ML129 ML134:ML143 ML148:ML152 ML157:ML161 ML166:ML170 ND102:ND103 ND107:ND111 ND116:ND120 ND125:ND129 ND134:ND143 ND148:ND152 ND157:ND161 ND166:ND170 NV107:NV111 NV116:NV120 NV125:NV129 NV134:NV143 NV148:NV152 NV157:NV161 NV166:NV170 NV102:NV103 ON102:ON103 ON107:ON111 ON116:ON120 ON125:ON129 ON134:ON143 ON148:ON152 ON157:ON161 ON166:ON170 PF102:PF103 PF107:PF111 PF116:PF120 PF125:PF129 PF134:PF143 PF148:PF152 PF157:PF161 PF166:PF170 PX102:PX103 PX107:PX111 PX116:PX120 PX125:PX129 PX134:PX143 PX148:PX152 PX157:PX161 PX166:PX170 QP102:QP103 QP107:QP111 QP116:QP120 QP125:QP129 QP134:QP143 QP148:QP152 QP157:QP161 QP166:QP170 RH102:RH103 RH107:RH111 RH116:RH120 RH125:RH129 RH134:RH143 RH148:RH152 RH157:RH161 RH166:RH170 RZ102:RZ103 RZ107:RZ111 RZ116:RZ120 RZ125:RZ129 RZ134:RZ143 RZ148:RZ152 RZ157:RZ161 RZ166:RZ170 SR102:SR103 SR107:SR111 SR116:SR120 SR125:SR129 SR134:SR143 SR148:SR152 SR157:SR161 SR166:SR170 TJ102:TJ103 TJ107:TJ111 TJ116:TJ120 TJ125:TJ129 TJ134:TJ143 TJ148:TJ152 TJ157:TJ161 TJ166:TJ170 UB102:UB103 UB107:UB111 UB116:UB120 UB125:UB129 UB134:UB143 UB148:UB152 UB157:UB161 UB166:UB170 UT102:UT103 UT107:UT111 UT116:UT120 UT125:UT129 UT134:UT143 UT148:UT152 UT157:UT161 UT166:UT170" xr:uid="{00000000-0002-0000-0000-000000000000}">
      <formula1>$C$42:$C$44</formula1>
    </dataValidation>
  </dataValidations>
  <pageMargins left="0.7" right="0.7" top="0.75" bottom="0.75" header="0.3" footer="0.3"/>
  <pageSetup orientation="portrait" r:id="rId1"/>
  <ignoredErrors>
    <ignoredError sqref="BY157 D216" unlocked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L49"/>
  <sheetViews>
    <sheetView view="pageLayout" topLeftCell="A31" zoomScaleNormal="100" workbookViewId="0">
      <selection activeCell="N18" sqref="N18:P18"/>
    </sheetView>
  </sheetViews>
  <sheetFormatPr baseColWidth="10" defaultColWidth="3.140625" defaultRowHeight="15" x14ac:dyDescent="0.25"/>
  <cols>
    <col min="5" max="5" width="4" customWidth="1"/>
    <col min="7" max="7" width="4" customWidth="1"/>
    <col min="10" max="10" width="3.140625" customWidth="1"/>
    <col min="13" max="13" width="3.140625" customWidth="1"/>
    <col min="16" max="16" width="3.140625" customWidth="1"/>
    <col min="18" max="18" width="3.28515625" customWidth="1"/>
    <col min="19" max="19" width="5.7109375" customWidth="1"/>
    <col min="20" max="20" width="8.28515625" bestFit="1" customWidth="1"/>
    <col min="22" max="22" width="3.85546875" bestFit="1" customWidth="1"/>
    <col min="23" max="23" width="1.7109375" customWidth="1"/>
    <col min="24" max="24" width="2.140625" customWidth="1"/>
    <col min="25" max="25" width="0.85546875" customWidth="1"/>
    <col min="26" max="30" width="3.140625" customWidth="1"/>
    <col min="31" max="32" width="11.7109375" customWidth="1"/>
    <col min="33" max="33" width="9" customWidth="1"/>
    <col min="34" max="34" width="2" customWidth="1"/>
    <col min="35" max="35" width="8.42578125" customWidth="1"/>
    <col min="36" max="36" width="3.85546875" customWidth="1"/>
    <col min="37" max="38" width="3.140625" customWidth="1"/>
    <col min="43" max="43" width="10" bestFit="1" customWidth="1"/>
  </cols>
  <sheetData>
    <row r="1" spans="1:38" ht="15" customHeight="1" x14ac:dyDescent="0.25">
      <c r="A1" s="48"/>
      <c r="B1" s="49"/>
      <c r="C1" s="49"/>
      <c r="D1" s="49"/>
      <c r="E1" s="49"/>
      <c r="F1" s="49"/>
      <c r="G1" s="50"/>
      <c r="H1" s="2339" t="s">
        <v>1228</v>
      </c>
      <c r="I1" s="2340"/>
      <c r="J1" s="2340"/>
      <c r="K1" s="2340"/>
      <c r="L1" s="2340"/>
      <c r="M1" s="2340"/>
      <c r="N1" s="2340"/>
      <c r="O1" s="2340"/>
      <c r="P1" s="2340"/>
      <c r="Q1" s="2340"/>
      <c r="R1" s="2340"/>
      <c r="S1" s="2340"/>
      <c r="T1" s="2340"/>
      <c r="U1" s="2341"/>
      <c r="V1" s="2359" t="s">
        <v>1319</v>
      </c>
      <c r="W1" s="2352"/>
      <c r="X1" s="2352"/>
      <c r="Y1" s="2352" t="s">
        <v>1322</v>
      </c>
      <c r="Z1" s="2352"/>
      <c r="AA1" s="2352"/>
      <c r="AB1" s="2353"/>
      <c r="AC1" s="87"/>
      <c r="AD1" s="87"/>
      <c r="AE1" s="87"/>
      <c r="AF1" s="87"/>
      <c r="AG1" s="87"/>
      <c r="AH1" s="87"/>
      <c r="AI1" s="87"/>
    </row>
    <row r="2" spans="1:38" ht="15" customHeight="1" x14ac:dyDescent="0.25">
      <c r="A2" s="51"/>
      <c r="G2" s="52"/>
      <c r="H2" s="2342"/>
      <c r="I2" s="2343"/>
      <c r="J2" s="2343"/>
      <c r="K2" s="2343"/>
      <c r="L2" s="2343"/>
      <c r="M2" s="2343"/>
      <c r="N2" s="2343"/>
      <c r="O2" s="2343"/>
      <c r="P2" s="2343"/>
      <c r="Q2" s="2343"/>
      <c r="R2" s="2343"/>
      <c r="S2" s="2343"/>
      <c r="T2" s="2343"/>
      <c r="U2" s="2344"/>
      <c r="V2" s="2348" t="s">
        <v>349</v>
      </c>
      <c r="W2" s="2349"/>
      <c r="X2" s="2349"/>
      <c r="Y2" s="2357">
        <v>42740</v>
      </c>
      <c r="Z2" s="2357"/>
      <c r="AA2" s="2357"/>
      <c r="AB2" s="2358"/>
      <c r="AC2" s="87"/>
      <c r="AD2" s="87"/>
      <c r="AE2" s="87"/>
      <c r="AF2" s="87"/>
      <c r="AG2" s="87"/>
      <c r="AH2" s="87"/>
      <c r="AI2" s="87"/>
    </row>
    <row r="3" spans="1:38" ht="15" customHeight="1" x14ac:dyDescent="0.25">
      <c r="A3" s="51"/>
      <c r="G3" s="52"/>
      <c r="H3" s="2342"/>
      <c r="I3" s="2343"/>
      <c r="J3" s="2343"/>
      <c r="K3" s="2343"/>
      <c r="L3" s="2343"/>
      <c r="M3" s="2343"/>
      <c r="N3" s="2343"/>
      <c r="O3" s="2343"/>
      <c r="P3" s="2343"/>
      <c r="Q3" s="2343"/>
      <c r="R3" s="2343"/>
      <c r="S3" s="2343"/>
      <c r="T3" s="2343"/>
      <c r="U3" s="2344"/>
      <c r="V3" s="2348" t="s">
        <v>1320</v>
      </c>
      <c r="W3" s="2349"/>
      <c r="X3" s="2349"/>
      <c r="Y3" s="2354" t="s">
        <v>72</v>
      </c>
      <c r="Z3" s="2354"/>
      <c r="AA3" s="2354"/>
      <c r="AB3" s="2355"/>
      <c r="AC3" s="87"/>
      <c r="AD3" s="217" t="s">
        <v>297</v>
      </c>
      <c r="AE3" s="87"/>
      <c r="AF3" s="87"/>
      <c r="AG3" s="87"/>
      <c r="AH3" s="87"/>
      <c r="AI3" s="87"/>
    </row>
    <row r="4" spans="1:38" ht="15" customHeight="1" x14ac:dyDescent="0.25">
      <c r="A4" s="53"/>
      <c r="B4" s="54"/>
      <c r="C4" s="54"/>
      <c r="D4" s="54"/>
      <c r="E4" s="54"/>
      <c r="F4" s="54"/>
      <c r="G4" s="55"/>
      <c r="H4" s="2345"/>
      <c r="I4" s="2346"/>
      <c r="J4" s="2346"/>
      <c r="K4" s="2346"/>
      <c r="L4" s="2346"/>
      <c r="M4" s="2346"/>
      <c r="N4" s="2346"/>
      <c r="O4" s="2346"/>
      <c r="P4" s="2346"/>
      <c r="Q4" s="2346"/>
      <c r="R4" s="2346"/>
      <c r="S4" s="2346"/>
      <c r="T4" s="2346"/>
      <c r="U4" s="2347"/>
      <c r="V4" s="2350" t="s">
        <v>1321</v>
      </c>
      <c r="W4" s="2351"/>
      <c r="X4" s="2351"/>
      <c r="Y4" s="2351" t="s">
        <v>1323</v>
      </c>
      <c r="Z4" s="2351"/>
      <c r="AA4" s="2351"/>
      <c r="AB4" s="2356"/>
      <c r="AC4" s="87"/>
      <c r="AD4" s="217"/>
      <c r="AE4" s="87"/>
      <c r="AF4" s="87"/>
      <c r="AG4" s="87"/>
      <c r="AH4" s="87"/>
      <c r="AI4" s="87"/>
    </row>
    <row r="5" spans="1:38" ht="15" customHeight="1" x14ac:dyDescent="0.25"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AD5" s="87"/>
      <c r="AE5" s="244" t="s">
        <v>105</v>
      </c>
      <c r="AF5" s="244" t="s">
        <v>112</v>
      </c>
      <c r="AG5" s="244" t="s">
        <v>7</v>
      </c>
      <c r="AH5" s="87"/>
      <c r="AI5" s="87"/>
      <c r="AJ5" s="87"/>
    </row>
    <row r="6" spans="1:38" ht="15" customHeight="1" x14ac:dyDescent="0.25">
      <c r="A6" s="113" t="s">
        <v>129</v>
      </c>
      <c r="B6" s="112" t="s">
        <v>130</v>
      </c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AD6" s="87"/>
      <c r="AE6" s="208">
        <v>50</v>
      </c>
      <c r="AF6" s="244" t="s">
        <v>294</v>
      </c>
      <c r="AG6" s="247">
        <f>IF(AF6="uSv/h",AE6/(8.77*1000),IF(AF6="mSv/h",AE6/(8.77),IF(AF6="Sv/h",AE6*1000/8.77,IF(AF6="rem",AE6/0.877))))</f>
        <v>5.7012542759407071E-3</v>
      </c>
      <c r="AH6" s="87"/>
      <c r="AI6" s="87"/>
      <c r="AJ6" s="87"/>
    </row>
    <row r="7" spans="1:38" ht="15" customHeight="1" x14ac:dyDescent="0.25"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AD7" s="87"/>
      <c r="AE7" s="87"/>
      <c r="AF7" s="87"/>
      <c r="AG7" s="87"/>
      <c r="AH7" s="87"/>
      <c r="AI7" s="87"/>
      <c r="AJ7" s="87"/>
    </row>
    <row r="8" spans="1:38" ht="73.900000000000006" customHeight="1" x14ac:dyDescent="0.25">
      <c r="A8" s="2329" t="s">
        <v>124</v>
      </c>
      <c r="B8" s="2329"/>
      <c r="C8" s="2329"/>
      <c r="D8" s="2329"/>
      <c r="E8" s="2329"/>
      <c r="F8" s="2329"/>
      <c r="G8" s="2329"/>
      <c r="H8" s="2330" t="str">
        <f>'F-LSCD-002 (Dosimetría)'!B24</f>
        <v>Cámara de ionización patrón de 1 L , marca: PTW; modelo: TN32002; serie: 000568; Reporte de calibración de Kerma en aire DG: 13580-21 con fecha 2021-04-01 (NIST); trazable al NIST.</v>
      </c>
      <c r="I8" s="2330"/>
      <c r="J8" s="2330"/>
      <c r="K8" s="2330"/>
      <c r="L8" s="2330"/>
      <c r="M8" s="2330"/>
      <c r="N8" s="2330"/>
      <c r="O8" s="2330"/>
      <c r="P8" s="2330"/>
      <c r="Q8" s="2330"/>
      <c r="R8" s="2330"/>
      <c r="S8" s="2330"/>
      <c r="T8" s="2330"/>
      <c r="U8" s="2330"/>
      <c r="V8" s="2330"/>
      <c r="W8" s="2330"/>
      <c r="X8" s="2330"/>
      <c r="Y8" s="2330"/>
      <c r="Z8" s="2330"/>
      <c r="AA8" s="2330"/>
      <c r="AB8" s="2330"/>
      <c r="AC8" s="2097"/>
      <c r="AD8" s="87"/>
      <c r="AE8" s="2096" t="str">
        <f>'F-LSCD-002 (Dosimetría)'!B294</f>
        <v>Ingrese la T.D. buscada (Sv/h)</v>
      </c>
      <c r="AF8" s="2096" t="str">
        <f>'F-LSCD-002 (Dosimetría)'!C294</f>
        <v>Combinación de atenuadores</v>
      </c>
      <c r="AG8" s="2094" t="str">
        <f>'F-LSCD-002 (Dosimetría)'!D294</f>
        <v>dist (m)</v>
      </c>
      <c r="AH8" s="87"/>
      <c r="AI8" s="87"/>
      <c r="AJ8" s="87"/>
    </row>
    <row r="9" spans="1:38" ht="61.9" customHeight="1" x14ac:dyDescent="0.25">
      <c r="B9" t="s">
        <v>127</v>
      </c>
      <c r="H9" s="118" t="s">
        <v>170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AD9" s="87"/>
      <c r="AE9" s="248">
        <v>9.9999999999999995E-7</v>
      </c>
      <c r="AF9" s="2096" t="str">
        <f>IF(AND(AE9&lt;=AG14,AE9&gt;=AG15),AE14,IF(AND(AE9&lt;=AG16,AE9&gt;=AG17),AE16,IF(AND(AE9&lt;=AG18,AE9&gt;=AG19),AE18,IF(AND(AE9&lt;=AG20,AE9&gt;=AG21),AE20,IF(AND(AE9&lt;=AG22,AE9&gt;=AG23),AE22,IF(AND(AE9&lt;=AG24,AE9&gt;=AG25),AE24,IF(AND(AE9&lt;=AG26,AE9&gt;=AG27),AE26,IF(AND(AE9&lt;=AG29,AE9&gt;=AG30),AE29,IF(AND(AE9&lt;=AG31,AE9&gt;=AG32),AE31,IF(AND(AE9&lt;=AG33,AE9&gt;=AG34),AE33,IF(AND(AE9&lt;=AG35,AE9&gt;=AG36),AE35,IF(AND(AE9&lt;=AG37,AE9&gt;=AG38),AE37,IF(AND(AE9&lt;=AG39,AE9&gt;=AG40),AE39,"Tasa de dosis fuera de rango")))))))))))))</f>
        <v>Tasa de dosis fuera de rango</v>
      </c>
      <c r="AG9" s="246" t="str">
        <f>IF(AND(AE9&lt;=AG14,AE9&gt;=AG15),SQRT('F-LSCD-002 (Dosimetría)'!D215/AE9),IF(AND(AE9&lt;=AG16,AE9&gt;=AG17),SQRT('F-LSCD-002 (Dosimetría)'!CP215/AE9),IF(AND(AE9&lt;=AG18,AE9&gt;=AG19),SQRT('F-LSCD-002 (Dosimetría)'!BF215/AE9),IF(AND(AE9&lt;=AG20,AE9&gt;=AG21),SQRT('F-LSCD-002 (Dosimetría)'!TF215/AE9),IF(AND(AE9&lt;=AG22,AE9&gt;=AG23),SQRT('F-LSCD-002 (Dosimetría)'!PB215/AE9),IF(AND(AE9&lt;=AG24,AE9&gt;=AG25),SQRT('F-LSCD-002 (Dosimetría)'!NR215/AE9),IF(AND(AE9&lt;=AG26,AE9&gt;=AG27),SQRT('F-LSCD-002 (Dosimetría)'!BX215/AE9),IF(AND(AE9&lt;=AG29,AE9&gt;=AG30),SQRT('F-LSCD-002 (Dosimetría)'!UP215/AE9),IF(AND(AE9&lt;=AG31,AE9&gt;=AG32),SQRT('F-LSCD-002 (Dosimetría)'!SN215/AE9),IF(AND(AE9&lt;=AG33,AE9&gt;=AG34),SQRT('F-LSCD-002 (Dosimetría)'!ER215/AE9),IF(AND(AE9&lt;=AG35,AE9&gt;=AG36),SQRT('F-LSCD-002 (Dosimetría)'!RD215/AE9),IF(AND(AE9&lt;=AG37,AE9&gt;=AG38),SQRT('F-LSCD-002 (Dosimetría)'!RV215/AE9),"Tasa de dosis fuera de rango"))))))))))))</f>
        <v>Tasa de dosis fuera de rango</v>
      </c>
      <c r="AH9" s="87"/>
      <c r="AI9" s="87"/>
      <c r="AJ9" s="87"/>
    </row>
    <row r="10" spans="1:38" ht="15" customHeight="1" x14ac:dyDescent="0.25">
      <c r="B10" t="s">
        <v>154</v>
      </c>
      <c r="H10" s="2331">
        <f>IF('F-LSCD-012'!C17="","",'F-LSCD-012'!C17)</f>
        <v>44336</v>
      </c>
      <c r="I10" s="2331"/>
      <c r="J10" s="2331"/>
      <c r="K10" s="2331"/>
      <c r="L10" s="2331"/>
      <c r="M10" s="67"/>
      <c r="N10" s="67"/>
      <c r="O10" s="67"/>
      <c r="P10" s="67"/>
      <c r="Q10" s="67"/>
      <c r="R10" s="67"/>
      <c r="S10" s="67"/>
      <c r="T10" s="67"/>
      <c r="U10" s="67"/>
      <c r="V10" s="67"/>
      <c r="AD10" s="87"/>
      <c r="AE10" s="87"/>
      <c r="AF10" s="87"/>
      <c r="AG10" s="87"/>
      <c r="AH10" s="87"/>
      <c r="AI10" s="87"/>
      <c r="AJ10" s="87"/>
    </row>
    <row r="11" spans="1:38" ht="15" customHeight="1" x14ac:dyDescent="0.25">
      <c r="B11" t="s">
        <v>157</v>
      </c>
      <c r="H11" t="s">
        <v>1296</v>
      </c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AD11" s="87"/>
      <c r="AE11" s="87"/>
      <c r="AF11" s="87"/>
      <c r="AG11" s="87"/>
      <c r="AH11" s="87"/>
      <c r="AI11" s="87"/>
      <c r="AJ11" s="87"/>
    </row>
    <row r="12" spans="1:38" ht="15" customHeight="1" x14ac:dyDescent="0.25"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AD12" s="87"/>
      <c r="AE12" s="244" t="str">
        <f>'F-LSCD-002 (Dosimetría)'!B264</f>
        <v>Atenuad.</v>
      </c>
      <c r="AF12" s="244" t="str">
        <f>'F-LSCD-002 (Dosimetría)'!C264</f>
        <v>Rango</v>
      </c>
      <c r="AG12" s="244" t="str">
        <f>'F-LSCD-002 (Dosimetría)'!D264</f>
        <v>T. D. (Sv/h)</v>
      </c>
      <c r="AH12" s="244">
        <f>'F-LSCD-002 (Dosimetría)'!E264</f>
        <v>0</v>
      </c>
      <c r="AI12" s="244" t="str">
        <f>'F-LSCD-002 (Dosimetría)'!F264</f>
        <v>dist. (m)</v>
      </c>
      <c r="AJ12" s="87"/>
    </row>
    <row r="13" spans="1:38" x14ac:dyDescent="0.25">
      <c r="A13" s="113" t="s">
        <v>131</v>
      </c>
      <c r="B13" s="112" t="s">
        <v>152</v>
      </c>
      <c r="AD13" s="87"/>
      <c r="AE13" s="2095"/>
      <c r="AF13" s="2095"/>
      <c r="AG13" s="2095"/>
      <c r="AH13" s="2100"/>
      <c r="AI13" s="2100"/>
      <c r="AJ13" s="87"/>
    </row>
    <row r="14" spans="1:38" x14ac:dyDescent="0.25">
      <c r="A14" s="113"/>
      <c r="B14" s="112"/>
      <c r="AD14" s="87"/>
      <c r="AE14" s="2094" t="str">
        <f>'F-LSCD-002 (Dosimetría)'!B265</f>
        <v>SA</v>
      </c>
      <c r="AF14" s="2094" t="str">
        <f>'F-LSCD-002 (Dosimetría)'!C265</f>
        <v>máx.</v>
      </c>
      <c r="AG14" s="245">
        <f>'F-LSCD-002 (Dosimetría)'!D265</f>
        <v>3.7454436696101712E-2</v>
      </c>
      <c r="AH14" s="244">
        <f>'F-LSCD-002 (Dosimetría)'!E265</f>
        <v>0</v>
      </c>
      <c r="AI14" s="244">
        <f>'F-LSCD-002 (Dosimetría)'!F265</f>
        <v>1</v>
      </c>
      <c r="AJ14" s="87"/>
    </row>
    <row r="15" spans="1:38" x14ac:dyDescent="0.25">
      <c r="B15" s="2332" t="s">
        <v>155</v>
      </c>
      <c r="C15" s="2364"/>
      <c r="D15" s="2332" t="s">
        <v>153</v>
      </c>
      <c r="E15" s="2332"/>
      <c r="F15" s="2332"/>
      <c r="G15" s="2332" t="s">
        <v>117</v>
      </c>
      <c r="H15" s="2332"/>
      <c r="I15" s="2332"/>
      <c r="J15" s="2360" t="s">
        <v>293</v>
      </c>
      <c r="K15" s="2360"/>
      <c r="L15" s="2360"/>
      <c r="M15" s="2360"/>
      <c r="N15" s="2332" t="s">
        <v>156</v>
      </c>
      <c r="O15" s="2332"/>
      <c r="P15" s="2332"/>
      <c r="Q15" s="2093"/>
      <c r="R15" s="2093"/>
      <c r="S15" s="2093"/>
      <c r="T15" s="2093"/>
      <c r="U15" s="2093"/>
      <c r="V15" s="2093"/>
      <c r="W15" s="2093"/>
      <c r="X15" s="2093"/>
      <c r="Y15" s="2093"/>
      <c r="Z15" s="2093"/>
      <c r="AA15" s="2093"/>
      <c r="AB15" s="2093"/>
      <c r="AC15" s="2093"/>
      <c r="AD15" s="2093"/>
      <c r="AE15" s="2094"/>
      <c r="AF15" s="2094" t="str">
        <f>'F-LSCD-002 (Dosimetría)'!C266</f>
        <v>mín.</v>
      </c>
      <c r="AG15" s="245">
        <f>'F-LSCD-002 (Dosimetría)'!D266</f>
        <v>4.1616040773446343E-3</v>
      </c>
      <c r="AH15" s="244">
        <f>'F-LSCD-002 (Dosimetría)'!E266</f>
        <v>0</v>
      </c>
      <c r="AI15" s="244">
        <f>'F-LSCD-002 (Dosimetría)'!F266</f>
        <v>3</v>
      </c>
      <c r="AJ15" s="2095"/>
      <c r="AK15" s="2101"/>
      <c r="AL15" s="2101"/>
    </row>
    <row r="16" spans="1:38" ht="30" customHeight="1" x14ac:dyDescent="0.25">
      <c r="B16" s="2364"/>
      <c r="C16" s="2364"/>
      <c r="D16" s="2332"/>
      <c r="E16" s="2332"/>
      <c r="F16" s="2332"/>
      <c r="G16" s="2332"/>
      <c r="H16" s="2332"/>
      <c r="I16" s="2332"/>
      <c r="J16" s="2360"/>
      <c r="K16" s="2360"/>
      <c r="L16" s="2360"/>
      <c r="M16" s="2360"/>
      <c r="N16" s="2332"/>
      <c r="O16" s="2332"/>
      <c r="P16" s="2332"/>
      <c r="Q16" s="2093"/>
      <c r="R16" s="2093"/>
      <c r="S16" s="2093"/>
      <c r="T16" s="2093"/>
      <c r="U16" s="2093"/>
      <c r="V16" s="2093"/>
      <c r="W16" s="2093"/>
      <c r="X16" s="2093"/>
      <c r="Y16" s="2093"/>
      <c r="Z16" s="2093"/>
      <c r="AA16" s="2093"/>
      <c r="AB16" s="2093"/>
      <c r="AC16" s="2093"/>
      <c r="AD16" s="2093"/>
      <c r="AE16" s="2094" t="str">
        <f>'F-LSCD-002 (Dosimetría)'!B267</f>
        <v>V</v>
      </c>
      <c r="AF16" s="2094" t="str">
        <f>'F-LSCD-002 (Dosimetría)'!C267</f>
        <v>máx.</v>
      </c>
      <c r="AG16" s="245">
        <f>'F-LSCD-002 (Dosimetría)'!D267</f>
        <v>6.1928894096498167E-3</v>
      </c>
      <c r="AH16" s="244">
        <f>'F-LSCD-002 (Dosimetría)'!E267</f>
        <v>0</v>
      </c>
      <c r="AI16" s="244">
        <f>'F-LSCD-002 (Dosimetría)'!F267</f>
        <v>1.5</v>
      </c>
      <c r="AJ16" s="87"/>
    </row>
    <row r="17" spans="1:36" x14ac:dyDescent="0.25">
      <c r="B17" s="2334">
        <v>1</v>
      </c>
      <c r="C17" s="2334"/>
      <c r="D17" s="2335">
        <v>2.5000000000000001E-2</v>
      </c>
      <c r="E17" s="2336"/>
      <c r="F17" s="2337"/>
      <c r="G17" s="2338" t="s">
        <v>296</v>
      </c>
      <c r="H17" s="2338"/>
      <c r="I17" s="2338"/>
      <c r="J17" s="2338" t="str">
        <f>IF(AND(D17&lt;=$AG$14,D17&gt;=$AG$15),$AE$14,IF(AND(D17&lt;=$AG$16,D17&gt;=$AG$17),$AE$16,IF(AND(D17&lt;=$AG$18,D17&gt;=$AG$19),$AE$18,IF(AND(D17&lt;=$AG$20,D17&gt;=$AG$21),$AE$20,IF(AND(D17&lt;=$AG$22,D17&gt;=$AG$23),$AE$22,IF(AND(D17&lt;=$AG$24,D17&gt;=$AG$25),$AE$24,IF(AND(D17&lt;=$AG$26,D17&gt;=$AG$27),$AE$26,IF(AND(D17&lt;=$AG$29,D17&gt;=$AG$30),$AE$29,IF(AND(D17&lt;=$AG$31,D17&gt;=$AG$32),$AE$31,IF(AND(D17&lt;=$AG$33,D17&gt;=$AG$34),$AE$33,IF(AND(D17&lt;=$AG$35,D17&gt;=$AG$36),$AE$35,IF(AND(D17&lt;=$AG$37,D17&gt;=$AG$38),$AE$37,IF(AND(D17&lt;=$AG$39,D17&gt;=$AG$40),$AE$39,"Tasa de dosis fuera de rango")))))))))))))</f>
        <v>SA</v>
      </c>
      <c r="K17" s="2338"/>
      <c r="L17" s="2338"/>
      <c r="M17" s="2338"/>
      <c r="N17" s="2333">
        <f>IF(AND(D17&lt;=$AG$14,D17&gt;=$AG$15),SQRT('F-LSCD-002 (Dosimetría)'!$D$215/D17),IF(AND(D17&lt;=$AG$16,D17&gt;=$AG$17),SQRT('F-LSCD-002 (Dosimetría)'!$CP$215/D17),IF(AND(D17&lt;=$AG$18,D17&gt;=$AG$19),SQRT('F-LSCD-002 (Dosimetría)'!$BF$215/D17),IF(AND(D17&lt;=$AG$20,D17&gt;=$AG$21),SQRT('F-LSCD-002 (Dosimetría)'!$TF$215/D17),IF(AND(D17&lt;=$AG$22,D17&gt;=$AG$23),SQRT('F-LSCD-002 (Dosimetría)'!$PB$215/D17),IF(AND(D17&lt;=$AG$24,D17&gt;=$AG$25),SQRT('F-LSCD-002 (Dosimetría)'!$NR$215/D17),IF(AND(D17&lt;=$AG$26,D17&gt;=$AG$27),SQRT('F-LSCD-002 (Dosimetría)'!$BX$215/D17),IF(AND(D17&lt;=$AG$29,D17&gt;=$AG$30),SQRT('F-LSCD-002 (Dosimetría)'!$UP$215/D17),IF(AND(D17&lt;=$AG$31,D17&gt;=$AG$32),SQRT('F-LSCD-002 (Dosimetría)'!$SN$215/D17),IF(AND(D17&lt;=$AG$33,D17&gt;=$AG$34),SQRT('F-LSCD-002 (Dosimetría)'!$ER$215/D17),IF(AND(D17&lt;=$AG$35,D17&gt;=$AG$36),SQRT('F-LSCD-002 (Dosimetría)'!$RD$215/D17),IF(AND(D17&lt;=$AG$37,D17&gt;=$AG$38),SQRT('F-LSCD-002 (Dosimetría)'!$RV$215/D17),"Tasa de dosis fuera de rango"))))))))))))</f>
        <v>1.2240005996093581</v>
      </c>
      <c r="O17" s="2333"/>
      <c r="P17" s="2333"/>
      <c r="Q17" s="2099"/>
      <c r="R17" s="2099"/>
      <c r="S17" s="2099"/>
      <c r="T17" s="2099"/>
      <c r="U17" s="2099"/>
      <c r="V17" s="2099"/>
      <c r="W17" s="2099"/>
      <c r="X17" s="2099"/>
      <c r="Y17" s="2099"/>
      <c r="Z17" s="2099"/>
      <c r="AA17" s="2099"/>
      <c r="AB17" s="2099"/>
      <c r="AC17" s="2099"/>
      <c r="AD17" s="2099"/>
      <c r="AE17" s="2094"/>
      <c r="AF17" s="2094" t="str">
        <f>'F-LSCD-002 (Dosimetría)'!C268</f>
        <v>mín.</v>
      </c>
      <c r="AG17" s="245">
        <f>'F-LSCD-002 (Dosimetría)'!D268</f>
        <v>2.229440187473934E-3</v>
      </c>
      <c r="AH17" s="244">
        <f>'F-LSCD-002 (Dosimetría)'!E268</f>
        <v>0</v>
      </c>
      <c r="AI17" s="244">
        <f>'F-LSCD-002 (Dosimetría)'!F268</f>
        <v>2.5</v>
      </c>
      <c r="AJ17" s="87" t="str">
        <f>'F-LSCD-002 (Dosimetría)'!G266</f>
        <v>SI</v>
      </c>
    </row>
    <row r="18" spans="1:36" x14ac:dyDescent="0.25">
      <c r="B18" s="2334">
        <v>2</v>
      </c>
      <c r="C18" s="2334"/>
      <c r="D18" s="2335" t="s">
        <v>93</v>
      </c>
      <c r="E18" s="2336"/>
      <c r="F18" s="2337"/>
      <c r="G18" s="2338" t="s">
        <v>296</v>
      </c>
      <c r="H18" s="2338"/>
      <c r="I18" s="2338"/>
      <c r="J18" s="2338" t="str">
        <f t="shared" ref="J18:J28" si="0">IF(AND(D18&lt;=$AG$14,D18&gt;=$AG$15),$AE$14,IF(AND(D18&lt;=$AG$16,D18&gt;=$AG$17),$AE$16,IF(AND(D18&lt;=$AG$18,D18&gt;=$AG$19),$AE$18,IF(AND(D18&lt;=$AG$20,D18&gt;=$AG$21),$AE$20,IF(AND(D18&lt;=$AG$22,D18&gt;=$AG$23),$AE$22,IF(AND(D18&lt;=$AG$24,D18&gt;=$AG$25),$AE$24,IF(AND(D18&lt;=$AG$26,D18&gt;=$AG$27),$AE$26,IF(AND(D18&lt;=$AG$29,D18&gt;=$AG$30),$AE$29,IF(AND(D18&lt;=$AG$31,D18&gt;=$AG$32),$AE$31,IF(AND(D18&lt;=$AG$33,D18&gt;=$AG$34),$AE$33,IF(AND(D18&lt;=$AG$35,D18&gt;=$AG$36),$AE$35,IF(AND(D18&lt;=$AG$37,D18&gt;=$AG$38),$AE$37,IF(AND(D18&lt;=$AG$39,D18&gt;=$AG$40),$AE$39,"Tasa de dosis fuera de rango")))))))))))))</f>
        <v>Tasa de dosis fuera de rango</v>
      </c>
      <c r="K18" s="2338"/>
      <c r="L18" s="2338"/>
      <c r="M18" s="2338"/>
      <c r="N18" s="2333" t="str">
        <f>IF(AND(D18&lt;=$AG$14,D18&gt;=$AG$15),SQRT('F-LSCD-002 (Dosimetría)'!$D$215/D18),IF(AND(D18&lt;=$AG$16,D18&gt;=$AG$17),SQRT('F-LSCD-002 (Dosimetría)'!$CP$215/D18),IF(AND(D18&lt;=$AG$18,D18&gt;=$AG$19),SQRT('F-LSCD-002 (Dosimetría)'!$BF$215/D18),IF(AND(D18&lt;=$AG$20,D18&gt;=$AG$21),SQRT('F-LSCD-002 (Dosimetría)'!$TF$215/D18),IF(AND(D18&lt;=$AG$22,D18&gt;=$AG$23),SQRT('F-LSCD-002 (Dosimetría)'!$PB$215/D18),IF(AND(D18&lt;=$AG$24,D18&gt;=$AG$25),SQRT('F-LSCD-002 (Dosimetría)'!$NR$215/D18),IF(AND(D18&lt;=$AG$26,D18&gt;=$AG$27),SQRT('F-LSCD-002 (Dosimetría)'!$BX$215/D18),IF(AND(D18&lt;=$AG$29,D18&gt;=$AG$30),SQRT('F-LSCD-002 (Dosimetría)'!$UP$215/D18),IF(AND(D18&lt;=$AG$31,D18&gt;=$AG$32),SQRT('F-LSCD-002 (Dosimetría)'!$SN$215/D18),IF(AND(D18&lt;=$AG$33,D18&gt;=$AG$34),SQRT('F-LSCD-002 (Dosimetría)'!$ER$215/D18),IF(AND(D18&lt;=$AG$35,D18&gt;=$AG$36),SQRT('F-LSCD-002 (Dosimetría)'!$RD$215/D18),IF(AND(D18&lt;=$AG$37,D18&gt;=$AG$38),SQRT('F-LSCD-002 (Dosimetría)'!$RV$215/D18),"Tasa de dosis fuera de rango"))))))))))))</f>
        <v>Tasa de dosis fuera de rango</v>
      </c>
      <c r="O18" s="2333"/>
      <c r="P18" s="2333"/>
      <c r="Q18" s="2098"/>
      <c r="R18" s="2098"/>
      <c r="S18" s="2098"/>
      <c r="T18" s="2098"/>
      <c r="U18" s="2098"/>
      <c r="V18" s="2098"/>
      <c r="W18" s="2098"/>
      <c r="X18" s="2098"/>
      <c r="Y18" s="2098"/>
      <c r="Z18" s="2098"/>
      <c r="AA18" s="2098"/>
      <c r="AB18" s="2098"/>
      <c r="AC18" s="2098"/>
      <c r="AD18" s="2098"/>
      <c r="AE18" s="2094" t="str">
        <f>'F-LSCD-002 (Dosimetría)'!B269</f>
        <v>III</v>
      </c>
      <c r="AF18" s="2094" t="str">
        <f>'F-LSCD-002 (Dosimetría)'!C269</f>
        <v>máx.</v>
      </c>
      <c r="AG18" s="245">
        <f>'F-LSCD-002 (Dosimetría)'!D269</f>
        <v>2.651014421771204E-3</v>
      </c>
      <c r="AH18" s="244">
        <f>'F-LSCD-002 (Dosimetría)'!E269</f>
        <v>0</v>
      </c>
      <c r="AI18" s="244">
        <f>'F-LSCD-002 (Dosimetría)'!F269</f>
        <v>1.5</v>
      </c>
      <c r="AJ18" s="87"/>
    </row>
    <row r="19" spans="1:36" x14ac:dyDescent="0.25">
      <c r="B19" s="2334">
        <v>3</v>
      </c>
      <c r="C19" s="2334"/>
      <c r="D19" s="2335" t="s">
        <v>93</v>
      </c>
      <c r="E19" s="2336"/>
      <c r="F19" s="2337"/>
      <c r="G19" s="2338" t="s">
        <v>296</v>
      </c>
      <c r="H19" s="2338"/>
      <c r="I19" s="2338"/>
      <c r="J19" s="2338" t="str">
        <f t="shared" si="0"/>
        <v>Tasa de dosis fuera de rango</v>
      </c>
      <c r="K19" s="2338"/>
      <c r="L19" s="2338"/>
      <c r="M19" s="2338"/>
      <c r="N19" s="2333" t="str">
        <f>IF(AND(D19&lt;=$AG$14,D19&gt;=$AG$15),SQRT('F-LSCD-002 (Dosimetría)'!$D$215/D19),IF(AND(D19&lt;=$AG$16,D19&gt;=$AG$17),SQRT('F-LSCD-002 (Dosimetría)'!$CP$215/D19),IF(AND(D19&lt;=$AG$18,D19&gt;=$AG$19),SQRT('F-LSCD-002 (Dosimetría)'!$BF$215/D19),IF(AND(D19&lt;=$AG$20,D19&gt;=$AG$21),SQRT('F-LSCD-002 (Dosimetría)'!$TF$215/D19),IF(AND(D19&lt;=$AG$22,D19&gt;=$AG$23),SQRT('F-LSCD-002 (Dosimetría)'!$PB$215/D19),IF(AND(D19&lt;=$AG$24,D19&gt;=$AG$25),SQRT('F-LSCD-002 (Dosimetría)'!$NR$215/D19),IF(AND(D19&lt;=$AG$26,D19&gt;=$AG$27),SQRT('F-LSCD-002 (Dosimetría)'!$BX$215/D19),IF(AND(D19&lt;=$AG$29,D19&gt;=$AG$30),SQRT('F-LSCD-002 (Dosimetría)'!$UP$215/D19),IF(AND(D19&lt;=$AG$31,D19&gt;=$AG$32),SQRT('F-LSCD-002 (Dosimetría)'!$SN$215/D19),IF(AND(D19&lt;=$AG$33,D19&gt;=$AG$34),SQRT('F-LSCD-002 (Dosimetría)'!$ER$215/D19),IF(AND(D19&lt;=$AG$35,D19&gt;=$AG$36),SQRT('F-LSCD-002 (Dosimetría)'!$RD$215/D19),IF(AND(D19&lt;=$AG$37,D19&gt;=$AG$38),SQRT('F-LSCD-002 (Dosimetría)'!$RV$215/D19),"Tasa de dosis fuera de rango"))))))))))))</f>
        <v>Tasa de dosis fuera de rango</v>
      </c>
      <c r="O19" s="2333"/>
      <c r="P19" s="2333"/>
      <c r="Q19" s="2098"/>
      <c r="R19" s="2098"/>
      <c r="S19" s="2098"/>
      <c r="T19" s="2098"/>
      <c r="U19" s="2098"/>
      <c r="V19" s="2098"/>
      <c r="W19" s="2098"/>
      <c r="X19" s="2098"/>
      <c r="Y19" s="2098"/>
      <c r="Z19" s="2098"/>
      <c r="AA19" s="2098"/>
      <c r="AB19" s="2098"/>
      <c r="AC19" s="2098"/>
      <c r="AD19" s="2098"/>
      <c r="AE19" s="2094"/>
      <c r="AF19" s="2094" t="str">
        <f>'F-LSCD-002 (Dosimetría)'!C270</f>
        <v>mín.</v>
      </c>
      <c r="AG19" s="245">
        <f>'F-LSCD-002 (Dosimetría)'!D270</f>
        <v>9.5436519183763344E-4</v>
      </c>
      <c r="AH19" s="244">
        <f>'F-LSCD-002 (Dosimetría)'!E270</f>
        <v>0</v>
      </c>
      <c r="AI19" s="244">
        <f>'F-LSCD-002 (Dosimetría)'!F270</f>
        <v>2.5</v>
      </c>
      <c r="AJ19" s="87" t="str">
        <f>'F-LSCD-002 (Dosimetría)'!G268</f>
        <v>SI</v>
      </c>
    </row>
    <row r="20" spans="1:36" x14ac:dyDescent="0.25">
      <c r="B20" s="2334">
        <v>4</v>
      </c>
      <c r="C20" s="2334"/>
      <c r="D20" s="2335" t="s">
        <v>93</v>
      </c>
      <c r="E20" s="2336"/>
      <c r="F20" s="2337"/>
      <c r="G20" s="2338" t="s">
        <v>296</v>
      </c>
      <c r="H20" s="2338"/>
      <c r="I20" s="2338"/>
      <c r="J20" s="2338" t="str">
        <f t="shared" si="0"/>
        <v>Tasa de dosis fuera de rango</v>
      </c>
      <c r="K20" s="2338"/>
      <c r="L20" s="2338"/>
      <c r="M20" s="2338"/>
      <c r="N20" s="2361" t="str">
        <f>IF(AND(D20&lt;=$AG$14,D20&gt;=$AG$15),SQRT('F-LSCD-002 (Dosimetría)'!$D$215/D20),IF(AND(D20&lt;=$AG$16,D20&gt;=$AG$17),SQRT('F-LSCD-002 (Dosimetría)'!$CP$215/D20),IF(AND(D20&lt;=$AG$18,D20&gt;=$AG$19),SQRT('F-LSCD-002 (Dosimetría)'!$BF$215/D20),IF(AND(D20&lt;=$AG$20,D20&gt;=$AG$21),SQRT('F-LSCD-002 (Dosimetría)'!$TF$215/D20),IF(AND(D20&lt;=$AG$22,D20&gt;=$AG$23),SQRT('F-LSCD-002 (Dosimetría)'!$PB$215/D20),IF(AND(D20&lt;=$AG$24,D20&gt;=$AG$25),SQRT('F-LSCD-002 (Dosimetría)'!$NR$215/D20),IF(AND(D20&lt;=$AG$26,D20&gt;=$AG$27),SQRT('F-LSCD-002 (Dosimetría)'!$BX$215/D20),IF(AND(D20&lt;=$AG$29,D20&gt;=$AG$30),SQRT('F-LSCD-002 (Dosimetría)'!$UP$215/D20),IF(AND(D20&lt;=$AG$31,D20&gt;=$AG$32),SQRT('F-LSCD-002 (Dosimetría)'!$SN$215/D20),IF(AND(D20&lt;=$AG$33,D20&gt;=$AG$34),SQRT('F-LSCD-002 (Dosimetría)'!$ER$215/D20),IF(AND(D20&lt;=$AG$35,D20&gt;=$AG$36),SQRT('F-LSCD-002 (Dosimetría)'!$RD$215/D20),IF(AND(D20&lt;=$AG$37,D20&gt;=$AG$38),SQRT('F-LSCD-002 (Dosimetría)'!$RV$215/D20),"Tasa de dosis fuera de rango"))))))))))))</f>
        <v>Tasa de dosis fuera de rango</v>
      </c>
      <c r="O20" s="2362"/>
      <c r="P20" s="2363"/>
      <c r="Q20" s="2098"/>
      <c r="R20" s="2098"/>
      <c r="S20" s="2098"/>
      <c r="T20" s="2098"/>
      <c r="U20" s="2098"/>
      <c r="V20" s="2098"/>
      <c r="W20" s="2098"/>
      <c r="X20" s="2098"/>
      <c r="Y20" s="2098"/>
      <c r="Z20" s="2098"/>
      <c r="AA20" s="2098"/>
      <c r="AB20" s="2098"/>
      <c r="AC20" s="2098"/>
      <c r="AD20" s="2098"/>
      <c r="AE20" s="2094" t="str">
        <f>'F-LSCD-002 (Dosimetría)'!B271</f>
        <v>III+V</v>
      </c>
      <c r="AF20" s="2094" t="str">
        <f>'F-LSCD-002 (Dosimetría)'!C271</f>
        <v>máx.</v>
      </c>
      <c r="AG20" s="245">
        <f>'F-LSCD-002 (Dosimetría)'!D271</f>
        <v>1.0220248194176883E-3</v>
      </c>
      <c r="AH20" s="244">
        <f>'F-LSCD-002 (Dosimetría)'!E271</f>
        <v>0</v>
      </c>
      <c r="AI20" s="244">
        <f>'F-LSCD-002 (Dosimetría)'!F271</f>
        <v>1.5</v>
      </c>
      <c r="AJ20" s="87"/>
    </row>
    <row r="21" spans="1:36" x14ac:dyDescent="0.25">
      <c r="B21" s="2334">
        <v>5</v>
      </c>
      <c r="C21" s="2334"/>
      <c r="D21" s="2335" t="s">
        <v>93</v>
      </c>
      <c r="E21" s="2336"/>
      <c r="F21" s="2337"/>
      <c r="G21" s="2338" t="s">
        <v>296</v>
      </c>
      <c r="H21" s="2338"/>
      <c r="I21" s="2338"/>
      <c r="J21" s="2338" t="str">
        <f t="shared" si="0"/>
        <v>Tasa de dosis fuera de rango</v>
      </c>
      <c r="K21" s="2338"/>
      <c r="L21" s="2338"/>
      <c r="M21" s="2338"/>
      <c r="N21" s="2361" t="str">
        <f>IF(AND(D21&lt;=$AG$14,D21&gt;=$AG$15),SQRT('F-LSCD-002 (Dosimetría)'!$D$215/D21),IF(AND(D21&lt;=$AG$16,D21&gt;=$AG$17),SQRT('F-LSCD-002 (Dosimetría)'!$CP$215/D21),IF(AND(D21&lt;=$AG$18,D21&gt;=$AG$19),SQRT('F-LSCD-002 (Dosimetría)'!$BF$215/D21),IF(AND(D21&lt;=$AG$20,D21&gt;=$AG$21),SQRT('F-LSCD-002 (Dosimetría)'!$TF$215/D21),IF(AND(D21&lt;=$AG$22,D21&gt;=$AG$23),SQRT('F-LSCD-002 (Dosimetría)'!$PB$215/D21),IF(AND(D21&lt;=$AG$24,D21&gt;=$AG$25),SQRT('F-LSCD-002 (Dosimetría)'!$NR$215/D21),IF(AND(D21&lt;=$AG$26,D21&gt;=$AG$27),SQRT('F-LSCD-002 (Dosimetría)'!$BX$215/D21),IF(AND(D21&lt;=$AG$29,D21&gt;=$AG$30),SQRT('F-LSCD-002 (Dosimetría)'!$UP$215/D21),IF(AND(D21&lt;=$AG$31,D21&gt;=$AG$32),SQRT('F-LSCD-002 (Dosimetría)'!$SN$215/D21),IF(AND(D21&lt;=$AG$33,D21&gt;=$AG$34),SQRT('F-LSCD-002 (Dosimetría)'!$ER$215/D21),IF(AND(D21&lt;=$AG$35,D21&gt;=$AG$36),SQRT('F-LSCD-002 (Dosimetría)'!$RD$215/D21),IF(AND(D21&lt;=$AG$37,D21&gt;=$AG$38),SQRT('F-LSCD-002 (Dosimetría)'!$RV$215/D21),"Tasa de dosis fuera de rango"))))))))))))</f>
        <v>Tasa de dosis fuera de rango</v>
      </c>
      <c r="O21" s="2362"/>
      <c r="P21" s="2363"/>
      <c r="Q21" s="2098"/>
      <c r="R21" s="2098"/>
      <c r="S21" s="2098"/>
      <c r="T21" s="2098"/>
      <c r="U21" s="2098"/>
      <c r="V21" s="2098"/>
      <c r="W21" s="2098"/>
      <c r="X21" s="2098"/>
      <c r="Y21" s="2098"/>
      <c r="Z21" s="2098"/>
      <c r="AA21" s="2098"/>
      <c r="AB21" s="2098"/>
      <c r="AC21" s="2098"/>
      <c r="AD21" s="2098"/>
      <c r="AE21" s="2094"/>
      <c r="AF21" s="2094" t="str">
        <f>'F-LSCD-002 (Dosimetría)'!C272</f>
        <v>mín.</v>
      </c>
      <c r="AG21" s="245">
        <f>'F-LSCD-002 (Dosimetría)'!D272</f>
        <v>3.6792893499036779E-4</v>
      </c>
      <c r="AH21" s="244">
        <f>'F-LSCD-002 (Dosimetría)'!E272</f>
        <v>0</v>
      </c>
      <c r="AI21" s="244">
        <f>'F-LSCD-002 (Dosimetría)'!F272</f>
        <v>2.5</v>
      </c>
      <c r="AJ21" s="87" t="str">
        <f>'F-LSCD-002 (Dosimetría)'!G270</f>
        <v>SI</v>
      </c>
    </row>
    <row r="22" spans="1:36" x14ac:dyDescent="0.25">
      <c r="B22" s="2334">
        <v>6</v>
      </c>
      <c r="C22" s="2334"/>
      <c r="D22" s="2335" t="s">
        <v>93</v>
      </c>
      <c r="E22" s="2336"/>
      <c r="F22" s="2337"/>
      <c r="G22" s="2338" t="s">
        <v>296</v>
      </c>
      <c r="H22" s="2338"/>
      <c r="I22" s="2338"/>
      <c r="J22" s="2338" t="str">
        <f t="shared" si="0"/>
        <v>Tasa de dosis fuera de rango</v>
      </c>
      <c r="K22" s="2338"/>
      <c r="L22" s="2338"/>
      <c r="M22" s="2338"/>
      <c r="N22" s="2333" t="str">
        <f>IF(AND(D22&lt;=$AG$14,D22&gt;=$AG$15),SQRT('F-LSCD-002 (Dosimetría)'!$D$215/D22),IF(AND(D22&lt;=$AG$16,D22&gt;=$AG$17),SQRT('F-LSCD-002 (Dosimetría)'!$CP$215/D22),IF(AND(D22&lt;=$AG$18,D22&gt;=$AG$19),SQRT('F-LSCD-002 (Dosimetría)'!$BF$215/D22),IF(AND(D22&lt;=$AG$20,D22&gt;=$AG$21),SQRT('F-LSCD-002 (Dosimetría)'!$TF$215/D22),IF(AND(D22&lt;=$AG$22,D22&gt;=$AG$23),SQRT('F-LSCD-002 (Dosimetría)'!$PB$215/D22),IF(AND(D22&lt;=$AG$24,D22&gt;=$AG$25),SQRT('F-LSCD-002 (Dosimetría)'!$NR$215/D22),IF(AND(D22&lt;=$AG$26,D22&gt;=$AG$27),SQRT('F-LSCD-002 (Dosimetría)'!$BX$215/D22),IF(AND(D22&lt;=$AG$29,D22&gt;=$AG$30),SQRT('F-LSCD-002 (Dosimetría)'!$UP$215/D22),IF(AND(D22&lt;=$AG$31,D22&gt;=$AG$32),SQRT('F-LSCD-002 (Dosimetría)'!$SN$215/D22),IF(AND(D22&lt;=$AG$33,D22&gt;=$AG$34),SQRT('F-LSCD-002 (Dosimetría)'!$ER$215/D22),IF(AND(D22&lt;=$AG$35,D22&gt;=$AG$36),SQRT('F-LSCD-002 (Dosimetría)'!$RD$215/D22),IF(AND(D22&lt;=$AG$37,D22&gt;=$AG$38),SQRT('F-LSCD-002 (Dosimetría)'!$RV$215/D22),"Tasa de dosis fuera de rango"))))))))))))</f>
        <v>Tasa de dosis fuera de rango</v>
      </c>
      <c r="O22" s="2333"/>
      <c r="P22" s="2333"/>
      <c r="Q22" s="2098"/>
      <c r="R22" s="2098"/>
      <c r="S22" s="2098"/>
      <c r="T22" s="2098"/>
      <c r="U22" s="2098"/>
      <c r="V22" s="2098"/>
      <c r="W22" s="2098"/>
      <c r="X22" s="2098"/>
      <c r="Y22" s="2098"/>
      <c r="Z22" s="2098"/>
      <c r="AA22" s="2098"/>
      <c r="AB22" s="2098"/>
      <c r="AC22" s="2098"/>
      <c r="AD22" s="2098"/>
      <c r="AE22" s="2094" t="str">
        <f>'F-LSCD-002 (Dosimetría)'!B273</f>
        <v>II+V</v>
      </c>
      <c r="AF22" s="2094" t="str">
        <f>'F-LSCD-002 (Dosimetría)'!C273</f>
        <v>máx.</v>
      </c>
      <c r="AG22" s="245">
        <f>'F-LSCD-002 (Dosimetría)'!D273</f>
        <v>4.127712642764462E-4</v>
      </c>
      <c r="AH22" s="244">
        <f>'F-LSCD-002 (Dosimetría)'!E273</f>
        <v>0</v>
      </c>
      <c r="AI22" s="244">
        <f>'F-LSCD-002 (Dosimetría)'!F273</f>
        <v>1.5</v>
      </c>
      <c r="AJ22" s="87"/>
    </row>
    <row r="23" spans="1:36" x14ac:dyDescent="0.25">
      <c r="B23" s="2334">
        <v>7</v>
      </c>
      <c r="C23" s="2334"/>
      <c r="D23" s="2335" t="s">
        <v>93</v>
      </c>
      <c r="E23" s="2336"/>
      <c r="F23" s="2337"/>
      <c r="G23" s="2338" t="s">
        <v>296</v>
      </c>
      <c r="H23" s="2338"/>
      <c r="I23" s="2338"/>
      <c r="J23" s="2338" t="str">
        <f t="shared" si="0"/>
        <v>Tasa de dosis fuera de rango</v>
      </c>
      <c r="K23" s="2338"/>
      <c r="L23" s="2338"/>
      <c r="M23" s="2338"/>
      <c r="N23" s="2333" t="str">
        <f>IF(AND(D23&lt;=$AG$14,D23&gt;=$AG$15),SQRT('F-LSCD-002 (Dosimetría)'!$D$215/D23),IF(AND(D23&lt;=$AG$16,D23&gt;=$AG$17),SQRT('F-LSCD-002 (Dosimetría)'!$CP$215/D23),IF(AND(D23&lt;=$AG$18,D23&gt;=$AG$19),SQRT('F-LSCD-002 (Dosimetría)'!$BF$215/D23),IF(AND(D23&lt;=$AG$20,D23&gt;=$AG$21),SQRT('F-LSCD-002 (Dosimetría)'!$TF$215/D23),IF(AND(D23&lt;=$AG$22,D23&gt;=$AG$23),SQRT('F-LSCD-002 (Dosimetría)'!$PB$215/D23),IF(AND(D23&lt;=$AG$24,D23&gt;=$AG$25),SQRT('F-LSCD-002 (Dosimetría)'!$NR$215/D23),IF(AND(D23&lt;=$AG$26,D23&gt;=$AG$27),SQRT('F-LSCD-002 (Dosimetría)'!$BX$215/D23),IF(AND(D23&lt;=$AG$29,D23&gt;=$AG$30),SQRT('F-LSCD-002 (Dosimetría)'!$UP$215/D23),IF(AND(D23&lt;=$AG$31,D23&gt;=$AG$32),SQRT('F-LSCD-002 (Dosimetría)'!$SN$215/D23),IF(AND(D23&lt;=$AG$33,D23&gt;=$AG$34),SQRT('F-LSCD-002 (Dosimetría)'!$ER$215/D23),IF(AND(D23&lt;=$AG$35,D23&gt;=$AG$36),SQRT('F-LSCD-002 (Dosimetría)'!$RD$215/D23),IF(AND(D23&lt;=$AG$37,D23&gt;=$AG$38),SQRT('F-LSCD-002 (Dosimetría)'!$RV$215/D23),"Tasa de dosis fuera de rango"))))))))))))</f>
        <v>Tasa de dosis fuera de rango</v>
      </c>
      <c r="O23" s="2333"/>
      <c r="P23" s="2333"/>
      <c r="Q23" s="2098"/>
      <c r="R23" s="2098"/>
      <c r="S23" s="2098"/>
      <c r="T23" s="2098"/>
      <c r="U23" s="2098"/>
      <c r="V23" s="2098"/>
      <c r="W23" s="2098"/>
      <c r="X23" s="2098"/>
      <c r="Y23" s="2098"/>
      <c r="Z23" s="2098"/>
      <c r="AA23" s="2098"/>
      <c r="AB23" s="2098"/>
      <c r="AC23" s="2098"/>
      <c r="AD23" s="2098"/>
      <c r="AE23" s="2094"/>
      <c r="AF23" s="2094" t="str">
        <f>'F-LSCD-002 (Dosimetría)'!C274</f>
        <v>mín.</v>
      </c>
      <c r="AG23" s="245">
        <f>'F-LSCD-002 (Dosimetría)'!D274</f>
        <v>1.4859765513952064E-4</v>
      </c>
      <c r="AH23" s="244">
        <f>'F-LSCD-002 (Dosimetría)'!E274</f>
        <v>0</v>
      </c>
      <c r="AI23" s="244">
        <f>'F-LSCD-002 (Dosimetría)'!F274</f>
        <v>2.5</v>
      </c>
      <c r="AJ23" s="87" t="str">
        <f>'F-LSCD-002 (Dosimetría)'!G272</f>
        <v>SI</v>
      </c>
    </row>
    <row r="24" spans="1:36" x14ac:dyDescent="0.25">
      <c r="B24" s="2334">
        <v>8</v>
      </c>
      <c r="C24" s="2334"/>
      <c r="D24" s="2335" t="s">
        <v>93</v>
      </c>
      <c r="E24" s="2336"/>
      <c r="F24" s="2337"/>
      <c r="G24" s="2338" t="s">
        <v>296</v>
      </c>
      <c r="H24" s="2338"/>
      <c r="I24" s="2338"/>
      <c r="J24" s="2338" t="str">
        <f t="shared" si="0"/>
        <v>Tasa de dosis fuera de rango</v>
      </c>
      <c r="K24" s="2338"/>
      <c r="L24" s="2338"/>
      <c r="M24" s="2338"/>
      <c r="N24" s="2333" t="str">
        <f>IF(AND(D24&lt;=$AG$14,D24&gt;=$AG$15),SQRT('F-LSCD-002 (Dosimetría)'!$D$215/D24),IF(AND(D24&lt;=$AG$16,D24&gt;=$AG$17),SQRT('F-LSCD-002 (Dosimetría)'!$CP$215/D24),IF(AND(D24&lt;=$AG$18,D24&gt;=$AG$19),SQRT('F-LSCD-002 (Dosimetría)'!$BF$215/D24),IF(AND(D24&lt;=$AG$20,D24&gt;=$AG$21),SQRT('F-LSCD-002 (Dosimetría)'!$TF$215/D24),IF(AND(D24&lt;=$AG$22,D24&gt;=$AG$23),SQRT('F-LSCD-002 (Dosimetría)'!$PB$215/D24),IF(AND(D24&lt;=$AG$24,D24&gt;=$AG$25),SQRT('F-LSCD-002 (Dosimetría)'!$NR$215/D24),IF(AND(D24&lt;=$AG$26,D24&gt;=$AG$27),SQRT('F-LSCD-002 (Dosimetría)'!$BX$215/D24),IF(AND(D24&lt;=$AG$29,D24&gt;=$AG$30),SQRT('F-LSCD-002 (Dosimetría)'!$UP$215/D24),IF(AND(D24&lt;=$AG$31,D24&gt;=$AG$32),SQRT('F-LSCD-002 (Dosimetría)'!$SN$215/D24),IF(AND(D24&lt;=$AG$33,D24&gt;=$AG$34),SQRT('F-LSCD-002 (Dosimetría)'!$ER$215/D24),IF(AND(D24&lt;=$AG$35,D24&gt;=$AG$36),SQRT('F-LSCD-002 (Dosimetría)'!$RD$215/D24),IF(AND(D24&lt;=$AG$37,D24&gt;=$AG$38),SQRT('F-LSCD-002 (Dosimetría)'!$RV$215/D24),"Tasa de dosis fuera de rango"))))))))))))</f>
        <v>Tasa de dosis fuera de rango</v>
      </c>
      <c r="O24" s="2333"/>
      <c r="P24" s="2333"/>
      <c r="Q24" s="2098"/>
      <c r="R24" s="2098"/>
      <c r="S24" s="2098"/>
      <c r="T24" s="2098"/>
      <c r="U24" s="2098"/>
      <c r="V24" s="2098"/>
      <c r="W24" s="2098"/>
      <c r="X24" s="2098"/>
      <c r="Y24" s="2098"/>
      <c r="Z24" s="2098"/>
      <c r="AA24" s="2098"/>
      <c r="AB24" s="2098"/>
      <c r="AC24" s="2098"/>
      <c r="AD24" s="2098"/>
      <c r="AE24" s="2094" t="str">
        <f>'F-LSCD-002 (Dosimetría)'!B275</f>
        <v>II+III</v>
      </c>
      <c r="AF24" s="2094" t="str">
        <f>'F-LSCD-002 (Dosimetría)'!C275</f>
        <v>máx.</v>
      </c>
      <c r="AG24" s="245">
        <f>'F-LSCD-002 (Dosimetría)'!D275</f>
        <v>1.7808408352127335E-4</v>
      </c>
      <c r="AH24" s="244">
        <f>'F-LSCD-002 (Dosimetría)'!E275</f>
        <v>0</v>
      </c>
      <c r="AI24" s="244">
        <f>'F-LSCD-002 (Dosimetría)'!F275</f>
        <v>1.5</v>
      </c>
      <c r="AJ24" s="87"/>
    </row>
    <row r="25" spans="1:36" x14ac:dyDescent="0.25">
      <c r="B25" s="2334">
        <v>9</v>
      </c>
      <c r="C25" s="2334"/>
      <c r="D25" s="2335" t="s">
        <v>93</v>
      </c>
      <c r="E25" s="2336"/>
      <c r="F25" s="2337"/>
      <c r="G25" s="2338" t="s">
        <v>296</v>
      </c>
      <c r="H25" s="2338"/>
      <c r="I25" s="2338"/>
      <c r="J25" s="2338" t="str">
        <f t="shared" si="0"/>
        <v>Tasa de dosis fuera de rango</v>
      </c>
      <c r="K25" s="2338"/>
      <c r="L25" s="2338"/>
      <c r="M25" s="2338"/>
      <c r="N25" s="2333" t="str">
        <f>IF(AND(D25&lt;=$AG$14,D25&gt;=$AG$15),SQRT('F-LSCD-002 (Dosimetría)'!$D$215/D25),IF(AND(D25&lt;=$AG$16,D25&gt;=$AG$17),SQRT('F-LSCD-002 (Dosimetría)'!$CP$215/D25),IF(AND(D25&lt;=$AG$18,D25&gt;=$AG$19),SQRT('F-LSCD-002 (Dosimetría)'!$BF$215/D25),IF(AND(D25&lt;=$AG$20,D25&gt;=$AG$21),SQRT('F-LSCD-002 (Dosimetría)'!$TF$215/D25),IF(AND(D25&lt;=$AG$22,D25&gt;=$AG$23),SQRT('F-LSCD-002 (Dosimetría)'!$PB$215/D25),IF(AND(D25&lt;=$AG$24,D25&gt;=$AG$25),SQRT('F-LSCD-002 (Dosimetría)'!$NR$215/D17),IF(AND(D25&lt;=$AG$26,D25&gt;=$AG$27),SQRT('F-LSCD-002 (Dosimetría)'!$BX$215/D25),IF(AND(D25&lt;=$AG$29,D25&gt;=$AG$30),SQRT('F-LSCD-002 (Dosimetría)'!$UP$215/D25),IF(AND(D25&lt;=$AG$31,D25&gt;=$AG$32),SQRT('F-LSCD-002 (Dosimetría)'!$SN$215/D25),IF(AND(D25&lt;=$AG$33,D25&gt;=$AG$34),SQRT('F-LSCD-002 (Dosimetría)'!$ER$215/D25),IF(AND(D25&lt;=$AG$35,D25&gt;=$AG$36),SQRT('F-LSCD-002 (Dosimetría)'!$RD$215/D25),IF(AND(D25&lt;=$AG$37,D25&gt;=$AG$38),SQRT('F-LSCD-002 (Dosimetría)'!$RV$215/D25),"Tasa de dosis fuera de rango"))))))))))))</f>
        <v>Tasa de dosis fuera de rango</v>
      </c>
      <c r="O25" s="2333"/>
      <c r="P25" s="2333"/>
      <c r="Q25" s="2098"/>
      <c r="R25" s="2098"/>
      <c r="S25" s="2098"/>
      <c r="T25" s="2098"/>
      <c r="U25" s="2098"/>
      <c r="V25" s="2098"/>
      <c r="W25" s="2098"/>
      <c r="X25" s="2098"/>
      <c r="Y25" s="2098"/>
      <c r="Z25" s="2098"/>
      <c r="AA25" s="2098"/>
      <c r="AB25" s="2098"/>
      <c r="AC25" s="2098"/>
      <c r="AD25" s="2098"/>
      <c r="AE25" s="2094"/>
      <c r="AF25" s="2094" t="str">
        <f>'F-LSCD-002 (Dosimetría)'!C276</f>
        <v>mín.</v>
      </c>
      <c r="AG25" s="245">
        <f>'F-LSCD-002 (Dosimetría)'!D276</f>
        <v>6.4110270067658403E-5</v>
      </c>
      <c r="AH25" s="244">
        <f>'F-LSCD-002 (Dosimetría)'!E276</f>
        <v>0</v>
      </c>
      <c r="AI25" s="244">
        <f>'F-LSCD-002 (Dosimetría)'!F276</f>
        <v>2.5</v>
      </c>
      <c r="AJ25" s="87" t="str">
        <f>'F-LSCD-002 (Dosimetría)'!G274</f>
        <v>SI</v>
      </c>
    </row>
    <row r="26" spans="1:36" x14ac:dyDescent="0.25">
      <c r="B26" s="2334">
        <v>10</v>
      </c>
      <c r="C26" s="2334"/>
      <c r="D26" s="2335" t="s">
        <v>93</v>
      </c>
      <c r="E26" s="2336"/>
      <c r="F26" s="2337"/>
      <c r="G26" s="2338" t="s">
        <v>296</v>
      </c>
      <c r="H26" s="2338"/>
      <c r="I26" s="2338"/>
      <c r="J26" s="2338" t="str">
        <f t="shared" si="0"/>
        <v>Tasa de dosis fuera de rango</v>
      </c>
      <c r="K26" s="2338"/>
      <c r="L26" s="2338"/>
      <c r="M26" s="2338"/>
      <c r="N26" s="2333" t="str">
        <f>IF(AND(D26&lt;=$AG$14,D26&gt;=$AG$15),SQRT('F-LSCD-002 (Dosimetría)'!$D$215/D26),IF(AND(D26&lt;=$AG$16,D26&gt;=$AG$17),SQRT('F-LSCD-002 (Dosimetría)'!$CP$215/D26),IF(AND(D26&lt;=$AG$18,D26&gt;=$AG$19),SQRT('F-LSCD-002 (Dosimetría)'!$BF$215/D26),IF(AND(D26&lt;=$AG$20,D26&gt;=$AG$21),SQRT('F-LSCD-002 (Dosimetría)'!$TF$215/D26),IF(AND(D26&lt;=$AG$22,D26&gt;=$AG$23),SQRT('F-LSCD-002 (Dosimetría)'!$PB$215/D26),IF(AND(D26&lt;=$AG$24,D26&gt;=$AG$25),SQRT('F-LSCD-002 (Dosimetría)'!$NR$215/D17),IF(AND(D26&lt;=$AG$26,D26&gt;=$AG$27),SQRT('F-LSCD-002 (Dosimetría)'!$BX$215/D26),IF(AND(D26&lt;=$AG$29,D26&gt;=$AG$30),SQRT('F-LSCD-002 (Dosimetría)'!$UP$215/D26),IF(AND(D26&lt;=$AG$31,D26&gt;=$AG$32),SQRT('F-LSCD-002 (Dosimetría)'!$SN$215/D26),IF(AND(D26&lt;=$AG$33,D26&gt;=$AG$34),SQRT('F-LSCD-002 (Dosimetría)'!$ER$215/D26),IF(AND(D26&lt;=$AG$35,D26&gt;=$AG$36),SQRT('F-LSCD-002 (Dosimetría)'!$RD$215/D26),IF(AND(D26&lt;=$AG$37,D26&gt;=$AG$38),SQRT('F-LSCD-002 (Dosimetría)'!$RV$215/D26),"Tasa de dosis fuera de rango"))))))))))))</f>
        <v>Tasa de dosis fuera de rango</v>
      </c>
      <c r="O26" s="2333"/>
      <c r="P26" s="2333"/>
      <c r="Q26" s="2098"/>
      <c r="R26" s="2098"/>
      <c r="S26" s="2098"/>
      <c r="T26" s="2098"/>
      <c r="U26" s="2098"/>
      <c r="V26" s="2098"/>
      <c r="W26" s="2098"/>
      <c r="X26" s="2098"/>
      <c r="Y26" s="2098"/>
      <c r="Z26" s="2098"/>
      <c r="AA26" s="2098"/>
      <c r="AB26" s="2098"/>
      <c r="AC26" s="2098"/>
      <c r="AD26" s="2098"/>
      <c r="AE26" s="2094" t="str">
        <f>'F-LSCD-002 (Dosimetría)'!B277</f>
        <v>IV</v>
      </c>
      <c r="AF26" s="2094" t="str">
        <f>'F-LSCD-002 (Dosimetría)'!C277</f>
        <v>máx.</v>
      </c>
      <c r="AG26" s="245">
        <f>'F-LSCD-002 (Dosimetría)'!D277</f>
        <v>1.0911281340811581E-4</v>
      </c>
      <c r="AH26" s="244">
        <f>'F-LSCD-002 (Dosimetría)'!E277</f>
        <v>0</v>
      </c>
      <c r="AI26" s="244">
        <f>'F-LSCD-002 (Dosimetría)'!F277</f>
        <v>1.5</v>
      </c>
      <c r="AJ26" s="87"/>
    </row>
    <row r="27" spans="1:36" x14ac:dyDescent="0.25">
      <c r="B27" s="2334">
        <v>11</v>
      </c>
      <c r="C27" s="2334"/>
      <c r="D27" s="2335" t="s">
        <v>93</v>
      </c>
      <c r="E27" s="2336"/>
      <c r="F27" s="2337"/>
      <c r="G27" s="2338" t="s">
        <v>296</v>
      </c>
      <c r="H27" s="2338"/>
      <c r="I27" s="2338"/>
      <c r="J27" s="2338" t="str">
        <f t="shared" si="0"/>
        <v>Tasa de dosis fuera de rango</v>
      </c>
      <c r="K27" s="2338"/>
      <c r="L27" s="2338"/>
      <c r="M27" s="2338"/>
      <c r="N27" s="2333" t="str">
        <f>IF(AND(D27&lt;=$AG$14,D27&gt;=$AG$15),SQRT('F-LSCD-002 (Dosimetría)'!$D$215/D27),IF(AND(D27&lt;=$AG$16,D27&gt;=$AG$17),SQRT('F-LSCD-002 (Dosimetría)'!$CP$215/D27),IF(AND(D27&lt;=$AG$18,D27&gt;=$AG$19),SQRT('F-LSCD-002 (Dosimetría)'!$BF$215/D27),IF(AND(D27&lt;=$AG$20,D27&gt;=$AG$21),SQRT('F-LSCD-002 (Dosimetría)'!$TF$215/D27),IF(AND(D27&lt;=$AG$22,D27&gt;=$AG$23),SQRT('F-LSCD-002 (Dosimetría)'!$PB$215/D27),IF(AND(D27&lt;=$AG$24,D27&gt;=$AG$25),SQRT('F-LSCD-002 (Dosimetría)'!$NR$215/D27),IF(AND(D27&lt;=$AG$26,D27&gt;=$AG$27),SQRT('F-LSCD-002 (Dosimetría)'!$BX$215/D27),IF(AND(D27&lt;=$AG$29,D27&gt;=$AG$30),SQRT('F-LSCD-002 (Dosimetría)'!$UP$215/D27),IF(AND(D27&lt;=$AG$31,D27&gt;=$AG$32),SQRT('F-LSCD-002 (Dosimetría)'!$SN$215/D27),IF(AND(D27&lt;=$AG$33,D27&gt;=$AG$34),SQRT('F-LSCD-002 (Dosimetría)'!$ER$215/D27),IF(AND(D27&lt;=$AG$35,D27&gt;=$AG$36),SQRT('F-LSCD-002 (Dosimetría)'!$RD$215/D27),IF(AND(D27&lt;=$AG$37,D27&gt;=$AG$38),SQRT('F-LSCD-002 (Dosimetría)'!$RV$215/D27),"Tasa de dosis fuera de rango"))))))))))))</f>
        <v>Tasa de dosis fuera de rango</v>
      </c>
      <c r="O27" s="2333"/>
      <c r="P27" s="2333"/>
      <c r="Q27" s="2098"/>
      <c r="R27" s="2098"/>
      <c r="S27" s="2098"/>
      <c r="T27" s="2098"/>
      <c r="U27" s="2098"/>
      <c r="V27" s="2098"/>
      <c r="W27" s="2098"/>
      <c r="X27" s="2098"/>
      <c r="Y27" s="2098"/>
      <c r="Z27" s="2098"/>
      <c r="AA27" s="2098"/>
      <c r="AB27" s="2098"/>
      <c r="AC27" s="2098"/>
      <c r="AD27" s="2098"/>
      <c r="AE27" s="2094"/>
      <c r="AF27" s="2094" t="str">
        <f>'F-LSCD-002 (Dosimetría)'!C278</f>
        <v>mín.</v>
      </c>
      <c r="AG27" s="245">
        <f>'F-LSCD-002 (Dosimetría)'!D278</f>
        <v>3.9280612826921692E-5</v>
      </c>
      <c r="AH27" s="244">
        <f>'F-LSCD-002 (Dosimetría)'!E278</f>
        <v>0</v>
      </c>
      <c r="AI27" s="244">
        <f>'F-LSCD-002 (Dosimetría)'!F278</f>
        <v>2.5</v>
      </c>
      <c r="AJ27" s="87" t="str">
        <f>'F-LSCD-002 (Dosimetría)'!G276</f>
        <v>SI</v>
      </c>
    </row>
    <row r="28" spans="1:36" x14ac:dyDescent="0.25">
      <c r="B28" s="2334">
        <v>12</v>
      </c>
      <c r="C28" s="2334"/>
      <c r="D28" s="2335" t="s">
        <v>93</v>
      </c>
      <c r="E28" s="2336"/>
      <c r="F28" s="2337"/>
      <c r="G28" s="2338" t="s">
        <v>296</v>
      </c>
      <c r="H28" s="2338"/>
      <c r="I28" s="2338"/>
      <c r="J28" s="2338" t="str">
        <f t="shared" si="0"/>
        <v>Tasa de dosis fuera de rango</v>
      </c>
      <c r="K28" s="2338"/>
      <c r="L28" s="2338"/>
      <c r="M28" s="2338"/>
      <c r="N28" s="2333" t="str">
        <f>IF(AND(D28&lt;=$AG$14,D28&gt;=$AG$15),SQRT('F-LSCD-002 (Dosimetría)'!$D$215/D28),IF(AND(D28&lt;=$AG$16,D28&gt;=$AG$17),SQRT('F-LSCD-002 (Dosimetría)'!$CP$215/D28),IF(AND(D28&lt;=$AG$18,D28&gt;=$AG$19),SQRT('F-LSCD-002 (Dosimetría)'!$BF$215/D28),IF(AND(D28&lt;=$AG$20,D28&gt;=$AG$21),SQRT('F-LSCD-002 (Dosimetría)'!$TF$215/D28),IF(AND(D28&lt;=$AG$22,D28&gt;=$AG$23),SQRT('F-LSCD-002 (Dosimetría)'!$PB$215/D28),IF(AND(D28&lt;=$AG$24,D28&gt;=$AG$25),SQRT('F-LSCD-002 (Dosimetría)'!$NR$215/D28),IF(AND(D28&lt;=$AG$26,D28&gt;=$AG$27),SQRT('F-LSCD-002 (Dosimetría)'!$BX$215/D28),IF(AND(D28&lt;=$AG$29,D28&gt;=$AG$30),SQRT('F-LSCD-002 (Dosimetría)'!$UP$215/D28),IF(AND(D28&lt;=$AG$31,D28&gt;=$AG$32),SQRT('F-LSCD-002 (Dosimetría)'!$SN$215/D28),IF(AND(D28&lt;=$AG$33,D28&gt;=$AG$34),SQRT('F-LSCD-002 (Dosimetría)'!$ER$215/D28),IF(AND(D28&lt;=$AG$35,D28&gt;=$AG$36),SQRT('F-LSCD-002 (Dosimetría)'!$RD$215/D28),IF(AND(D28&lt;=$AG$37,D28&gt;=$AG$38),SQRT('F-LSCD-002 (Dosimetría)'!$RV$215/D28),"Tasa de dosis fuera de rango"))))))))))))</f>
        <v>Tasa de dosis fuera de rango</v>
      </c>
      <c r="O28" s="2333"/>
      <c r="P28" s="2333"/>
      <c r="Q28" s="2098"/>
      <c r="R28" s="2098"/>
      <c r="S28" s="2098"/>
      <c r="T28" s="2098"/>
      <c r="U28" s="2098"/>
      <c r="V28" s="2098"/>
      <c r="W28" s="2098"/>
      <c r="X28" s="2098"/>
      <c r="Y28" s="2098"/>
      <c r="Z28" s="2098"/>
      <c r="AA28" s="2098"/>
      <c r="AB28" s="2098"/>
      <c r="AC28" s="2098"/>
      <c r="AD28" s="2098"/>
      <c r="AJ28" s="87"/>
    </row>
    <row r="29" spans="1:36" x14ac:dyDescent="0.25">
      <c r="A29" s="113"/>
      <c r="B29" s="114"/>
      <c r="C29" s="114"/>
      <c r="D29" s="114"/>
      <c r="E29" s="114"/>
      <c r="F29" s="114"/>
      <c r="G29" s="114"/>
      <c r="H29" s="106"/>
      <c r="I29" s="106"/>
      <c r="J29" s="106"/>
      <c r="K29" s="106"/>
      <c r="L29" s="114"/>
      <c r="M29" s="114"/>
      <c r="N29" s="114"/>
      <c r="O29" s="114"/>
      <c r="P29" s="114"/>
      <c r="Q29" s="114"/>
      <c r="AD29" s="87"/>
      <c r="AE29" s="244" t="str">
        <f>'F-LSCD-002 (Dosimetría)'!B279</f>
        <v>IV+V</v>
      </c>
      <c r="AF29" s="244" t="str">
        <f>'F-LSCD-002 (Dosimetría)'!C279</f>
        <v>máx.</v>
      </c>
      <c r="AG29" s="245">
        <f>'F-LSCD-002 (Dosimetría)'!D279</f>
        <v>4.2967296671642863E-5</v>
      </c>
      <c r="AH29" s="244">
        <f>'F-LSCD-002 (Dosimetría)'!E279</f>
        <v>0</v>
      </c>
      <c r="AI29" s="244">
        <f>'F-LSCD-002 (Dosimetría)'!F279</f>
        <v>1.5</v>
      </c>
      <c r="AJ29" s="87" t="str">
        <f>'F-LSCD-002 (Dosimetría)'!G278</f>
        <v>SI</v>
      </c>
    </row>
    <row r="30" spans="1:36" x14ac:dyDescent="0.25">
      <c r="AD30" s="87"/>
      <c r="AE30" s="244"/>
      <c r="AF30" s="244" t="str">
        <f>'F-LSCD-002 (Dosimetría)'!C280</f>
        <v>mín.</v>
      </c>
      <c r="AG30" s="245">
        <f>'F-LSCD-002 (Dosimetría)'!D280</f>
        <v>1.546822680179143E-5</v>
      </c>
      <c r="AH30" s="244">
        <f>'F-LSCD-002 (Dosimetría)'!E280</f>
        <v>0</v>
      </c>
      <c r="AI30" s="244">
        <f>'F-LSCD-002 (Dosimetría)'!F280</f>
        <v>2.5</v>
      </c>
    </row>
    <row r="31" spans="1:36" x14ac:dyDescent="0.25">
      <c r="B31" s="2365" t="s">
        <v>150</v>
      </c>
      <c r="C31" s="2366"/>
      <c r="D31" s="2366"/>
      <c r="E31" s="2366"/>
      <c r="F31" s="2369" t="s">
        <v>1318</v>
      </c>
      <c r="G31" s="2369"/>
      <c r="H31" s="2369"/>
      <c r="I31" s="2369"/>
      <c r="J31" s="2369"/>
      <c r="K31" s="2369"/>
      <c r="L31" s="2369"/>
      <c r="M31" s="2369"/>
      <c r="N31" s="2369"/>
      <c r="O31" s="2369"/>
      <c r="P31" s="2369"/>
      <c r="Q31" s="2369"/>
      <c r="R31" s="2369"/>
      <c r="S31" s="2369"/>
      <c r="T31" s="2369"/>
      <c r="U31" s="2369"/>
      <c r="V31" s="2369"/>
      <c r="W31" s="2369"/>
      <c r="X31" s="2369"/>
      <c r="Y31" s="2369"/>
      <c r="Z31" s="2369"/>
      <c r="AA31" s="2369"/>
      <c r="AB31" s="2370"/>
      <c r="AD31" s="87"/>
      <c r="AE31" s="244" t="str">
        <f>'F-LSCD-002 (Dosimetría)'!B281</f>
        <v>III+IV</v>
      </c>
      <c r="AF31" s="244" t="str">
        <f>'F-LSCD-002 (Dosimetría)'!C281</f>
        <v>máx.</v>
      </c>
      <c r="AG31" s="245">
        <f>'F-LSCD-002 (Dosimetría)'!D281</f>
        <v>1.8701909809240989E-5</v>
      </c>
      <c r="AH31" s="244">
        <f>'F-LSCD-002 (Dosimetría)'!E281</f>
        <v>0</v>
      </c>
      <c r="AI31" s="244">
        <f>'F-LSCD-002 (Dosimetría)'!F281</f>
        <v>1.5</v>
      </c>
      <c r="AJ31" s="87"/>
    </row>
    <row r="32" spans="1:36" x14ac:dyDescent="0.25">
      <c r="B32" s="2367"/>
      <c r="C32" s="2368"/>
      <c r="D32" s="2368"/>
      <c r="E32" s="2368"/>
      <c r="F32" s="2371"/>
      <c r="G32" s="2371"/>
      <c r="H32" s="2371"/>
      <c r="I32" s="2371"/>
      <c r="J32" s="2371"/>
      <c r="K32" s="2371"/>
      <c r="L32" s="2371"/>
      <c r="M32" s="2371"/>
      <c r="N32" s="2371"/>
      <c r="O32" s="2371"/>
      <c r="P32" s="2371"/>
      <c r="Q32" s="2371"/>
      <c r="R32" s="2371"/>
      <c r="S32" s="2371"/>
      <c r="T32" s="2371"/>
      <c r="U32" s="2371"/>
      <c r="V32" s="2371"/>
      <c r="W32" s="2371"/>
      <c r="X32" s="2371"/>
      <c r="Y32" s="2371"/>
      <c r="Z32" s="2371"/>
      <c r="AA32" s="2371"/>
      <c r="AB32" s="2372"/>
      <c r="AD32" s="87"/>
      <c r="AE32" s="244"/>
      <c r="AF32" s="244" t="str">
        <f>'F-LSCD-002 (Dosimetría)'!C282</f>
        <v>mín.</v>
      </c>
      <c r="AG32" s="245">
        <f>'F-LSCD-002 (Dosimetría)'!D282</f>
        <v>6.7326875313267554E-6</v>
      </c>
      <c r="AH32" s="244">
        <f>'F-LSCD-002 (Dosimetría)'!E282</f>
        <v>0</v>
      </c>
      <c r="AI32" s="244">
        <f>'F-LSCD-002 (Dosimetría)'!F282</f>
        <v>2.5</v>
      </c>
      <c r="AJ32" s="87" t="str">
        <f>'F-LSCD-002 (Dosimetría)'!G280</f>
        <v>SI</v>
      </c>
    </row>
    <row r="33" spans="13:36" x14ac:dyDescent="0.25">
      <c r="AD33" s="87"/>
      <c r="AE33" s="244" t="str">
        <f>'F-LSCD-002 (Dosimetría)'!B283</f>
        <v>I+IV</v>
      </c>
      <c r="AF33" s="244" t="str">
        <f>'F-LSCD-002 (Dosimetría)'!C283</f>
        <v>máx.</v>
      </c>
      <c r="AG33" s="245">
        <f>'F-LSCD-002 (Dosimetría)'!D283</f>
        <v>8.3364126097205072E-6</v>
      </c>
      <c r="AH33" s="244">
        <f>'F-LSCD-002 (Dosimetría)'!E283</f>
        <v>0</v>
      </c>
      <c r="AI33" s="244">
        <f>'F-LSCD-002 (Dosimetría)'!F283</f>
        <v>1.5</v>
      </c>
      <c r="AJ33" s="87"/>
    </row>
    <row r="34" spans="13:36" x14ac:dyDescent="0.25">
      <c r="AD34" s="87"/>
      <c r="AE34" s="244"/>
      <c r="AF34" s="244" t="str">
        <f>'F-LSCD-002 (Dosimetría)'!C284</f>
        <v>mín.</v>
      </c>
      <c r="AG34" s="245">
        <f>'F-LSCD-002 (Dosimetría)'!D284</f>
        <v>3.0011085394993824E-6</v>
      </c>
      <c r="AH34" s="244">
        <f>'F-LSCD-002 (Dosimetría)'!E284</f>
        <v>0</v>
      </c>
      <c r="AI34" s="244">
        <f>'F-LSCD-002 (Dosimetría)'!F284</f>
        <v>2.5</v>
      </c>
      <c r="AJ34" s="87" t="str">
        <f>'F-LSCD-002 (Dosimetría)'!G282</f>
        <v>SI</v>
      </c>
    </row>
    <row r="35" spans="13:36" x14ac:dyDescent="0.25">
      <c r="AD35" s="87"/>
      <c r="AE35" s="244" t="str">
        <f>'F-LSCD-002 (Dosimetría)'!B285</f>
        <v>II+IV+V</v>
      </c>
      <c r="AF35" s="244" t="str">
        <f>'F-LSCD-002 (Dosimetría)'!C285</f>
        <v>máx.</v>
      </c>
      <c r="AG35" s="245">
        <f>'F-LSCD-002 (Dosimetría)'!D285</f>
        <v>0</v>
      </c>
      <c r="AH35" s="244">
        <f>'F-LSCD-002 (Dosimetría)'!E285</f>
        <v>0</v>
      </c>
      <c r="AI35" s="244" t="e">
        <f>'F-LSCD-002 (Dosimetría)'!F285</f>
        <v>#DIV/0!</v>
      </c>
      <c r="AJ35" s="87"/>
    </row>
    <row r="36" spans="13:36" x14ac:dyDescent="0.25">
      <c r="AD36" s="87"/>
      <c r="AE36" s="244"/>
      <c r="AF36" s="244" t="str">
        <f>'F-LSCD-002 (Dosimetría)'!C286</f>
        <v>mín.</v>
      </c>
      <c r="AG36" s="245">
        <f>'F-LSCD-002 (Dosimetría)'!D286</f>
        <v>0</v>
      </c>
      <c r="AH36" s="244">
        <f>'F-LSCD-002 (Dosimetría)'!E286</f>
        <v>0</v>
      </c>
      <c r="AI36" s="244" t="e">
        <f>'F-LSCD-002 (Dosimetría)'!F286</f>
        <v>#DIV/0!</v>
      </c>
      <c r="AJ36" s="87" t="str">
        <f>'F-LSCD-002 (Dosimetría)'!G284</f>
        <v>NO</v>
      </c>
    </row>
    <row r="37" spans="13:36" ht="15" customHeight="1" x14ac:dyDescent="0.25">
      <c r="AD37" s="87"/>
      <c r="AE37" s="244" t="str">
        <f>'F-LSCD-002 (Dosimetría)'!B287</f>
        <v>II+III+IV+V</v>
      </c>
      <c r="AF37" s="244" t="str">
        <f>'F-LSCD-002 (Dosimetría)'!C287</f>
        <v>máx.</v>
      </c>
      <c r="AG37" s="245">
        <f>'F-LSCD-002 (Dosimetría)'!D287</f>
        <v>0</v>
      </c>
      <c r="AH37" s="244">
        <f>'F-LSCD-002 (Dosimetría)'!E287</f>
        <v>0</v>
      </c>
      <c r="AI37" s="244" t="e">
        <f>'F-LSCD-002 (Dosimetría)'!F287</f>
        <v>#DIV/0!</v>
      </c>
      <c r="AJ37" s="87"/>
    </row>
    <row r="38" spans="13:36" x14ac:dyDescent="0.25">
      <c r="AD38" s="87"/>
      <c r="AE38" s="244"/>
      <c r="AF38" s="244" t="str">
        <f>'F-LSCD-002 (Dosimetría)'!C288</f>
        <v>mín.</v>
      </c>
      <c r="AG38" s="245">
        <f>'F-LSCD-002 (Dosimetría)'!D288</f>
        <v>0</v>
      </c>
      <c r="AH38" s="244">
        <f>'F-LSCD-002 (Dosimetría)'!E288</f>
        <v>0</v>
      </c>
      <c r="AI38" s="244" t="e">
        <f>'F-LSCD-002 (Dosimetría)'!F288</f>
        <v>#DIV/0!</v>
      </c>
      <c r="AJ38" s="87" t="str">
        <f>'F-LSCD-002 (Dosimetría)'!G286</f>
        <v>NO</v>
      </c>
    </row>
    <row r="39" spans="13:36" x14ac:dyDescent="0.25">
      <c r="M39" t="str">
        <f>H11</f>
        <v>Celso Fernando Parreño Zorrilla</v>
      </c>
      <c r="AD39" s="87"/>
      <c r="AE39" s="244" t="str">
        <f>'F-LSCD-002 (Dosimetría)'!B289</f>
        <v>I+II+III+IV+V</v>
      </c>
      <c r="AF39" s="244" t="str">
        <f>'F-LSCD-002 (Dosimetría)'!C289</f>
        <v>máx.</v>
      </c>
      <c r="AG39" s="245">
        <f>'F-LSCD-002 (Dosimetría)'!D289</f>
        <v>0</v>
      </c>
      <c r="AH39" s="244">
        <f>'F-LSCD-002 (Dosimetría)'!E289</f>
        <v>0</v>
      </c>
      <c r="AI39" s="244" t="e">
        <f>'F-LSCD-002 (Dosimetría)'!F289</f>
        <v>#DIV/0!</v>
      </c>
      <c r="AJ39" s="87"/>
    </row>
    <row r="40" spans="13:36" x14ac:dyDescent="0.25">
      <c r="O40" t="s">
        <v>1297</v>
      </c>
      <c r="AD40" s="87"/>
      <c r="AE40" s="244"/>
      <c r="AF40" s="244" t="str">
        <f>'F-LSCD-002 (Dosimetría)'!C290</f>
        <v>mín.</v>
      </c>
      <c r="AG40" s="245">
        <f>'F-LSCD-002 (Dosimetría)'!D290</f>
        <v>0</v>
      </c>
      <c r="AH40" s="244">
        <f>'F-LSCD-002 (Dosimetría)'!E290</f>
        <v>0</v>
      </c>
      <c r="AI40" s="244" t="e">
        <f>'F-LSCD-002 (Dosimetría)'!F290</f>
        <v>#DIV/0!</v>
      </c>
      <c r="AJ40" s="87" t="str">
        <f>'F-LSCD-002 (Dosimetría)'!G288</f>
        <v>NO</v>
      </c>
    </row>
    <row r="41" spans="13:36" x14ac:dyDescent="0.25">
      <c r="AD41" s="87"/>
      <c r="AE41" s="87"/>
      <c r="AF41" s="87"/>
      <c r="AG41" s="87"/>
      <c r="AH41" s="87"/>
      <c r="AI41" s="87"/>
      <c r="AJ41" s="87"/>
    </row>
    <row r="42" spans="13:36" x14ac:dyDescent="0.25">
      <c r="AD42" s="87"/>
      <c r="AE42" s="87"/>
      <c r="AF42" s="87"/>
      <c r="AG42" s="87"/>
      <c r="AH42" s="87"/>
      <c r="AI42" s="87"/>
      <c r="AJ42" s="87"/>
    </row>
    <row r="43" spans="13:36" x14ac:dyDescent="0.25">
      <c r="AD43" s="87"/>
      <c r="AE43" s="87"/>
      <c r="AF43" s="87"/>
      <c r="AG43" s="87"/>
      <c r="AH43" s="87"/>
      <c r="AI43" s="87"/>
      <c r="AJ43" s="87"/>
    </row>
    <row r="44" spans="13:36" x14ac:dyDescent="0.25">
      <c r="AD44" s="87"/>
      <c r="AE44" s="87"/>
      <c r="AF44" s="87"/>
      <c r="AG44" s="87"/>
      <c r="AH44" s="87"/>
      <c r="AI44" s="87"/>
      <c r="AJ44" s="87"/>
    </row>
    <row r="45" spans="13:36" x14ac:dyDescent="0.25">
      <c r="AD45" s="87"/>
      <c r="AE45" s="87"/>
      <c r="AF45" s="87"/>
      <c r="AG45" s="87"/>
      <c r="AH45" s="87"/>
      <c r="AI45" s="87"/>
      <c r="AJ45" s="87"/>
    </row>
    <row r="46" spans="13:36" x14ac:dyDescent="0.25">
      <c r="AD46" s="87"/>
      <c r="AE46" s="87"/>
      <c r="AF46" s="87"/>
      <c r="AG46" s="87"/>
      <c r="AH46" s="87"/>
      <c r="AI46" s="87"/>
      <c r="AJ46" s="87"/>
    </row>
    <row r="47" spans="13:36" x14ac:dyDescent="0.25">
      <c r="AE47" s="87"/>
      <c r="AF47" s="87"/>
      <c r="AG47" s="87"/>
      <c r="AH47" s="87"/>
      <c r="AI47" s="87"/>
      <c r="AJ47" s="87"/>
    </row>
    <row r="48" spans="13:36" x14ac:dyDescent="0.25">
      <c r="AJ48" s="87"/>
    </row>
    <row r="49" spans="36:36" x14ac:dyDescent="0.25">
      <c r="AJ49" s="87"/>
    </row>
  </sheetData>
  <sheetProtection password="D8A8"/>
  <mergeCells count="79">
    <mergeCell ref="B15:C16"/>
    <mergeCell ref="J17:M17"/>
    <mergeCell ref="B31:E32"/>
    <mergeCell ref="F31:AB32"/>
    <mergeCell ref="G22:I22"/>
    <mergeCell ref="J22:M22"/>
    <mergeCell ref="N22:P22"/>
    <mergeCell ref="N28:P28"/>
    <mergeCell ref="D22:F22"/>
    <mergeCell ref="B26:C26"/>
    <mergeCell ref="G28:I28"/>
    <mergeCell ref="J28:M28"/>
    <mergeCell ref="J23:M23"/>
    <mergeCell ref="G23:I23"/>
    <mergeCell ref="B25:C25"/>
    <mergeCell ref="D25:F25"/>
    <mergeCell ref="D18:F18"/>
    <mergeCell ref="G17:I17"/>
    <mergeCell ref="N17:P17"/>
    <mergeCell ref="N18:P18"/>
    <mergeCell ref="G25:I25"/>
    <mergeCell ref="J25:M25"/>
    <mergeCell ref="J15:M16"/>
    <mergeCell ref="D27:F27"/>
    <mergeCell ref="G27:I27"/>
    <mergeCell ref="N27:P27"/>
    <mergeCell ref="B20:C20"/>
    <mergeCell ref="D20:F20"/>
    <mergeCell ref="G20:I20"/>
    <mergeCell ref="J20:M20"/>
    <mergeCell ref="N20:P20"/>
    <mergeCell ref="B21:C21"/>
    <mergeCell ref="D21:F21"/>
    <mergeCell ref="G21:I21"/>
    <mergeCell ref="J21:M21"/>
    <mergeCell ref="B22:C22"/>
    <mergeCell ref="J27:M27"/>
    <mergeCell ref="N21:P21"/>
    <mergeCell ref="B28:C28"/>
    <mergeCell ref="D28:F28"/>
    <mergeCell ref="N23:P23"/>
    <mergeCell ref="B24:C24"/>
    <mergeCell ref="D24:F24"/>
    <mergeCell ref="J24:M24"/>
    <mergeCell ref="N24:P24"/>
    <mergeCell ref="G24:I24"/>
    <mergeCell ref="N25:P25"/>
    <mergeCell ref="D26:F26"/>
    <mergeCell ref="G26:I26"/>
    <mergeCell ref="J26:M26"/>
    <mergeCell ref="N26:P26"/>
    <mergeCell ref="B23:C23"/>
    <mergeCell ref="D23:F23"/>
    <mergeCell ref="B27:C27"/>
    <mergeCell ref="H1:U4"/>
    <mergeCell ref="V3:X3"/>
    <mergeCell ref="V4:X4"/>
    <mergeCell ref="Y1:AB1"/>
    <mergeCell ref="Y3:AB3"/>
    <mergeCell ref="Y4:AB4"/>
    <mergeCell ref="Y2:AB2"/>
    <mergeCell ref="V1:X1"/>
    <mergeCell ref="V2:X2"/>
    <mergeCell ref="A8:G8"/>
    <mergeCell ref="H8:AB8"/>
    <mergeCell ref="H10:L10"/>
    <mergeCell ref="D15:F16"/>
    <mergeCell ref="N19:P19"/>
    <mergeCell ref="G15:I16"/>
    <mergeCell ref="B19:C19"/>
    <mergeCell ref="D19:F19"/>
    <mergeCell ref="G19:I19"/>
    <mergeCell ref="J19:M19"/>
    <mergeCell ref="G18:I18"/>
    <mergeCell ref="J18:M18"/>
    <mergeCell ref="N15:P16"/>
    <mergeCell ref="B17:C17"/>
    <mergeCell ref="B18:C18"/>
    <mergeCell ref="D17:F17"/>
  </mergeCells>
  <pageMargins left="0.41666666666666669" right="0.46875" top="0.40625" bottom="0.29166666666666669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0000000}">
          <x14:formula1>
            <xm:f>'Datos varios'!$B$5:$B$11</xm:f>
          </x14:formula1>
          <xm:sqref>AF6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3">
    <pageSetUpPr fitToPage="1"/>
  </sheetPr>
  <dimension ref="A1:W73"/>
  <sheetViews>
    <sheetView view="pageLayout" topLeftCell="C22" zoomScale="80" zoomScaleNormal="90" zoomScaleSheetLayoutView="90" zoomScalePageLayoutView="80" workbookViewId="0">
      <selection activeCell="W34" sqref="W34"/>
    </sheetView>
  </sheetViews>
  <sheetFormatPr baseColWidth="10" defaultColWidth="11.42578125" defaultRowHeight="15" x14ac:dyDescent="0.25"/>
  <cols>
    <col min="1" max="1" width="11.42578125" style="87" customWidth="1"/>
    <col min="2" max="2" width="17.5703125" style="87" customWidth="1"/>
    <col min="3" max="3" width="11.85546875" style="87" bestFit="1" customWidth="1"/>
    <col min="4" max="14" width="11.42578125" style="87"/>
    <col min="15" max="15" width="13.42578125" style="87" customWidth="1"/>
    <col min="16" max="17" width="11.42578125" style="87"/>
    <col min="18" max="19" width="11.42578125" style="87" customWidth="1"/>
    <col min="20" max="20" width="11.42578125" style="87"/>
    <col min="21" max="21" width="11.42578125" style="87" customWidth="1"/>
    <col min="22" max="22" width="11.42578125" style="87" hidden="1" customWidth="1"/>
    <col min="23" max="16384" width="11.42578125" style="87"/>
  </cols>
  <sheetData>
    <row r="1" spans="1:21" ht="15" customHeight="1" x14ac:dyDescent="0.25">
      <c r="A1" s="145"/>
      <c r="B1" s="146"/>
      <c r="C1" s="146"/>
      <c r="D1" s="2339" t="s">
        <v>261</v>
      </c>
      <c r="E1" s="2340"/>
      <c r="F1" s="2340"/>
      <c r="G1" s="2340"/>
      <c r="H1" s="2340"/>
      <c r="I1" s="2340"/>
      <c r="J1" s="2340"/>
      <c r="K1" s="2340"/>
      <c r="L1" s="2340"/>
      <c r="M1" s="2340"/>
      <c r="N1" s="2340"/>
      <c r="O1" s="2340"/>
      <c r="P1" s="2340"/>
      <c r="Q1" s="2340"/>
      <c r="R1" s="2341"/>
      <c r="S1" s="201" t="s">
        <v>68</v>
      </c>
      <c r="T1" s="201" t="s">
        <v>282</v>
      </c>
      <c r="U1" s="147"/>
    </row>
    <row r="2" spans="1:21" ht="15" customHeight="1" x14ac:dyDescent="0.25">
      <c r="A2" s="150"/>
      <c r="D2" s="2342"/>
      <c r="E2" s="2394"/>
      <c r="F2" s="2394"/>
      <c r="G2" s="2394"/>
      <c r="H2" s="2394"/>
      <c r="I2" s="2394"/>
      <c r="J2" s="2394"/>
      <c r="K2" s="2394"/>
      <c r="L2" s="2394"/>
      <c r="M2" s="2394"/>
      <c r="N2" s="2394"/>
      <c r="O2" s="2394"/>
      <c r="P2" s="2394"/>
      <c r="Q2" s="2394"/>
      <c r="R2" s="2344"/>
      <c r="S2" s="217" t="s">
        <v>69</v>
      </c>
      <c r="T2" s="217" t="s">
        <v>1232</v>
      </c>
      <c r="U2" s="151"/>
    </row>
    <row r="3" spans="1:21" ht="15" customHeight="1" x14ac:dyDescent="0.25">
      <c r="A3" s="150"/>
      <c r="D3" s="2342"/>
      <c r="E3" s="2394"/>
      <c r="F3" s="2394"/>
      <c r="G3" s="2394"/>
      <c r="H3" s="2394"/>
      <c r="I3" s="2394"/>
      <c r="J3" s="2394"/>
      <c r="K3" s="2394"/>
      <c r="L3" s="2394"/>
      <c r="M3" s="2394"/>
      <c r="N3" s="2394"/>
      <c r="O3" s="2394"/>
      <c r="P3" s="2394"/>
      <c r="Q3" s="2394"/>
      <c r="R3" s="2344"/>
      <c r="S3" s="217" t="s">
        <v>70</v>
      </c>
      <c r="T3" s="217" t="s">
        <v>1074</v>
      </c>
      <c r="U3" s="151"/>
    </row>
    <row r="4" spans="1:21" ht="15" customHeight="1" x14ac:dyDescent="0.25">
      <c r="A4" s="154"/>
      <c r="B4" s="155"/>
      <c r="C4" s="155"/>
      <c r="D4" s="2345"/>
      <c r="E4" s="2346"/>
      <c r="F4" s="2346"/>
      <c r="G4" s="2346"/>
      <c r="H4" s="2346"/>
      <c r="I4" s="2346"/>
      <c r="J4" s="2346"/>
      <c r="K4" s="2346"/>
      <c r="L4" s="2346"/>
      <c r="M4" s="2346"/>
      <c r="N4" s="2346"/>
      <c r="O4" s="2346"/>
      <c r="P4" s="2346"/>
      <c r="Q4" s="2346"/>
      <c r="R4" s="2347"/>
      <c r="S4" s="202" t="s">
        <v>71</v>
      </c>
      <c r="T4" s="202" t="s">
        <v>73</v>
      </c>
      <c r="U4" s="156"/>
    </row>
    <row r="5" spans="1:21" ht="15.75" thickBot="1" x14ac:dyDescent="0.3">
      <c r="A5" s="159"/>
    </row>
    <row r="6" spans="1:21" x14ac:dyDescent="0.25">
      <c r="A6" s="2395" t="s">
        <v>237</v>
      </c>
      <c r="B6" s="2396"/>
      <c r="C6" s="1213" t="s">
        <v>1316</v>
      </c>
      <c r="D6" s="1214"/>
      <c r="E6" s="1214"/>
      <c r="F6" s="1214"/>
      <c r="G6" s="1214"/>
      <c r="H6" s="1214"/>
      <c r="I6" s="1214"/>
      <c r="J6" s="1214"/>
      <c r="K6" s="1214"/>
      <c r="L6" s="1214"/>
      <c r="M6" s="1214"/>
      <c r="N6" s="1214"/>
      <c r="O6" s="1214"/>
      <c r="P6" s="1214"/>
      <c r="Q6" s="1214"/>
      <c r="R6" s="1214"/>
      <c r="S6" s="1214"/>
      <c r="T6" s="1214"/>
      <c r="U6" s="1215"/>
    </row>
    <row r="7" spans="1:21" x14ac:dyDescent="0.25">
      <c r="A7" s="2388" t="s">
        <v>318</v>
      </c>
      <c r="B7" s="2389"/>
      <c r="C7" s="1997" t="s">
        <v>1310</v>
      </c>
      <c r="D7" s="1211"/>
      <c r="E7" s="1211"/>
      <c r="F7" s="1211"/>
      <c r="G7" s="1211"/>
      <c r="H7" s="1211"/>
      <c r="I7" s="1211"/>
      <c r="J7" s="1211"/>
      <c r="K7" s="1211"/>
      <c r="L7" s="1211"/>
      <c r="M7" s="1211"/>
      <c r="N7" s="1211"/>
      <c r="O7" s="1211"/>
      <c r="P7" s="1211"/>
      <c r="Q7" s="1211"/>
      <c r="R7" s="1211"/>
      <c r="S7" s="1222"/>
      <c r="T7" s="1211"/>
      <c r="U7" s="1212"/>
    </row>
    <row r="8" spans="1:21" x14ac:dyDescent="0.25">
      <c r="A8" s="2388" t="s">
        <v>319</v>
      </c>
      <c r="B8" s="2389"/>
      <c r="C8" s="1997" t="s">
        <v>1311</v>
      </c>
      <c r="D8" s="1211"/>
      <c r="E8" s="1211"/>
      <c r="F8" s="1211"/>
      <c r="G8" s="1211"/>
      <c r="H8" s="1255" t="s">
        <v>320</v>
      </c>
      <c r="I8" s="1993" t="s">
        <v>1270</v>
      </c>
      <c r="J8" s="1256"/>
      <c r="K8" s="1255" t="s">
        <v>321</v>
      </c>
      <c r="L8" s="1217" t="s">
        <v>1271</v>
      </c>
      <c r="M8" s="1211"/>
      <c r="N8" s="1257"/>
      <c r="O8" s="1254" t="s">
        <v>322</v>
      </c>
      <c r="P8" s="1217" t="s">
        <v>1271</v>
      </c>
      <c r="Q8" s="1219"/>
      <c r="R8" s="1255" t="s">
        <v>830</v>
      </c>
      <c r="S8" s="1684"/>
      <c r="T8" s="1217" t="s">
        <v>906</v>
      </c>
      <c r="U8" s="1212"/>
    </row>
    <row r="9" spans="1:21" x14ac:dyDescent="0.25">
      <c r="A9" s="2388" t="s">
        <v>468</v>
      </c>
      <c r="B9" s="2389"/>
      <c r="C9" s="2397" t="s">
        <v>1032</v>
      </c>
      <c r="D9" s="2398"/>
      <c r="E9" s="2398"/>
      <c r="F9" s="2398"/>
      <c r="G9" s="2103" t="s">
        <v>1324</v>
      </c>
      <c r="H9" s="1211">
        <v>10</v>
      </c>
      <c r="I9" s="1217"/>
      <c r="J9" s="1211"/>
      <c r="K9" s="1211"/>
      <c r="L9" s="1211"/>
      <c r="M9" s="1211"/>
      <c r="N9" s="1217"/>
      <c r="O9" s="1211"/>
      <c r="P9" s="1218"/>
      <c r="Q9" s="1217"/>
      <c r="R9" s="1211"/>
      <c r="S9" s="1222"/>
      <c r="T9" s="1211"/>
      <c r="U9" s="1212"/>
    </row>
    <row r="10" spans="1:21" x14ac:dyDescent="0.25">
      <c r="A10" s="2388" t="s">
        <v>315</v>
      </c>
      <c r="B10" s="2389"/>
      <c r="C10" s="1992" t="s">
        <v>1312</v>
      </c>
      <c r="D10" s="177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  <c r="R10" s="1211"/>
      <c r="S10" s="1222"/>
      <c r="T10" s="1211"/>
      <c r="U10" s="1212"/>
    </row>
    <row r="11" spans="1:21" x14ac:dyDescent="0.25">
      <c r="A11" s="2388" t="s">
        <v>311</v>
      </c>
      <c r="B11" s="2389"/>
      <c r="C11" s="1992" t="s">
        <v>1313</v>
      </c>
      <c r="D11" s="1771"/>
      <c r="E11" s="1211"/>
      <c r="F11" s="1211"/>
      <c r="G11" s="1211"/>
      <c r="H11" s="1211"/>
      <c r="I11" s="1211"/>
      <c r="J11" s="1211"/>
      <c r="K11" s="1211"/>
      <c r="L11" s="1211"/>
      <c r="M11" s="1211"/>
      <c r="N11" s="1211"/>
      <c r="O11" s="1211"/>
      <c r="P11" s="1211"/>
      <c r="Q11" s="1211"/>
      <c r="R11" s="1211"/>
      <c r="S11" s="1222"/>
      <c r="T11" s="1211"/>
      <c r="U11" s="1212"/>
    </row>
    <row r="12" spans="1:21" x14ac:dyDescent="0.25">
      <c r="A12" s="2388" t="s">
        <v>312</v>
      </c>
      <c r="B12" s="2389"/>
      <c r="C12" s="1220" t="s">
        <v>1314</v>
      </c>
      <c r="D12" s="177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22"/>
      <c r="T12" s="1211"/>
      <c r="U12" s="1212"/>
    </row>
    <row r="13" spans="1:21" x14ac:dyDescent="0.25">
      <c r="A13" s="2388" t="s">
        <v>316</v>
      </c>
      <c r="B13" s="2389"/>
      <c r="C13" s="2102" t="s">
        <v>93</v>
      </c>
      <c r="D13" s="177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22"/>
      <c r="T13" s="1211"/>
      <c r="U13" s="1212"/>
    </row>
    <row r="14" spans="1:21" x14ac:dyDescent="0.25">
      <c r="A14" s="2388" t="s">
        <v>313</v>
      </c>
      <c r="B14" s="2389"/>
      <c r="C14" s="2102" t="s">
        <v>93</v>
      </c>
      <c r="D14" s="1771"/>
      <c r="E14" s="1211"/>
      <c r="F14" s="1211"/>
      <c r="G14" s="1211"/>
      <c r="H14" s="1211"/>
      <c r="I14" s="1211"/>
      <c r="J14" s="1211"/>
      <c r="K14" s="1211"/>
      <c r="L14" s="1211"/>
      <c r="M14" s="1211"/>
      <c r="N14" s="1211"/>
      <c r="O14" s="1211"/>
      <c r="P14" s="1211"/>
      <c r="Q14" s="1211"/>
      <c r="R14" s="1211"/>
      <c r="S14" s="1222"/>
      <c r="T14" s="1211"/>
      <c r="U14" s="1212"/>
    </row>
    <row r="15" spans="1:21" x14ac:dyDescent="0.25">
      <c r="A15" s="2388" t="s">
        <v>314</v>
      </c>
      <c r="B15" s="2389"/>
      <c r="C15" s="2102" t="s">
        <v>93</v>
      </c>
      <c r="D15" s="177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  <c r="R15" s="1211"/>
      <c r="S15" s="1222"/>
      <c r="T15" s="1211"/>
      <c r="U15" s="1212"/>
    </row>
    <row r="16" spans="1:21" x14ac:dyDescent="0.25">
      <c r="A16" s="2388" t="s">
        <v>238</v>
      </c>
      <c r="B16" s="2389"/>
      <c r="C16" s="2373">
        <v>44336</v>
      </c>
      <c r="D16" s="2374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1211"/>
      <c r="S16" s="1222"/>
      <c r="T16" s="1211"/>
      <c r="U16" s="1212"/>
    </row>
    <row r="17" spans="1:21" x14ac:dyDescent="0.25">
      <c r="A17" s="2388" t="s">
        <v>332</v>
      </c>
      <c r="B17" s="2389"/>
      <c r="C17" s="2373">
        <v>44336</v>
      </c>
      <c r="D17" s="2374"/>
      <c r="E17" s="1211"/>
      <c r="F17" s="1211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  <c r="R17" s="1211"/>
      <c r="S17" s="1222"/>
      <c r="T17" s="1211"/>
      <c r="U17" s="1212"/>
    </row>
    <row r="18" spans="1:21" x14ac:dyDescent="0.25">
      <c r="A18" s="2388" t="s">
        <v>331</v>
      </c>
      <c r="B18" s="2389"/>
      <c r="C18" s="2373">
        <v>44336</v>
      </c>
      <c r="D18" s="2374"/>
      <c r="E18" s="1211"/>
      <c r="F18" s="1211"/>
      <c r="G18" s="1211"/>
      <c r="H18" s="1211"/>
      <c r="I18" s="1211"/>
      <c r="J18" s="1211"/>
      <c r="K18" s="1211"/>
      <c r="L18" s="1211"/>
      <c r="M18" s="1211"/>
      <c r="N18" s="1211"/>
      <c r="O18" s="1211"/>
      <c r="P18" s="1211"/>
      <c r="Q18" s="1211"/>
      <c r="R18" s="1211"/>
      <c r="S18" s="1222"/>
      <c r="T18" s="1211"/>
      <c r="U18" s="1212"/>
    </row>
    <row r="19" spans="1:21" x14ac:dyDescent="0.25">
      <c r="A19" s="2388" t="s">
        <v>262</v>
      </c>
      <c r="B19" s="2389"/>
      <c r="C19" s="2406" t="s">
        <v>1243</v>
      </c>
      <c r="D19" s="2407"/>
      <c r="E19" s="2407"/>
      <c r="F19" s="2407"/>
      <c r="G19" s="2407"/>
      <c r="H19" s="2407"/>
      <c r="I19" s="2407"/>
      <c r="J19" s="2407"/>
      <c r="K19" s="2407"/>
      <c r="L19" s="2407"/>
      <c r="M19" s="2407"/>
      <c r="N19" s="2407"/>
      <c r="O19" s="2407"/>
      <c r="P19" s="1418"/>
      <c r="Q19" s="1418"/>
      <c r="R19" s="1418"/>
      <c r="S19" s="1685"/>
      <c r="T19" s="1418"/>
      <c r="U19" s="1681"/>
    </row>
    <row r="20" spans="1:21" x14ac:dyDescent="0.25">
      <c r="A20" s="2392" t="s">
        <v>124</v>
      </c>
      <c r="B20" s="2393"/>
      <c r="C20" s="1503" t="str">
        <f>'F-LSCD-004'!H8</f>
        <v>Cámara de ionización patrón de 1 L , marca: PTW; modelo: TN32002; serie: 000568; Reporte de calibración de Kerma en aire DG: 13580-21 con fecha 2021-04-01 (NIST); trazable al NIST.</v>
      </c>
      <c r="D20" s="1211"/>
      <c r="E20" s="1211"/>
      <c r="F20" s="1211"/>
      <c r="G20" s="1211"/>
      <c r="H20" s="1211"/>
      <c r="I20" s="1211"/>
      <c r="J20" s="1211"/>
      <c r="K20" s="1211"/>
      <c r="L20" s="1211"/>
      <c r="M20" s="1211"/>
      <c r="N20" s="1211"/>
      <c r="O20" s="1211"/>
      <c r="P20" s="1211"/>
      <c r="Q20" s="1211"/>
      <c r="R20" s="1211"/>
      <c r="S20" s="1222"/>
      <c r="T20" s="1211"/>
      <c r="U20" s="1212"/>
    </row>
    <row r="21" spans="1:21" x14ac:dyDescent="0.25">
      <c r="A21" s="2392" t="s">
        <v>127</v>
      </c>
      <c r="B21" s="2393"/>
      <c r="C21" s="1503" t="str">
        <f>'F-LSCD-003'!H9</f>
        <v>S-Cs (ISO 4037-3)</v>
      </c>
      <c r="D21" s="1211"/>
      <c r="E21" s="1211"/>
      <c r="F21" s="1211"/>
      <c r="G21" s="1211"/>
      <c r="H21" s="1211"/>
      <c r="I21" s="1211"/>
      <c r="J21" s="1211"/>
      <c r="K21" s="1211"/>
      <c r="L21" s="1211"/>
      <c r="M21" s="1211"/>
      <c r="N21" s="1211"/>
      <c r="O21" s="1211"/>
      <c r="P21" s="1211"/>
      <c r="Q21" s="1211"/>
      <c r="R21" s="1211"/>
      <c r="S21" s="1222"/>
      <c r="T21" s="1211"/>
      <c r="U21" s="1212"/>
    </row>
    <row r="22" spans="1:21" ht="15" customHeight="1" x14ac:dyDescent="0.25">
      <c r="A22" s="2392" t="s">
        <v>125</v>
      </c>
      <c r="B22" s="2393"/>
      <c r="C22" s="2408" t="s">
        <v>978</v>
      </c>
      <c r="D22" s="2409"/>
      <c r="E22" s="2409"/>
      <c r="F22" s="2409"/>
      <c r="G22" s="2409"/>
      <c r="H22" s="2409"/>
      <c r="I22" s="2409"/>
      <c r="J22" s="2409"/>
      <c r="K22" s="2409"/>
      <c r="L22" s="2409"/>
      <c r="M22" s="2409"/>
      <c r="N22" s="2409"/>
      <c r="O22" s="2409"/>
      <c r="P22" s="2409"/>
      <c r="Q22" s="2409"/>
      <c r="R22" s="2409"/>
      <c r="S22" s="1685"/>
      <c r="T22" s="1418"/>
      <c r="U22" s="1212"/>
    </row>
    <row r="23" spans="1:21" x14ac:dyDescent="0.25">
      <c r="A23" s="2392" t="s">
        <v>126</v>
      </c>
      <c r="B23" s="2393"/>
      <c r="C23" s="2406" t="s">
        <v>850</v>
      </c>
      <c r="D23" s="2407"/>
      <c r="E23" s="2407"/>
      <c r="F23" s="2407"/>
      <c r="G23" s="2407"/>
      <c r="H23" s="2407"/>
      <c r="I23" s="2407"/>
      <c r="J23" s="2407"/>
      <c r="K23" s="2407"/>
      <c r="L23" s="2407"/>
      <c r="M23" s="2407"/>
      <c r="N23" s="1211"/>
      <c r="O23" s="1211"/>
      <c r="P23" s="1211"/>
      <c r="Q23" s="1211"/>
      <c r="R23" s="1211"/>
      <c r="S23" s="1222"/>
      <c r="T23" s="1211"/>
      <c r="U23" s="1212"/>
    </row>
    <row r="24" spans="1:21" x14ac:dyDescent="0.25">
      <c r="A24" s="2392" t="s">
        <v>323</v>
      </c>
      <c r="B24" s="2393"/>
      <c r="C24" s="1220"/>
      <c r="D24" s="1211"/>
      <c r="E24" s="1864" t="s">
        <v>324</v>
      </c>
      <c r="F24" s="1221" t="s">
        <v>295</v>
      </c>
      <c r="G24" s="1211"/>
      <c r="H24" s="1865" t="s">
        <v>1038</v>
      </c>
      <c r="I24" s="2410" t="s">
        <v>1025</v>
      </c>
      <c r="J24" s="2410"/>
      <c r="K24" s="2410"/>
      <c r="L24" s="2410"/>
      <c r="M24" s="1211"/>
      <c r="N24" s="1211"/>
      <c r="O24" s="1211"/>
      <c r="P24" s="1211"/>
      <c r="Q24" s="1211"/>
      <c r="R24" s="1211"/>
      <c r="S24" s="1222"/>
      <c r="T24" s="1211"/>
      <c r="U24" s="1212"/>
    </row>
    <row r="25" spans="1:21" x14ac:dyDescent="0.25">
      <c r="A25" s="2388" t="s">
        <v>328</v>
      </c>
      <c r="B25" s="2389"/>
      <c r="C25" s="1426" t="s">
        <v>1315</v>
      </c>
      <c r="D25" s="1211"/>
      <c r="E25" s="1211"/>
      <c r="F25" s="1222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22"/>
      <c r="T25" s="1211"/>
      <c r="U25" s="1212"/>
    </row>
    <row r="26" spans="1:21" ht="15.75" thickBot="1" x14ac:dyDescent="0.3">
      <c r="A26" s="2390" t="s">
        <v>336</v>
      </c>
      <c r="B26" s="2391"/>
      <c r="C26" s="2373">
        <v>44336</v>
      </c>
      <c r="D26" s="2374"/>
      <c r="E26" s="1224"/>
      <c r="F26" s="1224"/>
      <c r="G26" s="1224"/>
      <c r="H26" s="1224"/>
      <c r="I26" s="1224"/>
      <c r="J26" s="1224"/>
      <c r="K26" s="1224"/>
      <c r="L26" s="1224"/>
      <c r="M26" s="1224"/>
      <c r="N26" s="1224"/>
      <c r="O26" s="1224"/>
      <c r="P26" s="1224"/>
      <c r="Q26" s="1224"/>
      <c r="R26" s="1224"/>
      <c r="S26" s="1686"/>
      <c r="T26" s="1224"/>
      <c r="U26" s="1225"/>
    </row>
    <row r="27" spans="1:21" ht="15.75" thickBot="1" x14ac:dyDescent="0.3"/>
    <row r="28" spans="1:21" x14ac:dyDescent="0.25">
      <c r="A28" s="2384" t="s">
        <v>333</v>
      </c>
      <c r="B28" s="2385"/>
      <c r="C28" s="1164" t="s">
        <v>852</v>
      </c>
      <c r="D28" s="1266">
        <v>20.2</v>
      </c>
      <c r="E28" s="1164" t="s">
        <v>853</v>
      </c>
      <c r="F28" s="1230">
        <v>52</v>
      </c>
      <c r="G28" s="983" t="s">
        <v>854</v>
      </c>
      <c r="H28" s="1677">
        <v>1010</v>
      </c>
      <c r="I28" s="219"/>
      <c r="J28" s="219"/>
      <c r="M28" s="222"/>
      <c r="N28" s="219"/>
      <c r="O28" s="219"/>
    </row>
    <row r="29" spans="1:21" ht="15.75" thickBot="1" x14ac:dyDescent="0.3">
      <c r="A29" s="2386"/>
      <c r="B29" s="2387"/>
      <c r="C29" s="1228" t="s">
        <v>855</v>
      </c>
      <c r="D29" s="1267">
        <v>20.3</v>
      </c>
      <c r="E29" s="1228" t="s">
        <v>856</v>
      </c>
      <c r="F29" s="1231">
        <v>53</v>
      </c>
      <c r="G29" s="1229" t="s">
        <v>857</v>
      </c>
      <c r="H29" s="1678">
        <v>1010.2</v>
      </c>
      <c r="I29" s="219"/>
      <c r="J29" s="219"/>
      <c r="L29" s="222"/>
      <c r="N29" s="219"/>
      <c r="O29" s="219"/>
    </row>
    <row r="30" spans="1:21" ht="15.75" thickTop="1" x14ac:dyDescent="0.25">
      <c r="A30" s="2402" t="s">
        <v>334</v>
      </c>
      <c r="B30" s="2403"/>
      <c r="C30" s="1226" t="s">
        <v>852</v>
      </c>
      <c r="D30" s="1281" t="s">
        <v>93</v>
      </c>
      <c r="E30" s="1226" t="s">
        <v>853</v>
      </c>
      <c r="F30" s="1232" t="s">
        <v>93</v>
      </c>
      <c r="G30" s="1227" t="s">
        <v>854</v>
      </c>
      <c r="H30" s="1679" t="s">
        <v>93</v>
      </c>
      <c r="I30" s="219"/>
      <c r="J30" s="219"/>
      <c r="N30" s="219"/>
      <c r="O30" s="219"/>
    </row>
    <row r="31" spans="1:21" ht="15.75" thickBot="1" x14ac:dyDescent="0.3">
      <c r="A31" s="2404"/>
      <c r="B31" s="2405"/>
      <c r="C31" s="985" t="s">
        <v>855</v>
      </c>
      <c r="D31" s="1332" t="s">
        <v>93</v>
      </c>
      <c r="E31" s="985" t="s">
        <v>856</v>
      </c>
      <c r="F31" s="1233" t="s">
        <v>93</v>
      </c>
      <c r="G31" s="986" t="s">
        <v>857</v>
      </c>
      <c r="H31" s="1680" t="s">
        <v>93</v>
      </c>
      <c r="I31" s="219"/>
      <c r="J31" s="219"/>
      <c r="N31" s="219"/>
      <c r="O31" s="219"/>
    </row>
    <row r="32" spans="1:21" ht="15.75" thickBot="1" x14ac:dyDescent="0.3">
      <c r="A32" s="56"/>
      <c r="B32" s="56"/>
      <c r="C32" s="220"/>
      <c r="E32" s="220"/>
      <c r="N32" s="219"/>
      <c r="O32" s="219"/>
    </row>
    <row r="33" spans="1:23" ht="15.75" thickBot="1" x14ac:dyDescent="0.3">
      <c r="A33" s="992" t="s">
        <v>701</v>
      </c>
      <c r="B33" s="1205" t="s">
        <v>826</v>
      </c>
      <c r="C33" s="1206" t="s">
        <v>816</v>
      </c>
      <c r="D33" s="1207" t="s">
        <v>817</v>
      </c>
      <c r="E33" s="1207" t="s">
        <v>818</v>
      </c>
      <c r="F33" s="1207" t="s">
        <v>819</v>
      </c>
      <c r="G33" s="1207" t="s">
        <v>820</v>
      </c>
      <c r="H33" s="1207" t="s">
        <v>821</v>
      </c>
      <c r="I33" s="1207" t="s">
        <v>822</v>
      </c>
      <c r="J33" s="1207" t="s">
        <v>823</v>
      </c>
      <c r="K33" s="1207" t="s">
        <v>824</v>
      </c>
      <c r="L33" s="1208" t="s">
        <v>825</v>
      </c>
      <c r="M33" s="1203" t="s">
        <v>668</v>
      </c>
      <c r="N33" s="1209" t="s">
        <v>117</v>
      </c>
      <c r="O33" s="1202" t="s">
        <v>248</v>
      </c>
      <c r="P33" s="1203" t="s">
        <v>62</v>
      </c>
      <c r="Q33" s="1204" t="s">
        <v>249</v>
      </c>
      <c r="R33" s="1202" t="s">
        <v>832</v>
      </c>
      <c r="S33" s="1203" t="s">
        <v>845</v>
      </c>
      <c r="T33" s="1203" t="s">
        <v>310</v>
      </c>
      <c r="U33" s="1203" t="s">
        <v>831</v>
      </c>
      <c r="W33" s="87" t="s">
        <v>1107</v>
      </c>
    </row>
    <row r="34" spans="1:23" ht="15.75" thickBot="1" x14ac:dyDescent="0.3">
      <c r="A34" s="1162">
        <f>IF('F-LSCD-003'!D17="-","-",'F-LSCD-003'!D17*1000000)</f>
        <v>25000</v>
      </c>
      <c r="B34" s="1187" t="str">
        <f>IF(A34="-","-","Antes del ajuste")</f>
        <v>Antes del ajuste</v>
      </c>
      <c r="C34" s="1283">
        <v>2474</v>
      </c>
      <c r="D34" s="1285">
        <v>2474</v>
      </c>
      <c r="E34" s="1285">
        <v>2474</v>
      </c>
      <c r="F34" s="1285">
        <v>2474</v>
      </c>
      <c r="G34" s="1285">
        <v>2474</v>
      </c>
      <c r="H34" s="1285">
        <v>2474</v>
      </c>
      <c r="I34" s="1285">
        <v>2474</v>
      </c>
      <c r="J34" s="1285">
        <v>2474</v>
      </c>
      <c r="K34" s="1285">
        <v>2474</v>
      </c>
      <c r="L34" s="1286">
        <v>2474</v>
      </c>
      <c r="M34" s="1284">
        <v>1</v>
      </c>
      <c r="N34" s="1246" t="s">
        <v>955</v>
      </c>
      <c r="O34" s="1287">
        <f t="shared" ref="O34:O40" si="0">IF(C34="-","-",IF(C34="full range","full range",IF(C34="Alarma on","Alarma on",IF(C34="Alarma off","Alarma off",AVERAGE(C34:L34)))))</f>
        <v>2474</v>
      </c>
      <c r="P34" s="1195">
        <f t="shared" ref="P34:P57" si="1">IF(C34="-","-",IF(O34="full range","-",STDEVA(C34:L34)))</f>
        <v>0</v>
      </c>
      <c r="Q34" s="1196">
        <f t="shared" ref="Q34:Q57" si="2">IF(C34="-","-",IF(O34="full range","-",P34/O34*100))</f>
        <v>0</v>
      </c>
      <c r="R34" s="1289">
        <f>CHOOSE(V34,A34/O34,A34/(O34*1000),A34/(O34*1000000),A34/(O34*'Datos varios'!$E$119),A34/(O34*'Datos varios'!$E$120),A34/(O34*'Datos varios'!$E$121),A34/(O34*'Datos varios'!$E$122),A34/(O34*'Datos varios'!$E$123),"-",A34/O34,A34/O34)</f>
        <v>1.0105092966855296</v>
      </c>
      <c r="S34" s="1292">
        <f>CHOOSE(V34,O34/A34-1,(O34*1000)/A34-1,(O34*1000000)/A34-1,(O34*'Datos varios'!$E$119)/A34-1,(O34*'Datos varios'!$E$120)/A34-1,(O34*'Datos varios'!$E$121)/A34-1,(O34*'Datos varios'!$E$122)/A34-1,(O34*'Datos varios'!$E$123)/A34-1,"-")</f>
        <v>-1.0399999999999965E-2</v>
      </c>
      <c r="T34" s="1197">
        <f>IF(OR($C$9="Monitor de radiación (digital)",$C$9="Monitor de radiación (analógico)"),IF(C34="-","-",IF(C34="full range","-",IF(C34="Alarma off","10",IF(C34="Alarma on","10",IF('Incert. Cal. Mon.'!M39&gt;=10%,ROUNDUP('Incert. Cal. Mon.'!M39,2),ROUNDUP('Incert. Cal. Mon.'!M39,3)))))),IF(OR($C$9="Dosímetro personal (digital)",$C$9="Dosímetro personal (analógico)",$C$9="Dosímetro personal (analógico tipo lapicero)"),IF('Incert. Cal. Dosímetros pers'!O34&gt;=10%,ROUNDUP('Incert. Cal. Dosímetros pers'!O34,2),ROUNDUP('Incert. Cal. Dosímetros pers'!O34,3))))</f>
        <v>4.4999999999999998E-2</v>
      </c>
      <c r="U34" s="1195" t="str">
        <f>IF(O34="full range","OUT",IF(C9="Monitor de radiación (digital)",CHOOSE(V34,IF(AND(O34&lt;=(A34+10/100*A34),O34&gt;=(A34-10/100*A34),T34&lt;=10%),"OK","OUT"),IF(AND(O34*1000&lt;=(A34+10/100*A34),O34*1000&gt;=(A34-10/100*A34),T34&lt;=10%),"OK","OUT"),IF(AND(O34*1000000&lt;=(A34+10/100*A34),O34*1000000&gt;=(A34-10/100*A34),T34&lt;=10%),"OK","OUT"),IF(AND(O34*'Datos varios'!$E$119&lt;=(A34+10/100*A34),O34*'Datos varios'!$E$119&gt;=(A34-10/100*A34),T34&lt;=10%),"OK","OUT"),IF(AND(O34*'Datos varios'!$E$120&lt;=(A34+10/100*A34),O34*'Datos varios'!$E$120&gt;=(A34-10/100*A34),T34&lt;=10%),"OK","OUT"),IF(AND(O34*'Datos varios'!$E$121&lt;=(A34+10/100*A34),O34*'Datos varios'!$E$121&gt;=(A34-10/100*A34),T34&lt;=10%),"OK","OUT"),IF(AND(O34*'Datos varios'!$E$122&lt;=(A34+10/100*A34),O34*'Datos varios'!$E$122&gt;=(A34-10/100*A34),T34&lt;=10%),"OK","OUT"),IF(AND(O34*'Datos varios'!$E$123&lt;=(A34+10/100*A34),O34*'Datos varios'!$E$123&gt;=(A34-10/100*A34),T34&lt;=10%),"OK","OUT"),"-"),IF(C9="Monitor de radiación (analógico)",CHOOSE(V34,IF(AND(O34&lt;=(A34+10/100*A34),O34&gt;=(A34-10/100*A34),T34&lt;=10%),"OK","OUT"),IF(AND(O34*1000&lt;=(A34+10/100*A34),O34*1000&gt;=(A34-10/100*A34),T34&lt;=10%),"OK","OUT"),IF(AND(O34*1000000&lt;=(A34+10/100*A34),O34*1000000&gt;=(A34-10/100*A34),T34&lt;=10%),"OK","OUT"),IF(AND(O34*'Datos varios'!$E$119&lt;=(A34+10/100*A34),O34*'Datos varios'!$E$119&gt;=(A34-10/100*A34),T34&lt;=10%),"OK","OUT"),IF(AND(O34*'Datos varios'!$E$120&lt;=(A34+10/100*A34),O34*'Datos varios'!$E$120&gt;=(A34-10/100*A34),T34&lt;=10%),"OK","OUT"),IF(AND(O34*'Datos varios'!$E$121&lt;=(A34+10/100*A34),O34*'Datos varios'!$E$121&gt;=(A34-10/100*A34),T34&lt;=10%),"OK","OUT"),IF(AND(O34*'Datos varios'!$E$122&lt;=(A34+10/100*A34),O34*'Datos varios'!$E$122&gt;=(A34-10/100*A34),T34&lt;=10%),"OK","OUT"),IF(AND(O34*'Datos varios'!$E$123&lt;=(A34+10/100*A34),O34*'Datos varios'!$E$123&gt;=(A34-10/100*A34),T34&lt;=10%),"OK","OUT"),"-"))))</f>
        <v>OK</v>
      </c>
      <c r="V34" s="87">
        <f t="shared" ref="V34:V57" si="3">IF(OR(N34="µSv/h",N34="µSv"),1,IF(OR(N34="mSv/h",N34="mSv"),2,IF(OR(N34="Sv/h",N34="Sv"),3,IF(OR(N34="R/h",N34="R"),4,IF(OR(N34="mR/h",N34="mR"),5,IF(OR(N34="µR/h",N34="µR"),6,IF(OR(N34="rem/h",N34="rem"),7,IF(OR(N34="mrem/h",N34="mrem"),8,IF(N34="-",9,IF(N34="cps",10,IF(N34="cpm",11)))))))))))</f>
        <v>8</v>
      </c>
      <c r="W34" s="1768">
        <v>0</v>
      </c>
    </row>
    <row r="35" spans="1:23" ht="16.5" thickTop="1" thickBot="1" x14ac:dyDescent="0.3">
      <c r="A35" s="1161" t="str">
        <f>IF(A34="-","-",IF($I$24="Tasa de dosis equivalente ambiental, H*(10)","µSv/h",IF(OR($I$24="Dosis equivalente personal, Hp(10)",$I$24="Dosis equivalente personal, Hp(0,07)"),"µSv",IF($I$24="Dosis absorbida, D(10)","mGy","¿magnitud?"))))</f>
        <v>µSv</v>
      </c>
      <c r="B35" s="1188" t="str">
        <f>IF(A34="-","-","Después del ajuste")</f>
        <v>Después del ajuste</v>
      </c>
      <c r="C35" s="1283" t="s">
        <v>93</v>
      </c>
      <c r="D35" s="1285" t="s">
        <v>93</v>
      </c>
      <c r="E35" s="1285" t="s">
        <v>93</v>
      </c>
      <c r="F35" s="1285" t="s">
        <v>93</v>
      </c>
      <c r="G35" s="1285" t="s">
        <v>93</v>
      </c>
      <c r="H35" s="1285" t="s">
        <v>93</v>
      </c>
      <c r="I35" s="1285" t="s">
        <v>93</v>
      </c>
      <c r="J35" s="1285" t="s">
        <v>93</v>
      </c>
      <c r="K35" s="1285" t="s">
        <v>93</v>
      </c>
      <c r="L35" s="1286" t="s">
        <v>93</v>
      </c>
      <c r="M35" s="1284" t="s">
        <v>93</v>
      </c>
      <c r="N35" s="1247" t="s">
        <v>93</v>
      </c>
      <c r="O35" s="1499" t="str">
        <f t="shared" si="0"/>
        <v>-</v>
      </c>
      <c r="P35" s="1191" t="str">
        <f t="shared" si="1"/>
        <v>-</v>
      </c>
      <c r="Q35" s="1192" t="str">
        <f t="shared" si="2"/>
        <v>-</v>
      </c>
      <c r="R35" s="1290" t="str">
        <f>CHOOSE(V35,A34/O35,A34/(O35*1000),A34/(O35*1000000),A34/(O35*'Datos varios'!$E$119),A34/(O35*'Datos varios'!$E$120),A34/(O35*'Datos varios'!$E$121),A34/(O35*'Datos varios'!$E$122),A34/(O35*'Datos varios'!$E$123),"-",A34/O35,A34/O35)</f>
        <v>-</v>
      </c>
      <c r="S35" s="1293" t="str">
        <f>CHOOSE(V35,O35/A34-1,(O35*1000)/A34-1,(O35*1000000)/A34-1,(O35*'Datos varios'!$E$119)/A34-1,(O35*'Datos varios'!$E$120)/A34-1,(O35*'Datos varios'!$E$121)/A34-1,(O35*'Datos varios'!$E$122)/A34-1,(O35*'Datos varios'!$E$123)/A34-1,"-")</f>
        <v>-</v>
      </c>
      <c r="T35" s="1193" t="str">
        <f>IF(C35="-","-",IF(C35="full range","-",IF('Incert. Cal. Mon.'!T39&gt;=10%,ROUNDUP('Incert. Cal. Mon.'!T39,2),ROUNDUP('Incert. Cal. Mon.'!T39,3))))</f>
        <v>-</v>
      </c>
      <c r="U35" s="1193" t="str">
        <f>IF(O35="full range","OUT",CHOOSE(V35,IF(AND(O35&lt;=(A34+10/100*A34),O35&gt;=(A34-10/100*A34),T35&lt;=10%),"OK","OUT"),IF(AND(O35*1000&lt;=(A34+10/100*A34),O35*1000&gt;=(A34-10/100*A34),T35&lt;=10%),"OK","OUT"),IF(AND(O35*1000000&lt;=(A34+10/100*A34),O35*1000000&gt;=(A34-10/100*A34),T35&lt;=10%),"OK","OUT"),IF(AND(O35*'Datos varios'!$E$119&lt;=(A34+10/100*A34),O35*'Datos varios'!$E$119&gt;=(A34-10/100*A34),T35&lt;=10%),"OK","OUT"),IF(AND(O35*'Datos varios'!$E$120&lt;=(A34+10/100*A34),O35*'Datos varios'!$E$120&gt;=(A34-10/100*A34),T35&lt;=10%),"OK","OUT"),IF(AND(O35*'Datos varios'!$E$121&lt;=(A34+10/100*A34),O35*'Datos varios'!$E$121&gt;=(A34-10/100*A34),T35&lt;=10%),"OK","OUT"),IF(AND(O35*'Datos varios'!$E$122&lt;=(A34+10/100*A34),O35*'Datos varios'!$E$122&gt;=(A34-10/100*A34),T35&lt;=10%),"OK","OUT"),IF(AND(O35*'Datos varios'!$E$123&lt;=(A34+10/100*A34),O35*'Datos varios'!$E$123&gt;=(A34-10/100*A34),T35&lt;=10%),"OK","OUT"),"-"))</f>
        <v>-</v>
      </c>
      <c r="V35" s="87">
        <f t="shared" si="3"/>
        <v>9</v>
      </c>
      <c r="W35" s="1768" t="s">
        <v>93</v>
      </c>
    </row>
    <row r="36" spans="1:23" ht="15.75" thickBot="1" x14ac:dyDescent="0.3">
      <c r="A36" s="1163" t="str">
        <f>IF('F-LSCD-003'!D18="-","-",'F-LSCD-003'!D18*1000000)</f>
        <v>-</v>
      </c>
      <c r="B36" s="1185" t="str">
        <f>IF(A36="-","-","Antes del ajuste")</f>
        <v>-</v>
      </c>
      <c r="C36" s="1268" t="s">
        <v>93</v>
      </c>
      <c r="D36" s="1269" t="s">
        <v>93</v>
      </c>
      <c r="E36" s="1269" t="s">
        <v>93</v>
      </c>
      <c r="F36" s="1269" t="s">
        <v>93</v>
      </c>
      <c r="G36" s="1269" t="s">
        <v>93</v>
      </c>
      <c r="H36" s="1269" t="s">
        <v>93</v>
      </c>
      <c r="I36" s="1269" t="s">
        <v>93</v>
      </c>
      <c r="J36" s="1269" t="s">
        <v>93</v>
      </c>
      <c r="K36" s="1269" t="s">
        <v>93</v>
      </c>
      <c r="L36" s="1270" t="s">
        <v>93</v>
      </c>
      <c r="M36" s="1271" t="s">
        <v>93</v>
      </c>
      <c r="N36" s="1301" t="s">
        <v>93</v>
      </c>
      <c r="O36" s="1198" t="str">
        <f t="shared" si="0"/>
        <v>-</v>
      </c>
      <c r="P36" s="1198" t="str">
        <f t="shared" si="1"/>
        <v>-</v>
      </c>
      <c r="Q36" s="1199" t="str">
        <f t="shared" si="2"/>
        <v>-</v>
      </c>
      <c r="R36" s="1291" t="str">
        <f>CHOOSE(V36,A36/O36,A36/(O36*1000),A36/(O36*1000000),A36/(O36*'Datos varios'!$E$119),A36/(O36*'Datos varios'!$E$120),A36/(O36*'Datos varios'!$E$121),A36/(O36*'Datos varios'!$E$122),A36/(O36*'Datos varios'!$E$123),"-",A36/O36,A36/O36)</f>
        <v>-</v>
      </c>
      <c r="S36" s="1294" t="str">
        <f>CHOOSE(V36,O36/A36-1,(O36*1000)/A36-1,(O36*1000000)/A36-1,(O36*'Datos varios'!$E$119)/A36-1,(O36*'Datos varios'!$E$120)/A36-1,(O36*'Datos varios'!$E$121)/A36-1,(O36*'Datos varios'!$E$122)/A36-1,(O36*'Datos varios'!$E$123)/A36-1,"-")</f>
        <v>-</v>
      </c>
      <c r="T36" s="1200" t="str">
        <f>IF(OR(C9="Monitor de radiación (digital)",C9="Monitor de radiación (analógico)"),IF(C36="-","-",IF(C36="full range","-",IF(C36="Alarma off","10",IF(C36="Alarma on","10",IF('Incert. Cal. Mon.'!AA39&gt;=10%,ROUNDUP('Incert. Cal. Mon.'!AA39,2),ROUNDUP('Incert. Cal. Mon.'!AA39,3)))))),IF(OR(C9="Dosímetro personal (digital)",C9="Dosímetro personal (analógico)",C9="Dosímetro personal (analógico tipo lapicero)"),IF('Incert. Cal. Dosímetros pers'!Z34&gt;=10%,ROUNDUP('Incert. Cal. Dosímetros pers'!Z34,2),ROUNDUP('Incert. Cal. Dosímetros pers'!Z34,3))))</f>
        <v>-</v>
      </c>
      <c r="U36" s="1198" t="str">
        <f>IF(O36="full range","OUT",CHOOSE(V36,IF(AND(O36&lt;=(A36+10/100*A36),O36&gt;=(A36-10/100*A36),T36&lt;=10%),"OK","OUT"),IF(AND(O36*1000&lt;=(A36+10/100*A36),O36*1000&gt;=(A36-10/100*A36),T36&lt;=10%),"OK","OUT"),IF(AND(O36*1000000&lt;=(A36+10/100*A36),O36*1000000&gt;=(A36-10/100*A36),T36&lt;=10%),"OK","OUT"),IF(AND(O36*'Datos varios'!$E$119&lt;=(A36+10/100*A36),O36*'Datos varios'!$E$119&gt;=(A36-10/100*A36),T36&lt;=10%),"OK","OUT"),IF(AND(O36*'Datos varios'!$E$120&lt;=(A36+10/100*A36),O36*'Datos varios'!$E$120&gt;=(A36-10/100*A36),T36&lt;=10%),"OK","OUT"),IF(AND(O36*'Datos varios'!$E$121&lt;=(A36+10/100*A36),O36*'Datos varios'!$E$121&gt;=(A36-10/100*A36),T36&lt;=10%),"OK","OUT"),IF(AND(O36*'Datos varios'!$E$122&lt;=(A36+10/100*A36),O36*'Datos varios'!$E$122&gt;=(A36-10/100*A36),T36&lt;=10%),"OK","OUT"),IF(AND(O36*'Datos varios'!$E$123&lt;=(A36+10/100*A36),O36*'Datos varios'!$E$123&gt;=(A36-10/100*A36),T36&lt;=10%),"OK","OUT"),"-"))</f>
        <v>-</v>
      </c>
      <c r="V36" s="87">
        <f t="shared" si="3"/>
        <v>9</v>
      </c>
      <c r="W36" s="1768">
        <v>0</v>
      </c>
    </row>
    <row r="37" spans="1:23" ht="16.5" thickTop="1" thickBot="1" x14ac:dyDescent="0.3">
      <c r="A37" s="1161" t="str">
        <f>IF(A36="-","-",IF($I$24="Tasa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37" s="1186" t="str">
        <f>IF(A36="-","-","Después del ajuste")</f>
        <v>-</v>
      </c>
      <c r="C37" s="1437" t="s">
        <v>93</v>
      </c>
      <c r="D37" s="1703" t="s">
        <v>93</v>
      </c>
      <c r="E37" s="1703" t="s">
        <v>93</v>
      </c>
      <c r="F37" s="1703" t="s">
        <v>93</v>
      </c>
      <c r="G37" s="1703" t="s">
        <v>93</v>
      </c>
      <c r="H37" s="1703" t="s">
        <v>93</v>
      </c>
      <c r="I37" s="1703" t="s">
        <v>93</v>
      </c>
      <c r="J37" s="1703" t="s">
        <v>93</v>
      </c>
      <c r="K37" s="1703" t="s">
        <v>93</v>
      </c>
      <c r="L37" s="1438" t="s">
        <v>93</v>
      </c>
      <c r="M37" s="1439" t="s">
        <v>93</v>
      </c>
      <c r="N37" s="1249" t="s">
        <v>93</v>
      </c>
      <c r="O37" s="1500" t="str">
        <f t="shared" si="0"/>
        <v>-</v>
      </c>
      <c r="P37" s="1005" t="str">
        <f t="shared" si="1"/>
        <v>-</v>
      </c>
      <c r="Q37" s="1189" t="str">
        <f t="shared" si="2"/>
        <v>-</v>
      </c>
      <c r="R37" s="1006" t="str">
        <f>CHOOSE(V37,A36/O37,A36/(O37*1000),A36/(O37*1000000),A36/(O37*'Datos varios'!$E$119),A36/(O37*'Datos varios'!$E$120),A36/(O37*'Datos varios'!$E$121),A36/(O37*'Datos varios'!$E$122),A36/(O37*'Datos varios'!$E$123),"-",A36/O37,A36/O37)</f>
        <v>-</v>
      </c>
      <c r="S37" s="1295" t="str">
        <f>CHOOSE(V37,O37/A36-1,(O37*1000)/A36-1,(O37*1000000)/A36-1,(O37*'Datos varios'!$E$119)/A36-1,(O37*'Datos varios'!$E$120)/A36-1,(O37*'Datos varios'!$E$121)/A36-1,(O37*'Datos varios'!$E$122)/A36-1,(O37*'Datos varios'!$E$123)/A36-1,"-")</f>
        <v>-</v>
      </c>
      <c r="T37" s="1190" t="str">
        <f>IF(C37="-","-",IF(C37="full range","-",IF('Incert. Cal. Mon.'!AH39&gt;=10%,ROUNDUP('Incert. Cal. Mon.'!AH39,2),ROUNDUP('Incert. Cal. Mon.'!AH39,3))))</f>
        <v>-</v>
      </c>
      <c r="U37" s="1190" t="str">
        <f>IF(O37="full range","OUT",CHOOSE(V37,IF(AND(O37&lt;=(A36+10/100*A36),O37&gt;=(A36-10/100*A36),T37&lt;=10%),"OK","OUT"),IF(AND(O37*1000&lt;=(A36+10/100*A36),O37*1000&gt;=(A36-10/100*A36),T37&lt;=10%),"OK","OUT"),IF(AND(O37*1000000&lt;=(A36+10/100*A36),O37*1000000&gt;=(A36-10/100*A36),T37&lt;=10%),"OK","OUT"),IF(AND(O37*'Datos varios'!$E$119&lt;=(A36+10/100*A36),O37*'Datos varios'!$E$119&gt;=(A36-10/100*A36),T37&lt;=10%),"OK","OUT"),IF(AND(O37*'Datos varios'!$E$120&lt;=(A36+10/100*A36),O37*'Datos varios'!$E$120&gt;=(A36-10/100*A36),T37&lt;=10%),"OK","OUT"),IF(AND(O37*'Datos varios'!$E$121&lt;=(A36+10/100*A36),O37*'Datos varios'!$E$121&gt;=(A36-10/100*A36),T37&lt;=10%),"OK","OUT"),IF(AND(O37*'Datos varios'!$E$122&lt;=(A36+10/100*A36),O37*'Datos varios'!$E$122&gt;=(A429-10/100*A36),T37&lt;=10%),"OK","OUT"),IF(AND(O37*'Datos varios'!$E$123&lt;=(A36+10/100*A36),O37*'Datos varios'!$E$123&gt;=(A36-10/100*A36),T37&lt;=10%),"OK","OUT"),"-"))</f>
        <v>-</v>
      </c>
      <c r="V37" s="87">
        <f t="shared" si="3"/>
        <v>9</v>
      </c>
      <c r="W37" s="1768" t="s">
        <v>93</v>
      </c>
    </row>
    <row r="38" spans="1:23" ht="15.75" thickBot="1" x14ac:dyDescent="0.3">
      <c r="A38" s="1162" t="str">
        <f>IF('F-LSCD-003'!D19="-","-",'F-LSCD-003'!D19*1000000)</f>
        <v>-</v>
      </c>
      <c r="B38" s="1187" t="str">
        <f>IF(A38="-","-","Antes del ajuste")</f>
        <v>-</v>
      </c>
      <c r="C38" s="1243" t="s">
        <v>93</v>
      </c>
      <c r="D38" s="1244" t="s">
        <v>93</v>
      </c>
      <c r="E38" s="1244" t="s">
        <v>93</v>
      </c>
      <c r="F38" s="1244" t="s">
        <v>93</v>
      </c>
      <c r="G38" s="1244" t="s">
        <v>93</v>
      </c>
      <c r="H38" s="1244" t="s">
        <v>93</v>
      </c>
      <c r="I38" s="1244" t="s">
        <v>93</v>
      </c>
      <c r="J38" s="1244" t="s">
        <v>93</v>
      </c>
      <c r="K38" s="1244" t="s">
        <v>93</v>
      </c>
      <c r="L38" s="1245" t="s">
        <v>93</v>
      </c>
      <c r="M38" s="1284" t="s">
        <v>93</v>
      </c>
      <c r="N38" s="1246" t="s">
        <v>93</v>
      </c>
      <c r="O38" s="1195" t="str">
        <f t="shared" si="0"/>
        <v>-</v>
      </c>
      <c r="P38" s="1195" t="str">
        <f t="shared" si="1"/>
        <v>-</v>
      </c>
      <c r="Q38" s="1196" t="str">
        <f t="shared" si="2"/>
        <v>-</v>
      </c>
      <c r="R38" s="1289" t="str">
        <f>CHOOSE(V38,A38/O38,A38/(O38*1000),A38/(O38*1000000),A38/(O38*'Datos varios'!$E$119),A38/(O38*'Datos varios'!$E$120),A38/(O38*'Datos varios'!$E$121),A38/(O38*'Datos varios'!$E$122),A38/(O38*'Datos varios'!$E$123),"-",A38/O38,A38/O38)</f>
        <v>-</v>
      </c>
      <c r="S38" s="1292" t="str">
        <f>CHOOSE(V38,O38/A38-1,(O38*1000)/A38-1,(O38*1000000)/A38-1,(O38*'Datos varios'!$E$119)/A38-1,(O38*'Datos varios'!$E$120)/A38-1,(O38*'Datos varios'!$E$121)/A38-1,(O38*'Datos varios'!$E$122)/A38-1,(O38*'Datos varios'!$E$123)/A38-1,"-")</f>
        <v>-</v>
      </c>
      <c r="T38" s="1197" t="str">
        <f>IF(OR(C9="Monitor de radiación (digital)",C9="Monitor de radiación (analógico)"),IF(C38="-","-",IF(C38="full range","-",IF(C38="Alarma off","10",IF(C38="Alarma on","10",IF('Incert. Cal. Mon.'!AO39&gt;=10%,ROUNDUP('Incert. Cal. Mon.'!AO39,2),ROUNDUP('Incert. Cal. Mon.'!AO39,3)))))),IF(OR(C9="Dosímetro personal (digital)",C9="Dosímetro personal (analógico)",C9="Dosímetro personal (analógico tipo lapicero)"),IF('Incert. Cal. Dosímetros pers'!AK34&gt;=10%,ROUNDUP('Incert. Cal. Dosímetros pers'!AK34,2),ROUNDUP('Incert. Cal. Dosímetros pers'!AK34,3))))</f>
        <v>-</v>
      </c>
      <c r="U38" s="1195" t="str">
        <f>IF(O38="full range","OUT",CHOOSE(V38,IF(AND(O38&lt;=(A38+10/100*A38),O38&gt;=(A38-10/100*A38),T38&lt;=10%),"OK","OUT"),IF(AND(O38*1000&lt;=(A38+10/100*A38),O38*1000&gt;=(A38-10/100*A38),T38&lt;=10%),"OK","OUT"),IF(AND(O38*1000000&lt;=(A38+10/100*A38),O38*1000000&gt;=(A38-10/100*A38),T38&lt;=10%),"OK","OUT"),IF(AND(O38*'Datos varios'!$E$119&lt;=(A38+10/100*A38),O38*'Datos varios'!$E$119&gt;=(A38-10/100*A38),T38&lt;=10%),"OK","OUT"),IF(AND(O38*'Datos varios'!$E$120&lt;=(A38+10/100*A38),O38*'Datos varios'!$E$120&gt;=(A38-10/100*A38),T38&lt;=10%),"OK","OUT"),IF(AND(O38*'Datos varios'!$E$121&lt;=(A38+10/100*A38),O38*'Datos varios'!$E$121&gt;=(A38-10/100*A38),T38&lt;=10%),"OK","OUT"),IF(AND(O38*'Datos varios'!$E$122&lt;=(A38+10/100*A38),O38*'Datos varios'!$E$122&gt;=(A38-10/100*A38),T38&lt;=10%),"OK","OUT"),IF(AND(O38*'Datos varios'!$E$123&lt;=(A38+10/100*A38),O38*'Datos varios'!$E$123&gt;=(A38-10/100*A38),T38&lt;=10%),"OK","OUT"),"-"))</f>
        <v>-</v>
      </c>
      <c r="V38" s="87">
        <f t="shared" si="3"/>
        <v>9</v>
      </c>
      <c r="W38" s="1768">
        <v>2</v>
      </c>
    </row>
    <row r="39" spans="1:23" ht="16.5" thickTop="1" thickBot="1" x14ac:dyDescent="0.3">
      <c r="A39" s="1161" t="str">
        <f>IF(A38="-","-",IF($I$24="Tasa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39" s="1188" t="str">
        <f>IF(A38="-","-","Después del ajuste")</f>
        <v>-</v>
      </c>
      <c r="C39" s="1283" t="s">
        <v>93</v>
      </c>
      <c r="D39" s="1285" t="s">
        <v>93</v>
      </c>
      <c r="E39" s="1285" t="s">
        <v>93</v>
      </c>
      <c r="F39" s="1285" t="s">
        <v>93</v>
      </c>
      <c r="G39" s="1285" t="s">
        <v>93</v>
      </c>
      <c r="H39" s="1285" t="s">
        <v>93</v>
      </c>
      <c r="I39" s="1285" t="s">
        <v>93</v>
      </c>
      <c r="J39" s="1285" t="s">
        <v>93</v>
      </c>
      <c r="K39" s="1285" t="s">
        <v>93</v>
      </c>
      <c r="L39" s="1286"/>
      <c r="M39" s="1284" t="s">
        <v>93</v>
      </c>
      <c r="N39" s="1247" t="s">
        <v>93</v>
      </c>
      <c r="O39" s="1261" t="str">
        <f t="shared" si="0"/>
        <v>-</v>
      </c>
      <c r="P39" s="1191" t="str">
        <f t="shared" si="1"/>
        <v>-</v>
      </c>
      <c r="Q39" s="1192" t="str">
        <f t="shared" si="2"/>
        <v>-</v>
      </c>
      <c r="R39" s="1290" t="str">
        <f>CHOOSE(V39,A38/O39,A38/(O39*1000),A38/(O39*1000000),A38/(O39*'Datos varios'!$E$119),A38/(O39*'Datos varios'!$E$120),A38/(O39*'Datos varios'!$E$121),A38/(O39*'Datos varios'!$E$122),A38/(O39*'Datos varios'!$E$123),"-",A38/O39,A38/O39)</f>
        <v>-</v>
      </c>
      <c r="S39" s="1293" t="str">
        <f>CHOOSE(V39,O39/A38-1,(O39*1000)/A38-1,(O39*1000000)/A38-1,(O39*'Datos varios'!$E$119)/A38-1,(O39*'Datos varios'!$E$120)/A38-1,(O39*'Datos varios'!$E$121)/A38-1,(O39*'Datos varios'!$E$122)/A38-1,(O39*'Datos varios'!$E$123)/A38-1,"-")</f>
        <v>-</v>
      </c>
      <c r="T39" s="1193" t="str">
        <f>IF(C39="-","-",IF(C39="full range","-",IF('Incert. Cal. Mon.'!AV39&gt;=10%,ROUNDUP('Incert. Cal. Mon.'!AV39,2),ROUNDUP('Incert. Cal. Mon.'!AV39,3))))</f>
        <v>-</v>
      </c>
      <c r="U39" s="1193" t="str">
        <f>IF(O39="full range","OUT",CHOOSE(V39,IF(AND(O39&lt;=(A38+10/100*A38),O39&gt;=(A38-10/100*A38),T39&lt;=10%),"OK","OUT"),IF(AND(O39*1000&lt;=(A38+10/100*A38),O39*1000&gt;=(A38-10/100*A38),T39&lt;=10%),"OK","OUT"),IF(AND(O39*1000000&lt;=(A38+10/100*A38),O39*1000000&gt;=(A38-10/100*A38),T39&lt;=10%),"OK","OUT"),IF(AND(O39*'Datos varios'!$E$119&lt;=(A38+10/100*A38),O39*'Datos varios'!$E$119&gt;=(A38-10/100*A38),T39&lt;=10%),"OK","OUT"),IF(AND(O39*'Datos varios'!$E$120&lt;=(A38+10/100*A38),O39*'Datos varios'!$E$120&gt;=(A38-10/100*A38),T39&lt;=10%),"OK","OUT"),IF(AND(O39*'Datos varios'!$E$121&lt;=(A38+10/100*A38),O39*'Datos varios'!$E$121&gt;=(A38-10/100*A38),T39&lt;=10%),"OK","OUT"),IF(AND(O39*'Datos varios'!$E$122&lt;=(A38+10/100*A38),O39*'Datos varios'!$E$122&gt;=(A38-10/100*A38),T39&lt;=10%),"OK","OUT"),IF(AND(O39*'Datos varios'!$E$123&lt;=(A38+10/100*A38),O39*'Datos varios'!$E$123&gt;=(A38-10/100*A38),T39&lt;=10%),"OK","OUT"),"-"))</f>
        <v>-</v>
      </c>
      <c r="V39" s="87">
        <f t="shared" si="3"/>
        <v>9</v>
      </c>
      <c r="W39" s="1768" t="s">
        <v>93</v>
      </c>
    </row>
    <row r="40" spans="1:23" ht="15.75" thickBot="1" x14ac:dyDescent="0.3">
      <c r="A40" s="1162" t="str">
        <f>IF('F-LSCD-003'!D20="-","-",'F-LSCD-003'!D20*1000000)</f>
        <v>-</v>
      </c>
      <c r="B40" s="1185" t="str">
        <f>IF(A40="-","-","Antes del ajuste")</f>
        <v>-</v>
      </c>
      <c r="C40" s="1268" t="s">
        <v>93</v>
      </c>
      <c r="D40" s="1269" t="s">
        <v>93</v>
      </c>
      <c r="E40" s="1269" t="s">
        <v>93</v>
      </c>
      <c r="F40" s="1269" t="s">
        <v>93</v>
      </c>
      <c r="G40" s="1269" t="s">
        <v>93</v>
      </c>
      <c r="H40" s="1269" t="s">
        <v>93</v>
      </c>
      <c r="I40" s="1269" t="s">
        <v>93</v>
      </c>
      <c r="J40" s="1269" t="s">
        <v>93</v>
      </c>
      <c r="K40" s="1269" t="s">
        <v>93</v>
      </c>
      <c r="L40" s="1270" t="s">
        <v>93</v>
      </c>
      <c r="M40" s="1271" t="s">
        <v>93</v>
      </c>
      <c r="N40" s="1248" t="s">
        <v>93</v>
      </c>
      <c r="O40" s="1198" t="str">
        <f t="shared" si="0"/>
        <v>-</v>
      </c>
      <c r="P40" s="1198" t="str">
        <f t="shared" si="1"/>
        <v>-</v>
      </c>
      <c r="Q40" s="1198" t="str">
        <f t="shared" si="2"/>
        <v>-</v>
      </c>
      <c r="R40" s="1199" t="str">
        <f>CHOOSE(V40,A40/O40,A40/(O40*1000),A40/(O40*1000000),A40/(O40*'Datos varios'!$E$119),A40/(O40*'Datos varios'!$E$120),A40/(O40*'Datos varios'!$E$121),A40/(O40*'Datos varios'!$E$122),A40/(O40*'Datos varios'!$E$123),"-",A40/O40,A40/O40)</f>
        <v>-</v>
      </c>
      <c r="S40" s="1294" t="str">
        <f>CHOOSE(V40,O40/A40-1,(O40*1000)/A40-1,(O40*1000000)/A40-1,(O40*'Datos varios'!$E$119)/A40-1,(O40*'Datos varios'!$E$120)/A40-1,(O40*'Datos varios'!$E$121)/A40-1,(O40*'Datos varios'!$E$122)/A40-1,(O40*'Datos varios'!$E$123)/A40-1,"-")</f>
        <v>-</v>
      </c>
      <c r="T40" s="1200" t="str">
        <f>IF(C40="-","-",IF(C40="full range","-",IF(C40="Alarma on","10",IF('Incert. Cal. Mon.'!BC39&gt;=10%,ROUNDUP('Incert. Cal. Mon.'!BC39,2),ROUNDUP('Incert. Cal. Mon.'!BC39,3)))))</f>
        <v>-</v>
      </c>
      <c r="U40" s="1198" t="str">
        <f>IF(O40="full range","OUT",CHOOSE(V40,IF(AND(O40&lt;=(A40+10/100*A40),O40&gt;=(A40-10/100*A40),T40&lt;=10%),"OK","OUT"),IF(AND(O40*1000&lt;=(A40+10/100*A40),O40*1000&gt;=(A40-10/100*A40),T40&lt;=10%),"OK","OUT"),IF(AND(O40*1000000&lt;=(A40+10/100*A40),O40*1000000&gt;=(A40-10/100*A40),T40&lt;=10%),"OK","OUT"),IF(AND(O40*'Datos varios'!$E$119&lt;=(A40+10/100*A40),O40*'Datos varios'!$E$119&gt;=(A40-10/100*A40),T40&lt;=10%),"OK","OUT"),IF(AND(O40*'Datos varios'!$E$120&lt;=(A40+10/100*A40),O40*'Datos varios'!$E$120&gt;=(A40-10/100*A40),T40&lt;=10%),"OK","OUT"),IF(AND(O40*'Datos varios'!$E$121&lt;=(A40+10/100*A40),O40*'Datos varios'!$E$121&gt;=(A40-10/100*A40),T40&lt;=10%),"OK","OUT"),IF(AND(O40*'Datos varios'!$E$122&lt;=(A40+10/100*A40),O40*'Datos varios'!$E$122&gt;=(A40-10/100*A40),T40&lt;=10%),"OK","OUT"),IF(AND(O40*'Datos varios'!$E$123&lt;=(A40+10/100*A40),O40*'Datos varios'!$E$123&gt;=(A40-10/100*A40),T40&lt;=10%),"OK","OUT"),"-"))</f>
        <v>-</v>
      </c>
      <c r="V40" s="87">
        <f t="shared" si="3"/>
        <v>9</v>
      </c>
      <c r="W40" s="1768">
        <v>1</v>
      </c>
    </row>
    <row r="41" spans="1:23" ht="16.5" thickTop="1" thickBot="1" x14ac:dyDescent="0.3">
      <c r="A41" s="1161" t="str">
        <f>IF(A40="-","-",IF($I$24="Tasa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41" s="1186" t="str">
        <f>IF(A40="-","-","Después del ajuste")</f>
        <v>-</v>
      </c>
      <c r="C41" s="1437" t="s">
        <v>93</v>
      </c>
      <c r="D41" s="1703" t="s">
        <v>93</v>
      </c>
      <c r="E41" s="1703" t="s">
        <v>93</v>
      </c>
      <c r="F41" s="1703" t="s">
        <v>93</v>
      </c>
      <c r="G41" s="1703" t="s">
        <v>93</v>
      </c>
      <c r="H41" s="1703" t="s">
        <v>93</v>
      </c>
      <c r="I41" s="1703" t="s">
        <v>93</v>
      </c>
      <c r="J41" s="1703" t="s">
        <v>93</v>
      </c>
      <c r="K41" s="1703" t="s">
        <v>93</v>
      </c>
      <c r="L41" s="1438" t="s">
        <v>93</v>
      </c>
      <c r="M41" s="1439" t="s">
        <v>93</v>
      </c>
      <c r="N41" s="1282" t="s">
        <v>93</v>
      </c>
      <c r="O41" s="1329" t="str">
        <f t="shared" ref="O41:O57" si="4">IF(C41="-","-",IF(C41="full range","full range",AVERAGE(C41:L41)))</f>
        <v>-</v>
      </c>
      <c r="P41" s="1005" t="str">
        <f t="shared" si="1"/>
        <v>-</v>
      </c>
      <c r="Q41" s="1005" t="str">
        <f t="shared" si="2"/>
        <v>-</v>
      </c>
      <c r="R41" s="1189" t="str">
        <f>CHOOSE(V41,A40/O41,A40/(O41*1000),A40/(O41*1000000),A40/(O41*'Datos varios'!$E$119),A40/(O41*'Datos varios'!$E$120),A40/(O41*'Datos varios'!$E$121),A40/(O41*'Datos varios'!$E$122),A40/(O41*'Datos varios'!$E$123),"-",A40/O41,A40/O41)</f>
        <v>-</v>
      </c>
      <c r="S41" s="1295" t="str">
        <f>CHOOSE(V41,O41/A40-1,(O41*1000)/A40-1,(O41*1000000)/A40-1,(O41*'Datos varios'!$E$119)/A40-1,(O41*'Datos varios'!$E$120)/A40-1,(O41*'Datos varios'!$E$121)/A40-1,(O41*'Datos varios'!$E$122)/A40-1,(O41*'Datos varios'!$E$123)/A40-1,"-")</f>
        <v>-</v>
      </c>
      <c r="T41" s="1190" t="str">
        <f>IF(C41="-","-",IF(C41="full range","-",IF('Incert. Cal. Mon.'!BJ39&gt;=10%,ROUNDUP('Incert. Cal. Mon.'!BJ39,2),ROUNDUP('Incert. Cal. Mon.'!BJ39,3))))</f>
        <v>-</v>
      </c>
      <c r="U41" s="1190" t="str">
        <f>IF(O41="full range","OUT",CHOOSE(V41,IF(AND(O41&lt;=(A40+10/100*A40),O41&gt;=(A40-10/100*A40),T41&lt;=10%),"OK","OUT"),IF(AND(O41*1000&lt;=(A40+10/100*A40),O41*1000&gt;=(A40-10/100*A40),T41&lt;=10%),"OK","OUT"),IF(AND(O41*1000000&lt;=(A40+10/100*A40),O41*1000000&gt;(A40-10/100*A40),T41&lt;=10%),"OK","OUT"),IF(AND(O41*'Datos varios'!$E$119&lt;=(A40+10/100*A40),O41*'Datos varios'!$E$119&gt;=(A40-10/100*A40),T41&lt;=10%),"OK","OUT"),IF(AND(O41*'Datos varios'!$E$120&lt;=(A40+10/100*A40),O41*'Datos varios'!$E$120&gt;=(A40-10/100*A40),T41&lt;=10%),"OK","OUT"),IF(AND(O41*'Datos varios'!$E$121&lt;=(A40+10/100*A40),O41*'Datos varios'!$E$121&gt;=(A40-10/100*A40),T41&lt;=10%),"OK","OUT"),IF(AND(O41*'Datos varios'!$E$122&lt;=(A40+10/100*A40),O41*'Datos varios'!$E$122&gt;=(A40-10/100*A40),T41&lt;=10%),"OK","OUT"),IF(AND(O41*'Datos varios'!$E$123&lt;=(A40+10/100*A40),O41*'Datos varios'!$E$123&gt;=(A40-10/100*A40),T41&lt;=10%),"OK","OUT"),"-"))</f>
        <v>-</v>
      </c>
      <c r="V41" s="87">
        <f t="shared" si="3"/>
        <v>9</v>
      </c>
      <c r="W41" s="1768">
        <v>0</v>
      </c>
    </row>
    <row r="42" spans="1:23" ht="15.75" thickBot="1" x14ac:dyDescent="0.3">
      <c r="A42" s="1162" t="str">
        <f>IF('F-LSCD-003'!D21="-","-",'F-LSCD-003'!D21*1000000)</f>
        <v>-</v>
      </c>
      <c r="B42" s="1187" t="str">
        <f>IF(A42="-","-","Antes del ajuste")</f>
        <v>-</v>
      </c>
      <c r="C42" s="1243" t="s">
        <v>93</v>
      </c>
      <c r="D42" s="1244" t="s">
        <v>93</v>
      </c>
      <c r="E42" s="1244" t="s">
        <v>93</v>
      </c>
      <c r="F42" s="1244" t="s">
        <v>93</v>
      </c>
      <c r="G42" s="1244" t="s">
        <v>93</v>
      </c>
      <c r="H42" s="1244" t="s">
        <v>93</v>
      </c>
      <c r="I42" s="1244" t="s">
        <v>93</v>
      </c>
      <c r="J42" s="1244" t="s">
        <v>93</v>
      </c>
      <c r="K42" s="1244" t="s">
        <v>93</v>
      </c>
      <c r="L42" s="1245" t="s">
        <v>93</v>
      </c>
      <c r="M42" s="1284" t="s">
        <v>93</v>
      </c>
      <c r="N42" s="1246" t="s">
        <v>93</v>
      </c>
      <c r="O42" s="1444" t="str">
        <f t="shared" ref="O42" si="5">IF(C42="-","-",IF(C42="full range","full range",AVERAGE(C42:L42)))</f>
        <v>-</v>
      </c>
      <c r="P42" s="1195" t="str">
        <f t="shared" si="1"/>
        <v>-</v>
      </c>
      <c r="Q42" s="1195" t="str">
        <f t="shared" si="2"/>
        <v>-</v>
      </c>
      <c r="R42" s="1196" t="str">
        <f>CHOOSE(V42,A42/O42,A42/(O42*1000),A42/(O42*1000000),A42/(O42*'Datos varios'!$E$119),A42/(O42*'Datos varios'!$E$120),A42/(O42*'Datos varios'!$E$121),A42/(O42*'Datos varios'!$E$122),A42/(O42*'Datos varios'!$E$123),"-",A42/O42,A42/O42)</f>
        <v>-</v>
      </c>
      <c r="S42" s="1292" t="str">
        <f>CHOOSE(V42,O42/A42-1,(O42*1000)/A42-1,(O42*1000000)/A42-1,(O42*'Datos varios'!$E$119)/A42-1,(O42*'Datos varios'!$E$120)/A42-1,(O42*'Datos varios'!$E$121)/A42-1,(O42*'Datos varios'!$E$122)/A42-1,(O42*'Datos varios'!$E$123)/A42-1,"-")</f>
        <v>-</v>
      </c>
      <c r="T42" s="1197" t="str">
        <f>IF(C42="-","-",IF(C42="full range","-",IF('Incert. Cal. Mon.'!BQ39&gt;=10%,ROUNDUP('Incert. Cal. Mon.'!BQ39,2),ROUNDUP('Incert. Cal. Mon.'!BQ39,3))))</f>
        <v>-</v>
      </c>
      <c r="U42" s="1197" t="str">
        <f>IF(O42="full range","OUT",CHOOSE(V42,IF(AND(O42&lt;=(A42+10/100*A42),O42&gt;=(A42-10/100*A42),T42&lt;=10%),"OK","OUT"),IF(AND(O42*1000&lt;=(A42+10/100*A42),O42*1000&gt;=(A42-10/100*A42),T42&lt;=10%),"OK","OUT"),IF(AND(O42*1000000&lt;=(A42+10/100*A42),O42*1000000&gt;=(A42-10/100*A42),T42&lt;=10%),"OK","OUT"),IF(AND(O42*'Datos varios'!$E$119&lt;=(A42+10/100*A42),O42*'Datos varios'!$E$119&gt;=(A42-10/100*A42),T42&lt;=10%),"OK","OUT"),IF(AND(O42*'Datos varios'!$E$120&lt;=(A42+10/100*A42),O42*'Datos varios'!$E$120&gt;=(A42-10/100*A42),T42&lt;=10%),"OK","OUT"),IF(AND(O42*'Datos varios'!$E$121&lt;=(A42+10/100*A42),O42*'Datos varios'!$E$121&gt;=(A42-10/100*A42),T42&lt;=10%),"OK","OUT"),IF(AND(O42*'Datos varios'!$E$122&lt;=(A42+10/100*A42),O42*'Datos varios'!$E$122&gt;=(A42-10/100*A42),T42&lt;=10%),"OK","OUT"),IF(AND(O42*'Datos varios'!$E$123&lt;=(A42+10/100*A42),O42*'Datos varios'!$E$123&gt;=(A42-10/100*A42),T42&lt;=10%),"OK","OUT"),"-"))</f>
        <v>-</v>
      </c>
      <c r="V42" s="87">
        <f t="shared" si="3"/>
        <v>9</v>
      </c>
      <c r="W42" s="1768">
        <v>0</v>
      </c>
    </row>
    <row r="43" spans="1:23" ht="16.5" thickTop="1" thickBot="1" x14ac:dyDescent="0.3">
      <c r="A43" s="1161" t="str">
        <f>IF(A42="-","-",IF($I$24="Tasa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43" s="1188" t="str">
        <f>IF(A42="-","-","Después del ajuste")</f>
        <v>-</v>
      </c>
      <c r="C43" s="1283" t="s">
        <v>93</v>
      </c>
      <c r="D43" s="1285" t="s">
        <v>93</v>
      </c>
      <c r="E43" s="1285" t="s">
        <v>93</v>
      </c>
      <c r="F43" s="1285" t="s">
        <v>93</v>
      </c>
      <c r="G43" s="1285" t="s">
        <v>93</v>
      </c>
      <c r="H43" s="1285" t="s">
        <v>93</v>
      </c>
      <c r="I43" s="1285" t="s">
        <v>93</v>
      </c>
      <c r="J43" s="1285" t="s">
        <v>93</v>
      </c>
      <c r="K43" s="1285" t="s">
        <v>93</v>
      </c>
      <c r="L43" s="1286"/>
      <c r="M43" s="1284" t="s">
        <v>93</v>
      </c>
      <c r="N43" s="1247" t="s">
        <v>93</v>
      </c>
      <c r="O43" s="1261" t="str">
        <f t="shared" si="4"/>
        <v>-</v>
      </c>
      <c r="P43" s="1191" t="str">
        <f t="shared" si="1"/>
        <v>-</v>
      </c>
      <c r="Q43" s="1191" t="str">
        <f t="shared" si="2"/>
        <v>-</v>
      </c>
      <c r="R43" s="1192" t="str">
        <f>CHOOSE(V43,A42/O43,A42/(O43*1000),A42/(O43*1000000),A42/(O43*'Datos varios'!$E$119),A42/(O43*'Datos varios'!$E$120),A42/(O43*'Datos varios'!$E$121),A42/(O43*'Datos varios'!$E$122),A42/(O43*'Datos varios'!$E$123),"-",A42/O43,A42/O43)</f>
        <v>-</v>
      </c>
      <c r="S43" s="1293" t="str">
        <f>CHOOSE(V43,O43/A42-1,(O43*1000)/A42-1,(O43*1000000)/A42-1,(O43*'Datos varios'!$E$119)/A42-1,(O43*'Datos varios'!$E$120)/A42-1,(O43*'Datos varios'!$E$121)/A42-1,(O43*'Datos varios'!$E$122)/A42-1,(O43*'Datos varios'!$E$123)/A42-1,"-")</f>
        <v>-</v>
      </c>
      <c r="T43" s="1193" t="str">
        <f>IF(C43="-","-",IF(C43="full range","-",IF('Incert. Cal. Mon.'!BX39&gt;=10%,ROUNDUP('Incert. Cal. Mon.'!BX39,2),ROUNDUP('Incert. Cal. Mon.'!BX39,3))))</f>
        <v>-</v>
      </c>
      <c r="U43" s="1193" t="str">
        <f>IF(O43="full range","OUT",CHOOSE(V43,IF(AND(O43&lt;=(A42+10/100*A42),O43&gt;=(A42-10/100*A42),T43&lt;=10%),"OK","OUT"),IF(AND(O43*1000&lt;=(A42+10/100*A42),O43*1000&gt;=(A42-10/100*A42),T43&lt;=10%),"OK","OUT"),IF(AND(O43*1000000&lt;=(A42+10/100*A42),O43*1000000&gt;=(A42-10/100*A42),T43&lt;=10%),"OK","OUT"),IF(AND(O43*'Datos varios'!$E$119&lt;=(A42+10/100*A42),O43*'Datos varios'!$E$119&gt;=(A42-10/100*A42),T43&lt;=10%),"OK","OUT"),IF(AND(O43*'Datos varios'!$E$120&lt;=(A42+10/100*A42),O43*'Datos varios'!$E$120&gt;=(A42-10/100*A42),T43&lt;=10%),"OK","OUT"),IF(AND(O43*'Datos varios'!$E$121&lt;=(A42+10/100*A42),O43*'Datos varios'!$E$121&gt;=(A42-10/100*A42),T43&lt;=10%),"OK","OUT"),IF(AND(O43*'Datos varios'!$E$122&lt;=(A42+10/100*A42),O43*'Datos varios'!$E$122&gt;=(A42-10/100*A42),T43&lt;=10%),"OK","OUT"),IF(AND(O43*'Datos varios'!$E$123&lt;=(A42+10/100*A42),O43*'Datos varios'!$E$123&gt;=(A42-10/100*A42),T43&lt;=10%),"OK","OUT"),"-"))</f>
        <v>-</v>
      </c>
      <c r="V43" s="87">
        <f t="shared" si="3"/>
        <v>9</v>
      </c>
      <c r="W43" s="1768">
        <v>0</v>
      </c>
    </row>
    <row r="44" spans="1:23" ht="15.75" thickBot="1" x14ac:dyDescent="0.3">
      <c r="A44" s="1162" t="str">
        <f>IF('F-LSCD-003'!D22="-","-",'F-LSCD-003'!D22*1000000)</f>
        <v>-</v>
      </c>
      <c r="B44" s="1185" t="str">
        <f>IF(A44="-","-","Antes del ajuste")</f>
        <v>-</v>
      </c>
      <c r="C44" s="1268" t="s">
        <v>93</v>
      </c>
      <c r="D44" s="1269" t="s">
        <v>93</v>
      </c>
      <c r="E44" s="1269" t="s">
        <v>93</v>
      </c>
      <c r="F44" s="1269" t="s">
        <v>93</v>
      </c>
      <c r="G44" s="1269" t="s">
        <v>93</v>
      </c>
      <c r="H44" s="1269" t="s">
        <v>93</v>
      </c>
      <c r="I44" s="1269" t="s">
        <v>93</v>
      </c>
      <c r="J44" s="1269" t="s">
        <v>93</v>
      </c>
      <c r="K44" s="1269" t="s">
        <v>93</v>
      </c>
      <c r="L44" s="1270" t="s">
        <v>93</v>
      </c>
      <c r="M44" s="1271" t="s">
        <v>93</v>
      </c>
      <c r="N44" s="1248" t="s">
        <v>93</v>
      </c>
      <c r="O44" s="1730" t="str">
        <f t="shared" si="4"/>
        <v>-</v>
      </c>
      <c r="P44" s="1198" t="str">
        <f t="shared" si="1"/>
        <v>-</v>
      </c>
      <c r="Q44" s="1198" t="str">
        <f t="shared" si="2"/>
        <v>-</v>
      </c>
      <c r="R44" s="1199" t="str">
        <f>CHOOSE(V44,A44/O44,A44/(O44*1000),A44/(O44*1000000),A44/(O44*'Datos varios'!$E$119),A44/(O44*'Datos varios'!$E$120),A44/(O44*'Datos varios'!$E$121),A44/(O44*'Datos varios'!$E$122),A44/(O44*'Datos varios'!$E$123),"-",A44/O44,A44/O44)</f>
        <v>-</v>
      </c>
      <c r="S44" s="1294" t="str">
        <f>CHOOSE(V44,O44/A44-1,(O44*1000)/A44-1,(O44*1000000)/A44-1,(O44*'Datos varios'!$E$119)/A44-1,(O44*'Datos varios'!$E$120)/A44-1,(O44*'Datos varios'!$E$121)/A44-1,(O44*'Datos varios'!$E$122)/A44-1,(O44*'Datos varios'!$E$123)/A44-1,"-")</f>
        <v>-</v>
      </c>
      <c r="T44" s="1200" t="str">
        <f>IF(C44="-","-",IF(C44="full range","-",IF('Incert. Cal. Mon.'!CE39&gt;=10%,ROUNDUP('Incert. Cal. Mon.'!CE39,2),ROUNDUP('Incert. Cal. Mon.'!CE39,3))))</f>
        <v>-</v>
      </c>
      <c r="U44" s="1200" t="str">
        <f>IF(O44="full range","OUT",CHOOSE(V44,IF(AND(O44&lt;=(A44+10/100*A44),O44&gt;=(A44-10/100*A44),T44&lt;=10%),"OK","OUT"),IF(AND(O44*1000&lt;=(A44+10/100*A44),O44*1000&gt;=(A44-10/100*A44),T44&lt;=10%),"OK","OUT"),IF(AND(O44*1000000&lt;=(A44+10/100*A44),O44*1000000&gt;=(A44-10/100*A44),T44&lt;=10%),"OK","OUT"),IF(AND(O44*'Datos varios'!$E$119&lt;=(A44+10/100*A44),O44*'Datos varios'!$E$119&gt;=(A44-10/100*A44),T44&lt;=10%),"OK","OUT"),IF(AND(O44*'Datos varios'!$E$120&lt;=(A44+10/100*A44),O44*'Datos varios'!$E$120&gt;=(A44-10/100*A44),T44&lt;=10%),"OK","OUT"),IF(AND(O44*'Datos varios'!$E$121&lt;=(A44+10/100*A44),O44*'Datos varios'!$E$121&gt;=(A44-10/100*A44),T44&lt;=10%),"OK","OUT"),IF(AND(O44*'Datos varios'!$E$122&lt;=(A44+10/100*A44),O44*'Datos varios'!$E$122&gt;=(A44-10/100*A44),T44&lt;=10%),"OK","OUT"),IF(AND(O44*'Datos varios'!$E$123&lt;=(A44+10/100*A44),O44*'Datos varios'!$E$123&gt;=(A44-10/100*A44),T44&lt;=10%),"OK","OUT"),"-"))</f>
        <v>-</v>
      </c>
      <c r="V44" s="87">
        <f t="shared" si="3"/>
        <v>9</v>
      </c>
      <c r="W44" s="1768">
        <v>0</v>
      </c>
    </row>
    <row r="45" spans="1:23" ht="16.5" thickTop="1" thickBot="1" x14ac:dyDescent="0.3">
      <c r="A45" s="1161" t="str">
        <f>IF(A44="-","-",IF($I$24="Tasa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45" s="1186" t="str">
        <f>IF(A44="-","-","Después del ajuste")</f>
        <v>-</v>
      </c>
      <c r="C45" s="1437" t="s">
        <v>93</v>
      </c>
      <c r="D45" s="1703" t="s">
        <v>93</v>
      </c>
      <c r="E45" s="1703" t="s">
        <v>93</v>
      </c>
      <c r="F45" s="1703" t="s">
        <v>93</v>
      </c>
      <c r="G45" s="1703" t="s">
        <v>93</v>
      </c>
      <c r="H45" s="1703" t="s">
        <v>93</v>
      </c>
      <c r="I45" s="1703" t="s">
        <v>93</v>
      </c>
      <c r="J45" s="1703" t="s">
        <v>93</v>
      </c>
      <c r="K45" s="1703" t="s">
        <v>93</v>
      </c>
      <c r="L45" s="1438" t="s">
        <v>93</v>
      </c>
      <c r="M45" s="1439" t="s">
        <v>93</v>
      </c>
      <c r="N45" s="1249" t="s">
        <v>93</v>
      </c>
      <c r="O45" s="1260" t="str">
        <f t="shared" si="4"/>
        <v>-</v>
      </c>
      <c r="P45" s="1005" t="str">
        <f t="shared" si="1"/>
        <v>-</v>
      </c>
      <c r="Q45" s="1005" t="str">
        <f t="shared" si="2"/>
        <v>-</v>
      </c>
      <c r="R45" s="1189" t="str">
        <f>CHOOSE(V45,A44/O45,A44/(O45*1000),A44/(O45*1000000),A44/(O45*'Datos varios'!$E$119),A44/(O45*'Datos varios'!$E$120),A44/(O45*'Datos varios'!$E$121),A44/(O45*'Datos varios'!$E$122),A44/(O45*'Datos varios'!$E$123),"-",A44/O45,A44/O45)</f>
        <v>-</v>
      </c>
      <c r="S45" s="1295" t="str">
        <f>CHOOSE(V45,O45/A44-1,(O45*1000)/A44-1,(O45*1000000)/A44-1,(O45*'Datos varios'!$E$119)/A44-1,(O45*'Datos varios'!$E$120)/A44-1,(O45*'Datos varios'!$E$121)/A44-1,(O45*'Datos varios'!$E$122)/A44-1,(O45*'Datos varios'!$E$123)/A44-1,"-")</f>
        <v>-</v>
      </c>
      <c r="T45" s="1190" t="str">
        <f>IF(C45="-","-",IF(C45="full range","-",IF('Incert. Cal. Mon.'!CL39&gt;=10%,ROUNDUP('Incert. Cal. Mon.'!CL39,2),ROUNDUP('Incert. Cal. Mon.'!CL39,3))))</f>
        <v>-</v>
      </c>
      <c r="U45" s="1190" t="str">
        <f>IF(O45="full range","OUT",CHOOSE(V45,IF(AND(O45&lt;=(A44+10/100*A44),O45&gt;=(A44-10/100*A44),T45&lt;=10%),"OK","OUT"),IF(AND(O45*1000&lt;=(A44+10/100*A44),O45*1000&gt;=(A44-10/100*A44),T45&lt;=10%),"OK","OUT"),IF(AND(O45*1000000&lt;=(A44+10/100*A44),O45*1000000&gt;=(A44-10/100*A44),T45&lt;=10%),"OK","OUT"),IF(AND(O45*'Datos varios'!$E$119&lt;=(A44+10/100*A44),O45*'Datos varios'!$E$119&gt;=(A44-10/100*A44),T45&lt;=10%),"OK","OUT"),IF(AND(O45*'Datos varios'!$E$120&lt;=(A44+10/100*A44),O45*'Datos varios'!$E$120&gt;=(A44-10/100*A44),T45&lt;=10%),"OK","OUT"),IF(AND(O45*'Datos varios'!$E$121&lt;=(A44+10/100*A44),O45*'Datos varios'!$E$121&gt;=(A44-10/100*A44),T45&lt;=10%),"OK","OUT"),IF(AND(O45*'Datos varios'!$E$122&lt;=(A44+10/100*A44),O45*'Datos varios'!$E$122&gt;=(A44-10/100*A44),T45&lt;=10%),"OK","OUT"),IF(AND(O45*'Datos varios'!$E$123&lt;=(A44+10/100*A44),O45*'Datos varios'!$E$123&gt;=(A44-10/100*A44),T45&lt;=10%),"OK","OUT"),"-"))</f>
        <v>-</v>
      </c>
      <c r="V45" s="87">
        <f t="shared" si="3"/>
        <v>9</v>
      </c>
      <c r="W45" s="1768">
        <v>0</v>
      </c>
    </row>
    <row r="46" spans="1:23" ht="15.75" thickBot="1" x14ac:dyDescent="0.3">
      <c r="A46" s="1162" t="str">
        <f>IF('F-LSCD-003'!D23="-","-",'F-LSCD-003'!D23*1000000)</f>
        <v>-</v>
      </c>
      <c r="B46" s="1436" t="str">
        <f>IF(A46="-","-","Antes del ajuste")</f>
        <v>-</v>
      </c>
      <c r="C46" s="1243" t="s">
        <v>93</v>
      </c>
      <c r="D46" s="1244" t="s">
        <v>93</v>
      </c>
      <c r="E46" s="1244" t="s">
        <v>93</v>
      </c>
      <c r="F46" s="1244" t="s">
        <v>93</v>
      </c>
      <c r="G46" s="1244" t="s">
        <v>93</v>
      </c>
      <c r="H46" s="1244" t="s">
        <v>93</v>
      </c>
      <c r="I46" s="1244" t="s">
        <v>93</v>
      </c>
      <c r="J46" s="1244" t="s">
        <v>93</v>
      </c>
      <c r="K46" s="1244" t="s">
        <v>93</v>
      </c>
      <c r="L46" s="1245" t="s">
        <v>93</v>
      </c>
      <c r="M46" s="1284" t="s">
        <v>93</v>
      </c>
      <c r="N46" s="1246" t="s">
        <v>93</v>
      </c>
      <c r="O46" s="1444" t="str">
        <f t="shared" si="4"/>
        <v>-</v>
      </c>
      <c r="P46" s="1195" t="str">
        <f t="shared" si="1"/>
        <v>-</v>
      </c>
      <c r="Q46" s="1195" t="str">
        <f t="shared" si="2"/>
        <v>-</v>
      </c>
      <c r="R46" s="1196" t="str">
        <f>CHOOSE(V46,A46/O46,A46/(O46*1000),A46/(O46*1000000),A46/(O46*'Datos varios'!$E$119),A46/(O46*'Datos varios'!$E$120),A46/(O46*'Datos varios'!$E$121),A46/(O46*'Datos varios'!$E$122),A46/(O46*'Datos varios'!$E$123),"-",A46/O46,A46/O46)</f>
        <v>-</v>
      </c>
      <c r="S46" s="1292" t="str">
        <f>CHOOSE(V46,O46/A46-1,(O46*1000)/A46-1,(O46*1000000)/A46-1,(O46*'Datos varios'!$E$119)/A46-1,(O46*'Datos varios'!$E$120)/A46-1,(O46*'Datos varios'!$E$121)/A46-1,(O46*'Datos varios'!$E$122)/A46-1,(O46*'Datos varios'!$E$123)/A46-1,"-")</f>
        <v>-</v>
      </c>
      <c r="T46" s="1197" t="str">
        <f>IF(C46="-","-",IF(C46="full range","-",IF('Incert. Cal. Mon.'!CS39&gt;=10%,ROUNDUP('Incert. Cal. Mon.'!CS39,2),ROUNDUP('Incert. Cal. Mon.'!CS39,3))))</f>
        <v>-</v>
      </c>
      <c r="U46" s="1197" t="str">
        <f>IF(O46="full range","OUT",CHOOSE(V46,IF(AND(O46&lt;=(A46+10/100*A46),O46&gt;=(A46-10/100*A46),T46&lt;=10%),"OK","OUT"),IF(AND(O46*1000&lt;=(A46+10/100*A46),O46*1000&gt;=(A46-10/100*A46),T46&lt;=10%),"OK","OUT"),IF(AND(O46*1000000&lt;=(A46+10/100*A46),O46*1000000&gt;=(A46-10/100*A46),T46&lt;=10%),"OK","OUT"),IF(AND(O46*'Datos varios'!$E$119&lt;=(A46+10/100*A46),O46*'Datos varios'!$E$119&gt;=(A46-10/100*A46),T46&lt;=10%),"OK","OUT"),IF(AND(O46*'Datos varios'!$E$120&lt;=(A46+10/100*A46),O46*'Datos varios'!$E$120&gt;=(A46-10/100*A46),T46&lt;=10%),"OK","OUT"),IF(AND(O46*'Datos varios'!$E$121&lt;=(A46+10/100*A46),O46*'Datos varios'!$E$121&gt;=(A46-10/100*A46),T46&lt;=10%),"OK","OUT"),IF(AND(O46*'Datos varios'!$E$122&lt;=(A46+10/100*A46),O46*'Datos varios'!$E$122&gt;=(A46-10/100*A46),T46&lt;=10%),"OK","OUT"),IF(AND(O46*'Datos varios'!$E$123&lt;=(A46+10/100*A46),O46*'Datos varios'!$E$123&gt;=(A46-10/100*A46),T46&lt;=10%),"OK","OUT"),"-"))</f>
        <v>-</v>
      </c>
      <c r="V46" s="87">
        <f t="shared" si="3"/>
        <v>9</v>
      </c>
      <c r="W46" s="1768">
        <v>0</v>
      </c>
    </row>
    <row r="47" spans="1:23" ht="16.5" thickTop="1" thickBot="1" x14ac:dyDescent="0.3">
      <c r="A47" s="1161" t="str">
        <f>IF(A46="-","-",IF($I$24="Tasa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47" s="1253" t="str">
        <f>IF(A46="-","-","Después del ajuste")</f>
        <v>-</v>
      </c>
      <c r="C47" s="1283" t="s">
        <v>93</v>
      </c>
      <c r="D47" s="1285" t="s">
        <v>93</v>
      </c>
      <c r="E47" s="1285" t="s">
        <v>93</v>
      </c>
      <c r="F47" s="1285" t="s">
        <v>93</v>
      </c>
      <c r="G47" s="1285" t="s">
        <v>93</v>
      </c>
      <c r="H47" s="1285" t="s">
        <v>93</v>
      </c>
      <c r="I47" s="1285" t="s">
        <v>93</v>
      </c>
      <c r="J47" s="1285" t="s">
        <v>93</v>
      </c>
      <c r="K47" s="1285" t="s">
        <v>93</v>
      </c>
      <c r="L47" s="1286"/>
      <c r="M47" s="1284" t="s">
        <v>93</v>
      </c>
      <c r="N47" s="1247" t="s">
        <v>93</v>
      </c>
      <c r="O47" s="1261" t="str">
        <f t="shared" si="4"/>
        <v>-</v>
      </c>
      <c r="P47" s="1191" t="str">
        <f t="shared" si="1"/>
        <v>-</v>
      </c>
      <c r="Q47" s="1191" t="str">
        <f t="shared" si="2"/>
        <v>-</v>
      </c>
      <c r="R47" s="1192" t="str">
        <f>CHOOSE(V47,A46/O47,A46/(O47*1000),A46/(O47*1000000),A46/(O47*'Datos varios'!$E$119),A46/(O47*'Datos varios'!$E$120),A46/(O47*'Datos varios'!$E$121),A46/(O47*'Datos varios'!$E$122),A46/(O47*'Datos varios'!$E$123),"-",A46/O47,A46/O47)</f>
        <v>-</v>
      </c>
      <c r="S47" s="1296" t="str">
        <f>CHOOSE(V47,O47/A46-1,(O47*1000)/A46-1,(O47*1000000)/A46-1,(O47*'Datos varios'!$E$119)/A46-1,(O47*'Datos varios'!$E$120)/A46-1,(O47*'Datos varios'!$E$121)/A46-1,(O47*'Datos varios'!$E$122)/A46-1,(O47*'Datos varios'!$E$123)/A46-1,"-")</f>
        <v>-</v>
      </c>
      <c r="T47" s="1194" t="str">
        <f>IF(C47="-","-",IF(C47="full range","-",IF('Incert. Cal. Mon.'!CZ39&gt;=10%,ROUNDUP('Incert. Cal. Mon.'!CZ39,2),ROUNDUP('Incert. Cal. Mon.'!CZ39,3))))</f>
        <v>-</v>
      </c>
      <c r="U47" s="1193" t="str">
        <f>IF(O47="full range","OUT",CHOOSE(V47,IF(AND(O47&lt;=(A46+10/100*A46),O47&gt;=(A46-10/100*A46),T47&lt;=10%),"OK","OUT"),IF(AND(O47*1000&lt;=(A46+10/100*A46),O47*1000&gt;=(A46-10/100*A46),T47&lt;=10%),"OK","OUT"),IF(AND(O47*1000000&lt;=(A46+10/100*A46),O47*1000000&gt;=(A46-10/100*A46),T47&lt;=10%),"OK","OUT"),IF(AND(O47*'Datos varios'!$E$119&lt;=(A46+10/100*A46),O47*'Datos varios'!$E$119&gt;=(A46-10/100*A46),T47&lt;=10%),"OK","OUT"),IF(AND(O47*'Datos varios'!$E$120&lt;=(A46+10/100*A46),O47*'Datos varios'!$E$120&gt;=(A46-10/100*A46),T47&lt;=10%),"OK","OUT"),IF(AND(O47*'Datos varios'!$E$121&lt;=(A46+10/100*A46),O47*'Datos varios'!$E$121&gt;=(A46-10/100*A46),T47&lt;=10%),"OK","OUT"),IF(AND(O47*'Datos varios'!$E$122&lt;=(A46+10/100*A46),O47*'Datos varios'!$E$122&gt;=(A46-10/100*A46),T47&lt;=10%),"OK","OUT"),IF(AND(O47*'Datos varios'!$E$123&lt;=(A46+10/100*A46),O47*'Datos varios'!$E$123&gt;=(A46-10/100*A46),T47&lt;=10%),"OK","OUT"),"-"))</f>
        <v>-</v>
      </c>
      <c r="V47" s="87">
        <f t="shared" si="3"/>
        <v>9</v>
      </c>
      <c r="W47" s="1768">
        <v>0</v>
      </c>
    </row>
    <row r="48" spans="1:23" ht="15.75" thickBot="1" x14ac:dyDescent="0.3">
      <c r="A48" s="1162" t="str">
        <f>IF('F-LSCD-003'!D24="-","-",'F-LSCD-003'!D24*1000000)</f>
        <v>-</v>
      </c>
      <c r="B48" s="1185" t="str">
        <f>IF(A48="-","-","Antes del ajuste")</f>
        <v>-</v>
      </c>
      <c r="C48" s="1268" t="s">
        <v>93</v>
      </c>
      <c r="D48" s="1269" t="s">
        <v>93</v>
      </c>
      <c r="E48" s="1269" t="s">
        <v>93</v>
      </c>
      <c r="F48" s="1269" t="s">
        <v>93</v>
      </c>
      <c r="G48" s="1269" t="s">
        <v>93</v>
      </c>
      <c r="H48" s="1269" t="s">
        <v>93</v>
      </c>
      <c r="I48" s="1269" t="s">
        <v>93</v>
      </c>
      <c r="J48" s="1269" t="s">
        <v>93</v>
      </c>
      <c r="K48" s="1269" t="s">
        <v>93</v>
      </c>
      <c r="L48" s="1270" t="s">
        <v>93</v>
      </c>
      <c r="M48" s="1271" t="s">
        <v>93</v>
      </c>
      <c r="N48" s="1248" t="s">
        <v>93</v>
      </c>
      <c r="O48" s="1730" t="str">
        <f t="shared" si="4"/>
        <v>-</v>
      </c>
      <c r="P48" s="1198" t="str">
        <f t="shared" si="1"/>
        <v>-</v>
      </c>
      <c r="Q48" s="1198" t="str">
        <f t="shared" si="2"/>
        <v>-</v>
      </c>
      <c r="R48" s="1199" t="str">
        <f>CHOOSE(V48,A48/O48,A48/(O48*1000),A48/(O48*1000000),A48/(O48*'Datos varios'!$E$119),A48/(O48*'Datos varios'!$E$120),A48/(O48*'Datos varios'!$E$121),A48/(O48*'Datos varios'!$E$122),A48/(O48*'Datos varios'!$E$123),"-",A48/O48,A48/O48)</f>
        <v>-</v>
      </c>
      <c r="S48" s="1294" t="str">
        <f>CHOOSE(V48,O48/A48-1,(O48*1000)/A48-1,(O48*1000000)/A48-1,(O48*'Datos varios'!$E$119)/A48-1,(O48*'Datos varios'!$E$120)/A48-1,(O48*'Datos varios'!$E$121)/A48-1,(O48*'Datos varios'!$E$122)/A48-1,(O48*'Datos varios'!$E$123)/A48-1,"-")</f>
        <v>-</v>
      </c>
      <c r="T48" s="1200" t="str">
        <f>IF(C48="-","-",IF(C48="full range","-",IF('Incert. Cal. Mon.'!DG39&gt;=10%,ROUNDUP('Incert. Cal. Mon.'!DG39,2),ROUNDUP('Incert. Cal. Mon.'!DG39,3))))</f>
        <v>-</v>
      </c>
      <c r="U48" s="1200" t="str">
        <f>IF(O48="full range","OUT",CHOOSE(V48,IF(AND(O48&lt;=(A48+10/100*A48),O48&gt;=(A48-10/100*A48),T48&lt;=10%),"OK","OUT"),IF(AND(O48*1000&lt;=(A48+10/100*A48),O48*1000&gt;=(A48-10/100*A48),T48&lt;=10%),"OK","OUT"),IF(AND(O48*1000000&lt;=(A48+10/100*A48),O48*1000000&gt;=(A48-10/100*A48),T48&lt;=10%),"OK","OUT"),IF(AND(O48*'Datos varios'!$E$119&lt;=(A48+10/100*A48),O48*'Datos varios'!$E$119&gt;=(A48-10/100*A48),T48&lt;=10%),"OK","OUT"),IF(AND(O48*'Datos varios'!$E$120&lt;=(A48+10/100*A48),O48*'Datos varios'!$E$120&gt;=(A48-10/100*A48),T48&lt;=10%),"OK","OUT"),IF(AND(O48*'Datos varios'!$E$121&lt;=(A48+10/100*A48),O48*'Datos varios'!$E$121&gt;=(A48-10/100*A48),T48&lt;=10%),"OK","OUT"),IF(AND(O48*'Datos varios'!$E$122&lt;=(A48+10/100*A48),O48*'Datos varios'!$E$122&gt;=(A48-10/100*A48),T48&lt;=10%),"OK","OUT"),IF(AND(O48*'Datos varios'!$E$123&lt;=(A48+10/100*A48),O48*'Datos varios'!$E$123&gt;=(A48-10/100*A48),T48&lt;=10%),"OK","OUT"),"-"))</f>
        <v>-</v>
      </c>
      <c r="V48" s="87">
        <f t="shared" si="3"/>
        <v>9</v>
      </c>
      <c r="W48" s="1768">
        <v>0</v>
      </c>
    </row>
    <row r="49" spans="1:23" ht="16.5" thickTop="1" thickBot="1" x14ac:dyDescent="0.3">
      <c r="A49" s="1161" t="str">
        <f>IF(A48="-","-",IF($I$24="Tasa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49" s="1186" t="str">
        <f>IF(A48="-","-","Después del ajuste")</f>
        <v>-</v>
      </c>
      <c r="C49" s="1437" t="s">
        <v>93</v>
      </c>
      <c r="D49" s="1703" t="s">
        <v>93</v>
      </c>
      <c r="E49" s="1703" t="s">
        <v>93</v>
      </c>
      <c r="F49" s="1703" t="s">
        <v>93</v>
      </c>
      <c r="G49" s="1703" t="s">
        <v>93</v>
      </c>
      <c r="H49" s="1703" t="s">
        <v>93</v>
      </c>
      <c r="I49" s="1703" t="s">
        <v>93</v>
      </c>
      <c r="J49" s="1703" t="s">
        <v>93</v>
      </c>
      <c r="K49" s="1703" t="s">
        <v>93</v>
      </c>
      <c r="L49" s="1438" t="s">
        <v>93</v>
      </c>
      <c r="M49" s="1439" t="s">
        <v>93</v>
      </c>
      <c r="N49" s="1249" t="s">
        <v>93</v>
      </c>
      <c r="O49" s="1260" t="str">
        <f t="shared" si="4"/>
        <v>-</v>
      </c>
      <c r="P49" s="1005" t="str">
        <f t="shared" si="1"/>
        <v>-</v>
      </c>
      <c r="Q49" s="1005" t="str">
        <f t="shared" si="2"/>
        <v>-</v>
      </c>
      <c r="R49" s="1189" t="str">
        <f>CHOOSE(V49,A48/O49,A48/(O49*1000),A48/(O49*1000000),A48/(O49*'Datos varios'!$E$119),A48/(O49*'Datos varios'!$E$120),A48/(O49*'Datos varios'!$E$121),A48/(O49*'Datos varios'!$E$122),A48/(O49*'Datos varios'!$E$123),"-",A48/O49,A48/O49)</f>
        <v>-</v>
      </c>
      <c r="S49" s="1297" t="str">
        <f>CHOOSE(V49,O49/A48-1,(O49*1000)/A48-1,(O49*1000000)/A48-1,(O49*'Datos varios'!$E$119)/A48-1,(O49*'Datos varios'!$E$120)/A48-1,(O49*'Datos varios'!$E$121)/A48-1,(O49*'Datos varios'!$E$122)/A48-1,(O49*'Datos varios'!$E$123)/A48-1,"-")</f>
        <v>-</v>
      </c>
      <c r="T49" s="1201" t="str">
        <f>IF(C49="-","-",IF(C49="full range","-",IF('Incert. Cal. Mon.'!DN39&gt;=10%,ROUNDUP('Incert. Cal. Mon.'!DN39,2),ROUNDUP('Incert. Cal. Mon.'!DN39,3))))</f>
        <v>-</v>
      </c>
      <c r="U49" s="1190" t="str">
        <f>IF(O49="full range","OUT",CHOOSE(V49,IF(AND(O49&lt;=(A48+10/100*A48),O49&gt;=(A48-10/100*A48),T49&lt;=10%),"OK","OUT"),IF(AND(O49*1000&lt;=(A48+10/100*A48),O49*1000&gt;=(A48-10/100*A48),T49&lt;=10%),"OK","OUT"),IF(AND(O49*1000000&lt;=(A48+10/100*A48),O49*1000000&gt;=(A48-10/100*A48),T49&lt;=10%),"OK","OUT"),IF(AND(O49*'Datos varios'!$E$119&lt;=(A48+10/100*A48),O49*'Datos varios'!$E$119&gt;=(A48-10/100*A48),T49&lt;=10%),"OK","OUT"),IF(AND(O49*'Datos varios'!$E$120&lt;=(A48+10/100*A48),O49*'Datos varios'!$E$120&gt;=(A48-10/100*A48),T49&lt;=10%),"OK","OUT"),IF(AND(O49*'Datos varios'!$E$121&lt;=(A48+10/100*A48),O49*'Datos varios'!$E$121&gt;=(A48-10/100*A48),T49&lt;=10%),"OK","OUT"),IF(AND(O49*'Datos varios'!$E$122&lt;=(A48+10/100*A48),O49*'Datos varios'!$E$122&gt;=(A48-10/100*A48),T49&lt;=10%),"OK","OUT"),IF(AND(O49*'Datos varios'!$E$123&lt;=(A48+10/100*A48),O49*'Datos varios'!$E$123&gt;=(A48-10/100*A48),T49&lt;=10%),"OK","OUT"),"-"))</f>
        <v>-</v>
      </c>
      <c r="V49" s="87">
        <f t="shared" si="3"/>
        <v>9</v>
      </c>
      <c r="W49" s="1768">
        <v>0</v>
      </c>
    </row>
    <row r="50" spans="1:23" ht="15.75" thickBot="1" x14ac:dyDescent="0.3">
      <c r="A50" s="1162" t="str">
        <f>IF('F-LSCD-003'!D25="-","-",'F-LSCD-003'!D25*1000000)</f>
        <v>-</v>
      </c>
      <c r="B50" s="1187" t="str">
        <f>IF(A50="-","-","Antes del ajuste")</f>
        <v>-</v>
      </c>
      <c r="C50" s="1243" t="s">
        <v>93</v>
      </c>
      <c r="D50" s="1244" t="s">
        <v>93</v>
      </c>
      <c r="E50" s="1244" t="s">
        <v>93</v>
      </c>
      <c r="F50" s="1244" t="s">
        <v>93</v>
      </c>
      <c r="G50" s="1244" t="s">
        <v>93</v>
      </c>
      <c r="H50" s="1244" t="s">
        <v>93</v>
      </c>
      <c r="I50" s="1244" t="s">
        <v>93</v>
      </c>
      <c r="J50" s="1244" t="s">
        <v>93</v>
      </c>
      <c r="K50" s="1244" t="s">
        <v>93</v>
      </c>
      <c r="L50" s="1245" t="s">
        <v>93</v>
      </c>
      <c r="M50" s="1263" t="s">
        <v>93</v>
      </c>
      <c r="N50" s="1246" t="s">
        <v>93</v>
      </c>
      <c r="O50" s="1444" t="str">
        <f t="shared" si="4"/>
        <v>-</v>
      </c>
      <c r="P50" s="1195" t="str">
        <f t="shared" si="1"/>
        <v>-</v>
      </c>
      <c r="Q50" s="1195" t="str">
        <f t="shared" si="2"/>
        <v>-</v>
      </c>
      <c r="R50" s="1196" t="str">
        <f>CHOOSE(V50,A50/O50,A50/(O50*1000),A50/(O50*1000000),A50/(O50*'Datos varios'!$E$119),A50/(O50*'Datos varios'!$E$120),A50/(O50*'Datos varios'!$E$121),A50/(O50*'Datos varios'!$E$122),A50/(O50*'Datos varios'!$E$123),"-",A50/O50,A50/O50)</f>
        <v>-</v>
      </c>
      <c r="S50" s="1292" t="str">
        <f>CHOOSE(V50,O50/A50-1,(O50*1000)/A50-1,(O50*1000000)/A50-1,(O50*'Datos varios'!$E$119)/A50-1,(O50*'Datos varios'!$E$120)/A50-1,(O50*'Datos varios'!$E$121)/A50-1,(O50*'Datos varios'!$E$122)/A50-1,(O50*'Datos varios'!$E$123)/A50-1,"-")</f>
        <v>-</v>
      </c>
      <c r="T50" s="1197" t="str">
        <f>IF(C50="-","-",IF(C50="full range","-",IF('Incert. Cal. Mon.'!DU39&gt;=10%,ROUNDUP('Incert. Cal. Mon.'!DU39,2),ROUNDUP('Incert. Cal. Mon.'!DU39,3))))</f>
        <v>-</v>
      </c>
      <c r="U50" s="1197" t="str">
        <f>IF(O50="full range","OUT",CHOOSE(V50,IF(AND(O50&lt;=(A50+10/100*A50),O50&gt;=(A50-10/100*A50),T50&lt;=10%),"OK","OUT"),IF(AND(O50*1000&lt;=(A50+10/100*A50),O50*1000&gt;=(A50-10/100*A50),T50&lt;=10%),"OK","OUT"),IF(AND(O50*1000000&lt;=(A50+10/100*A50),O50*1000000&gt;=(A50-10/100*A50),T50&lt;=10%),"OK","OUT"),IF(AND(O50*'Datos varios'!$E$119&lt;=(A50+10/100*A50),O50*'Datos varios'!$E$119&gt;=(A50-10/100*A50),T50&lt;=10%),"OK","OUT"),IF(AND(O50*'Datos varios'!$E$120&lt;=(A50+10/100*A50),O50*'Datos varios'!$E$120&gt;=(A50-10/100*A50),T50&lt;=10%),"OK","OUT"),IF(AND(O50*'Datos varios'!$E$121&lt;=(A50+10/100*A50),O50*'Datos varios'!$E$121&gt;=(A50-10/100*A50),T50&lt;=10%),"OK","OUT"),IF(AND(O50*'Datos varios'!$E$122&lt;=(A50+10/100*A50),O50*'Datos varios'!$E$122&gt;=(A50-10/100*A50),T50&lt;=10%),"OK","OUT"),IF(AND(O50*'Datos varios'!$E$123&lt;=(A50+10/100*A50),O50*'Datos varios'!$E$123&gt;=(A50-10/100*A50),T50&lt;=10%),"OK","OUT"),"-"))</f>
        <v>-</v>
      </c>
      <c r="V50" s="87">
        <f t="shared" si="3"/>
        <v>9</v>
      </c>
      <c r="W50" s="1768">
        <v>0</v>
      </c>
    </row>
    <row r="51" spans="1:23" ht="16.5" thickTop="1" thickBot="1" x14ac:dyDescent="0.3">
      <c r="A51" s="1161" t="str">
        <f>IF(A50="-","-",IF($I$24="Tasa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51" s="1188" t="str">
        <f>IF(A50="-","-","Después del ajuste")</f>
        <v>-</v>
      </c>
      <c r="C51" s="1243" t="s">
        <v>93</v>
      </c>
      <c r="D51" s="1244" t="s">
        <v>93</v>
      </c>
      <c r="E51" s="1244" t="s">
        <v>93</v>
      </c>
      <c r="F51" s="1244" t="s">
        <v>93</v>
      </c>
      <c r="G51" s="1244" t="s">
        <v>93</v>
      </c>
      <c r="H51" s="1244" t="s">
        <v>93</v>
      </c>
      <c r="I51" s="1244" t="s">
        <v>93</v>
      </c>
      <c r="J51" s="1244" t="s">
        <v>93</v>
      </c>
      <c r="K51" s="1244" t="s">
        <v>93</v>
      </c>
      <c r="L51" s="1245" t="s">
        <v>93</v>
      </c>
      <c r="M51" s="1284" t="s">
        <v>93</v>
      </c>
      <c r="N51" s="1247" t="s">
        <v>93</v>
      </c>
      <c r="O51" s="1261" t="str">
        <f t="shared" si="4"/>
        <v>-</v>
      </c>
      <c r="P51" s="1191" t="str">
        <f t="shared" si="1"/>
        <v>-</v>
      </c>
      <c r="Q51" s="1191" t="str">
        <f t="shared" si="2"/>
        <v>-</v>
      </c>
      <c r="R51" s="1192" t="str">
        <f>CHOOSE(V51,A50/O51,A50/(O51*1000),A50/(O51*1000000),A50/(O51*'Datos varios'!$E$119),A50/(O51*'Datos varios'!$E$120),A50/(O51*'Datos varios'!$E$121),A50/(O51*'Datos varios'!$E$122),A50/(O51*'Datos varios'!$E$123),"-",A50/O51,A50/O51)</f>
        <v>-</v>
      </c>
      <c r="S51" s="1296" t="str">
        <f>CHOOSE(V51,O51/A50-1,(O51*1000)/A50-1,(O51*1000000)/A50-1,(O51*'Datos varios'!$E$119)/A50-1,(O51*'Datos varios'!$E$120)/A50-1,(O51*'Datos varios'!$E$121)/A50-1,(O51*'Datos varios'!$E$122)/A50-1,(O51*'Datos varios'!$E$123)/A50-1,"-")</f>
        <v>-</v>
      </c>
      <c r="T51" s="1194" t="str">
        <f>IF(C51="-","-",IF(C51="full range","-",IF('Incert. Cal. Mon.'!EB39&gt;=10%,ROUNDUP('Incert. Cal. Mon.'!EB39,2),ROUNDUP('Incert. Cal. Mon.'!EB39,3))))</f>
        <v>-</v>
      </c>
      <c r="U51" s="1193" t="str">
        <f>IF(O51="full range","OUT",CHOOSE(V51,IF(AND(O51&lt;=(A50+10/100*A50),O51&gt;=(A50-10/100*A50),T51&lt;=10%),"OK","OUT"),IF(AND(O51*1000&lt;=(A50+10/100*A50),O51*1000&gt;=(A50-10/100*A50),T51&lt;=10%),"OK","OUT"),IF(AND(O51*1000000&lt;=(A50+10/100*A50),O51*1000000&gt;=(A50-10/100*A50),T51&lt;=10%),"OK","OUT"),IF(AND(O51*'Datos varios'!$E$119&lt;=(A50+10/100*A50),O51*'Datos varios'!$E$119&gt;=(A50-10/100*A50),T51&lt;=10%),"OK","OUT"),IF(AND(O51*'Datos varios'!$E$120&lt;=(A50+10/100*A50),O51*'Datos varios'!$E$120&gt;=(A50-10/100*A50),T51&lt;=10%),"OK","OUT"),IF(AND(O51*'Datos varios'!$E$121&lt;=(A50+10/100*A50),O51*'Datos varios'!$E$121&gt;=(A50-10/100*A50),T51&lt;=10%),"OK","OUT"),IF(AND(O51*'Datos varios'!$E$122&lt;=(A50+10/100*A50),O51*'Datos varios'!$E$122&gt;=(A50-10/100*A50),T51&lt;=10%),"OK","OUT"),IF(AND(O51*'Datos varios'!$E$123&lt;=(A50+10/100*A50),O51*'Datos varios'!$E$123&gt;=(A50-10/100*A50),T51&lt;=10%),"OK","OUT"),"-"))</f>
        <v>-</v>
      </c>
      <c r="V51" s="87">
        <f t="shared" si="3"/>
        <v>9</v>
      </c>
      <c r="W51" s="1768">
        <v>0</v>
      </c>
    </row>
    <row r="52" spans="1:23" ht="15.75" thickBot="1" x14ac:dyDescent="0.3">
      <c r="A52" s="1162" t="str">
        <f>IF('F-LSCD-003'!D26="-","-",'F-LSCD-003'!D26*1000000)</f>
        <v>-</v>
      </c>
      <c r="B52" s="1185" t="str">
        <f>IF(A52="-","-","Antes del ajuste")</f>
        <v>-</v>
      </c>
      <c r="C52" s="1268" t="s">
        <v>93</v>
      </c>
      <c r="D52" s="1269" t="s">
        <v>93</v>
      </c>
      <c r="E52" s="1269" t="s">
        <v>93</v>
      </c>
      <c r="F52" s="1269" t="s">
        <v>93</v>
      </c>
      <c r="G52" s="1269" t="s">
        <v>93</v>
      </c>
      <c r="H52" s="1269" t="s">
        <v>93</v>
      </c>
      <c r="I52" s="1269" t="s">
        <v>93</v>
      </c>
      <c r="J52" s="1269" t="s">
        <v>93</v>
      </c>
      <c r="K52" s="1269" t="s">
        <v>93</v>
      </c>
      <c r="L52" s="1270" t="s">
        <v>93</v>
      </c>
      <c r="M52" s="1271" t="s">
        <v>93</v>
      </c>
      <c r="N52" s="1248" t="s">
        <v>93</v>
      </c>
      <c r="O52" s="1198" t="str">
        <f t="shared" si="4"/>
        <v>-</v>
      </c>
      <c r="P52" s="1198" t="str">
        <f t="shared" si="1"/>
        <v>-</v>
      </c>
      <c r="Q52" s="1198" t="str">
        <f t="shared" si="2"/>
        <v>-</v>
      </c>
      <c r="R52" s="1199" t="str">
        <f>CHOOSE(V52,A52/O52,A52/(O52*1000),A52/(O52*1000000),A52/(O52*'Datos varios'!$E$119),A52/(O52*'Datos varios'!$E$120),A52/(O52*'Datos varios'!$E$121),A52/(O52*'Datos varios'!$E$122),A52/(O52*'Datos varios'!$E$123),"-",A52/O52,A52/O52)</f>
        <v>-</v>
      </c>
      <c r="S52" s="1294" t="str">
        <f>CHOOSE(V52,O52/A52-1,(O52*1000)/A52-1,(O52*1000000)/A52-1,(O52*'Datos varios'!$E$119)/A52-1,(O52*'Datos varios'!$E$120)/A52-1,(O52*'Datos varios'!$E$121)/A52-1,(O52*'Datos varios'!$E$122)/A52-1,(O52*'Datos varios'!$E$123)/A52-1,"-")</f>
        <v>-</v>
      </c>
      <c r="T52" s="1200" t="str">
        <f>IF(C52="-","-",IF(C52="full range","-",IF('Incert. Cal. Mon.'!EI39&gt;=10%,ROUNDUP('Incert. Cal. Mon.'!EI39,2),ROUNDUP('Incert. Cal. Mon.'!EI39,3))))</f>
        <v>-</v>
      </c>
      <c r="U52" s="1200" t="str">
        <f>IF(O52="full range","OUT",CHOOSE(V52,IF(AND(O52&lt;=(A52+10/100*A52),O52&gt;=(A52-10/100*A52),T52&lt;=10%),"OK","OUT"),IF(AND(O52*1000&lt;=(A52+10/100*A52),O52*1000&gt;=(A52-10/100*A52),T52&lt;=10%),"OK","OUT"),IF(AND(O52*1000000&lt;=(A52+10/100*A52),O52*1000000&gt;=(A52-10/100*A52),T52&lt;=10%),"OK","OUT"),IF(AND(O52*'Datos varios'!$E$119&lt;=(A52+10/100*A52),O52*'Datos varios'!$E$119&gt;=(A52-10/100*A52),T52&lt;=10%),"OK","OUT"),IF(AND(O52*'Datos varios'!$E$120&lt;=(A52+10/100*A52),O52*'Datos varios'!$E$120&gt;=(A52-10/100*A52),T52&lt;=10%),"OK","OUT"),IF(AND(O52*'Datos varios'!$E$121&lt;=(A52+10/100*A52),O52*'Datos varios'!$E$121&gt;=(A52-10/100*A52),T52&lt;=10%),"OK","OUT"),IF(AND(O52*'Datos varios'!$E$122&lt;=(A52+10/100*A52),O52*'Datos varios'!$E$122&gt;=(A52-10/100*A52),T52&lt;=10%),"OK","OUT"),IF(AND(O52*'Datos varios'!$E$123&lt;=(A52+10/100*A52),O52*'Datos varios'!$E$123&gt;=(A52-10/100*A52),T52&lt;=10%),"OK","OUT"),"-"))</f>
        <v>-</v>
      </c>
      <c r="V52" s="87">
        <f t="shared" si="3"/>
        <v>9</v>
      </c>
      <c r="W52" s="1768">
        <v>0</v>
      </c>
    </row>
    <row r="53" spans="1:23" ht="16.5" thickTop="1" thickBot="1" x14ac:dyDescent="0.3">
      <c r="A53" s="1161" t="str">
        <f>IF(A52="-","-",IF($I$24="Tasa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53" s="1186" t="str">
        <f>IF(A52="-","-","Después del ajuste")</f>
        <v>-</v>
      </c>
      <c r="C53" s="1240" t="s">
        <v>93</v>
      </c>
      <c r="D53" s="1241" t="s">
        <v>93</v>
      </c>
      <c r="E53" s="1241" t="s">
        <v>93</v>
      </c>
      <c r="F53" s="1241" t="s">
        <v>93</v>
      </c>
      <c r="G53" s="1241" t="s">
        <v>93</v>
      </c>
      <c r="H53" s="1241" t="s">
        <v>93</v>
      </c>
      <c r="I53" s="1241" t="s">
        <v>93</v>
      </c>
      <c r="J53" s="1241" t="s">
        <v>93</v>
      </c>
      <c r="K53" s="1241" t="s">
        <v>93</v>
      </c>
      <c r="L53" s="1242" t="s">
        <v>93</v>
      </c>
      <c r="M53" s="1282" t="s">
        <v>93</v>
      </c>
      <c r="N53" s="1249" t="s">
        <v>93</v>
      </c>
      <c r="O53" s="1260" t="str">
        <f t="shared" si="4"/>
        <v>-</v>
      </c>
      <c r="P53" s="1005" t="str">
        <f t="shared" si="1"/>
        <v>-</v>
      </c>
      <c r="Q53" s="1005" t="str">
        <f t="shared" si="2"/>
        <v>-</v>
      </c>
      <c r="R53" s="1189" t="str">
        <f>CHOOSE(V53,A52/O53,A52/(O53*1000),A52/(O53*1000000),A52/(O53*'Datos varios'!$E$119),A52/(O53*'Datos varios'!$E$120),A52/(O53*'Datos varios'!$E$121),A52/(O53*'Datos varios'!$E$122),A52/(O53*'Datos varios'!$E$123),"-",A52/O53,A52/O53)</f>
        <v>-</v>
      </c>
      <c r="S53" s="1297" t="str">
        <f>CHOOSE(V53,O53/A52-1,(O53*1000)/A52-1,(O53*1000000)/A52-1,(O53*'Datos varios'!$E$119)/A52-1,(O53*'Datos varios'!$E$120)/A52-1,(O53*'Datos varios'!$E$121)/A52-1,(O53*'Datos varios'!$E$122)/A52-1,(O53*'Datos varios'!$E$123)/A52-1,"-")</f>
        <v>-</v>
      </c>
      <c r="T53" s="1201" t="str">
        <f>IF(C53="-","-",IF(C53="full range","-",IF('Incert. Cal. Mon.'!EP39&gt;=10%,ROUND('Incert. Cal. Mon.'!EP39,2),ROUND('Incert. Cal. Mon.'!EP39,3))))</f>
        <v>-</v>
      </c>
      <c r="U53" s="1190" t="str">
        <f>IF(O53="full range","OUT",CHOOSE(V53,IF(AND(O53&lt;=(A52+10/100*A52),O53&gt;=(A52-10/100*A52),T53&lt;=10%),"OK","OUT"),IF(AND(O53*1000&lt;=(A52+10/100*A52),O53*1000&gt;=(A52-10/100*A52),T53&lt;=10%),"OK","OUT"),IF(AND(O53*1000000&lt;=(A52+10/100*A52),O53*1000000&gt;=(A52-10/100*A52),T53&lt;=10%),"OK","OUT"),IF(AND(O53*'Datos varios'!$E$119&lt;=(A52+10/100*A52),O53*'Datos varios'!$E$119&gt;=(A52-10/100*A52),T53&lt;=10%),"OK","OUT"),IF(AND(O53*'Datos varios'!$E$120&lt;=(A52+10/100*A52),O53*'Datos varios'!$E$120&gt;=(A52-10/100*A52),T53&lt;=10%),"OK","OUT"),IF(AND(O53*'Datos varios'!$E$121&lt;=(A52+10/100*A52),O53*'Datos varios'!$E$121&gt;=(A52-10/100*A52),T53&lt;=10%),"OK","OUT"),IF(AND(O53*'Datos varios'!$E$122&lt;=(A52+10/100*A52),O53*'Datos varios'!$E$122&gt;=(A52-10/100*A52),T53&lt;=10%),"OK","OUT"),IF(AND(O53*'Datos varios'!$E$123&lt;=(A52+10/100*A52),O53*'Datos varios'!$E$123&gt;=(A52-10/100*A52),T53&lt;=10%),"OK","OUT"),"-"))</f>
        <v>-</v>
      </c>
      <c r="V53" s="87">
        <f t="shared" si="3"/>
        <v>9</v>
      </c>
      <c r="W53" s="1768" t="s">
        <v>93</v>
      </c>
    </row>
    <row r="54" spans="1:23" ht="15.75" thickBot="1" x14ac:dyDescent="0.3">
      <c r="A54" s="1162" t="str">
        <f>IF('F-LSCD-003'!D27="-","-",'F-LSCD-003'!D27*1000000)</f>
        <v>-</v>
      </c>
      <c r="B54" s="1187" t="str">
        <f>IF(A54="-","-","Antes del ajuste")</f>
        <v>-</v>
      </c>
      <c r="C54" s="1243" t="s">
        <v>93</v>
      </c>
      <c r="D54" s="1244" t="s">
        <v>93</v>
      </c>
      <c r="E54" s="1244" t="s">
        <v>93</v>
      </c>
      <c r="F54" s="1244" t="s">
        <v>93</v>
      </c>
      <c r="G54" s="1244" t="s">
        <v>93</v>
      </c>
      <c r="H54" s="1244" t="s">
        <v>93</v>
      </c>
      <c r="I54" s="1244" t="s">
        <v>93</v>
      </c>
      <c r="J54" s="1244" t="s">
        <v>93</v>
      </c>
      <c r="K54" s="1244" t="s">
        <v>93</v>
      </c>
      <c r="L54" s="1245" t="s">
        <v>93</v>
      </c>
      <c r="M54" s="1263" t="s">
        <v>93</v>
      </c>
      <c r="N54" s="1246" t="s">
        <v>93</v>
      </c>
      <c r="O54" s="1195" t="str">
        <f t="shared" si="4"/>
        <v>-</v>
      </c>
      <c r="P54" s="1195" t="str">
        <f t="shared" si="1"/>
        <v>-</v>
      </c>
      <c r="Q54" s="1195" t="str">
        <f t="shared" si="2"/>
        <v>-</v>
      </c>
      <c r="R54" s="1196" t="str">
        <f>CHOOSE(V54,A54/O54,A54/(O54*1000),A54/(O54*1000000),A54/(O54*'Datos varios'!$E$119),A54/(O54*'Datos varios'!$E$120),A54/(O54*'Datos varios'!$E$121),A54/(O54*'Datos varios'!$E$122),A54/(O54*'Datos varios'!$E$123),"-",A54/O54,A54/O54)</f>
        <v>-</v>
      </c>
      <c r="S54" s="1292" t="str">
        <f>CHOOSE(V54,O54/A54-1,(O54*1000)/A54-1,(O54*1000000)/A54-1,(O54*'Datos varios'!$E$119)/A54-1,(O54*'Datos varios'!$E$120)/A54-1,(O54*'Datos varios'!$E$121)/A54-1,(O54*'Datos varios'!$E$122)/A54-1,(O54*'Datos varios'!$E$123)/A54-1,"-")</f>
        <v>-</v>
      </c>
      <c r="T54" s="1197" t="str">
        <f>IF(C54="-","-",IF(C54="full range","-",IF('Incert. Cal. Mon.'!EW39&gt;=10%,ROUNDUP('Incert. Cal. Mon.'!EW39,2),ROUNDUP('Incert. Cal. Mon.'!EW39,3))))</f>
        <v>-</v>
      </c>
      <c r="U54" s="1197" t="str">
        <f>IF(O54="full range","OUT",CHOOSE(V54,IF(AND(O54&lt;=(A54+10/100*A54),O54&gt;=(A54-10/100*A54),T54&lt;=10%),"OK","OUT"),IF(AND(O54*1000&lt;=(A54+10/100*A54),O54*1000&gt;=(A54-10/100*A54),T54&lt;=10%),"OK","OUT"),IF(AND(O54*1000000&lt;=(A54+10/100*A54),O54*1000000&gt;=(A54-10/100*A54),T54&lt;=10%),"OK","OUT"),IF(AND(O54*'Datos varios'!$E$119&lt;=(A54+10/100*A54),O54*'Datos varios'!$E$119&gt;=(A54-10/100*A54),T54&lt;=10%),"OK","OUT"),IF(AND(O54*'Datos varios'!$E$120&lt;=(A54+10/100*A54),O54*'Datos varios'!$E$120&gt;=(A54-10/100*A54),T54&lt;=10%),"OK","OUT"),IF(AND(O54*'Datos varios'!$E$121&lt;=(A54+10/100*A54),O54*'Datos varios'!$E$121&gt;=(A54-10/100*A54),T54&lt;=10%),"OK","OUT"),IF(AND(O54*'Datos varios'!$E$122&lt;=(A54+10/100*A54),O54*'Datos varios'!$E$122&gt;=(A54-10/100*A54),T54&lt;=10%),"OK","OUT"),IF(AND(O54*'Datos varios'!$E$123&lt;=(A54+10/100*A54),O54*'Datos varios'!$E$123&gt;=(A54-10/100*A54),T54&lt;=10%),"OK","OUT"),"-"))</f>
        <v>-</v>
      </c>
      <c r="V54" s="87">
        <f t="shared" si="3"/>
        <v>9</v>
      </c>
      <c r="W54" s="1768">
        <v>0</v>
      </c>
    </row>
    <row r="55" spans="1:23" ht="16.5" thickTop="1" thickBot="1" x14ac:dyDescent="0.3">
      <c r="A55" s="1161" t="str">
        <f>IF(A54="-","-",IF($I$24="Tasa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55" s="1188" t="str">
        <f>IF(A54="-","-","Después del ajuste")</f>
        <v>-</v>
      </c>
      <c r="C55" s="1283" t="s">
        <v>93</v>
      </c>
      <c r="D55" s="1285" t="s">
        <v>93</v>
      </c>
      <c r="E55" s="1285" t="s">
        <v>93</v>
      </c>
      <c r="F55" s="1285" t="s">
        <v>93</v>
      </c>
      <c r="G55" s="1285" t="s">
        <v>93</v>
      </c>
      <c r="H55" s="1285" t="s">
        <v>93</v>
      </c>
      <c r="I55" s="1285" t="s">
        <v>93</v>
      </c>
      <c r="J55" s="1285" t="s">
        <v>93</v>
      </c>
      <c r="K55" s="1285" t="s">
        <v>93</v>
      </c>
      <c r="L55" s="1286" t="s">
        <v>93</v>
      </c>
      <c r="M55" s="1284" t="s">
        <v>93</v>
      </c>
      <c r="N55" s="1247" t="s">
        <v>93</v>
      </c>
      <c r="O55" s="1261" t="str">
        <f t="shared" si="4"/>
        <v>-</v>
      </c>
      <c r="P55" s="1191" t="str">
        <f t="shared" si="1"/>
        <v>-</v>
      </c>
      <c r="Q55" s="1191" t="str">
        <f t="shared" si="2"/>
        <v>-</v>
      </c>
      <c r="R55" s="1192" t="str">
        <f>CHOOSE(V55,A54/O55,A54/(O55*1000),A54/(O55*1000000),A54/(O55*'Datos varios'!$E$119),A54/(O55*'Datos varios'!$E$120),A54/(O55*'Datos varios'!$E$121),A54/(O55*'Datos varios'!$E$122),A54/(O55*'Datos varios'!$E$123),"-",A54/O55,A54/O55)</f>
        <v>-</v>
      </c>
      <c r="S55" s="1296" t="str">
        <f>CHOOSE(V55,O55/A54-1,(O55*1000)/A54-1,(O55*1000000)/A54-1,(O55*'Datos varios'!$E$119)/A54-1,(O55*'Datos varios'!$E$120)/A54-1,(O55*'Datos varios'!$E$121)/A54-1,(O55*'Datos varios'!$E$122)/A54-1,(O55*'Datos varios'!$E$123)/A54-1,"-")</f>
        <v>-</v>
      </c>
      <c r="T55" s="1194" t="str">
        <f>IF(C55="-","-",IF(C55="full range","-",IF('Incert. Cal. Mon.'!FD39&gt;=10%,ROUNDUP('Incert. Cal. Mon.'!FD39,2),ROUNDUP('Incert. Cal. Mon.'!FD39,3))))</f>
        <v>-</v>
      </c>
      <c r="U55" s="1193" t="str">
        <f>IF(O55="full range","OUT",CHOOSE(V55,IF(AND(O55&lt;=(A54+10/100*A54),O55&gt;=(A54-10/100*A54),T55&lt;=10%),"OK","OUT"),IF(AND(O55*1000&lt;=(A54+10/100*A54),O55*1000&gt;=(A54-10/100*A54),T55&lt;=10%),"OK","OUT"),IF(AND(O55*1000000&lt;=(A54+10/100*A54),O55*1000000&gt;=(A54-10/100*A54),T55&lt;=10%),"OK","OUT"),IF(AND(O55*'Datos varios'!$E$119&lt;=(A54+10/100*A54),O55*'Datos varios'!$E$119&gt;=(A54-10/100*A54),T55&lt;=10%),"OK","OUT"),IF(AND(O55*'Datos varios'!$E$120&lt;=(A54+10/100*A54),O55*'Datos varios'!$E$120&gt;=(A54-10/100*A54),T55&lt;=10%),"OK","OUT"),IF(AND(O55*'Datos varios'!$E$121&lt;=(A54+10/100*A54),O55*'Datos varios'!$E$121&gt;=(A54-10/100*A54),T55&lt;=10%),"OK","OUT"),IF(AND(O55*'Datos varios'!$E$122&lt;=(A54+10/100*A54),O55*'Datos varios'!$E$122&gt;=(A54-10/100*A54),T55&lt;=10%),"OK","OUT"),IF(AND(O55*'Datos varios'!$E$123&lt;=(A54+10/100*A54),O55*'Datos varios'!$E$123&gt;=(A54-10/100*A54),T55&lt;=10%),"OK","OUT"),"-"))</f>
        <v>-</v>
      </c>
      <c r="V55" s="87">
        <f t="shared" si="3"/>
        <v>9</v>
      </c>
      <c r="W55" s="1768" t="s">
        <v>93</v>
      </c>
    </row>
    <row r="56" spans="1:23" ht="15.75" thickBot="1" x14ac:dyDescent="0.3">
      <c r="A56" s="1162" t="str">
        <f>IF('F-LSCD-003'!D28="-","-",'F-LSCD-003'!D28*1000000)</f>
        <v>-</v>
      </c>
      <c r="B56" s="1185" t="str">
        <f>IF(A56="-","-","Antes del ajuste")</f>
        <v>-</v>
      </c>
      <c r="C56" s="1268" t="s">
        <v>93</v>
      </c>
      <c r="D56" s="1269" t="s">
        <v>93</v>
      </c>
      <c r="E56" s="1269" t="s">
        <v>93</v>
      </c>
      <c r="F56" s="1269" t="s">
        <v>93</v>
      </c>
      <c r="G56" s="1269" t="s">
        <v>93</v>
      </c>
      <c r="H56" s="1269" t="s">
        <v>93</v>
      </c>
      <c r="I56" s="1269" t="s">
        <v>93</v>
      </c>
      <c r="J56" s="1269" t="s">
        <v>93</v>
      </c>
      <c r="K56" s="1269" t="s">
        <v>93</v>
      </c>
      <c r="L56" s="1270" t="s">
        <v>93</v>
      </c>
      <c r="M56" s="1271" t="s">
        <v>93</v>
      </c>
      <c r="N56" s="1248" t="s">
        <v>93</v>
      </c>
      <c r="O56" s="1198" t="str">
        <f t="shared" si="4"/>
        <v>-</v>
      </c>
      <c r="P56" s="1198" t="str">
        <f t="shared" si="1"/>
        <v>-</v>
      </c>
      <c r="Q56" s="1198" t="str">
        <f t="shared" si="2"/>
        <v>-</v>
      </c>
      <c r="R56" s="1199" t="str">
        <f>CHOOSE(V56,A56/O56,A56/(O56*1000),A56/(O56*1000000),A56/(O56*'Datos varios'!$E$119),A56/(O56*'Datos varios'!$E$120),A56/(O56*'Datos varios'!$E$121),A56/(O56*'Datos varios'!$E$122),A56/(O56*'Datos varios'!$E$123),"-",A56/O56,A56/O56)</f>
        <v>-</v>
      </c>
      <c r="S56" s="1294" t="str">
        <f>CHOOSE(V56,O56/A56-1,(O56*1000)/A56-1,(O56*1000000)/A56-1,(O56*'Datos varios'!$E$119)/A56-1,(O56*'Datos varios'!$E$120)/A56-1,(O56*'Datos varios'!$E$121)/A56-1,(O56*'Datos varios'!$E$122)/A56-1,(O56*'Datos varios'!$E$123)/A56-1,"-")</f>
        <v>-</v>
      </c>
      <c r="T56" s="1200" t="str">
        <f>IF(C56="-","-",IF(C56="full range","-",IF('Incert. Cal. Mon.'!FK39&gt;=10%,ROUNDUP('Incert. Cal. Mon.'!FK39,2),ROUNDUP('Incert. Cal. Mon.'!FK39,3))))</f>
        <v>-</v>
      </c>
      <c r="U56" s="1200" t="str">
        <f>IF(O56="full range","OUT",CHOOSE(V56,IF(AND(O56&lt;=(A56+10/100*A56),O56&gt;=(A56-10/100*A56),T56&lt;=10%),"OK","OUT"),IF(AND(O56*1000&lt;=(A56+10/100*A56),O56*1000&gt;=(A56-10/100*A56),T56&lt;=10%),"OK","OUT"),IF(AND(O56*1000000&lt;=(A56+10/100*A56),O56*1000000&gt;=(A56-10/100*A56),T56&lt;=10%),"OK","OUT"),IF(AND(O56*'Datos varios'!$E$119&lt;=(A56+10/100*A56),O56*'Datos varios'!$E$119&gt;=(A56-10/100*A56),T56&lt;=10%),"OK","OUT"),IF(AND(O56*'Datos varios'!$E$120&lt;=(A56+10/100*A56),O56*'Datos varios'!$E$120&gt;=(A56-10/100*A56),T56&lt;=10%),"OK","OUT"),IF(AND(O56*'Datos varios'!$E$121&lt;=(A56+10/100*A56),O56*'Datos varios'!$E$121&gt;=(A56-10/100*A56),T56&lt;=10%),"OK","OUT"),IF(AND(O56*'Datos varios'!$E$122&lt;=(A56+10/100*A56),O56*'Datos varios'!$E$122&gt;=(A56-10/100*A56),T56&lt;=10%),"OK","OUT"),IF(AND(O56*'Datos varios'!$E$123&lt;=(A56+10/100*A56),O56*'Datos varios'!$E$123&gt;=(A56-10/100*A56),T56&lt;=10%),"OK","OUT"),"-"))</f>
        <v>-</v>
      </c>
      <c r="V56" s="87">
        <f t="shared" si="3"/>
        <v>9</v>
      </c>
      <c r="W56" s="1768">
        <v>0</v>
      </c>
    </row>
    <row r="57" spans="1:23" ht="16.5" thickTop="1" thickBot="1" x14ac:dyDescent="0.3">
      <c r="A57" s="1161" t="str">
        <f>IF(A56="-","-",IF($I$24="Tasa de dosis equivalente ambiental, H*(10)","µSv/h",IF(OR($I$24="Dosis equivalente personal, Hp(10)",$I$24="Dosis equivalente personal, Hp(0,07)"),"µSv",IF($I$24="Dosis absorbida, D(10)","mGy","Selec. equipo"))))</f>
        <v>-</v>
      </c>
      <c r="B57" s="1186" t="str">
        <f>IF(A56="-","-","Después del ajuste")</f>
        <v>-</v>
      </c>
      <c r="C57" s="1240" t="s">
        <v>93</v>
      </c>
      <c r="D57" s="1241" t="s">
        <v>93</v>
      </c>
      <c r="E57" s="1241" t="s">
        <v>93</v>
      </c>
      <c r="F57" s="1241" t="s">
        <v>93</v>
      </c>
      <c r="G57" s="1241" t="s">
        <v>93</v>
      </c>
      <c r="H57" s="1241" t="s">
        <v>93</v>
      </c>
      <c r="I57" s="1241" t="s">
        <v>93</v>
      </c>
      <c r="J57" s="1241" t="s">
        <v>93</v>
      </c>
      <c r="K57" s="1241" t="s">
        <v>93</v>
      </c>
      <c r="L57" s="1242" t="s">
        <v>93</v>
      </c>
      <c r="M57" s="1282" t="s">
        <v>93</v>
      </c>
      <c r="N57" s="1249" t="s">
        <v>93</v>
      </c>
      <c r="O57" s="1260" t="str">
        <f t="shared" si="4"/>
        <v>-</v>
      </c>
      <c r="P57" s="1005" t="str">
        <f t="shared" si="1"/>
        <v>-</v>
      </c>
      <c r="Q57" s="1005" t="str">
        <f t="shared" si="2"/>
        <v>-</v>
      </c>
      <c r="R57" s="1189" t="str">
        <f>CHOOSE(V57,A56/O57,A56/(O57*1000),A56/(O57*1000000),A56/(O57*'Datos varios'!$E$119),A56/(O57*'Datos varios'!$E$120),A56/(O57*'Datos varios'!$E$121),A56/(O57*'Datos varios'!$E$122),A56/(O57*'Datos varios'!$E$123),"-",A56/O57,A56/O57)</f>
        <v>-</v>
      </c>
      <c r="S57" s="1297" t="str">
        <f>CHOOSE(V57,O57/A56-1,(O57*1000)/A56-1,(O57*1000000)/A56-1,(O57*'Datos varios'!$E$119)/A56-1,(O57*'Datos varios'!$E$120)/A56-1,(O57*'Datos varios'!$E$121)/A56-1,(O57*'Datos varios'!$E$122)/A56-1,(O57*'Datos varios'!$E$123)/A56-1,"-")</f>
        <v>-</v>
      </c>
      <c r="T57" s="1201" t="str">
        <f>IF(C57="-","-",IF(C57="full range","-",IF('Incert. Cal. Mon.'!FR39&gt;=10%,ROUNDUP('Incert. Cal. Mon.'!FR39,2),ROUNDUP('Incert. Cal. Mon.'!FR39,3))))</f>
        <v>-</v>
      </c>
      <c r="U57" s="1190" t="str">
        <f>IF(O57="full range","OUT",CHOOSE(V57,IF(AND(O57&lt;=(A56+10/100*A56),O57&gt;=(A56-10/100*A56),T57&lt;=10%),"OK","OUT"),IF(AND(O57*1000&lt;=(A56+10/100*A56),O57*1000&gt;=(A56-10/100*A56),T57&lt;=10%),"OK","OUT"),IF(AND(O57*1000000&lt;=(A56+10/100*A56),O57*1000000&gt;=(A56-10/100*A56),T57&lt;=10%),"OK","OUT"),IF(AND(O57*'Datos varios'!$E$119&lt;=(A56+10/100*A56),O57*'Datos varios'!$E$119&gt;=(A56-10/100*A56),T57&lt;=10%),"OK","OUT"),IF(AND(O57*'Datos varios'!$E$120&lt;=(A56+10/100*A56),O57*'Datos varios'!$E$120&gt;=(A56-10/100*A56),T57&lt;=10%),"OK","OUT"),IF(AND(O57*'Datos varios'!$E$121&lt;=(A56+10/100*A56),O57*'Datos varios'!$E$121&gt;=(A56-10/100*A56),T57&lt;=10%),"OK","OUT"),IF(AND(O57*'Datos varios'!$E$122&lt;=(A56+10/100*A56),O57*'Datos varios'!$E$122&gt;=(A56-10/100*A56),T57&lt;=10%),"OK","OUT"),IF(AND(O57*'Datos varios'!$E$123&lt;=(A56+10/100*A56),O57*'Datos varios'!$E$123&gt;=(A56-10/100*A56),T57&lt;=10%),"OK","OUT"),"-"))</f>
        <v>-</v>
      </c>
      <c r="V57" s="87">
        <f t="shared" si="3"/>
        <v>9</v>
      </c>
      <c r="W57" s="1768" t="s">
        <v>93</v>
      </c>
    </row>
    <row r="58" spans="1:23" ht="15.75" thickBot="1" x14ac:dyDescent="0.3">
      <c r="A58" s="217"/>
    </row>
    <row r="59" spans="1:23" ht="15.75" thickBot="1" x14ac:dyDescent="0.3">
      <c r="C59" s="2375" t="s">
        <v>827</v>
      </c>
      <c r="D59" s="2376"/>
      <c r="E59" s="2376"/>
      <c r="F59" s="2376"/>
      <c r="G59" s="2376"/>
      <c r="H59" s="2377"/>
      <c r="J59" s="2375" t="s">
        <v>828</v>
      </c>
      <c r="K59" s="2376"/>
      <c r="L59" s="2376"/>
      <c r="M59" s="2376"/>
      <c r="N59" s="2376"/>
      <c r="O59" s="2377"/>
      <c r="P59" s="219"/>
      <c r="Q59" s="2399" t="s">
        <v>1075</v>
      </c>
      <c r="R59" s="2400"/>
      <c r="S59" s="2400"/>
      <c r="T59" s="2401"/>
    </row>
    <row r="60" spans="1:23" ht="30.75" thickBot="1" x14ac:dyDescent="0.3">
      <c r="C60" s="1250" t="str">
        <f>"Rango "&amp;"("&amp;F24&amp;")"</f>
        <v>Rango (mSv/h)</v>
      </c>
      <c r="D60" s="1251" t="s">
        <v>329</v>
      </c>
      <c r="E60" s="1252" t="s">
        <v>829</v>
      </c>
      <c r="F60" s="1253" t="s">
        <v>832</v>
      </c>
      <c r="G60" s="1188" t="s">
        <v>831</v>
      </c>
      <c r="H60" s="1251" t="s">
        <v>251</v>
      </c>
      <c r="J60" s="1250" t="str">
        <f>"Rango "&amp;"("&amp;F24&amp;")"</f>
        <v>Rango (mSv/h)</v>
      </c>
      <c r="K60" s="1251" t="s">
        <v>329</v>
      </c>
      <c r="L60" s="1252" t="s">
        <v>829</v>
      </c>
      <c r="M60" s="1253" t="s">
        <v>832</v>
      </c>
      <c r="N60" s="1188" t="s">
        <v>831</v>
      </c>
      <c r="O60" s="1251" t="s">
        <v>251</v>
      </c>
      <c r="Q60" s="1977"/>
      <c r="R60" s="1978"/>
      <c r="S60" s="1978"/>
      <c r="T60" s="1979"/>
    </row>
    <row r="61" spans="1:23" x14ac:dyDescent="0.25">
      <c r="C61" s="2381">
        <f>C24</f>
        <v>0</v>
      </c>
      <c r="D61" s="998">
        <f>A34</f>
        <v>25000</v>
      </c>
      <c r="E61" s="999">
        <f>O34</f>
        <v>2474</v>
      </c>
      <c r="F61" s="998">
        <f>R34</f>
        <v>1.0105092966855296</v>
      </c>
      <c r="G61" s="999" t="str">
        <f>U34</f>
        <v>OK</v>
      </c>
      <c r="H61" s="2378">
        <f>AVERAGE(F61:F72)</f>
        <v>1.0105092966855296</v>
      </c>
      <c r="J61" s="2381" t="str">
        <f>IF(M61="-","-",C24)</f>
        <v>-</v>
      </c>
      <c r="K61" s="998" t="str">
        <f>IF(M61="-","-",A34)</f>
        <v>-</v>
      </c>
      <c r="L61" s="999" t="str">
        <f>O35</f>
        <v>-</v>
      </c>
      <c r="M61" s="998" t="str">
        <f>R35</f>
        <v>-</v>
      </c>
      <c r="N61" s="999" t="str">
        <f>U35</f>
        <v>-</v>
      </c>
      <c r="O61" s="2378" t="e">
        <f>IF(M61="-",AVERAGE(M61:M72),"-")</f>
        <v>#DIV/0!</v>
      </c>
      <c r="Q61" s="1980"/>
      <c r="R61" s="1976"/>
      <c r="S61" s="1976"/>
      <c r="T61" s="1981"/>
    </row>
    <row r="62" spans="1:23" x14ac:dyDescent="0.25">
      <c r="C62" s="2382"/>
      <c r="D62" s="1000" t="str">
        <f>A36</f>
        <v>-</v>
      </c>
      <c r="E62" s="1001" t="str">
        <f>O36</f>
        <v>-</v>
      </c>
      <c r="F62" s="1000" t="str">
        <f>R36</f>
        <v>-</v>
      </c>
      <c r="G62" s="1001" t="str">
        <f>U36</f>
        <v>-</v>
      </c>
      <c r="H62" s="2379"/>
      <c r="J62" s="2382"/>
      <c r="K62" s="1000" t="str">
        <f>IF(M62="-","-",A36)</f>
        <v>-</v>
      </c>
      <c r="L62" s="1001" t="str">
        <f>O37</f>
        <v>-</v>
      </c>
      <c r="M62" s="1000" t="str">
        <f>R37</f>
        <v>-</v>
      </c>
      <c r="N62" s="1001" t="str">
        <f>U37</f>
        <v>-</v>
      </c>
      <c r="O62" s="2379"/>
      <c r="Q62" s="1980"/>
      <c r="R62" s="1976"/>
      <c r="S62" s="1976"/>
      <c r="T62" s="1981"/>
    </row>
    <row r="63" spans="1:23" x14ac:dyDescent="0.25">
      <c r="C63" s="2382"/>
      <c r="D63" s="1002" t="str">
        <f>A38</f>
        <v>-</v>
      </c>
      <c r="E63" s="1001" t="str">
        <f>O38</f>
        <v>-</v>
      </c>
      <c r="F63" s="1000" t="str">
        <f>R38</f>
        <v>-</v>
      </c>
      <c r="G63" s="1001" t="str">
        <f>U38</f>
        <v>-</v>
      </c>
      <c r="H63" s="2379"/>
      <c r="J63" s="2382"/>
      <c r="K63" s="1002" t="str">
        <f>IF(M63="-","-",A38)</f>
        <v>-</v>
      </c>
      <c r="L63" s="1001" t="str">
        <f>O39</f>
        <v>-</v>
      </c>
      <c r="M63" s="1000" t="str">
        <f>R39</f>
        <v>-</v>
      </c>
      <c r="N63" s="1001" t="str">
        <f>U39</f>
        <v>-</v>
      </c>
      <c r="O63" s="2379"/>
      <c r="Q63" s="1980"/>
      <c r="R63" s="1976"/>
      <c r="S63" s="1976"/>
      <c r="T63" s="1981"/>
    </row>
    <row r="64" spans="1:23" x14ac:dyDescent="0.25">
      <c r="C64" s="2382"/>
      <c r="D64" s="1002" t="str">
        <f>A40</f>
        <v>-</v>
      </c>
      <c r="E64" s="1001" t="str">
        <f>O40</f>
        <v>-</v>
      </c>
      <c r="F64" s="1000" t="str">
        <f>R40</f>
        <v>-</v>
      </c>
      <c r="G64" s="1001" t="str">
        <f>U40</f>
        <v>-</v>
      </c>
      <c r="H64" s="2379"/>
      <c r="J64" s="2382"/>
      <c r="K64" s="1002" t="str">
        <f>IF(M64="-","-",A40)</f>
        <v>-</v>
      </c>
      <c r="L64" s="1001" t="str">
        <f>O41</f>
        <v>-</v>
      </c>
      <c r="M64" s="1000" t="str">
        <f>R41</f>
        <v>-</v>
      </c>
      <c r="N64" s="1001" t="str">
        <f>U41</f>
        <v>-</v>
      </c>
      <c r="O64" s="2379"/>
      <c r="Q64" s="1980"/>
      <c r="R64" s="1976"/>
      <c r="S64" s="1976"/>
      <c r="T64" s="1981"/>
    </row>
    <row r="65" spans="3:20" ht="15.75" thickBot="1" x14ac:dyDescent="0.3">
      <c r="C65" s="2382"/>
      <c r="D65" s="1002" t="str">
        <f>A42</f>
        <v>-</v>
      </c>
      <c r="E65" s="1001" t="str">
        <f>O42</f>
        <v>-</v>
      </c>
      <c r="F65" s="1000" t="str">
        <f>R42</f>
        <v>-</v>
      </c>
      <c r="G65" s="1001" t="str">
        <f>U42</f>
        <v>-</v>
      </c>
      <c r="H65" s="2379"/>
      <c r="J65" s="2382"/>
      <c r="K65" s="1002" t="str">
        <f>IF(M65="-","-",A42)</f>
        <v>-</v>
      </c>
      <c r="L65" s="1001" t="str">
        <f>O43</f>
        <v>-</v>
      </c>
      <c r="M65" s="1000" t="str">
        <f>R43</f>
        <v>-</v>
      </c>
      <c r="N65" s="1001" t="str">
        <f>U43</f>
        <v>-</v>
      </c>
      <c r="O65" s="2379"/>
      <c r="Q65" s="1982"/>
      <c r="R65" s="1983"/>
      <c r="S65" s="1983"/>
      <c r="T65" s="1984"/>
    </row>
    <row r="66" spans="3:20" x14ac:dyDescent="0.25">
      <c r="C66" s="2382"/>
      <c r="D66" s="1002" t="str">
        <f>A44</f>
        <v>-</v>
      </c>
      <c r="E66" s="1001" t="str">
        <f>O44</f>
        <v>-</v>
      </c>
      <c r="F66" s="1000" t="str">
        <f>R44</f>
        <v>-</v>
      </c>
      <c r="G66" s="1001" t="str">
        <f>U44</f>
        <v>-</v>
      </c>
      <c r="H66" s="2379"/>
      <c r="J66" s="2382"/>
      <c r="K66" s="1002" t="str">
        <f>IF(M66="-","-",A44)</f>
        <v>-</v>
      </c>
      <c r="L66" s="1001" t="str">
        <f>O45</f>
        <v>-</v>
      </c>
      <c r="M66" s="1000" t="str">
        <f>R45</f>
        <v>-</v>
      </c>
      <c r="N66" s="1001" t="str">
        <f>U45</f>
        <v>-</v>
      </c>
      <c r="O66" s="2379"/>
      <c r="Q66" s="1976"/>
      <c r="R66" s="1976"/>
      <c r="S66" s="1976"/>
      <c r="T66" s="1976"/>
    </row>
    <row r="67" spans="3:20" x14ac:dyDescent="0.25">
      <c r="C67" s="2382"/>
      <c r="D67" s="1002" t="str">
        <f>A46</f>
        <v>-</v>
      </c>
      <c r="E67" s="1001" t="str">
        <f>O46</f>
        <v>-</v>
      </c>
      <c r="F67" s="1000" t="str">
        <f>R46</f>
        <v>-</v>
      </c>
      <c r="G67" s="1001" t="str">
        <f>U46</f>
        <v>-</v>
      </c>
      <c r="H67" s="2379"/>
      <c r="J67" s="2382"/>
      <c r="K67" s="1002" t="str">
        <f>IF(M67="-","-",A46)</f>
        <v>-</v>
      </c>
      <c r="L67" s="1001" t="str">
        <f>O47</f>
        <v>-</v>
      </c>
      <c r="M67" s="1000" t="str">
        <f>R47</f>
        <v>-</v>
      </c>
      <c r="N67" s="1001" t="str">
        <f>U47</f>
        <v>-</v>
      </c>
      <c r="O67" s="2379"/>
      <c r="Q67" s="1976"/>
      <c r="R67" s="1976"/>
      <c r="S67" s="1976"/>
      <c r="T67" s="1976"/>
    </row>
    <row r="68" spans="3:20" x14ac:dyDescent="0.25">
      <c r="C68" s="2382"/>
      <c r="D68" s="1003" t="str">
        <f>A48</f>
        <v>-</v>
      </c>
      <c r="E68" s="1001" t="str">
        <f>O48</f>
        <v>-</v>
      </c>
      <c r="F68" s="1000" t="str">
        <f>R48</f>
        <v>-</v>
      </c>
      <c r="G68" s="1001" t="str">
        <f>U48</f>
        <v>-</v>
      </c>
      <c r="H68" s="2379"/>
      <c r="J68" s="2382"/>
      <c r="K68" s="1003" t="str">
        <f>IF(M68="-","-",A48)</f>
        <v>-</v>
      </c>
      <c r="L68" s="1001" t="str">
        <f>O49</f>
        <v>-</v>
      </c>
      <c r="M68" s="1000" t="str">
        <f>R49</f>
        <v>-</v>
      </c>
      <c r="N68" s="1001" t="str">
        <f>U49</f>
        <v>-</v>
      </c>
      <c r="O68" s="2379"/>
      <c r="Q68" s="1976"/>
      <c r="R68" s="1976"/>
      <c r="S68" s="1976"/>
      <c r="T68" s="1976"/>
    </row>
    <row r="69" spans="3:20" x14ac:dyDescent="0.25">
      <c r="C69" s="2382"/>
      <c r="D69" s="1002" t="str">
        <f>A50</f>
        <v>-</v>
      </c>
      <c r="E69" s="1001" t="str">
        <f>O50</f>
        <v>-</v>
      </c>
      <c r="F69" s="1000" t="str">
        <f>R50</f>
        <v>-</v>
      </c>
      <c r="G69" s="1001" t="str">
        <f>U50</f>
        <v>-</v>
      </c>
      <c r="H69" s="2379"/>
      <c r="J69" s="2382"/>
      <c r="K69" s="1003" t="str">
        <f>IF(M69="-","-",A50)</f>
        <v>-</v>
      </c>
      <c r="L69" s="1001" t="str">
        <f>O51</f>
        <v>-</v>
      </c>
      <c r="M69" s="1000" t="str">
        <f>R51</f>
        <v>-</v>
      </c>
      <c r="N69" s="1001" t="str">
        <f>U51</f>
        <v>-</v>
      </c>
      <c r="O69" s="2379"/>
      <c r="R69" s="1976"/>
      <c r="S69" s="1976"/>
      <c r="T69" s="1976"/>
    </row>
    <row r="70" spans="3:20" x14ac:dyDescent="0.25">
      <c r="C70" s="2382"/>
      <c r="D70" s="1003" t="str">
        <f>A52</f>
        <v>-</v>
      </c>
      <c r="E70" s="1001" t="str">
        <f>O52</f>
        <v>-</v>
      </c>
      <c r="F70" s="1000" t="str">
        <f>R52</f>
        <v>-</v>
      </c>
      <c r="G70" s="1001" t="str">
        <f>U52</f>
        <v>-</v>
      </c>
      <c r="H70" s="2379"/>
      <c r="J70" s="2382"/>
      <c r="K70" s="1003" t="str">
        <f>IF(M70="-","-",A52)</f>
        <v>-</v>
      </c>
      <c r="L70" s="1001" t="str">
        <f>O53</f>
        <v>-</v>
      </c>
      <c r="M70" s="1000" t="str">
        <f>R53</f>
        <v>-</v>
      </c>
      <c r="N70" s="1001" t="str">
        <f>U53</f>
        <v>-</v>
      </c>
      <c r="O70" s="2379"/>
      <c r="Q70" s="1976"/>
      <c r="R70" s="118" t="s">
        <v>1296</v>
      </c>
      <c r="S70" s="1976"/>
      <c r="T70" s="1976"/>
    </row>
    <row r="71" spans="3:20" x14ac:dyDescent="0.25">
      <c r="C71" s="2382"/>
      <c r="D71" s="1003" t="str">
        <f>A54</f>
        <v>-</v>
      </c>
      <c r="E71" s="1001" t="str">
        <f>O54</f>
        <v>-</v>
      </c>
      <c r="F71" s="1000" t="str">
        <f>R54</f>
        <v>-</v>
      </c>
      <c r="G71" s="1001" t="str">
        <f>U54</f>
        <v>-</v>
      </c>
      <c r="H71" s="2379"/>
      <c r="J71" s="2382"/>
      <c r="K71" s="1003" t="str">
        <f>IF(M71="-","-",A54)</f>
        <v>-</v>
      </c>
      <c r="L71" s="1001" t="str">
        <f>O55</f>
        <v>-</v>
      </c>
      <c r="M71" s="1000" t="str">
        <f>R55</f>
        <v>-</v>
      </c>
      <c r="N71" s="1001" t="str">
        <f>U55</f>
        <v>-</v>
      </c>
      <c r="O71" s="2379"/>
      <c r="Q71" s="1976"/>
      <c r="R71" s="1976"/>
      <c r="S71" t="s">
        <v>1297</v>
      </c>
      <c r="T71" s="1976"/>
    </row>
    <row r="72" spans="3:20" ht="15.75" thickBot="1" x14ac:dyDescent="0.3">
      <c r="C72" s="2383"/>
      <c r="D72" s="1004" t="str">
        <f>A56</f>
        <v>-</v>
      </c>
      <c r="E72" s="1005" t="str">
        <f>O56</f>
        <v>-</v>
      </c>
      <c r="F72" s="1006" t="str">
        <f>R56</f>
        <v>-</v>
      </c>
      <c r="G72" s="1005" t="str">
        <f>U56</f>
        <v>-</v>
      </c>
      <c r="H72" s="2380"/>
      <c r="J72" s="2383"/>
      <c r="K72" s="1004" t="str">
        <f>IF(M72="-","-",A56)</f>
        <v>-</v>
      </c>
      <c r="L72" s="1005" t="str">
        <f>O57</f>
        <v>-</v>
      </c>
      <c r="M72" s="1006" t="str">
        <f>R57</f>
        <v>-</v>
      </c>
      <c r="N72" s="1005" t="str">
        <f>U57</f>
        <v>-</v>
      </c>
      <c r="O72" s="2380"/>
      <c r="Q72" s="1976"/>
      <c r="R72" s="1976"/>
      <c r="S72" s="1976"/>
      <c r="T72" s="1976"/>
    </row>
    <row r="73" spans="3:20" ht="15.75" thickBot="1" x14ac:dyDescent="0.3">
      <c r="F73" s="222"/>
      <c r="H73" s="1210">
        <f>AVERAGE(H61)</f>
        <v>1.0105092966855296</v>
      </c>
      <c r="M73" s="222"/>
      <c r="O73" s="1210" t="e">
        <f>O61</f>
        <v>#DIV/0!</v>
      </c>
    </row>
  </sheetData>
  <mergeCells count="40">
    <mergeCell ref="Q59:T59"/>
    <mergeCell ref="C16:D16"/>
    <mergeCell ref="A7:B7"/>
    <mergeCell ref="A21:B21"/>
    <mergeCell ref="A20:B20"/>
    <mergeCell ref="A12:B12"/>
    <mergeCell ref="A14:B14"/>
    <mergeCell ref="A15:B15"/>
    <mergeCell ref="A22:B22"/>
    <mergeCell ref="A30:B31"/>
    <mergeCell ref="C18:D18"/>
    <mergeCell ref="C17:D17"/>
    <mergeCell ref="C23:M23"/>
    <mergeCell ref="C22:R22"/>
    <mergeCell ref="I24:L24"/>
    <mergeCell ref="C19:O19"/>
    <mergeCell ref="D1:R4"/>
    <mergeCell ref="A6:B6"/>
    <mergeCell ref="A8:B8"/>
    <mergeCell ref="A13:B13"/>
    <mergeCell ref="A10:B10"/>
    <mergeCell ref="A11:B11"/>
    <mergeCell ref="A9:B9"/>
    <mergeCell ref="C9:F9"/>
    <mergeCell ref="A28:B29"/>
    <mergeCell ref="A17:B17"/>
    <mergeCell ref="A16:B16"/>
    <mergeCell ref="A18:B18"/>
    <mergeCell ref="A19:B19"/>
    <mergeCell ref="A25:B25"/>
    <mergeCell ref="A26:B26"/>
    <mergeCell ref="A24:B24"/>
    <mergeCell ref="A23:B23"/>
    <mergeCell ref="C26:D26"/>
    <mergeCell ref="C59:H59"/>
    <mergeCell ref="J59:O59"/>
    <mergeCell ref="H61:H72"/>
    <mergeCell ref="O61:O72"/>
    <mergeCell ref="J61:J72"/>
    <mergeCell ref="C61:C72"/>
  </mergeCells>
  <conditionalFormatting sqref="U34:U51 G61:G72 N61:N72">
    <cfRule type="containsErrors" dxfId="293" priority="50">
      <formula>ISERROR(G34)</formula>
    </cfRule>
    <cfRule type="containsText" dxfId="292" priority="54" operator="containsText" text="OK">
      <formula>NOT(ISERROR(SEARCH("OK",G34)))</formula>
    </cfRule>
  </conditionalFormatting>
  <conditionalFormatting sqref="U34:U51 G61:G72 N61:N72">
    <cfRule type="containsText" dxfId="291" priority="53" operator="containsText" text="OUT">
      <formula>NOT(ISERROR(SEARCH("OUT",G34)))</formula>
    </cfRule>
  </conditionalFormatting>
  <conditionalFormatting sqref="H73">
    <cfRule type="expression" dxfId="290" priority="52">
      <formula>$O$73="-"</formula>
    </cfRule>
  </conditionalFormatting>
  <conditionalFormatting sqref="O73">
    <cfRule type="expression" dxfId="289" priority="51">
      <formula>NOT($O$61="-")</formula>
    </cfRule>
  </conditionalFormatting>
  <conditionalFormatting sqref="O34:O51 E61:E72 L61:L72">
    <cfRule type="containsText" dxfId="288" priority="49" operator="containsText" text="Full range">
      <formula>NOT(ISERROR(SEARCH("Full range",E34)))</formula>
    </cfRule>
  </conditionalFormatting>
  <conditionalFormatting sqref="T34:T51">
    <cfRule type="cellIs" dxfId="287" priority="47" operator="greaterThan">
      <formula>0.1</formula>
    </cfRule>
  </conditionalFormatting>
  <conditionalFormatting sqref="S34:S51">
    <cfRule type="cellIs" dxfId="286" priority="44" operator="notBetween">
      <formula>-0.1</formula>
      <formula>0.1</formula>
    </cfRule>
  </conditionalFormatting>
  <conditionalFormatting sqref="U52:U53">
    <cfRule type="containsErrors" dxfId="285" priority="39">
      <formula>ISERROR(U52)</formula>
    </cfRule>
    <cfRule type="containsText" dxfId="284" priority="41" operator="containsText" text="OK">
      <formula>NOT(ISERROR(SEARCH("OK",U52)))</formula>
    </cfRule>
  </conditionalFormatting>
  <conditionalFormatting sqref="U52:U53">
    <cfRule type="containsText" dxfId="283" priority="40" operator="containsText" text="OUT">
      <formula>NOT(ISERROR(SEARCH("OUT",U52)))</formula>
    </cfRule>
  </conditionalFormatting>
  <conditionalFormatting sqref="O52:O53">
    <cfRule type="containsText" dxfId="282" priority="38" operator="containsText" text="Full range">
      <formula>NOT(ISERROR(SEARCH("Full range",O52)))</formula>
    </cfRule>
  </conditionalFormatting>
  <conditionalFormatting sqref="T52:T53">
    <cfRule type="cellIs" dxfId="281" priority="37" operator="greaterThan">
      <formula>0.1</formula>
    </cfRule>
  </conditionalFormatting>
  <conditionalFormatting sqref="S52:S53">
    <cfRule type="cellIs" dxfId="280" priority="35" operator="notBetween">
      <formula>-0.1</formula>
      <formula>0.1</formula>
    </cfRule>
  </conditionalFormatting>
  <conditionalFormatting sqref="U54:U55">
    <cfRule type="containsErrors" dxfId="279" priority="31">
      <formula>ISERROR(U54)</formula>
    </cfRule>
    <cfRule type="containsText" dxfId="278" priority="33" operator="containsText" text="OK">
      <formula>NOT(ISERROR(SEARCH("OK",U54)))</formula>
    </cfRule>
  </conditionalFormatting>
  <conditionalFormatting sqref="U54:U55">
    <cfRule type="containsText" dxfId="277" priority="32" operator="containsText" text="OUT">
      <formula>NOT(ISERROR(SEARCH("OUT",U54)))</formula>
    </cfRule>
  </conditionalFormatting>
  <conditionalFormatting sqref="O54:O55">
    <cfRule type="containsText" dxfId="276" priority="30" operator="containsText" text="Full range">
      <formula>NOT(ISERROR(SEARCH("Full range",O54)))</formula>
    </cfRule>
  </conditionalFormatting>
  <conditionalFormatting sqref="T54:T55">
    <cfRule type="cellIs" dxfId="275" priority="29" operator="greaterThan">
      <formula>0.1</formula>
    </cfRule>
  </conditionalFormatting>
  <conditionalFormatting sqref="S54:S55">
    <cfRule type="cellIs" dxfId="274" priority="27" operator="notBetween">
      <formula>-0.1</formula>
      <formula>0.1</formula>
    </cfRule>
  </conditionalFormatting>
  <conditionalFormatting sqref="U56:U57">
    <cfRule type="containsErrors" dxfId="273" priority="23">
      <formula>ISERROR(U56)</formula>
    </cfRule>
    <cfRule type="containsText" dxfId="272" priority="25" operator="containsText" text="OK">
      <formula>NOT(ISERROR(SEARCH("OK",U56)))</formula>
    </cfRule>
  </conditionalFormatting>
  <conditionalFormatting sqref="U56:U57">
    <cfRule type="containsText" dxfId="271" priority="24" operator="containsText" text="OUT">
      <formula>NOT(ISERROR(SEARCH("OUT",U56)))</formula>
    </cfRule>
  </conditionalFormatting>
  <conditionalFormatting sqref="O56:O57">
    <cfRule type="containsText" dxfId="270" priority="22" operator="containsText" text="Full range">
      <formula>NOT(ISERROR(SEARCH("Full range",O56)))</formula>
    </cfRule>
  </conditionalFormatting>
  <conditionalFormatting sqref="T56:T57">
    <cfRule type="cellIs" dxfId="269" priority="21" operator="greaterThan">
      <formula>0.1</formula>
    </cfRule>
  </conditionalFormatting>
  <conditionalFormatting sqref="S56:S57">
    <cfRule type="cellIs" dxfId="268" priority="19" operator="notBetween">
      <formula>-0.1</formula>
      <formula>0.1</formula>
    </cfRule>
  </conditionalFormatting>
  <conditionalFormatting sqref="S34:S35 S38:S39 S42:S43 S46:S47 S50:S51 S54:S55">
    <cfRule type="cellIs" dxfId="267" priority="16" operator="lessThan">
      <formula>-0.1</formula>
    </cfRule>
  </conditionalFormatting>
  <conditionalFormatting sqref="S36">
    <cfRule type="cellIs" dxfId="266" priority="12" operator="lessThan">
      <formula>-0.1</formula>
    </cfRule>
  </conditionalFormatting>
  <conditionalFormatting sqref="S40">
    <cfRule type="cellIs" dxfId="265" priority="11" operator="lessThan">
      <formula>-0.1</formula>
    </cfRule>
  </conditionalFormatting>
  <conditionalFormatting sqref="S44">
    <cfRule type="cellIs" dxfId="264" priority="10" operator="lessThan">
      <formula>-0.1</formula>
    </cfRule>
  </conditionalFormatting>
  <conditionalFormatting sqref="S48">
    <cfRule type="cellIs" dxfId="263" priority="9" operator="lessThan">
      <formula>-0.1</formula>
    </cfRule>
  </conditionalFormatting>
  <conditionalFormatting sqref="S52">
    <cfRule type="cellIs" dxfId="262" priority="8" operator="lessThan">
      <formula>-0.1</formula>
    </cfRule>
  </conditionalFormatting>
  <conditionalFormatting sqref="S56">
    <cfRule type="cellIs" dxfId="261" priority="7" operator="lessThan">
      <formula>-0.1</formula>
    </cfRule>
  </conditionalFormatting>
  <conditionalFormatting sqref="S57">
    <cfRule type="cellIs" dxfId="260" priority="6" operator="lessThan">
      <formula>-0.1</formula>
    </cfRule>
  </conditionalFormatting>
  <conditionalFormatting sqref="S53">
    <cfRule type="cellIs" dxfId="259" priority="5" operator="lessThan">
      <formula>-0.1</formula>
    </cfRule>
  </conditionalFormatting>
  <conditionalFormatting sqref="S49">
    <cfRule type="cellIs" dxfId="258" priority="4" operator="lessThan">
      <formula>-0.1</formula>
    </cfRule>
  </conditionalFormatting>
  <conditionalFormatting sqref="S45">
    <cfRule type="cellIs" dxfId="257" priority="3" operator="lessThan">
      <formula>-0.1</formula>
    </cfRule>
  </conditionalFormatting>
  <conditionalFormatting sqref="S41">
    <cfRule type="cellIs" dxfId="256" priority="2" operator="lessThan">
      <formula>-0.1</formula>
    </cfRule>
  </conditionalFormatting>
  <conditionalFormatting sqref="S37">
    <cfRule type="cellIs" dxfId="255" priority="1" operator="lessThan">
      <formula>-0.1</formula>
    </cfRule>
  </conditionalFormatting>
  <pageMargins left="0.23622047244094491" right="0.23622047244094491" top="0" bottom="0" header="0.31496062992125984" footer="0.31496062992125984"/>
  <pageSetup paperSize="9" scale="51" fitToWidth="0" orientation="landscape" r:id="rId1"/>
  <headerFooter>
    <oddFooter>&amp;R&amp;P de &amp;N</oddFooter>
  </headerFooter>
  <ignoredErrors>
    <ignoredError sqref="O40" formulaRange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6" operator="containsText" id="{FA17562A-2E74-4C82-8B46-4E209B4EB7FE}">
            <xm:f>NOT(ISERROR(SEARCH("-",T34)))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T34:T35 T38:T39 T42:T43 T46:T47 T50:T51</xm:sqref>
        </x14:conditionalFormatting>
        <x14:conditionalFormatting xmlns:xm="http://schemas.microsoft.com/office/excel/2006/main">
          <x14:cfRule type="containsText" priority="45" operator="containsText" id="{BE68228E-614D-4D27-B372-70DC4A61AB48}">
            <xm:f>NOT(ISERROR(SEARCH("-",T36)))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T36:T37 T40:T41 T44:T45 T48:T49</xm:sqref>
        </x14:conditionalFormatting>
        <x14:conditionalFormatting xmlns:xm="http://schemas.microsoft.com/office/excel/2006/main">
          <x14:cfRule type="containsText" priority="43" operator="containsText" id="{D605634D-AE76-43EE-9956-DDEC0D8186AE}">
            <xm:f>NOT(ISERROR(SEARCH("-",S34)))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S34:S35 S38:S39 S42:S43 S46:S47 S50:S51</xm:sqref>
        </x14:conditionalFormatting>
        <x14:conditionalFormatting xmlns:xm="http://schemas.microsoft.com/office/excel/2006/main">
          <x14:cfRule type="containsText" priority="42" operator="containsText" id="{80CF26DA-99E7-4F4F-940B-880EC1EC2805}">
            <xm:f>NOT(ISERROR(SEARCH("-",S36)))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S36:S37 S40:S41 S44:S45 S48:S49</xm:sqref>
        </x14:conditionalFormatting>
        <x14:conditionalFormatting xmlns:xm="http://schemas.microsoft.com/office/excel/2006/main">
          <x14:cfRule type="containsText" priority="36" operator="containsText" id="{90C9F116-14DE-4834-A52A-C0846C48BD0B}">
            <xm:f>NOT(ISERROR(SEARCH("-",T52)))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T52:T53</xm:sqref>
        </x14:conditionalFormatting>
        <x14:conditionalFormatting xmlns:xm="http://schemas.microsoft.com/office/excel/2006/main">
          <x14:cfRule type="containsText" priority="34" operator="containsText" id="{07B6E873-D6A0-41C0-9E84-891BB0B47C97}">
            <xm:f>NOT(ISERROR(SEARCH("-",S52)))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S52:S53</xm:sqref>
        </x14:conditionalFormatting>
        <x14:conditionalFormatting xmlns:xm="http://schemas.microsoft.com/office/excel/2006/main">
          <x14:cfRule type="containsText" priority="28" operator="containsText" id="{D303DD5A-096B-431B-B888-D5FB0A53112C}">
            <xm:f>NOT(ISERROR(SEARCH("-",T54)))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T54:T55</xm:sqref>
        </x14:conditionalFormatting>
        <x14:conditionalFormatting xmlns:xm="http://schemas.microsoft.com/office/excel/2006/main">
          <x14:cfRule type="containsText" priority="26" operator="containsText" id="{2B6E5180-1E2F-4FE0-A472-E118B6927668}">
            <xm:f>NOT(ISERROR(SEARCH("-",S54)))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S54:S55</xm:sqref>
        </x14:conditionalFormatting>
        <x14:conditionalFormatting xmlns:xm="http://schemas.microsoft.com/office/excel/2006/main">
          <x14:cfRule type="containsText" priority="20" operator="containsText" id="{8F02BE20-34E9-4687-8F35-7D3614022492}">
            <xm:f>NOT(ISERROR(SEARCH("-",T56)))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T56:T57</xm:sqref>
        </x14:conditionalFormatting>
        <x14:conditionalFormatting xmlns:xm="http://schemas.microsoft.com/office/excel/2006/main">
          <x14:cfRule type="containsText" priority="18" operator="containsText" id="{0622CB1A-5E26-4DC5-AFFA-02E2D40E1A82}">
            <xm:f>NOT(ISERROR(SEARCH("-",S56)))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S56:S57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8">
        <x14:dataValidation type="list" allowBlank="1" showInputMessage="1" showErrorMessage="1" xr:uid="{00000000-0002-0000-1200-000000000000}">
          <x14:formula1>
            <xm:f>'Datos varios'!$B$5:$B$13</xm:f>
          </x14:formula1>
          <xm:sqref>F24</xm:sqref>
        </x14:dataValidation>
        <x14:dataValidation type="list" allowBlank="1" showInputMessage="1" showErrorMessage="1" xr:uid="{00000000-0002-0000-1200-000001000000}">
          <x14:formula1>
            <xm:f>'Datos varios'!$B$111:$B$115</xm:f>
          </x14:formula1>
          <xm:sqref>C23:M23</xm:sqref>
        </x14:dataValidation>
        <x14:dataValidation type="list" allowBlank="1" showInputMessage="1" showErrorMessage="1" xr:uid="{00000000-0002-0000-1200-000002000000}">
          <x14:formula1>
            <xm:f>IF($A$35="µSv/h",'Datos varios'!$B$5:$B$15,'Datos varios'!$E$5:$E$13)</xm:f>
          </x14:formula1>
          <xm:sqref>N34:N35</xm:sqref>
        </x14:dataValidation>
        <x14:dataValidation type="list" allowBlank="1" showInputMessage="1" showErrorMessage="1" xr:uid="{00000000-0002-0000-1200-000003000000}">
          <x14:formula1>
            <xm:f>IF($A$37="µSv/h",'Datos varios'!$B$5:$B$15,'Datos varios'!$E$5:$E$13)</xm:f>
          </x14:formula1>
          <xm:sqref>N36:N37</xm:sqref>
        </x14:dataValidation>
        <x14:dataValidation type="list" allowBlank="1" showInputMessage="1" showErrorMessage="1" xr:uid="{00000000-0002-0000-1200-000004000000}">
          <x14:formula1>
            <xm:f>IF($A$39="µSv/h",'Datos varios'!$B$5:$B$15,'Datos varios'!$E$5:$E$13)</xm:f>
          </x14:formula1>
          <xm:sqref>N38:N39</xm:sqref>
        </x14:dataValidation>
        <x14:dataValidation type="list" allowBlank="1" showInputMessage="1" showErrorMessage="1" xr:uid="{00000000-0002-0000-1200-000005000000}">
          <x14:formula1>
            <xm:f>IF($A$41="µSv/h",'Datos varios'!$B$5:$B$15,'Datos varios'!$E$5:$E$13)</xm:f>
          </x14:formula1>
          <xm:sqref>N40:N41</xm:sqref>
        </x14:dataValidation>
        <x14:dataValidation type="list" allowBlank="1" showInputMessage="1" showErrorMessage="1" xr:uid="{00000000-0002-0000-1200-000006000000}">
          <x14:formula1>
            <xm:f>IF($A$43="µSv/h",'Datos varios'!$B$5:$B$15,'Datos varios'!$E$5:$E$13)</xm:f>
          </x14:formula1>
          <xm:sqref>N42:N43</xm:sqref>
        </x14:dataValidation>
        <x14:dataValidation type="list" allowBlank="1" showInputMessage="1" showErrorMessage="1" xr:uid="{00000000-0002-0000-1200-000007000000}">
          <x14:formula1>
            <xm:f>IF($A$45="µSv/h",'Datos varios'!$B$5:$B$15,'Datos varios'!$E$5:$E$13)</xm:f>
          </x14:formula1>
          <xm:sqref>N44:N45</xm:sqref>
        </x14:dataValidation>
        <x14:dataValidation type="list" allowBlank="1" showInputMessage="1" showErrorMessage="1" xr:uid="{00000000-0002-0000-1200-000008000000}">
          <x14:formula1>
            <xm:f>IF($A$47="µSv/h",'Datos varios'!$B$5:$B$15,'Datos varios'!$E$5:$E$13)</xm:f>
          </x14:formula1>
          <xm:sqref>N46:N47</xm:sqref>
        </x14:dataValidation>
        <x14:dataValidation type="list" allowBlank="1" showInputMessage="1" showErrorMessage="1" xr:uid="{00000000-0002-0000-1200-000009000000}">
          <x14:formula1>
            <xm:f>IF($A$49="µSv/h",'Datos varios'!$B$5:$B$15,'Datos varios'!$E$5:$E$13)</xm:f>
          </x14:formula1>
          <xm:sqref>N48:N49</xm:sqref>
        </x14:dataValidation>
        <x14:dataValidation type="list" allowBlank="1" showInputMessage="1" showErrorMessage="1" xr:uid="{00000000-0002-0000-1200-00000A000000}">
          <x14:formula1>
            <xm:f>IF($A$51="µSv/h",'Datos varios'!$B$5:$B$15,'Datos varios'!$E$5:$E$13)</xm:f>
          </x14:formula1>
          <xm:sqref>N50:N51</xm:sqref>
        </x14:dataValidation>
        <x14:dataValidation type="list" allowBlank="1" showInputMessage="1" showErrorMessage="1" xr:uid="{00000000-0002-0000-1200-00000B000000}">
          <x14:formula1>
            <xm:f>IF($A$53="µSv/h",'Datos varios'!$B$5:$B$15,'Datos varios'!$E$5:$E$13)</xm:f>
          </x14:formula1>
          <xm:sqref>N52:N53</xm:sqref>
        </x14:dataValidation>
        <x14:dataValidation type="list" allowBlank="1" showInputMessage="1" showErrorMessage="1" xr:uid="{00000000-0002-0000-1200-00000C000000}">
          <x14:formula1>
            <xm:f>IF($A$55="µSv/h",'Datos varios'!$B$5:$B$15,'Datos varios'!$E$5:$E$13)</xm:f>
          </x14:formula1>
          <xm:sqref>N54:N55</xm:sqref>
        </x14:dataValidation>
        <x14:dataValidation type="list" allowBlank="1" showInputMessage="1" showErrorMessage="1" xr:uid="{00000000-0002-0000-1200-00000D000000}">
          <x14:formula1>
            <xm:f>IF($A$57="µSv/h",'Datos varios'!$B$5:$B$15,'Datos varios'!$E$5:$E$13)</xm:f>
          </x14:formula1>
          <xm:sqref>N56:N57</xm:sqref>
        </x14:dataValidation>
        <x14:dataValidation type="list" allowBlank="1" showInputMessage="1" showErrorMessage="1" xr:uid="{00000000-0002-0000-1200-00000E000000}">
          <x14:formula1>
            <xm:f>IF(OR($C$9="Dosímetro personal (digital)",$C$9="Dosímetro personal (analógico)",$C$9="Dosímetro personal (con indicación audible)",$C$9="Dosímetro personal (analógico tipo lapicero)"),'Datos varios'!$B$101:$B$103,'Datos varios'!$B$100)</xm:f>
          </x14:formula1>
          <xm:sqref>I24:L24</xm:sqref>
        </x14:dataValidation>
        <x14:dataValidation type="list" allowBlank="1" showInputMessage="1" showErrorMessage="1" xr:uid="{00000000-0002-0000-1200-00000F000000}">
          <x14:formula1>
            <xm:f>'Datos varios'!$B$128:$B$131</xm:f>
          </x14:formula1>
          <xm:sqref>C19:O19</xm:sqref>
        </x14:dataValidation>
        <x14:dataValidation type="list" allowBlank="1" showInputMessage="1" showErrorMessage="1" xr:uid="{00000000-0002-0000-1200-000010000000}">
          <x14:formula1>
            <xm:f>'Datos varios'!$B$90:$B$95</xm:f>
          </x14:formula1>
          <xm:sqref>C9:F9</xm:sqref>
        </x14:dataValidation>
        <x14:dataValidation type="list" allowBlank="1" showInputMessage="1" showErrorMessage="1" xr:uid="{00000000-0002-0000-1200-000011000000}">
          <x14:formula1>
            <xm:f>'Datos varios'!$B$55:$B$82</xm:f>
          </x14:formula1>
          <xm:sqref>C22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S357"/>
  <sheetViews>
    <sheetView workbookViewId="0"/>
  </sheetViews>
  <sheetFormatPr baseColWidth="10" defaultColWidth="11.42578125" defaultRowHeight="15" x14ac:dyDescent="0.25"/>
  <cols>
    <col min="1" max="2" width="11.42578125" style="87"/>
    <col min="3" max="6" width="12.7109375" style="87" bestFit="1" customWidth="1"/>
    <col min="7" max="7" width="11.42578125" style="87"/>
    <col min="8" max="9" width="12" style="87" bestFit="1" customWidth="1"/>
    <col min="10" max="10" width="11.42578125" style="87"/>
    <col min="11" max="14" width="12.7109375" style="87" bestFit="1" customWidth="1"/>
    <col min="15" max="15" width="11.42578125" style="87" customWidth="1"/>
    <col min="16" max="16" width="11.42578125" style="87"/>
    <col min="17" max="17" width="12.140625" style="87" customWidth="1"/>
    <col min="18" max="18" width="11.42578125" style="87"/>
    <col min="19" max="19" width="12.140625" style="87" customWidth="1"/>
    <col min="20" max="16384" width="11.42578125" style="87"/>
  </cols>
  <sheetData>
    <row r="1" spans="1:19" ht="15" customHeight="1" x14ac:dyDescent="0.25">
      <c r="A1" s="145"/>
      <c r="B1" s="146"/>
      <c r="C1" s="147"/>
      <c r="D1" s="2339" t="s">
        <v>555</v>
      </c>
      <c r="E1" s="2340"/>
      <c r="F1" s="2340"/>
      <c r="G1" s="2340"/>
      <c r="H1" s="2340"/>
      <c r="I1" s="2340"/>
      <c r="J1" s="2340"/>
      <c r="K1" s="2340"/>
      <c r="L1" s="2340"/>
      <c r="M1" s="2340"/>
      <c r="N1" s="2340"/>
      <c r="O1" s="2340"/>
      <c r="P1" s="2340"/>
      <c r="Q1" s="2341"/>
      <c r="R1" s="148" t="s">
        <v>68</v>
      </c>
      <c r="S1" s="149" t="s">
        <v>556</v>
      </c>
    </row>
    <row r="2" spans="1:19" ht="15" customHeight="1" x14ac:dyDescent="0.25">
      <c r="A2" s="150"/>
      <c r="C2" s="151"/>
      <c r="D2" s="2342"/>
      <c r="E2" s="2394"/>
      <c r="F2" s="2394"/>
      <c r="G2" s="2394"/>
      <c r="H2" s="2394"/>
      <c r="I2" s="2394"/>
      <c r="J2" s="2394"/>
      <c r="K2" s="2394"/>
      <c r="L2" s="2394"/>
      <c r="M2" s="2394"/>
      <c r="N2" s="2394"/>
      <c r="O2" s="2394"/>
      <c r="P2" s="2394"/>
      <c r="Q2" s="2344"/>
      <c r="R2" s="152" t="s">
        <v>69</v>
      </c>
      <c r="S2" s="153" t="s">
        <v>174</v>
      </c>
    </row>
    <row r="3" spans="1:19" ht="15" customHeight="1" x14ac:dyDescent="0.25">
      <c r="A3" s="150"/>
      <c r="C3" s="151"/>
      <c r="D3" s="2342"/>
      <c r="E3" s="2394"/>
      <c r="F3" s="2394"/>
      <c r="G3" s="2394"/>
      <c r="H3" s="2394"/>
      <c r="I3" s="2394"/>
      <c r="J3" s="2394"/>
      <c r="K3" s="2394"/>
      <c r="L3" s="2394"/>
      <c r="M3" s="2394"/>
      <c r="N3" s="2394"/>
      <c r="O3" s="2394"/>
      <c r="P3" s="2394"/>
      <c r="Q3" s="2344"/>
      <c r="R3" s="152" t="s">
        <v>70</v>
      </c>
      <c r="S3" s="153" t="s">
        <v>72</v>
      </c>
    </row>
    <row r="4" spans="1:19" ht="15" customHeight="1" x14ac:dyDescent="0.25">
      <c r="A4" s="154"/>
      <c r="B4" s="155"/>
      <c r="C4" s="156"/>
      <c r="D4" s="2345"/>
      <c r="E4" s="2346"/>
      <c r="F4" s="2346"/>
      <c r="G4" s="2346"/>
      <c r="H4" s="2346"/>
      <c r="I4" s="2346"/>
      <c r="J4" s="2346"/>
      <c r="K4" s="2346"/>
      <c r="L4" s="2346"/>
      <c r="M4" s="2346"/>
      <c r="N4" s="2346"/>
      <c r="O4" s="2346"/>
      <c r="P4" s="2346"/>
      <c r="Q4" s="2347"/>
      <c r="R4" s="157" t="s">
        <v>71</v>
      </c>
      <c r="S4" s="158" t="s">
        <v>73</v>
      </c>
    </row>
    <row r="5" spans="1:19" customFormat="1" x14ac:dyDescent="0.25"/>
    <row r="7" spans="1:19" ht="20.25" x14ac:dyDescent="0.25">
      <c r="A7" s="2422" t="s">
        <v>596</v>
      </c>
      <c r="B7" s="2422"/>
      <c r="C7" s="2422"/>
      <c r="D7" s="2422"/>
      <c r="E7" s="2422"/>
      <c r="F7" s="2422"/>
      <c r="G7" s="2422"/>
      <c r="H7" s="2422"/>
      <c r="I7" s="2422"/>
      <c r="J7" s="2422"/>
      <c r="K7" s="2422"/>
      <c r="L7" s="2422"/>
      <c r="M7" s="2422"/>
      <c r="N7" s="2422"/>
      <c r="O7" s="2422"/>
      <c r="P7" s="2422"/>
      <c r="Q7" s="2422"/>
      <c r="R7" s="2422"/>
      <c r="S7" s="2422"/>
    </row>
    <row r="9" spans="1:19" x14ac:dyDescent="0.25">
      <c r="A9" s="217" t="s">
        <v>597</v>
      </c>
    </row>
    <row r="11" spans="1:19" x14ac:dyDescent="0.25">
      <c r="A11" s="301" t="s">
        <v>350</v>
      </c>
      <c r="B11" s="217" t="s">
        <v>551</v>
      </c>
    </row>
    <row r="12" spans="1:19" x14ac:dyDescent="0.25">
      <c r="A12" s="301" t="s">
        <v>351</v>
      </c>
      <c r="B12" s="87" t="s">
        <v>552</v>
      </c>
    </row>
    <row r="13" spans="1:19" x14ac:dyDescent="0.25">
      <c r="A13" s="301" t="s">
        <v>352</v>
      </c>
      <c r="B13" s="319" t="s">
        <v>549</v>
      </c>
    </row>
    <row r="14" spans="1:19" x14ac:dyDescent="0.25">
      <c r="A14" s="301" t="s">
        <v>547</v>
      </c>
      <c r="B14" s="319" t="s">
        <v>550</v>
      </c>
    </row>
    <row r="16" spans="1:19" ht="15.75" thickBot="1" x14ac:dyDescent="0.3"/>
    <row r="17" spans="1:19" ht="15.75" thickBot="1" x14ac:dyDescent="0.3">
      <c r="A17" s="217"/>
      <c r="M17" s="2423" t="s">
        <v>348</v>
      </c>
      <c r="N17" s="2424"/>
      <c r="O17" s="2423" t="s">
        <v>458</v>
      </c>
      <c r="P17" s="2425"/>
      <c r="Q17" s="2426" t="s">
        <v>557</v>
      </c>
      <c r="R17" s="2428" t="s">
        <v>558</v>
      </c>
      <c r="S17" s="2426" t="s">
        <v>559</v>
      </c>
    </row>
    <row r="18" spans="1:19" ht="45.75" thickBot="1" x14ac:dyDescent="0.3">
      <c r="A18" s="304" t="s">
        <v>542</v>
      </c>
      <c r="B18" s="2430" t="s">
        <v>524</v>
      </c>
      <c r="C18" s="2431"/>
      <c r="D18" s="2431"/>
      <c r="E18" s="2431"/>
      <c r="F18" s="2432"/>
      <c r="G18" s="305" t="s">
        <v>525</v>
      </c>
      <c r="H18" s="306" t="s">
        <v>560</v>
      </c>
      <c r="I18" s="295" t="s">
        <v>526</v>
      </c>
      <c r="J18" s="304" t="s">
        <v>117</v>
      </c>
      <c r="K18" s="307" t="s">
        <v>347</v>
      </c>
      <c r="L18" s="310" t="s">
        <v>546</v>
      </c>
      <c r="M18" s="309" t="s">
        <v>118</v>
      </c>
      <c r="N18" s="305" t="s">
        <v>117</v>
      </c>
      <c r="O18" s="309" t="s">
        <v>105</v>
      </c>
      <c r="P18" s="308" t="s">
        <v>104</v>
      </c>
      <c r="Q18" s="2427"/>
      <c r="R18" s="2429"/>
      <c r="S18" s="2427"/>
    </row>
    <row r="19" spans="1:19" ht="18" x14ac:dyDescent="0.25">
      <c r="A19" s="395">
        <v>1</v>
      </c>
      <c r="B19" s="2419" t="s">
        <v>576</v>
      </c>
      <c r="C19" s="2420"/>
      <c r="D19" s="2420"/>
      <c r="E19" s="2420"/>
      <c r="F19" s="2421"/>
      <c r="G19" s="396" t="s">
        <v>574</v>
      </c>
      <c r="H19" s="395" t="s">
        <v>451</v>
      </c>
      <c r="I19" s="376">
        <f>C110</f>
        <v>-887.19913515620476</v>
      </c>
      <c r="J19" s="395" t="s">
        <v>15</v>
      </c>
      <c r="K19" s="404" t="s">
        <v>373</v>
      </c>
      <c r="L19" s="415">
        <f>IF(K19="normal (k=1)",1,IF(K19="normal (k=2)",2,IF(K19="normal (k=3)",3,IF(K19="rectangular",SQRT(3),IF(K19="triangular",SQRT(6),IF(K19="Prob. U",SQRT(2),"no definido"))))))</f>
        <v>2</v>
      </c>
      <c r="M19" s="406">
        <f>C118</f>
        <v>-1.668510080571397E-7</v>
      </c>
      <c r="N19" s="398" t="str">
        <f>D118</f>
        <v>C/h</v>
      </c>
      <c r="O19" s="397">
        <f>I19*M19/L19</f>
        <v>7.4015035024117641E-5</v>
      </c>
      <c r="P19" s="399" t="s">
        <v>8</v>
      </c>
      <c r="Q19" s="400">
        <f t="shared" ref="Q19:Q32" si="0">O19/$C$91</f>
        <v>9.0487922958065146E-3</v>
      </c>
      <c r="R19" s="377">
        <f>Q19*100</f>
        <v>0.90487922958065148</v>
      </c>
      <c r="S19" s="387">
        <f>ABS(O19^2/$O$34^2*100)</f>
        <v>91.283793759792857</v>
      </c>
    </row>
    <row r="20" spans="1:19" ht="18" x14ac:dyDescent="0.25">
      <c r="A20" s="410">
        <v>2</v>
      </c>
      <c r="B20" s="2411" t="s">
        <v>337</v>
      </c>
      <c r="C20" s="2412"/>
      <c r="D20" s="2412"/>
      <c r="E20" s="2412"/>
      <c r="F20" s="2413"/>
      <c r="G20" s="371" t="s">
        <v>530</v>
      </c>
      <c r="H20" s="410" t="s">
        <v>451</v>
      </c>
      <c r="I20" s="411">
        <f>C127</f>
        <v>2.8027999999999998E-3</v>
      </c>
      <c r="J20" s="410" t="s">
        <v>93</v>
      </c>
      <c r="K20" s="412" t="s">
        <v>370</v>
      </c>
      <c r="L20" s="413">
        <f>IF(K20="normal (k=1)",1,IF(K20="normal (k=2)",2,IF(K20="normal (k=3)",3,IF(K20="rectangular",SQRT(3),IF(K20="triangular",SQRT(6),IF(K20="Prob. U",SQRT(2),"no definido"))))))</f>
        <v>1.7320508075688772</v>
      </c>
      <c r="M20" s="407">
        <f>C138</f>
        <v>8.2451609490461954E-3</v>
      </c>
      <c r="N20" s="414" t="str">
        <f>D138</f>
        <v>Gy/h</v>
      </c>
      <c r="O20" s="375">
        <f t="shared" ref="O20:O32" si="1">I20*M20/L20</f>
        <v>1.3342297470143755E-5</v>
      </c>
      <c r="P20" s="373" t="s">
        <v>8</v>
      </c>
      <c r="Q20" s="383">
        <f t="shared" si="0"/>
        <v>1.6311777535044792E-3</v>
      </c>
      <c r="R20" s="380">
        <f t="shared" ref="R20:R32" si="2">Q20*100</f>
        <v>0.16311777535044791</v>
      </c>
      <c r="S20" s="388">
        <f t="shared" ref="S20:S32" si="3">ABS(O20^2/$O$34^2*100)</f>
        <v>2.9662996559921937</v>
      </c>
    </row>
    <row r="21" spans="1:19" ht="18" x14ac:dyDescent="0.25">
      <c r="A21" s="370">
        <v>3</v>
      </c>
      <c r="B21" s="2411" t="s">
        <v>339</v>
      </c>
      <c r="C21" s="2412"/>
      <c r="D21" s="2412"/>
      <c r="E21" s="2412"/>
      <c r="F21" s="2413"/>
      <c r="G21" s="371" t="s">
        <v>531</v>
      </c>
      <c r="H21" s="370" t="s">
        <v>451</v>
      </c>
      <c r="I21" s="372">
        <f>C147</f>
        <v>4.9999999999999999E-13</v>
      </c>
      <c r="J21" s="370" t="s">
        <v>368</v>
      </c>
      <c r="K21" s="386" t="s">
        <v>370</v>
      </c>
      <c r="L21" s="381">
        <f t="shared" ref="L21:L32" si="4">IF(K21="normal (k=1)",1,IF(K21="normal (k=2)",2,IF(K21="normal (k=3)",3,IF(K21="rectangular",SQRT(3),IF(K21="triangular",SQRT(6),IF(K21="Prob. U",SQRT(2),"no definido"))))))</f>
        <v>1.7320508075688772</v>
      </c>
      <c r="M21" s="407">
        <f>C155</f>
        <v>-2984633.1718060402</v>
      </c>
      <c r="N21" s="374" t="str">
        <f>D155</f>
        <v>Gy/(C.h)</v>
      </c>
      <c r="O21" s="375">
        <f t="shared" si="1"/>
        <v>-8.6158938258725203E-7</v>
      </c>
      <c r="P21" s="373" t="s">
        <v>8</v>
      </c>
      <c r="Q21" s="383">
        <f t="shared" si="0"/>
        <v>-1.0533458998923389E-4</v>
      </c>
      <c r="R21" s="380">
        <f t="shared" si="2"/>
        <v>-1.0533458998923389E-2</v>
      </c>
      <c r="S21" s="388">
        <f t="shared" si="3"/>
        <v>1.2369565940360292E-2</v>
      </c>
    </row>
    <row r="22" spans="1:19" ht="18" x14ac:dyDescent="0.25">
      <c r="A22" s="370">
        <v>4</v>
      </c>
      <c r="B22" s="2411" t="s">
        <v>341</v>
      </c>
      <c r="C22" s="2412"/>
      <c r="D22" s="2412"/>
      <c r="E22" s="2412"/>
      <c r="F22" s="2413"/>
      <c r="G22" s="371" t="s">
        <v>532</v>
      </c>
      <c r="H22" s="370" t="s">
        <v>451</v>
      </c>
      <c r="I22" s="372">
        <f>C164</f>
        <v>5.6278752127829534E-6</v>
      </c>
      <c r="J22" s="370" t="s">
        <v>8</v>
      </c>
      <c r="K22" s="386" t="s">
        <v>370</v>
      </c>
      <c r="L22" s="381">
        <f>IF(K22="normal (k=1)",1,IF(K22="normal (k=2)",2,IF(K22="normal (k=3)",3,IF(K22="rectangular",SQRT(3),IF(K22="triangular",SQRT(6),IF(K22="Prob. U",SQRT(2),"no definido"))))))</f>
        <v>1.7320508075688772</v>
      </c>
      <c r="M22" s="407">
        <f>C174</f>
        <v>1</v>
      </c>
      <c r="N22" s="374" t="s">
        <v>93</v>
      </c>
      <c r="O22" s="375">
        <f>I22*M22/L22</f>
        <v>3.2492552690658608E-6</v>
      </c>
      <c r="P22" s="373" t="s">
        <v>8</v>
      </c>
      <c r="Q22" s="383">
        <f t="shared" si="0"/>
        <v>3.9724139880838215E-4</v>
      </c>
      <c r="R22" s="380">
        <f t="shared" si="2"/>
        <v>3.9724139880838213E-2</v>
      </c>
      <c r="S22" s="388">
        <f t="shared" si="3"/>
        <v>0.17592252381599804</v>
      </c>
    </row>
    <row r="23" spans="1:19" ht="18" x14ac:dyDescent="0.25">
      <c r="A23" s="370">
        <v>5</v>
      </c>
      <c r="B23" s="2411" t="s">
        <v>342</v>
      </c>
      <c r="C23" s="2412"/>
      <c r="D23" s="2412"/>
      <c r="E23" s="2412"/>
      <c r="F23" s="2413"/>
      <c r="G23" s="371" t="s">
        <v>533</v>
      </c>
      <c r="H23" s="370" t="s">
        <v>450</v>
      </c>
      <c r="I23" s="372">
        <f>C185</f>
        <v>1.5275252316524151E-13</v>
      </c>
      <c r="J23" s="370" t="s">
        <v>8</v>
      </c>
      <c r="K23" s="386" t="s">
        <v>372</v>
      </c>
      <c r="L23" s="381">
        <f t="shared" si="4"/>
        <v>1</v>
      </c>
      <c r="M23" s="407">
        <f>C195</f>
        <v>-2984633.1718060402</v>
      </c>
      <c r="N23" s="374" t="s">
        <v>93</v>
      </c>
      <c r="O23" s="375">
        <f t="shared" si="1"/>
        <v>-4.5591024771605037E-7</v>
      </c>
      <c r="P23" s="373" t="s">
        <v>8</v>
      </c>
      <c r="Q23" s="383">
        <f t="shared" si="0"/>
        <v>-5.5737825912910422E-5</v>
      </c>
      <c r="R23" s="380">
        <f t="shared" si="2"/>
        <v>-5.5737825912910424E-3</v>
      </c>
      <c r="S23" s="388">
        <f t="shared" si="3"/>
        <v>3.4634784633030056E-3</v>
      </c>
    </row>
    <row r="24" spans="1:19" ht="18" x14ac:dyDescent="0.25">
      <c r="A24" s="370">
        <v>6</v>
      </c>
      <c r="B24" s="2411" t="s">
        <v>340</v>
      </c>
      <c r="C24" s="2412"/>
      <c r="D24" s="2412"/>
      <c r="E24" s="2412"/>
      <c r="F24" s="2413"/>
      <c r="G24" s="371" t="s">
        <v>534</v>
      </c>
      <c r="H24" s="370" t="s">
        <v>451</v>
      </c>
      <c r="I24" s="372">
        <f>C208</f>
        <v>2.4538755783089922E-5</v>
      </c>
      <c r="J24" s="370" t="s">
        <v>8</v>
      </c>
      <c r="K24" s="386" t="s">
        <v>370</v>
      </c>
      <c r="L24" s="381">
        <f t="shared" si="4"/>
        <v>1.7320508075688772</v>
      </c>
      <c r="M24" s="407">
        <f>C215</f>
        <v>1</v>
      </c>
      <c r="N24" s="374" t="s">
        <v>93</v>
      </c>
      <c r="O24" s="375">
        <f t="shared" si="1"/>
        <v>1.4167457256945453E-5</v>
      </c>
      <c r="P24" s="373" t="s">
        <v>8</v>
      </c>
      <c r="Q24" s="383">
        <f t="shared" si="0"/>
        <v>1.732058601823845E-3</v>
      </c>
      <c r="R24" s="380">
        <f t="shared" si="2"/>
        <v>0.17320586018238449</v>
      </c>
      <c r="S24" s="388">
        <f t="shared" si="3"/>
        <v>3.3445493247767044</v>
      </c>
    </row>
    <row r="25" spans="1:19" ht="18" x14ac:dyDescent="0.25">
      <c r="A25" s="370">
        <v>7</v>
      </c>
      <c r="B25" s="2411" t="s">
        <v>429</v>
      </c>
      <c r="C25" s="2412"/>
      <c r="D25" s="2412"/>
      <c r="E25" s="2412"/>
      <c r="F25" s="2413"/>
      <c r="G25" s="371" t="s">
        <v>535</v>
      </c>
      <c r="H25" s="370" t="s">
        <v>451</v>
      </c>
      <c r="I25" s="372">
        <f>C224</f>
        <v>1.6290376609367276E-5</v>
      </c>
      <c r="J25" s="370" t="s">
        <v>8</v>
      </c>
      <c r="K25" s="386" t="s">
        <v>370</v>
      </c>
      <c r="L25" s="381">
        <f t="shared" si="4"/>
        <v>1.7320508075688772</v>
      </c>
      <c r="M25" s="407">
        <f>C234</f>
        <v>1</v>
      </c>
      <c r="N25" s="374" t="s">
        <v>93</v>
      </c>
      <c r="O25" s="375">
        <f t="shared" si="1"/>
        <v>9.4052533206185802E-6</v>
      </c>
      <c r="P25" s="373" t="s">
        <v>8</v>
      </c>
      <c r="Q25" s="383">
        <f t="shared" si="0"/>
        <v>1.1498499427851435E-3</v>
      </c>
      <c r="R25" s="380">
        <f t="shared" si="2"/>
        <v>0.11498499427851434</v>
      </c>
      <c r="S25" s="388">
        <f t="shared" si="3"/>
        <v>1.4739908165702249</v>
      </c>
    </row>
    <row r="26" spans="1:19" ht="18" x14ac:dyDescent="0.25">
      <c r="A26" s="370">
        <v>8</v>
      </c>
      <c r="B26" s="2411" t="s">
        <v>452</v>
      </c>
      <c r="C26" s="2412"/>
      <c r="D26" s="2412"/>
      <c r="E26" s="2412"/>
      <c r="F26" s="2413"/>
      <c r="G26" s="371" t="s">
        <v>536</v>
      </c>
      <c r="H26" s="370" t="s">
        <v>451</v>
      </c>
      <c r="I26" s="372">
        <f>C245</f>
        <v>4.4950428988799543E-6</v>
      </c>
      <c r="J26" s="370" t="s">
        <v>8</v>
      </c>
      <c r="K26" s="386" t="s">
        <v>373</v>
      </c>
      <c r="L26" s="381">
        <f t="shared" si="4"/>
        <v>2</v>
      </c>
      <c r="M26" s="407">
        <f>C252</f>
        <v>1</v>
      </c>
      <c r="N26" s="374" t="s">
        <v>93</v>
      </c>
      <c r="O26" s="375">
        <f t="shared" si="1"/>
        <v>2.2475214494399771E-6</v>
      </c>
      <c r="P26" s="373" t="s">
        <v>8</v>
      </c>
      <c r="Q26" s="383">
        <f t="shared" si="0"/>
        <v>2.7477329126069419E-4</v>
      </c>
      <c r="R26" s="380">
        <f t="shared" si="2"/>
        <v>2.7477329126069417E-2</v>
      </c>
      <c r="S26" s="388">
        <f t="shared" si="3"/>
        <v>8.4170803584175544E-2</v>
      </c>
    </row>
    <row r="27" spans="1:19" ht="18" x14ac:dyDescent="0.25">
      <c r="A27" s="370">
        <v>9</v>
      </c>
      <c r="B27" s="2411" t="s">
        <v>511</v>
      </c>
      <c r="C27" s="2412"/>
      <c r="D27" s="2412"/>
      <c r="E27" s="2412"/>
      <c r="F27" s="2413"/>
      <c r="G27" s="371" t="s">
        <v>537</v>
      </c>
      <c r="H27" s="370" t="s">
        <v>451</v>
      </c>
      <c r="I27" s="372">
        <f>C263</f>
        <v>4.0867089394084136E-6</v>
      </c>
      <c r="J27" s="370" t="s">
        <v>8</v>
      </c>
      <c r="K27" s="386" t="s">
        <v>370</v>
      </c>
      <c r="L27" s="381">
        <f t="shared" si="4"/>
        <v>1.7320508075688772</v>
      </c>
      <c r="M27" s="407">
        <f>C270</f>
        <v>1</v>
      </c>
      <c r="N27" s="374" t="s">
        <v>93</v>
      </c>
      <c r="O27" s="375">
        <f t="shared" si="1"/>
        <v>2.3594625062670976E-6</v>
      </c>
      <c r="P27" s="373" t="s">
        <v>8</v>
      </c>
      <c r="Q27" s="383">
        <f t="shared" si="0"/>
        <v>2.8845877249125261E-4</v>
      </c>
      <c r="R27" s="380">
        <f t="shared" si="2"/>
        <v>2.8845877249125261E-2</v>
      </c>
      <c r="S27" s="388">
        <f t="shared" si="3"/>
        <v>9.2764101842056176E-2</v>
      </c>
    </row>
    <row r="28" spans="1:19" ht="18" x14ac:dyDescent="0.25">
      <c r="A28" s="370">
        <v>10</v>
      </c>
      <c r="B28" s="2411" t="s">
        <v>343</v>
      </c>
      <c r="C28" s="2412"/>
      <c r="D28" s="2412"/>
      <c r="E28" s="2412"/>
      <c r="F28" s="2413"/>
      <c r="G28" s="371" t="s">
        <v>538</v>
      </c>
      <c r="H28" s="370" t="s">
        <v>451</v>
      </c>
      <c r="I28" s="372">
        <f>C279</f>
        <v>0.4</v>
      </c>
      <c r="J28" s="370" t="s">
        <v>12</v>
      </c>
      <c r="K28" s="386" t="s">
        <v>373</v>
      </c>
      <c r="L28" s="381">
        <f t="shared" si="4"/>
        <v>2</v>
      </c>
      <c r="M28" s="407">
        <f>C286</f>
        <v>2.8087140071448845E-5</v>
      </c>
      <c r="N28" s="374" t="str">
        <f>D286</f>
        <v>Gy/(h.°C)</v>
      </c>
      <c r="O28" s="375">
        <f t="shared" si="1"/>
        <v>5.6174280142897691E-6</v>
      </c>
      <c r="P28" s="373" t="s">
        <v>8</v>
      </c>
      <c r="Q28" s="383">
        <f t="shared" si="0"/>
        <v>6.8676505147082347E-4</v>
      </c>
      <c r="R28" s="380">
        <f t="shared" si="2"/>
        <v>6.8676505147082345E-2</v>
      </c>
      <c r="S28" s="388">
        <f t="shared" si="3"/>
        <v>0.52580996764547894</v>
      </c>
    </row>
    <row r="29" spans="1:19" ht="18" x14ac:dyDescent="0.25">
      <c r="A29" s="370">
        <v>11</v>
      </c>
      <c r="B29" s="2411" t="s">
        <v>394</v>
      </c>
      <c r="C29" s="2412"/>
      <c r="D29" s="2412"/>
      <c r="E29" s="2412"/>
      <c r="F29" s="2413"/>
      <c r="G29" s="371" t="s">
        <v>539</v>
      </c>
      <c r="H29" s="370" t="s">
        <v>451</v>
      </c>
      <c r="I29" s="385">
        <f>C295</f>
        <v>0.05</v>
      </c>
      <c r="J29" s="370" t="s">
        <v>12</v>
      </c>
      <c r="K29" s="386" t="s">
        <v>370</v>
      </c>
      <c r="L29" s="381">
        <f t="shared" si="4"/>
        <v>1.7320508075688772</v>
      </c>
      <c r="M29" s="407">
        <f>C302</f>
        <v>2.8087140071448845E-5</v>
      </c>
      <c r="N29" s="374" t="str">
        <f>D286</f>
        <v>Gy/(h.°C)</v>
      </c>
      <c r="O29" s="375">
        <f t="shared" si="1"/>
        <v>8.1080589405088585E-7</v>
      </c>
      <c r="P29" s="373" t="s">
        <v>8</v>
      </c>
      <c r="Q29" s="383">
        <f t="shared" si="0"/>
        <v>9.9125996834176791E-5</v>
      </c>
      <c r="R29" s="380">
        <f t="shared" si="2"/>
        <v>9.9125996834176795E-3</v>
      </c>
      <c r="S29" s="388">
        <f t="shared" si="3"/>
        <v>1.0954374325947482E-2</v>
      </c>
    </row>
    <row r="30" spans="1:19" ht="18" x14ac:dyDescent="0.25">
      <c r="A30" s="370">
        <v>12</v>
      </c>
      <c r="B30" s="2411" t="s">
        <v>344</v>
      </c>
      <c r="C30" s="2412"/>
      <c r="D30" s="2412"/>
      <c r="E30" s="2412"/>
      <c r="F30" s="2413"/>
      <c r="G30" s="371" t="s">
        <v>540</v>
      </c>
      <c r="H30" s="370" t="s">
        <v>451</v>
      </c>
      <c r="I30" s="385">
        <f>C311</f>
        <v>0.3</v>
      </c>
      <c r="J30" s="370" t="s">
        <v>16</v>
      </c>
      <c r="K30" s="386" t="s">
        <v>373</v>
      </c>
      <c r="L30" s="381">
        <f t="shared" si="4"/>
        <v>2</v>
      </c>
      <c r="M30" s="407">
        <f>C321</f>
        <v>-8.1636064391644322E-6</v>
      </c>
      <c r="N30" s="374" t="str">
        <f>D321</f>
        <v>Gy/(h.hPa)</v>
      </c>
      <c r="O30" s="375">
        <f t="shared" si="1"/>
        <v>-1.2245409658746648E-6</v>
      </c>
      <c r="P30" s="373" t="s">
        <v>8</v>
      </c>
      <c r="Q30" s="383">
        <f t="shared" si="0"/>
        <v>-1.4970764864592092E-4</v>
      </c>
      <c r="R30" s="380">
        <f t="shared" si="2"/>
        <v>-1.4970764864592092E-2</v>
      </c>
      <c r="S30" s="388">
        <f t="shared" si="3"/>
        <v>2.4986211991709081E-2</v>
      </c>
    </row>
    <row r="31" spans="1:19" ht="18" x14ac:dyDescent="0.25">
      <c r="A31" s="370">
        <v>13</v>
      </c>
      <c r="B31" s="2411" t="s">
        <v>345</v>
      </c>
      <c r="C31" s="2412"/>
      <c r="D31" s="2412"/>
      <c r="E31" s="2412"/>
      <c r="F31" s="2413"/>
      <c r="G31" s="371" t="s">
        <v>541</v>
      </c>
      <c r="H31" s="370" t="s">
        <v>451</v>
      </c>
      <c r="I31" s="385">
        <f>C330</f>
        <v>0.05</v>
      </c>
      <c r="J31" s="370" t="s">
        <v>16</v>
      </c>
      <c r="K31" s="386" t="s">
        <v>370</v>
      </c>
      <c r="L31" s="381">
        <f t="shared" si="4"/>
        <v>1.7320508075688772</v>
      </c>
      <c r="M31" s="407">
        <f>C340</f>
        <v>-8.1636064391644322E-6</v>
      </c>
      <c r="N31" s="374" t="str">
        <f>D340</f>
        <v>Gy/(h.hPa)</v>
      </c>
      <c r="O31" s="375">
        <f t="shared" si="1"/>
        <v>-2.3566301876048738E-7</v>
      </c>
      <c r="P31" s="373" t="s">
        <v>8</v>
      </c>
      <c r="Q31" s="383">
        <f t="shared" si="0"/>
        <v>-2.8811250415156123E-5</v>
      </c>
      <c r="R31" s="380">
        <f t="shared" si="2"/>
        <v>-2.8811250415156121E-3</v>
      </c>
      <c r="S31" s="389">
        <f t="shared" si="3"/>
        <v>9.2541525895218821E-4</v>
      </c>
    </row>
    <row r="32" spans="1:19" ht="18.75" thickBot="1" x14ac:dyDescent="0.3">
      <c r="A32" s="403">
        <v>14</v>
      </c>
      <c r="B32" s="2417" t="s">
        <v>562</v>
      </c>
      <c r="C32" s="2418"/>
      <c r="D32" s="2418"/>
      <c r="E32" s="2418"/>
      <c r="F32" s="2418"/>
      <c r="G32" s="409" t="s">
        <v>563</v>
      </c>
      <c r="H32" s="403" t="s">
        <v>451</v>
      </c>
      <c r="I32" s="402">
        <f>C349</f>
        <v>6.9444444444444444E-5</v>
      </c>
      <c r="J32" s="403" t="s">
        <v>571</v>
      </c>
      <c r="K32" s="401" t="s">
        <v>370</v>
      </c>
      <c r="L32" s="393">
        <f t="shared" si="4"/>
        <v>1.7320508075688772</v>
      </c>
      <c r="M32" s="405">
        <f>C356</f>
        <v>-1.3755676849992068E-4</v>
      </c>
      <c r="N32" s="408" t="str">
        <f>D356</f>
        <v>Gy/(h*h)</v>
      </c>
      <c r="O32" s="394">
        <f t="shared" si="1"/>
        <v>-5.5151692584919613E-9</v>
      </c>
      <c r="P32" s="401" t="s">
        <v>8</v>
      </c>
      <c r="Q32" s="384">
        <f t="shared" si="0"/>
        <v>-6.7426329096580653E-7</v>
      </c>
      <c r="R32" s="382">
        <f t="shared" si="2"/>
        <v>-6.7426329096580649E-5</v>
      </c>
      <c r="S32" s="390">
        <f t="shared" si="3"/>
        <v>5.068406903160738E-7</v>
      </c>
    </row>
    <row r="33" spans="1:19" ht="15.75" thickBot="1" x14ac:dyDescent="0.3">
      <c r="G33" s="300"/>
      <c r="M33" s="88"/>
      <c r="O33" s="88"/>
      <c r="Q33" s="222"/>
      <c r="R33" s="88"/>
      <c r="S33" s="88"/>
    </row>
    <row r="34" spans="1:19" x14ac:dyDescent="0.25">
      <c r="M34" s="311"/>
      <c r="N34" s="312" t="s">
        <v>543</v>
      </c>
      <c r="O34" s="376">
        <f>SQRT(SUMSQ(O19:O31))</f>
        <v>7.7468136379356048E-5</v>
      </c>
      <c r="P34" s="377" t="s">
        <v>8</v>
      </c>
      <c r="Q34" s="88"/>
      <c r="S34" s="222"/>
    </row>
    <row r="35" spans="1:19" x14ac:dyDescent="0.25">
      <c r="M35" s="313"/>
      <c r="N35" s="303" t="s">
        <v>544</v>
      </c>
      <c r="O35" s="333" t="s">
        <v>373</v>
      </c>
      <c r="P35" s="378"/>
      <c r="Q35" s="88"/>
      <c r="S35" s="222"/>
    </row>
    <row r="36" spans="1:19" x14ac:dyDescent="0.25">
      <c r="M36" s="314"/>
      <c r="N36" s="302" t="s">
        <v>561</v>
      </c>
      <c r="O36" s="379">
        <f>IF(O35="normal (k=1)",1,IF(O35="normal (k=2)",2,IF(O35="normal (k=3)",3,IF(O35="rectangular",SQRT(3),IF(O35="triangular",SQRT(6),IF(O35="Prob. U",SQRT(2),"no definido"))))))</f>
        <v>2</v>
      </c>
      <c r="P36" s="380"/>
      <c r="Q36" s="88"/>
    </row>
    <row r="37" spans="1:19" ht="18" x14ac:dyDescent="0.25">
      <c r="A37" s="217"/>
      <c r="M37" s="315"/>
      <c r="N37" s="303" t="s">
        <v>601</v>
      </c>
      <c r="O37" s="334">
        <f>O34*O36</f>
        <v>1.549362727587121E-4</v>
      </c>
      <c r="P37" s="378" t="s">
        <v>8</v>
      </c>
      <c r="Q37" s="88"/>
    </row>
    <row r="38" spans="1:19" ht="18.75" thickBot="1" x14ac:dyDescent="0.3">
      <c r="A38" s="217"/>
      <c r="M38" s="316"/>
      <c r="N38" s="317" t="s">
        <v>601</v>
      </c>
      <c r="O38" s="391">
        <f>O37/C91</f>
        <v>1.8941910259492233E-2</v>
      </c>
      <c r="P38" s="318"/>
      <c r="Q38" s="88"/>
    </row>
    <row r="39" spans="1:19" x14ac:dyDescent="0.25">
      <c r="A39" s="217"/>
      <c r="N39" s="220"/>
      <c r="O39" s="88"/>
      <c r="P39" s="88"/>
      <c r="Q39" s="88"/>
    </row>
    <row r="40" spans="1:19" x14ac:dyDescent="0.25">
      <c r="A40" s="217"/>
      <c r="N40" s="220"/>
      <c r="O40" s="88"/>
      <c r="P40" s="88"/>
      <c r="Q40" s="88"/>
    </row>
    <row r="41" spans="1:19" x14ac:dyDescent="0.25">
      <c r="A41" s="217"/>
      <c r="N41" s="220"/>
      <c r="O41" s="88"/>
      <c r="P41" s="88"/>
      <c r="Q41" s="88"/>
    </row>
    <row r="42" spans="1:19" x14ac:dyDescent="0.25">
      <c r="A42" s="217"/>
      <c r="N42" s="220"/>
      <c r="O42" s="88"/>
      <c r="P42" s="88"/>
      <c r="Q42" s="88"/>
    </row>
    <row r="43" spans="1:19" x14ac:dyDescent="0.25">
      <c r="A43" s="217"/>
      <c r="N43" s="220"/>
      <c r="O43" s="88"/>
      <c r="P43" s="88"/>
      <c r="Q43" s="88"/>
    </row>
    <row r="44" spans="1:19" x14ac:dyDescent="0.25">
      <c r="A44" s="217"/>
      <c r="N44" s="220"/>
      <c r="O44" s="88"/>
      <c r="P44" s="88"/>
      <c r="Q44" s="88"/>
    </row>
    <row r="45" spans="1:19" x14ac:dyDescent="0.25">
      <c r="A45" s="217"/>
      <c r="N45" s="220"/>
      <c r="O45" s="88"/>
      <c r="P45" s="88"/>
      <c r="Q45" s="88"/>
    </row>
    <row r="46" spans="1:19" x14ac:dyDescent="0.25">
      <c r="A46" s="217"/>
      <c r="N46" s="220"/>
      <c r="O46" s="88"/>
      <c r="P46" s="88"/>
      <c r="Q46" s="88"/>
    </row>
    <row r="47" spans="1:19" x14ac:dyDescent="0.25">
      <c r="A47" s="217"/>
      <c r="N47" s="220"/>
      <c r="O47" s="88"/>
      <c r="P47" s="88"/>
      <c r="Q47" s="88"/>
    </row>
    <row r="48" spans="1:19" x14ac:dyDescent="0.25">
      <c r="A48" s="217"/>
      <c r="N48" s="220"/>
      <c r="O48" s="88"/>
      <c r="P48" s="88"/>
      <c r="Q48" s="88"/>
    </row>
    <row r="49" spans="1:17" x14ac:dyDescent="0.25">
      <c r="A49" s="217"/>
      <c r="N49" s="220"/>
      <c r="O49" s="88"/>
      <c r="P49" s="88"/>
      <c r="Q49" s="88"/>
    </row>
    <row r="50" spans="1:17" x14ac:dyDescent="0.25">
      <c r="A50" s="217"/>
      <c r="N50" s="220"/>
      <c r="O50" s="88"/>
      <c r="P50" s="88"/>
      <c r="Q50" s="88"/>
    </row>
    <row r="51" spans="1:17" x14ac:dyDescent="0.25">
      <c r="A51" s="217"/>
      <c r="N51" s="220"/>
      <c r="O51" s="88"/>
      <c r="P51" s="88"/>
      <c r="Q51" s="88"/>
    </row>
    <row r="52" spans="1:17" x14ac:dyDescent="0.25">
      <c r="A52" s="217"/>
      <c r="N52" s="220"/>
      <c r="O52" s="88"/>
      <c r="P52" s="88"/>
      <c r="Q52" s="88"/>
    </row>
    <row r="53" spans="1:17" x14ac:dyDescent="0.25">
      <c r="A53" s="217"/>
      <c r="N53" s="220"/>
      <c r="O53" s="88"/>
      <c r="P53" s="88"/>
      <c r="Q53" s="88"/>
    </row>
    <row r="54" spans="1:17" x14ac:dyDescent="0.25">
      <c r="A54" s="217"/>
      <c r="N54" s="220"/>
      <c r="O54" s="88"/>
      <c r="P54" s="88"/>
      <c r="Q54" s="88"/>
    </row>
    <row r="55" spans="1:17" x14ac:dyDescent="0.25">
      <c r="A55" s="217"/>
      <c r="N55" s="220"/>
      <c r="O55" s="88"/>
      <c r="P55" s="88"/>
      <c r="Q55" s="88"/>
    </row>
    <row r="56" spans="1:17" x14ac:dyDescent="0.25">
      <c r="A56" s="217"/>
      <c r="N56" s="220"/>
      <c r="O56" s="88"/>
      <c r="P56" s="88"/>
      <c r="Q56" s="88"/>
    </row>
    <row r="57" spans="1:17" x14ac:dyDescent="0.25">
      <c r="A57" s="217"/>
      <c r="N57" s="220"/>
      <c r="O57" s="88"/>
      <c r="P57" s="88"/>
      <c r="Q57" s="88"/>
    </row>
    <row r="58" spans="1:17" x14ac:dyDescent="0.25">
      <c r="A58" s="217"/>
      <c r="N58" s="220"/>
      <c r="O58" s="88"/>
      <c r="P58" s="88"/>
      <c r="Q58" s="88"/>
    </row>
    <row r="59" spans="1:17" x14ac:dyDescent="0.25">
      <c r="A59" s="217"/>
      <c r="N59" s="220"/>
      <c r="O59" s="88"/>
      <c r="P59" s="88"/>
      <c r="Q59" s="88"/>
    </row>
    <row r="60" spans="1:17" x14ac:dyDescent="0.25">
      <c r="A60" s="217"/>
      <c r="N60" s="220"/>
      <c r="O60" s="88"/>
      <c r="P60" s="88"/>
      <c r="Q60" s="88"/>
    </row>
    <row r="61" spans="1:17" x14ac:dyDescent="0.25">
      <c r="A61" s="217"/>
      <c r="N61" s="220"/>
      <c r="O61" s="88"/>
      <c r="P61" s="88"/>
      <c r="Q61" s="88"/>
    </row>
    <row r="62" spans="1:17" x14ac:dyDescent="0.25">
      <c r="A62" s="217"/>
      <c r="N62" s="220"/>
      <c r="O62" s="88"/>
      <c r="P62" s="88"/>
      <c r="Q62" s="88"/>
    </row>
    <row r="63" spans="1:17" x14ac:dyDescent="0.25">
      <c r="A63" s="217"/>
      <c r="N63" s="220"/>
      <c r="O63" s="88"/>
      <c r="P63" s="88"/>
      <c r="Q63" s="88"/>
    </row>
    <row r="64" spans="1:17" x14ac:dyDescent="0.25">
      <c r="A64" s="217"/>
      <c r="N64" s="220"/>
      <c r="O64" s="88"/>
      <c r="P64" s="88"/>
      <c r="Q64" s="88"/>
    </row>
    <row r="65" spans="1:17" x14ac:dyDescent="0.25">
      <c r="A65" s="217"/>
      <c r="N65" s="220"/>
      <c r="O65" s="88"/>
      <c r="P65" s="88"/>
      <c r="Q65" s="88"/>
    </row>
    <row r="66" spans="1:17" x14ac:dyDescent="0.25">
      <c r="A66" s="217"/>
      <c r="N66" s="220"/>
      <c r="O66" s="88"/>
      <c r="P66" s="88"/>
      <c r="Q66" s="88"/>
    </row>
    <row r="67" spans="1:17" ht="15.75" thickBot="1" x14ac:dyDescent="0.3">
      <c r="A67" s="217"/>
      <c r="N67" s="220"/>
      <c r="O67" s="88"/>
      <c r="P67" s="88"/>
      <c r="Q67" s="88"/>
    </row>
    <row r="68" spans="1:17" x14ac:dyDescent="0.25">
      <c r="A68" s="335"/>
      <c r="B68" s="336"/>
      <c r="C68" s="336"/>
      <c r="D68" s="336"/>
      <c r="E68" s="336"/>
      <c r="F68" s="337"/>
      <c r="N68" s="220"/>
      <c r="O68" s="88"/>
      <c r="P68" s="88"/>
      <c r="Q68" s="88"/>
    </row>
    <row r="69" spans="1:17" x14ac:dyDescent="0.25">
      <c r="A69" s="338" t="s">
        <v>462</v>
      </c>
      <c r="B69" s="339"/>
      <c r="C69" s="339"/>
      <c r="D69" s="339"/>
      <c r="E69" s="339"/>
      <c r="F69" s="340"/>
      <c r="N69" s="220"/>
      <c r="O69" s="88"/>
      <c r="P69" s="88"/>
      <c r="Q69" s="88"/>
    </row>
    <row r="70" spans="1:17" x14ac:dyDescent="0.25">
      <c r="A70" s="341"/>
      <c r="B70" s="339"/>
      <c r="C70" s="339"/>
      <c r="D70" s="339"/>
      <c r="E70" s="339"/>
      <c r="F70" s="340"/>
    </row>
    <row r="71" spans="1:17" x14ac:dyDescent="0.25">
      <c r="A71" s="341"/>
      <c r="B71" s="342"/>
      <c r="C71" s="339"/>
      <c r="D71" s="339"/>
      <c r="E71" s="339"/>
      <c r="F71" s="340"/>
    </row>
    <row r="72" spans="1:17" x14ac:dyDescent="0.25">
      <c r="A72" s="341"/>
      <c r="B72" s="339"/>
      <c r="C72" s="339"/>
      <c r="D72" s="339"/>
      <c r="E72" s="339"/>
      <c r="F72" s="340"/>
      <c r="N72" s="88"/>
      <c r="O72" s="88"/>
      <c r="P72" s="88"/>
    </row>
    <row r="73" spans="1:17" x14ac:dyDescent="0.25">
      <c r="A73" s="341"/>
      <c r="B73" s="339"/>
      <c r="C73" s="339"/>
      <c r="D73" s="339"/>
      <c r="E73" s="339"/>
      <c r="F73" s="340"/>
      <c r="N73" s="88"/>
      <c r="O73" s="88"/>
      <c r="P73" s="88"/>
    </row>
    <row r="74" spans="1:17" x14ac:dyDescent="0.25">
      <c r="A74" s="341"/>
      <c r="B74" s="339"/>
      <c r="C74" s="339"/>
      <c r="D74" s="339"/>
      <c r="E74" s="339"/>
      <c r="F74" s="340"/>
      <c r="N74" s="88"/>
      <c r="O74" s="88"/>
      <c r="P74" s="88"/>
    </row>
    <row r="75" spans="1:17" x14ac:dyDescent="0.25">
      <c r="A75" s="341"/>
      <c r="B75" s="339" t="s">
        <v>465</v>
      </c>
      <c r="C75" s="339"/>
      <c r="D75" s="339"/>
      <c r="E75" s="339"/>
      <c r="F75" s="340"/>
      <c r="N75" s="88"/>
      <c r="O75" s="88"/>
      <c r="P75" s="88"/>
    </row>
    <row r="76" spans="1:17" x14ac:dyDescent="0.25">
      <c r="A76" s="341"/>
      <c r="B76" s="339"/>
      <c r="C76" s="342"/>
      <c r="D76" s="339"/>
      <c r="E76" s="339"/>
      <c r="F76" s="340"/>
      <c r="N76" s="88"/>
      <c r="O76" s="88"/>
      <c r="P76" s="88"/>
    </row>
    <row r="77" spans="1:17" x14ac:dyDescent="0.25">
      <c r="A77" s="341"/>
      <c r="B77" s="342"/>
      <c r="C77" s="339"/>
      <c r="D77" s="339"/>
      <c r="E77" s="339"/>
      <c r="F77" s="340"/>
      <c r="N77" s="88"/>
      <c r="O77" s="88"/>
      <c r="P77" s="88"/>
    </row>
    <row r="78" spans="1:17" x14ac:dyDescent="0.25">
      <c r="A78" s="341"/>
      <c r="B78" s="339"/>
      <c r="C78" s="339"/>
      <c r="D78" s="339"/>
      <c r="E78" s="339"/>
      <c r="F78" s="340"/>
      <c r="N78" s="88"/>
      <c r="O78" s="88"/>
      <c r="P78" s="88"/>
    </row>
    <row r="79" spans="1:17" x14ac:dyDescent="0.25">
      <c r="A79" s="341"/>
      <c r="B79" s="339"/>
      <c r="C79" s="339"/>
      <c r="D79" s="339"/>
      <c r="E79" s="339"/>
      <c r="F79" s="340"/>
      <c r="N79" s="88"/>
      <c r="O79" s="88"/>
      <c r="P79" s="88"/>
    </row>
    <row r="80" spans="1:17" x14ac:dyDescent="0.25">
      <c r="A80" s="341"/>
      <c r="B80" s="339" t="s">
        <v>376</v>
      </c>
      <c r="C80" s="339"/>
      <c r="D80" s="339"/>
      <c r="E80" s="339"/>
      <c r="F80" s="340"/>
    </row>
    <row r="81" spans="1:16" x14ac:dyDescent="0.25">
      <c r="A81" s="341"/>
      <c r="B81" s="339"/>
      <c r="C81" s="339"/>
      <c r="D81" s="339"/>
      <c r="E81" s="339"/>
      <c r="F81" s="340"/>
    </row>
    <row r="82" spans="1:16" ht="18" x14ac:dyDescent="0.25">
      <c r="A82" s="341"/>
      <c r="B82" s="339" t="s">
        <v>379</v>
      </c>
      <c r="C82" s="343">
        <f>'F-LSCD-002 (Nk-IRD)'!Q101</f>
        <v>-49465.72517661257</v>
      </c>
      <c r="D82" s="339" t="str">
        <f>'F-LSCD-002 (Dosimetría)'!C34</f>
        <v>Gy/C</v>
      </c>
      <c r="E82" s="339"/>
      <c r="F82" s="340"/>
      <c r="I82" s="88"/>
    </row>
    <row r="83" spans="1:16" ht="18" x14ac:dyDescent="0.25">
      <c r="A83" s="341"/>
      <c r="B83" s="344" t="s">
        <v>377</v>
      </c>
      <c r="C83" s="339">
        <f>'F-LSCD-002 (Dosimetría)'!D44</f>
        <v>1.0009999999999999</v>
      </c>
      <c r="D83" s="339" t="s">
        <v>384</v>
      </c>
      <c r="E83" s="339"/>
      <c r="F83" s="340"/>
    </row>
    <row r="84" spans="1:16" ht="18" x14ac:dyDescent="0.25">
      <c r="A84" s="341"/>
      <c r="B84" s="344" t="s">
        <v>378</v>
      </c>
      <c r="C84" s="345">
        <v>1</v>
      </c>
      <c r="D84" s="339"/>
      <c r="E84" s="339"/>
      <c r="F84" s="340"/>
    </row>
    <row r="85" spans="1:16" x14ac:dyDescent="0.25">
      <c r="A85" s="341"/>
      <c r="B85" s="344" t="s">
        <v>472</v>
      </c>
      <c r="C85" s="343">
        <f>'F-LSCD-002 (Nk-IRD)'!E101</f>
        <v>-2.7652999999999995E-9</v>
      </c>
      <c r="D85" s="339" t="s">
        <v>368</v>
      </c>
      <c r="E85" s="339"/>
      <c r="F85" s="340"/>
    </row>
    <row r="86" spans="1:16" x14ac:dyDescent="0.25">
      <c r="A86" s="341"/>
      <c r="B86" s="339" t="s">
        <v>473</v>
      </c>
      <c r="C86" s="346">
        <f>'F-LSCD-002 (Nk-IRD)'!F101</f>
        <v>60</v>
      </c>
      <c r="D86" s="339" t="s">
        <v>369</v>
      </c>
      <c r="E86" s="339"/>
      <c r="F86" s="340"/>
    </row>
    <row r="87" spans="1:16" ht="18" x14ac:dyDescent="0.25">
      <c r="A87" s="341"/>
      <c r="B87" s="339" t="s">
        <v>380</v>
      </c>
      <c r="C87" s="339">
        <f>'F-LSCD-002 (Dosimetría)'!F33</f>
        <v>1013.25</v>
      </c>
      <c r="D87" s="339" t="str">
        <f>'F-LSCD-002 (Dosimetría)'!G33</f>
        <v>hPa</v>
      </c>
      <c r="E87" s="339"/>
      <c r="F87" s="340"/>
    </row>
    <row r="88" spans="1:16" x14ac:dyDescent="0.25">
      <c r="A88" s="341"/>
      <c r="B88" s="344" t="s">
        <v>381</v>
      </c>
      <c r="C88" s="346">
        <f>'F-LSCD-002 (Nk-IRD)'!D101</f>
        <v>1011</v>
      </c>
      <c r="D88" s="339" t="str">
        <f>D87</f>
        <v>hPa</v>
      </c>
      <c r="E88" s="339"/>
      <c r="F88" s="340"/>
    </row>
    <row r="89" spans="1:16" ht="18" x14ac:dyDescent="0.25">
      <c r="A89" s="341"/>
      <c r="B89" s="339" t="s">
        <v>383</v>
      </c>
      <c r="C89" s="339">
        <v>20</v>
      </c>
      <c r="D89" s="339" t="str">
        <f>'F-LSCD-002 (Dosimetría)'!G32</f>
        <v>°C</v>
      </c>
      <c r="E89" s="339"/>
      <c r="F89" s="340"/>
    </row>
    <row r="90" spans="1:16" x14ac:dyDescent="0.25">
      <c r="A90" s="341"/>
      <c r="B90" s="344" t="s">
        <v>382</v>
      </c>
      <c r="C90" s="339">
        <f>'F-LSCD-002 (Nk-IRD)'!B101</f>
        <v>20.699999999999996</v>
      </c>
      <c r="D90" s="339" t="str">
        <f>D89</f>
        <v>°C</v>
      </c>
      <c r="E90" s="339"/>
      <c r="F90" s="340"/>
      <c r="H90" s="88"/>
    </row>
    <row r="91" spans="1:16" x14ac:dyDescent="0.25">
      <c r="A91" s="341"/>
      <c r="B91" s="347" t="s">
        <v>400</v>
      </c>
      <c r="C91" s="343">
        <f>'F-LSCD-002 (Tasa Kar-Aleph)'!L101</f>
        <v>8.1795484529375764E-3</v>
      </c>
      <c r="D91" s="339" t="s">
        <v>8</v>
      </c>
      <c r="E91" s="339"/>
      <c r="F91" s="340"/>
    </row>
    <row r="92" spans="1:16" x14ac:dyDescent="0.25">
      <c r="A92" s="341"/>
      <c r="B92" s="347" t="s">
        <v>417</v>
      </c>
      <c r="C92" s="348">
        <f>'F-LSCD-002 (Tasa Kar-Aleph)'!A91/100</f>
        <v>2</v>
      </c>
      <c r="D92" s="339" t="s">
        <v>418</v>
      </c>
      <c r="E92" s="339"/>
      <c r="F92" s="340"/>
    </row>
    <row r="93" spans="1:16" ht="15.75" thickBot="1" x14ac:dyDescent="0.3">
      <c r="A93" s="349"/>
      <c r="B93" s="350"/>
      <c r="C93" s="350"/>
      <c r="D93" s="350"/>
      <c r="E93" s="350"/>
      <c r="F93" s="351"/>
      <c r="N93" s="88"/>
      <c r="O93" s="88"/>
      <c r="P93" s="88"/>
    </row>
    <row r="94" spans="1:16" x14ac:dyDescent="0.25">
      <c r="A94" s="352"/>
      <c r="B94" s="336"/>
      <c r="C94" s="336"/>
      <c r="D94" s="336"/>
      <c r="E94" s="336"/>
      <c r="F94" s="337"/>
      <c r="N94" s="88"/>
      <c r="O94" s="88"/>
      <c r="P94" s="88"/>
    </row>
    <row r="95" spans="1:16" x14ac:dyDescent="0.25">
      <c r="A95" s="338" t="s">
        <v>458</v>
      </c>
      <c r="B95" s="339"/>
      <c r="C95" s="339"/>
      <c r="D95" s="339"/>
      <c r="E95" s="339"/>
      <c r="F95" s="340"/>
      <c r="N95" s="88"/>
      <c r="O95" s="88"/>
      <c r="P95" s="88"/>
    </row>
    <row r="96" spans="1:16" x14ac:dyDescent="0.25">
      <c r="A96" s="341"/>
      <c r="B96" s="339"/>
      <c r="C96" s="342"/>
      <c r="D96" s="339"/>
      <c r="E96" s="339"/>
      <c r="F96" s="340"/>
      <c r="N96" s="88"/>
      <c r="O96" s="88"/>
      <c r="P96" s="88"/>
    </row>
    <row r="97" spans="1:16" x14ac:dyDescent="0.25">
      <c r="A97" s="341"/>
      <c r="B97" s="342"/>
      <c r="C97" s="339"/>
      <c r="D97" s="339"/>
      <c r="E97" s="339"/>
      <c r="F97" s="340"/>
      <c r="N97" s="88"/>
      <c r="O97" s="88"/>
      <c r="P97" s="88"/>
    </row>
    <row r="98" spans="1:16" x14ac:dyDescent="0.25">
      <c r="A98" s="341"/>
      <c r="B98" s="339"/>
      <c r="C98" s="339"/>
      <c r="D98" s="339"/>
      <c r="E98" s="339"/>
      <c r="F98" s="340"/>
      <c r="N98" s="88"/>
      <c r="O98" s="88"/>
      <c r="P98" s="88"/>
    </row>
    <row r="99" spans="1:16" ht="15.75" thickBot="1" x14ac:dyDescent="0.3">
      <c r="A99" s="349"/>
      <c r="B99" s="350"/>
      <c r="C99" s="350"/>
      <c r="D99" s="350"/>
      <c r="E99" s="350"/>
      <c r="F99" s="351"/>
      <c r="N99" s="88"/>
      <c r="O99" s="88"/>
      <c r="P99" s="88"/>
    </row>
    <row r="100" spans="1:16" ht="15.75" thickBot="1" x14ac:dyDescent="0.3">
      <c r="N100" s="88"/>
      <c r="O100" s="88"/>
      <c r="P100" s="88"/>
    </row>
    <row r="101" spans="1:16" ht="15.75" thickBot="1" x14ac:dyDescent="0.3">
      <c r="A101" s="2414" t="s">
        <v>463</v>
      </c>
      <c r="B101" s="2415"/>
      <c r="C101" s="2415"/>
      <c r="D101" s="2415"/>
      <c r="E101" s="2415"/>
      <c r="F101" s="2415"/>
      <c r="G101" s="2415"/>
      <c r="H101" s="2415"/>
      <c r="I101" s="2415"/>
      <c r="J101" s="2415"/>
      <c r="K101" s="2415"/>
      <c r="L101" s="2415"/>
      <c r="M101" s="2416"/>
      <c r="N101" s="88"/>
      <c r="O101" s="88"/>
      <c r="P101" s="88"/>
    </row>
    <row r="102" spans="1:16" ht="15.75" thickBot="1" x14ac:dyDescent="0.3">
      <c r="N102" s="88"/>
      <c r="O102" s="88"/>
      <c r="P102" s="88"/>
    </row>
    <row r="103" spans="1:16" x14ac:dyDescent="0.25">
      <c r="A103" s="353"/>
      <c r="B103" s="321"/>
      <c r="C103" s="321"/>
      <c r="D103" s="321"/>
      <c r="E103" s="321"/>
      <c r="F103" s="321"/>
      <c r="G103" s="321"/>
      <c r="H103" s="321"/>
      <c r="I103" s="321"/>
      <c r="J103" s="321"/>
      <c r="K103" s="321"/>
      <c r="L103" s="321"/>
      <c r="M103" s="322"/>
      <c r="N103" s="88"/>
      <c r="O103" s="88"/>
      <c r="P103" s="88"/>
    </row>
    <row r="104" spans="1:16" x14ac:dyDescent="0.25">
      <c r="A104" s="323" t="s">
        <v>575</v>
      </c>
      <c r="B104" s="324"/>
      <c r="C104" s="324"/>
      <c r="D104" s="324"/>
      <c r="E104" s="324"/>
      <c r="F104" s="324"/>
      <c r="G104" s="324"/>
      <c r="H104" s="324"/>
      <c r="I104" s="324"/>
      <c r="J104" s="324"/>
      <c r="K104" s="324"/>
      <c r="L104" s="324"/>
      <c r="M104" s="325"/>
    </row>
    <row r="105" spans="1:16" x14ac:dyDescent="0.25">
      <c r="A105" s="326"/>
      <c r="B105" s="324"/>
      <c r="C105" s="324"/>
      <c r="D105" s="324"/>
      <c r="E105" s="324"/>
      <c r="F105" s="324"/>
      <c r="G105" s="324"/>
      <c r="H105" s="324"/>
      <c r="I105" s="324"/>
      <c r="J105" s="324"/>
      <c r="K105" s="324"/>
      <c r="L105" s="324"/>
      <c r="M105" s="325"/>
    </row>
    <row r="106" spans="1:16" x14ac:dyDescent="0.25">
      <c r="A106" s="323" t="s">
        <v>475</v>
      </c>
      <c r="B106" s="324"/>
      <c r="C106" s="324"/>
      <c r="D106" s="324"/>
      <c r="E106" s="324"/>
      <c r="F106" s="324"/>
      <c r="G106" s="324"/>
      <c r="H106" s="324"/>
      <c r="I106" s="324"/>
      <c r="J106" s="324"/>
      <c r="K106" s="324"/>
      <c r="L106" s="324"/>
      <c r="M106" s="325"/>
    </row>
    <row r="107" spans="1:16" x14ac:dyDescent="0.25">
      <c r="A107" s="326"/>
      <c r="B107" s="324"/>
      <c r="C107" s="324"/>
      <c r="D107" s="324"/>
      <c r="E107" s="324"/>
      <c r="F107" s="324"/>
      <c r="G107" s="324"/>
      <c r="H107" s="324"/>
      <c r="I107" s="324"/>
      <c r="J107" s="324"/>
      <c r="K107" s="324"/>
      <c r="L107" s="324"/>
      <c r="M107" s="325"/>
    </row>
    <row r="108" spans="1:16" ht="18" x14ac:dyDescent="0.25">
      <c r="A108" s="326"/>
      <c r="B108" s="324" t="s">
        <v>464</v>
      </c>
      <c r="C108" s="354" t="s">
        <v>598</v>
      </c>
      <c r="D108" s="324"/>
      <c r="E108" s="324"/>
      <c r="F108" s="324"/>
      <c r="G108" s="324"/>
      <c r="H108" s="324"/>
      <c r="I108" s="324"/>
      <c r="J108" s="324"/>
      <c r="K108" s="324"/>
      <c r="L108" s="324"/>
      <c r="M108" s="325"/>
    </row>
    <row r="109" spans="1:16" x14ac:dyDescent="0.25">
      <c r="A109" s="326"/>
      <c r="B109" s="324"/>
      <c r="C109" s="324"/>
      <c r="D109" s="324"/>
      <c r="E109" s="324"/>
      <c r="F109" s="324"/>
      <c r="G109" s="324"/>
      <c r="H109" s="324"/>
      <c r="I109" s="324"/>
      <c r="J109" s="324"/>
      <c r="K109" s="324"/>
      <c r="L109" s="324"/>
      <c r="M109" s="325"/>
    </row>
    <row r="110" spans="1:16" x14ac:dyDescent="0.25">
      <c r="A110" s="326"/>
      <c r="B110" s="324" t="s">
        <v>464</v>
      </c>
      <c r="C110" s="328">
        <f>C82*'Incert. Dos.'!O40</f>
        <v>-887.19913515620476</v>
      </c>
      <c r="D110" s="354" t="s">
        <v>15</v>
      </c>
      <c r="E110" s="324"/>
      <c r="F110" s="324"/>
      <c r="G110" s="324"/>
      <c r="H110" s="324"/>
      <c r="I110" s="324"/>
      <c r="J110" s="324"/>
      <c r="K110" s="324"/>
      <c r="L110" s="324"/>
      <c r="M110" s="325"/>
    </row>
    <row r="111" spans="1:16" x14ac:dyDescent="0.25">
      <c r="A111" s="326"/>
      <c r="B111" s="324"/>
      <c r="C111" s="324"/>
      <c r="D111" s="324"/>
      <c r="E111" s="324"/>
      <c r="F111" s="324"/>
      <c r="G111" s="324"/>
      <c r="H111" s="324"/>
      <c r="I111" s="324"/>
      <c r="J111" s="324"/>
      <c r="K111" s="324"/>
      <c r="L111" s="324"/>
      <c r="M111" s="325"/>
    </row>
    <row r="112" spans="1:16" x14ac:dyDescent="0.25">
      <c r="A112" s="323" t="s">
        <v>1317</v>
      </c>
      <c r="B112" s="354"/>
      <c r="C112" s="324"/>
      <c r="D112" s="324"/>
      <c r="E112" s="324"/>
      <c r="F112" s="324"/>
      <c r="G112" s="324"/>
      <c r="H112" s="324"/>
      <c r="I112" s="324"/>
      <c r="J112" s="324"/>
      <c r="K112" s="324"/>
      <c r="L112" s="324"/>
      <c r="M112" s="325"/>
    </row>
    <row r="113" spans="1:13" x14ac:dyDescent="0.25">
      <c r="A113" s="326"/>
      <c r="B113" s="35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5"/>
    </row>
    <row r="114" spans="1:13" x14ac:dyDescent="0.25">
      <c r="A114" s="326"/>
      <c r="B114" s="327"/>
      <c r="C114" s="327"/>
      <c r="D114" s="324"/>
      <c r="E114" s="324"/>
      <c r="F114" s="324"/>
      <c r="G114" s="324"/>
      <c r="H114" s="324"/>
      <c r="I114" s="324"/>
      <c r="J114" s="324"/>
      <c r="K114" s="324"/>
      <c r="L114" s="324"/>
      <c r="M114" s="325"/>
    </row>
    <row r="115" spans="1:13" x14ac:dyDescent="0.25">
      <c r="A115" s="326"/>
      <c r="B115" s="324"/>
      <c r="C115" s="324"/>
      <c r="D115" s="324"/>
      <c r="E115" s="324"/>
      <c r="F115" s="324"/>
      <c r="G115" s="324"/>
      <c r="H115" s="324"/>
      <c r="I115" s="324"/>
      <c r="J115" s="324"/>
      <c r="K115" s="324"/>
      <c r="L115" s="324"/>
      <c r="M115" s="325"/>
    </row>
    <row r="116" spans="1:13" x14ac:dyDescent="0.25">
      <c r="A116" s="326"/>
      <c r="B116" s="324"/>
      <c r="C116" s="324"/>
      <c r="D116" s="324"/>
      <c r="E116" s="324"/>
      <c r="F116" s="324"/>
      <c r="G116" s="324"/>
      <c r="H116" s="324"/>
      <c r="I116" s="324"/>
      <c r="J116" s="324"/>
      <c r="K116" s="324"/>
      <c r="L116" s="324"/>
      <c r="M116" s="325"/>
    </row>
    <row r="117" spans="1:13" x14ac:dyDescent="0.25">
      <c r="A117" s="326"/>
      <c r="B117" s="324"/>
      <c r="C117" s="324"/>
      <c r="D117" s="324"/>
      <c r="E117" s="324"/>
      <c r="F117" s="324"/>
      <c r="G117" s="324"/>
      <c r="H117" s="324"/>
      <c r="I117" s="324"/>
      <c r="J117" s="324"/>
      <c r="K117" s="324"/>
      <c r="L117" s="324"/>
      <c r="M117" s="325"/>
    </row>
    <row r="118" spans="1:13" ht="18" x14ac:dyDescent="0.25">
      <c r="A118" s="326"/>
      <c r="B118" s="324" t="s">
        <v>591</v>
      </c>
      <c r="C118" s="324">
        <f>(C85/C86)*((273.15+C90)*C87/((273.15+C89)*C88))*C83*C84*3600</f>
        <v>-1.668510080571397E-7</v>
      </c>
      <c r="D118" s="354" t="s">
        <v>388</v>
      </c>
      <c r="E118" s="324"/>
      <c r="F118" s="324"/>
      <c r="G118" s="324"/>
      <c r="H118" s="324"/>
      <c r="I118" s="324"/>
      <c r="J118" s="324"/>
      <c r="K118" s="324"/>
      <c r="L118" s="324"/>
      <c r="M118" s="325"/>
    </row>
    <row r="119" spans="1:13" ht="15.75" thickBot="1" x14ac:dyDescent="0.3">
      <c r="A119" s="330"/>
      <c r="B119" s="331"/>
      <c r="C119" s="331"/>
      <c r="D119" s="331"/>
      <c r="E119" s="331"/>
      <c r="F119" s="331"/>
      <c r="G119" s="331"/>
      <c r="H119" s="331"/>
      <c r="I119" s="331"/>
      <c r="J119" s="331"/>
      <c r="K119" s="331"/>
      <c r="L119" s="331"/>
      <c r="M119" s="332"/>
    </row>
    <row r="120" spans="1:13" x14ac:dyDescent="0.25">
      <c r="A120" s="353"/>
      <c r="B120" s="355"/>
      <c r="C120" s="355"/>
      <c r="D120" s="355"/>
      <c r="E120" s="355"/>
      <c r="F120" s="355"/>
      <c r="G120" s="355"/>
      <c r="H120" s="355"/>
      <c r="I120" s="355"/>
      <c r="J120" s="355"/>
      <c r="K120" s="321"/>
      <c r="L120" s="321"/>
      <c r="M120" s="322"/>
    </row>
    <row r="121" spans="1:13" x14ac:dyDescent="0.25">
      <c r="A121" s="323" t="s">
        <v>577</v>
      </c>
      <c r="B121" s="324"/>
      <c r="C121" s="324"/>
      <c r="D121" s="324"/>
      <c r="E121" s="324"/>
      <c r="F121" s="324"/>
      <c r="G121" s="324"/>
      <c r="H121" s="324"/>
      <c r="I121" s="324"/>
      <c r="J121" s="324"/>
      <c r="K121" s="324"/>
      <c r="L121" s="324"/>
      <c r="M121" s="325"/>
    </row>
    <row r="122" spans="1:13" x14ac:dyDescent="0.25">
      <c r="A122" s="323"/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5"/>
    </row>
    <row r="123" spans="1:13" x14ac:dyDescent="0.25">
      <c r="A123" s="323" t="s">
        <v>477</v>
      </c>
      <c r="B123" s="324"/>
      <c r="C123" s="324"/>
      <c r="D123" s="324"/>
      <c r="E123" s="324"/>
      <c r="F123" s="324"/>
      <c r="G123" s="324"/>
      <c r="H123" s="324"/>
      <c r="I123" s="324"/>
      <c r="J123" s="324"/>
      <c r="K123" s="324"/>
      <c r="L123" s="324"/>
      <c r="M123" s="325"/>
    </row>
    <row r="124" spans="1:13" x14ac:dyDescent="0.25">
      <c r="A124" s="326"/>
      <c r="B124" s="324"/>
      <c r="C124" s="324"/>
      <c r="D124" s="324"/>
      <c r="E124" s="324"/>
      <c r="F124" s="324"/>
      <c r="G124" s="324"/>
      <c r="H124" s="324"/>
      <c r="I124" s="324"/>
      <c r="J124" s="324"/>
      <c r="K124" s="324"/>
      <c r="L124" s="324"/>
      <c r="M124" s="325"/>
    </row>
    <row r="125" spans="1:13" x14ac:dyDescent="0.25">
      <c r="A125" s="326"/>
      <c r="B125" s="324" t="s">
        <v>464</v>
      </c>
      <c r="C125" s="354" t="s">
        <v>461</v>
      </c>
      <c r="D125" s="324"/>
      <c r="E125" s="324"/>
      <c r="F125" s="324"/>
      <c r="G125" s="324"/>
      <c r="H125" s="324"/>
      <c r="I125" s="324"/>
      <c r="J125" s="324"/>
      <c r="K125" s="324"/>
      <c r="L125" s="324"/>
      <c r="M125" s="325"/>
    </row>
    <row r="126" spans="1:13" x14ac:dyDescent="0.25">
      <c r="A126" s="326"/>
      <c r="B126" s="324"/>
      <c r="C126" s="324"/>
      <c r="D126" s="324"/>
      <c r="E126" s="324"/>
      <c r="F126" s="324"/>
      <c r="G126" s="324"/>
      <c r="H126" s="324"/>
      <c r="I126" s="324"/>
      <c r="J126" s="324"/>
      <c r="K126" s="324"/>
      <c r="L126" s="324"/>
      <c r="M126" s="325"/>
    </row>
    <row r="127" spans="1:13" x14ac:dyDescent="0.25">
      <c r="A127" s="326"/>
      <c r="B127" s="324" t="s">
        <v>464</v>
      </c>
      <c r="C127" s="328">
        <f>'F-LSCD-002 (Dosimetría)'!D44*'F-LSCD-002 (Dosimetría)'!E44</f>
        <v>2.8027999999999998E-3</v>
      </c>
      <c r="D127" s="324"/>
      <c r="E127" s="324"/>
      <c r="F127" s="324"/>
      <c r="G127" s="324"/>
      <c r="H127" s="324"/>
      <c r="I127" s="324"/>
      <c r="J127" s="324"/>
      <c r="K127" s="324"/>
      <c r="L127" s="324"/>
      <c r="M127" s="325"/>
    </row>
    <row r="128" spans="1:13" x14ac:dyDescent="0.25">
      <c r="A128" s="326"/>
      <c r="B128" s="324"/>
      <c r="C128" s="324"/>
      <c r="D128" s="324"/>
      <c r="E128" s="324"/>
      <c r="F128" s="324"/>
      <c r="G128" s="324"/>
      <c r="H128" s="324"/>
      <c r="I128" s="324"/>
      <c r="J128" s="324"/>
      <c r="K128" s="324"/>
      <c r="L128" s="324"/>
      <c r="M128" s="325"/>
    </row>
    <row r="129" spans="1:13" x14ac:dyDescent="0.25">
      <c r="A129" s="326"/>
      <c r="B129" s="354" t="s">
        <v>397</v>
      </c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5"/>
    </row>
    <row r="130" spans="1:13" x14ac:dyDescent="0.25">
      <c r="A130" s="326"/>
      <c r="B130" s="354" t="s">
        <v>600</v>
      </c>
      <c r="C130" s="324"/>
      <c r="D130" s="324"/>
      <c r="E130" s="324"/>
      <c r="F130" s="324"/>
      <c r="G130" s="324"/>
      <c r="H130" s="324"/>
      <c r="I130" s="324"/>
      <c r="J130" s="324"/>
      <c r="K130" s="324"/>
      <c r="L130" s="324"/>
      <c r="M130" s="325"/>
    </row>
    <row r="131" spans="1:13" x14ac:dyDescent="0.25">
      <c r="A131" s="326"/>
      <c r="B131" s="35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5"/>
    </row>
    <row r="132" spans="1:13" x14ac:dyDescent="0.25">
      <c r="A132" s="323" t="s">
        <v>578</v>
      </c>
      <c r="B132" s="392"/>
      <c r="C132" s="392"/>
      <c r="D132" s="392"/>
      <c r="E132" s="392"/>
      <c r="F132" s="392"/>
      <c r="G132" s="392"/>
      <c r="H132" s="392"/>
      <c r="I132" s="392"/>
      <c r="J132" s="392"/>
      <c r="K132" s="324"/>
      <c r="L132" s="324"/>
      <c r="M132" s="325"/>
    </row>
    <row r="133" spans="1:13" x14ac:dyDescent="0.25">
      <c r="A133" s="326"/>
      <c r="B133" s="35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56"/>
    </row>
    <row r="134" spans="1:13" x14ac:dyDescent="0.25">
      <c r="A134" s="326"/>
      <c r="B134" s="327"/>
      <c r="C134" s="327"/>
      <c r="D134" s="324"/>
      <c r="E134" s="324"/>
      <c r="F134" s="324"/>
      <c r="G134" s="324"/>
      <c r="H134" s="324"/>
      <c r="I134" s="324"/>
      <c r="J134" s="324"/>
      <c r="K134" s="324"/>
      <c r="L134" s="324"/>
      <c r="M134" s="325"/>
    </row>
    <row r="135" spans="1:13" x14ac:dyDescent="0.25">
      <c r="A135" s="326"/>
      <c r="B135" s="35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5"/>
    </row>
    <row r="136" spans="1:13" x14ac:dyDescent="0.25">
      <c r="A136" s="326"/>
      <c r="B136" s="35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5"/>
    </row>
    <row r="137" spans="1:13" x14ac:dyDescent="0.25">
      <c r="A137" s="326"/>
      <c r="B137" s="35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5"/>
    </row>
    <row r="138" spans="1:13" ht="18" x14ac:dyDescent="0.25">
      <c r="A138" s="326"/>
      <c r="B138" s="324" t="s">
        <v>390</v>
      </c>
      <c r="C138" s="328">
        <f>(C85/C86)*((273.15+C90)*C87/((273.15+C89)*C88))*C82*C84*3600</f>
        <v>8.2451609490461954E-3</v>
      </c>
      <c r="D138" s="354" t="s">
        <v>8</v>
      </c>
      <c r="E138" s="324"/>
      <c r="F138" s="324"/>
      <c r="G138" s="324"/>
      <c r="H138" s="324"/>
      <c r="I138" s="324"/>
      <c r="J138" s="324"/>
      <c r="K138" s="324"/>
      <c r="L138" s="324"/>
      <c r="M138" s="325"/>
    </row>
    <row r="139" spans="1:13" ht="15.75" thickBot="1" x14ac:dyDescent="0.3">
      <c r="A139" s="330"/>
      <c r="B139" s="357"/>
      <c r="C139" s="331"/>
      <c r="D139" s="331"/>
      <c r="E139" s="331"/>
      <c r="F139" s="331"/>
      <c r="G139" s="331"/>
      <c r="H139" s="331"/>
      <c r="I139" s="331"/>
      <c r="J139" s="331"/>
      <c r="K139" s="331"/>
      <c r="L139" s="331"/>
      <c r="M139" s="332"/>
    </row>
    <row r="140" spans="1:13" x14ac:dyDescent="0.25">
      <c r="A140" s="353"/>
      <c r="B140" s="358"/>
      <c r="C140" s="321"/>
      <c r="D140" s="321"/>
      <c r="E140" s="321"/>
      <c r="F140" s="321"/>
      <c r="G140" s="321"/>
      <c r="H140" s="321"/>
      <c r="I140" s="321"/>
      <c r="J140" s="321"/>
      <c r="K140" s="321"/>
      <c r="L140" s="321"/>
      <c r="M140" s="322"/>
    </row>
    <row r="141" spans="1:13" x14ac:dyDescent="0.25">
      <c r="A141" s="323" t="s">
        <v>579</v>
      </c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5"/>
    </row>
    <row r="142" spans="1:13" x14ac:dyDescent="0.25">
      <c r="A142" s="326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5"/>
    </row>
    <row r="143" spans="1:13" x14ac:dyDescent="0.25">
      <c r="A143" s="323" t="s">
        <v>480</v>
      </c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5"/>
    </row>
    <row r="144" spans="1:13" x14ac:dyDescent="0.25">
      <c r="A144" s="323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5"/>
    </row>
    <row r="145" spans="1:13" x14ac:dyDescent="0.25">
      <c r="A145" s="326"/>
      <c r="B145" s="324" t="s">
        <v>464</v>
      </c>
      <c r="C145" s="354" t="s">
        <v>399</v>
      </c>
      <c r="D145" s="324"/>
      <c r="E145" s="324"/>
      <c r="F145" s="324"/>
      <c r="G145" s="324"/>
      <c r="H145" s="324"/>
      <c r="I145" s="324"/>
      <c r="J145" s="324"/>
      <c r="K145" s="324"/>
      <c r="L145" s="324"/>
      <c r="M145" s="325"/>
    </row>
    <row r="146" spans="1:13" x14ac:dyDescent="0.25">
      <c r="A146" s="326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5"/>
    </row>
    <row r="147" spans="1:13" x14ac:dyDescent="0.25">
      <c r="A147" s="326"/>
      <c r="B147" s="324" t="s">
        <v>464</v>
      </c>
      <c r="C147" s="328">
        <f>'F-LSCD-002 (Dosimetría)'!H42/2</f>
        <v>4.9999999999999999E-13</v>
      </c>
      <c r="D147" s="354" t="s">
        <v>368</v>
      </c>
      <c r="E147" s="324"/>
      <c r="F147" s="324"/>
      <c r="G147" s="324"/>
      <c r="H147" s="324"/>
      <c r="I147" s="324"/>
      <c r="J147" s="324"/>
      <c r="K147" s="324"/>
      <c r="L147" s="324"/>
      <c r="M147" s="325"/>
    </row>
    <row r="148" spans="1:13" x14ac:dyDescent="0.25">
      <c r="A148" s="326"/>
      <c r="B148" s="324"/>
      <c r="C148" s="328"/>
      <c r="D148" s="324"/>
      <c r="E148" s="324"/>
      <c r="F148" s="324"/>
      <c r="G148" s="324"/>
      <c r="H148" s="324"/>
      <c r="I148" s="324"/>
      <c r="J148" s="324"/>
      <c r="K148" s="324"/>
      <c r="L148" s="324"/>
      <c r="M148" s="325"/>
    </row>
    <row r="149" spans="1:13" x14ac:dyDescent="0.25">
      <c r="A149" s="323" t="s">
        <v>488</v>
      </c>
      <c r="B149" s="324"/>
      <c r="C149" s="328"/>
      <c r="D149" s="324"/>
      <c r="E149" s="324"/>
      <c r="F149" s="324"/>
      <c r="G149" s="324"/>
      <c r="H149" s="324"/>
      <c r="I149" s="324"/>
      <c r="J149" s="324"/>
      <c r="K149" s="324"/>
      <c r="L149" s="324"/>
      <c r="M149" s="325"/>
    </row>
    <row r="150" spans="1:13" x14ac:dyDescent="0.25">
      <c r="A150" s="326"/>
      <c r="B150" s="354"/>
      <c r="C150" s="324"/>
      <c r="D150" s="328"/>
      <c r="E150" s="324"/>
      <c r="F150" s="324"/>
      <c r="G150" s="324"/>
      <c r="H150" s="324"/>
      <c r="I150" s="324"/>
      <c r="J150" s="324"/>
      <c r="K150" s="324"/>
      <c r="L150" s="324"/>
      <c r="M150" s="325"/>
    </row>
    <row r="151" spans="1:13" x14ac:dyDescent="0.25">
      <c r="A151" s="326"/>
      <c r="B151" s="327"/>
      <c r="C151" s="327"/>
      <c r="D151" s="328"/>
      <c r="E151" s="324"/>
      <c r="F151" s="324"/>
      <c r="G151" s="324"/>
      <c r="H151" s="324"/>
      <c r="I151" s="324"/>
      <c r="J151" s="324"/>
      <c r="K151" s="324"/>
      <c r="L151" s="324"/>
      <c r="M151" s="325"/>
    </row>
    <row r="152" spans="1:13" x14ac:dyDescent="0.25">
      <c r="A152" s="326"/>
      <c r="B152" s="354"/>
      <c r="C152" s="324"/>
      <c r="D152" s="328"/>
      <c r="E152" s="324"/>
      <c r="F152" s="324"/>
      <c r="G152" s="324"/>
      <c r="H152" s="324"/>
      <c r="I152" s="324"/>
      <c r="J152" s="324"/>
      <c r="K152" s="324"/>
      <c r="L152" s="324"/>
      <c r="M152" s="325"/>
    </row>
    <row r="153" spans="1:13" x14ac:dyDescent="0.25">
      <c r="A153" s="326"/>
      <c r="B153" s="35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5"/>
    </row>
    <row r="154" spans="1:13" x14ac:dyDescent="0.25">
      <c r="A154" s="326"/>
      <c r="B154" s="35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5"/>
    </row>
    <row r="155" spans="1:13" ht="18" x14ac:dyDescent="0.25">
      <c r="A155" s="326"/>
      <c r="B155" s="329" t="s">
        <v>483</v>
      </c>
      <c r="C155" s="328">
        <f>(1/C86)*((273.15+C90)*C87/((273.15+C89)*C88))*C82*C83*C84*3600</f>
        <v>-2984633.1718060402</v>
      </c>
      <c r="D155" s="354" t="s">
        <v>392</v>
      </c>
      <c r="E155" s="324"/>
      <c r="F155" s="324"/>
      <c r="G155" s="324"/>
      <c r="H155" s="324"/>
      <c r="I155" s="324"/>
      <c r="J155" s="324"/>
      <c r="K155" s="324"/>
      <c r="L155" s="324"/>
      <c r="M155" s="325"/>
    </row>
    <row r="156" spans="1:13" ht="15.75" thickBot="1" x14ac:dyDescent="0.3">
      <c r="A156" s="330"/>
      <c r="B156" s="331"/>
      <c r="C156" s="331"/>
      <c r="D156" s="331"/>
      <c r="E156" s="331"/>
      <c r="F156" s="331"/>
      <c r="G156" s="331"/>
      <c r="H156" s="331"/>
      <c r="I156" s="331"/>
      <c r="J156" s="331"/>
      <c r="K156" s="331"/>
      <c r="L156" s="331"/>
      <c r="M156" s="332"/>
    </row>
    <row r="157" spans="1:13" x14ac:dyDescent="0.25">
      <c r="A157" s="353"/>
      <c r="B157" s="321"/>
      <c r="C157" s="359"/>
      <c r="D157" s="321"/>
      <c r="E157" s="321"/>
      <c r="F157" s="321"/>
      <c r="G157" s="321"/>
      <c r="H157" s="321"/>
      <c r="I157" s="321"/>
      <c r="J157" s="321"/>
      <c r="K157" s="321"/>
      <c r="L157" s="321"/>
      <c r="M157" s="322"/>
    </row>
    <row r="158" spans="1:13" x14ac:dyDescent="0.25">
      <c r="A158" s="323" t="s">
        <v>580</v>
      </c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5"/>
    </row>
    <row r="159" spans="1:13" x14ac:dyDescent="0.25">
      <c r="A159" s="323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5"/>
    </row>
    <row r="160" spans="1:13" x14ac:dyDescent="0.25">
      <c r="A160" s="323" t="s">
        <v>482</v>
      </c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5"/>
    </row>
    <row r="161" spans="1:13" x14ac:dyDescent="0.25">
      <c r="A161" s="326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5"/>
    </row>
    <row r="162" spans="1:13" x14ac:dyDescent="0.25">
      <c r="A162" s="326"/>
      <c r="B162" s="324" t="s">
        <v>464</v>
      </c>
      <c r="C162" s="354" t="s">
        <v>459</v>
      </c>
      <c r="D162" s="324"/>
      <c r="E162" s="324"/>
      <c r="F162" s="324"/>
      <c r="G162" s="324"/>
      <c r="H162" s="324"/>
      <c r="I162" s="324"/>
      <c r="J162" s="324"/>
      <c r="K162" s="324"/>
      <c r="L162" s="324"/>
      <c r="M162" s="325"/>
    </row>
    <row r="163" spans="1:13" x14ac:dyDescent="0.25">
      <c r="A163" s="326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5"/>
    </row>
    <row r="164" spans="1:13" x14ac:dyDescent="0.25">
      <c r="A164" s="326"/>
      <c r="B164" s="324" t="s">
        <v>464</v>
      </c>
      <c r="C164" s="328">
        <f>'F-LSCD-002 (homogeneidad C.I.)'!AH69/2*C91</f>
        <v>5.6278752127829534E-6</v>
      </c>
      <c r="D164" s="354" t="s">
        <v>8</v>
      </c>
      <c r="E164" s="324"/>
      <c r="F164" s="324"/>
      <c r="G164" s="324"/>
      <c r="H164" s="324"/>
      <c r="I164" s="324"/>
      <c r="J164" s="324"/>
      <c r="K164" s="324"/>
      <c r="L164" s="324"/>
      <c r="M164" s="325"/>
    </row>
    <row r="165" spans="1:13" x14ac:dyDescent="0.25">
      <c r="A165" s="326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5"/>
    </row>
    <row r="166" spans="1:13" x14ac:dyDescent="0.25">
      <c r="A166" s="326"/>
      <c r="B166" s="354" t="s">
        <v>397</v>
      </c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5"/>
    </row>
    <row r="167" spans="1:13" x14ac:dyDescent="0.25">
      <c r="A167" s="326"/>
      <c r="B167" s="354" t="s">
        <v>416</v>
      </c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5"/>
    </row>
    <row r="168" spans="1:13" x14ac:dyDescent="0.25">
      <c r="A168" s="326"/>
      <c r="B168" s="35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5"/>
    </row>
    <row r="169" spans="1:13" x14ac:dyDescent="0.25">
      <c r="A169" s="323" t="s">
        <v>486</v>
      </c>
      <c r="B169" s="324"/>
      <c r="C169" s="328"/>
      <c r="D169" s="324"/>
      <c r="E169" s="324"/>
      <c r="F169" s="324"/>
      <c r="G169" s="324"/>
      <c r="H169" s="324"/>
      <c r="I169" s="324"/>
      <c r="J169" s="324"/>
      <c r="K169" s="324"/>
      <c r="L169" s="324"/>
      <c r="M169" s="325"/>
    </row>
    <row r="170" spans="1:13" x14ac:dyDescent="0.25">
      <c r="A170" s="326"/>
      <c r="B170" s="35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5"/>
    </row>
    <row r="171" spans="1:13" x14ac:dyDescent="0.25">
      <c r="A171" s="326"/>
      <c r="B171" s="327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5"/>
    </row>
    <row r="172" spans="1:13" x14ac:dyDescent="0.25">
      <c r="A172" s="326"/>
      <c r="B172" s="35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5"/>
    </row>
    <row r="173" spans="1:13" x14ac:dyDescent="0.25">
      <c r="A173" s="326"/>
      <c r="B173" s="35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5"/>
    </row>
    <row r="174" spans="1:13" ht="18" x14ac:dyDescent="0.25">
      <c r="A174" s="326"/>
      <c r="B174" s="324" t="s">
        <v>489</v>
      </c>
      <c r="C174" s="324">
        <v>1</v>
      </c>
      <c r="D174" s="324"/>
      <c r="E174" s="324"/>
      <c r="F174" s="324"/>
      <c r="G174" s="324"/>
      <c r="H174" s="324"/>
      <c r="I174" s="324"/>
      <c r="J174" s="324"/>
      <c r="K174" s="324"/>
      <c r="L174" s="324"/>
      <c r="M174" s="325"/>
    </row>
    <row r="175" spans="1:13" ht="15.75" thickBot="1" x14ac:dyDescent="0.3">
      <c r="A175" s="330"/>
      <c r="B175" s="331"/>
      <c r="C175" s="331"/>
      <c r="D175" s="331"/>
      <c r="E175" s="331"/>
      <c r="F175" s="331"/>
      <c r="G175" s="331"/>
      <c r="H175" s="331"/>
      <c r="I175" s="331"/>
      <c r="J175" s="331"/>
      <c r="K175" s="331"/>
      <c r="L175" s="331"/>
      <c r="M175" s="332"/>
    </row>
    <row r="176" spans="1:13" x14ac:dyDescent="0.25">
      <c r="A176" s="353"/>
      <c r="B176" s="321"/>
      <c r="C176" s="321"/>
      <c r="D176" s="321"/>
      <c r="E176" s="321"/>
      <c r="F176" s="321"/>
      <c r="G176" s="321"/>
      <c r="H176" s="321"/>
      <c r="I176" s="321"/>
      <c r="J176" s="321"/>
      <c r="K176" s="321"/>
      <c r="L176" s="321"/>
      <c r="M176" s="322"/>
    </row>
    <row r="177" spans="1:13" x14ac:dyDescent="0.25">
      <c r="A177" s="323" t="s">
        <v>581</v>
      </c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5"/>
    </row>
    <row r="178" spans="1:13" x14ac:dyDescent="0.25">
      <c r="A178" s="326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5"/>
    </row>
    <row r="179" spans="1:13" x14ac:dyDescent="0.25">
      <c r="A179" s="323" t="s">
        <v>485</v>
      </c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5"/>
    </row>
    <row r="180" spans="1:13" x14ac:dyDescent="0.25">
      <c r="A180" s="326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5"/>
    </row>
    <row r="181" spans="1:13" x14ac:dyDescent="0.25">
      <c r="A181" s="326"/>
      <c r="B181" s="324" t="s">
        <v>464</v>
      </c>
      <c r="C181" s="354" t="s">
        <v>491</v>
      </c>
      <c r="D181" s="324"/>
      <c r="E181" s="324"/>
      <c r="F181" s="324"/>
      <c r="G181" s="324"/>
      <c r="H181" s="324"/>
      <c r="I181" s="324"/>
      <c r="J181" s="324"/>
      <c r="K181" s="324"/>
      <c r="L181" s="324"/>
      <c r="M181" s="325"/>
    </row>
    <row r="182" spans="1:13" x14ac:dyDescent="0.25">
      <c r="A182" s="326"/>
      <c r="B182" s="324"/>
      <c r="C182" s="35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5"/>
    </row>
    <row r="183" spans="1:13" x14ac:dyDescent="0.25">
      <c r="A183" s="326"/>
      <c r="B183" s="324" t="s">
        <v>493</v>
      </c>
      <c r="C183" s="324">
        <v>10</v>
      </c>
      <c r="D183" s="324"/>
      <c r="E183" s="324"/>
      <c r="F183" s="324"/>
      <c r="G183" s="324"/>
      <c r="H183" s="324"/>
      <c r="I183" s="324"/>
      <c r="J183" s="324"/>
      <c r="K183" s="324"/>
      <c r="L183" s="324"/>
      <c r="M183" s="325"/>
    </row>
    <row r="184" spans="1:13" x14ac:dyDescent="0.25">
      <c r="A184" s="326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5"/>
    </row>
    <row r="185" spans="1:13" x14ac:dyDescent="0.25">
      <c r="A185" s="326"/>
      <c r="B185" s="328" t="s">
        <v>464</v>
      </c>
      <c r="C185" s="328">
        <f>'F-LSCD-002 (Nk-IRD)'!E102/SQRT(C183)</f>
        <v>1.5275252316524151E-13</v>
      </c>
      <c r="D185" s="354" t="s">
        <v>368</v>
      </c>
      <c r="E185" s="324"/>
      <c r="F185" s="324"/>
      <c r="G185" s="324"/>
      <c r="H185" s="324"/>
      <c r="I185" s="324"/>
      <c r="J185" s="324"/>
      <c r="K185" s="324"/>
      <c r="L185" s="324"/>
      <c r="M185" s="325"/>
    </row>
    <row r="186" spans="1:13" x14ac:dyDescent="0.25">
      <c r="A186" s="326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5"/>
    </row>
    <row r="187" spans="1:13" x14ac:dyDescent="0.25">
      <c r="A187" s="326"/>
      <c r="B187" s="354" t="s">
        <v>397</v>
      </c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5"/>
    </row>
    <row r="188" spans="1:13" x14ac:dyDescent="0.25">
      <c r="A188" s="326"/>
      <c r="B188" s="354" t="s">
        <v>492</v>
      </c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5"/>
    </row>
    <row r="189" spans="1:13" x14ac:dyDescent="0.25">
      <c r="A189" s="326"/>
      <c r="B189" s="35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5"/>
    </row>
    <row r="190" spans="1:13" x14ac:dyDescent="0.25">
      <c r="A190" s="323" t="s">
        <v>487</v>
      </c>
      <c r="B190" s="35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5"/>
    </row>
    <row r="191" spans="1:13" x14ac:dyDescent="0.25">
      <c r="A191" s="326"/>
      <c r="B191" s="35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5"/>
    </row>
    <row r="192" spans="1:13" x14ac:dyDescent="0.25">
      <c r="A192" s="326"/>
      <c r="B192" s="327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5"/>
    </row>
    <row r="193" spans="1:13" x14ac:dyDescent="0.25">
      <c r="A193" s="326"/>
      <c r="B193" s="35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5"/>
    </row>
    <row r="194" spans="1:13" x14ac:dyDescent="0.25">
      <c r="A194" s="326"/>
      <c r="B194" s="35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5"/>
    </row>
    <row r="195" spans="1:13" ht="18" x14ac:dyDescent="0.25">
      <c r="A195" s="326"/>
      <c r="B195" s="324" t="s">
        <v>496</v>
      </c>
      <c r="C195" s="328">
        <f>C155</f>
        <v>-2984633.1718060402</v>
      </c>
      <c r="D195" s="324" t="s">
        <v>599</v>
      </c>
      <c r="E195" s="324"/>
      <c r="F195" s="324"/>
      <c r="G195" s="324"/>
      <c r="H195" s="324"/>
      <c r="I195" s="324"/>
      <c r="J195" s="324"/>
      <c r="K195" s="324"/>
      <c r="L195" s="324"/>
      <c r="M195" s="325"/>
    </row>
    <row r="196" spans="1:13" ht="15.75" thickBot="1" x14ac:dyDescent="0.3">
      <c r="A196" s="330"/>
      <c r="B196" s="331"/>
      <c r="C196" s="331"/>
      <c r="D196" s="331"/>
      <c r="E196" s="331"/>
      <c r="F196" s="331"/>
      <c r="G196" s="331"/>
      <c r="H196" s="331"/>
      <c r="I196" s="331"/>
      <c r="J196" s="331"/>
      <c r="K196" s="331"/>
      <c r="L196" s="331"/>
      <c r="M196" s="332"/>
    </row>
    <row r="197" spans="1:13" x14ac:dyDescent="0.25">
      <c r="A197" s="353"/>
      <c r="B197" s="321"/>
      <c r="C197" s="321"/>
      <c r="D197" s="321"/>
      <c r="E197" s="321"/>
      <c r="F197" s="321"/>
      <c r="G197" s="321"/>
      <c r="H197" s="321"/>
      <c r="I197" s="321"/>
      <c r="J197" s="321"/>
      <c r="K197" s="321"/>
      <c r="L197" s="321"/>
      <c r="M197" s="322"/>
    </row>
    <row r="198" spans="1:13" x14ac:dyDescent="0.25">
      <c r="A198" s="323" t="s">
        <v>582</v>
      </c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5"/>
    </row>
    <row r="199" spans="1:13" x14ac:dyDescent="0.25">
      <c r="A199" s="323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5"/>
    </row>
    <row r="200" spans="1:13" x14ac:dyDescent="0.25">
      <c r="A200" s="323" t="s">
        <v>494</v>
      </c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5"/>
    </row>
    <row r="201" spans="1:13" x14ac:dyDescent="0.25">
      <c r="A201" s="323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5"/>
    </row>
    <row r="202" spans="1:13" x14ac:dyDescent="0.25">
      <c r="A202" s="326"/>
      <c r="B202" s="354" t="s">
        <v>420</v>
      </c>
      <c r="C202" s="324"/>
      <c r="D202" s="324"/>
      <c r="E202" s="324"/>
      <c r="F202" s="324"/>
      <c r="G202" s="324"/>
      <c r="H202" s="324">
        <v>3</v>
      </c>
      <c r="I202" s="354" t="s">
        <v>449</v>
      </c>
      <c r="J202" s="324"/>
      <c r="K202" s="324"/>
      <c r="L202" s="324"/>
      <c r="M202" s="325"/>
    </row>
    <row r="203" spans="1:13" x14ac:dyDescent="0.25">
      <c r="A203" s="326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5"/>
    </row>
    <row r="204" spans="1:13" x14ac:dyDescent="0.25">
      <c r="A204" s="326"/>
      <c r="B204" s="324" t="s">
        <v>464</v>
      </c>
      <c r="C204" s="354" t="str">
        <f>"(Tasa de Kerma en aire teórico a "&amp;C92-H202/1000&amp;" m - Tasa de Kerma en aire teórico a "&amp;C92+H202/1000&amp;" m)/2"</f>
        <v>(Tasa de Kerma en aire teórico a 1.997 m - Tasa de Kerma en aire teórico a 2.003 m)/2</v>
      </c>
      <c r="D204" s="324"/>
      <c r="E204" s="324"/>
      <c r="F204" s="324"/>
      <c r="G204" s="324"/>
      <c r="H204" s="324"/>
      <c r="I204" s="324"/>
      <c r="J204" s="324"/>
      <c r="K204" s="324"/>
      <c r="L204" s="324"/>
      <c r="M204" s="325"/>
    </row>
    <row r="205" spans="1:13" x14ac:dyDescent="0.25">
      <c r="A205" s="326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5"/>
    </row>
    <row r="206" spans="1:13" x14ac:dyDescent="0.25">
      <c r="A206" s="326"/>
      <c r="B206" s="354" t="s">
        <v>419</v>
      </c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5"/>
    </row>
    <row r="207" spans="1:13" x14ac:dyDescent="0.25">
      <c r="A207" s="326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5"/>
    </row>
    <row r="208" spans="1:13" x14ac:dyDescent="0.25">
      <c r="A208" s="326"/>
      <c r="B208" s="324" t="s">
        <v>464</v>
      </c>
      <c r="C208" s="328">
        <f>((C91*C92^2/((C92-H202/1000)^2)-C91*C92^2/(C92+H202/1000)^2))/2</f>
        <v>2.4538755783089922E-5</v>
      </c>
      <c r="D208" s="354" t="s">
        <v>8</v>
      </c>
      <c r="E208" s="324"/>
      <c r="F208" s="324"/>
      <c r="G208" s="360"/>
      <c r="H208" s="324"/>
      <c r="I208" s="324"/>
      <c r="J208" s="324"/>
      <c r="K208" s="324"/>
      <c r="L208" s="324"/>
      <c r="M208" s="325"/>
    </row>
    <row r="209" spans="1:13" x14ac:dyDescent="0.25">
      <c r="A209" s="326"/>
      <c r="B209" s="324"/>
      <c r="C209" s="328"/>
      <c r="D209" s="324"/>
      <c r="E209" s="324"/>
      <c r="F209" s="324"/>
      <c r="G209" s="360"/>
      <c r="H209" s="324"/>
      <c r="I209" s="324"/>
      <c r="J209" s="324"/>
      <c r="K209" s="324"/>
      <c r="L209" s="324"/>
      <c r="M209" s="325"/>
    </row>
    <row r="210" spans="1:13" x14ac:dyDescent="0.25">
      <c r="A210" s="323" t="s">
        <v>495</v>
      </c>
      <c r="B210" s="324"/>
      <c r="C210" s="328"/>
      <c r="D210" s="324"/>
      <c r="E210" s="324"/>
      <c r="F210" s="324"/>
      <c r="G210" s="360"/>
      <c r="H210" s="324"/>
      <c r="I210" s="324"/>
      <c r="J210" s="324"/>
      <c r="K210" s="324"/>
      <c r="L210" s="324"/>
      <c r="M210" s="325"/>
    </row>
    <row r="211" spans="1:13" x14ac:dyDescent="0.25">
      <c r="A211" s="326"/>
      <c r="B211" s="324"/>
      <c r="C211" s="328"/>
      <c r="D211" s="324"/>
      <c r="E211" s="324"/>
      <c r="F211" s="324"/>
      <c r="G211" s="360"/>
      <c r="H211" s="324"/>
      <c r="I211" s="324"/>
      <c r="J211" s="324"/>
      <c r="K211" s="324"/>
      <c r="L211" s="324"/>
      <c r="M211" s="325"/>
    </row>
    <row r="212" spans="1:13" x14ac:dyDescent="0.25">
      <c r="A212" s="326"/>
      <c r="B212" s="327"/>
      <c r="C212" s="328"/>
      <c r="D212" s="324"/>
      <c r="E212" s="324"/>
      <c r="F212" s="324"/>
      <c r="G212" s="360"/>
      <c r="H212" s="324"/>
      <c r="I212" s="324"/>
      <c r="J212" s="324"/>
      <c r="K212" s="324"/>
      <c r="L212" s="324"/>
      <c r="M212" s="325"/>
    </row>
    <row r="213" spans="1:13" x14ac:dyDescent="0.25">
      <c r="A213" s="326"/>
      <c r="B213" s="324"/>
      <c r="C213" s="328"/>
      <c r="D213" s="324"/>
      <c r="E213" s="324"/>
      <c r="F213" s="324"/>
      <c r="G213" s="360"/>
      <c r="H213" s="324"/>
      <c r="I213" s="324"/>
      <c r="J213" s="324"/>
      <c r="K213" s="324"/>
      <c r="L213" s="324"/>
      <c r="M213" s="325"/>
    </row>
    <row r="214" spans="1:13" x14ac:dyDescent="0.25">
      <c r="A214" s="326"/>
      <c r="B214" s="324"/>
      <c r="C214" s="328"/>
      <c r="D214" s="324"/>
      <c r="E214" s="324"/>
      <c r="F214" s="324"/>
      <c r="G214" s="360"/>
      <c r="H214" s="324"/>
      <c r="I214" s="324"/>
      <c r="J214" s="324"/>
      <c r="K214" s="324"/>
      <c r="L214" s="324"/>
      <c r="M214" s="325"/>
    </row>
    <row r="215" spans="1:13" ht="18" x14ac:dyDescent="0.25">
      <c r="A215" s="326"/>
      <c r="B215" s="329" t="s">
        <v>500</v>
      </c>
      <c r="C215" s="324">
        <v>1</v>
      </c>
      <c r="D215" s="324"/>
      <c r="E215" s="324"/>
      <c r="F215" s="324"/>
      <c r="G215" s="361"/>
      <c r="H215" s="324"/>
      <c r="I215" s="324"/>
      <c r="J215" s="324"/>
      <c r="K215" s="324"/>
      <c r="L215" s="324"/>
      <c r="M215" s="325"/>
    </row>
    <row r="216" spans="1:13" ht="15.75" thickBot="1" x14ac:dyDescent="0.3">
      <c r="A216" s="330"/>
      <c r="B216" s="362"/>
      <c r="C216" s="331"/>
      <c r="D216" s="331"/>
      <c r="E216" s="331"/>
      <c r="F216" s="331"/>
      <c r="G216" s="363"/>
      <c r="H216" s="331"/>
      <c r="I216" s="331"/>
      <c r="J216" s="331"/>
      <c r="K216" s="331"/>
      <c r="L216" s="331"/>
      <c r="M216" s="332"/>
    </row>
    <row r="217" spans="1:13" x14ac:dyDescent="0.25">
      <c r="A217" s="353"/>
      <c r="B217" s="321"/>
      <c r="C217" s="321"/>
      <c r="D217" s="321"/>
      <c r="E217" s="321"/>
      <c r="F217" s="321"/>
      <c r="G217" s="364"/>
      <c r="H217" s="321"/>
      <c r="I217" s="321"/>
      <c r="J217" s="321"/>
      <c r="K217" s="321"/>
      <c r="L217" s="321"/>
      <c r="M217" s="322"/>
    </row>
    <row r="218" spans="1:13" x14ac:dyDescent="0.25">
      <c r="A218" s="323" t="s">
        <v>583</v>
      </c>
      <c r="B218" s="324"/>
      <c r="C218" s="324"/>
      <c r="D218" s="324"/>
      <c r="E218" s="324"/>
      <c r="F218" s="324"/>
      <c r="G218" s="361"/>
      <c r="H218" s="324"/>
      <c r="I218" s="324"/>
      <c r="J218" s="324"/>
      <c r="K218" s="324"/>
      <c r="L218" s="324"/>
      <c r="M218" s="325"/>
    </row>
    <row r="219" spans="1:13" x14ac:dyDescent="0.25">
      <c r="A219" s="323"/>
      <c r="B219" s="324"/>
      <c r="C219" s="324"/>
      <c r="D219" s="324"/>
      <c r="E219" s="324"/>
      <c r="F219" s="324"/>
      <c r="G219" s="361"/>
      <c r="H219" s="324"/>
      <c r="I219" s="324"/>
      <c r="J219" s="324"/>
      <c r="K219" s="324"/>
      <c r="L219" s="324"/>
      <c r="M219" s="325"/>
    </row>
    <row r="220" spans="1:13" x14ac:dyDescent="0.25">
      <c r="A220" s="323" t="s">
        <v>498</v>
      </c>
      <c r="B220" s="324"/>
      <c r="C220" s="324"/>
      <c r="D220" s="324"/>
      <c r="E220" s="324"/>
      <c r="F220" s="324"/>
      <c r="G220" s="361"/>
      <c r="H220" s="324"/>
      <c r="I220" s="324"/>
      <c r="J220" s="324"/>
      <c r="K220" s="324"/>
      <c r="L220" s="324"/>
      <c r="M220" s="325"/>
    </row>
    <row r="221" spans="1:13" x14ac:dyDescent="0.25">
      <c r="A221" s="326"/>
      <c r="B221" s="324"/>
      <c r="C221" s="324"/>
      <c r="D221" s="324"/>
      <c r="E221" s="324"/>
      <c r="F221" s="324"/>
      <c r="G221" s="361"/>
      <c r="H221" s="324"/>
      <c r="I221" s="324"/>
      <c r="J221" s="324"/>
      <c r="K221" s="324"/>
      <c r="L221" s="324"/>
      <c r="M221" s="325"/>
    </row>
    <row r="222" spans="1:13" x14ac:dyDescent="0.25">
      <c r="A222" s="326"/>
      <c r="B222" s="324" t="s">
        <v>464</v>
      </c>
      <c r="C222" s="354" t="s">
        <v>430</v>
      </c>
      <c r="D222" s="324"/>
      <c r="E222" s="324"/>
      <c r="F222" s="324"/>
      <c r="G222" s="361"/>
      <c r="H222" s="324"/>
      <c r="I222" s="324"/>
      <c r="J222" s="324"/>
      <c r="K222" s="324"/>
      <c r="L222" s="324"/>
      <c r="M222" s="325"/>
    </row>
    <row r="223" spans="1:13" x14ac:dyDescent="0.25">
      <c r="A223" s="326"/>
      <c r="B223" s="324"/>
      <c r="C223" s="324"/>
      <c r="D223" s="324"/>
      <c r="E223" s="324"/>
      <c r="F223" s="324"/>
      <c r="G223" s="361"/>
      <c r="H223" s="324"/>
      <c r="I223" s="324"/>
      <c r="J223" s="324"/>
      <c r="K223" s="324"/>
      <c r="L223" s="324"/>
      <c r="M223" s="325"/>
    </row>
    <row r="224" spans="1:13" x14ac:dyDescent="0.25">
      <c r="A224" s="326"/>
      <c r="B224" s="324" t="s">
        <v>464</v>
      </c>
      <c r="C224" s="328">
        <f>'F-LSCD-002 (Pos. fuente)'!AH69/2*C91</f>
        <v>1.6290376609367276E-5</v>
      </c>
      <c r="D224" s="354" t="s">
        <v>8</v>
      </c>
      <c r="E224" s="324"/>
      <c r="F224" s="324"/>
      <c r="G224" s="361"/>
      <c r="H224" s="324"/>
      <c r="I224" s="324"/>
      <c r="J224" s="324"/>
      <c r="K224" s="324"/>
      <c r="L224" s="324"/>
      <c r="M224" s="325"/>
    </row>
    <row r="225" spans="1:13" x14ac:dyDescent="0.25">
      <c r="A225" s="326"/>
      <c r="B225" s="324"/>
      <c r="C225" s="328"/>
      <c r="D225" s="354"/>
      <c r="E225" s="324"/>
      <c r="F225" s="324"/>
      <c r="G225" s="361"/>
      <c r="H225" s="324"/>
      <c r="I225" s="324"/>
      <c r="J225" s="324"/>
      <c r="K225" s="324"/>
      <c r="L225" s="324"/>
      <c r="M225" s="325"/>
    </row>
    <row r="226" spans="1:13" x14ac:dyDescent="0.25">
      <c r="A226" s="326"/>
      <c r="B226" s="354" t="s">
        <v>397</v>
      </c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5"/>
    </row>
    <row r="227" spans="1:13" x14ac:dyDescent="0.25">
      <c r="A227" s="326"/>
      <c r="B227" s="354" t="s">
        <v>416</v>
      </c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5"/>
    </row>
    <row r="228" spans="1:13" x14ac:dyDescent="0.25">
      <c r="A228" s="326"/>
      <c r="B228" s="35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5"/>
    </row>
    <row r="229" spans="1:13" x14ac:dyDescent="0.25">
      <c r="A229" s="323" t="s">
        <v>499</v>
      </c>
      <c r="B229" s="35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5"/>
    </row>
    <row r="230" spans="1:13" x14ac:dyDescent="0.25">
      <c r="A230" s="326"/>
      <c r="B230" s="35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5"/>
    </row>
    <row r="231" spans="1:13" x14ac:dyDescent="0.25">
      <c r="A231" s="326"/>
      <c r="B231" s="327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5"/>
    </row>
    <row r="232" spans="1:13" x14ac:dyDescent="0.25">
      <c r="A232" s="326"/>
      <c r="B232" s="35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5"/>
    </row>
    <row r="233" spans="1:13" x14ac:dyDescent="0.25">
      <c r="A233" s="326"/>
      <c r="B233" s="35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5"/>
    </row>
    <row r="234" spans="1:13" ht="18" x14ac:dyDescent="0.25">
      <c r="A234" s="326"/>
      <c r="B234" s="329" t="s">
        <v>527</v>
      </c>
      <c r="C234" s="324">
        <v>1</v>
      </c>
      <c r="D234" s="324"/>
      <c r="E234" s="324"/>
      <c r="F234" s="324"/>
      <c r="G234" s="324"/>
      <c r="H234" s="324"/>
      <c r="I234" s="324"/>
      <c r="J234" s="324"/>
      <c r="K234" s="324"/>
      <c r="L234" s="324"/>
      <c r="M234" s="325"/>
    </row>
    <row r="235" spans="1:13" ht="15.75" thickBot="1" x14ac:dyDescent="0.3">
      <c r="A235" s="330"/>
      <c r="B235" s="362"/>
      <c r="C235" s="331"/>
      <c r="D235" s="331"/>
      <c r="E235" s="331"/>
      <c r="F235" s="331"/>
      <c r="G235" s="331"/>
      <c r="H235" s="331"/>
      <c r="I235" s="331"/>
      <c r="J235" s="331"/>
      <c r="K235" s="331"/>
      <c r="L235" s="331"/>
      <c r="M235" s="332"/>
    </row>
    <row r="236" spans="1:13" x14ac:dyDescent="0.25">
      <c r="A236" s="353"/>
      <c r="B236" s="358"/>
      <c r="C236" s="321"/>
      <c r="D236" s="321"/>
      <c r="E236" s="321"/>
      <c r="F236" s="321"/>
      <c r="G236" s="321"/>
      <c r="H236" s="321"/>
      <c r="I236" s="321"/>
      <c r="J236" s="321"/>
      <c r="K236" s="321"/>
      <c r="L236" s="321"/>
      <c r="M236" s="322"/>
    </row>
    <row r="237" spans="1:13" x14ac:dyDescent="0.25">
      <c r="A237" s="323" t="s">
        <v>584</v>
      </c>
      <c r="B237" s="35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5"/>
    </row>
    <row r="238" spans="1:13" x14ac:dyDescent="0.25">
      <c r="A238" s="323"/>
      <c r="B238" s="35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5"/>
    </row>
    <row r="239" spans="1:13" x14ac:dyDescent="0.25">
      <c r="A239" s="323" t="s">
        <v>502</v>
      </c>
      <c r="B239" s="35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5"/>
    </row>
    <row r="240" spans="1:13" x14ac:dyDescent="0.25">
      <c r="A240" s="323"/>
      <c r="B240" s="35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5"/>
    </row>
    <row r="241" spans="1:13" x14ac:dyDescent="0.25">
      <c r="A241" s="323"/>
      <c r="B241" s="354" t="s">
        <v>453</v>
      </c>
      <c r="C241" s="324"/>
      <c r="D241" s="324"/>
      <c r="E241" s="324"/>
      <c r="F241" s="324">
        <v>1.1000000000000001</v>
      </c>
      <c r="G241" s="354" t="s">
        <v>449</v>
      </c>
      <c r="H241" s="324"/>
      <c r="I241" s="324"/>
      <c r="J241" s="324"/>
      <c r="K241" s="324"/>
      <c r="L241" s="324"/>
      <c r="M241" s="325"/>
    </row>
    <row r="242" spans="1:13" x14ac:dyDescent="0.25">
      <c r="A242" s="323"/>
      <c r="B242" s="35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5"/>
    </row>
    <row r="243" spans="1:13" x14ac:dyDescent="0.25">
      <c r="A243" s="323"/>
      <c r="B243" s="324" t="s">
        <v>464</v>
      </c>
      <c r="C243" s="354" t="str">
        <f>"(Tasa de Kerma en aire medido a "&amp;C92&amp;" m - Tasa de Kerma en aire teórico a "&amp;C92+F241/1000&amp;" m)/2"</f>
        <v>(Tasa de Kerma en aire medido a 2 m - Tasa de Kerma en aire teórico a 2.0011 m)/2</v>
      </c>
      <c r="D243" s="324"/>
      <c r="E243" s="324"/>
      <c r="F243" s="324"/>
      <c r="G243" s="324"/>
      <c r="H243" s="324"/>
      <c r="I243" s="324"/>
      <c r="J243" s="324"/>
      <c r="K243" s="324"/>
      <c r="L243" s="324"/>
      <c r="M243" s="325"/>
    </row>
    <row r="244" spans="1:13" x14ac:dyDescent="0.25">
      <c r="A244" s="323"/>
      <c r="B244" s="324"/>
      <c r="C244" s="35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5"/>
    </row>
    <row r="245" spans="1:13" x14ac:dyDescent="0.25">
      <c r="A245" s="323"/>
      <c r="B245" s="324" t="s">
        <v>464</v>
      </c>
      <c r="C245" s="328">
        <f>(C91-(C91*C92^2/(C92+F241/1000)^2))/2</f>
        <v>4.4950428988799543E-6</v>
      </c>
      <c r="D245" s="354" t="s">
        <v>8</v>
      </c>
      <c r="E245" s="324"/>
      <c r="F245" s="324"/>
      <c r="G245" s="324"/>
      <c r="H245" s="324"/>
      <c r="I245" s="324"/>
      <c r="J245" s="324"/>
      <c r="K245" s="324"/>
      <c r="L245" s="324"/>
      <c r="M245" s="325"/>
    </row>
    <row r="246" spans="1:13" x14ac:dyDescent="0.25">
      <c r="A246" s="323"/>
      <c r="B246" s="324"/>
      <c r="C246" s="328"/>
      <c r="D246" s="324"/>
      <c r="E246" s="324"/>
      <c r="F246" s="324"/>
      <c r="G246" s="324"/>
      <c r="H246" s="324"/>
      <c r="I246" s="324"/>
      <c r="J246" s="324"/>
      <c r="K246" s="324"/>
      <c r="L246" s="324"/>
      <c r="M246" s="325"/>
    </row>
    <row r="247" spans="1:13" x14ac:dyDescent="0.25">
      <c r="A247" s="323" t="s">
        <v>503</v>
      </c>
      <c r="B247" s="324"/>
      <c r="C247" s="328"/>
      <c r="D247" s="324"/>
      <c r="E247" s="324"/>
      <c r="F247" s="324"/>
      <c r="G247" s="324"/>
      <c r="H247" s="324"/>
      <c r="I247" s="324"/>
      <c r="J247" s="324"/>
      <c r="K247" s="324"/>
      <c r="L247" s="324"/>
      <c r="M247" s="325"/>
    </row>
    <row r="248" spans="1:13" x14ac:dyDescent="0.25">
      <c r="A248" s="323"/>
      <c r="B248" s="324"/>
      <c r="C248" s="328"/>
      <c r="D248" s="324"/>
      <c r="E248" s="324"/>
      <c r="F248" s="324"/>
      <c r="G248" s="324"/>
      <c r="H248" s="324"/>
      <c r="I248" s="324"/>
      <c r="J248" s="324"/>
      <c r="K248" s="324"/>
      <c r="L248" s="324"/>
      <c r="M248" s="325"/>
    </row>
    <row r="249" spans="1:13" x14ac:dyDescent="0.25">
      <c r="A249" s="323"/>
      <c r="B249" s="327"/>
      <c r="C249" s="328"/>
      <c r="D249" s="324"/>
      <c r="E249" s="324"/>
      <c r="F249" s="324"/>
      <c r="G249" s="324"/>
      <c r="H249" s="324"/>
      <c r="I249" s="324"/>
      <c r="J249" s="324"/>
      <c r="K249" s="324"/>
      <c r="L249" s="324"/>
      <c r="M249" s="325"/>
    </row>
    <row r="250" spans="1:13" x14ac:dyDescent="0.25">
      <c r="A250" s="323"/>
      <c r="B250" s="324"/>
      <c r="C250" s="328"/>
      <c r="D250" s="324"/>
      <c r="E250" s="324"/>
      <c r="F250" s="324"/>
      <c r="G250" s="324"/>
      <c r="H250" s="324"/>
      <c r="I250" s="324"/>
      <c r="J250" s="324"/>
      <c r="K250" s="324"/>
      <c r="L250" s="324"/>
      <c r="M250" s="325"/>
    </row>
    <row r="251" spans="1:13" x14ac:dyDescent="0.25">
      <c r="A251" s="323"/>
      <c r="B251" s="324"/>
      <c r="C251" s="35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5"/>
    </row>
    <row r="252" spans="1:13" ht="18" x14ac:dyDescent="0.25">
      <c r="A252" s="323"/>
      <c r="B252" s="329" t="s">
        <v>506</v>
      </c>
      <c r="C252" s="324">
        <v>1</v>
      </c>
      <c r="D252" s="324"/>
      <c r="E252" s="324"/>
      <c r="F252" s="324"/>
      <c r="G252" s="324"/>
      <c r="H252" s="324"/>
      <c r="I252" s="324"/>
      <c r="J252" s="324"/>
      <c r="K252" s="324"/>
      <c r="L252" s="324"/>
      <c r="M252" s="325"/>
    </row>
    <row r="253" spans="1:13" ht="15.75" thickBot="1" x14ac:dyDescent="0.3">
      <c r="A253" s="365"/>
      <c r="B253" s="331"/>
      <c r="C253" s="357"/>
      <c r="D253" s="331"/>
      <c r="E253" s="331"/>
      <c r="F253" s="331"/>
      <c r="G253" s="331"/>
      <c r="H253" s="331"/>
      <c r="I253" s="331"/>
      <c r="J253" s="331"/>
      <c r="K253" s="331"/>
      <c r="L253" s="331"/>
      <c r="M253" s="332"/>
    </row>
    <row r="254" spans="1:13" x14ac:dyDescent="0.25">
      <c r="A254" s="320"/>
      <c r="B254" s="321"/>
      <c r="C254" s="358"/>
      <c r="D254" s="321"/>
      <c r="E254" s="321"/>
      <c r="F254" s="321"/>
      <c r="G254" s="321"/>
      <c r="H254" s="321"/>
      <c r="I254" s="321"/>
      <c r="J254" s="321"/>
      <c r="K254" s="321"/>
      <c r="L254" s="321"/>
      <c r="M254" s="322"/>
    </row>
    <row r="255" spans="1:13" x14ac:dyDescent="0.25">
      <c r="A255" s="323" t="s">
        <v>585</v>
      </c>
      <c r="B255" s="35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5"/>
    </row>
    <row r="256" spans="1:13" x14ac:dyDescent="0.25">
      <c r="A256" s="323"/>
      <c r="B256" s="35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5"/>
    </row>
    <row r="257" spans="1:13" x14ac:dyDescent="0.25">
      <c r="A257" s="323" t="s">
        <v>504</v>
      </c>
      <c r="B257" s="35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5"/>
    </row>
    <row r="258" spans="1:13" x14ac:dyDescent="0.25">
      <c r="A258" s="323"/>
      <c r="B258" s="35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5"/>
    </row>
    <row r="259" spans="1:13" x14ac:dyDescent="0.25">
      <c r="A259" s="323"/>
      <c r="B259" s="354" t="s">
        <v>454</v>
      </c>
      <c r="C259" s="324"/>
      <c r="D259" s="324"/>
      <c r="E259" s="324"/>
      <c r="F259" s="324">
        <f>'F-LSCD-002 (Dosimetría)'!D66</f>
        <v>1</v>
      </c>
      <c r="G259" s="324" t="s">
        <v>449</v>
      </c>
      <c r="H259" s="324"/>
      <c r="I259" s="324"/>
      <c r="J259" s="324"/>
      <c r="K259" s="324"/>
      <c r="L259" s="324"/>
      <c r="M259" s="325"/>
    </row>
    <row r="260" spans="1:13" x14ac:dyDescent="0.25">
      <c r="A260" s="323"/>
      <c r="B260" s="35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5"/>
    </row>
    <row r="261" spans="1:13" x14ac:dyDescent="0.25">
      <c r="A261" s="323"/>
      <c r="B261" s="324" t="s">
        <v>464</v>
      </c>
      <c r="C261" s="354" t="str">
        <f>"(Tasa de Kerma en aire medido a "&amp;C92&amp;" m - Tasa de Kerma en aire teórico a "&amp;C92+F259/1000&amp;" m)/2"</f>
        <v>(Tasa de Kerma en aire medido a 2 m - Tasa de Kerma en aire teórico a 2.001 m)/2</v>
      </c>
      <c r="D261" s="324"/>
      <c r="E261" s="324"/>
      <c r="F261" s="324"/>
      <c r="G261" s="324"/>
      <c r="H261" s="324"/>
      <c r="I261" s="324"/>
      <c r="J261" s="324"/>
      <c r="K261" s="324"/>
      <c r="L261" s="324"/>
      <c r="M261" s="325"/>
    </row>
    <row r="262" spans="1:13" x14ac:dyDescent="0.25">
      <c r="A262" s="323"/>
      <c r="B262" s="35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5"/>
    </row>
    <row r="263" spans="1:13" x14ac:dyDescent="0.25">
      <c r="A263" s="323"/>
      <c r="B263" s="324" t="s">
        <v>464</v>
      </c>
      <c r="C263" s="328">
        <f>(C91-(C91*C92^2/(C92+F259/1000)^2))/2</f>
        <v>4.0867089394084136E-6</v>
      </c>
      <c r="D263" s="354" t="s">
        <v>8</v>
      </c>
      <c r="E263" s="324"/>
      <c r="F263" s="324"/>
      <c r="G263" s="324"/>
      <c r="H263" s="324"/>
      <c r="I263" s="324"/>
      <c r="J263" s="324"/>
      <c r="K263" s="324"/>
      <c r="L263" s="324"/>
      <c r="M263" s="325"/>
    </row>
    <row r="264" spans="1:13" x14ac:dyDescent="0.25">
      <c r="A264" s="323"/>
      <c r="B264" s="324"/>
      <c r="C264" s="328"/>
      <c r="D264" s="324"/>
      <c r="E264" s="324"/>
      <c r="F264" s="324"/>
      <c r="G264" s="324"/>
      <c r="H264" s="324"/>
      <c r="I264" s="324"/>
      <c r="J264" s="324"/>
      <c r="K264" s="324"/>
      <c r="L264" s="324"/>
      <c r="M264" s="325"/>
    </row>
    <row r="265" spans="1:13" x14ac:dyDescent="0.25">
      <c r="A265" s="323" t="s">
        <v>505</v>
      </c>
      <c r="B265" s="324"/>
      <c r="C265" s="328"/>
      <c r="D265" s="324"/>
      <c r="E265" s="324"/>
      <c r="F265" s="324"/>
      <c r="G265" s="324"/>
      <c r="H265" s="324"/>
      <c r="I265" s="324"/>
      <c r="J265" s="324"/>
      <c r="K265" s="324"/>
      <c r="L265" s="324"/>
      <c r="M265" s="325"/>
    </row>
    <row r="266" spans="1:13" x14ac:dyDescent="0.25">
      <c r="A266" s="323"/>
      <c r="B266" s="324"/>
      <c r="C266" s="328"/>
      <c r="D266" s="324"/>
      <c r="E266" s="324"/>
      <c r="F266" s="324"/>
      <c r="G266" s="324"/>
      <c r="H266" s="324"/>
      <c r="I266" s="324"/>
      <c r="J266" s="324"/>
      <c r="K266" s="324"/>
      <c r="L266" s="324"/>
      <c r="M266" s="325"/>
    </row>
    <row r="267" spans="1:13" x14ac:dyDescent="0.25">
      <c r="A267" s="323"/>
      <c r="B267" s="327"/>
      <c r="C267" s="328"/>
      <c r="D267" s="324"/>
      <c r="E267" s="324"/>
      <c r="F267" s="324"/>
      <c r="G267" s="324"/>
      <c r="H267" s="324"/>
      <c r="I267" s="324"/>
      <c r="J267" s="324"/>
      <c r="K267" s="324"/>
      <c r="L267" s="324"/>
      <c r="M267" s="325"/>
    </row>
    <row r="268" spans="1:13" x14ac:dyDescent="0.25">
      <c r="A268" s="323"/>
      <c r="B268" s="324"/>
      <c r="C268" s="328"/>
      <c r="D268" s="324"/>
      <c r="E268" s="324"/>
      <c r="F268" s="324"/>
      <c r="G268" s="324"/>
      <c r="H268" s="324"/>
      <c r="I268" s="324"/>
      <c r="J268" s="324"/>
      <c r="K268" s="324"/>
      <c r="L268" s="324"/>
      <c r="M268" s="325"/>
    </row>
    <row r="269" spans="1:13" x14ac:dyDescent="0.25">
      <c r="A269" s="323"/>
      <c r="B269" s="324"/>
      <c r="C269" s="328"/>
      <c r="D269" s="324"/>
      <c r="E269" s="324"/>
      <c r="F269" s="324"/>
      <c r="G269" s="324"/>
      <c r="H269" s="324"/>
      <c r="I269" s="324"/>
      <c r="J269" s="324"/>
      <c r="K269" s="324"/>
      <c r="L269" s="324"/>
      <c r="M269" s="325"/>
    </row>
    <row r="270" spans="1:13" ht="18" x14ac:dyDescent="0.25">
      <c r="A270" s="323"/>
      <c r="B270" s="324" t="s">
        <v>510</v>
      </c>
      <c r="C270" s="324">
        <v>1</v>
      </c>
      <c r="D270" s="324"/>
      <c r="E270" s="324"/>
      <c r="F270" s="324"/>
      <c r="G270" s="324"/>
      <c r="H270" s="324"/>
      <c r="I270" s="324"/>
      <c r="J270" s="324"/>
      <c r="K270" s="324"/>
      <c r="L270" s="324"/>
      <c r="M270" s="325"/>
    </row>
    <row r="271" spans="1:13" ht="15.75" thickBot="1" x14ac:dyDescent="0.3">
      <c r="A271" s="365"/>
      <c r="B271" s="331"/>
      <c r="C271" s="366"/>
      <c r="D271" s="331"/>
      <c r="E271" s="331"/>
      <c r="F271" s="331"/>
      <c r="G271" s="331"/>
      <c r="H271" s="331"/>
      <c r="I271" s="331"/>
      <c r="J271" s="331"/>
      <c r="K271" s="331"/>
      <c r="L271" s="331"/>
      <c r="M271" s="332"/>
    </row>
    <row r="272" spans="1:13" x14ac:dyDescent="0.25">
      <c r="A272" s="320"/>
      <c r="B272" s="321"/>
      <c r="C272" s="359"/>
      <c r="D272" s="321"/>
      <c r="E272" s="321"/>
      <c r="F272" s="321"/>
      <c r="G272" s="321"/>
      <c r="H272" s="321"/>
      <c r="I272" s="321"/>
      <c r="J272" s="321"/>
      <c r="K272" s="321"/>
      <c r="L272" s="321"/>
      <c r="M272" s="322"/>
    </row>
    <row r="273" spans="1:13" x14ac:dyDescent="0.25">
      <c r="A273" s="323" t="s">
        <v>586</v>
      </c>
      <c r="B273" s="324"/>
      <c r="C273" s="328"/>
      <c r="D273" s="324"/>
      <c r="E273" s="324"/>
      <c r="F273" s="324"/>
      <c r="G273" s="324"/>
      <c r="H273" s="324"/>
      <c r="I273" s="324"/>
      <c r="J273" s="324"/>
      <c r="K273" s="324"/>
      <c r="L273" s="324"/>
      <c r="M273" s="325"/>
    </row>
    <row r="274" spans="1:13" x14ac:dyDescent="0.25">
      <c r="A274" s="323"/>
      <c r="B274" s="324"/>
      <c r="C274" s="328"/>
      <c r="D274" s="324"/>
      <c r="E274" s="324"/>
      <c r="F274" s="324"/>
      <c r="G274" s="324"/>
      <c r="H274" s="324"/>
      <c r="I274" s="324"/>
      <c r="J274" s="324"/>
      <c r="K274" s="324"/>
      <c r="L274" s="324"/>
      <c r="M274" s="325"/>
    </row>
    <row r="275" spans="1:13" x14ac:dyDescent="0.25">
      <c r="A275" s="323" t="s">
        <v>508</v>
      </c>
      <c r="B275" s="324"/>
      <c r="C275" s="328"/>
      <c r="D275" s="324"/>
      <c r="E275" s="324"/>
      <c r="F275" s="324"/>
      <c r="G275" s="324"/>
      <c r="H275" s="324"/>
      <c r="I275" s="324"/>
      <c r="J275" s="324"/>
      <c r="K275" s="324"/>
      <c r="L275" s="324"/>
      <c r="M275" s="325"/>
    </row>
    <row r="276" spans="1:13" x14ac:dyDescent="0.25">
      <c r="A276" s="323"/>
      <c r="B276" s="324"/>
      <c r="C276" s="328"/>
      <c r="D276" s="324"/>
      <c r="E276" s="324"/>
      <c r="F276" s="324"/>
      <c r="G276" s="324"/>
      <c r="H276" s="324"/>
      <c r="I276" s="324"/>
      <c r="J276" s="324"/>
      <c r="K276" s="324"/>
      <c r="L276" s="324"/>
      <c r="M276" s="325"/>
    </row>
    <row r="277" spans="1:13" x14ac:dyDescent="0.25">
      <c r="A277" s="323"/>
      <c r="B277" s="324" t="s">
        <v>464</v>
      </c>
      <c r="C277" s="367" t="s">
        <v>455</v>
      </c>
      <c r="D277" s="324"/>
      <c r="E277" s="324"/>
      <c r="F277" s="324"/>
      <c r="G277" s="324"/>
      <c r="H277" s="324"/>
      <c r="I277" s="324"/>
      <c r="J277" s="324"/>
      <c r="K277" s="324"/>
      <c r="L277" s="324"/>
      <c r="M277" s="325"/>
    </row>
    <row r="278" spans="1:13" x14ac:dyDescent="0.25">
      <c r="A278" s="323"/>
      <c r="B278" s="324"/>
      <c r="C278" s="328"/>
      <c r="D278" s="324"/>
      <c r="E278" s="324"/>
      <c r="F278" s="324"/>
      <c r="G278" s="324"/>
      <c r="H278" s="324"/>
      <c r="I278" s="324"/>
      <c r="J278" s="324"/>
      <c r="K278" s="324"/>
      <c r="L278" s="324"/>
      <c r="M278" s="325"/>
    </row>
    <row r="279" spans="1:13" x14ac:dyDescent="0.25">
      <c r="A279" s="323"/>
      <c r="B279" s="324" t="s">
        <v>464</v>
      </c>
      <c r="C279" s="328">
        <f>'F-LSCD-002 (Dosimetría)'!F51</f>
        <v>0.4</v>
      </c>
      <c r="D279" s="354" t="str">
        <f>'F-LSCD-002 (Dosimetría)'!G51</f>
        <v>°C</v>
      </c>
      <c r="E279" s="324"/>
      <c r="F279" s="324"/>
      <c r="G279" s="324"/>
      <c r="H279" s="324"/>
      <c r="I279" s="324"/>
      <c r="J279" s="324"/>
      <c r="K279" s="324"/>
      <c r="L279" s="324"/>
      <c r="M279" s="325"/>
    </row>
    <row r="280" spans="1:13" x14ac:dyDescent="0.25">
      <c r="A280" s="323"/>
      <c r="B280" s="324"/>
      <c r="C280" s="328"/>
      <c r="D280" s="324"/>
      <c r="E280" s="324"/>
      <c r="F280" s="324"/>
      <c r="G280" s="324"/>
      <c r="H280" s="324"/>
      <c r="I280" s="324"/>
      <c r="J280" s="324"/>
      <c r="K280" s="324"/>
      <c r="L280" s="324"/>
      <c r="M280" s="325"/>
    </row>
    <row r="281" spans="1:13" x14ac:dyDescent="0.25">
      <c r="A281" s="323" t="s">
        <v>509</v>
      </c>
      <c r="B281" s="324"/>
      <c r="C281" s="328"/>
      <c r="D281" s="324"/>
      <c r="E281" s="324"/>
      <c r="F281" s="324"/>
      <c r="G281" s="324"/>
      <c r="H281" s="324"/>
      <c r="I281" s="324"/>
      <c r="J281" s="324"/>
      <c r="K281" s="324"/>
      <c r="L281" s="324"/>
      <c r="M281" s="325"/>
    </row>
    <row r="282" spans="1:13" x14ac:dyDescent="0.25">
      <c r="A282" s="323"/>
      <c r="B282" s="324"/>
      <c r="C282" s="328"/>
      <c r="D282" s="324"/>
      <c r="E282" s="324"/>
      <c r="F282" s="324"/>
      <c r="G282" s="324"/>
      <c r="H282" s="324"/>
      <c r="I282" s="324"/>
      <c r="J282" s="324"/>
      <c r="K282" s="324"/>
      <c r="L282" s="324"/>
      <c r="M282" s="325"/>
    </row>
    <row r="283" spans="1:13" x14ac:dyDescent="0.25">
      <c r="A283" s="326"/>
      <c r="B283" s="327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5"/>
    </row>
    <row r="284" spans="1:13" x14ac:dyDescent="0.25">
      <c r="A284" s="326"/>
      <c r="B284" s="324"/>
      <c r="C284" s="327"/>
      <c r="D284" s="324"/>
      <c r="E284" s="324"/>
      <c r="F284" s="324"/>
      <c r="G284" s="324"/>
      <c r="H284" s="324"/>
      <c r="I284" s="324"/>
      <c r="J284" s="324"/>
      <c r="K284" s="324"/>
      <c r="L284" s="324"/>
      <c r="M284" s="325"/>
    </row>
    <row r="285" spans="1:13" x14ac:dyDescent="0.25">
      <c r="A285" s="326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5"/>
    </row>
    <row r="286" spans="1:13" ht="18" x14ac:dyDescent="0.25">
      <c r="A286" s="326"/>
      <c r="B286" s="329" t="s">
        <v>528</v>
      </c>
      <c r="C286" s="328">
        <f>(C85/C86)*((1)*C87/((273.15+C89)*C88))*C82*C83*C84*3600</f>
        <v>2.8087140071448845E-5</v>
      </c>
      <c r="D286" s="354" t="s">
        <v>393</v>
      </c>
      <c r="E286" s="324"/>
      <c r="F286" s="324"/>
      <c r="G286" s="324"/>
      <c r="H286" s="324"/>
      <c r="I286" s="324"/>
      <c r="J286" s="324"/>
      <c r="K286" s="324"/>
      <c r="L286" s="324"/>
      <c r="M286" s="325"/>
    </row>
    <row r="287" spans="1:13" ht="15.75" thickBot="1" x14ac:dyDescent="0.3">
      <c r="A287" s="330"/>
      <c r="B287" s="368"/>
      <c r="C287" s="331"/>
      <c r="D287" s="331"/>
      <c r="E287" s="331"/>
      <c r="F287" s="331"/>
      <c r="G287" s="331"/>
      <c r="H287" s="331"/>
      <c r="I287" s="331"/>
      <c r="J287" s="331"/>
      <c r="K287" s="331"/>
      <c r="L287" s="331"/>
      <c r="M287" s="332"/>
    </row>
    <row r="288" spans="1:13" x14ac:dyDescent="0.25">
      <c r="A288" s="353"/>
      <c r="B288" s="369"/>
      <c r="C288" s="321"/>
      <c r="D288" s="321"/>
      <c r="E288" s="321"/>
      <c r="F288" s="321"/>
      <c r="G288" s="321"/>
      <c r="H288" s="321"/>
      <c r="I288" s="321"/>
      <c r="J288" s="321"/>
      <c r="K288" s="321"/>
      <c r="L288" s="321"/>
      <c r="M288" s="322"/>
    </row>
    <row r="289" spans="1:13" x14ac:dyDescent="0.25">
      <c r="A289" s="323" t="s">
        <v>587</v>
      </c>
      <c r="B289" s="35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5"/>
    </row>
    <row r="290" spans="1:13" x14ac:dyDescent="0.25">
      <c r="A290" s="323"/>
      <c r="B290" s="35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5"/>
    </row>
    <row r="291" spans="1:13" x14ac:dyDescent="0.25">
      <c r="A291" s="323" t="s">
        <v>512</v>
      </c>
      <c r="B291" s="35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5"/>
    </row>
    <row r="292" spans="1:13" x14ac:dyDescent="0.25">
      <c r="A292" s="323"/>
      <c r="B292" s="35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5"/>
    </row>
    <row r="293" spans="1:13" x14ac:dyDescent="0.25">
      <c r="A293" s="323"/>
      <c r="B293" s="324" t="s">
        <v>464</v>
      </c>
      <c r="C293" s="354" t="s">
        <v>399</v>
      </c>
      <c r="D293" s="324"/>
      <c r="E293" s="324"/>
      <c r="F293" s="324"/>
      <c r="G293" s="324"/>
      <c r="H293" s="324"/>
      <c r="I293" s="324"/>
      <c r="J293" s="324"/>
      <c r="K293" s="324"/>
      <c r="L293" s="324"/>
      <c r="M293" s="325"/>
    </row>
    <row r="294" spans="1:13" x14ac:dyDescent="0.25">
      <c r="A294" s="323"/>
      <c r="B294" s="35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5"/>
    </row>
    <row r="295" spans="1:13" x14ac:dyDescent="0.25">
      <c r="A295" s="326"/>
      <c r="B295" s="324" t="s">
        <v>464</v>
      </c>
      <c r="C295" s="324">
        <f>'F-LSCD-002 (Dosimetría)'!E51/2</f>
        <v>0.05</v>
      </c>
      <c r="D295" s="354" t="s">
        <v>12</v>
      </c>
      <c r="E295" s="324"/>
      <c r="F295" s="324"/>
      <c r="G295" s="324"/>
      <c r="H295" s="324"/>
      <c r="I295" s="324"/>
      <c r="J295" s="324"/>
      <c r="K295" s="324"/>
      <c r="L295" s="324"/>
      <c r="M295" s="325"/>
    </row>
    <row r="296" spans="1:13" x14ac:dyDescent="0.25">
      <c r="A296" s="326"/>
      <c r="B296" s="324"/>
      <c r="C296" s="324"/>
      <c r="D296" s="354"/>
      <c r="E296" s="324"/>
      <c r="F296" s="324"/>
      <c r="G296" s="324"/>
      <c r="H296" s="324"/>
      <c r="I296" s="324"/>
      <c r="J296" s="324"/>
      <c r="K296" s="324"/>
      <c r="L296" s="324"/>
      <c r="M296" s="325"/>
    </row>
    <row r="297" spans="1:13" x14ac:dyDescent="0.25">
      <c r="A297" s="323" t="s">
        <v>513</v>
      </c>
      <c r="B297" s="324"/>
      <c r="C297" s="324"/>
      <c r="D297" s="354"/>
      <c r="E297" s="324"/>
      <c r="F297" s="324"/>
      <c r="G297" s="324"/>
      <c r="H297" s="324"/>
      <c r="I297" s="324"/>
      <c r="J297" s="324"/>
      <c r="K297" s="324"/>
      <c r="L297" s="324"/>
      <c r="M297" s="325"/>
    </row>
    <row r="298" spans="1:13" x14ac:dyDescent="0.25">
      <c r="A298" s="326"/>
      <c r="B298" s="324"/>
      <c r="C298" s="324"/>
      <c r="D298" s="354"/>
      <c r="E298" s="324"/>
      <c r="F298" s="324"/>
      <c r="G298" s="324"/>
      <c r="H298" s="324"/>
      <c r="I298" s="324"/>
      <c r="J298" s="324"/>
      <c r="K298" s="324"/>
      <c r="L298" s="324"/>
      <c r="M298" s="325"/>
    </row>
    <row r="299" spans="1:13" x14ac:dyDescent="0.25">
      <c r="A299" s="326"/>
      <c r="B299" s="327"/>
      <c r="C299" s="324"/>
      <c r="D299" s="354"/>
      <c r="E299" s="324"/>
      <c r="F299" s="324"/>
      <c r="G299" s="324"/>
      <c r="H299" s="324"/>
      <c r="I299" s="324"/>
      <c r="J299" s="324"/>
      <c r="K299" s="324"/>
      <c r="L299" s="324"/>
      <c r="M299" s="325"/>
    </row>
    <row r="300" spans="1:13" x14ac:dyDescent="0.25">
      <c r="A300" s="326"/>
      <c r="B300" s="324"/>
      <c r="C300" s="324"/>
      <c r="D300" s="354"/>
      <c r="E300" s="324"/>
      <c r="F300" s="324"/>
      <c r="G300" s="324"/>
      <c r="H300" s="324"/>
      <c r="I300" s="324"/>
      <c r="J300" s="324"/>
      <c r="K300" s="324"/>
      <c r="L300" s="324"/>
      <c r="M300" s="325"/>
    </row>
    <row r="301" spans="1:13" x14ac:dyDescent="0.25">
      <c r="A301" s="326"/>
      <c r="B301" s="324"/>
      <c r="C301" s="324"/>
      <c r="D301" s="354"/>
      <c r="E301" s="324"/>
      <c r="F301" s="324"/>
      <c r="G301" s="324"/>
      <c r="H301" s="324"/>
      <c r="I301" s="324"/>
      <c r="J301" s="324"/>
      <c r="K301" s="324"/>
      <c r="L301" s="324"/>
      <c r="M301" s="325"/>
    </row>
    <row r="302" spans="1:13" ht="18" x14ac:dyDescent="0.25">
      <c r="A302" s="326"/>
      <c r="B302" s="329" t="s">
        <v>517</v>
      </c>
      <c r="C302" s="328">
        <f>C286</f>
        <v>2.8087140071448845E-5</v>
      </c>
      <c r="D302" s="354" t="str">
        <f>D286</f>
        <v>Gy/(h.°C)</v>
      </c>
      <c r="E302" s="324"/>
      <c r="F302" s="324"/>
      <c r="G302" s="324"/>
      <c r="H302" s="324"/>
      <c r="I302" s="324"/>
      <c r="J302" s="324"/>
      <c r="K302" s="324"/>
      <c r="L302" s="324"/>
      <c r="M302" s="325"/>
    </row>
    <row r="303" spans="1:13" ht="15.75" thickBot="1" x14ac:dyDescent="0.3">
      <c r="A303" s="330"/>
      <c r="B303" s="331"/>
      <c r="C303" s="331"/>
      <c r="D303" s="331"/>
      <c r="E303" s="331"/>
      <c r="F303" s="331"/>
      <c r="G303" s="331"/>
      <c r="H303" s="331"/>
      <c r="I303" s="331"/>
      <c r="J303" s="331"/>
      <c r="K303" s="331"/>
      <c r="L303" s="331"/>
      <c r="M303" s="332"/>
    </row>
    <row r="304" spans="1:13" x14ac:dyDescent="0.25">
      <c r="A304" s="353"/>
      <c r="B304" s="321"/>
      <c r="C304" s="321"/>
      <c r="D304" s="321"/>
      <c r="E304" s="321"/>
      <c r="F304" s="321"/>
      <c r="G304" s="321"/>
      <c r="H304" s="321"/>
      <c r="I304" s="321"/>
      <c r="J304" s="321"/>
      <c r="K304" s="321"/>
      <c r="L304" s="321"/>
      <c r="M304" s="322"/>
    </row>
    <row r="305" spans="1:13" x14ac:dyDescent="0.25">
      <c r="A305" s="323" t="s">
        <v>588</v>
      </c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5"/>
    </row>
    <row r="306" spans="1:13" x14ac:dyDescent="0.25">
      <c r="A306" s="323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5"/>
    </row>
    <row r="307" spans="1:13" x14ac:dyDescent="0.25">
      <c r="A307" s="323" t="s">
        <v>515</v>
      </c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5"/>
    </row>
    <row r="308" spans="1:13" x14ac:dyDescent="0.25">
      <c r="A308" s="323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5"/>
    </row>
    <row r="309" spans="1:13" x14ac:dyDescent="0.25">
      <c r="A309" s="326"/>
      <c r="B309" s="324" t="s">
        <v>464</v>
      </c>
      <c r="C309" s="354" t="s">
        <v>455</v>
      </c>
      <c r="D309" s="324"/>
      <c r="E309" s="324"/>
      <c r="F309" s="324"/>
      <c r="G309" s="324"/>
      <c r="H309" s="324"/>
      <c r="I309" s="324"/>
      <c r="J309" s="324"/>
      <c r="K309" s="324"/>
      <c r="L309" s="324"/>
      <c r="M309" s="325"/>
    </row>
    <row r="310" spans="1:13" x14ac:dyDescent="0.25">
      <c r="A310" s="326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5"/>
    </row>
    <row r="311" spans="1:13" x14ac:dyDescent="0.25">
      <c r="A311" s="326"/>
      <c r="B311" s="324" t="s">
        <v>464</v>
      </c>
      <c r="C311" s="324">
        <f>'F-LSCD-002 (Dosimetría)'!F59</f>
        <v>0.3</v>
      </c>
      <c r="D311" s="354" t="s">
        <v>16</v>
      </c>
      <c r="E311" s="324"/>
      <c r="F311" s="324"/>
      <c r="G311" s="324"/>
      <c r="H311" s="324"/>
      <c r="I311" s="324"/>
      <c r="J311" s="324"/>
      <c r="K311" s="324"/>
      <c r="L311" s="324"/>
      <c r="M311" s="325"/>
    </row>
    <row r="312" spans="1:13" x14ac:dyDescent="0.25">
      <c r="A312" s="326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5"/>
    </row>
    <row r="313" spans="1:13" x14ac:dyDescent="0.25">
      <c r="A313" s="326"/>
      <c r="B313" s="354" t="s">
        <v>397</v>
      </c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5"/>
    </row>
    <row r="314" spans="1:13" x14ac:dyDescent="0.25">
      <c r="A314" s="326"/>
      <c r="B314" s="354" t="s">
        <v>456</v>
      </c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5"/>
    </row>
    <row r="315" spans="1:13" x14ac:dyDescent="0.25">
      <c r="A315" s="326"/>
      <c r="B315" s="35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5"/>
    </row>
    <row r="316" spans="1:13" x14ac:dyDescent="0.25">
      <c r="A316" s="323" t="s">
        <v>516</v>
      </c>
      <c r="B316" s="35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5"/>
    </row>
    <row r="317" spans="1:13" x14ac:dyDescent="0.25">
      <c r="A317" s="323"/>
      <c r="B317" s="35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5"/>
    </row>
    <row r="318" spans="1:13" x14ac:dyDescent="0.25">
      <c r="A318" s="323"/>
      <c r="B318" s="327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5"/>
    </row>
    <row r="319" spans="1:13" x14ac:dyDescent="0.25">
      <c r="A319" s="323"/>
      <c r="B319" s="35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5"/>
    </row>
    <row r="320" spans="1:13" x14ac:dyDescent="0.25">
      <c r="A320" s="323"/>
      <c r="B320" s="35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5"/>
    </row>
    <row r="321" spans="1:13" ht="18" x14ac:dyDescent="0.25">
      <c r="A321" s="326"/>
      <c r="B321" s="329" t="s">
        <v>529</v>
      </c>
      <c r="C321" s="328">
        <f>-(C85/C86)*((273.15+C90)*C87/((273.15+C89)*C88^2))*C82*C83*C84*3600</f>
        <v>-8.1636064391644322E-6</v>
      </c>
      <c r="D321" s="354" t="s">
        <v>395</v>
      </c>
      <c r="E321" s="324"/>
      <c r="F321" s="324"/>
      <c r="G321" s="324"/>
      <c r="H321" s="324"/>
      <c r="I321" s="324"/>
      <c r="J321" s="324"/>
      <c r="K321" s="324"/>
      <c r="L321" s="324"/>
      <c r="M321" s="325"/>
    </row>
    <row r="322" spans="1:13" ht="15.75" thickBot="1" x14ac:dyDescent="0.3">
      <c r="A322" s="330"/>
      <c r="B322" s="368"/>
      <c r="C322" s="331"/>
      <c r="D322" s="331"/>
      <c r="E322" s="331"/>
      <c r="F322" s="331"/>
      <c r="G322" s="331"/>
      <c r="H322" s="331"/>
      <c r="I322" s="331"/>
      <c r="J322" s="331"/>
      <c r="K322" s="331"/>
      <c r="L322" s="331"/>
      <c r="M322" s="332"/>
    </row>
    <row r="323" spans="1:13" x14ac:dyDescent="0.25">
      <c r="A323" s="320"/>
      <c r="B323" s="358"/>
      <c r="C323" s="321"/>
      <c r="D323" s="321"/>
      <c r="E323" s="321"/>
      <c r="F323" s="321"/>
      <c r="G323" s="321"/>
      <c r="H323" s="321"/>
      <c r="I323" s="321"/>
      <c r="J323" s="321"/>
      <c r="K323" s="321"/>
      <c r="L323" s="321"/>
      <c r="M323" s="322"/>
    </row>
    <row r="324" spans="1:13" x14ac:dyDescent="0.25">
      <c r="A324" s="323" t="s">
        <v>589</v>
      </c>
      <c r="B324" s="35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5"/>
    </row>
    <row r="325" spans="1:13" x14ac:dyDescent="0.25">
      <c r="A325" s="323"/>
      <c r="B325" s="35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5"/>
    </row>
    <row r="326" spans="1:13" x14ac:dyDescent="0.25">
      <c r="A326" s="323" t="s">
        <v>518</v>
      </c>
      <c r="B326" s="35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5"/>
    </row>
    <row r="327" spans="1:13" x14ac:dyDescent="0.25">
      <c r="A327" s="326"/>
      <c r="B327" s="35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5"/>
    </row>
    <row r="328" spans="1:13" x14ac:dyDescent="0.25">
      <c r="A328" s="326"/>
      <c r="B328" s="324" t="s">
        <v>464</v>
      </c>
      <c r="C328" s="354" t="s">
        <v>399</v>
      </c>
      <c r="D328" s="324"/>
      <c r="E328" s="324"/>
      <c r="F328" s="324"/>
      <c r="G328" s="324"/>
      <c r="H328" s="324"/>
      <c r="I328" s="324"/>
      <c r="J328" s="324"/>
      <c r="K328" s="324"/>
      <c r="L328" s="324"/>
      <c r="M328" s="325"/>
    </row>
    <row r="329" spans="1:13" x14ac:dyDescent="0.25">
      <c r="A329" s="326"/>
      <c r="B329" s="35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5"/>
    </row>
    <row r="330" spans="1:13" x14ac:dyDescent="0.25">
      <c r="A330" s="326"/>
      <c r="B330" s="324" t="s">
        <v>464</v>
      </c>
      <c r="C330" s="324">
        <f>'F-LSCD-002 (Dosimetría)'!E59/2</f>
        <v>0.05</v>
      </c>
      <c r="D330" s="354" t="s">
        <v>16</v>
      </c>
      <c r="E330" s="324"/>
      <c r="F330" s="324"/>
      <c r="G330" s="324"/>
      <c r="H330" s="324"/>
      <c r="I330" s="324"/>
      <c r="J330" s="324"/>
      <c r="K330" s="324"/>
      <c r="L330" s="324"/>
      <c r="M330" s="325"/>
    </row>
    <row r="331" spans="1:13" x14ac:dyDescent="0.25">
      <c r="A331" s="326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5"/>
    </row>
    <row r="332" spans="1:13" x14ac:dyDescent="0.25">
      <c r="A332" s="326"/>
      <c r="B332" s="354" t="s">
        <v>397</v>
      </c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5"/>
    </row>
    <row r="333" spans="1:13" x14ac:dyDescent="0.25">
      <c r="A333" s="326"/>
      <c r="B333" s="354" t="s">
        <v>456</v>
      </c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5"/>
    </row>
    <row r="334" spans="1:13" x14ac:dyDescent="0.25">
      <c r="A334" s="326"/>
      <c r="B334" s="35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5"/>
    </row>
    <row r="335" spans="1:13" x14ac:dyDescent="0.25">
      <c r="A335" s="323" t="s">
        <v>519</v>
      </c>
      <c r="B335" s="35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5"/>
    </row>
    <row r="336" spans="1:13" x14ac:dyDescent="0.25">
      <c r="A336" s="326"/>
      <c r="B336" s="35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5"/>
    </row>
    <row r="337" spans="1:13" x14ac:dyDescent="0.25">
      <c r="A337" s="326"/>
      <c r="B337" s="327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5"/>
    </row>
    <row r="338" spans="1:13" x14ac:dyDescent="0.25">
      <c r="A338" s="326"/>
      <c r="B338" s="35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5"/>
    </row>
    <row r="339" spans="1:13" x14ac:dyDescent="0.25">
      <c r="A339" s="326"/>
      <c r="B339" s="35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5"/>
    </row>
    <row r="340" spans="1:13" ht="18" x14ac:dyDescent="0.25">
      <c r="A340" s="326"/>
      <c r="B340" s="324" t="s">
        <v>523</v>
      </c>
      <c r="C340" s="328">
        <f>C321</f>
        <v>-8.1636064391644322E-6</v>
      </c>
      <c r="D340" s="324" t="str">
        <f>D321</f>
        <v>Gy/(h.hPa)</v>
      </c>
      <c r="E340" s="324"/>
      <c r="F340" s="324"/>
      <c r="G340" s="324"/>
      <c r="H340" s="324"/>
      <c r="I340" s="324"/>
      <c r="J340" s="324"/>
      <c r="K340" s="324"/>
      <c r="L340" s="324"/>
      <c r="M340" s="325"/>
    </row>
    <row r="341" spans="1:13" ht="15.75" thickBot="1" x14ac:dyDescent="0.3">
      <c r="A341" s="330"/>
      <c r="B341" s="357"/>
      <c r="C341" s="331"/>
      <c r="D341" s="331"/>
      <c r="E341" s="331"/>
      <c r="F341" s="331"/>
      <c r="G341" s="331"/>
      <c r="H341" s="331"/>
      <c r="I341" s="331"/>
      <c r="J341" s="331"/>
      <c r="K341" s="331"/>
      <c r="L341" s="331"/>
      <c r="M341" s="332"/>
    </row>
    <row r="342" spans="1:13" x14ac:dyDescent="0.25">
      <c r="A342" s="353"/>
      <c r="B342" s="369"/>
      <c r="C342" s="321"/>
      <c r="D342" s="321"/>
      <c r="E342" s="321"/>
      <c r="F342" s="321"/>
      <c r="G342" s="321"/>
      <c r="H342" s="321"/>
      <c r="I342" s="321"/>
      <c r="J342" s="321"/>
      <c r="K342" s="321"/>
      <c r="L342" s="321"/>
      <c r="M342" s="322"/>
    </row>
    <row r="343" spans="1:13" x14ac:dyDescent="0.25">
      <c r="A343" s="323" t="s">
        <v>590</v>
      </c>
      <c r="B343" s="35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5"/>
    </row>
    <row r="344" spans="1:13" x14ac:dyDescent="0.25">
      <c r="A344" s="323"/>
      <c r="B344" s="35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5"/>
    </row>
    <row r="345" spans="1:13" x14ac:dyDescent="0.25">
      <c r="A345" s="323" t="s">
        <v>521</v>
      </c>
      <c r="B345" s="35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5"/>
    </row>
    <row r="346" spans="1:13" x14ac:dyDescent="0.25">
      <c r="A346" s="323"/>
      <c r="B346" s="35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5"/>
    </row>
    <row r="347" spans="1:13" x14ac:dyDescent="0.25">
      <c r="A347" s="323"/>
      <c r="B347" s="324" t="s">
        <v>464</v>
      </c>
      <c r="C347" s="354" t="s">
        <v>570</v>
      </c>
      <c r="D347" s="324"/>
      <c r="E347" s="324"/>
      <c r="F347" s="324"/>
      <c r="G347" s="324"/>
      <c r="H347" s="324"/>
      <c r="I347" s="324"/>
      <c r="J347" s="324"/>
      <c r="K347" s="324"/>
      <c r="L347" s="324"/>
      <c r="M347" s="325"/>
    </row>
    <row r="348" spans="1:13" x14ac:dyDescent="0.25">
      <c r="A348" s="323"/>
      <c r="B348" s="35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5"/>
    </row>
    <row r="349" spans="1:13" x14ac:dyDescent="0.25">
      <c r="A349" s="326"/>
      <c r="B349" s="324" t="s">
        <v>464</v>
      </c>
      <c r="C349" s="328">
        <f>('F-LSCD-002 (Dosimetría)'!I42/3600)/2</f>
        <v>6.9444444444444444E-5</v>
      </c>
      <c r="D349" s="354" t="s">
        <v>571</v>
      </c>
      <c r="E349" s="324"/>
      <c r="F349" s="324"/>
      <c r="G349" s="324"/>
      <c r="H349" s="324"/>
      <c r="I349" s="324"/>
      <c r="J349" s="324"/>
      <c r="K349" s="324"/>
      <c r="L349" s="324"/>
      <c r="M349" s="325"/>
    </row>
    <row r="350" spans="1:13" x14ac:dyDescent="0.25">
      <c r="A350" s="326"/>
      <c r="B350" s="324"/>
      <c r="C350" s="324"/>
      <c r="D350" s="354"/>
      <c r="E350" s="324"/>
      <c r="F350" s="324"/>
      <c r="G350" s="324"/>
      <c r="H350" s="324"/>
      <c r="I350" s="324"/>
      <c r="J350" s="324"/>
      <c r="K350" s="324"/>
      <c r="L350" s="324"/>
      <c r="M350" s="325"/>
    </row>
    <row r="351" spans="1:13" x14ac:dyDescent="0.25">
      <c r="A351" s="323" t="s">
        <v>522</v>
      </c>
      <c r="B351" s="324"/>
      <c r="C351" s="324"/>
      <c r="D351" s="354"/>
      <c r="E351" s="324"/>
      <c r="F351" s="324"/>
      <c r="G351" s="324"/>
      <c r="H351" s="324"/>
      <c r="I351" s="324"/>
      <c r="J351" s="324"/>
      <c r="K351" s="324"/>
      <c r="L351" s="324"/>
      <c r="M351" s="325"/>
    </row>
    <row r="352" spans="1:13" x14ac:dyDescent="0.25">
      <c r="A352" s="326"/>
      <c r="B352" s="324"/>
      <c r="C352" s="324"/>
      <c r="D352" s="354"/>
      <c r="E352" s="324"/>
      <c r="F352" s="324"/>
      <c r="G352" s="324"/>
      <c r="H352" s="324"/>
      <c r="I352" s="324"/>
      <c r="J352" s="324"/>
      <c r="K352" s="324"/>
      <c r="L352" s="324"/>
      <c r="M352" s="325"/>
    </row>
    <row r="353" spans="1:13" x14ac:dyDescent="0.25">
      <c r="A353" s="326"/>
      <c r="B353" s="327"/>
      <c r="C353" s="324"/>
      <c r="D353" s="354"/>
      <c r="E353" s="324"/>
      <c r="F353" s="324"/>
      <c r="G353" s="324"/>
      <c r="H353" s="324"/>
      <c r="I353" s="324"/>
      <c r="J353" s="324"/>
      <c r="K353" s="324"/>
      <c r="L353" s="324"/>
      <c r="M353" s="325"/>
    </row>
    <row r="354" spans="1:13" x14ac:dyDescent="0.25">
      <c r="A354" s="326"/>
      <c r="B354" s="324"/>
      <c r="C354" s="324"/>
      <c r="D354" s="354"/>
      <c r="E354" s="324"/>
      <c r="F354" s="324"/>
      <c r="G354" s="324"/>
      <c r="H354" s="324"/>
      <c r="I354" s="324"/>
      <c r="J354" s="324"/>
      <c r="K354" s="324"/>
      <c r="L354" s="324"/>
      <c r="M354" s="325"/>
    </row>
    <row r="355" spans="1:13" x14ac:dyDescent="0.25">
      <c r="A355" s="326"/>
      <c r="B355" s="324"/>
      <c r="C355" s="324"/>
      <c r="D355" s="354"/>
      <c r="E355" s="324"/>
      <c r="F355" s="324"/>
      <c r="G355" s="324"/>
      <c r="H355" s="324"/>
      <c r="I355" s="324"/>
      <c r="J355" s="324"/>
      <c r="K355" s="324"/>
      <c r="L355" s="324"/>
      <c r="M355" s="325"/>
    </row>
    <row r="356" spans="1:13" ht="18" x14ac:dyDescent="0.25">
      <c r="A356" s="326"/>
      <c r="B356" s="329" t="s">
        <v>569</v>
      </c>
      <c r="C356" s="328">
        <f>-(C85/C86^2)*((273.15+C90)*C87/((273.15+C89)*C88))*C82*C83*C84*3600</f>
        <v>-1.3755676849992068E-4</v>
      </c>
      <c r="D356" s="354" t="s">
        <v>572</v>
      </c>
      <c r="E356" s="324"/>
      <c r="F356" s="324"/>
      <c r="G356" s="324"/>
      <c r="H356" s="324"/>
      <c r="I356" s="324"/>
      <c r="J356" s="324"/>
      <c r="K356" s="324"/>
      <c r="L356" s="324"/>
      <c r="M356" s="325"/>
    </row>
    <row r="357" spans="1:13" ht="15.75" thickBot="1" x14ac:dyDescent="0.3">
      <c r="A357" s="330"/>
      <c r="B357" s="331"/>
      <c r="C357" s="331"/>
      <c r="D357" s="331"/>
      <c r="E357" s="331"/>
      <c r="F357" s="331"/>
      <c r="G357" s="331"/>
      <c r="H357" s="331"/>
      <c r="I357" s="331"/>
      <c r="J357" s="331"/>
      <c r="K357" s="331"/>
      <c r="L357" s="331"/>
      <c r="M357" s="332"/>
    </row>
  </sheetData>
  <sheetProtection password="D8A8"/>
  <mergeCells count="23">
    <mergeCell ref="D1:Q4"/>
    <mergeCell ref="A7:S7"/>
    <mergeCell ref="M17:N17"/>
    <mergeCell ref="O17:P17"/>
    <mergeCell ref="Q17:Q18"/>
    <mergeCell ref="R17:R18"/>
    <mergeCell ref="S17:S18"/>
    <mergeCell ref="B18:F18"/>
    <mergeCell ref="B24:F24"/>
    <mergeCell ref="B25:F25"/>
    <mergeCell ref="B26:F26"/>
    <mergeCell ref="B27:F27"/>
    <mergeCell ref="B28:F28"/>
    <mergeCell ref="B19:F19"/>
    <mergeCell ref="B20:F20"/>
    <mergeCell ref="B21:F21"/>
    <mergeCell ref="B22:F22"/>
    <mergeCell ref="B23:F23"/>
    <mergeCell ref="B30:F30"/>
    <mergeCell ref="B31:F31"/>
    <mergeCell ref="A101:M101"/>
    <mergeCell ref="B32:F32"/>
    <mergeCell ref="B29:F29"/>
  </mergeCells>
  <dataValidations count="1">
    <dataValidation type="list" allowBlank="1" showInputMessage="1" showErrorMessage="1" sqref="O35" xr:uid="{00000000-0002-0000-0100-000000000000}">
      <formula1>$B$23:$B$28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100-000001000000}">
          <x14:formula1>
            <xm:f>'Datos varios'!$B$43:$B$44</xm:f>
          </x14:formula1>
          <xm:sqref>H19:H33</xm:sqref>
        </x14:dataValidation>
        <x14:dataValidation type="list" allowBlank="1" showInputMessage="1" showErrorMessage="1" xr:uid="{00000000-0002-0000-0100-000002000000}">
          <x14:formula1>
            <xm:f>'Datos varios'!$B$19:$B$32</xm:f>
          </x14:formula1>
          <xm:sqref>J19:J33</xm:sqref>
        </x14:dataValidation>
        <x14:dataValidation type="list" allowBlank="1" showInputMessage="1" showErrorMessage="1" xr:uid="{00000000-0002-0000-0100-000003000000}">
          <x14:formula1>
            <xm:f>'Datos varios'!$B$35:$B$40</xm:f>
          </x14:formula1>
          <xm:sqref>K19:K33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>
    <pageSetUpPr fitToPage="1"/>
  </sheetPr>
  <dimension ref="A1:U391"/>
  <sheetViews>
    <sheetView zoomScaleNormal="100" workbookViewId="0"/>
  </sheetViews>
  <sheetFormatPr baseColWidth="10" defaultColWidth="11.42578125" defaultRowHeight="15" x14ac:dyDescent="0.25"/>
  <cols>
    <col min="1" max="2" width="11.42578125" style="423"/>
    <col min="3" max="3" width="12.7109375" style="423" bestFit="1" customWidth="1"/>
    <col min="4" max="4" width="16.140625" style="423" bestFit="1" customWidth="1"/>
    <col min="5" max="7" width="12.7109375" style="423" bestFit="1" customWidth="1"/>
    <col min="8" max="9" width="12" style="423" bestFit="1" customWidth="1"/>
    <col min="10" max="10" width="11.42578125" style="423"/>
    <col min="11" max="14" width="12.7109375" style="423" bestFit="1" customWidth="1"/>
    <col min="15" max="16" width="11.42578125" style="423"/>
    <col min="17" max="17" width="12.140625" style="423" customWidth="1"/>
    <col min="18" max="18" width="11.42578125" style="423"/>
    <col min="19" max="19" width="12.140625" style="423" customWidth="1"/>
    <col min="20" max="21" width="0" style="423" hidden="1" customWidth="1"/>
    <col min="22" max="16384" width="11.42578125" style="423"/>
  </cols>
  <sheetData>
    <row r="1" spans="1:19" ht="15" customHeight="1" x14ac:dyDescent="0.25">
      <c r="A1" s="418"/>
      <c r="B1" s="419"/>
      <c r="C1" s="420"/>
      <c r="D1" s="2452" t="s">
        <v>555</v>
      </c>
      <c r="E1" s="2453"/>
      <c r="F1" s="2453"/>
      <c r="G1" s="2453"/>
      <c r="H1" s="2453"/>
      <c r="I1" s="2453"/>
      <c r="J1" s="2453"/>
      <c r="K1" s="2453"/>
      <c r="L1" s="2453"/>
      <c r="M1" s="2453"/>
      <c r="N1" s="2453"/>
      <c r="O1" s="2453"/>
      <c r="P1" s="2453"/>
      <c r="Q1" s="2454"/>
      <c r="R1" s="421" t="s">
        <v>68</v>
      </c>
      <c r="S1" s="422" t="s">
        <v>556</v>
      </c>
    </row>
    <row r="2" spans="1:19" ht="15" customHeight="1" x14ac:dyDescent="0.25">
      <c r="A2" s="424"/>
      <c r="C2" s="425"/>
      <c r="D2" s="2455"/>
      <c r="E2" s="2456"/>
      <c r="F2" s="2456"/>
      <c r="G2" s="2456"/>
      <c r="H2" s="2456"/>
      <c r="I2" s="2456"/>
      <c r="J2" s="2456"/>
      <c r="K2" s="2456"/>
      <c r="L2" s="2456"/>
      <c r="M2" s="2456"/>
      <c r="N2" s="2456"/>
      <c r="O2" s="2456"/>
      <c r="P2" s="2456"/>
      <c r="Q2" s="2457"/>
      <c r="R2" s="426" t="s">
        <v>69</v>
      </c>
      <c r="S2" s="1866" t="s">
        <v>1231</v>
      </c>
    </row>
    <row r="3" spans="1:19" ht="15" customHeight="1" x14ac:dyDescent="0.25">
      <c r="A3" s="424"/>
      <c r="C3" s="425"/>
      <c r="D3" s="2455"/>
      <c r="E3" s="2456"/>
      <c r="F3" s="2456"/>
      <c r="G3" s="2456"/>
      <c r="H3" s="2456"/>
      <c r="I3" s="2456"/>
      <c r="J3" s="2456"/>
      <c r="K3" s="2456"/>
      <c r="L3" s="2456"/>
      <c r="M3" s="2456"/>
      <c r="N3" s="2456"/>
      <c r="O3" s="2456"/>
      <c r="P3" s="2456"/>
      <c r="Q3" s="2457"/>
      <c r="R3" s="426" t="s">
        <v>70</v>
      </c>
      <c r="S3" s="427" t="s">
        <v>72</v>
      </c>
    </row>
    <row r="4" spans="1:19" ht="15" customHeight="1" x14ac:dyDescent="0.25">
      <c r="A4" s="428"/>
      <c r="B4" s="429"/>
      <c r="C4" s="430"/>
      <c r="D4" s="2458"/>
      <c r="E4" s="2459"/>
      <c r="F4" s="2459"/>
      <c r="G4" s="2459"/>
      <c r="H4" s="2459"/>
      <c r="I4" s="2459"/>
      <c r="J4" s="2459"/>
      <c r="K4" s="2459"/>
      <c r="L4" s="2459"/>
      <c r="M4" s="2459"/>
      <c r="N4" s="2459"/>
      <c r="O4" s="2459"/>
      <c r="P4" s="2459"/>
      <c r="Q4" s="2460"/>
      <c r="R4" s="431" t="s">
        <v>71</v>
      </c>
      <c r="S4" s="432" t="s">
        <v>73</v>
      </c>
    </row>
    <row r="5" spans="1:19" s="433" customFormat="1" x14ac:dyDescent="0.25"/>
    <row r="7" spans="1:19" ht="18.75" x14ac:dyDescent="0.25">
      <c r="A7" s="2461" t="s">
        <v>613</v>
      </c>
      <c r="B7" s="2461"/>
      <c r="C7" s="2461"/>
      <c r="D7" s="2461"/>
      <c r="E7" s="2461"/>
      <c r="F7" s="2461"/>
      <c r="G7" s="2461"/>
      <c r="H7" s="2461"/>
      <c r="I7" s="2461"/>
      <c r="J7" s="2461"/>
      <c r="K7" s="2461"/>
      <c r="L7" s="2461"/>
      <c r="M7" s="2461"/>
      <c r="N7" s="2461"/>
      <c r="O7" s="2461"/>
      <c r="P7" s="2461"/>
      <c r="Q7" s="2461"/>
      <c r="R7" s="2461"/>
      <c r="S7" s="2461"/>
    </row>
    <row r="9" spans="1:19" x14ac:dyDescent="0.25">
      <c r="A9" s="434" t="s">
        <v>545</v>
      </c>
    </row>
    <row r="11" spans="1:19" x14ac:dyDescent="0.25">
      <c r="A11" s="435" t="s">
        <v>350</v>
      </c>
      <c r="B11" s="423" t="s">
        <v>353</v>
      </c>
    </row>
    <row r="12" spans="1:19" x14ac:dyDescent="0.25">
      <c r="A12" s="435" t="s">
        <v>351</v>
      </c>
      <c r="B12" s="423" t="s">
        <v>354</v>
      </c>
    </row>
    <row r="13" spans="1:19" x14ac:dyDescent="0.25">
      <c r="A13" s="435" t="s">
        <v>352</v>
      </c>
      <c r="B13" s="436" t="s">
        <v>355</v>
      </c>
    </row>
    <row r="14" spans="1:19" x14ac:dyDescent="0.25">
      <c r="A14" s="435" t="s">
        <v>547</v>
      </c>
      <c r="B14" s="436" t="s">
        <v>548</v>
      </c>
    </row>
    <row r="16" spans="1:19" ht="15.75" thickBot="1" x14ac:dyDescent="0.3"/>
    <row r="17" spans="1:21" ht="15.75" thickBot="1" x14ac:dyDescent="0.3">
      <c r="A17" s="434"/>
      <c r="M17" s="2462" t="s">
        <v>348</v>
      </c>
      <c r="N17" s="2463"/>
      <c r="O17" s="2462" t="s">
        <v>458</v>
      </c>
      <c r="P17" s="2464"/>
      <c r="Q17" s="2445" t="s">
        <v>557</v>
      </c>
      <c r="R17" s="2443" t="s">
        <v>558</v>
      </c>
      <c r="S17" s="2445" t="s">
        <v>559</v>
      </c>
      <c r="T17" s="2426" t="s">
        <v>1102</v>
      </c>
    </row>
    <row r="18" spans="1:21" ht="45.75" thickBot="1" x14ac:dyDescent="0.3">
      <c r="A18" s="437" t="s">
        <v>542</v>
      </c>
      <c r="B18" s="2465" t="s">
        <v>524</v>
      </c>
      <c r="C18" s="2466"/>
      <c r="D18" s="2466"/>
      <c r="E18" s="2466"/>
      <c r="F18" s="2467"/>
      <c r="G18" s="438" t="s">
        <v>525</v>
      </c>
      <c r="H18" s="439" t="s">
        <v>560</v>
      </c>
      <c r="I18" s="440" t="s">
        <v>526</v>
      </c>
      <c r="J18" s="437" t="s">
        <v>117</v>
      </c>
      <c r="K18" s="441" t="s">
        <v>347</v>
      </c>
      <c r="L18" s="442" t="s">
        <v>546</v>
      </c>
      <c r="M18" s="443" t="s">
        <v>118</v>
      </c>
      <c r="N18" s="438" t="s">
        <v>117</v>
      </c>
      <c r="O18" s="443" t="s">
        <v>105</v>
      </c>
      <c r="P18" s="444" t="s">
        <v>104</v>
      </c>
      <c r="Q18" s="2442"/>
      <c r="R18" s="2444"/>
      <c r="S18" s="2442"/>
      <c r="T18" s="2442"/>
    </row>
    <row r="19" spans="1:21" ht="18" x14ac:dyDescent="0.25">
      <c r="A19" s="445">
        <v>1</v>
      </c>
      <c r="B19" s="2449" t="s">
        <v>554</v>
      </c>
      <c r="C19" s="2450"/>
      <c r="D19" s="2450"/>
      <c r="E19" s="2450"/>
      <c r="F19" s="2451"/>
      <c r="G19" s="446" t="s">
        <v>614</v>
      </c>
      <c r="H19" s="445" t="s">
        <v>451</v>
      </c>
      <c r="I19" s="447">
        <f>C112</f>
        <v>201.6</v>
      </c>
      <c r="J19" s="445" t="s">
        <v>15</v>
      </c>
      <c r="K19" s="448" t="s">
        <v>373</v>
      </c>
      <c r="L19" s="449">
        <f>IF(K19="normal (k=1)",1,IF(K19="normal (k=2)",2,IF(K19="normal (k=3)",3,IF(K19="rectangular",SQRT(3),IF(K19="triangular",SQRT(6),IF(K19="Prob. U",SQRT(2),"no definido"))))))</f>
        <v>2</v>
      </c>
      <c r="M19" s="450">
        <f>C123</f>
        <v>-2.851993646157199E-7</v>
      </c>
      <c r="N19" s="451" t="str">
        <f>D123</f>
        <v>C/h</v>
      </c>
      <c r="O19" s="452">
        <f>I19*M19/L19</f>
        <v>-2.8748095953264567E-5</v>
      </c>
      <c r="P19" s="453" t="s">
        <v>8</v>
      </c>
      <c r="Q19" s="454">
        <f>O19/$C$93</f>
        <v>-4.0012027847615445E-3</v>
      </c>
      <c r="R19" s="455">
        <f>Q19*100</f>
        <v>-0.40012027847615445</v>
      </c>
      <c r="S19" s="456">
        <f>ABS(O19^2/$O$35^2*100)</f>
        <v>19.90708437242618</v>
      </c>
      <c r="T19" s="387" t="s">
        <v>1103</v>
      </c>
      <c r="U19" s="457" t="str">
        <f>IF(T19="infinito","",O19^4/T19)</f>
        <v/>
      </c>
    </row>
    <row r="20" spans="1:21" ht="18" x14ac:dyDescent="0.25">
      <c r="A20" s="458">
        <v>2</v>
      </c>
      <c r="B20" s="2446" t="s">
        <v>396</v>
      </c>
      <c r="C20" s="2447"/>
      <c r="D20" s="2447"/>
      <c r="E20" s="2447"/>
      <c r="F20" s="2448"/>
      <c r="G20" s="459" t="s">
        <v>615</v>
      </c>
      <c r="H20" s="458" t="s">
        <v>451</v>
      </c>
      <c r="I20" s="460">
        <f>C141</f>
        <v>315</v>
      </c>
      <c r="J20" s="458" t="s">
        <v>15</v>
      </c>
      <c r="K20" s="461" t="s">
        <v>370</v>
      </c>
      <c r="L20" s="462">
        <f t="shared" ref="L20:L31" si="0">IF(K20="normal (k=1)",1,IF(K20="normal (k=2)",2,IF(K20="normal (k=3)",3,IF(K20="rectangular",SQRT(3),IF(K20="triangular",SQRT(6),IF(K20="Prob. U",SQRT(2),"no definido"))))))</f>
        <v>1.7320508075688772</v>
      </c>
      <c r="M20" s="463">
        <f>C152</f>
        <v>-2.851993646157199E-7</v>
      </c>
      <c r="N20" s="464" t="str">
        <f>D123</f>
        <v>C/h</v>
      </c>
      <c r="O20" s="465">
        <f>I20*M20/L20</f>
        <v>-5.1867877929082781E-5</v>
      </c>
      <c r="P20" s="466" t="s">
        <v>8</v>
      </c>
      <c r="Q20" s="467">
        <f t="shared" ref="Q20" si="1">O20/$C$93</f>
        <v>-7.2190484527011201E-3</v>
      </c>
      <c r="R20" s="468">
        <f t="shared" ref="R20:R33" si="2">Q20*100</f>
        <v>-0.72190484527011201</v>
      </c>
      <c r="S20" s="469">
        <f>ABS(O20^2/$O$35^2*100)</f>
        <v>64.801706941491474</v>
      </c>
      <c r="T20" s="388" t="s">
        <v>1103</v>
      </c>
      <c r="U20" s="457" t="str">
        <f t="shared" ref="U20:U33" si="3">IF(T20="infinito","",O20^4/T20)</f>
        <v/>
      </c>
    </row>
    <row r="21" spans="1:21" ht="18" x14ac:dyDescent="0.25">
      <c r="A21" s="458">
        <v>3</v>
      </c>
      <c r="B21" s="2433" t="s">
        <v>337</v>
      </c>
      <c r="C21" s="2434"/>
      <c r="D21" s="2434"/>
      <c r="E21" s="2434"/>
      <c r="F21" s="2435"/>
      <c r="G21" s="459" t="s">
        <v>616</v>
      </c>
      <c r="H21" s="458" t="s">
        <v>451</v>
      </c>
      <c r="I21" s="460">
        <f>C161</f>
        <v>2.8027999999999998E-3</v>
      </c>
      <c r="J21" s="458" t="s">
        <v>93</v>
      </c>
      <c r="K21" s="461" t="s">
        <v>370</v>
      </c>
      <c r="L21" s="462">
        <f t="shared" si="0"/>
        <v>1.7320508075688772</v>
      </c>
      <c r="M21" s="463">
        <f>C172</f>
        <v>-7.1798441441719716E-3</v>
      </c>
      <c r="N21" s="464" t="str">
        <f>D172</f>
        <v>Gy/h</v>
      </c>
      <c r="O21" s="465">
        <f>I21*M21/L21</f>
        <v>-1.1618404656114545E-5</v>
      </c>
      <c r="P21" s="466" t="s">
        <v>8</v>
      </c>
      <c r="Q21" s="467">
        <f t="shared" ref="Q21:Q33" si="4">O21/$C$93</f>
        <v>-1.6170668534050512E-3</v>
      </c>
      <c r="R21" s="468">
        <f t="shared" si="2"/>
        <v>-0.16170668534050511</v>
      </c>
      <c r="S21" s="469">
        <f t="shared" ref="S21:S32" si="5">ABS(O21^2/$O$35^2*100)</f>
        <v>3.2514904474962774</v>
      </c>
      <c r="T21" s="469" t="s">
        <v>1103</v>
      </c>
      <c r="U21" s="457" t="str">
        <f t="shared" si="3"/>
        <v/>
      </c>
    </row>
    <row r="22" spans="1:21" ht="18" x14ac:dyDescent="0.25">
      <c r="A22" s="458">
        <v>4</v>
      </c>
      <c r="B22" s="2433" t="s">
        <v>339</v>
      </c>
      <c r="C22" s="2434"/>
      <c r="D22" s="2434"/>
      <c r="E22" s="2434"/>
      <c r="F22" s="2435"/>
      <c r="G22" s="459" t="s">
        <v>617</v>
      </c>
      <c r="H22" s="458" t="s">
        <v>451</v>
      </c>
      <c r="I22" s="460">
        <f>C181</f>
        <v>4.9999999999999999E-13</v>
      </c>
      <c r="J22" s="458" t="s">
        <v>368</v>
      </c>
      <c r="K22" s="461" t="s">
        <v>370</v>
      </c>
      <c r="L22" s="462">
        <f t="shared" si="0"/>
        <v>1.7320508075688772</v>
      </c>
      <c r="M22" s="463">
        <f>C189</f>
        <v>1509175.2194717457</v>
      </c>
      <c r="N22" s="464" t="str">
        <f>D189</f>
        <v>Gy/(C.h)</v>
      </c>
      <c r="O22" s="470">
        <f t="shared" ref="O22:O32" si="6">I22*M22/L22</f>
        <v>4.3566135960816243E-7</v>
      </c>
      <c r="P22" s="466" t="s">
        <v>8</v>
      </c>
      <c r="Q22" s="467">
        <f t="shared" si="4"/>
        <v>6.0635996488638063E-5</v>
      </c>
      <c r="R22" s="468">
        <f t="shared" si="2"/>
        <v>6.0635996488638067E-3</v>
      </c>
      <c r="S22" s="469">
        <f t="shared" si="5"/>
        <v>4.5718036561784667E-3</v>
      </c>
      <c r="T22" s="469" t="s">
        <v>1103</v>
      </c>
      <c r="U22" s="457" t="str">
        <f t="shared" si="3"/>
        <v/>
      </c>
    </row>
    <row r="23" spans="1:21" ht="18" x14ac:dyDescent="0.25">
      <c r="A23" s="458">
        <v>5</v>
      </c>
      <c r="B23" s="2433" t="s">
        <v>341</v>
      </c>
      <c r="C23" s="2434"/>
      <c r="D23" s="2434"/>
      <c r="E23" s="2434"/>
      <c r="F23" s="2435"/>
      <c r="G23" s="459" t="s">
        <v>618</v>
      </c>
      <c r="H23" s="458" t="s">
        <v>451</v>
      </c>
      <c r="I23" s="460">
        <f>C198</f>
        <v>4.9434899230380302E-6</v>
      </c>
      <c r="J23" s="458" t="s">
        <v>8</v>
      </c>
      <c r="K23" s="461" t="s">
        <v>370</v>
      </c>
      <c r="L23" s="462">
        <f>IF(K23="normal (k=1)",1,IF(K23="normal (k=2)",2,IF(K23="normal (k=3)",3,IF(K23="rectangular",SQRT(3),IF(K23="triangular",SQRT(6),IF(K23="Prob. U",SQRT(2),"no definido"))))))</f>
        <v>1.7320508075688772</v>
      </c>
      <c r="M23" s="463">
        <f>C208</f>
        <v>1</v>
      </c>
      <c r="N23" s="464" t="s">
        <v>93</v>
      </c>
      <c r="O23" s="470">
        <f t="shared" si="6"/>
        <v>2.8541252378022091E-6</v>
      </c>
      <c r="P23" s="466" t="s">
        <v>8</v>
      </c>
      <c r="Q23" s="467">
        <f t="shared" si="4"/>
        <v>3.972413988083821E-4</v>
      </c>
      <c r="R23" s="468">
        <f t="shared" si="2"/>
        <v>3.9724139880838207E-2</v>
      </c>
      <c r="S23" s="469">
        <f t="shared" si="5"/>
        <v>0.19621650569600713</v>
      </c>
      <c r="T23" s="469" t="s">
        <v>1103</v>
      </c>
      <c r="U23" s="457" t="str">
        <f t="shared" si="3"/>
        <v/>
      </c>
    </row>
    <row r="24" spans="1:21" ht="18" x14ac:dyDescent="0.25">
      <c r="A24" s="458">
        <v>6</v>
      </c>
      <c r="B24" s="2433" t="s">
        <v>342</v>
      </c>
      <c r="C24" s="2434"/>
      <c r="D24" s="2434"/>
      <c r="E24" s="2434"/>
      <c r="F24" s="2435"/>
      <c r="G24" s="459" t="s">
        <v>619</v>
      </c>
      <c r="H24" s="458" t="s">
        <v>450</v>
      </c>
      <c r="I24" s="460">
        <f>C219</f>
        <v>9.8364966663272403E-12</v>
      </c>
      <c r="J24" s="458" t="s">
        <v>8</v>
      </c>
      <c r="K24" s="461" t="s">
        <v>372</v>
      </c>
      <c r="L24" s="462">
        <f t="shared" si="0"/>
        <v>1</v>
      </c>
      <c r="M24" s="463">
        <f>C229</f>
        <v>1509175.2194717457</v>
      </c>
      <c r="N24" s="464" t="s">
        <v>93</v>
      </c>
      <c r="O24" s="470">
        <f t="shared" si="6"/>
        <v>1.4844997015237507E-5</v>
      </c>
      <c r="P24" s="466" t="s">
        <v>8</v>
      </c>
      <c r="Q24" s="467">
        <f t="shared" si="4"/>
        <v>2.0661487805560233E-3</v>
      </c>
      <c r="R24" s="468">
        <f t="shared" si="2"/>
        <v>0.20661487805560233</v>
      </c>
      <c r="S24" s="469">
        <f t="shared" si="5"/>
        <v>5.3082297891157078</v>
      </c>
      <c r="T24" s="1668">
        <v>9</v>
      </c>
      <c r="U24" s="457">
        <f>IF(T24="infinito","",O24^4/T24)</f>
        <v>5.3960746485198563E-21</v>
      </c>
    </row>
    <row r="25" spans="1:21" ht="18" x14ac:dyDescent="0.25">
      <c r="A25" s="458">
        <v>7</v>
      </c>
      <c r="B25" s="2433" t="s">
        <v>340</v>
      </c>
      <c r="C25" s="2434"/>
      <c r="D25" s="2434"/>
      <c r="E25" s="2434"/>
      <c r="F25" s="2435"/>
      <c r="G25" s="459" t="s">
        <v>620</v>
      </c>
      <c r="H25" s="458" t="s">
        <v>451</v>
      </c>
      <c r="I25" s="460">
        <f>C242</f>
        <v>2.1554687577660624E-5</v>
      </c>
      <c r="J25" s="458" t="s">
        <v>8</v>
      </c>
      <c r="K25" s="461" t="s">
        <v>370</v>
      </c>
      <c r="L25" s="462">
        <f t="shared" si="0"/>
        <v>1.7320508075688772</v>
      </c>
      <c r="M25" s="463">
        <f>C249</f>
        <v>1</v>
      </c>
      <c r="N25" s="464" t="s">
        <v>93</v>
      </c>
      <c r="O25" s="470">
        <f t="shared" si="6"/>
        <v>1.2444604675260644E-5</v>
      </c>
      <c r="P25" s="466" t="s">
        <v>8</v>
      </c>
      <c r="Q25" s="467">
        <f t="shared" si="4"/>
        <v>1.7320586018238543E-3</v>
      </c>
      <c r="R25" s="468">
        <f t="shared" si="2"/>
        <v>0.17320586018238543</v>
      </c>
      <c r="S25" s="469">
        <f t="shared" si="5"/>
        <v>3.730368160941274</v>
      </c>
      <c r="T25" s="469" t="s">
        <v>1103</v>
      </c>
      <c r="U25" s="457" t="str">
        <f t="shared" si="3"/>
        <v/>
      </c>
    </row>
    <row r="26" spans="1:21" ht="18" x14ac:dyDescent="0.25">
      <c r="A26" s="458">
        <v>8</v>
      </c>
      <c r="B26" s="2433" t="s">
        <v>429</v>
      </c>
      <c r="C26" s="2434"/>
      <c r="D26" s="2434"/>
      <c r="E26" s="2434"/>
      <c r="F26" s="2435"/>
      <c r="G26" s="459" t="s">
        <v>621</v>
      </c>
      <c r="H26" s="458" t="s">
        <v>451</v>
      </c>
      <c r="I26" s="460">
        <f>C258</f>
        <v>1.4309363581478429E-5</v>
      </c>
      <c r="J26" s="458" t="s">
        <v>8</v>
      </c>
      <c r="K26" s="461" t="s">
        <v>370</v>
      </c>
      <c r="L26" s="462">
        <f t="shared" si="0"/>
        <v>1.7320508075688772</v>
      </c>
      <c r="M26" s="463">
        <f>C268</f>
        <v>1</v>
      </c>
      <c r="N26" s="464" t="s">
        <v>93</v>
      </c>
      <c r="O26" s="470">
        <f t="shared" si="6"/>
        <v>8.2615149156987984E-6</v>
      </c>
      <c r="P26" s="466" t="s">
        <v>8</v>
      </c>
      <c r="Q26" s="467">
        <f t="shared" si="4"/>
        <v>1.1498499427851432E-3</v>
      </c>
      <c r="R26" s="468">
        <f t="shared" si="2"/>
        <v>0.11498499427851433</v>
      </c>
      <c r="S26" s="469">
        <f t="shared" si="5"/>
        <v>1.6440267066536507</v>
      </c>
      <c r="T26" s="469" t="s">
        <v>1103</v>
      </c>
      <c r="U26" s="457" t="str">
        <f t="shared" si="3"/>
        <v/>
      </c>
    </row>
    <row r="27" spans="1:21" ht="18" x14ac:dyDescent="0.25">
      <c r="A27" s="458">
        <v>9</v>
      </c>
      <c r="B27" s="2411" t="s">
        <v>986</v>
      </c>
      <c r="C27" s="2434"/>
      <c r="D27" s="2434"/>
      <c r="E27" s="2434"/>
      <c r="F27" s="2435"/>
      <c r="G27" s="459" t="s">
        <v>622</v>
      </c>
      <c r="H27" s="458" t="s">
        <v>451</v>
      </c>
      <c r="I27" s="460">
        <f>C279</f>
        <v>7.9033546614764791E-6</v>
      </c>
      <c r="J27" s="458" t="s">
        <v>8</v>
      </c>
      <c r="K27" s="461" t="s">
        <v>373</v>
      </c>
      <c r="L27" s="462">
        <f t="shared" si="0"/>
        <v>2</v>
      </c>
      <c r="M27" s="463">
        <f>C286</f>
        <v>1</v>
      </c>
      <c r="N27" s="464" t="s">
        <v>93</v>
      </c>
      <c r="O27" s="470">
        <f t="shared" si="6"/>
        <v>3.9516773307382395E-6</v>
      </c>
      <c r="P27" s="466" t="s">
        <v>8</v>
      </c>
      <c r="Q27" s="467">
        <f t="shared" si="4"/>
        <v>5.5000033275015559E-4</v>
      </c>
      <c r="R27" s="468">
        <f t="shared" si="2"/>
        <v>5.5000033275015556E-2</v>
      </c>
      <c r="S27" s="469">
        <f t="shared" si="5"/>
        <v>0.37614252606280457</v>
      </c>
      <c r="T27" s="469" t="s">
        <v>1103</v>
      </c>
      <c r="U27" s="457" t="str">
        <f t="shared" si="3"/>
        <v/>
      </c>
    </row>
    <row r="28" spans="1:21" ht="18" x14ac:dyDescent="0.25">
      <c r="A28" s="458">
        <v>10</v>
      </c>
      <c r="B28" s="2433" t="s">
        <v>511</v>
      </c>
      <c r="C28" s="2434"/>
      <c r="D28" s="2434"/>
      <c r="E28" s="2434"/>
      <c r="F28" s="2435"/>
      <c r="G28" s="459" t="s">
        <v>623</v>
      </c>
      <c r="H28" s="458" t="s">
        <v>451</v>
      </c>
      <c r="I28" s="460">
        <f>C297</f>
        <v>7.1848671196572504E-6</v>
      </c>
      <c r="J28" s="458" t="s">
        <v>8</v>
      </c>
      <c r="K28" s="461" t="s">
        <v>370</v>
      </c>
      <c r="L28" s="462">
        <f t="shared" si="0"/>
        <v>1.7320508075688772</v>
      </c>
      <c r="M28" s="463">
        <f>C304</f>
        <v>1</v>
      </c>
      <c r="N28" s="464" t="s">
        <v>93</v>
      </c>
      <c r="O28" s="470">
        <f t="shared" si="6"/>
        <v>4.1481849656258048E-6</v>
      </c>
      <c r="P28" s="466" t="s">
        <v>8</v>
      </c>
      <c r="Q28" s="467">
        <f t="shared" si="4"/>
        <v>5.7735055786479464E-4</v>
      </c>
      <c r="R28" s="468">
        <f t="shared" si="2"/>
        <v>5.7735055786479465E-2</v>
      </c>
      <c r="S28" s="469">
        <f t="shared" si="5"/>
        <v>0.41448203534188199</v>
      </c>
      <c r="T28" s="469" t="s">
        <v>1103</v>
      </c>
      <c r="U28" s="457" t="str">
        <f t="shared" si="3"/>
        <v/>
      </c>
    </row>
    <row r="29" spans="1:21" ht="18" x14ac:dyDescent="0.25">
      <c r="A29" s="458">
        <v>11</v>
      </c>
      <c r="B29" s="2411" t="s">
        <v>988</v>
      </c>
      <c r="C29" s="2434"/>
      <c r="D29" s="2434"/>
      <c r="E29" s="2434"/>
      <c r="F29" s="2435"/>
      <c r="G29" s="459" t="s">
        <v>624</v>
      </c>
      <c r="H29" s="458" t="s">
        <v>451</v>
      </c>
      <c r="I29" s="460">
        <f>C313</f>
        <v>0.3</v>
      </c>
      <c r="J29" s="458" t="s">
        <v>12</v>
      </c>
      <c r="K29" s="461" t="s">
        <v>373</v>
      </c>
      <c r="L29" s="462">
        <f t="shared" si="0"/>
        <v>2</v>
      </c>
      <c r="M29" s="463">
        <f>C320</f>
        <v>-2.4494816087782085E-5</v>
      </c>
      <c r="N29" s="464" t="str">
        <f>D320</f>
        <v>Gy/(h.°C)</v>
      </c>
      <c r="O29" s="470">
        <f t="shared" si="6"/>
        <v>-3.6742224131673125E-6</v>
      </c>
      <c r="P29" s="466" t="s">
        <v>8</v>
      </c>
      <c r="Q29" s="467">
        <f t="shared" si="4"/>
        <v>-5.1138374434599339E-4</v>
      </c>
      <c r="R29" s="468">
        <f t="shared" si="2"/>
        <v>-5.1138374434599336E-2</v>
      </c>
      <c r="S29" s="469">
        <f t="shared" si="5"/>
        <v>0.32517741163533537</v>
      </c>
      <c r="T29" s="469" t="s">
        <v>1103</v>
      </c>
      <c r="U29" s="457" t="str">
        <f t="shared" si="3"/>
        <v/>
      </c>
    </row>
    <row r="30" spans="1:21" ht="18" x14ac:dyDescent="0.25">
      <c r="A30" s="458">
        <v>12</v>
      </c>
      <c r="B30" s="2433" t="s">
        <v>394</v>
      </c>
      <c r="C30" s="2434"/>
      <c r="D30" s="2434"/>
      <c r="E30" s="2434"/>
      <c r="F30" s="2435"/>
      <c r="G30" s="459" t="s">
        <v>625</v>
      </c>
      <c r="H30" s="458" t="s">
        <v>451</v>
      </c>
      <c r="I30" s="471">
        <f>C329</f>
        <v>0.05</v>
      </c>
      <c r="J30" s="458" t="s">
        <v>12</v>
      </c>
      <c r="K30" s="461" t="s">
        <v>370</v>
      </c>
      <c r="L30" s="462">
        <f t="shared" si="0"/>
        <v>1.7320508075688772</v>
      </c>
      <c r="M30" s="463">
        <f>C336</f>
        <v>-2.4494816087782085E-5</v>
      </c>
      <c r="N30" s="464" t="str">
        <f>D320</f>
        <v>Gy/(h.°C)</v>
      </c>
      <c r="O30" s="470">
        <f t="shared" si="6"/>
        <v>-7.0710443310156821E-7</v>
      </c>
      <c r="P30" s="466" t="s">
        <v>8</v>
      </c>
      <c r="Q30" s="467">
        <f t="shared" si="4"/>
        <v>-9.8415847485786029E-5</v>
      </c>
      <c r="R30" s="468">
        <f t="shared" si="2"/>
        <v>-9.8415847485786023E-3</v>
      </c>
      <c r="S30" s="469">
        <f t="shared" si="5"/>
        <v>1.204360783834576E-2</v>
      </c>
      <c r="T30" s="469" t="s">
        <v>1103</v>
      </c>
      <c r="U30" s="457" t="str">
        <f t="shared" si="3"/>
        <v/>
      </c>
    </row>
    <row r="31" spans="1:21" ht="18" x14ac:dyDescent="0.25">
      <c r="A31" s="458">
        <v>13</v>
      </c>
      <c r="B31" s="2411" t="s">
        <v>989</v>
      </c>
      <c r="C31" s="2434"/>
      <c r="D31" s="2434"/>
      <c r="E31" s="2434"/>
      <c r="F31" s="2435"/>
      <c r="G31" s="459" t="s">
        <v>626</v>
      </c>
      <c r="H31" s="458" t="s">
        <v>451</v>
      </c>
      <c r="I31" s="471">
        <f>C345</f>
        <v>0.3</v>
      </c>
      <c r="J31" s="458" t="s">
        <v>16</v>
      </c>
      <c r="K31" s="461" t="s">
        <v>373</v>
      </c>
      <c r="L31" s="462">
        <f t="shared" si="0"/>
        <v>2</v>
      </c>
      <c r="M31" s="463">
        <f>C355</f>
        <v>7.1158653349664779E-6</v>
      </c>
      <c r="N31" s="464" t="str">
        <f>D355</f>
        <v>Gy/(h.hPa)</v>
      </c>
      <c r="O31" s="470">
        <f t="shared" si="6"/>
        <v>1.0673798002449716E-6</v>
      </c>
      <c r="P31" s="466" t="s">
        <v>8</v>
      </c>
      <c r="Q31" s="467">
        <f t="shared" si="4"/>
        <v>1.4855950933520589E-4</v>
      </c>
      <c r="R31" s="468">
        <f t="shared" si="2"/>
        <v>1.4855950933520589E-2</v>
      </c>
      <c r="S31" s="469">
        <f t="shared" si="5"/>
        <v>2.7442738357733872E-2</v>
      </c>
      <c r="T31" s="469" t="s">
        <v>1103</v>
      </c>
      <c r="U31" s="457" t="str">
        <f t="shared" si="3"/>
        <v/>
      </c>
    </row>
    <row r="32" spans="1:21" ht="18" x14ac:dyDescent="0.25">
      <c r="A32" s="458">
        <v>14</v>
      </c>
      <c r="B32" s="2433" t="s">
        <v>345</v>
      </c>
      <c r="C32" s="2434"/>
      <c r="D32" s="2434"/>
      <c r="E32" s="2434"/>
      <c r="F32" s="2435"/>
      <c r="G32" s="459" t="s">
        <v>627</v>
      </c>
      <c r="H32" s="458" t="s">
        <v>451</v>
      </c>
      <c r="I32" s="471">
        <f>C364</f>
        <v>0.05</v>
      </c>
      <c r="J32" s="458" t="s">
        <v>16</v>
      </c>
      <c r="K32" s="461" t="s">
        <v>370</v>
      </c>
      <c r="L32" s="462">
        <f t="shared" ref="L32:L33" si="7">IF(K32="normal (k=1)",1,IF(K32="normal (k=2)",2,IF(K32="normal (k=3)",3,IF(K32="rectangular",SQRT(3),IF(K32="triangular",SQRT(6),IF(K32="Prob. U",SQRT(2),"no definido"))))))</f>
        <v>1.7320508075688772</v>
      </c>
      <c r="M32" s="463">
        <f>C374</f>
        <v>7.1158653349664779E-6</v>
      </c>
      <c r="N32" s="464" t="str">
        <f>D374</f>
        <v>Gy/(h.hPa)</v>
      </c>
      <c r="O32" s="470">
        <f t="shared" si="6"/>
        <v>2.0541733833300116E-7</v>
      </c>
      <c r="P32" s="466" t="s">
        <v>8</v>
      </c>
      <c r="Q32" s="467">
        <f t="shared" si="4"/>
        <v>2.859029090178662E-5</v>
      </c>
      <c r="R32" s="468">
        <f t="shared" si="2"/>
        <v>2.8590290901786618E-3</v>
      </c>
      <c r="S32" s="472">
        <f t="shared" si="5"/>
        <v>1.0163977169531065E-3</v>
      </c>
      <c r="T32" s="472" t="s">
        <v>1103</v>
      </c>
      <c r="U32" s="457" t="str">
        <f t="shared" si="3"/>
        <v/>
      </c>
    </row>
    <row r="33" spans="1:21" ht="18.75" thickBot="1" x14ac:dyDescent="0.3">
      <c r="A33" s="473">
        <v>15</v>
      </c>
      <c r="B33" s="2437" t="s">
        <v>562</v>
      </c>
      <c r="C33" s="2438"/>
      <c r="D33" s="2438"/>
      <c r="E33" s="2438"/>
      <c r="F33" s="2438"/>
      <c r="G33" s="474" t="s">
        <v>628</v>
      </c>
      <c r="H33" s="473" t="s">
        <v>451</v>
      </c>
      <c r="I33" s="475">
        <f>C383</f>
        <v>6.9444444444444444E-5</v>
      </c>
      <c r="J33" s="473" t="s">
        <v>571</v>
      </c>
      <c r="K33" s="476" t="s">
        <v>370</v>
      </c>
      <c r="L33" s="477">
        <f t="shared" si="7"/>
        <v>1.7320508075688772</v>
      </c>
      <c r="M33" s="478">
        <f>C390</f>
        <v>1.1978373313860239E-4</v>
      </c>
      <c r="N33" s="479" t="str">
        <f>D390</f>
        <v>Gy/(h*h)</v>
      </c>
      <c r="O33" s="480">
        <f>I33*M33/L33</f>
        <v>4.8025812897298882E-9</v>
      </c>
      <c r="P33" s="476" t="s">
        <v>8</v>
      </c>
      <c r="Q33" s="481">
        <f t="shared" si="4"/>
        <v>6.6843041228714091E-7</v>
      </c>
      <c r="R33" s="482">
        <f t="shared" si="2"/>
        <v>6.6843041228714097E-5</v>
      </c>
      <c r="S33" s="483">
        <f>ABS(O33^2/$O$35^2*100)</f>
        <v>5.5557018982760211E-7</v>
      </c>
      <c r="T33" s="483" t="s">
        <v>1103</v>
      </c>
      <c r="U33" s="457" t="str">
        <f t="shared" si="3"/>
        <v/>
      </c>
    </row>
    <row r="34" spans="1:21" ht="15.75" thickBot="1" x14ac:dyDescent="0.3">
      <c r="G34" s="484"/>
      <c r="M34" s="457"/>
      <c r="O34" s="457"/>
      <c r="Q34" s="485"/>
      <c r="R34" s="457"/>
      <c r="S34" s="457"/>
    </row>
    <row r="35" spans="1:21" x14ac:dyDescent="0.25">
      <c r="M35" s="486"/>
      <c r="N35" s="487" t="s">
        <v>543</v>
      </c>
      <c r="O35" s="1670">
        <f>SQRT(SUMSQ(O19:O33))</f>
        <v>6.4432540762419228E-5</v>
      </c>
      <c r="P35" s="455" t="s">
        <v>8</v>
      </c>
      <c r="Q35" s="457"/>
      <c r="S35" s="485"/>
      <c r="U35" s="457"/>
    </row>
    <row r="36" spans="1:21" ht="18" hidden="1" x14ac:dyDescent="0.25">
      <c r="M36" s="492"/>
      <c r="N36" s="302" t="s">
        <v>1104</v>
      </c>
      <c r="O36" s="1669">
        <f>IF(SUM(U19:U33)=0,"infinito",O35^4/SUM(U19:U33))</f>
        <v>3194.0600710421932</v>
      </c>
      <c r="P36" s="468"/>
      <c r="Q36" s="457"/>
      <c r="S36" s="485"/>
      <c r="U36" s="457"/>
    </row>
    <row r="37" spans="1:21" x14ac:dyDescent="0.25">
      <c r="M37" s="488"/>
      <c r="N37" s="489" t="s">
        <v>544</v>
      </c>
      <c r="O37" s="490" t="s">
        <v>373</v>
      </c>
      <c r="P37" s="491"/>
      <c r="Q37" s="457"/>
      <c r="S37" s="485"/>
    </row>
    <row r="38" spans="1:21" x14ac:dyDescent="0.25">
      <c r="M38" s="492"/>
      <c r="N38" s="493" t="s">
        <v>561</v>
      </c>
      <c r="O38" s="494">
        <f>IF(O37="normal (k=1)",1,IF(O37="normal (k=2)",2,IF(O37="normal (k=3)",3,IF(O37="rectangular",SQRT(3),IF(O37="triangular",SQRT(6),IF(O37="Prob. U",SQRT(2),"no definido"))))))</f>
        <v>2</v>
      </c>
      <c r="P38" s="468"/>
      <c r="Q38" s="457"/>
    </row>
    <row r="39" spans="1:21" ht="18" x14ac:dyDescent="0.25">
      <c r="A39" s="434"/>
      <c r="M39" s="495"/>
      <c r="N39" s="489" t="s">
        <v>573</v>
      </c>
      <c r="O39" s="496">
        <f>O35*O38</f>
        <v>1.2886508152483846E-4</v>
      </c>
      <c r="P39" s="491" t="s">
        <v>8</v>
      </c>
      <c r="Q39" s="457"/>
    </row>
    <row r="40" spans="1:21" ht="18.75" thickBot="1" x14ac:dyDescent="0.3">
      <c r="A40" s="434"/>
      <c r="M40" s="497"/>
      <c r="N40" s="498" t="s">
        <v>573</v>
      </c>
      <c r="O40" s="1459">
        <f>O39/C93</f>
        <v>1.7935633855332079E-2</v>
      </c>
      <c r="P40" s="499"/>
      <c r="Q40" s="457"/>
    </row>
    <row r="41" spans="1:21" x14ac:dyDescent="0.25">
      <c r="A41" s="434"/>
      <c r="N41" s="500"/>
      <c r="O41" s="457"/>
      <c r="P41" s="457"/>
      <c r="Q41" s="457"/>
    </row>
    <row r="42" spans="1:21" x14ac:dyDescent="0.25">
      <c r="A42" s="434"/>
      <c r="N42" s="500"/>
      <c r="O42" s="457"/>
      <c r="P42" s="457"/>
      <c r="Q42" s="457"/>
    </row>
    <row r="43" spans="1:21" x14ac:dyDescent="0.25">
      <c r="A43" s="434"/>
      <c r="N43" s="500"/>
      <c r="O43" s="457"/>
      <c r="P43" s="457"/>
      <c r="Q43" s="457"/>
      <c r="R43" s="88"/>
    </row>
    <row r="44" spans="1:21" x14ac:dyDescent="0.25">
      <c r="A44" s="434"/>
      <c r="N44" s="500"/>
      <c r="O44" s="457"/>
      <c r="P44" s="457"/>
      <c r="Q44" s="457"/>
    </row>
    <row r="45" spans="1:21" x14ac:dyDescent="0.25">
      <c r="A45" s="434"/>
      <c r="N45" s="500"/>
      <c r="O45" s="457"/>
      <c r="P45" s="457"/>
      <c r="Q45" s="457"/>
    </row>
    <row r="46" spans="1:21" x14ac:dyDescent="0.25">
      <c r="A46" s="434"/>
      <c r="N46" s="500"/>
      <c r="O46" s="457"/>
      <c r="P46" s="457"/>
      <c r="Q46" s="457"/>
    </row>
    <row r="47" spans="1:21" x14ac:dyDescent="0.25">
      <c r="A47" s="434"/>
      <c r="N47" s="500"/>
      <c r="O47" s="457"/>
      <c r="P47" s="457"/>
      <c r="Q47" s="457"/>
    </row>
    <row r="48" spans="1:21" x14ac:dyDescent="0.25">
      <c r="A48" s="434"/>
      <c r="N48" s="500"/>
      <c r="O48" s="457"/>
      <c r="P48" s="457"/>
      <c r="Q48" s="457"/>
    </row>
    <row r="49" spans="1:17" x14ac:dyDescent="0.25">
      <c r="A49" s="434"/>
      <c r="N49" s="500"/>
      <c r="O49" s="457"/>
      <c r="P49" s="457"/>
      <c r="Q49" s="457"/>
    </row>
    <row r="50" spans="1:17" x14ac:dyDescent="0.25">
      <c r="A50" s="434"/>
      <c r="N50" s="500"/>
      <c r="O50" s="457"/>
      <c r="P50" s="457"/>
      <c r="Q50" s="457"/>
    </row>
    <row r="51" spans="1:17" x14ac:dyDescent="0.25">
      <c r="A51" s="434"/>
      <c r="N51" s="500"/>
      <c r="O51" s="457"/>
      <c r="P51" s="457"/>
      <c r="Q51" s="457"/>
    </row>
    <row r="52" spans="1:17" x14ac:dyDescent="0.25">
      <c r="A52" s="434"/>
      <c r="N52" s="500"/>
      <c r="O52" s="457"/>
      <c r="P52" s="457"/>
      <c r="Q52" s="457"/>
    </row>
    <row r="53" spans="1:17" x14ac:dyDescent="0.25">
      <c r="A53" s="434"/>
      <c r="N53" s="500"/>
      <c r="O53" s="457"/>
      <c r="P53" s="457"/>
      <c r="Q53" s="457"/>
    </row>
    <row r="54" spans="1:17" x14ac:dyDescent="0.25">
      <c r="A54" s="434"/>
      <c r="N54" s="500"/>
      <c r="O54" s="457"/>
      <c r="P54" s="457"/>
      <c r="Q54" s="457"/>
    </row>
    <row r="55" spans="1:17" x14ac:dyDescent="0.25">
      <c r="A55" s="434"/>
      <c r="N55" s="500"/>
      <c r="O55" s="457"/>
      <c r="P55" s="457"/>
      <c r="Q55" s="457"/>
    </row>
    <row r="56" spans="1:17" x14ac:dyDescent="0.25">
      <c r="A56" s="434"/>
      <c r="N56" s="500"/>
      <c r="O56" s="457"/>
      <c r="P56" s="457"/>
      <c r="Q56" s="457"/>
    </row>
    <row r="57" spans="1:17" x14ac:dyDescent="0.25">
      <c r="A57" s="434"/>
      <c r="N57" s="500"/>
      <c r="O57" s="457"/>
      <c r="P57" s="457"/>
      <c r="Q57" s="457"/>
    </row>
    <row r="58" spans="1:17" x14ac:dyDescent="0.25">
      <c r="A58" s="434"/>
      <c r="N58" s="500"/>
      <c r="O58" s="457"/>
      <c r="P58" s="457"/>
      <c r="Q58" s="457"/>
    </row>
    <row r="59" spans="1:17" x14ac:dyDescent="0.25">
      <c r="A59" s="434"/>
      <c r="N59" s="500"/>
      <c r="O59" s="457"/>
      <c r="P59" s="457"/>
      <c r="Q59" s="457"/>
    </row>
    <row r="60" spans="1:17" x14ac:dyDescent="0.25">
      <c r="A60" s="434"/>
      <c r="N60" s="500"/>
      <c r="O60" s="457"/>
      <c r="P60" s="457"/>
      <c r="Q60" s="457"/>
    </row>
    <row r="61" spans="1:17" x14ac:dyDescent="0.25">
      <c r="A61" s="434"/>
      <c r="N61" s="500"/>
      <c r="O61" s="457"/>
      <c r="P61" s="457"/>
      <c r="Q61" s="457"/>
    </row>
    <row r="62" spans="1:17" x14ac:dyDescent="0.25">
      <c r="A62" s="434"/>
      <c r="N62" s="500"/>
      <c r="O62" s="457"/>
      <c r="P62" s="457"/>
      <c r="Q62" s="457"/>
    </row>
    <row r="63" spans="1:17" x14ac:dyDescent="0.25">
      <c r="A63" s="434"/>
      <c r="N63" s="500"/>
      <c r="O63" s="457"/>
      <c r="P63" s="457"/>
      <c r="Q63" s="457"/>
    </row>
    <row r="64" spans="1:17" x14ac:dyDescent="0.25">
      <c r="A64" s="434"/>
      <c r="N64" s="500"/>
      <c r="O64" s="457"/>
      <c r="P64" s="457"/>
      <c r="Q64" s="457"/>
    </row>
    <row r="65" spans="1:17" x14ac:dyDescent="0.25">
      <c r="A65" s="434"/>
      <c r="N65" s="500"/>
      <c r="O65" s="457"/>
      <c r="P65" s="457"/>
      <c r="Q65" s="457"/>
    </row>
    <row r="66" spans="1:17" x14ac:dyDescent="0.25">
      <c r="A66" s="434"/>
      <c r="N66" s="500"/>
      <c r="O66" s="457"/>
      <c r="P66" s="457"/>
      <c r="Q66" s="457"/>
    </row>
    <row r="67" spans="1:17" x14ac:dyDescent="0.25">
      <c r="A67" s="434"/>
      <c r="N67" s="500"/>
      <c r="O67" s="457"/>
      <c r="P67" s="457"/>
      <c r="Q67" s="457"/>
    </row>
    <row r="68" spans="1:17" x14ac:dyDescent="0.25">
      <c r="A68" s="434"/>
      <c r="N68" s="500"/>
      <c r="O68" s="457"/>
      <c r="P68" s="457"/>
      <c r="Q68" s="457"/>
    </row>
    <row r="69" spans="1:17" ht="15.75" thickBot="1" x14ac:dyDescent="0.3">
      <c r="A69" s="434"/>
      <c r="N69" s="500"/>
      <c r="O69" s="457"/>
      <c r="P69" s="457"/>
      <c r="Q69" s="457"/>
    </row>
    <row r="70" spans="1:17" x14ac:dyDescent="0.25">
      <c r="A70" s="501"/>
      <c r="B70" s="502"/>
      <c r="C70" s="502"/>
      <c r="D70" s="502"/>
      <c r="E70" s="502"/>
      <c r="F70" s="503"/>
      <c r="N70" s="500"/>
      <c r="O70" s="457"/>
      <c r="P70" s="457"/>
      <c r="Q70" s="457"/>
    </row>
    <row r="71" spans="1:17" x14ac:dyDescent="0.25">
      <c r="A71" s="504" t="s">
        <v>462</v>
      </c>
      <c r="B71" s="505"/>
      <c r="C71" s="505"/>
      <c r="D71" s="505"/>
      <c r="E71" s="505"/>
      <c r="F71" s="506"/>
      <c r="N71" s="500"/>
      <c r="O71" s="457"/>
      <c r="P71" s="457"/>
      <c r="Q71" s="457"/>
    </row>
    <row r="72" spans="1:17" x14ac:dyDescent="0.25">
      <c r="A72" s="507"/>
      <c r="B72" s="505"/>
      <c r="C72" s="505"/>
      <c r="D72" s="505"/>
      <c r="E72" s="505"/>
      <c r="F72" s="506"/>
    </row>
    <row r="73" spans="1:17" x14ac:dyDescent="0.25">
      <c r="A73" s="507"/>
      <c r="B73" s="508"/>
      <c r="C73" s="505"/>
      <c r="D73" s="505"/>
      <c r="E73" s="505"/>
      <c r="F73" s="506"/>
    </row>
    <row r="74" spans="1:17" x14ac:dyDescent="0.25">
      <c r="A74" s="507"/>
      <c r="B74" s="505"/>
      <c r="C74" s="505"/>
      <c r="D74" s="505"/>
      <c r="E74" s="505"/>
      <c r="F74" s="506"/>
      <c r="N74" s="457"/>
      <c r="O74" s="457"/>
      <c r="P74" s="457"/>
    </row>
    <row r="75" spans="1:17" x14ac:dyDescent="0.25">
      <c r="A75" s="507"/>
      <c r="B75" s="505"/>
      <c r="C75" s="505"/>
      <c r="D75" s="505"/>
      <c r="E75" s="505"/>
      <c r="F75" s="506"/>
      <c r="N75" s="457"/>
      <c r="O75" s="457"/>
      <c r="P75" s="457"/>
    </row>
    <row r="76" spans="1:17" x14ac:dyDescent="0.25">
      <c r="A76" s="507"/>
      <c r="B76" s="505"/>
      <c r="C76" s="505"/>
      <c r="D76" s="505"/>
      <c r="E76" s="505"/>
      <c r="F76" s="506"/>
      <c r="N76" s="457"/>
      <c r="O76" s="457"/>
      <c r="P76" s="457"/>
    </row>
    <row r="77" spans="1:17" x14ac:dyDescent="0.25">
      <c r="A77" s="507"/>
      <c r="B77" s="505" t="s">
        <v>465</v>
      </c>
      <c r="C77" s="505"/>
      <c r="D77" s="505"/>
      <c r="E77" s="505"/>
      <c r="F77" s="506"/>
      <c r="N77" s="457"/>
      <c r="O77" s="457"/>
      <c r="P77" s="457"/>
    </row>
    <row r="78" spans="1:17" x14ac:dyDescent="0.25">
      <c r="A78" s="507"/>
      <c r="B78" s="505"/>
      <c r="C78" s="508"/>
      <c r="D78" s="505"/>
      <c r="E78" s="505"/>
      <c r="F78" s="506"/>
      <c r="N78" s="457"/>
      <c r="O78" s="457"/>
      <c r="P78" s="457"/>
    </row>
    <row r="79" spans="1:17" x14ac:dyDescent="0.25">
      <c r="A79" s="507"/>
      <c r="B79" s="508"/>
      <c r="C79" s="505"/>
      <c r="D79" s="505"/>
      <c r="E79" s="505"/>
      <c r="F79" s="506"/>
      <c r="N79" s="457"/>
      <c r="O79" s="457"/>
      <c r="P79" s="457"/>
    </row>
    <row r="80" spans="1:17" x14ac:dyDescent="0.25">
      <c r="A80" s="507"/>
      <c r="B80" s="505"/>
      <c r="C80" s="505"/>
      <c r="D80" s="505"/>
      <c r="E80" s="505"/>
      <c r="F80" s="506"/>
      <c r="N80" s="457"/>
      <c r="O80" s="457"/>
      <c r="P80" s="457"/>
    </row>
    <row r="81" spans="1:16" x14ac:dyDescent="0.25">
      <c r="A81" s="507"/>
      <c r="B81" s="505"/>
      <c r="C81" s="505"/>
      <c r="D81" s="505"/>
      <c r="E81" s="505"/>
      <c r="F81" s="506"/>
      <c r="N81" s="457"/>
      <c r="O81" s="457"/>
      <c r="P81" s="457"/>
    </row>
    <row r="82" spans="1:16" x14ac:dyDescent="0.25">
      <c r="A82" s="507"/>
      <c r="B82" s="505" t="s">
        <v>376</v>
      </c>
      <c r="C82" s="505"/>
      <c r="D82" s="505"/>
      <c r="E82" s="505"/>
      <c r="F82" s="506"/>
    </row>
    <row r="83" spans="1:16" x14ac:dyDescent="0.25">
      <c r="A83" s="507"/>
      <c r="B83" s="505"/>
      <c r="C83" s="505"/>
      <c r="D83" s="505"/>
      <c r="E83" s="505"/>
      <c r="F83" s="506"/>
    </row>
    <row r="84" spans="1:16" ht="18" x14ac:dyDescent="0.25">
      <c r="A84" s="507"/>
      <c r="B84" s="505" t="s">
        <v>379</v>
      </c>
      <c r="C84" s="509">
        <f>'F-LSCD-002 (Dosimetría)'!B34</f>
        <v>25200</v>
      </c>
      <c r="D84" s="505" t="str">
        <f>'F-LSCD-002 (Dosimetría)'!C34</f>
        <v>Gy/C</v>
      </c>
      <c r="E84" s="505"/>
      <c r="F84" s="506"/>
    </row>
    <row r="85" spans="1:16" ht="18" x14ac:dyDescent="0.25">
      <c r="A85" s="507"/>
      <c r="B85" s="510" t="s">
        <v>629</v>
      </c>
      <c r="C85" s="505">
        <f>'F-LSCD-002 (Dosimetría)'!D43</f>
        <v>1.0009999999999999</v>
      </c>
      <c r="D85" s="505" t="s">
        <v>384</v>
      </c>
      <c r="E85" s="505"/>
      <c r="F85" s="506"/>
    </row>
    <row r="86" spans="1:16" ht="18" x14ac:dyDescent="0.25">
      <c r="A86" s="507"/>
      <c r="B86" s="510" t="s">
        <v>630</v>
      </c>
      <c r="C86" s="511">
        <v>1</v>
      </c>
      <c r="D86" s="505"/>
      <c r="E86" s="505"/>
      <c r="F86" s="506"/>
    </row>
    <row r="87" spans="1:16" x14ac:dyDescent="0.25">
      <c r="A87" s="507"/>
      <c r="B87" s="510" t="s">
        <v>472</v>
      </c>
      <c r="C87" s="509">
        <f>'F-LSCD-002 (Dosimetría)'!E144*EXP(-LN(2)/10990*('F-LSCD-002 (Dosimetría)'!F96-'F-LSCD-002 (Dosimetría)'!G134))</f>
        <v>-4.7622197181529422E-9</v>
      </c>
      <c r="D87" s="505" t="s">
        <v>368</v>
      </c>
      <c r="E87" s="505"/>
      <c r="F87" s="506"/>
    </row>
    <row r="88" spans="1:16" x14ac:dyDescent="0.25">
      <c r="A88" s="507"/>
      <c r="B88" s="505" t="s">
        <v>473</v>
      </c>
      <c r="C88" s="512">
        <f>'F-LSCD-002 (Dosimetría)'!F144</f>
        <v>60</v>
      </c>
      <c r="D88" s="505" t="s">
        <v>369</v>
      </c>
      <c r="E88" s="505"/>
      <c r="F88" s="506"/>
    </row>
    <row r="89" spans="1:16" ht="18" x14ac:dyDescent="0.25">
      <c r="A89" s="507"/>
      <c r="B89" s="505" t="s">
        <v>380</v>
      </c>
      <c r="C89" s="505">
        <f>'F-LSCD-002 (Dosimetría)'!F33</f>
        <v>1013.25</v>
      </c>
      <c r="D89" s="505" t="str">
        <f>'F-LSCD-002 (Dosimetría)'!G33</f>
        <v>hPa</v>
      </c>
      <c r="E89" s="505"/>
      <c r="F89" s="506"/>
    </row>
    <row r="90" spans="1:16" x14ac:dyDescent="0.25">
      <c r="A90" s="507"/>
      <c r="B90" s="510" t="s">
        <v>381</v>
      </c>
      <c r="C90" s="512">
        <f>'F-LSCD-002 (Dosimetría)'!D144</f>
        <v>1010</v>
      </c>
      <c r="D90" s="505" t="str">
        <f>D89</f>
        <v>hPa</v>
      </c>
      <c r="E90" s="505"/>
      <c r="F90" s="506"/>
    </row>
    <row r="91" spans="1:16" ht="18" x14ac:dyDescent="0.25">
      <c r="A91" s="507"/>
      <c r="B91" s="505" t="s">
        <v>383</v>
      </c>
      <c r="C91" s="505">
        <f>'F-LSCD-002 (Dosimetría)'!F32</f>
        <v>22</v>
      </c>
      <c r="D91" s="505" t="str">
        <f>'F-LSCD-002 (Dosimetría)'!G32</f>
        <v>°C</v>
      </c>
      <c r="E91" s="505"/>
      <c r="F91" s="506"/>
    </row>
    <row r="92" spans="1:16" x14ac:dyDescent="0.25">
      <c r="A92" s="507"/>
      <c r="B92" s="510" t="s">
        <v>382</v>
      </c>
      <c r="C92" s="1595">
        <f>'F-LSCD-002 (Dosimetría)'!B144</f>
        <v>20.209999999999997</v>
      </c>
      <c r="D92" s="505" t="str">
        <f>D91</f>
        <v>°C</v>
      </c>
      <c r="E92" s="505"/>
      <c r="F92" s="506"/>
      <c r="H92" s="457"/>
    </row>
    <row r="93" spans="1:16" x14ac:dyDescent="0.25">
      <c r="A93" s="507"/>
      <c r="B93" s="513" t="s">
        <v>400</v>
      </c>
      <c r="C93" s="509">
        <f>'F-LSCD-002 (Dosimetría)'!N144</f>
        <v>7.1848635272250602E-3</v>
      </c>
      <c r="D93" s="505" t="s">
        <v>8</v>
      </c>
      <c r="E93" s="505"/>
      <c r="F93" s="506"/>
    </row>
    <row r="94" spans="1:16" x14ac:dyDescent="0.25">
      <c r="A94" s="507"/>
      <c r="B94" s="513" t="s">
        <v>417</v>
      </c>
      <c r="C94" s="514">
        <f>'F-LSCD-002 (Dosimetría)'!A134/100</f>
        <v>2</v>
      </c>
      <c r="D94" s="505" t="s">
        <v>418</v>
      </c>
      <c r="E94" s="505"/>
      <c r="F94" s="506"/>
    </row>
    <row r="95" spans="1:16" ht="15.75" thickBot="1" x14ac:dyDescent="0.3">
      <c r="A95" s="515"/>
      <c r="B95" s="516"/>
      <c r="C95" s="516"/>
      <c r="D95" s="516"/>
      <c r="E95" s="516"/>
      <c r="F95" s="517"/>
      <c r="N95" s="457"/>
      <c r="O95" s="457"/>
      <c r="P95" s="457"/>
    </row>
    <row r="96" spans="1:16" x14ac:dyDescent="0.25">
      <c r="A96" s="518"/>
      <c r="B96" s="502"/>
      <c r="C96" s="502"/>
      <c r="D96" s="502"/>
      <c r="E96" s="502"/>
      <c r="F96" s="503"/>
      <c r="N96" s="457"/>
      <c r="O96" s="457"/>
      <c r="P96" s="457"/>
    </row>
    <row r="97" spans="1:16" x14ac:dyDescent="0.25">
      <c r="A97" s="504" t="s">
        <v>458</v>
      </c>
      <c r="B97" s="505"/>
      <c r="C97" s="505"/>
      <c r="D97" s="505"/>
      <c r="E97" s="505"/>
      <c r="F97" s="506"/>
      <c r="N97" s="457"/>
      <c r="O97" s="457"/>
      <c r="P97" s="457"/>
    </row>
    <row r="98" spans="1:16" x14ac:dyDescent="0.25">
      <c r="A98" s="507"/>
      <c r="B98" s="505"/>
      <c r="C98" s="508"/>
      <c r="D98" s="505"/>
      <c r="E98" s="505"/>
      <c r="F98" s="506"/>
      <c r="N98" s="457"/>
      <c r="O98" s="457"/>
      <c r="P98" s="457"/>
    </row>
    <row r="99" spans="1:16" x14ac:dyDescent="0.25">
      <c r="A99" s="507"/>
      <c r="B99" s="508"/>
      <c r="C99" s="505"/>
      <c r="D99" s="505"/>
      <c r="E99" s="505"/>
      <c r="F99" s="506"/>
      <c r="N99" s="457"/>
      <c r="O99" s="457"/>
      <c r="P99" s="457"/>
    </row>
    <row r="100" spans="1:16" x14ac:dyDescent="0.25">
      <c r="A100" s="507"/>
      <c r="B100" s="505"/>
      <c r="C100" s="505"/>
      <c r="D100" s="505"/>
      <c r="E100" s="505"/>
      <c r="F100" s="506"/>
      <c r="N100" s="457"/>
      <c r="O100" s="457"/>
      <c r="P100" s="457"/>
    </row>
    <row r="101" spans="1:16" ht="15.75" thickBot="1" x14ac:dyDescent="0.3">
      <c r="A101" s="515"/>
      <c r="B101" s="516"/>
      <c r="C101" s="516"/>
      <c r="D101" s="516"/>
      <c r="E101" s="516"/>
      <c r="F101" s="517"/>
      <c r="N101" s="457"/>
      <c r="O101" s="457"/>
      <c r="P101" s="457"/>
    </row>
    <row r="102" spans="1:16" ht="15.75" thickBot="1" x14ac:dyDescent="0.3">
      <c r="N102" s="457"/>
      <c r="O102" s="457"/>
      <c r="P102" s="457"/>
    </row>
    <row r="103" spans="1:16" ht="15.75" thickBot="1" x14ac:dyDescent="0.3">
      <c r="A103" s="2439" t="s">
        <v>463</v>
      </c>
      <c r="B103" s="2440"/>
      <c r="C103" s="2440"/>
      <c r="D103" s="2440"/>
      <c r="E103" s="2440"/>
      <c r="F103" s="2440"/>
      <c r="G103" s="2440"/>
      <c r="H103" s="2440"/>
      <c r="I103" s="2440"/>
      <c r="J103" s="2440"/>
      <c r="K103" s="2440"/>
      <c r="L103" s="2440"/>
      <c r="M103" s="2441"/>
      <c r="N103" s="457"/>
      <c r="O103" s="457"/>
      <c r="P103" s="457"/>
    </row>
    <row r="104" spans="1:16" ht="15.75" thickBot="1" x14ac:dyDescent="0.3">
      <c r="N104" s="457"/>
      <c r="O104" s="457"/>
      <c r="P104" s="457"/>
    </row>
    <row r="105" spans="1:16" x14ac:dyDescent="0.25">
      <c r="A105" s="519"/>
      <c r="B105" s="520"/>
      <c r="C105" s="520"/>
      <c r="D105" s="520"/>
      <c r="E105" s="520"/>
      <c r="F105" s="520"/>
      <c r="G105" s="520"/>
      <c r="H105" s="520"/>
      <c r="I105" s="520"/>
      <c r="J105" s="520"/>
      <c r="K105" s="520"/>
      <c r="L105" s="520"/>
      <c r="M105" s="521"/>
      <c r="N105" s="457"/>
      <c r="O105" s="457"/>
      <c r="P105" s="457"/>
    </row>
    <row r="106" spans="1:16" x14ac:dyDescent="0.25">
      <c r="A106" s="522" t="s">
        <v>553</v>
      </c>
      <c r="B106" s="523"/>
      <c r="C106" s="523"/>
      <c r="D106" s="523"/>
      <c r="E106" s="523"/>
      <c r="F106" s="523"/>
      <c r="G106" s="523"/>
      <c r="H106" s="523"/>
      <c r="I106" s="523"/>
      <c r="J106" s="523"/>
      <c r="K106" s="523"/>
      <c r="L106" s="523"/>
      <c r="M106" s="524"/>
    </row>
    <row r="107" spans="1:16" x14ac:dyDescent="0.25">
      <c r="A107" s="525"/>
      <c r="B107" s="523"/>
      <c r="C107" s="523"/>
      <c r="D107" s="523"/>
      <c r="E107" s="523"/>
      <c r="F107" s="523"/>
      <c r="G107" s="523"/>
      <c r="H107" s="523"/>
      <c r="I107" s="523"/>
      <c r="J107" s="523"/>
      <c r="K107" s="523"/>
      <c r="L107" s="523"/>
      <c r="M107" s="524"/>
    </row>
    <row r="108" spans="1:16" x14ac:dyDescent="0.25">
      <c r="A108" s="522" t="s">
        <v>475</v>
      </c>
      <c r="B108" s="523"/>
      <c r="C108" s="523"/>
      <c r="D108" s="523"/>
      <c r="E108" s="523"/>
      <c r="F108" s="523"/>
      <c r="G108" s="523"/>
      <c r="H108" s="523"/>
      <c r="I108" s="523"/>
      <c r="J108" s="523"/>
      <c r="K108" s="523"/>
      <c r="L108" s="523"/>
      <c r="M108" s="524"/>
    </row>
    <row r="109" spans="1:16" x14ac:dyDescent="0.25">
      <c r="A109" s="525"/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3"/>
      <c r="M109" s="524"/>
    </row>
    <row r="110" spans="1:16" ht="18" x14ac:dyDescent="0.25">
      <c r="A110" s="525"/>
      <c r="B110" s="523" t="s">
        <v>464</v>
      </c>
      <c r="C110" s="354" t="s">
        <v>983</v>
      </c>
      <c r="D110" s="523"/>
      <c r="E110" s="523"/>
      <c r="F110" s="523"/>
      <c r="G110" s="523"/>
      <c r="H110" s="523"/>
      <c r="I110" s="523"/>
      <c r="J110" s="523"/>
      <c r="K110" s="523"/>
      <c r="L110" s="523"/>
      <c r="M110" s="524"/>
    </row>
    <row r="111" spans="1:16" x14ac:dyDescent="0.25">
      <c r="A111" s="525"/>
      <c r="B111" s="523"/>
      <c r="C111" s="523"/>
      <c r="D111" s="523"/>
      <c r="E111" s="523"/>
      <c r="F111" s="523"/>
      <c r="G111" s="523"/>
      <c r="H111" s="523"/>
      <c r="I111" s="523"/>
      <c r="J111" s="523"/>
      <c r="K111" s="523"/>
      <c r="L111" s="523"/>
      <c r="M111" s="524"/>
    </row>
    <row r="112" spans="1:16" x14ac:dyDescent="0.25">
      <c r="A112" s="525"/>
      <c r="B112" s="523" t="s">
        <v>464</v>
      </c>
      <c r="C112" s="527">
        <f>'F-LSCD-002 (Dosimetría)'!B34*'F-LSCD-002 (Dosimetría)'!D34</f>
        <v>201.6</v>
      </c>
      <c r="D112" s="526" t="s">
        <v>15</v>
      </c>
      <c r="E112" s="523"/>
      <c r="F112" s="523"/>
      <c r="G112" s="523"/>
      <c r="H112" s="523"/>
      <c r="I112" s="523"/>
      <c r="J112" s="523"/>
      <c r="K112" s="523"/>
      <c r="L112" s="523"/>
      <c r="M112" s="524"/>
    </row>
    <row r="113" spans="1:13" x14ac:dyDescent="0.25">
      <c r="A113" s="525"/>
      <c r="B113" s="523"/>
      <c r="C113" s="523"/>
      <c r="D113" s="523"/>
      <c r="E113" s="523"/>
      <c r="F113" s="523"/>
      <c r="G113" s="523"/>
      <c r="H113" s="523"/>
      <c r="I113" s="523"/>
      <c r="J113" s="523"/>
      <c r="K113" s="523"/>
      <c r="L113" s="523"/>
      <c r="M113" s="524"/>
    </row>
    <row r="114" spans="1:13" x14ac:dyDescent="0.25">
      <c r="A114" s="525"/>
      <c r="B114" s="526" t="s">
        <v>397</v>
      </c>
      <c r="C114" s="523"/>
      <c r="D114" s="523"/>
      <c r="E114" s="523"/>
      <c r="F114" s="523"/>
      <c r="G114" s="523"/>
      <c r="H114" s="523"/>
      <c r="I114" s="523"/>
      <c r="J114" s="523"/>
      <c r="K114" s="523"/>
      <c r="L114" s="523"/>
      <c r="M114" s="524"/>
    </row>
    <row r="115" spans="1:13" x14ac:dyDescent="0.25">
      <c r="A115" s="525"/>
      <c r="B115" s="526" t="str">
        <f>'F-LSCD-002 (Dosimetría)'!B24</f>
        <v>Cámara de ionización patrón de 1 L , marca: PTW; modelo: TN32002; serie: 000568; Reporte de calibración de Kerma en aire DG: 13580-21 con fecha 2021-04-01 (NIST); trazable al NIST.</v>
      </c>
      <c r="C115" s="523"/>
      <c r="D115" s="523"/>
      <c r="E115" s="523"/>
      <c r="F115" s="523"/>
      <c r="G115" s="523"/>
      <c r="H115" s="523"/>
      <c r="I115" s="523"/>
      <c r="J115" s="523"/>
      <c r="K115" s="523"/>
      <c r="L115" s="523"/>
      <c r="M115" s="524"/>
    </row>
    <row r="116" spans="1:13" x14ac:dyDescent="0.25">
      <c r="A116" s="525"/>
      <c r="B116" s="526"/>
      <c r="C116" s="523"/>
      <c r="D116" s="523"/>
      <c r="E116" s="523"/>
      <c r="F116" s="523"/>
      <c r="G116" s="523"/>
      <c r="H116" s="523"/>
      <c r="I116" s="523"/>
      <c r="J116" s="523"/>
      <c r="K116" s="523"/>
      <c r="L116" s="523"/>
      <c r="M116" s="524"/>
    </row>
    <row r="117" spans="1:13" x14ac:dyDescent="0.25">
      <c r="A117" s="522" t="s">
        <v>476</v>
      </c>
      <c r="B117" s="526"/>
      <c r="C117" s="523"/>
      <c r="D117" s="523"/>
      <c r="E117" s="523"/>
      <c r="F117" s="523"/>
      <c r="G117" s="523"/>
      <c r="H117" s="523"/>
      <c r="I117" s="523"/>
      <c r="J117" s="523"/>
      <c r="K117" s="523"/>
      <c r="L117" s="523"/>
      <c r="M117" s="524"/>
    </row>
    <row r="118" spans="1:13" x14ac:dyDescent="0.25">
      <c r="A118" s="525"/>
      <c r="B118" s="526"/>
      <c r="C118" s="523"/>
      <c r="D118" s="523"/>
      <c r="E118" s="523"/>
      <c r="F118" s="523"/>
      <c r="G118" s="523"/>
      <c r="H118" s="523"/>
      <c r="I118" s="523"/>
      <c r="J118" s="523"/>
      <c r="K118" s="523"/>
      <c r="L118" s="523"/>
      <c r="M118" s="524"/>
    </row>
    <row r="119" spans="1:13" x14ac:dyDescent="0.25">
      <c r="A119" s="525"/>
      <c r="B119" s="528"/>
      <c r="C119" s="528"/>
      <c r="D119" s="523"/>
      <c r="E119" s="523"/>
      <c r="F119" s="523"/>
      <c r="G119" s="523"/>
      <c r="H119" s="523"/>
      <c r="I119" s="523"/>
      <c r="J119" s="523"/>
      <c r="K119" s="523"/>
      <c r="L119" s="523"/>
      <c r="M119" s="524"/>
    </row>
    <row r="120" spans="1:13" x14ac:dyDescent="0.25">
      <c r="A120" s="525"/>
      <c r="B120" s="523"/>
      <c r="C120" s="523"/>
      <c r="D120" s="523"/>
      <c r="E120" s="523"/>
      <c r="F120" s="523"/>
      <c r="G120" s="523"/>
      <c r="H120" s="523"/>
      <c r="I120" s="523"/>
      <c r="J120" s="523"/>
      <c r="K120" s="523"/>
      <c r="L120" s="523"/>
      <c r="M120" s="524"/>
    </row>
    <row r="121" spans="1:13" x14ac:dyDescent="0.25">
      <c r="A121" s="525"/>
      <c r="B121" s="523"/>
      <c r="C121" s="523"/>
      <c r="D121" s="523"/>
      <c r="E121" s="523"/>
      <c r="F121" s="523"/>
      <c r="G121" s="523"/>
      <c r="H121" s="523"/>
      <c r="I121" s="523"/>
      <c r="J121" s="523"/>
      <c r="K121" s="523"/>
      <c r="L121" s="523"/>
      <c r="M121" s="524"/>
    </row>
    <row r="122" spans="1:13" x14ac:dyDescent="0.25">
      <c r="A122" s="525"/>
      <c r="B122" s="523"/>
      <c r="C122" s="523"/>
      <c r="D122" s="523"/>
      <c r="E122" s="523"/>
      <c r="F122" s="523"/>
      <c r="G122" s="523"/>
      <c r="H122" s="523"/>
      <c r="I122" s="523"/>
      <c r="J122" s="523"/>
      <c r="K122" s="523"/>
      <c r="L122" s="523"/>
      <c r="M122" s="524"/>
    </row>
    <row r="123" spans="1:13" ht="18" x14ac:dyDescent="0.25">
      <c r="A123" s="525"/>
      <c r="B123" s="523" t="s">
        <v>387</v>
      </c>
      <c r="C123" s="523">
        <f>(C87/C88)*((273.2+C92)*C89/((273.2+C91)*C90))*C85*C86*3600</f>
        <v>-2.851993646157199E-7</v>
      </c>
      <c r="D123" s="526" t="s">
        <v>388</v>
      </c>
      <c r="E123" s="523"/>
      <c r="F123" s="523"/>
      <c r="G123" s="523"/>
      <c r="H123" s="523"/>
      <c r="I123" s="523"/>
      <c r="J123" s="523"/>
      <c r="K123" s="523"/>
      <c r="L123" s="523"/>
      <c r="M123" s="524"/>
    </row>
    <row r="124" spans="1:13" ht="15.75" thickBot="1" x14ac:dyDescent="0.3">
      <c r="A124" s="529"/>
      <c r="B124" s="530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1"/>
    </row>
    <row r="125" spans="1:13" x14ac:dyDescent="0.25">
      <c r="A125" s="519"/>
      <c r="B125" s="520"/>
      <c r="C125" s="520"/>
      <c r="D125" s="520"/>
      <c r="E125" s="520"/>
      <c r="F125" s="520"/>
      <c r="G125" s="520"/>
      <c r="H125" s="520"/>
      <c r="I125" s="520"/>
      <c r="J125" s="520"/>
      <c r="K125" s="520"/>
      <c r="L125" s="520"/>
      <c r="M125" s="521"/>
    </row>
    <row r="126" spans="1:13" x14ac:dyDescent="0.25">
      <c r="A126" s="522" t="s">
        <v>474</v>
      </c>
      <c r="B126" s="526"/>
      <c r="C126" s="523"/>
      <c r="D126" s="523"/>
      <c r="E126" s="523"/>
      <c r="F126" s="523"/>
      <c r="G126" s="523"/>
      <c r="H126" s="523"/>
      <c r="I126" s="523"/>
      <c r="J126" s="523"/>
      <c r="K126" s="523"/>
      <c r="L126" s="523"/>
      <c r="M126" s="524"/>
    </row>
    <row r="127" spans="1:13" x14ac:dyDescent="0.25">
      <c r="A127" s="522"/>
      <c r="B127" s="526"/>
      <c r="C127" s="523"/>
      <c r="D127" s="523"/>
      <c r="E127" s="523"/>
      <c r="F127" s="523"/>
      <c r="G127" s="523"/>
      <c r="H127" s="523"/>
      <c r="I127" s="523"/>
      <c r="J127" s="523"/>
      <c r="K127" s="523"/>
      <c r="L127" s="523"/>
      <c r="M127" s="524"/>
    </row>
    <row r="128" spans="1:13" x14ac:dyDescent="0.25">
      <c r="A128" s="522" t="s">
        <v>477</v>
      </c>
      <c r="B128" s="526"/>
      <c r="C128" s="523"/>
      <c r="D128" s="523"/>
      <c r="E128" s="523"/>
      <c r="F128" s="523"/>
      <c r="G128" s="523"/>
      <c r="H128" s="523"/>
      <c r="I128" s="523"/>
      <c r="J128" s="523"/>
      <c r="K128" s="523"/>
      <c r="L128" s="523"/>
      <c r="M128" s="524"/>
    </row>
    <row r="129" spans="1:13" x14ac:dyDescent="0.25">
      <c r="A129" s="525"/>
      <c r="B129" s="523"/>
      <c r="C129" s="523"/>
      <c r="D129" s="523"/>
      <c r="E129" s="523"/>
      <c r="F129" s="523"/>
      <c r="G129" s="523"/>
      <c r="H129" s="523"/>
      <c r="I129" s="523"/>
      <c r="J129" s="523"/>
      <c r="K129" s="523"/>
      <c r="L129" s="523"/>
      <c r="M129" s="524"/>
    </row>
    <row r="130" spans="1:13" x14ac:dyDescent="0.25">
      <c r="A130" s="525"/>
      <c r="B130" s="532" t="s">
        <v>350</v>
      </c>
      <c r="C130" s="532" t="s">
        <v>353</v>
      </c>
      <c r="D130" s="523"/>
      <c r="E130" s="523"/>
      <c r="F130" s="523"/>
      <c r="G130" s="523"/>
      <c r="H130" s="523"/>
      <c r="I130" s="523"/>
      <c r="J130" s="523"/>
      <c r="K130" s="523"/>
      <c r="L130" s="523"/>
      <c r="M130" s="524"/>
    </row>
    <row r="131" spans="1:13" x14ac:dyDescent="0.25">
      <c r="A131" s="525"/>
      <c r="B131" s="532" t="s">
        <v>351</v>
      </c>
      <c r="C131" s="532" t="s">
        <v>354</v>
      </c>
      <c r="D131" s="523"/>
      <c r="E131" s="523"/>
      <c r="F131" s="523"/>
      <c r="G131" s="523"/>
      <c r="H131" s="523"/>
      <c r="I131" s="523"/>
      <c r="J131" s="523"/>
      <c r="K131" s="523"/>
      <c r="L131" s="523"/>
      <c r="M131" s="524"/>
    </row>
    <row r="132" spans="1:13" x14ac:dyDescent="0.25">
      <c r="A132" s="525"/>
      <c r="B132" s="532" t="s">
        <v>352</v>
      </c>
      <c r="C132" s="533" t="s">
        <v>355</v>
      </c>
      <c r="D132" s="534"/>
      <c r="E132" s="523"/>
      <c r="F132" s="523"/>
      <c r="G132" s="523"/>
      <c r="H132" s="523"/>
      <c r="I132" s="523"/>
      <c r="J132" s="523"/>
      <c r="K132" s="523"/>
      <c r="L132" s="523"/>
      <c r="M132" s="524"/>
    </row>
    <row r="133" spans="1:13" x14ac:dyDescent="0.25">
      <c r="A133" s="525"/>
      <c r="B133" s="523"/>
      <c r="C133" s="523"/>
      <c r="D133" s="523"/>
      <c r="E133" s="523"/>
      <c r="F133" s="523"/>
      <c r="G133" s="523"/>
      <c r="H133" s="523"/>
      <c r="I133" s="523"/>
      <c r="J133" s="523"/>
      <c r="K133" s="523"/>
      <c r="L133" s="523"/>
      <c r="M133" s="524"/>
    </row>
    <row r="134" spans="1:13" ht="45" x14ac:dyDescent="0.25">
      <c r="A134" s="525"/>
      <c r="B134" s="532" t="s">
        <v>69</v>
      </c>
      <c r="C134" s="532" t="s">
        <v>356</v>
      </c>
      <c r="D134" s="535" t="s">
        <v>360</v>
      </c>
      <c r="E134" s="535" t="s">
        <v>357</v>
      </c>
      <c r="F134" s="535" t="s">
        <v>362</v>
      </c>
      <c r="G134" s="532" t="s">
        <v>117</v>
      </c>
      <c r="H134" s="535" t="s">
        <v>310</v>
      </c>
      <c r="I134" s="532" t="s">
        <v>358</v>
      </c>
      <c r="J134" s="535" t="s">
        <v>359</v>
      </c>
      <c r="K134" s="523"/>
      <c r="L134" s="523"/>
      <c r="M134" s="524"/>
    </row>
    <row r="135" spans="1:13" x14ac:dyDescent="0.25">
      <c r="A135" s="525"/>
      <c r="B135" s="536">
        <v>42116</v>
      </c>
      <c r="C135" s="532" t="s">
        <v>353</v>
      </c>
      <c r="D135" s="532">
        <v>1501769</v>
      </c>
      <c r="E135" s="532" t="s">
        <v>361</v>
      </c>
      <c r="F135" s="537">
        <v>28670</v>
      </c>
      <c r="G135" s="532" t="s">
        <v>363</v>
      </c>
      <c r="H135" s="532">
        <v>3.5</v>
      </c>
      <c r="I135" s="532">
        <v>2</v>
      </c>
      <c r="J135" s="532"/>
      <c r="K135" s="523"/>
      <c r="L135" s="523"/>
      <c r="M135" s="524"/>
    </row>
    <row r="136" spans="1:13" x14ac:dyDescent="0.25">
      <c r="A136" s="525"/>
      <c r="B136" s="536">
        <v>42713</v>
      </c>
      <c r="C136" s="532" t="s">
        <v>364</v>
      </c>
      <c r="D136" s="532" t="s">
        <v>365</v>
      </c>
      <c r="E136" s="532" t="s">
        <v>9</v>
      </c>
      <c r="F136" s="537">
        <v>24560</v>
      </c>
      <c r="G136" s="532" t="s">
        <v>15</v>
      </c>
      <c r="H136" s="532">
        <v>1.6</v>
      </c>
      <c r="I136" s="532">
        <v>2</v>
      </c>
      <c r="J136" s="537">
        <f>ABS(F136-F135/'F-LSCD-002 (Dosimetría)'!$F$78)</f>
        <v>668.33333333333212</v>
      </c>
      <c r="K136" s="523"/>
      <c r="L136" s="523"/>
      <c r="M136" s="524"/>
    </row>
    <row r="137" spans="1:13" x14ac:dyDescent="0.25">
      <c r="A137" s="525"/>
      <c r="B137" s="536">
        <v>43334</v>
      </c>
      <c r="C137" s="1166" t="s">
        <v>1091</v>
      </c>
      <c r="D137" s="1166" t="s">
        <v>1092</v>
      </c>
      <c r="E137" s="532" t="s">
        <v>9</v>
      </c>
      <c r="F137" s="537">
        <v>25190</v>
      </c>
      <c r="G137" s="532" t="s">
        <v>15</v>
      </c>
      <c r="H137" s="532">
        <v>2.7</v>
      </c>
      <c r="I137" s="532">
        <v>2</v>
      </c>
      <c r="J137" s="537">
        <f>ABS(F136-F137)</f>
        <v>630</v>
      </c>
      <c r="K137" s="523"/>
      <c r="L137" s="523"/>
      <c r="M137" s="524"/>
    </row>
    <row r="138" spans="1:13" x14ac:dyDescent="0.25">
      <c r="A138" s="525"/>
      <c r="B138" s="538"/>
      <c r="C138" s="523"/>
      <c r="D138" s="523"/>
      <c r="E138" s="523"/>
      <c r="F138" s="527"/>
      <c r="G138" s="523"/>
      <c r="H138" s="523"/>
      <c r="I138" s="523"/>
      <c r="J138" s="527"/>
      <c r="K138" s="523"/>
      <c r="L138" s="523"/>
      <c r="M138" s="524"/>
    </row>
    <row r="139" spans="1:13" ht="18" x14ac:dyDescent="0.25">
      <c r="A139" s="525"/>
      <c r="B139" s="523" t="s">
        <v>464</v>
      </c>
      <c r="C139" s="526" t="s">
        <v>457</v>
      </c>
      <c r="D139" s="523"/>
      <c r="E139" s="523"/>
      <c r="F139" s="527"/>
      <c r="G139" s="523"/>
      <c r="H139" s="523"/>
      <c r="I139" s="523"/>
      <c r="J139" s="527"/>
      <c r="K139" s="523"/>
      <c r="L139" s="523"/>
      <c r="M139" s="524"/>
    </row>
    <row r="140" spans="1:13" x14ac:dyDescent="0.25">
      <c r="A140" s="525"/>
      <c r="B140" s="523"/>
      <c r="C140" s="523"/>
      <c r="D140" s="523"/>
      <c r="E140" s="523"/>
      <c r="F140" s="523"/>
      <c r="G140" s="523"/>
      <c r="H140" s="523"/>
      <c r="I140" s="527">
        <f>(F136-F137)/F136*100</f>
        <v>-2.5651465798045603</v>
      </c>
      <c r="J140" s="523"/>
      <c r="K140" s="523"/>
      <c r="L140" s="523"/>
      <c r="M140" s="524"/>
    </row>
    <row r="141" spans="1:13" x14ac:dyDescent="0.25">
      <c r="A141" s="525"/>
      <c r="B141" s="523" t="s">
        <v>464</v>
      </c>
      <c r="C141" s="527">
        <f>J137/2</f>
        <v>315</v>
      </c>
      <c r="D141" s="526" t="s">
        <v>15</v>
      </c>
      <c r="E141" s="523"/>
      <c r="F141" s="523"/>
      <c r="G141" s="523"/>
      <c r="H141" s="523"/>
      <c r="I141" s="523"/>
      <c r="J141" s="523"/>
      <c r="K141" s="523"/>
      <c r="L141" s="523"/>
      <c r="M141" s="524"/>
    </row>
    <row r="142" spans="1:13" x14ac:dyDescent="0.25">
      <c r="A142" s="525"/>
      <c r="B142" s="523"/>
      <c r="C142" s="523"/>
      <c r="D142" s="523"/>
      <c r="E142" s="523"/>
      <c r="F142" s="523"/>
      <c r="G142" s="523"/>
      <c r="H142" s="527"/>
      <c r="I142" s="523"/>
      <c r="J142" s="523"/>
      <c r="K142" s="523"/>
      <c r="L142" s="523"/>
      <c r="M142" s="524"/>
    </row>
    <row r="143" spans="1:13" x14ac:dyDescent="0.25">
      <c r="A143" s="525"/>
      <c r="B143" s="526" t="s">
        <v>397</v>
      </c>
      <c r="C143" s="523"/>
      <c r="D143" s="523"/>
      <c r="E143" s="523"/>
      <c r="F143" s="523"/>
      <c r="G143" s="523"/>
      <c r="H143" s="523"/>
      <c r="I143" s="523"/>
      <c r="J143" s="523"/>
      <c r="K143" s="523"/>
      <c r="L143" s="523"/>
      <c r="M143" s="524"/>
    </row>
    <row r="144" spans="1:13" x14ac:dyDescent="0.25">
      <c r="A144" s="525"/>
      <c r="B144" s="2436" t="s">
        <v>398</v>
      </c>
      <c r="C144" s="2436"/>
      <c r="D144" s="2436"/>
      <c r="E144" s="2436"/>
      <c r="F144" s="2436"/>
      <c r="G144" s="2436"/>
      <c r="H144" s="2436"/>
      <c r="I144" s="2436"/>
      <c r="J144" s="2436"/>
      <c r="K144" s="523"/>
      <c r="L144" s="523"/>
      <c r="M144" s="524"/>
    </row>
    <row r="145" spans="1:13" x14ac:dyDescent="0.25">
      <c r="A145" s="525"/>
      <c r="B145" s="2436"/>
      <c r="C145" s="2436"/>
      <c r="D145" s="2436"/>
      <c r="E145" s="2436"/>
      <c r="F145" s="2436"/>
      <c r="G145" s="2436"/>
      <c r="H145" s="2436"/>
      <c r="I145" s="2436"/>
      <c r="J145" s="2436"/>
      <c r="K145" s="523"/>
      <c r="L145" s="523"/>
      <c r="M145" s="524"/>
    </row>
    <row r="146" spans="1:13" x14ac:dyDescent="0.25">
      <c r="A146" s="525"/>
      <c r="B146" s="539"/>
      <c r="C146" s="539"/>
      <c r="D146" s="539"/>
      <c r="E146" s="539"/>
      <c r="F146" s="539"/>
      <c r="G146" s="539"/>
      <c r="H146" s="539"/>
      <c r="I146" s="539"/>
      <c r="J146" s="539"/>
      <c r="K146" s="523"/>
      <c r="L146" s="523"/>
      <c r="M146" s="524"/>
    </row>
    <row r="147" spans="1:13" x14ac:dyDescent="0.25">
      <c r="A147" s="522" t="s">
        <v>478</v>
      </c>
      <c r="B147" s="539"/>
      <c r="C147" s="539"/>
      <c r="D147" s="539"/>
      <c r="E147" s="539"/>
      <c r="F147" s="539"/>
      <c r="G147" s="539"/>
      <c r="H147" s="539"/>
      <c r="I147" s="539"/>
      <c r="J147" s="539"/>
      <c r="K147" s="523"/>
      <c r="L147" s="523"/>
      <c r="M147" s="524"/>
    </row>
    <row r="148" spans="1:13" x14ac:dyDescent="0.25">
      <c r="A148" s="525"/>
      <c r="B148" s="539"/>
      <c r="C148" s="539"/>
      <c r="D148" s="539"/>
      <c r="E148" s="539"/>
      <c r="F148" s="539"/>
      <c r="G148" s="539"/>
      <c r="H148" s="539"/>
      <c r="I148" s="539"/>
      <c r="J148" s="539"/>
      <c r="K148" s="523"/>
      <c r="L148" s="523"/>
      <c r="M148" s="524"/>
    </row>
    <row r="149" spans="1:13" x14ac:dyDescent="0.25">
      <c r="A149" s="525"/>
      <c r="B149" s="528"/>
      <c r="C149" s="539"/>
      <c r="D149" s="539"/>
      <c r="E149" s="539"/>
      <c r="F149" s="539"/>
      <c r="G149" s="539"/>
      <c r="H149" s="539"/>
      <c r="I149" s="539"/>
      <c r="J149" s="539"/>
      <c r="K149" s="523"/>
      <c r="L149" s="523"/>
      <c r="M149" s="524"/>
    </row>
    <row r="150" spans="1:13" x14ac:dyDescent="0.25">
      <c r="A150" s="525"/>
      <c r="B150" s="539"/>
      <c r="C150" s="539"/>
      <c r="D150" s="539"/>
      <c r="E150" s="539"/>
      <c r="F150" s="539"/>
      <c r="G150" s="539"/>
      <c r="H150" s="539"/>
      <c r="I150" s="539"/>
      <c r="J150" s="539"/>
      <c r="K150" s="523"/>
      <c r="L150" s="523"/>
      <c r="M150" s="524"/>
    </row>
    <row r="151" spans="1:13" x14ac:dyDescent="0.25">
      <c r="A151" s="525"/>
      <c r="B151" s="539"/>
      <c r="C151" s="539"/>
      <c r="D151" s="539"/>
      <c r="E151" s="539"/>
      <c r="F151" s="539"/>
      <c r="G151" s="539"/>
      <c r="H151" s="539"/>
      <c r="I151" s="539"/>
      <c r="J151" s="539"/>
      <c r="K151" s="523"/>
      <c r="L151" s="523"/>
      <c r="M151" s="524"/>
    </row>
    <row r="152" spans="1:13" ht="18" x14ac:dyDescent="0.25">
      <c r="A152" s="525"/>
      <c r="B152" s="523" t="s">
        <v>387</v>
      </c>
      <c r="C152" s="539">
        <f>C123</f>
        <v>-2.851993646157199E-7</v>
      </c>
      <c r="D152" s="539" t="str">
        <f>D123</f>
        <v>C/h</v>
      </c>
      <c r="E152" s="539"/>
      <c r="F152" s="539"/>
      <c r="G152" s="539"/>
      <c r="H152" s="539"/>
      <c r="I152" s="539"/>
      <c r="J152" s="539"/>
      <c r="K152" s="523"/>
      <c r="L152" s="523"/>
      <c r="M152" s="524"/>
    </row>
    <row r="153" spans="1:13" ht="15.75" thickBot="1" x14ac:dyDescent="0.3">
      <c r="A153" s="529"/>
      <c r="B153" s="540"/>
      <c r="C153" s="540"/>
      <c r="D153" s="540"/>
      <c r="E153" s="540"/>
      <c r="F153" s="540"/>
      <c r="G153" s="540"/>
      <c r="H153" s="540"/>
      <c r="I153" s="540"/>
      <c r="J153" s="540"/>
      <c r="K153" s="530"/>
      <c r="L153" s="530"/>
      <c r="M153" s="531"/>
    </row>
    <row r="154" spans="1:13" x14ac:dyDescent="0.25">
      <c r="A154" s="519"/>
      <c r="B154" s="541"/>
      <c r="C154" s="541"/>
      <c r="D154" s="541"/>
      <c r="E154" s="541"/>
      <c r="F154" s="541"/>
      <c r="G154" s="541"/>
      <c r="H154" s="541"/>
      <c r="I154" s="541"/>
      <c r="J154" s="541"/>
      <c r="K154" s="520"/>
      <c r="L154" s="520"/>
      <c r="M154" s="521"/>
    </row>
    <row r="155" spans="1:13" x14ac:dyDescent="0.25">
      <c r="A155" s="522" t="s">
        <v>479</v>
      </c>
      <c r="B155" s="523"/>
      <c r="C155" s="523"/>
      <c r="D155" s="523"/>
      <c r="E155" s="523"/>
      <c r="F155" s="523"/>
      <c r="G155" s="523"/>
      <c r="H155" s="523"/>
      <c r="I155" s="523"/>
      <c r="J155" s="523"/>
      <c r="K155" s="523"/>
      <c r="L155" s="523"/>
      <c r="M155" s="524"/>
    </row>
    <row r="156" spans="1:13" x14ac:dyDescent="0.25">
      <c r="A156" s="522"/>
      <c r="B156" s="523"/>
      <c r="C156" s="523"/>
      <c r="D156" s="523"/>
      <c r="E156" s="523"/>
      <c r="F156" s="523"/>
      <c r="G156" s="523"/>
      <c r="H156" s="523"/>
      <c r="I156" s="523"/>
      <c r="J156" s="523"/>
      <c r="K156" s="523"/>
      <c r="L156" s="523"/>
      <c r="M156" s="524"/>
    </row>
    <row r="157" spans="1:13" x14ac:dyDescent="0.25">
      <c r="A157" s="522" t="s">
        <v>480</v>
      </c>
      <c r="B157" s="523"/>
      <c r="C157" s="523"/>
      <c r="D157" s="523"/>
      <c r="E157" s="523"/>
      <c r="F157" s="523"/>
      <c r="G157" s="523"/>
      <c r="H157" s="523"/>
      <c r="I157" s="523"/>
      <c r="J157" s="523"/>
      <c r="K157" s="523"/>
      <c r="L157" s="523"/>
      <c r="M157" s="524"/>
    </row>
    <row r="158" spans="1:13" x14ac:dyDescent="0.25">
      <c r="A158" s="525"/>
      <c r="B158" s="523"/>
      <c r="C158" s="523"/>
      <c r="D158" s="523"/>
      <c r="E158" s="523"/>
      <c r="F158" s="523"/>
      <c r="G158" s="523"/>
      <c r="H158" s="523"/>
      <c r="I158" s="523"/>
      <c r="J158" s="523"/>
      <c r="K158" s="523"/>
      <c r="L158" s="523"/>
      <c r="M158" s="524"/>
    </row>
    <row r="159" spans="1:13" x14ac:dyDescent="0.25">
      <c r="A159" s="525"/>
      <c r="B159" s="523" t="s">
        <v>464</v>
      </c>
      <c r="C159" s="354" t="s">
        <v>984</v>
      </c>
      <c r="D159" s="523"/>
      <c r="E159" s="523"/>
      <c r="F159" s="523"/>
      <c r="G159" s="523"/>
      <c r="H159" s="523"/>
      <c r="I159" s="523"/>
      <c r="J159" s="523"/>
      <c r="K159" s="523"/>
      <c r="L159" s="523"/>
      <c r="M159" s="524"/>
    </row>
    <row r="160" spans="1:13" x14ac:dyDescent="0.25">
      <c r="A160" s="525"/>
      <c r="B160" s="523"/>
      <c r="C160" s="523"/>
      <c r="D160" s="523"/>
      <c r="E160" s="523"/>
      <c r="F160" s="523"/>
      <c r="G160" s="523"/>
      <c r="H160" s="523"/>
      <c r="I160" s="523"/>
      <c r="J160" s="523"/>
      <c r="K160" s="523"/>
      <c r="L160" s="523"/>
      <c r="M160" s="524"/>
    </row>
    <row r="161" spans="1:13" x14ac:dyDescent="0.25">
      <c r="A161" s="525"/>
      <c r="B161" s="523" t="s">
        <v>464</v>
      </c>
      <c r="C161" s="527">
        <f>'F-LSCD-002 (Dosimetría)'!D43*'F-LSCD-002 (Dosimetría)'!E43</f>
        <v>2.8027999999999998E-3</v>
      </c>
      <c r="D161" s="523"/>
      <c r="E161" s="523"/>
      <c r="F161" s="523"/>
      <c r="G161" s="523"/>
      <c r="H161" s="523"/>
      <c r="I161" s="523"/>
      <c r="J161" s="523"/>
      <c r="K161" s="523"/>
      <c r="L161" s="523"/>
      <c r="M161" s="524"/>
    </row>
    <row r="162" spans="1:13" x14ac:dyDescent="0.25">
      <c r="A162" s="525"/>
      <c r="B162" s="523"/>
      <c r="C162" s="523"/>
      <c r="D162" s="523"/>
      <c r="E162" s="523"/>
      <c r="F162" s="523"/>
      <c r="G162" s="523"/>
      <c r="H162" s="523"/>
      <c r="I162" s="523"/>
      <c r="J162" s="523"/>
      <c r="K162" s="523"/>
      <c r="L162" s="523"/>
      <c r="M162" s="524"/>
    </row>
    <row r="163" spans="1:13" x14ac:dyDescent="0.25">
      <c r="A163" s="525"/>
      <c r="B163" s="526" t="s">
        <v>397</v>
      </c>
      <c r="C163" s="523"/>
      <c r="D163" s="523"/>
      <c r="E163" s="523"/>
      <c r="F163" s="523"/>
      <c r="G163" s="523"/>
      <c r="H163" s="523"/>
      <c r="I163" s="523"/>
      <c r="J163" s="523"/>
      <c r="K163" s="523"/>
      <c r="L163" s="523"/>
      <c r="M163" s="524"/>
    </row>
    <row r="164" spans="1:13" x14ac:dyDescent="0.25">
      <c r="A164" s="525"/>
      <c r="B164" s="526" t="s">
        <v>600</v>
      </c>
      <c r="C164" s="523"/>
      <c r="D164" s="523"/>
      <c r="E164" s="523"/>
      <c r="F164" s="523"/>
      <c r="G164" s="523"/>
      <c r="H164" s="523"/>
      <c r="I164" s="523"/>
      <c r="J164" s="523"/>
      <c r="K164" s="523"/>
      <c r="L164" s="523"/>
      <c r="M164" s="524"/>
    </row>
    <row r="165" spans="1:13" x14ac:dyDescent="0.25">
      <c r="A165" s="525"/>
      <c r="B165" s="526"/>
      <c r="C165" s="523"/>
      <c r="D165" s="523"/>
      <c r="E165" s="523"/>
      <c r="F165" s="523"/>
      <c r="G165" s="523"/>
      <c r="H165" s="523"/>
      <c r="I165" s="523"/>
      <c r="J165" s="523"/>
      <c r="K165" s="523"/>
      <c r="L165" s="523"/>
      <c r="M165" s="524"/>
    </row>
    <row r="166" spans="1:13" x14ac:dyDescent="0.25">
      <c r="A166" s="522" t="s">
        <v>488</v>
      </c>
      <c r="B166" s="539"/>
      <c r="C166" s="539"/>
      <c r="D166" s="539"/>
      <c r="E166" s="539"/>
      <c r="F166" s="539"/>
      <c r="G166" s="539"/>
      <c r="H166" s="539"/>
      <c r="I166" s="539"/>
      <c r="J166" s="539"/>
      <c r="K166" s="523"/>
      <c r="L166" s="523"/>
      <c r="M166" s="524"/>
    </row>
    <row r="167" spans="1:13" x14ac:dyDescent="0.25">
      <c r="A167" s="525"/>
      <c r="B167" s="526"/>
      <c r="C167" s="523"/>
      <c r="D167" s="523"/>
      <c r="E167" s="523"/>
      <c r="F167" s="523"/>
      <c r="G167" s="523"/>
      <c r="H167" s="523"/>
      <c r="I167" s="523"/>
      <c r="J167" s="523"/>
      <c r="K167" s="523"/>
      <c r="L167" s="523"/>
      <c r="M167" s="542"/>
    </row>
    <row r="168" spans="1:13" x14ac:dyDescent="0.25">
      <c r="A168" s="525"/>
      <c r="B168" s="528"/>
      <c r="C168" s="528"/>
      <c r="D168" s="523"/>
      <c r="E168" s="523"/>
      <c r="F168" s="523"/>
      <c r="G168" s="523"/>
      <c r="H168" s="523"/>
      <c r="I168" s="523"/>
      <c r="J168" s="523"/>
      <c r="K168" s="523"/>
      <c r="L168" s="523"/>
      <c r="M168" s="524"/>
    </row>
    <row r="169" spans="1:13" x14ac:dyDescent="0.25">
      <c r="A169" s="525"/>
      <c r="B169" s="526"/>
      <c r="C169" s="523"/>
      <c r="D169" s="523"/>
      <c r="E169" s="523"/>
      <c r="F169" s="523"/>
      <c r="G169" s="523"/>
      <c r="H169" s="523"/>
      <c r="I169" s="523"/>
      <c r="J169" s="523"/>
      <c r="K169" s="523"/>
      <c r="L169" s="523"/>
      <c r="M169" s="524"/>
    </row>
    <row r="170" spans="1:13" x14ac:dyDescent="0.25">
      <c r="A170" s="525"/>
      <c r="B170" s="526"/>
      <c r="C170" s="523"/>
      <c r="D170" s="523"/>
      <c r="E170" s="523"/>
      <c r="F170" s="523"/>
      <c r="G170" s="523"/>
      <c r="H170" s="523"/>
      <c r="I170" s="523"/>
      <c r="J170" s="523"/>
      <c r="K170" s="523"/>
      <c r="L170" s="523"/>
      <c r="M170" s="524"/>
    </row>
    <row r="171" spans="1:13" x14ac:dyDescent="0.25">
      <c r="A171" s="525"/>
      <c r="B171" s="526"/>
      <c r="C171" s="523"/>
      <c r="D171" s="523"/>
      <c r="E171" s="523"/>
      <c r="F171" s="523"/>
      <c r="G171" s="523"/>
      <c r="H171" s="523"/>
      <c r="I171" s="523"/>
      <c r="J171" s="523"/>
      <c r="K171" s="523"/>
      <c r="L171" s="523"/>
      <c r="M171" s="524"/>
    </row>
    <row r="172" spans="1:13" ht="18" x14ac:dyDescent="0.25">
      <c r="A172" s="525"/>
      <c r="B172" s="523" t="s">
        <v>390</v>
      </c>
      <c r="C172" s="527">
        <f>(C87/C88)*((273.2+C92)*C89/((273.2+C91)*C90))*C84*C86*3600</f>
        <v>-7.1798441441719716E-3</v>
      </c>
      <c r="D172" s="526" t="s">
        <v>8</v>
      </c>
      <c r="E172" s="523"/>
      <c r="F172" s="523"/>
      <c r="G172" s="523"/>
      <c r="H172" s="523"/>
      <c r="I172" s="523"/>
      <c r="J172" s="523"/>
      <c r="K172" s="523"/>
      <c r="L172" s="523"/>
      <c r="M172" s="524"/>
    </row>
    <row r="173" spans="1:13" ht="15.75" thickBot="1" x14ac:dyDescent="0.3">
      <c r="A173" s="529"/>
      <c r="B173" s="54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1"/>
    </row>
    <row r="174" spans="1:13" x14ac:dyDescent="0.25">
      <c r="A174" s="519"/>
      <c r="B174" s="544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1"/>
    </row>
    <row r="175" spans="1:13" x14ac:dyDescent="0.25">
      <c r="A175" s="522" t="s">
        <v>481</v>
      </c>
      <c r="B175" s="523"/>
      <c r="C175" s="523"/>
      <c r="D175" s="523"/>
      <c r="E175" s="523"/>
      <c r="F175" s="523"/>
      <c r="G175" s="523"/>
      <c r="H175" s="523"/>
      <c r="I175" s="523"/>
      <c r="J175" s="523"/>
      <c r="K175" s="523"/>
      <c r="L175" s="523"/>
      <c r="M175" s="524"/>
    </row>
    <row r="176" spans="1:13" x14ac:dyDescent="0.25">
      <c r="A176" s="525"/>
      <c r="B176" s="523"/>
      <c r="C176" s="523"/>
      <c r="D176" s="523"/>
      <c r="E176" s="523"/>
      <c r="F176" s="523"/>
      <c r="G176" s="523"/>
      <c r="H176" s="523"/>
      <c r="I176" s="523"/>
      <c r="J176" s="523"/>
      <c r="K176" s="523"/>
      <c r="L176" s="523"/>
      <c r="M176" s="524"/>
    </row>
    <row r="177" spans="1:13" x14ac:dyDescent="0.25">
      <c r="A177" s="522" t="s">
        <v>482</v>
      </c>
      <c r="B177" s="523"/>
      <c r="C177" s="523"/>
      <c r="D177" s="523"/>
      <c r="E177" s="523"/>
      <c r="F177" s="523"/>
      <c r="G177" s="523"/>
      <c r="H177" s="523"/>
      <c r="I177" s="523"/>
      <c r="J177" s="523"/>
      <c r="K177" s="523"/>
      <c r="L177" s="523"/>
      <c r="M177" s="524"/>
    </row>
    <row r="178" spans="1:13" x14ac:dyDescent="0.25">
      <c r="A178" s="522"/>
      <c r="B178" s="523"/>
      <c r="C178" s="523"/>
      <c r="D178" s="523"/>
      <c r="E178" s="523"/>
      <c r="F178" s="523"/>
      <c r="G178" s="523"/>
      <c r="H178" s="523"/>
      <c r="I178" s="523"/>
      <c r="J178" s="523"/>
      <c r="K178" s="523"/>
      <c r="L178" s="523"/>
      <c r="M178" s="524"/>
    </row>
    <row r="179" spans="1:13" x14ac:dyDescent="0.25">
      <c r="A179" s="525"/>
      <c r="B179" s="523" t="s">
        <v>464</v>
      </c>
      <c r="C179" s="526" t="s">
        <v>399</v>
      </c>
      <c r="D179" s="523"/>
      <c r="E179" s="523"/>
      <c r="F179" s="523"/>
      <c r="G179" s="523"/>
      <c r="H179" s="523"/>
      <c r="I179" s="523"/>
      <c r="J179" s="523"/>
      <c r="K179" s="523"/>
      <c r="L179" s="523"/>
      <c r="M179" s="524"/>
    </row>
    <row r="180" spans="1:13" x14ac:dyDescent="0.25">
      <c r="A180" s="525"/>
      <c r="B180" s="523"/>
      <c r="C180" s="523"/>
      <c r="D180" s="523"/>
      <c r="E180" s="523"/>
      <c r="F180" s="523"/>
      <c r="G180" s="523"/>
      <c r="H180" s="523"/>
      <c r="I180" s="523"/>
      <c r="J180" s="523"/>
      <c r="K180" s="523"/>
      <c r="L180" s="523"/>
      <c r="M180" s="524"/>
    </row>
    <row r="181" spans="1:13" x14ac:dyDescent="0.25">
      <c r="A181" s="525"/>
      <c r="B181" s="523" t="s">
        <v>464</v>
      </c>
      <c r="C181" s="527">
        <f>'F-LSCD-002 (Dosimetría)'!H42/2</f>
        <v>4.9999999999999999E-13</v>
      </c>
      <c r="D181" s="526" t="s">
        <v>368</v>
      </c>
      <c r="E181" s="523"/>
      <c r="F181" s="523"/>
      <c r="G181" s="523"/>
      <c r="H181" s="523"/>
      <c r="I181" s="523"/>
      <c r="J181" s="523"/>
      <c r="K181" s="523"/>
      <c r="L181" s="523"/>
      <c r="M181" s="524"/>
    </row>
    <row r="182" spans="1:13" x14ac:dyDescent="0.25">
      <c r="A182" s="525"/>
      <c r="B182" s="523"/>
      <c r="C182" s="527"/>
      <c r="D182" s="523"/>
      <c r="E182" s="523"/>
      <c r="F182" s="523"/>
      <c r="G182" s="523"/>
      <c r="H182" s="523"/>
      <c r="I182" s="523"/>
      <c r="J182" s="523"/>
      <c r="K182" s="523"/>
      <c r="L182" s="523"/>
      <c r="M182" s="524"/>
    </row>
    <row r="183" spans="1:13" x14ac:dyDescent="0.25">
      <c r="A183" s="522" t="s">
        <v>486</v>
      </c>
      <c r="B183" s="523"/>
      <c r="C183" s="527"/>
      <c r="D183" s="523"/>
      <c r="E183" s="523"/>
      <c r="F183" s="523"/>
      <c r="G183" s="523"/>
      <c r="H183" s="523"/>
      <c r="I183" s="523"/>
      <c r="J183" s="523"/>
      <c r="K183" s="523"/>
      <c r="L183" s="523"/>
      <c r="M183" s="524"/>
    </row>
    <row r="184" spans="1:13" x14ac:dyDescent="0.25">
      <c r="A184" s="525"/>
      <c r="B184" s="526"/>
      <c r="C184" s="523"/>
      <c r="D184" s="527"/>
      <c r="E184" s="523"/>
      <c r="F184" s="523"/>
      <c r="G184" s="523"/>
      <c r="H184" s="523"/>
      <c r="I184" s="523"/>
      <c r="J184" s="523"/>
      <c r="K184" s="523"/>
      <c r="L184" s="523"/>
      <c r="M184" s="524"/>
    </row>
    <row r="185" spans="1:13" x14ac:dyDescent="0.25">
      <c r="A185" s="525"/>
      <c r="B185" s="528"/>
      <c r="C185" s="528"/>
      <c r="D185" s="527"/>
      <c r="E185" s="523"/>
      <c r="F185" s="523"/>
      <c r="G185" s="523"/>
      <c r="H185" s="523"/>
      <c r="I185" s="523"/>
      <c r="J185" s="523"/>
      <c r="K185" s="523"/>
      <c r="L185" s="523"/>
      <c r="M185" s="524"/>
    </row>
    <row r="186" spans="1:13" x14ac:dyDescent="0.25">
      <c r="A186" s="525"/>
      <c r="B186" s="526"/>
      <c r="C186" s="523"/>
      <c r="D186" s="527"/>
      <c r="E186" s="523"/>
      <c r="F186" s="523"/>
      <c r="G186" s="523"/>
      <c r="H186" s="523"/>
      <c r="I186" s="523"/>
      <c r="J186" s="523"/>
      <c r="K186" s="523"/>
      <c r="L186" s="523"/>
      <c r="M186" s="524"/>
    </row>
    <row r="187" spans="1:13" x14ac:dyDescent="0.25">
      <c r="A187" s="525"/>
      <c r="B187" s="526"/>
      <c r="C187" s="523"/>
      <c r="D187" s="523"/>
      <c r="E187" s="523"/>
      <c r="F187" s="523"/>
      <c r="G187" s="523"/>
      <c r="H187" s="523"/>
      <c r="I187" s="523"/>
      <c r="J187" s="523"/>
      <c r="K187" s="523"/>
      <c r="L187" s="523"/>
      <c r="M187" s="524"/>
    </row>
    <row r="188" spans="1:13" x14ac:dyDescent="0.25">
      <c r="A188" s="525"/>
      <c r="B188" s="526"/>
      <c r="C188" s="523"/>
      <c r="D188" s="523"/>
      <c r="E188" s="523"/>
      <c r="F188" s="523"/>
      <c r="G188" s="523"/>
      <c r="H188" s="523"/>
      <c r="I188" s="523"/>
      <c r="J188" s="523"/>
      <c r="K188" s="523"/>
      <c r="L188" s="523"/>
      <c r="M188" s="524"/>
    </row>
    <row r="189" spans="1:13" ht="18" x14ac:dyDescent="0.25">
      <c r="A189" s="525"/>
      <c r="B189" s="545" t="s">
        <v>631</v>
      </c>
      <c r="C189" s="527">
        <f>(1/C88)*((273.2+C92)*C89/((273.2+C91)*C90))*C84*C85*C86*3600</f>
        <v>1509175.2194717457</v>
      </c>
      <c r="D189" s="526" t="s">
        <v>392</v>
      </c>
      <c r="E189" s="523"/>
      <c r="F189" s="523"/>
      <c r="G189" s="523"/>
      <c r="H189" s="523"/>
      <c r="I189" s="523"/>
      <c r="J189" s="523"/>
      <c r="K189" s="523"/>
      <c r="L189" s="523"/>
      <c r="M189" s="524"/>
    </row>
    <row r="190" spans="1:13" ht="15.75" thickBot="1" x14ac:dyDescent="0.3">
      <c r="A190" s="529"/>
      <c r="B190" s="530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1"/>
    </row>
    <row r="191" spans="1:13" x14ac:dyDescent="0.25">
      <c r="A191" s="519"/>
      <c r="B191" s="520"/>
      <c r="C191" s="546"/>
      <c r="D191" s="520"/>
      <c r="E191" s="520"/>
      <c r="F191" s="520"/>
      <c r="G191" s="520"/>
      <c r="H191" s="520"/>
      <c r="I191" s="520"/>
      <c r="J191" s="520"/>
      <c r="K191" s="520"/>
      <c r="L191" s="520"/>
      <c r="M191" s="521"/>
    </row>
    <row r="192" spans="1:13" x14ac:dyDescent="0.25">
      <c r="A192" s="522" t="s">
        <v>484</v>
      </c>
      <c r="B192" s="523"/>
      <c r="C192" s="523"/>
      <c r="D192" s="523"/>
      <c r="E192" s="523"/>
      <c r="F192" s="523"/>
      <c r="G192" s="523"/>
      <c r="H192" s="523"/>
      <c r="I192" s="523"/>
      <c r="J192" s="523"/>
      <c r="K192" s="523"/>
      <c r="L192" s="523"/>
      <c r="M192" s="524"/>
    </row>
    <row r="193" spans="1:13" x14ac:dyDescent="0.25">
      <c r="A193" s="522"/>
      <c r="B193" s="523"/>
      <c r="C193" s="523"/>
      <c r="D193" s="523"/>
      <c r="E193" s="523"/>
      <c r="F193" s="523"/>
      <c r="G193" s="523"/>
      <c r="H193" s="523"/>
      <c r="I193" s="523"/>
      <c r="J193" s="523"/>
      <c r="K193" s="523"/>
      <c r="L193" s="523"/>
      <c r="M193" s="524"/>
    </row>
    <row r="194" spans="1:13" x14ac:dyDescent="0.25">
      <c r="A194" s="522" t="s">
        <v>485</v>
      </c>
      <c r="B194" s="523"/>
      <c r="C194" s="523"/>
      <c r="D194" s="523"/>
      <c r="E194" s="523"/>
      <c r="F194" s="523"/>
      <c r="G194" s="523"/>
      <c r="H194" s="523"/>
      <c r="I194" s="523"/>
      <c r="J194" s="523"/>
      <c r="K194" s="523"/>
      <c r="L194" s="523"/>
      <c r="M194" s="524"/>
    </row>
    <row r="195" spans="1:13" x14ac:dyDescent="0.25">
      <c r="A195" s="525"/>
      <c r="B195" s="523"/>
      <c r="C195" s="523"/>
      <c r="D195" s="523"/>
      <c r="E195" s="523"/>
      <c r="F195" s="523"/>
      <c r="G195" s="523"/>
      <c r="H195" s="523"/>
      <c r="I195" s="523"/>
      <c r="J195" s="523"/>
      <c r="K195" s="523"/>
      <c r="L195" s="523"/>
      <c r="M195" s="524"/>
    </row>
    <row r="196" spans="1:13" x14ac:dyDescent="0.25">
      <c r="A196" s="525"/>
      <c r="B196" s="523" t="s">
        <v>464</v>
      </c>
      <c r="C196" s="526" t="s">
        <v>459</v>
      </c>
      <c r="D196" s="523"/>
      <c r="E196" s="523"/>
      <c r="F196" s="523"/>
      <c r="G196" s="523"/>
      <c r="H196" s="523"/>
      <c r="I196" s="523"/>
      <c r="J196" s="523"/>
      <c r="K196" s="523"/>
      <c r="L196" s="523"/>
      <c r="M196" s="524"/>
    </row>
    <row r="197" spans="1:13" x14ac:dyDescent="0.25">
      <c r="A197" s="525"/>
      <c r="B197" s="523"/>
      <c r="C197" s="523"/>
      <c r="D197" s="523"/>
      <c r="E197" s="523"/>
      <c r="F197" s="523"/>
      <c r="G197" s="523"/>
      <c r="H197" s="523"/>
      <c r="I197" s="523"/>
      <c r="J197" s="523"/>
      <c r="K197" s="523"/>
      <c r="L197" s="523"/>
      <c r="M197" s="524"/>
    </row>
    <row r="198" spans="1:13" x14ac:dyDescent="0.25">
      <c r="A198" s="525"/>
      <c r="B198" s="523" t="s">
        <v>464</v>
      </c>
      <c r="C198" s="527">
        <f>'F-LSCD-002 (homogeneidad C.I.)'!AH69/2*C93</f>
        <v>4.9434899230380302E-6</v>
      </c>
      <c r="D198" s="526" t="s">
        <v>8</v>
      </c>
      <c r="E198" s="523"/>
      <c r="F198" s="523"/>
      <c r="G198" s="523"/>
      <c r="H198" s="523"/>
      <c r="I198" s="523"/>
      <c r="J198" s="523"/>
      <c r="K198" s="523"/>
      <c r="L198" s="523"/>
      <c r="M198" s="524"/>
    </row>
    <row r="199" spans="1:13" x14ac:dyDescent="0.25">
      <c r="A199" s="525"/>
      <c r="B199" s="523"/>
      <c r="C199" s="523"/>
      <c r="D199" s="523"/>
      <c r="E199" s="523"/>
      <c r="F199" s="523"/>
      <c r="G199" s="523"/>
      <c r="H199" s="523"/>
      <c r="I199" s="523"/>
      <c r="J199" s="523"/>
      <c r="K199" s="523"/>
      <c r="L199" s="523"/>
      <c r="M199" s="524"/>
    </row>
    <row r="200" spans="1:13" x14ac:dyDescent="0.25">
      <c r="A200" s="525"/>
      <c r="B200" s="526" t="s">
        <v>397</v>
      </c>
      <c r="C200" s="523"/>
      <c r="D200" s="523"/>
      <c r="E200" s="523"/>
      <c r="F200" s="523"/>
      <c r="G200" s="523"/>
      <c r="H200" s="523"/>
      <c r="I200" s="523"/>
      <c r="J200" s="523"/>
      <c r="K200" s="523"/>
      <c r="L200" s="523"/>
      <c r="M200" s="524"/>
    </row>
    <row r="201" spans="1:13" x14ac:dyDescent="0.25">
      <c r="A201" s="525"/>
      <c r="B201" s="526" t="s">
        <v>416</v>
      </c>
      <c r="C201" s="523"/>
      <c r="D201" s="523"/>
      <c r="E201" s="523"/>
      <c r="F201" s="523"/>
      <c r="G201" s="523"/>
      <c r="H201" s="523"/>
      <c r="I201" s="523"/>
      <c r="J201" s="523"/>
      <c r="K201" s="523"/>
      <c r="L201" s="523"/>
      <c r="M201" s="524"/>
    </row>
    <row r="202" spans="1:13" x14ac:dyDescent="0.25">
      <c r="A202" s="525"/>
      <c r="B202" s="526"/>
      <c r="C202" s="523"/>
      <c r="D202" s="523"/>
      <c r="E202" s="523"/>
      <c r="F202" s="523"/>
      <c r="G202" s="523"/>
      <c r="H202" s="523"/>
      <c r="I202" s="523"/>
      <c r="J202" s="523"/>
      <c r="K202" s="523"/>
      <c r="L202" s="523"/>
      <c r="M202" s="524"/>
    </row>
    <row r="203" spans="1:13" x14ac:dyDescent="0.25">
      <c r="A203" s="522" t="s">
        <v>487</v>
      </c>
      <c r="B203" s="523"/>
      <c r="C203" s="527"/>
      <c r="D203" s="523"/>
      <c r="E203" s="523"/>
      <c r="F203" s="523"/>
      <c r="G203" s="523"/>
      <c r="H203" s="523"/>
      <c r="I203" s="523"/>
      <c r="J203" s="523"/>
      <c r="K203" s="523"/>
      <c r="L203" s="523"/>
      <c r="M203" s="524"/>
    </row>
    <row r="204" spans="1:13" x14ac:dyDescent="0.25">
      <c r="A204" s="525"/>
      <c r="B204" s="526"/>
      <c r="C204" s="523"/>
      <c r="D204" s="523"/>
      <c r="E204" s="523"/>
      <c r="F204" s="523"/>
      <c r="G204" s="523"/>
      <c r="H204" s="523"/>
      <c r="I204" s="523"/>
      <c r="J204" s="523"/>
      <c r="K204" s="523"/>
      <c r="L204" s="523"/>
      <c r="M204" s="524"/>
    </row>
    <row r="205" spans="1:13" x14ac:dyDescent="0.25">
      <c r="A205" s="525"/>
      <c r="B205" s="528"/>
      <c r="C205" s="523"/>
      <c r="D205" s="523"/>
      <c r="E205" s="523"/>
      <c r="F205" s="523"/>
      <c r="G205" s="523"/>
      <c r="H205" s="523"/>
      <c r="I205" s="523"/>
      <c r="J205" s="523"/>
      <c r="K205" s="523"/>
      <c r="L205" s="523"/>
      <c r="M205" s="524"/>
    </row>
    <row r="206" spans="1:13" x14ac:dyDescent="0.25">
      <c r="A206" s="525"/>
      <c r="B206" s="526"/>
      <c r="C206" s="523"/>
      <c r="D206" s="523"/>
      <c r="E206" s="523"/>
      <c r="F206" s="523"/>
      <c r="G206" s="523"/>
      <c r="H206" s="523"/>
      <c r="I206" s="523"/>
      <c r="J206" s="523"/>
      <c r="K206" s="523"/>
      <c r="L206" s="523"/>
      <c r="M206" s="524"/>
    </row>
    <row r="207" spans="1:13" x14ac:dyDescent="0.25">
      <c r="A207" s="525"/>
      <c r="B207" s="526"/>
      <c r="C207" s="523"/>
      <c r="D207" s="523"/>
      <c r="E207" s="523"/>
      <c r="F207" s="523"/>
      <c r="G207" s="523"/>
      <c r="H207" s="523"/>
      <c r="I207" s="523"/>
      <c r="J207" s="523"/>
      <c r="K207" s="523"/>
      <c r="L207" s="523"/>
      <c r="M207" s="524"/>
    </row>
    <row r="208" spans="1:13" ht="18" x14ac:dyDescent="0.25">
      <c r="A208" s="525"/>
      <c r="B208" s="523" t="s">
        <v>489</v>
      </c>
      <c r="C208" s="523">
        <v>1</v>
      </c>
      <c r="D208" s="523"/>
      <c r="E208" s="523"/>
      <c r="F208" s="523"/>
      <c r="G208" s="523"/>
      <c r="H208" s="523"/>
      <c r="I208" s="523"/>
      <c r="J208" s="523"/>
      <c r="K208" s="523"/>
      <c r="L208" s="523"/>
      <c r="M208" s="524"/>
    </row>
    <row r="209" spans="1:13" ht="15.75" thickBot="1" x14ac:dyDescent="0.3">
      <c r="A209" s="529"/>
      <c r="B209" s="530"/>
      <c r="C209" s="530"/>
      <c r="D209" s="530"/>
      <c r="E209" s="530"/>
      <c r="F209" s="530"/>
      <c r="G209" s="530"/>
      <c r="H209" s="530"/>
      <c r="I209" s="530"/>
      <c r="J209" s="530"/>
      <c r="K209" s="530"/>
      <c r="L209" s="530"/>
      <c r="M209" s="531"/>
    </row>
    <row r="210" spans="1:13" x14ac:dyDescent="0.25">
      <c r="A210" s="519"/>
      <c r="B210" s="520"/>
      <c r="C210" s="520"/>
      <c r="D210" s="520"/>
      <c r="E210" s="520"/>
      <c r="F210" s="520"/>
      <c r="G210" s="520"/>
      <c r="H210" s="520"/>
      <c r="I210" s="520"/>
      <c r="J210" s="520"/>
      <c r="K210" s="520"/>
      <c r="L210" s="520"/>
      <c r="M210" s="521"/>
    </row>
    <row r="211" spans="1:13" x14ac:dyDescent="0.25">
      <c r="A211" s="522" t="s">
        <v>490</v>
      </c>
      <c r="B211" s="523"/>
      <c r="C211" s="523"/>
      <c r="D211" s="523"/>
      <c r="E211" s="523"/>
      <c r="F211" s="523"/>
      <c r="G211" s="523"/>
      <c r="H211" s="523"/>
      <c r="I211" s="523"/>
      <c r="J211" s="523"/>
      <c r="K211" s="523"/>
      <c r="L211" s="523"/>
      <c r="M211" s="524"/>
    </row>
    <row r="212" spans="1:13" x14ac:dyDescent="0.25">
      <c r="A212" s="525"/>
      <c r="B212" s="523"/>
      <c r="C212" s="523"/>
      <c r="D212" s="523"/>
      <c r="E212" s="523"/>
      <c r="F212" s="523"/>
      <c r="G212" s="523"/>
      <c r="H212" s="523"/>
      <c r="I212" s="523"/>
      <c r="J212" s="523"/>
      <c r="K212" s="523"/>
      <c r="L212" s="523"/>
      <c r="M212" s="524"/>
    </row>
    <row r="213" spans="1:13" x14ac:dyDescent="0.25">
      <c r="A213" s="522" t="s">
        <v>494</v>
      </c>
      <c r="B213" s="523"/>
      <c r="C213" s="523"/>
      <c r="D213" s="523"/>
      <c r="E213" s="523"/>
      <c r="F213" s="523"/>
      <c r="G213" s="523"/>
      <c r="H213" s="523"/>
      <c r="I213" s="523"/>
      <c r="J213" s="523"/>
      <c r="K213" s="523"/>
      <c r="L213" s="523"/>
      <c r="M213" s="524"/>
    </row>
    <row r="214" spans="1:13" x14ac:dyDescent="0.25">
      <c r="A214" s="525"/>
      <c r="B214" s="523"/>
      <c r="C214" s="523"/>
      <c r="D214" s="523"/>
      <c r="E214" s="523"/>
      <c r="F214" s="523"/>
      <c r="G214" s="523"/>
      <c r="H214" s="523"/>
      <c r="I214" s="523"/>
      <c r="J214" s="523"/>
      <c r="K214" s="523"/>
      <c r="L214" s="523"/>
      <c r="M214" s="524"/>
    </row>
    <row r="215" spans="1:13" x14ac:dyDescent="0.25">
      <c r="A215" s="525"/>
      <c r="B215" s="523" t="s">
        <v>464</v>
      </c>
      <c r="C215" s="526" t="s">
        <v>491</v>
      </c>
      <c r="D215" s="523"/>
      <c r="E215" s="523"/>
      <c r="F215" s="523"/>
      <c r="G215" s="523"/>
      <c r="H215" s="523"/>
      <c r="I215" s="523"/>
      <c r="J215" s="523"/>
      <c r="K215" s="523"/>
      <c r="L215" s="523"/>
      <c r="M215" s="524"/>
    </row>
    <row r="216" spans="1:13" x14ac:dyDescent="0.25">
      <c r="A216" s="525"/>
      <c r="B216" s="523"/>
      <c r="C216" s="526"/>
      <c r="D216" s="523"/>
      <c r="E216" s="523"/>
      <c r="F216" s="523"/>
      <c r="G216" s="523"/>
      <c r="H216" s="523"/>
      <c r="I216" s="523"/>
      <c r="J216" s="523"/>
      <c r="K216" s="523"/>
      <c r="L216" s="523"/>
      <c r="M216" s="524"/>
    </row>
    <row r="217" spans="1:13" x14ac:dyDescent="0.25">
      <c r="A217" s="525"/>
      <c r="B217" s="523" t="s">
        <v>493</v>
      </c>
      <c r="C217" s="523">
        <v>10</v>
      </c>
      <c r="D217" s="523"/>
      <c r="E217" s="523"/>
      <c r="F217" s="523"/>
      <c r="G217" s="523"/>
      <c r="H217" s="523"/>
      <c r="I217" s="523"/>
      <c r="J217" s="523"/>
      <c r="K217" s="523"/>
      <c r="L217" s="523"/>
      <c r="M217" s="524"/>
    </row>
    <row r="218" spans="1:13" x14ac:dyDescent="0.25">
      <c r="A218" s="525"/>
      <c r="B218" s="523"/>
      <c r="C218" s="523"/>
      <c r="D218" s="523"/>
      <c r="E218" s="523"/>
      <c r="F218" s="523"/>
      <c r="G218" s="523"/>
      <c r="H218" s="523"/>
      <c r="I218" s="523"/>
      <c r="J218" s="523"/>
      <c r="K218" s="523"/>
      <c r="L218" s="523"/>
      <c r="M218" s="524"/>
    </row>
    <row r="219" spans="1:13" x14ac:dyDescent="0.25">
      <c r="A219" s="525"/>
      <c r="B219" s="527" t="s">
        <v>464</v>
      </c>
      <c r="C219" s="527">
        <f>'F-LSCD-002 (Dosimetría)'!E145/SQRT(C217)</f>
        <v>9.8364966663272403E-12</v>
      </c>
      <c r="D219" s="526" t="s">
        <v>368</v>
      </c>
      <c r="E219" s="527"/>
      <c r="F219" s="523"/>
      <c r="G219" s="523"/>
      <c r="H219" s="523"/>
      <c r="I219" s="523"/>
      <c r="J219" s="523"/>
      <c r="K219" s="523"/>
      <c r="L219" s="523"/>
      <c r="M219" s="524"/>
    </row>
    <row r="220" spans="1:13" x14ac:dyDescent="0.25">
      <c r="A220" s="525"/>
      <c r="B220" s="523"/>
      <c r="C220" s="523"/>
      <c r="D220" s="523"/>
      <c r="E220" s="523"/>
      <c r="F220" s="523"/>
      <c r="G220" s="523"/>
      <c r="H220" s="523"/>
      <c r="I220" s="523"/>
      <c r="J220" s="523"/>
      <c r="K220" s="523"/>
      <c r="L220" s="523"/>
      <c r="M220" s="524"/>
    </row>
    <row r="221" spans="1:13" x14ac:dyDescent="0.25">
      <c r="A221" s="525"/>
      <c r="B221" s="526" t="s">
        <v>397</v>
      </c>
      <c r="C221" s="523"/>
      <c r="D221" s="523"/>
      <c r="E221" s="523"/>
      <c r="F221" s="523"/>
      <c r="G221" s="523"/>
      <c r="H221" s="523"/>
      <c r="I221" s="523"/>
      <c r="J221" s="523"/>
      <c r="K221" s="523"/>
      <c r="L221" s="523"/>
      <c r="M221" s="524"/>
    </row>
    <row r="222" spans="1:13" x14ac:dyDescent="0.25">
      <c r="A222" s="525"/>
      <c r="B222" s="526" t="s">
        <v>492</v>
      </c>
      <c r="C222" s="523"/>
      <c r="D222" s="523"/>
      <c r="E222" s="523"/>
      <c r="F222" s="523"/>
      <c r="G222" s="523"/>
      <c r="H222" s="523"/>
      <c r="I222" s="523"/>
      <c r="J222" s="523"/>
      <c r="K222" s="523"/>
      <c r="L222" s="523"/>
      <c r="M222" s="524"/>
    </row>
    <row r="223" spans="1:13" x14ac:dyDescent="0.25">
      <c r="A223" s="525"/>
      <c r="B223" s="526"/>
      <c r="C223" s="523"/>
      <c r="D223" s="523"/>
      <c r="E223" s="523"/>
      <c r="F223" s="523"/>
      <c r="G223" s="523"/>
      <c r="H223" s="523"/>
      <c r="I223" s="523"/>
      <c r="J223" s="523"/>
      <c r="K223" s="523"/>
      <c r="L223" s="523"/>
      <c r="M223" s="524"/>
    </row>
    <row r="224" spans="1:13" x14ac:dyDescent="0.25">
      <c r="A224" s="522" t="s">
        <v>495</v>
      </c>
      <c r="B224" s="526"/>
      <c r="C224" s="523"/>
      <c r="D224" s="523"/>
      <c r="E224" s="523"/>
      <c r="F224" s="523"/>
      <c r="G224" s="523"/>
      <c r="H224" s="523"/>
      <c r="I224" s="523"/>
      <c r="J224" s="523"/>
      <c r="K224" s="523"/>
      <c r="L224" s="523"/>
      <c r="M224" s="524"/>
    </row>
    <row r="225" spans="1:13" x14ac:dyDescent="0.25">
      <c r="A225" s="525"/>
      <c r="B225" s="526"/>
      <c r="C225" s="523"/>
      <c r="D225" s="523"/>
      <c r="E225" s="523"/>
      <c r="F225" s="523"/>
      <c r="G225" s="523"/>
      <c r="H225" s="523"/>
      <c r="I225" s="523"/>
      <c r="J225" s="523"/>
      <c r="K225" s="523"/>
      <c r="L225" s="523"/>
      <c r="M225" s="524"/>
    </row>
    <row r="226" spans="1:13" x14ac:dyDescent="0.25">
      <c r="A226" s="525"/>
      <c r="B226" s="528"/>
      <c r="C226" s="523"/>
      <c r="D226" s="523"/>
      <c r="E226" s="523"/>
      <c r="F226" s="523"/>
      <c r="G226" s="523"/>
      <c r="H226" s="523"/>
      <c r="I226" s="523"/>
      <c r="J226" s="523"/>
      <c r="K226" s="523"/>
      <c r="L226" s="523"/>
      <c r="M226" s="524"/>
    </row>
    <row r="227" spans="1:13" x14ac:dyDescent="0.25">
      <c r="A227" s="525"/>
      <c r="B227" s="526"/>
      <c r="C227" s="523"/>
      <c r="D227" s="523"/>
      <c r="E227" s="523"/>
      <c r="F227" s="523"/>
      <c r="G227" s="523"/>
      <c r="H227" s="523"/>
      <c r="I227" s="523"/>
      <c r="J227" s="523"/>
      <c r="K227" s="523"/>
      <c r="L227" s="523"/>
      <c r="M227" s="524"/>
    </row>
    <row r="228" spans="1:13" x14ac:dyDescent="0.25">
      <c r="A228" s="525"/>
      <c r="B228" s="526"/>
      <c r="C228" s="523"/>
      <c r="D228" s="523"/>
      <c r="E228" s="523"/>
      <c r="F228" s="523"/>
      <c r="G228" s="523"/>
      <c r="H228" s="523"/>
      <c r="I228" s="523"/>
      <c r="J228" s="523"/>
      <c r="K228" s="523"/>
      <c r="L228" s="523"/>
      <c r="M228" s="524"/>
    </row>
    <row r="229" spans="1:13" ht="18" x14ac:dyDescent="0.25">
      <c r="A229" s="525"/>
      <c r="B229" s="523" t="s">
        <v>496</v>
      </c>
      <c r="C229" s="527">
        <f>C189</f>
        <v>1509175.2194717457</v>
      </c>
      <c r="D229" s="523" t="s">
        <v>599</v>
      </c>
      <c r="E229" s="527"/>
      <c r="F229" s="523"/>
      <c r="G229" s="523"/>
      <c r="H229" s="523"/>
      <c r="I229" s="523"/>
      <c r="J229" s="523"/>
      <c r="K229" s="523"/>
      <c r="L229" s="523"/>
      <c r="M229" s="524"/>
    </row>
    <row r="230" spans="1:13" ht="15.75" thickBot="1" x14ac:dyDescent="0.3">
      <c r="A230" s="529"/>
      <c r="B230" s="530"/>
      <c r="C230" s="530"/>
      <c r="D230" s="530"/>
      <c r="E230" s="530"/>
      <c r="F230" s="530"/>
      <c r="G230" s="530"/>
      <c r="H230" s="530"/>
      <c r="I230" s="530"/>
      <c r="J230" s="530"/>
      <c r="K230" s="530"/>
      <c r="L230" s="530"/>
      <c r="M230" s="531"/>
    </row>
    <row r="231" spans="1:13" x14ac:dyDescent="0.25">
      <c r="A231" s="519"/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1"/>
    </row>
    <row r="232" spans="1:13" x14ac:dyDescent="0.25">
      <c r="A232" s="522" t="s">
        <v>497</v>
      </c>
      <c r="B232" s="523"/>
      <c r="C232" s="523"/>
      <c r="D232" s="523"/>
      <c r="E232" s="523"/>
      <c r="F232" s="523"/>
      <c r="G232" s="523"/>
      <c r="H232" s="523"/>
      <c r="I232" s="523"/>
      <c r="J232" s="523"/>
      <c r="K232" s="523"/>
      <c r="L232" s="523"/>
      <c r="M232" s="524"/>
    </row>
    <row r="233" spans="1:13" x14ac:dyDescent="0.25">
      <c r="A233" s="522"/>
      <c r="B233" s="523"/>
      <c r="C233" s="523"/>
      <c r="D233" s="523"/>
      <c r="E233" s="523"/>
      <c r="F233" s="523"/>
      <c r="G233" s="523"/>
      <c r="H233" s="523"/>
      <c r="I233" s="523"/>
      <c r="J233" s="523"/>
      <c r="K233" s="523"/>
      <c r="L233" s="523"/>
      <c r="M233" s="524"/>
    </row>
    <row r="234" spans="1:13" x14ac:dyDescent="0.25">
      <c r="A234" s="522" t="s">
        <v>498</v>
      </c>
      <c r="B234" s="523"/>
      <c r="C234" s="523"/>
      <c r="D234" s="523"/>
      <c r="E234" s="523"/>
      <c r="F234" s="523"/>
      <c r="G234" s="523"/>
      <c r="H234" s="523"/>
      <c r="I234" s="523"/>
      <c r="J234" s="523"/>
      <c r="K234" s="523"/>
      <c r="L234" s="523"/>
      <c r="M234" s="524"/>
    </row>
    <row r="235" spans="1:13" x14ac:dyDescent="0.25">
      <c r="A235" s="522"/>
      <c r="B235" s="523"/>
      <c r="C235" s="523"/>
      <c r="D235" s="523"/>
      <c r="E235" s="523"/>
      <c r="F235" s="523"/>
      <c r="G235" s="523"/>
      <c r="H235" s="523"/>
      <c r="I235" s="523"/>
      <c r="J235" s="523"/>
      <c r="K235" s="523"/>
      <c r="L235" s="523"/>
      <c r="M235" s="524"/>
    </row>
    <row r="236" spans="1:13" x14ac:dyDescent="0.25">
      <c r="A236" s="525"/>
      <c r="B236" s="526" t="s">
        <v>420</v>
      </c>
      <c r="C236" s="523"/>
      <c r="D236" s="523"/>
      <c r="E236" s="523"/>
      <c r="F236" s="523"/>
      <c r="G236" s="523"/>
      <c r="H236" s="523">
        <v>3</v>
      </c>
      <c r="I236" s="526" t="s">
        <v>449</v>
      </c>
      <c r="J236" s="523"/>
      <c r="K236" s="523"/>
      <c r="L236" s="523"/>
      <c r="M236" s="524"/>
    </row>
    <row r="237" spans="1:13" x14ac:dyDescent="0.25">
      <c r="A237" s="525"/>
      <c r="B237" s="523"/>
      <c r="C237" s="523"/>
      <c r="D237" s="523"/>
      <c r="E237" s="523"/>
      <c r="F237" s="523"/>
      <c r="G237" s="523"/>
      <c r="H237" s="523"/>
      <c r="I237" s="523"/>
      <c r="J237" s="523"/>
      <c r="K237" s="523"/>
      <c r="L237" s="523"/>
      <c r="M237" s="524"/>
    </row>
    <row r="238" spans="1:13" x14ac:dyDescent="0.25">
      <c r="A238" s="525"/>
      <c r="B238" s="523" t="s">
        <v>464</v>
      </c>
      <c r="C238" s="526" t="str">
        <f>"(Tasa de Kerma en aire teórico a "&amp;C94-H236/1000&amp;" m - Tasa de Kerma en aire teórico a "&amp;C94+H236/1000&amp;" m)/2"</f>
        <v>(Tasa de Kerma en aire teórico a 1.997 m - Tasa de Kerma en aire teórico a 2.003 m)/2</v>
      </c>
      <c r="D238" s="523"/>
      <c r="E238" s="523"/>
      <c r="F238" s="523"/>
      <c r="G238" s="523"/>
      <c r="H238" s="523"/>
      <c r="I238" s="523"/>
      <c r="J238" s="523"/>
      <c r="K238" s="523"/>
      <c r="L238" s="523"/>
      <c r="M238" s="524"/>
    </row>
    <row r="239" spans="1:13" x14ac:dyDescent="0.25">
      <c r="A239" s="525"/>
      <c r="B239" s="523"/>
      <c r="C239" s="523"/>
      <c r="D239" s="523"/>
      <c r="E239" s="523"/>
      <c r="F239" s="523"/>
      <c r="G239" s="523"/>
      <c r="H239" s="523"/>
      <c r="I239" s="523"/>
      <c r="J239" s="523"/>
      <c r="K239" s="523"/>
      <c r="L239" s="523"/>
      <c r="M239" s="524"/>
    </row>
    <row r="240" spans="1:13" x14ac:dyDescent="0.25">
      <c r="A240" s="525"/>
      <c r="B240" s="526" t="s">
        <v>419</v>
      </c>
      <c r="C240" s="523"/>
      <c r="D240" s="523"/>
      <c r="E240" s="523"/>
      <c r="F240" s="523"/>
      <c r="G240" s="523"/>
      <c r="H240" s="523"/>
      <c r="I240" s="523"/>
      <c r="J240" s="523"/>
      <c r="K240" s="523"/>
      <c r="L240" s="523"/>
      <c r="M240" s="524"/>
    </row>
    <row r="241" spans="1:13" x14ac:dyDescent="0.25">
      <c r="A241" s="525"/>
      <c r="B241" s="523"/>
      <c r="C241" s="523"/>
      <c r="D241" s="523"/>
      <c r="E241" s="523"/>
      <c r="F241" s="523"/>
      <c r="G241" s="523"/>
      <c r="H241" s="523"/>
      <c r="I241" s="523"/>
      <c r="J241" s="523"/>
      <c r="K241" s="523"/>
      <c r="L241" s="523"/>
      <c r="M241" s="524"/>
    </row>
    <row r="242" spans="1:13" x14ac:dyDescent="0.25">
      <c r="A242" s="525"/>
      <c r="B242" s="523" t="s">
        <v>464</v>
      </c>
      <c r="C242" s="527">
        <f>((C93*C94^2/((C94-H236/1000)^2)-C93*C94^2/(C94+H236/1000)^2))/2</f>
        <v>2.1554687577660624E-5</v>
      </c>
      <c r="D242" s="526" t="s">
        <v>8</v>
      </c>
      <c r="E242" s="523"/>
      <c r="F242" s="523"/>
      <c r="G242" s="547"/>
      <c r="H242" s="523"/>
      <c r="I242" s="523"/>
      <c r="J242" s="523"/>
      <c r="K242" s="523"/>
      <c r="L242" s="523"/>
      <c r="M242" s="524"/>
    </row>
    <row r="243" spans="1:13" x14ac:dyDescent="0.25">
      <c r="A243" s="525"/>
      <c r="B243" s="523"/>
      <c r="C243" s="527"/>
      <c r="D243" s="523"/>
      <c r="E243" s="523"/>
      <c r="F243" s="523"/>
      <c r="G243" s="547"/>
      <c r="H243" s="523"/>
      <c r="I243" s="523"/>
      <c r="J243" s="523"/>
      <c r="K243" s="523"/>
      <c r="L243" s="523"/>
      <c r="M243" s="524"/>
    </row>
    <row r="244" spans="1:13" x14ac:dyDescent="0.25">
      <c r="A244" s="522" t="s">
        <v>499</v>
      </c>
      <c r="B244" s="523"/>
      <c r="C244" s="527"/>
      <c r="D244" s="523"/>
      <c r="E244" s="523"/>
      <c r="F244" s="523"/>
      <c r="G244" s="547"/>
      <c r="H244" s="523"/>
      <c r="I244" s="523"/>
      <c r="J244" s="523"/>
      <c r="K244" s="523"/>
      <c r="L244" s="523"/>
      <c r="M244" s="524"/>
    </row>
    <row r="245" spans="1:13" x14ac:dyDescent="0.25">
      <c r="A245" s="525"/>
      <c r="B245" s="523"/>
      <c r="C245" s="527"/>
      <c r="D245" s="523"/>
      <c r="E245" s="523"/>
      <c r="F245" s="523"/>
      <c r="G245" s="547"/>
      <c r="H245" s="523"/>
      <c r="I245" s="523"/>
      <c r="J245" s="523"/>
      <c r="K245" s="523"/>
      <c r="L245" s="523"/>
      <c r="M245" s="524"/>
    </row>
    <row r="246" spans="1:13" x14ac:dyDescent="0.25">
      <c r="A246" s="525"/>
      <c r="B246" s="528"/>
      <c r="C246" s="527"/>
      <c r="D246" s="523"/>
      <c r="E246" s="523"/>
      <c r="F246" s="523"/>
      <c r="G246" s="547"/>
      <c r="H246" s="523"/>
      <c r="I246" s="523"/>
      <c r="J246" s="523"/>
      <c r="K246" s="523"/>
      <c r="L246" s="523"/>
      <c r="M246" s="524"/>
    </row>
    <row r="247" spans="1:13" x14ac:dyDescent="0.25">
      <c r="A247" s="525"/>
      <c r="B247" s="523"/>
      <c r="C247" s="527"/>
      <c r="D247" s="523"/>
      <c r="E247" s="523"/>
      <c r="F247" s="523"/>
      <c r="G247" s="547"/>
      <c r="H247" s="523"/>
      <c r="I247" s="523"/>
      <c r="J247" s="523"/>
      <c r="K247" s="523"/>
      <c r="L247" s="523"/>
      <c r="M247" s="524"/>
    </row>
    <row r="248" spans="1:13" x14ac:dyDescent="0.25">
      <c r="A248" s="525"/>
      <c r="B248" s="523"/>
      <c r="C248" s="527"/>
      <c r="D248" s="523"/>
      <c r="E248" s="523"/>
      <c r="F248" s="523"/>
      <c r="G248" s="547"/>
      <c r="H248" s="523"/>
      <c r="I248" s="523"/>
      <c r="J248" s="523"/>
      <c r="K248" s="523"/>
      <c r="L248" s="523"/>
      <c r="M248" s="524"/>
    </row>
    <row r="249" spans="1:13" ht="18" x14ac:dyDescent="0.25">
      <c r="A249" s="525"/>
      <c r="B249" s="545" t="s">
        <v>632</v>
      </c>
      <c r="C249" s="523">
        <v>1</v>
      </c>
      <c r="D249" s="523"/>
      <c r="E249" s="523"/>
      <c r="F249" s="523"/>
      <c r="G249" s="548"/>
      <c r="H249" s="523"/>
      <c r="I249" s="523"/>
      <c r="J249" s="523"/>
      <c r="K249" s="523"/>
      <c r="L249" s="523"/>
      <c r="M249" s="524"/>
    </row>
    <row r="250" spans="1:13" ht="15.75" thickBot="1" x14ac:dyDescent="0.3">
      <c r="A250" s="529"/>
      <c r="B250" s="549"/>
      <c r="C250" s="530"/>
      <c r="D250" s="530"/>
      <c r="E250" s="530"/>
      <c r="F250" s="530"/>
      <c r="G250" s="550"/>
      <c r="H250" s="530"/>
      <c r="I250" s="530"/>
      <c r="J250" s="530"/>
      <c r="K250" s="530"/>
      <c r="L250" s="530"/>
      <c r="M250" s="531"/>
    </row>
    <row r="251" spans="1:13" x14ac:dyDescent="0.25">
      <c r="A251" s="519"/>
      <c r="B251" s="520"/>
      <c r="C251" s="520"/>
      <c r="D251" s="520"/>
      <c r="E251" s="520"/>
      <c r="F251" s="520"/>
      <c r="G251" s="551"/>
      <c r="H251" s="520"/>
      <c r="I251" s="520"/>
      <c r="J251" s="520"/>
      <c r="K251" s="520"/>
      <c r="L251" s="520"/>
      <c r="M251" s="521"/>
    </row>
    <row r="252" spans="1:13" x14ac:dyDescent="0.25">
      <c r="A252" s="522" t="s">
        <v>501</v>
      </c>
      <c r="B252" s="523"/>
      <c r="C252" s="523"/>
      <c r="D252" s="523"/>
      <c r="E252" s="523"/>
      <c r="F252" s="523"/>
      <c r="G252" s="548"/>
      <c r="H252" s="523"/>
      <c r="I252" s="523"/>
      <c r="J252" s="523"/>
      <c r="K252" s="523"/>
      <c r="L252" s="523"/>
      <c r="M252" s="524"/>
    </row>
    <row r="253" spans="1:13" x14ac:dyDescent="0.25">
      <c r="A253" s="522"/>
      <c r="B253" s="523"/>
      <c r="C253" s="523"/>
      <c r="D253" s="523"/>
      <c r="E253" s="523"/>
      <c r="F253" s="523"/>
      <c r="G253" s="548"/>
      <c r="H253" s="523"/>
      <c r="I253" s="523"/>
      <c r="J253" s="523"/>
      <c r="K253" s="523"/>
      <c r="L253" s="523"/>
      <c r="M253" s="524"/>
    </row>
    <row r="254" spans="1:13" x14ac:dyDescent="0.25">
      <c r="A254" s="522" t="s">
        <v>502</v>
      </c>
      <c r="B254" s="523"/>
      <c r="C254" s="523"/>
      <c r="D254" s="523"/>
      <c r="E254" s="523"/>
      <c r="F254" s="523"/>
      <c r="G254" s="548"/>
      <c r="H254" s="523"/>
      <c r="I254" s="523"/>
      <c r="J254" s="523"/>
      <c r="K254" s="523"/>
      <c r="L254" s="523"/>
      <c r="M254" s="524"/>
    </row>
    <row r="255" spans="1:13" x14ac:dyDescent="0.25">
      <c r="A255" s="525"/>
      <c r="B255" s="523"/>
      <c r="C255" s="523"/>
      <c r="D255" s="523"/>
      <c r="E255" s="523"/>
      <c r="F255" s="523"/>
      <c r="G255" s="548"/>
      <c r="H255" s="523"/>
      <c r="I255" s="523"/>
      <c r="J255" s="523"/>
      <c r="K255" s="523"/>
      <c r="L255" s="523"/>
      <c r="M255" s="524"/>
    </row>
    <row r="256" spans="1:13" x14ac:dyDescent="0.25">
      <c r="A256" s="525"/>
      <c r="B256" s="523" t="s">
        <v>464</v>
      </c>
      <c r="C256" s="526" t="s">
        <v>430</v>
      </c>
      <c r="D256" s="523"/>
      <c r="E256" s="523"/>
      <c r="F256" s="523"/>
      <c r="G256" s="548"/>
      <c r="H256" s="523"/>
      <c r="I256" s="523"/>
      <c r="J256" s="523"/>
      <c r="K256" s="523"/>
      <c r="L256" s="523"/>
      <c r="M256" s="524"/>
    </row>
    <row r="257" spans="1:13" x14ac:dyDescent="0.25">
      <c r="A257" s="525"/>
      <c r="B257" s="523"/>
      <c r="C257" s="523"/>
      <c r="D257" s="523"/>
      <c r="E257" s="523"/>
      <c r="F257" s="523"/>
      <c r="G257" s="548"/>
      <c r="H257" s="523"/>
      <c r="I257" s="523"/>
      <c r="J257" s="523"/>
      <c r="K257" s="523"/>
      <c r="L257" s="523"/>
      <c r="M257" s="524"/>
    </row>
    <row r="258" spans="1:13" x14ac:dyDescent="0.25">
      <c r="A258" s="525"/>
      <c r="B258" s="523" t="s">
        <v>464</v>
      </c>
      <c r="C258" s="527">
        <f>'F-LSCD-002 (Pos. fuente)'!AH69/2*C93</f>
        <v>1.4309363581478429E-5</v>
      </c>
      <c r="D258" s="526" t="s">
        <v>8</v>
      </c>
      <c r="E258" s="523"/>
      <c r="F258" s="523"/>
      <c r="G258" s="548"/>
      <c r="H258" s="523"/>
      <c r="I258" s="523"/>
      <c r="J258" s="523"/>
      <c r="K258" s="523"/>
      <c r="L258" s="523"/>
      <c r="M258" s="524"/>
    </row>
    <row r="259" spans="1:13" x14ac:dyDescent="0.25">
      <c r="A259" s="525"/>
      <c r="B259" s="523"/>
      <c r="C259" s="527"/>
      <c r="D259" s="526"/>
      <c r="E259" s="523"/>
      <c r="F259" s="523"/>
      <c r="G259" s="548"/>
      <c r="H259" s="523"/>
      <c r="I259" s="523"/>
      <c r="J259" s="523"/>
      <c r="K259" s="523"/>
      <c r="L259" s="523"/>
      <c r="M259" s="524"/>
    </row>
    <row r="260" spans="1:13" x14ac:dyDescent="0.25">
      <c r="A260" s="525"/>
      <c r="B260" s="526" t="s">
        <v>397</v>
      </c>
      <c r="C260" s="523"/>
      <c r="D260" s="523"/>
      <c r="E260" s="523"/>
      <c r="F260" s="523"/>
      <c r="G260" s="523"/>
      <c r="H260" s="523"/>
      <c r="I260" s="523"/>
      <c r="J260" s="523"/>
      <c r="K260" s="523"/>
      <c r="L260" s="523"/>
      <c r="M260" s="524"/>
    </row>
    <row r="261" spans="1:13" x14ac:dyDescent="0.25">
      <c r="A261" s="525"/>
      <c r="B261" s="526" t="s">
        <v>416</v>
      </c>
      <c r="C261" s="523"/>
      <c r="D261" s="523"/>
      <c r="E261" s="523"/>
      <c r="F261" s="523"/>
      <c r="G261" s="523"/>
      <c r="H261" s="523"/>
      <c r="I261" s="523"/>
      <c r="J261" s="523"/>
      <c r="K261" s="523"/>
      <c r="L261" s="523"/>
      <c r="M261" s="524"/>
    </row>
    <row r="262" spans="1:13" x14ac:dyDescent="0.25">
      <c r="A262" s="525"/>
      <c r="B262" s="526"/>
      <c r="C262" s="523"/>
      <c r="D262" s="523"/>
      <c r="E262" s="523"/>
      <c r="F262" s="523"/>
      <c r="G262" s="523"/>
      <c r="H262" s="523"/>
      <c r="I262" s="523"/>
      <c r="J262" s="523"/>
      <c r="K262" s="523"/>
      <c r="L262" s="523"/>
      <c r="M262" s="524"/>
    </row>
    <row r="263" spans="1:13" x14ac:dyDescent="0.25">
      <c r="A263" s="522" t="s">
        <v>503</v>
      </c>
      <c r="B263" s="526"/>
      <c r="C263" s="523"/>
      <c r="D263" s="523"/>
      <c r="E263" s="523"/>
      <c r="F263" s="523"/>
      <c r="G263" s="523"/>
      <c r="H263" s="523"/>
      <c r="I263" s="523"/>
      <c r="J263" s="523"/>
      <c r="K263" s="523"/>
      <c r="L263" s="523"/>
      <c r="M263" s="524"/>
    </row>
    <row r="264" spans="1:13" x14ac:dyDescent="0.25">
      <c r="A264" s="525"/>
      <c r="B264" s="526"/>
      <c r="C264" s="523"/>
      <c r="D264" s="523"/>
      <c r="E264" s="523"/>
      <c r="F264" s="523"/>
      <c r="G264" s="523"/>
      <c r="H264" s="523"/>
      <c r="I264" s="523"/>
      <c r="J264" s="523"/>
      <c r="K264" s="523"/>
      <c r="L264" s="523"/>
      <c r="M264" s="524"/>
    </row>
    <row r="265" spans="1:13" x14ac:dyDescent="0.25">
      <c r="A265" s="525"/>
      <c r="B265" s="528"/>
      <c r="C265" s="523"/>
      <c r="D265" s="523"/>
      <c r="E265" s="523"/>
      <c r="F265" s="523"/>
      <c r="G265" s="523"/>
      <c r="H265" s="523"/>
      <c r="I265" s="523"/>
      <c r="J265" s="523"/>
      <c r="K265" s="523"/>
      <c r="L265" s="523"/>
      <c r="M265" s="524"/>
    </row>
    <row r="266" spans="1:13" x14ac:dyDescent="0.25">
      <c r="A266" s="525"/>
      <c r="B266" s="526"/>
      <c r="C266" s="523"/>
      <c r="D266" s="523"/>
      <c r="E266" s="523"/>
      <c r="F266" s="523"/>
      <c r="G266" s="523"/>
      <c r="H266" s="523"/>
      <c r="I266" s="523"/>
      <c r="J266" s="523"/>
      <c r="K266" s="523"/>
      <c r="L266" s="523"/>
      <c r="M266" s="524"/>
    </row>
    <row r="267" spans="1:13" x14ac:dyDescent="0.25">
      <c r="A267" s="525"/>
      <c r="B267" s="526"/>
      <c r="C267" s="523"/>
      <c r="D267" s="523"/>
      <c r="E267" s="523"/>
      <c r="F267" s="523"/>
      <c r="G267" s="523"/>
      <c r="H267" s="523"/>
      <c r="I267" s="523"/>
      <c r="J267" s="523"/>
      <c r="K267" s="523"/>
      <c r="L267" s="523"/>
      <c r="M267" s="524"/>
    </row>
    <row r="268" spans="1:13" ht="18" x14ac:dyDescent="0.25">
      <c r="A268" s="525"/>
      <c r="B268" s="545" t="s">
        <v>633</v>
      </c>
      <c r="C268" s="523">
        <v>1</v>
      </c>
      <c r="D268" s="523"/>
      <c r="E268" s="523"/>
      <c r="F268" s="523"/>
      <c r="G268" s="523"/>
      <c r="H268" s="523"/>
      <c r="I268" s="523"/>
      <c r="J268" s="523"/>
      <c r="K268" s="523"/>
      <c r="L268" s="523"/>
      <c r="M268" s="524"/>
    </row>
    <row r="269" spans="1:13" ht="15.75" thickBot="1" x14ac:dyDescent="0.3">
      <c r="A269" s="529"/>
      <c r="B269" s="549"/>
      <c r="C269" s="530"/>
      <c r="D269" s="530"/>
      <c r="E269" s="530"/>
      <c r="F269" s="530"/>
      <c r="G269" s="530"/>
      <c r="H269" s="530"/>
      <c r="I269" s="530"/>
      <c r="J269" s="530"/>
      <c r="K269" s="530"/>
      <c r="L269" s="530"/>
      <c r="M269" s="531"/>
    </row>
    <row r="270" spans="1:13" x14ac:dyDescent="0.25">
      <c r="A270" s="519"/>
      <c r="B270" s="544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1"/>
    </row>
    <row r="271" spans="1:13" x14ac:dyDescent="0.25">
      <c r="A271" s="323" t="s">
        <v>985</v>
      </c>
      <c r="B271" s="526"/>
      <c r="C271" s="523"/>
      <c r="D271" s="523"/>
      <c r="E271" s="523"/>
      <c r="F271" s="523"/>
      <c r="G271" s="523"/>
      <c r="H271" s="523"/>
      <c r="I271" s="523"/>
      <c r="J271" s="523"/>
      <c r="K271" s="523"/>
      <c r="L271" s="523"/>
      <c r="M271" s="524"/>
    </row>
    <row r="272" spans="1:13" x14ac:dyDescent="0.25">
      <c r="A272" s="522"/>
      <c r="B272" s="526"/>
      <c r="C272" s="523"/>
      <c r="D272" s="523"/>
      <c r="E272" s="523"/>
      <c r="F272" s="523"/>
      <c r="G272" s="523"/>
      <c r="H272" s="523"/>
      <c r="I272" s="523"/>
      <c r="J272" s="523"/>
      <c r="K272" s="523"/>
      <c r="L272" s="523"/>
      <c r="M272" s="524"/>
    </row>
    <row r="273" spans="1:13" x14ac:dyDescent="0.25">
      <c r="A273" s="522" t="s">
        <v>504</v>
      </c>
      <c r="B273" s="526"/>
      <c r="C273" s="523"/>
      <c r="D273" s="523"/>
      <c r="E273" s="523"/>
      <c r="F273" s="523"/>
      <c r="G273" s="523"/>
      <c r="H273" s="523"/>
      <c r="I273" s="523"/>
      <c r="J273" s="523"/>
      <c r="K273" s="523"/>
      <c r="L273" s="523"/>
      <c r="M273" s="524"/>
    </row>
    <row r="274" spans="1:13" x14ac:dyDescent="0.25">
      <c r="A274" s="522"/>
      <c r="B274" s="526"/>
      <c r="C274" s="523"/>
      <c r="D274" s="523"/>
      <c r="E274" s="523"/>
      <c r="F274" s="523"/>
      <c r="G274" s="523"/>
      <c r="H274" s="523"/>
      <c r="I274" s="523"/>
      <c r="J274" s="523"/>
      <c r="K274" s="523"/>
      <c r="L274" s="523"/>
      <c r="M274" s="524"/>
    </row>
    <row r="275" spans="1:13" x14ac:dyDescent="0.25">
      <c r="A275" s="522"/>
      <c r="B275" s="526" t="s">
        <v>453</v>
      </c>
      <c r="C275" s="523"/>
      <c r="D275" s="523"/>
      <c r="E275" s="523"/>
      <c r="F275" s="523">
        <v>1.1000000000000001</v>
      </c>
      <c r="G275" s="526" t="s">
        <v>449</v>
      </c>
      <c r="H275" s="523"/>
      <c r="I275" s="523"/>
      <c r="J275" s="523"/>
      <c r="K275" s="523"/>
      <c r="L275" s="523"/>
      <c r="M275" s="524"/>
    </row>
    <row r="276" spans="1:13" x14ac:dyDescent="0.25">
      <c r="A276" s="522"/>
      <c r="B276" s="526"/>
      <c r="C276" s="523"/>
      <c r="D276" s="523"/>
      <c r="E276" s="523"/>
      <c r="F276" s="523"/>
      <c r="G276" s="523"/>
      <c r="H276" s="523"/>
      <c r="I276" s="523"/>
      <c r="J276" s="523"/>
      <c r="K276" s="523"/>
      <c r="L276" s="523"/>
      <c r="M276" s="524"/>
    </row>
    <row r="277" spans="1:13" x14ac:dyDescent="0.25">
      <c r="A277" s="522"/>
      <c r="B277" s="523" t="s">
        <v>464</v>
      </c>
      <c r="C277" s="526" t="str">
        <f>"(Tasa de Kerma en aire medido a "&amp;C94-F275/1000&amp;" m - Tasa de Kerma en aire teórico a "&amp;C94+F275/1000&amp;" m)/2"</f>
        <v>(Tasa de Kerma en aire medido a 1.9989 m - Tasa de Kerma en aire teórico a 2.0011 m)/2</v>
      </c>
      <c r="D277" s="523"/>
      <c r="E277" s="523"/>
      <c r="F277" s="523"/>
      <c r="G277" s="523"/>
      <c r="H277" s="523"/>
      <c r="I277" s="523"/>
      <c r="J277" s="523"/>
      <c r="K277" s="523"/>
      <c r="L277" s="523"/>
      <c r="M277" s="524"/>
    </row>
    <row r="278" spans="1:13" x14ac:dyDescent="0.25">
      <c r="A278" s="522"/>
      <c r="B278" s="523"/>
      <c r="C278" s="526"/>
      <c r="D278" s="523"/>
      <c r="E278" s="523"/>
      <c r="F278" s="523"/>
      <c r="G278" s="523"/>
      <c r="H278" s="523"/>
      <c r="I278" s="523"/>
      <c r="J278" s="523"/>
      <c r="K278" s="523"/>
      <c r="L278" s="523"/>
      <c r="M278" s="524"/>
    </row>
    <row r="279" spans="1:13" x14ac:dyDescent="0.25">
      <c r="A279" s="522"/>
      <c r="B279" s="523" t="s">
        <v>464</v>
      </c>
      <c r="C279" s="527">
        <f>((C93*C94^2/(C94-F275/1000)^2)-(C93*C94^2/(C94+F275/1000)^2))/2</f>
        <v>7.9033546614764791E-6</v>
      </c>
      <c r="D279" s="526" t="s">
        <v>8</v>
      </c>
      <c r="E279" s="523"/>
      <c r="F279" s="523"/>
      <c r="G279" s="523"/>
      <c r="H279" s="523"/>
      <c r="I279" s="523"/>
      <c r="J279" s="523"/>
      <c r="K279" s="523"/>
      <c r="L279" s="523"/>
      <c r="M279" s="524"/>
    </row>
    <row r="280" spans="1:13" x14ac:dyDescent="0.25">
      <c r="A280" s="522"/>
      <c r="B280" s="523"/>
      <c r="C280" s="527"/>
      <c r="D280" s="523"/>
      <c r="E280" s="523"/>
      <c r="F280" s="523"/>
      <c r="G280" s="523"/>
      <c r="H280" s="523"/>
      <c r="I280" s="523"/>
      <c r="J280" s="523"/>
      <c r="K280" s="523"/>
      <c r="L280" s="523"/>
      <c r="M280" s="524"/>
    </row>
    <row r="281" spans="1:13" x14ac:dyDescent="0.25">
      <c r="A281" s="522" t="s">
        <v>505</v>
      </c>
      <c r="B281" s="523"/>
      <c r="C281" s="527"/>
      <c r="D281" s="523"/>
      <c r="E281" s="523"/>
      <c r="F281" s="523"/>
      <c r="G281" s="523"/>
      <c r="H281" s="523"/>
      <c r="I281" s="523"/>
      <c r="J281" s="523"/>
      <c r="K281" s="523"/>
      <c r="L281" s="523"/>
      <c r="M281" s="524"/>
    </row>
    <row r="282" spans="1:13" x14ac:dyDescent="0.25">
      <c r="A282" s="522"/>
      <c r="B282" s="523"/>
      <c r="C282" s="527"/>
      <c r="D282" s="523"/>
      <c r="E282" s="523"/>
      <c r="F282" s="523"/>
      <c r="G282" s="523"/>
      <c r="H282" s="523"/>
      <c r="I282" s="523"/>
      <c r="J282" s="523"/>
      <c r="K282" s="523"/>
      <c r="L282" s="523"/>
      <c r="M282" s="524"/>
    </row>
    <row r="283" spans="1:13" x14ac:dyDescent="0.25">
      <c r="A283" s="522"/>
      <c r="B283" s="528"/>
      <c r="C283" s="527"/>
      <c r="D283" s="523"/>
      <c r="E283" s="523"/>
      <c r="F283" s="523"/>
      <c r="G283" s="523"/>
      <c r="H283" s="523"/>
      <c r="I283" s="523"/>
      <c r="J283" s="523"/>
      <c r="K283" s="523"/>
      <c r="L283" s="523"/>
      <c r="M283" s="524"/>
    </row>
    <row r="284" spans="1:13" x14ac:dyDescent="0.25">
      <c r="A284" s="522"/>
      <c r="B284" s="523"/>
      <c r="C284" s="527"/>
      <c r="D284" s="523"/>
      <c r="E284" s="523"/>
      <c r="F284" s="523"/>
      <c r="G284" s="523"/>
      <c r="H284" s="523"/>
      <c r="I284" s="523"/>
      <c r="J284" s="523"/>
      <c r="K284" s="523"/>
      <c r="L284" s="523"/>
      <c r="M284" s="524"/>
    </row>
    <row r="285" spans="1:13" x14ac:dyDescent="0.25">
      <c r="A285" s="522"/>
      <c r="B285" s="523"/>
      <c r="C285" s="526"/>
      <c r="D285" s="523"/>
      <c r="E285" s="523"/>
      <c r="F285" s="523"/>
      <c r="G285" s="523"/>
      <c r="H285" s="523"/>
      <c r="I285" s="523"/>
      <c r="J285" s="523"/>
      <c r="K285" s="523"/>
      <c r="L285" s="523"/>
      <c r="M285" s="524"/>
    </row>
    <row r="286" spans="1:13" ht="18" x14ac:dyDescent="0.25">
      <c r="A286" s="522"/>
      <c r="B286" s="545" t="s">
        <v>634</v>
      </c>
      <c r="C286" s="523">
        <v>1</v>
      </c>
      <c r="D286" s="523"/>
      <c r="E286" s="523"/>
      <c r="F286" s="523"/>
      <c r="G286" s="523"/>
      <c r="H286" s="523"/>
      <c r="I286" s="523"/>
      <c r="J286" s="523"/>
      <c r="K286" s="523"/>
      <c r="L286" s="523"/>
      <c r="M286" s="524"/>
    </row>
    <row r="287" spans="1:13" ht="15.75" thickBot="1" x14ac:dyDescent="0.3">
      <c r="A287" s="552"/>
      <c r="B287" s="530"/>
      <c r="C287" s="543"/>
      <c r="D287" s="530"/>
      <c r="E287" s="530"/>
      <c r="F287" s="530"/>
      <c r="G287" s="530"/>
      <c r="H287" s="530"/>
      <c r="I287" s="530"/>
      <c r="J287" s="530"/>
      <c r="K287" s="530"/>
      <c r="L287" s="530"/>
      <c r="M287" s="531"/>
    </row>
    <row r="288" spans="1:13" x14ac:dyDescent="0.25">
      <c r="A288" s="553"/>
      <c r="B288" s="520"/>
      <c r="C288" s="544"/>
      <c r="D288" s="520"/>
      <c r="E288" s="520"/>
      <c r="F288" s="520"/>
      <c r="G288" s="520"/>
      <c r="H288" s="520"/>
      <c r="I288" s="520"/>
      <c r="J288" s="520"/>
      <c r="K288" s="520"/>
      <c r="L288" s="520"/>
      <c r="M288" s="521"/>
    </row>
    <row r="289" spans="1:13" x14ac:dyDescent="0.25">
      <c r="A289" s="522" t="s">
        <v>507</v>
      </c>
      <c r="B289" s="526"/>
      <c r="C289" s="523"/>
      <c r="D289" s="523"/>
      <c r="E289" s="523"/>
      <c r="F289" s="523"/>
      <c r="G289" s="523"/>
      <c r="H289" s="523"/>
      <c r="I289" s="523"/>
      <c r="J289" s="523"/>
      <c r="K289" s="523"/>
      <c r="L289" s="523"/>
      <c r="M289" s="524"/>
    </row>
    <row r="290" spans="1:13" x14ac:dyDescent="0.25">
      <c r="A290" s="522"/>
      <c r="B290" s="526"/>
      <c r="C290" s="523"/>
      <c r="D290" s="523"/>
      <c r="E290" s="523"/>
      <c r="F290" s="523"/>
      <c r="G290" s="523"/>
      <c r="H290" s="523"/>
      <c r="I290" s="523"/>
      <c r="J290" s="523"/>
      <c r="K290" s="523"/>
      <c r="L290" s="523"/>
      <c r="M290" s="524"/>
    </row>
    <row r="291" spans="1:13" x14ac:dyDescent="0.25">
      <c r="A291" s="522" t="s">
        <v>508</v>
      </c>
      <c r="B291" s="526"/>
      <c r="C291" s="523"/>
      <c r="D291" s="523"/>
      <c r="E291" s="523"/>
      <c r="F291" s="523"/>
      <c r="G291" s="523"/>
      <c r="H291" s="523"/>
      <c r="I291" s="523"/>
      <c r="J291" s="523"/>
      <c r="K291" s="523"/>
      <c r="L291" s="523"/>
      <c r="M291" s="524"/>
    </row>
    <row r="292" spans="1:13" x14ac:dyDescent="0.25">
      <c r="A292" s="522"/>
      <c r="B292" s="526"/>
      <c r="C292" s="523"/>
      <c r="D292" s="523"/>
      <c r="E292" s="523"/>
      <c r="F292" s="523"/>
      <c r="G292" s="523"/>
      <c r="H292" s="523"/>
      <c r="I292" s="523"/>
      <c r="J292" s="523"/>
      <c r="K292" s="523"/>
      <c r="L292" s="523"/>
      <c r="M292" s="524"/>
    </row>
    <row r="293" spans="1:13" x14ac:dyDescent="0.25">
      <c r="A293" s="522"/>
      <c r="B293" s="526" t="s">
        <v>454</v>
      </c>
      <c r="C293" s="523"/>
      <c r="D293" s="523"/>
      <c r="E293" s="523"/>
      <c r="F293" s="523">
        <f>'F-LSCD-002 (Dosimetría)'!D66</f>
        <v>1</v>
      </c>
      <c r="G293" s="523" t="s">
        <v>449</v>
      </c>
      <c r="H293" s="523"/>
      <c r="I293" s="523"/>
      <c r="J293" s="523"/>
      <c r="K293" s="523"/>
      <c r="L293" s="523"/>
      <c r="M293" s="524"/>
    </row>
    <row r="294" spans="1:13" x14ac:dyDescent="0.25">
      <c r="A294" s="522"/>
      <c r="B294" s="526"/>
      <c r="C294" s="523"/>
      <c r="D294" s="523"/>
      <c r="E294" s="523"/>
      <c r="F294" s="523"/>
      <c r="G294" s="523"/>
      <c r="H294" s="523"/>
      <c r="I294" s="523"/>
      <c r="J294" s="523"/>
      <c r="K294" s="523"/>
      <c r="L294" s="523"/>
      <c r="M294" s="524"/>
    </row>
    <row r="295" spans="1:13" x14ac:dyDescent="0.25">
      <c r="A295" s="522"/>
      <c r="B295" s="523" t="s">
        <v>464</v>
      </c>
      <c r="C295" s="526" t="str">
        <f>"(Tasa de Kerma en aire medido a "&amp;C94-F293/1000&amp;" m - Tasa de Kerma en aire teórico a "&amp;C94+F293/1000&amp;" m)/2"</f>
        <v>(Tasa de Kerma en aire medido a 1.999 m - Tasa de Kerma en aire teórico a 2.001 m)/2</v>
      </c>
      <c r="D295" s="523"/>
      <c r="E295" s="523"/>
      <c r="F295" s="523"/>
      <c r="G295" s="523"/>
      <c r="H295" s="523"/>
      <c r="I295" s="523"/>
      <c r="J295" s="523"/>
      <c r="K295" s="523"/>
      <c r="L295" s="523"/>
      <c r="M295" s="524"/>
    </row>
    <row r="296" spans="1:13" x14ac:dyDescent="0.25">
      <c r="A296" s="522"/>
      <c r="B296" s="526"/>
      <c r="C296" s="523"/>
      <c r="D296" s="523"/>
      <c r="E296" s="523"/>
      <c r="F296" s="523"/>
      <c r="G296" s="523"/>
      <c r="H296" s="523"/>
      <c r="I296" s="523"/>
      <c r="J296" s="523"/>
      <c r="K296" s="523"/>
      <c r="L296" s="523"/>
      <c r="M296" s="524"/>
    </row>
    <row r="297" spans="1:13" x14ac:dyDescent="0.25">
      <c r="A297" s="522"/>
      <c r="B297" s="523" t="s">
        <v>464</v>
      </c>
      <c r="C297" s="527">
        <f>((C93*C94^2/(C94-F293/1000)^2)-(C93*C94^2/(C94+F293/1000)^2))/2</f>
        <v>7.1848671196572504E-6</v>
      </c>
      <c r="D297" s="526" t="s">
        <v>8</v>
      </c>
      <c r="E297" s="523"/>
      <c r="F297" s="523"/>
      <c r="G297" s="523"/>
      <c r="H297" s="523"/>
      <c r="I297" s="523"/>
      <c r="J297" s="523"/>
      <c r="K297" s="523"/>
      <c r="L297" s="523"/>
      <c r="M297" s="524"/>
    </row>
    <row r="298" spans="1:13" x14ac:dyDescent="0.25">
      <c r="A298" s="522"/>
      <c r="B298" s="523"/>
      <c r="C298" s="527"/>
      <c r="D298" s="523"/>
      <c r="E298" s="523"/>
      <c r="F298" s="523"/>
      <c r="G298" s="523"/>
      <c r="H298" s="523"/>
      <c r="I298" s="523"/>
      <c r="J298" s="523"/>
      <c r="K298" s="523"/>
      <c r="L298" s="523"/>
      <c r="M298" s="524"/>
    </row>
    <row r="299" spans="1:13" x14ac:dyDescent="0.25">
      <c r="A299" s="522" t="s">
        <v>509</v>
      </c>
      <c r="B299" s="523"/>
      <c r="C299" s="527"/>
      <c r="D299" s="523"/>
      <c r="E299" s="523"/>
      <c r="F299" s="523"/>
      <c r="G299" s="523"/>
      <c r="H299" s="523"/>
      <c r="I299" s="523"/>
      <c r="J299" s="523"/>
      <c r="K299" s="523"/>
      <c r="L299" s="523"/>
      <c r="M299" s="524"/>
    </row>
    <row r="300" spans="1:13" x14ac:dyDescent="0.25">
      <c r="A300" s="522"/>
      <c r="B300" s="523"/>
      <c r="C300" s="527"/>
      <c r="D300" s="523"/>
      <c r="E300" s="523"/>
      <c r="F300" s="523"/>
      <c r="G300" s="523"/>
      <c r="H300" s="523"/>
      <c r="I300" s="523"/>
      <c r="J300" s="523"/>
      <c r="K300" s="523"/>
      <c r="L300" s="523"/>
      <c r="M300" s="524"/>
    </row>
    <row r="301" spans="1:13" x14ac:dyDescent="0.25">
      <c r="A301" s="522"/>
      <c r="B301" s="528"/>
      <c r="C301" s="527"/>
      <c r="D301" s="523"/>
      <c r="E301" s="523"/>
      <c r="F301" s="523"/>
      <c r="G301" s="523"/>
      <c r="H301" s="523"/>
      <c r="I301" s="523"/>
      <c r="J301" s="523"/>
      <c r="K301" s="523"/>
      <c r="L301" s="523"/>
      <c r="M301" s="524"/>
    </row>
    <row r="302" spans="1:13" x14ac:dyDescent="0.25">
      <c r="A302" s="522"/>
      <c r="B302" s="523"/>
      <c r="C302" s="527"/>
      <c r="D302" s="523"/>
      <c r="E302" s="523"/>
      <c r="F302" s="523"/>
      <c r="G302" s="523"/>
      <c r="H302" s="523"/>
      <c r="I302" s="523"/>
      <c r="J302" s="523"/>
      <c r="K302" s="523"/>
      <c r="L302" s="523"/>
      <c r="M302" s="524"/>
    </row>
    <row r="303" spans="1:13" x14ac:dyDescent="0.25">
      <c r="A303" s="522"/>
      <c r="B303" s="523"/>
      <c r="C303" s="527"/>
      <c r="D303" s="523"/>
      <c r="E303" s="523"/>
      <c r="F303" s="523"/>
      <c r="G303" s="523"/>
      <c r="H303" s="523"/>
      <c r="I303" s="523"/>
      <c r="J303" s="523"/>
      <c r="K303" s="523"/>
      <c r="L303" s="523"/>
      <c r="M303" s="524"/>
    </row>
    <row r="304" spans="1:13" ht="18" x14ac:dyDescent="0.25">
      <c r="A304" s="522"/>
      <c r="B304" s="523" t="s">
        <v>510</v>
      </c>
      <c r="C304" s="523">
        <v>1</v>
      </c>
      <c r="D304" s="523"/>
      <c r="E304" s="523"/>
      <c r="F304" s="523"/>
      <c r="G304" s="523"/>
      <c r="H304" s="523"/>
      <c r="I304" s="523"/>
      <c r="J304" s="523"/>
      <c r="K304" s="523"/>
      <c r="L304" s="523"/>
      <c r="M304" s="524"/>
    </row>
    <row r="305" spans="1:13" ht="15.75" thickBot="1" x14ac:dyDescent="0.3">
      <c r="A305" s="552"/>
      <c r="B305" s="530"/>
      <c r="C305" s="554"/>
      <c r="D305" s="530"/>
      <c r="E305" s="530"/>
      <c r="F305" s="530"/>
      <c r="G305" s="530"/>
      <c r="H305" s="530"/>
      <c r="I305" s="530"/>
      <c r="J305" s="530"/>
      <c r="K305" s="530"/>
      <c r="L305" s="530"/>
      <c r="M305" s="531"/>
    </row>
    <row r="306" spans="1:13" x14ac:dyDescent="0.25">
      <c r="A306" s="553"/>
      <c r="B306" s="520"/>
      <c r="C306" s="546"/>
      <c r="D306" s="520"/>
      <c r="E306" s="520"/>
      <c r="F306" s="520"/>
      <c r="G306" s="520"/>
      <c r="H306" s="520"/>
      <c r="I306" s="520"/>
      <c r="J306" s="520"/>
      <c r="K306" s="520"/>
      <c r="L306" s="520"/>
      <c r="M306" s="521"/>
    </row>
    <row r="307" spans="1:13" x14ac:dyDescent="0.25">
      <c r="A307" s="323" t="s">
        <v>987</v>
      </c>
      <c r="B307" s="523"/>
      <c r="C307" s="527"/>
      <c r="D307" s="523"/>
      <c r="E307" s="523"/>
      <c r="F307" s="523"/>
      <c r="G307" s="523"/>
      <c r="H307" s="523"/>
      <c r="I307" s="523"/>
      <c r="J307" s="523"/>
      <c r="K307" s="523"/>
      <c r="L307" s="523"/>
      <c r="M307" s="524"/>
    </row>
    <row r="308" spans="1:13" x14ac:dyDescent="0.25">
      <c r="A308" s="522"/>
      <c r="B308" s="523"/>
      <c r="C308" s="527"/>
      <c r="D308" s="523"/>
      <c r="E308" s="523"/>
      <c r="F308" s="523"/>
      <c r="G308" s="523"/>
      <c r="H308" s="523"/>
      <c r="I308" s="523"/>
      <c r="J308" s="523"/>
      <c r="K308" s="523"/>
      <c r="L308" s="523"/>
      <c r="M308" s="524"/>
    </row>
    <row r="309" spans="1:13" x14ac:dyDescent="0.25">
      <c r="A309" s="522" t="s">
        <v>512</v>
      </c>
      <c r="B309" s="523"/>
      <c r="C309" s="527"/>
      <c r="D309" s="523"/>
      <c r="E309" s="523"/>
      <c r="F309" s="523"/>
      <c r="G309" s="523"/>
      <c r="H309" s="523"/>
      <c r="I309" s="523"/>
      <c r="J309" s="523"/>
      <c r="K309" s="523"/>
      <c r="L309" s="523"/>
      <c r="M309" s="524"/>
    </row>
    <row r="310" spans="1:13" x14ac:dyDescent="0.25">
      <c r="A310" s="522"/>
      <c r="B310" s="523"/>
      <c r="C310" s="527"/>
      <c r="D310" s="523"/>
      <c r="E310" s="523"/>
      <c r="F310" s="523"/>
      <c r="G310" s="523"/>
      <c r="H310" s="523"/>
      <c r="I310" s="523"/>
      <c r="J310" s="523"/>
      <c r="K310" s="523"/>
      <c r="L310" s="523"/>
      <c r="M310" s="524"/>
    </row>
    <row r="311" spans="1:13" x14ac:dyDescent="0.25">
      <c r="A311" s="522"/>
      <c r="B311" s="523" t="s">
        <v>464</v>
      </c>
      <c r="C311" s="555" t="s">
        <v>455</v>
      </c>
      <c r="D311" s="523"/>
      <c r="E311" s="523"/>
      <c r="F311" s="523"/>
      <c r="G311" s="523"/>
      <c r="H311" s="523"/>
      <c r="I311" s="523"/>
      <c r="J311" s="523"/>
      <c r="K311" s="523"/>
      <c r="L311" s="523"/>
      <c r="M311" s="524"/>
    </row>
    <row r="312" spans="1:13" x14ac:dyDescent="0.25">
      <c r="A312" s="522"/>
      <c r="B312" s="523"/>
      <c r="C312" s="527"/>
      <c r="D312" s="523"/>
      <c r="E312" s="523"/>
      <c r="F312" s="523"/>
      <c r="G312" s="523"/>
      <c r="H312" s="523"/>
      <c r="I312" s="523"/>
      <c r="J312" s="523"/>
      <c r="K312" s="523"/>
      <c r="L312" s="523"/>
      <c r="M312" s="524"/>
    </row>
    <row r="313" spans="1:13" x14ac:dyDescent="0.25">
      <c r="A313" s="522"/>
      <c r="B313" s="523" t="s">
        <v>464</v>
      </c>
      <c r="C313" s="527">
        <v>0.3</v>
      </c>
      <c r="D313" s="526" t="str">
        <f>'F-LSCD-002 (Dosimetría)'!G51</f>
        <v>°C</v>
      </c>
      <c r="E313" s="523"/>
      <c r="F313" s="523"/>
      <c r="G313" s="523"/>
      <c r="H313" s="523"/>
      <c r="I313" s="523"/>
      <c r="J313" s="523"/>
      <c r="K313" s="523"/>
      <c r="L313" s="523"/>
      <c r="M313" s="524"/>
    </row>
    <row r="314" spans="1:13" x14ac:dyDescent="0.25">
      <c r="A314" s="522"/>
      <c r="B314" s="523"/>
      <c r="C314" s="527"/>
      <c r="D314" s="523"/>
      <c r="E314" s="523"/>
      <c r="F314" s="523"/>
      <c r="G314" s="523"/>
      <c r="H314" s="523"/>
      <c r="I314" s="523"/>
      <c r="J314" s="523"/>
      <c r="K314" s="523"/>
      <c r="L314" s="523"/>
      <c r="M314" s="524"/>
    </row>
    <row r="315" spans="1:13" x14ac:dyDescent="0.25">
      <c r="A315" s="522" t="s">
        <v>513</v>
      </c>
      <c r="B315" s="523"/>
      <c r="C315" s="527"/>
      <c r="D315" s="523"/>
      <c r="E315" s="523"/>
      <c r="F315" s="523"/>
      <c r="G315" s="523"/>
      <c r="H315" s="523"/>
      <c r="I315" s="523"/>
      <c r="J315" s="523"/>
      <c r="K315" s="523"/>
      <c r="L315" s="523"/>
      <c r="M315" s="524"/>
    </row>
    <row r="316" spans="1:13" x14ac:dyDescent="0.25">
      <c r="A316" s="522"/>
      <c r="B316" s="523"/>
      <c r="C316" s="527"/>
      <c r="D316" s="523"/>
      <c r="E316" s="523"/>
      <c r="F316" s="523"/>
      <c r="G316" s="523"/>
      <c r="H316" s="523"/>
      <c r="I316" s="523"/>
      <c r="J316" s="523"/>
      <c r="K316" s="523"/>
      <c r="L316" s="523"/>
      <c r="M316" s="524"/>
    </row>
    <row r="317" spans="1:13" x14ac:dyDescent="0.25">
      <c r="A317" s="525"/>
      <c r="B317" s="528"/>
      <c r="C317" s="523"/>
      <c r="D317" s="523"/>
      <c r="E317" s="523"/>
      <c r="F317" s="523"/>
      <c r="G317" s="523"/>
      <c r="H317" s="523"/>
      <c r="I317" s="523"/>
      <c r="J317" s="523"/>
      <c r="K317" s="523"/>
      <c r="L317" s="523"/>
      <c r="M317" s="524"/>
    </row>
    <row r="318" spans="1:13" x14ac:dyDescent="0.25">
      <c r="A318" s="525"/>
      <c r="B318" s="523"/>
      <c r="C318" s="528"/>
      <c r="D318" s="523"/>
      <c r="E318" s="523"/>
      <c r="F318" s="523"/>
      <c r="G318" s="523"/>
      <c r="H318" s="523"/>
      <c r="I318" s="523"/>
      <c r="J318" s="523"/>
      <c r="K318" s="523"/>
      <c r="L318" s="523"/>
      <c r="M318" s="524"/>
    </row>
    <row r="319" spans="1:13" x14ac:dyDescent="0.25">
      <c r="A319" s="525"/>
      <c r="B319" s="523"/>
      <c r="C319" s="523"/>
      <c r="D319" s="523"/>
      <c r="E319" s="523"/>
      <c r="F319" s="523"/>
      <c r="G319" s="523"/>
      <c r="H319" s="523"/>
      <c r="I319" s="523"/>
      <c r="J319" s="523"/>
      <c r="K319" s="523"/>
      <c r="L319" s="523"/>
      <c r="M319" s="524"/>
    </row>
    <row r="320" spans="1:13" ht="18" x14ac:dyDescent="0.25">
      <c r="A320" s="525"/>
      <c r="B320" s="545" t="s">
        <v>635</v>
      </c>
      <c r="C320" s="527">
        <f>(C87/C88)*((1)*C89/((273.2+C91)*C90))*C84*C85*C86*3600</f>
        <v>-2.4494816087782085E-5</v>
      </c>
      <c r="D320" s="526" t="s">
        <v>393</v>
      </c>
      <c r="E320" s="523"/>
      <c r="F320" s="523"/>
      <c r="G320" s="523"/>
      <c r="H320" s="523"/>
      <c r="I320" s="523"/>
      <c r="J320" s="523"/>
      <c r="K320" s="523"/>
      <c r="L320" s="523"/>
      <c r="M320" s="524"/>
    </row>
    <row r="321" spans="1:13" ht="15.75" thickBot="1" x14ac:dyDescent="0.3">
      <c r="A321" s="529"/>
      <c r="B321" s="556"/>
      <c r="C321" s="530"/>
      <c r="D321" s="530"/>
      <c r="E321" s="530"/>
      <c r="F321" s="530"/>
      <c r="G321" s="530"/>
      <c r="H321" s="530"/>
      <c r="I321" s="530"/>
      <c r="J321" s="530"/>
      <c r="K321" s="530"/>
      <c r="L321" s="530"/>
      <c r="M321" s="531"/>
    </row>
    <row r="322" spans="1:13" x14ac:dyDescent="0.25">
      <c r="A322" s="519"/>
      <c r="B322" s="557"/>
      <c r="C322" s="520"/>
      <c r="D322" s="520"/>
      <c r="E322" s="520"/>
      <c r="F322" s="520"/>
      <c r="G322" s="520"/>
      <c r="H322" s="520"/>
      <c r="I322" s="520"/>
      <c r="J322" s="520"/>
      <c r="K322" s="520"/>
      <c r="L322" s="520"/>
      <c r="M322" s="521"/>
    </row>
    <row r="323" spans="1:13" x14ac:dyDescent="0.25">
      <c r="A323" s="522" t="s">
        <v>514</v>
      </c>
      <c r="B323" s="526"/>
      <c r="C323" s="523"/>
      <c r="D323" s="523"/>
      <c r="E323" s="523"/>
      <c r="F323" s="523"/>
      <c r="G323" s="523"/>
      <c r="H323" s="523"/>
      <c r="I323" s="523"/>
      <c r="J323" s="523"/>
      <c r="K323" s="523"/>
      <c r="L323" s="523"/>
      <c r="M323" s="524"/>
    </row>
    <row r="324" spans="1:13" x14ac:dyDescent="0.25">
      <c r="A324" s="522"/>
      <c r="B324" s="526"/>
      <c r="C324" s="523"/>
      <c r="D324" s="523"/>
      <c r="E324" s="523"/>
      <c r="F324" s="523"/>
      <c r="G324" s="523"/>
      <c r="H324" s="523"/>
      <c r="I324" s="523"/>
      <c r="J324" s="523"/>
      <c r="K324" s="523"/>
      <c r="L324" s="523"/>
      <c r="M324" s="524"/>
    </row>
    <row r="325" spans="1:13" x14ac:dyDescent="0.25">
      <c r="A325" s="522" t="s">
        <v>515</v>
      </c>
      <c r="B325" s="526"/>
      <c r="C325" s="523"/>
      <c r="D325" s="523"/>
      <c r="E325" s="523"/>
      <c r="F325" s="523"/>
      <c r="G325" s="523"/>
      <c r="H325" s="523"/>
      <c r="I325" s="523"/>
      <c r="J325" s="523"/>
      <c r="K325" s="523"/>
      <c r="L325" s="523"/>
      <c r="M325" s="524"/>
    </row>
    <row r="326" spans="1:13" x14ac:dyDescent="0.25">
      <c r="A326" s="522"/>
      <c r="B326" s="526"/>
      <c r="C326" s="523"/>
      <c r="D326" s="523"/>
      <c r="E326" s="523"/>
      <c r="F326" s="523"/>
      <c r="G326" s="523"/>
      <c r="H326" s="523"/>
      <c r="I326" s="523"/>
      <c r="J326" s="523"/>
      <c r="K326" s="523"/>
      <c r="L326" s="523"/>
      <c r="M326" s="524"/>
    </row>
    <row r="327" spans="1:13" x14ac:dyDescent="0.25">
      <c r="A327" s="522"/>
      <c r="B327" s="523" t="s">
        <v>464</v>
      </c>
      <c r="C327" s="526" t="s">
        <v>399</v>
      </c>
      <c r="D327" s="523"/>
      <c r="E327" s="523"/>
      <c r="F327" s="523"/>
      <c r="G327" s="523"/>
      <c r="H327" s="523"/>
      <c r="I327" s="523"/>
      <c r="J327" s="523"/>
      <c r="K327" s="523"/>
      <c r="L327" s="523"/>
      <c r="M327" s="524"/>
    </row>
    <row r="328" spans="1:13" x14ac:dyDescent="0.25">
      <c r="A328" s="522"/>
      <c r="B328" s="526"/>
      <c r="C328" s="523"/>
      <c r="D328" s="523"/>
      <c r="E328" s="523"/>
      <c r="F328" s="523"/>
      <c r="G328" s="523"/>
      <c r="H328" s="523"/>
      <c r="I328" s="523"/>
      <c r="J328" s="523"/>
      <c r="K328" s="523"/>
      <c r="L328" s="523"/>
      <c r="M328" s="524"/>
    </row>
    <row r="329" spans="1:13" x14ac:dyDescent="0.25">
      <c r="A329" s="525"/>
      <c r="B329" s="523" t="s">
        <v>464</v>
      </c>
      <c r="C329" s="523">
        <f>'F-LSCD-002 (Dosimetría)'!E51/2</f>
        <v>0.05</v>
      </c>
      <c r="D329" s="526" t="s">
        <v>12</v>
      </c>
      <c r="E329" s="523"/>
      <c r="F329" s="523"/>
      <c r="G329" s="523"/>
      <c r="H329" s="523"/>
      <c r="I329" s="523"/>
      <c r="J329" s="523"/>
      <c r="K329" s="523"/>
      <c r="L329" s="523"/>
      <c r="M329" s="524"/>
    </row>
    <row r="330" spans="1:13" x14ac:dyDescent="0.25">
      <c r="A330" s="525"/>
      <c r="B330" s="523"/>
      <c r="C330" s="523"/>
      <c r="D330" s="526"/>
      <c r="E330" s="523"/>
      <c r="F330" s="523"/>
      <c r="G330" s="523"/>
      <c r="H330" s="523"/>
      <c r="I330" s="523"/>
      <c r="J330" s="523"/>
      <c r="K330" s="523"/>
      <c r="L330" s="523"/>
      <c r="M330" s="524"/>
    </row>
    <row r="331" spans="1:13" x14ac:dyDescent="0.25">
      <c r="A331" s="522" t="s">
        <v>516</v>
      </c>
      <c r="B331" s="523"/>
      <c r="C331" s="523"/>
      <c r="D331" s="526"/>
      <c r="E331" s="523"/>
      <c r="F331" s="523"/>
      <c r="G331" s="523"/>
      <c r="H331" s="523"/>
      <c r="I331" s="523"/>
      <c r="J331" s="523"/>
      <c r="K331" s="523"/>
      <c r="L331" s="523"/>
      <c r="M331" s="524"/>
    </row>
    <row r="332" spans="1:13" x14ac:dyDescent="0.25">
      <c r="A332" s="525"/>
      <c r="B332" s="523"/>
      <c r="C332" s="523"/>
      <c r="D332" s="526"/>
      <c r="E332" s="523"/>
      <c r="F332" s="523"/>
      <c r="G332" s="523"/>
      <c r="H332" s="523"/>
      <c r="I332" s="523"/>
      <c r="J332" s="523"/>
      <c r="K332" s="523"/>
      <c r="L332" s="523"/>
      <c r="M332" s="524"/>
    </row>
    <row r="333" spans="1:13" x14ac:dyDescent="0.25">
      <c r="A333" s="525"/>
      <c r="B333" s="528"/>
      <c r="C333" s="523"/>
      <c r="D333" s="526"/>
      <c r="E333" s="523"/>
      <c r="F333" s="523"/>
      <c r="G333" s="523"/>
      <c r="H333" s="523"/>
      <c r="I333" s="523"/>
      <c r="J333" s="523"/>
      <c r="K333" s="523"/>
      <c r="L333" s="523"/>
      <c r="M333" s="524"/>
    </row>
    <row r="334" spans="1:13" x14ac:dyDescent="0.25">
      <c r="A334" s="525"/>
      <c r="B334" s="523"/>
      <c r="C334" s="523"/>
      <c r="D334" s="526"/>
      <c r="E334" s="523"/>
      <c r="F334" s="523"/>
      <c r="G334" s="523"/>
      <c r="H334" s="523"/>
      <c r="I334" s="523"/>
      <c r="J334" s="523"/>
      <c r="K334" s="523"/>
      <c r="L334" s="523"/>
      <c r="M334" s="524"/>
    </row>
    <row r="335" spans="1:13" x14ac:dyDescent="0.25">
      <c r="A335" s="525"/>
      <c r="B335" s="523"/>
      <c r="C335" s="523"/>
      <c r="D335" s="526"/>
      <c r="E335" s="523"/>
      <c r="F335" s="523"/>
      <c r="G335" s="523"/>
      <c r="H335" s="523"/>
      <c r="I335" s="523"/>
      <c r="J335" s="523"/>
      <c r="K335" s="523"/>
      <c r="L335" s="523"/>
      <c r="M335" s="524"/>
    </row>
    <row r="336" spans="1:13" ht="18" x14ac:dyDescent="0.25">
      <c r="A336" s="525"/>
      <c r="B336" s="545" t="s">
        <v>636</v>
      </c>
      <c r="C336" s="527">
        <f>C320</f>
        <v>-2.4494816087782085E-5</v>
      </c>
      <c r="D336" s="526" t="str">
        <f>D320</f>
        <v>Gy/(h.°C)</v>
      </c>
      <c r="E336" s="523"/>
      <c r="F336" s="523"/>
      <c r="G336" s="523"/>
      <c r="H336" s="523"/>
      <c r="I336" s="523"/>
      <c r="J336" s="523"/>
      <c r="K336" s="523"/>
      <c r="L336" s="523"/>
      <c r="M336" s="524"/>
    </row>
    <row r="337" spans="1:13" ht="15.75" thickBot="1" x14ac:dyDescent="0.3">
      <c r="A337" s="529"/>
      <c r="B337" s="530"/>
      <c r="C337" s="530"/>
      <c r="D337" s="530"/>
      <c r="E337" s="530"/>
      <c r="F337" s="530"/>
      <c r="G337" s="530"/>
      <c r="H337" s="530"/>
      <c r="I337" s="530"/>
      <c r="J337" s="530"/>
      <c r="K337" s="530"/>
      <c r="L337" s="530"/>
      <c r="M337" s="531"/>
    </row>
    <row r="338" spans="1:13" x14ac:dyDescent="0.25">
      <c r="A338" s="519"/>
      <c r="B338" s="520"/>
      <c r="C338" s="520"/>
      <c r="D338" s="520"/>
      <c r="E338" s="520"/>
      <c r="F338" s="520"/>
      <c r="G338" s="520"/>
      <c r="H338" s="520"/>
      <c r="I338" s="520"/>
      <c r="J338" s="520"/>
      <c r="K338" s="520"/>
      <c r="L338" s="520"/>
      <c r="M338" s="521"/>
    </row>
    <row r="339" spans="1:13" x14ac:dyDescent="0.25">
      <c r="A339" s="323" t="s">
        <v>990</v>
      </c>
      <c r="B339" s="523"/>
      <c r="C339" s="523"/>
      <c r="D339" s="523"/>
      <c r="E339" s="523"/>
      <c r="F339" s="523"/>
      <c r="G339" s="523"/>
      <c r="H339" s="523"/>
      <c r="I339" s="523"/>
      <c r="J339" s="523"/>
      <c r="K339" s="523"/>
      <c r="L339" s="523"/>
      <c r="M339" s="524"/>
    </row>
    <row r="340" spans="1:13" x14ac:dyDescent="0.25">
      <c r="A340" s="522"/>
      <c r="B340" s="523"/>
      <c r="C340" s="523"/>
      <c r="D340" s="523"/>
      <c r="E340" s="523"/>
      <c r="F340" s="523"/>
      <c r="G340" s="523"/>
      <c r="H340" s="523"/>
      <c r="I340" s="523"/>
      <c r="J340" s="523"/>
      <c r="K340" s="523"/>
      <c r="L340" s="523"/>
      <c r="M340" s="524"/>
    </row>
    <row r="341" spans="1:13" x14ac:dyDescent="0.25">
      <c r="A341" s="522" t="s">
        <v>518</v>
      </c>
      <c r="B341" s="523"/>
      <c r="C341" s="523"/>
      <c r="D341" s="523"/>
      <c r="E341" s="523"/>
      <c r="F341" s="523"/>
      <c r="G341" s="523"/>
      <c r="H341" s="523"/>
      <c r="I341" s="523"/>
      <c r="J341" s="523"/>
      <c r="K341" s="523"/>
      <c r="L341" s="523"/>
      <c r="M341" s="524"/>
    </row>
    <row r="342" spans="1:13" x14ac:dyDescent="0.25">
      <c r="A342" s="522"/>
      <c r="B342" s="523"/>
      <c r="C342" s="523"/>
      <c r="D342" s="523"/>
      <c r="E342" s="523"/>
      <c r="F342" s="523"/>
      <c r="G342" s="523"/>
      <c r="H342" s="523"/>
      <c r="I342" s="523"/>
      <c r="J342" s="523"/>
      <c r="K342" s="523"/>
      <c r="L342" s="523"/>
      <c r="M342" s="524"/>
    </row>
    <row r="343" spans="1:13" x14ac:dyDescent="0.25">
      <c r="A343" s="525"/>
      <c r="B343" s="523" t="s">
        <v>464</v>
      </c>
      <c r="C343" s="526" t="s">
        <v>455</v>
      </c>
      <c r="D343" s="523"/>
      <c r="E343" s="523"/>
      <c r="F343" s="523"/>
      <c r="G343" s="523"/>
      <c r="H343" s="523"/>
      <c r="I343" s="523"/>
      <c r="J343" s="523"/>
      <c r="K343" s="523"/>
      <c r="L343" s="523"/>
      <c r="M343" s="524"/>
    </row>
    <row r="344" spans="1:13" x14ac:dyDescent="0.25">
      <c r="A344" s="525"/>
      <c r="B344" s="523"/>
      <c r="C344" s="523"/>
      <c r="D344" s="523"/>
      <c r="E344" s="523"/>
      <c r="F344" s="523"/>
      <c r="G344" s="523"/>
      <c r="H344" s="523"/>
      <c r="I344" s="523"/>
      <c r="J344" s="523"/>
      <c r="K344" s="523"/>
      <c r="L344" s="523"/>
      <c r="M344" s="524"/>
    </row>
    <row r="345" spans="1:13" x14ac:dyDescent="0.25">
      <c r="A345" s="525"/>
      <c r="B345" s="523" t="s">
        <v>464</v>
      </c>
      <c r="C345" s="523">
        <f>'F-LSCD-002 (Dosimetría)'!F59</f>
        <v>0.3</v>
      </c>
      <c r="D345" s="526" t="s">
        <v>16</v>
      </c>
      <c r="E345" s="523"/>
      <c r="F345" s="523"/>
      <c r="G345" s="523"/>
      <c r="H345" s="523"/>
      <c r="I345" s="523"/>
      <c r="J345" s="523"/>
      <c r="K345" s="523"/>
      <c r="L345" s="523"/>
      <c r="M345" s="524"/>
    </row>
    <row r="346" spans="1:13" x14ac:dyDescent="0.25">
      <c r="A346" s="525"/>
      <c r="B346" s="523"/>
      <c r="C346" s="523"/>
      <c r="D346" s="523"/>
      <c r="E346" s="523"/>
      <c r="F346" s="523"/>
      <c r="G346" s="523"/>
      <c r="H346" s="523"/>
      <c r="I346" s="523"/>
      <c r="J346" s="523"/>
      <c r="K346" s="523"/>
      <c r="L346" s="523"/>
      <c r="M346" s="524"/>
    </row>
    <row r="347" spans="1:13" x14ac:dyDescent="0.25">
      <c r="A347" s="525"/>
      <c r="B347" s="526" t="s">
        <v>397</v>
      </c>
      <c r="C347" s="523"/>
      <c r="D347" s="523"/>
      <c r="E347" s="523"/>
      <c r="F347" s="523"/>
      <c r="G347" s="523"/>
      <c r="H347" s="523"/>
      <c r="I347" s="523"/>
      <c r="J347" s="523"/>
      <c r="K347" s="523"/>
      <c r="L347" s="523"/>
      <c r="M347" s="524"/>
    </row>
    <row r="348" spans="1:13" x14ac:dyDescent="0.25">
      <c r="A348" s="525"/>
      <c r="B348" s="526" t="s">
        <v>456</v>
      </c>
      <c r="C348" s="523"/>
      <c r="D348" s="523"/>
      <c r="E348" s="523"/>
      <c r="F348" s="523"/>
      <c r="G348" s="523"/>
      <c r="H348" s="523"/>
      <c r="I348" s="523"/>
      <c r="J348" s="523"/>
      <c r="K348" s="523"/>
      <c r="L348" s="523"/>
      <c r="M348" s="524"/>
    </row>
    <row r="349" spans="1:13" x14ac:dyDescent="0.25">
      <c r="A349" s="525"/>
      <c r="B349" s="526"/>
      <c r="C349" s="523"/>
      <c r="D349" s="523"/>
      <c r="E349" s="523"/>
      <c r="F349" s="523"/>
      <c r="G349" s="523"/>
      <c r="H349" s="523"/>
      <c r="I349" s="523"/>
      <c r="J349" s="523"/>
      <c r="K349" s="523"/>
      <c r="L349" s="523"/>
      <c r="M349" s="524"/>
    </row>
    <row r="350" spans="1:13" x14ac:dyDescent="0.25">
      <c r="A350" s="522" t="s">
        <v>519</v>
      </c>
      <c r="B350" s="526"/>
      <c r="C350" s="523"/>
      <c r="D350" s="523"/>
      <c r="E350" s="523"/>
      <c r="F350" s="523"/>
      <c r="G350" s="523"/>
      <c r="H350" s="523"/>
      <c r="I350" s="523"/>
      <c r="J350" s="523"/>
      <c r="K350" s="523"/>
      <c r="L350" s="523"/>
      <c r="M350" s="524"/>
    </row>
    <row r="351" spans="1:13" x14ac:dyDescent="0.25">
      <c r="A351" s="522"/>
      <c r="B351" s="526"/>
      <c r="C351" s="523"/>
      <c r="D351" s="523"/>
      <c r="E351" s="523"/>
      <c r="F351" s="523"/>
      <c r="G351" s="523"/>
      <c r="H351" s="523"/>
      <c r="I351" s="523"/>
      <c r="J351" s="523"/>
      <c r="K351" s="523"/>
      <c r="L351" s="523"/>
      <c r="M351" s="524"/>
    </row>
    <row r="352" spans="1:13" x14ac:dyDescent="0.25">
      <c r="A352" s="522"/>
      <c r="B352" s="528"/>
      <c r="C352" s="523"/>
      <c r="D352" s="523"/>
      <c r="E352" s="523"/>
      <c r="F352" s="523"/>
      <c r="G352" s="523"/>
      <c r="H352" s="523"/>
      <c r="I352" s="523"/>
      <c r="J352" s="523"/>
      <c r="K352" s="523"/>
      <c r="L352" s="523"/>
      <c r="M352" s="524"/>
    </row>
    <row r="353" spans="1:13" x14ac:dyDescent="0.25">
      <c r="A353" s="522"/>
      <c r="B353" s="526"/>
      <c r="C353" s="523"/>
      <c r="D353" s="523"/>
      <c r="E353" s="523"/>
      <c r="F353" s="523"/>
      <c r="G353" s="523"/>
      <c r="H353" s="523"/>
      <c r="I353" s="523"/>
      <c r="J353" s="523"/>
      <c r="K353" s="523"/>
      <c r="L353" s="523"/>
      <c r="M353" s="524"/>
    </row>
    <row r="354" spans="1:13" x14ac:dyDescent="0.25">
      <c r="A354" s="522"/>
      <c r="B354" s="526"/>
      <c r="C354" s="523"/>
      <c r="D354" s="523"/>
      <c r="E354" s="523"/>
      <c r="F354" s="523"/>
      <c r="G354" s="523"/>
      <c r="H354" s="523"/>
      <c r="I354" s="523"/>
      <c r="J354" s="523"/>
      <c r="K354" s="523"/>
      <c r="L354" s="523"/>
      <c r="M354" s="524"/>
    </row>
    <row r="355" spans="1:13" ht="18" x14ac:dyDescent="0.25">
      <c r="A355" s="525"/>
      <c r="B355" s="545" t="s">
        <v>637</v>
      </c>
      <c r="C355" s="527">
        <f>-(C87/C88)*((273.2+C92)*C89/((273.2+C91)*C90^2))*C84*C85*C86*3600</f>
        <v>7.1158653349664779E-6</v>
      </c>
      <c r="D355" s="526" t="s">
        <v>395</v>
      </c>
      <c r="E355" s="523"/>
      <c r="F355" s="523"/>
      <c r="G355" s="523"/>
      <c r="H355" s="523"/>
      <c r="I355" s="523"/>
      <c r="J355" s="523"/>
      <c r="K355" s="523"/>
      <c r="L355" s="523"/>
      <c r="M355" s="524"/>
    </row>
    <row r="356" spans="1:13" ht="15.75" thickBot="1" x14ac:dyDescent="0.3">
      <c r="A356" s="529"/>
      <c r="B356" s="556"/>
      <c r="C356" s="530"/>
      <c r="D356" s="530"/>
      <c r="E356" s="530"/>
      <c r="F356" s="530"/>
      <c r="G356" s="530"/>
      <c r="H356" s="530"/>
      <c r="I356" s="530"/>
      <c r="J356" s="530"/>
      <c r="K356" s="530"/>
      <c r="L356" s="530"/>
      <c r="M356" s="531"/>
    </row>
    <row r="357" spans="1:13" x14ac:dyDescent="0.25">
      <c r="A357" s="553"/>
      <c r="B357" s="544"/>
      <c r="C357" s="520"/>
      <c r="D357" s="520"/>
      <c r="E357" s="520"/>
      <c r="F357" s="520"/>
      <c r="G357" s="520"/>
      <c r="H357" s="520"/>
      <c r="I357" s="520"/>
      <c r="J357" s="520"/>
      <c r="K357" s="520"/>
      <c r="L357" s="520"/>
      <c r="M357" s="521"/>
    </row>
    <row r="358" spans="1:13" x14ac:dyDescent="0.25">
      <c r="A358" s="522" t="s">
        <v>520</v>
      </c>
      <c r="B358" s="526"/>
      <c r="C358" s="523"/>
      <c r="D358" s="523"/>
      <c r="E358" s="523"/>
      <c r="F358" s="523"/>
      <c r="G358" s="523"/>
      <c r="H358" s="523"/>
      <c r="I358" s="523"/>
      <c r="J358" s="523"/>
      <c r="K358" s="523"/>
      <c r="L358" s="523"/>
      <c r="M358" s="524"/>
    </row>
    <row r="359" spans="1:13" x14ac:dyDescent="0.25">
      <c r="A359" s="522"/>
      <c r="B359" s="526"/>
      <c r="C359" s="523"/>
      <c r="D359" s="523"/>
      <c r="E359" s="523"/>
      <c r="F359" s="523"/>
      <c r="G359" s="523"/>
      <c r="H359" s="523"/>
      <c r="I359" s="523"/>
      <c r="J359" s="523"/>
      <c r="K359" s="523"/>
      <c r="L359" s="523"/>
      <c r="M359" s="524"/>
    </row>
    <row r="360" spans="1:13" x14ac:dyDescent="0.25">
      <c r="A360" s="522" t="s">
        <v>521</v>
      </c>
      <c r="B360" s="526"/>
      <c r="C360" s="523"/>
      <c r="D360" s="523"/>
      <c r="E360" s="523"/>
      <c r="F360" s="523"/>
      <c r="G360" s="523"/>
      <c r="H360" s="523"/>
      <c r="I360" s="523"/>
      <c r="J360" s="523"/>
      <c r="K360" s="523"/>
      <c r="L360" s="523"/>
      <c r="M360" s="524"/>
    </row>
    <row r="361" spans="1:13" x14ac:dyDescent="0.25">
      <c r="A361" s="525"/>
      <c r="B361" s="526"/>
      <c r="C361" s="523"/>
      <c r="D361" s="523"/>
      <c r="E361" s="523"/>
      <c r="F361" s="523"/>
      <c r="G361" s="523"/>
      <c r="H361" s="523"/>
      <c r="I361" s="523"/>
      <c r="J361" s="523"/>
      <c r="K361" s="523"/>
      <c r="L361" s="523"/>
      <c r="M361" s="524"/>
    </row>
    <row r="362" spans="1:13" x14ac:dyDescent="0.25">
      <c r="A362" s="525"/>
      <c r="B362" s="523" t="s">
        <v>464</v>
      </c>
      <c r="C362" s="526" t="s">
        <v>399</v>
      </c>
      <c r="D362" s="523"/>
      <c r="E362" s="523"/>
      <c r="F362" s="523"/>
      <c r="G362" s="523"/>
      <c r="H362" s="523"/>
      <c r="I362" s="523"/>
      <c r="J362" s="523"/>
      <c r="K362" s="523"/>
      <c r="L362" s="523"/>
      <c r="M362" s="524"/>
    </row>
    <row r="363" spans="1:13" x14ac:dyDescent="0.25">
      <c r="A363" s="525"/>
      <c r="B363" s="526"/>
      <c r="C363" s="523"/>
      <c r="D363" s="523"/>
      <c r="E363" s="523"/>
      <c r="F363" s="523"/>
      <c r="G363" s="523"/>
      <c r="H363" s="523"/>
      <c r="I363" s="523"/>
      <c r="J363" s="523"/>
      <c r="K363" s="523"/>
      <c r="L363" s="523"/>
      <c r="M363" s="524"/>
    </row>
    <row r="364" spans="1:13" x14ac:dyDescent="0.25">
      <c r="A364" s="525"/>
      <c r="B364" s="523" t="s">
        <v>464</v>
      </c>
      <c r="C364" s="523">
        <f>'F-LSCD-002 (Dosimetría)'!E59/2</f>
        <v>0.05</v>
      </c>
      <c r="D364" s="526" t="s">
        <v>16</v>
      </c>
      <c r="E364" s="523"/>
      <c r="F364" s="523"/>
      <c r="G364" s="523"/>
      <c r="H364" s="523"/>
      <c r="I364" s="523"/>
      <c r="J364" s="523"/>
      <c r="K364" s="523"/>
      <c r="L364" s="523"/>
      <c r="M364" s="524"/>
    </row>
    <row r="365" spans="1:13" x14ac:dyDescent="0.25">
      <c r="A365" s="525"/>
      <c r="B365" s="523"/>
      <c r="C365" s="523"/>
      <c r="D365" s="523"/>
      <c r="E365" s="523"/>
      <c r="F365" s="523"/>
      <c r="G365" s="523"/>
      <c r="H365" s="523"/>
      <c r="I365" s="523"/>
      <c r="J365" s="523"/>
      <c r="K365" s="523"/>
      <c r="L365" s="523"/>
      <c r="M365" s="524"/>
    </row>
    <row r="366" spans="1:13" x14ac:dyDescent="0.25">
      <c r="A366" s="525"/>
      <c r="B366" s="526" t="s">
        <v>397</v>
      </c>
      <c r="C366" s="523"/>
      <c r="D366" s="523"/>
      <c r="E366" s="523"/>
      <c r="F366" s="523"/>
      <c r="G366" s="523"/>
      <c r="H366" s="523"/>
      <c r="I366" s="523"/>
      <c r="J366" s="523"/>
      <c r="K366" s="523"/>
      <c r="L366" s="523"/>
      <c r="M366" s="524"/>
    </row>
    <row r="367" spans="1:13" x14ac:dyDescent="0.25">
      <c r="A367" s="525"/>
      <c r="B367" s="526" t="s">
        <v>456</v>
      </c>
      <c r="C367" s="523"/>
      <c r="D367" s="523"/>
      <c r="E367" s="523"/>
      <c r="F367" s="523"/>
      <c r="G367" s="523"/>
      <c r="H367" s="523"/>
      <c r="I367" s="523"/>
      <c r="J367" s="523"/>
      <c r="K367" s="523"/>
      <c r="L367" s="523"/>
      <c r="M367" s="524"/>
    </row>
    <row r="368" spans="1:13" x14ac:dyDescent="0.25">
      <c r="A368" s="525"/>
      <c r="B368" s="526"/>
      <c r="C368" s="523"/>
      <c r="D368" s="523"/>
      <c r="E368" s="523"/>
      <c r="F368" s="523"/>
      <c r="G368" s="523"/>
      <c r="H368" s="523"/>
      <c r="I368" s="523"/>
      <c r="J368" s="523"/>
      <c r="K368" s="523"/>
      <c r="L368" s="523"/>
      <c r="M368" s="524"/>
    </row>
    <row r="369" spans="1:13" x14ac:dyDescent="0.25">
      <c r="A369" s="522" t="s">
        <v>522</v>
      </c>
      <c r="B369" s="526"/>
      <c r="C369" s="523"/>
      <c r="D369" s="523"/>
      <c r="E369" s="523"/>
      <c r="F369" s="523"/>
      <c r="G369" s="523"/>
      <c r="H369" s="523"/>
      <c r="I369" s="523"/>
      <c r="J369" s="523"/>
      <c r="K369" s="523"/>
      <c r="L369" s="523"/>
      <c r="M369" s="524"/>
    </row>
    <row r="370" spans="1:13" x14ac:dyDescent="0.25">
      <c r="A370" s="525"/>
      <c r="B370" s="526"/>
      <c r="C370" s="523"/>
      <c r="D370" s="523"/>
      <c r="E370" s="523"/>
      <c r="F370" s="523"/>
      <c r="G370" s="523"/>
      <c r="H370" s="523"/>
      <c r="I370" s="523"/>
      <c r="J370" s="523"/>
      <c r="K370" s="523"/>
      <c r="L370" s="523"/>
      <c r="M370" s="524"/>
    </row>
    <row r="371" spans="1:13" x14ac:dyDescent="0.25">
      <c r="A371" s="525"/>
      <c r="B371" s="528"/>
      <c r="C371" s="523"/>
      <c r="D371" s="523"/>
      <c r="E371" s="523"/>
      <c r="F371" s="523"/>
      <c r="G371" s="523"/>
      <c r="H371" s="523"/>
      <c r="I371" s="523"/>
      <c r="J371" s="523"/>
      <c r="K371" s="523"/>
      <c r="L371" s="523"/>
      <c r="M371" s="524"/>
    </row>
    <row r="372" spans="1:13" x14ac:dyDescent="0.25">
      <c r="A372" s="525"/>
      <c r="B372" s="526"/>
      <c r="C372" s="523"/>
      <c r="D372" s="523"/>
      <c r="E372" s="523"/>
      <c r="F372" s="523"/>
      <c r="G372" s="523"/>
      <c r="H372" s="523"/>
      <c r="I372" s="523"/>
      <c r="J372" s="523"/>
      <c r="K372" s="523"/>
      <c r="L372" s="523"/>
      <c r="M372" s="524"/>
    </row>
    <row r="373" spans="1:13" x14ac:dyDescent="0.25">
      <c r="A373" s="525"/>
      <c r="B373" s="526"/>
      <c r="C373" s="523"/>
      <c r="D373" s="523"/>
      <c r="E373" s="523"/>
      <c r="F373" s="523"/>
      <c r="G373" s="523"/>
      <c r="H373" s="523"/>
      <c r="I373" s="523"/>
      <c r="J373" s="523"/>
      <c r="K373" s="523"/>
      <c r="L373" s="523"/>
      <c r="M373" s="524"/>
    </row>
    <row r="374" spans="1:13" ht="18" x14ac:dyDescent="0.25">
      <c r="A374" s="525"/>
      <c r="B374" s="523" t="s">
        <v>523</v>
      </c>
      <c r="C374" s="527">
        <f>C355</f>
        <v>7.1158653349664779E-6</v>
      </c>
      <c r="D374" s="523" t="str">
        <f>D355</f>
        <v>Gy/(h.hPa)</v>
      </c>
      <c r="E374" s="523"/>
      <c r="F374" s="523"/>
      <c r="G374" s="523"/>
      <c r="H374" s="523"/>
      <c r="I374" s="523"/>
      <c r="J374" s="523"/>
      <c r="K374" s="523"/>
      <c r="L374" s="523"/>
      <c r="M374" s="524"/>
    </row>
    <row r="375" spans="1:13" ht="15.75" thickBot="1" x14ac:dyDescent="0.3">
      <c r="A375" s="529"/>
      <c r="B375" s="543"/>
      <c r="C375" s="530"/>
      <c r="D375" s="530"/>
      <c r="E375" s="530"/>
      <c r="F375" s="530"/>
      <c r="G375" s="530"/>
      <c r="H375" s="530"/>
      <c r="I375" s="530"/>
      <c r="J375" s="530"/>
      <c r="K375" s="530"/>
      <c r="L375" s="530"/>
      <c r="M375" s="531"/>
    </row>
    <row r="376" spans="1:13" x14ac:dyDescent="0.25">
      <c r="A376" s="519"/>
      <c r="B376" s="557"/>
      <c r="C376" s="520"/>
      <c r="D376" s="520"/>
      <c r="E376" s="520"/>
      <c r="F376" s="520"/>
      <c r="G376" s="520"/>
      <c r="H376" s="520"/>
      <c r="I376" s="520"/>
      <c r="J376" s="520"/>
      <c r="K376" s="520"/>
      <c r="L376" s="520"/>
      <c r="M376" s="521"/>
    </row>
    <row r="377" spans="1:13" x14ac:dyDescent="0.25">
      <c r="A377" s="522" t="s">
        <v>564</v>
      </c>
      <c r="B377" s="526"/>
      <c r="C377" s="523"/>
      <c r="D377" s="523"/>
      <c r="E377" s="523"/>
      <c r="F377" s="523"/>
      <c r="G377" s="523"/>
      <c r="H377" s="523"/>
      <c r="I377" s="523"/>
      <c r="J377" s="523"/>
      <c r="K377" s="523"/>
      <c r="L377" s="523"/>
      <c r="M377" s="524"/>
    </row>
    <row r="378" spans="1:13" x14ac:dyDescent="0.25">
      <c r="A378" s="522"/>
      <c r="B378" s="526"/>
      <c r="C378" s="523"/>
      <c r="D378" s="523"/>
      <c r="E378" s="523"/>
      <c r="F378" s="523"/>
      <c r="G378" s="523"/>
      <c r="H378" s="523"/>
      <c r="I378" s="523"/>
      <c r="J378" s="523"/>
      <c r="K378" s="523"/>
      <c r="L378" s="523"/>
      <c r="M378" s="524"/>
    </row>
    <row r="379" spans="1:13" x14ac:dyDescent="0.25">
      <c r="A379" s="522" t="s">
        <v>565</v>
      </c>
      <c r="B379" s="526"/>
      <c r="C379" s="523"/>
      <c r="D379" s="523"/>
      <c r="E379" s="523"/>
      <c r="F379" s="523"/>
      <c r="G379" s="523"/>
      <c r="H379" s="523"/>
      <c r="I379" s="523"/>
      <c r="J379" s="523"/>
      <c r="K379" s="523"/>
      <c r="L379" s="523"/>
      <c r="M379" s="524"/>
    </row>
    <row r="380" spans="1:13" x14ac:dyDescent="0.25">
      <c r="A380" s="522"/>
      <c r="B380" s="526"/>
      <c r="C380" s="523"/>
      <c r="D380" s="523"/>
      <c r="E380" s="523"/>
      <c r="F380" s="523"/>
      <c r="G380" s="523"/>
      <c r="H380" s="523"/>
      <c r="I380" s="523"/>
      <c r="J380" s="523"/>
      <c r="K380" s="523"/>
      <c r="L380" s="523"/>
      <c r="M380" s="524"/>
    </row>
    <row r="381" spans="1:13" x14ac:dyDescent="0.25">
      <c r="A381" s="522"/>
      <c r="B381" s="523" t="s">
        <v>464</v>
      </c>
      <c r="C381" s="526" t="s">
        <v>570</v>
      </c>
      <c r="D381" s="523"/>
      <c r="E381" s="523"/>
      <c r="F381" s="523"/>
      <c r="G381" s="523"/>
      <c r="H381" s="523"/>
      <c r="I381" s="523"/>
      <c r="J381" s="523"/>
      <c r="K381" s="523"/>
      <c r="L381" s="523"/>
      <c r="M381" s="524"/>
    </row>
    <row r="382" spans="1:13" x14ac:dyDescent="0.25">
      <c r="A382" s="522"/>
      <c r="B382" s="526"/>
      <c r="C382" s="523"/>
      <c r="D382" s="523"/>
      <c r="E382" s="523"/>
      <c r="F382" s="523"/>
      <c r="G382" s="523"/>
      <c r="H382" s="523"/>
      <c r="I382" s="523"/>
      <c r="J382" s="523"/>
      <c r="K382" s="523"/>
      <c r="L382" s="523"/>
      <c r="M382" s="524"/>
    </row>
    <row r="383" spans="1:13" x14ac:dyDescent="0.25">
      <c r="A383" s="525"/>
      <c r="B383" s="523" t="s">
        <v>464</v>
      </c>
      <c r="C383" s="527">
        <f>('F-LSCD-002 (Dosimetría)'!I42/3600)/2</f>
        <v>6.9444444444444444E-5</v>
      </c>
      <c r="D383" s="526" t="s">
        <v>571</v>
      </c>
      <c r="E383" s="523"/>
      <c r="F383" s="523"/>
      <c r="G383" s="523"/>
      <c r="H383" s="523"/>
      <c r="I383" s="523"/>
      <c r="J383" s="523"/>
      <c r="K383" s="523"/>
      <c r="L383" s="523"/>
      <c r="M383" s="524"/>
    </row>
    <row r="384" spans="1:13" x14ac:dyDescent="0.25">
      <c r="A384" s="525"/>
      <c r="B384" s="523"/>
      <c r="C384" s="523"/>
      <c r="D384" s="526"/>
      <c r="E384" s="523"/>
      <c r="F384" s="523"/>
      <c r="G384" s="523"/>
      <c r="H384" s="523"/>
      <c r="I384" s="523"/>
      <c r="J384" s="523"/>
      <c r="K384" s="523"/>
      <c r="L384" s="523"/>
      <c r="M384" s="524"/>
    </row>
    <row r="385" spans="1:13" x14ac:dyDescent="0.25">
      <c r="A385" s="522" t="s">
        <v>566</v>
      </c>
      <c r="B385" s="523"/>
      <c r="C385" s="523"/>
      <c r="D385" s="526"/>
      <c r="E385" s="523"/>
      <c r="F385" s="523"/>
      <c r="G385" s="523"/>
      <c r="H385" s="523"/>
      <c r="I385" s="523"/>
      <c r="J385" s="523"/>
      <c r="K385" s="523"/>
      <c r="L385" s="523"/>
      <c r="M385" s="524"/>
    </row>
    <row r="386" spans="1:13" x14ac:dyDescent="0.25">
      <c r="A386" s="525"/>
      <c r="B386" s="523"/>
      <c r="C386" s="523"/>
      <c r="D386" s="526"/>
      <c r="E386" s="523"/>
      <c r="F386" s="523"/>
      <c r="G386" s="523"/>
      <c r="H386" s="523"/>
      <c r="I386" s="523"/>
      <c r="J386" s="523"/>
      <c r="K386" s="523"/>
      <c r="L386" s="523"/>
      <c r="M386" s="524"/>
    </row>
    <row r="387" spans="1:13" x14ac:dyDescent="0.25">
      <c r="A387" s="525"/>
      <c r="B387" s="528"/>
      <c r="C387" s="523"/>
      <c r="D387" s="526"/>
      <c r="E387" s="523"/>
      <c r="F387" s="523"/>
      <c r="G387" s="523"/>
      <c r="H387" s="523"/>
      <c r="I387" s="523"/>
      <c r="J387" s="523"/>
      <c r="K387" s="523"/>
      <c r="L387" s="523"/>
      <c r="M387" s="524"/>
    </row>
    <row r="388" spans="1:13" x14ac:dyDescent="0.25">
      <c r="A388" s="525"/>
      <c r="B388" s="523"/>
      <c r="C388" s="523"/>
      <c r="D388" s="526"/>
      <c r="E388" s="523"/>
      <c r="F388" s="523"/>
      <c r="G388" s="523"/>
      <c r="H388" s="523"/>
      <c r="I388" s="523"/>
      <c r="J388" s="523"/>
      <c r="K388" s="523"/>
      <c r="L388" s="523"/>
      <c r="M388" s="524"/>
    </row>
    <row r="389" spans="1:13" x14ac:dyDescent="0.25">
      <c r="A389" s="525"/>
      <c r="B389" s="523"/>
      <c r="C389" s="523"/>
      <c r="D389" s="526"/>
      <c r="E389" s="523"/>
      <c r="F389" s="523"/>
      <c r="G389" s="523"/>
      <c r="H389" s="523"/>
      <c r="I389" s="523"/>
      <c r="J389" s="523"/>
      <c r="K389" s="523"/>
      <c r="L389" s="523"/>
      <c r="M389" s="524"/>
    </row>
    <row r="390" spans="1:13" ht="18" x14ac:dyDescent="0.25">
      <c r="A390" s="525"/>
      <c r="B390" s="545" t="s">
        <v>638</v>
      </c>
      <c r="C390" s="527">
        <f>-(C87/C88^2)*((273.2+C92)*C89/((273.2+C91)*C90))*C84*C85*C86*3600</f>
        <v>1.1978373313860239E-4</v>
      </c>
      <c r="D390" s="526" t="s">
        <v>572</v>
      </c>
      <c r="E390" s="523"/>
      <c r="F390" s="523"/>
      <c r="G390" s="523"/>
      <c r="H390" s="523"/>
      <c r="I390" s="523"/>
      <c r="J390" s="523"/>
      <c r="K390" s="523"/>
      <c r="L390" s="523"/>
      <c r="M390" s="524"/>
    </row>
    <row r="391" spans="1:13" ht="15.75" thickBot="1" x14ac:dyDescent="0.3">
      <c r="A391" s="529"/>
      <c r="B391" s="530"/>
      <c r="C391" s="530"/>
      <c r="D391" s="530"/>
      <c r="E391" s="530"/>
      <c r="F391" s="530"/>
      <c r="G391" s="530"/>
      <c r="H391" s="530"/>
      <c r="I391" s="530"/>
      <c r="J391" s="530"/>
      <c r="K391" s="530"/>
      <c r="L391" s="530"/>
      <c r="M391" s="531"/>
    </row>
  </sheetData>
  <sheetProtection password="D8A8"/>
  <mergeCells count="26">
    <mergeCell ref="D1:Q4"/>
    <mergeCell ref="A7:S7"/>
    <mergeCell ref="Q17:Q18"/>
    <mergeCell ref="M17:N17"/>
    <mergeCell ref="O17:P17"/>
    <mergeCell ref="B18:F18"/>
    <mergeCell ref="B25:F25"/>
    <mergeCell ref="B24:F24"/>
    <mergeCell ref="T17:T18"/>
    <mergeCell ref="R17:R18"/>
    <mergeCell ref="S17:S18"/>
    <mergeCell ref="B21:F21"/>
    <mergeCell ref="B20:F20"/>
    <mergeCell ref="B19:F19"/>
    <mergeCell ref="B23:F23"/>
    <mergeCell ref="B22:F22"/>
    <mergeCell ref="B28:F28"/>
    <mergeCell ref="B27:F27"/>
    <mergeCell ref="B144:J145"/>
    <mergeCell ref="B33:F33"/>
    <mergeCell ref="B26:F26"/>
    <mergeCell ref="A103:M103"/>
    <mergeCell ref="B32:F32"/>
    <mergeCell ref="B31:F31"/>
    <mergeCell ref="B30:F30"/>
    <mergeCell ref="B29:F29"/>
  </mergeCells>
  <dataValidations count="1">
    <dataValidation type="list" allowBlank="1" showInputMessage="1" showErrorMessage="1" sqref="O37" xr:uid="{00000000-0002-0000-0200-000000000000}">
      <formula1>$B$24:$B$29</formula1>
    </dataValidation>
  </dataValidations>
  <pageMargins left="0.7" right="0.7" top="0.75" bottom="0.75" header="0.3" footer="0.3"/>
  <pageSetup paperSize="9" scale="55" fitToHeight="0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200-000001000000}">
          <x14:formula1>
            <xm:f>'Datos varios'!$B$35:$B$40</xm:f>
          </x14:formula1>
          <xm:sqref>K19:K34</xm:sqref>
        </x14:dataValidation>
        <x14:dataValidation type="list" allowBlank="1" showInputMessage="1" showErrorMessage="1" xr:uid="{00000000-0002-0000-0200-000002000000}">
          <x14:formula1>
            <xm:f>'Datos varios'!$B$19:$B$32</xm:f>
          </x14:formula1>
          <xm:sqref>J19:J34</xm:sqref>
        </x14:dataValidation>
        <x14:dataValidation type="list" allowBlank="1" showInputMessage="1" showErrorMessage="1" xr:uid="{00000000-0002-0000-0200-000003000000}">
          <x14:formula1>
            <xm:f>'Datos varios'!$B$43:$B$44</xm:f>
          </x14:formula1>
          <xm:sqref>H19:H34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pageSetUpPr fitToPage="1"/>
  </sheetPr>
  <dimension ref="A1:FT250"/>
  <sheetViews>
    <sheetView zoomScaleNormal="100" workbookViewId="0">
      <selection activeCell="T3" sqref="T3"/>
    </sheetView>
  </sheetViews>
  <sheetFormatPr baseColWidth="10" defaultColWidth="11.42578125" defaultRowHeight="15" x14ac:dyDescent="0.25"/>
  <cols>
    <col min="1" max="2" width="11.42578125" style="730"/>
    <col min="3" max="6" width="12.7109375" style="730" bestFit="1" customWidth="1"/>
    <col min="7" max="7" width="11.42578125" style="730"/>
    <col min="8" max="9" width="12" style="730" bestFit="1" customWidth="1"/>
    <col min="10" max="10" width="11.42578125" style="730"/>
    <col min="11" max="12" width="12.7109375" style="730" bestFit="1" customWidth="1"/>
    <col min="13" max="14" width="12.7109375" style="730" customWidth="1"/>
    <col min="15" max="16" width="12.7109375" style="730" bestFit="1" customWidth="1"/>
    <col min="17" max="18" width="11.42578125" style="730"/>
    <col min="19" max="19" width="12.7109375" style="730" customWidth="1"/>
    <col min="20" max="20" width="12.7109375" style="730" bestFit="1" customWidth="1"/>
    <col min="21" max="21" width="12.7109375" style="730" customWidth="1"/>
    <col min="22" max="22" width="12.7109375" style="730" bestFit="1" customWidth="1"/>
    <col min="23" max="27" width="11.42578125" style="730"/>
    <col min="28" max="28" width="11.85546875" style="730" customWidth="1"/>
    <col min="29" max="34" width="11.42578125" style="730"/>
    <col min="35" max="35" width="12.28515625" style="730" customWidth="1"/>
    <col min="36" max="41" width="11.42578125" style="730"/>
    <col min="42" max="42" width="12.28515625" style="730" customWidth="1"/>
    <col min="43" max="48" width="11.42578125" style="730"/>
    <col min="49" max="49" width="12" style="730" customWidth="1"/>
    <col min="50" max="55" width="11.42578125" style="730"/>
    <col min="56" max="56" width="12" style="730" customWidth="1"/>
    <col min="57" max="62" width="11.42578125" style="730"/>
    <col min="63" max="63" width="12.140625" style="730" customWidth="1"/>
    <col min="64" max="69" width="11.42578125" style="730"/>
    <col min="70" max="70" width="12.42578125" style="730" customWidth="1"/>
    <col min="71" max="94" width="11.42578125" style="730"/>
    <col min="95" max="95" width="11.5703125" style="730" customWidth="1"/>
    <col min="96" max="16384" width="11.42578125" style="730"/>
  </cols>
  <sheetData>
    <row r="1" spans="1:176" ht="15" customHeight="1" x14ac:dyDescent="0.25">
      <c r="A1" s="728"/>
      <c r="B1" s="729"/>
      <c r="C1" s="729"/>
      <c r="D1" s="2539" t="s">
        <v>555</v>
      </c>
      <c r="E1" s="2540"/>
      <c r="F1" s="2540"/>
      <c r="G1" s="2540"/>
      <c r="H1" s="2540"/>
      <c r="I1" s="2540"/>
      <c r="J1" s="2540"/>
      <c r="K1" s="2540"/>
      <c r="L1" s="2540"/>
      <c r="M1" s="2540"/>
      <c r="N1" s="2540"/>
      <c r="O1" s="2540"/>
      <c r="P1" s="2540"/>
      <c r="Q1" s="2540"/>
      <c r="R1" s="2541"/>
      <c r="S1" s="1258" t="s">
        <v>68</v>
      </c>
      <c r="T1" s="1044" t="s">
        <v>556</v>
      </c>
    </row>
    <row r="2" spans="1:176" ht="15" customHeight="1" x14ac:dyDescent="0.25">
      <c r="A2" s="731"/>
      <c r="D2" s="2542"/>
      <c r="E2" s="2543"/>
      <c r="F2" s="2543"/>
      <c r="G2" s="2543"/>
      <c r="H2" s="2543"/>
      <c r="I2" s="2543"/>
      <c r="J2" s="2543"/>
      <c r="K2" s="2543"/>
      <c r="L2" s="2543"/>
      <c r="M2" s="2543"/>
      <c r="N2" s="2543"/>
      <c r="O2" s="2543"/>
      <c r="P2" s="2543"/>
      <c r="Q2" s="2543"/>
      <c r="R2" s="2544"/>
      <c r="S2" s="1056" t="s">
        <v>69</v>
      </c>
      <c r="T2" s="1866" t="s">
        <v>1231</v>
      </c>
    </row>
    <row r="3" spans="1:176" ht="15" customHeight="1" x14ac:dyDescent="0.25">
      <c r="A3" s="731"/>
      <c r="D3" s="2542"/>
      <c r="E3" s="2543"/>
      <c r="F3" s="2543"/>
      <c r="G3" s="2543"/>
      <c r="H3" s="2543"/>
      <c r="I3" s="2543"/>
      <c r="J3" s="2543"/>
      <c r="K3" s="2543"/>
      <c r="L3" s="2543"/>
      <c r="M3" s="2543"/>
      <c r="N3" s="2543"/>
      <c r="O3" s="2543"/>
      <c r="P3" s="2543"/>
      <c r="Q3" s="2543"/>
      <c r="R3" s="2544"/>
      <c r="S3" s="1056" t="s">
        <v>70</v>
      </c>
      <c r="T3" s="1049" t="s">
        <v>72</v>
      </c>
    </row>
    <row r="4" spans="1:176" ht="15" customHeight="1" x14ac:dyDescent="0.25">
      <c r="A4" s="732"/>
      <c r="B4" s="733"/>
      <c r="C4" s="733"/>
      <c r="D4" s="2545"/>
      <c r="E4" s="2546"/>
      <c r="F4" s="2546"/>
      <c r="G4" s="2546"/>
      <c r="H4" s="2546"/>
      <c r="I4" s="2546"/>
      <c r="J4" s="2546"/>
      <c r="K4" s="2546"/>
      <c r="L4" s="2546"/>
      <c r="M4" s="2546"/>
      <c r="N4" s="2546"/>
      <c r="O4" s="2546"/>
      <c r="P4" s="2546"/>
      <c r="Q4" s="2546"/>
      <c r="R4" s="2547"/>
      <c r="S4" s="1259" t="s">
        <v>71</v>
      </c>
      <c r="T4" s="1054" t="s">
        <v>73</v>
      </c>
    </row>
    <row r="5" spans="1:176" s="734" customFormat="1" x14ac:dyDescent="0.25"/>
    <row r="7" spans="1:176" ht="20.25" x14ac:dyDescent="0.25">
      <c r="A7" s="2548" t="s">
        <v>715</v>
      </c>
      <c r="B7" s="2548"/>
      <c r="C7" s="2548"/>
      <c r="D7" s="2548"/>
      <c r="E7" s="2548"/>
      <c r="F7" s="2548"/>
      <c r="G7" s="2548"/>
      <c r="H7" s="2548"/>
      <c r="I7" s="2548"/>
      <c r="J7" s="2548"/>
      <c r="K7" s="2548"/>
      <c r="L7" s="2548"/>
      <c r="M7" s="2548"/>
      <c r="N7" s="2548"/>
      <c r="O7" s="2548"/>
      <c r="P7" s="2548"/>
      <c r="Q7" s="2548"/>
      <c r="R7" s="2548"/>
    </row>
    <row r="9" spans="1:176" x14ac:dyDescent="0.25">
      <c r="A9" s="735" t="s">
        <v>545</v>
      </c>
    </row>
    <row r="11" spans="1:176" x14ac:dyDescent="0.25">
      <c r="A11" s="736" t="s">
        <v>350</v>
      </c>
      <c r="B11" s="730" t="s">
        <v>353</v>
      </c>
    </row>
    <row r="12" spans="1:176" x14ac:dyDescent="0.25">
      <c r="A12" s="736" t="s">
        <v>351</v>
      </c>
      <c r="B12" s="730" t="s">
        <v>354</v>
      </c>
    </row>
    <row r="13" spans="1:176" x14ac:dyDescent="0.25">
      <c r="A13" s="736" t="s">
        <v>352</v>
      </c>
      <c r="B13" s="737" t="s">
        <v>355</v>
      </c>
    </row>
    <row r="14" spans="1:176" x14ac:dyDescent="0.25">
      <c r="A14" s="736" t="s">
        <v>547</v>
      </c>
      <c r="B14" s="737" t="s">
        <v>548</v>
      </c>
      <c r="J14" s="87"/>
    </row>
    <row r="15" spans="1:176" ht="15.75" thickBot="1" x14ac:dyDescent="0.3"/>
    <row r="16" spans="1:176" ht="15.75" thickBot="1" x14ac:dyDescent="0.3">
      <c r="A16" s="735"/>
      <c r="G16" s="218"/>
      <c r="I16" s="2476" t="s">
        <v>693</v>
      </c>
      <c r="J16" s="2477"/>
      <c r="K16" s="2477"/>
      <c r="L16" s="2477"/>
      <c r="M16" s="2477"/>
      <c r="N16" s="2477"/>
      <c r="O16" s="2477"/>
      <c r="P16" s="2477"/>
      <c r="Q16" s="2477"/>
      <c r="R16" s="2477"/>
      <c r="S16" s="2477"/>
      <c r="T16" s="2477"/>
      <c r="U16" s="2477"/>
      <c r="V16" s="2478"/>
      <c r="W16" s="2476" t="s">
        <v>694</v>
      </c>
      <c r="X16" s="2477"/>
      <c r="Y16" s="2477"/>
      <c r="Z16" s="2477"/>
      <c r="AA16" s="2477"/>
      <c r="AB16" s="2477"/>
      <c r="AC16" s="2477"/>
      <c r="AD16" s="2477"/>
      <c r="AE16" s="2477"/>
      <c r="AF16" s="2477"/>
      <c r="AG16" s="2477"/>
      <c r="AH16" s="2477"/>
      <c r="AI16" s="2477"/>
      <c r="AJ16" s="2478"/>
      <c r="AK16" s="2476" t="s">
        <v>695</v>
      </c>
      <c r="AL16" s="2477"/>
      <c r="AM16" s="2477"/>
      <c r="AN16" s="2477"/>
      <c r="AO16" s="2477"/>
      <c r="AP16" s="2477"/>
      <c r="AQ16" s="2477"/>
      <c r="AR16" s="2477"/>
      <c r="AS16" s="2477"/>
      <c r="AT16" s="2477"/>
      <c r="AU16" s="2477"/>
      <c r="AV16" s="2477"/>
      <c r="AW16" s="2477"/>
      <c r="AX16" s="2478"/>
      <c r="AY16" s="2476" t="s">
        <v>696</v>
      </c>
      <c r="AZ16" s="2477"/>
      <c r="BA16" s="2477"/>
      <c r="BB16" s="2477"/>
      <c r="BC16" s="2477"/>
      <c r="BD16" s="2477"/>
      <c r="BE16" s="2477"/>
      <c r="BF16" s="2477"/>
      <c r="BG16" s="2477"/>
      <c r="BH16" s="2477"/>
      <c r="BI16" s="2477"/>
      <c r="BJ16" s="2477"/>
      <c r="BK16" s="2477"/>
      <c r="BL16" s="2478"/>
      <c r="BM16" s="2476" t="s">
        <v>697</v>
      </c>
      <c r="BN16" s="2477"/>
      <c r="BO16" s="2477"/>
      <c r="BP16" s="2477"/>
      <c r="BQ16" s="2477"/>
      <c r="BR16" s="2477"/>
      <c r="BS16" s="2477"/>
      <c r="BT16" s="2477"/>
      <c r="BU16" s="2477"/>
      <c r="BV16" s="2477"/>
      <c r="BW16" s="2477"/>
      <c r="BX16" s="2477"/>
      <c r="BY16" s="2477"/>
      <c r="BZ16" s="2478"/>
      <c r="CA16" s="2476" t="s">
        <v>698</v>
      </c>
      <c r="CB16" s="2477"/>
      <c r="CC16" s="2477"/>
      <c r="CD16" s="2477"/>
      <c r="CE16" s="2477"/>
      <c r="CF16" s="2477"/>
      <c r="CG16" s="2477"/>
      <c r="CH16" s="2477"/>
      <c r="CI16" s="2477"/>
      <c r="CJ16" s="2477"/>
      <c r="CK16" s="2477"/>
      <c r="CL16" s="2477"/>
      <c r="CM16" s="2477"/>
      <c r="CN16" s="2478"/>
      <c r="CO16" s="2476" t="s">
        <v>699</v>
      </c>
      <c r="CP16" s="2477"/>
      <c r="CQ16" s="2477"/>
      <c r="CR16" s="2477"/>
      <c r="CS16" s="2477"/>
      <c r="CT16" s="2477"/>
      <c r="CU16" s="2477"/>
      <c r="CV16" s="2477"/>
      <c r="CW16" s="2477"/>
      <c r="CX16" s="2477"/>
      <c r="CY16" s="2477"/>
      <c r="CZ16" s="2477"/>
      <c r="DA16" s="2477"/>
      <c r="DB16" s="2478"/>
      <c r="DC16" s="2476" t="s">
        <v>700</v>
      </c>
      <c r="DD16" s="2477"/>
      <c r="DE16" s="2477"/>
      <c r="DF16" s="2477"/>
      <c r="DG16" s="2477"/>
      <c r="DH16" s="2477"/>
      <c r="DI16" s="2477"/>
      <c r="DJ16" s="2477"/>
      <c r="DK16" s="2477"/>
      <c r="DL16" s="2477"/>
      <c r="DM16" s="2477"/>
      <c r="DN16" s="2477"/>
      <c r="DO16" s="2477"/>
      <c r="DP16" s="2478"/>
      <c r="DQ16" s="2476" t="s">
        <v>704</v>
      </c>
      <c r="DR16" s="2477"/>
      <c r="DS16" s="2477"/>
      <c r="DT16" s="2477"/>
      <c r="DU16" s="2477"/>
      <c r="DV16" s="2477"/>
      <c r="DW16" s="2477"/>
      <c r="DX16" s="2477"/>
      <c r="DY16" s="2477"/>
      <c r="DZ16" s="2477"/>
      <c r="EA16" s="2477"/>
      <c r="EB16" s="2477"/>
      <c r="EC16" s="2477"/>
      <c r="ED16" s="2478"/>
      <c r="EE16" s="2476" t="s">
        <v>847</v>
      </c>
      <c r="EF16" s="2477"/>
      <c r="EG16" s="2477"/>
      <c r="EH16" s="2477"/>
      <c r="EI16" s="2477"/>
      <c r="EJ16" s="2477"/>
      <c r="EK16" s="2477"/>
      <c r="EL16" s="2477"/>
      <c r="EM16" s="2477"/>
      <c r="EN16" s="2477"/>
      <c r="EO16" s="2477"/>
      <c r="EP16" s="2477"/>
      <c r="EQ16" s="2477"/>
      <c r="ER16" s="2478"/>
      <c r="ES16" s="2476" t="s">
        <v>848</v>
      </c>
      <c r="ET16" s="2477"/>
      <c r="EU16" s="2477"/>
      <c r="EV16" s="2477"/>
      <c r="EW16" s="2477"/>
      <c r="EX16" s="2477"/>
      <c r="EY16" s="2477"/>
      <c r="EZ16" s="2477"/>
      <c r="FA16" s="2477"/>
      <c r="FB16" s="2477"/>
      <c r="FC16" s="2477"/>
      <c r="FD16" s="2477"/>
      <c r="FE16" s="2477"/>
      <c r="FF16" s="2478"/>
      <c r="FG16" s="2476" t="s">
        <v>849</v>
      </c>
      <c r="FH16" s="2477"/>
      <c r="FI16" s="2477"/>
      <c r="FJ16" s="2477"/>
      <c r="FK16" s="2477"/>
      <c r="FL16" s="2477"/>
      <c r="FM16" s="2477"/>
      <c r="FN16" s="2477"/>
      <c r="FO16" s="2477"/>
      <c r="FP16" s="2477"/>
      <c r="FQ16" s="2477"/>
      <c r="FR16" s="2477"/>
      <c r="FS16" s="2477"/>
      <c r="FT16" s="2478"/>
    </row>
    <row r="17" spans="1:176" ht="15.75" thickBot="1" x14ac:dyDescent="0.3">
      <c r="A17" s="735"/>
      <c r="I17" s="2479" t="s">
        <v>814</v>
      </c>
      <c r="J17" s="2480"/>
      <c r="K17" s="2480"/>
      <c r="L17" s="2480"/>
      <c r="M17" s="2480"/>
      <c r="N17" s="2481"/>
      <c r="O17" s="2481"/>
      <c r="P17" s="2482" t="s">
        <v>815</v>
      </c>
      <c r="Q17" s="2480"/>
      <c r="R17" s="2480"/>
      <c r="S17" s="2480"/>
      <c r="T17" s="2480"/>
      <c r="U17" s="2481"/>
      <c r="V17" s="2483"/>
      <c r="W17" s="2479" t="s">
        <v>814</v>
      </c>
      <c r="X17" s="2480"/>
      <c r="Y17" s="2480"/>
      <c r="Z17" s="2480"/>
      <c r="AA17" s="2480"/>
      <c r="AB17" s="2481"/>
      <c r="AC17" s="2481"/>
      <c r="AD17" s="2482" t="s">
        <v>815</v>
      </c>
      <c r="AE17" s="2480"/>
      <c r="AF17" s="2480"/>
      <c r="AG17" s="2480"/>
      <c r="AH17" s="2480"/>
      <c r="AI17" s="2481"/>
      <c r="AJ17" s="2483"/>
      <c r="AK17" s="2479" t="s">
        <v>814</v>
      </c>
      <c r="AL17" s="2480"/>
      <c r="AM17" s="2480"/>
      <c r="AN17" s="2480"/>
      <c r="AO17" s="2480"/>
      <c r="AP17" s="2481"/>
      <c r="AQ17" s="2481"/>
      <c r="AR17" s="2482" t="s">
        <v>815</v>
      </c>
      <c r="AS17" s="2480"/>
      <c r="AT17" s="2480"/>
      <c r="AU17" s="2480"/>
      <c r="AV17" s="2480"/>
      <c r="AW17" s="2481"/>
      <c r="AX17" s="2483"/>
      <c r="AY17" s="2479" t="s">
        <v>814</v>
      </c>
      <c r="AZ17" s="2480"/>
      <c r="BA17" s="2480"/>
      <c r="BB17" s="2480"/>
      <c r="BC17" s="2480"/>
      <c r="BD17" s="2481"/>
      <c r="BE17" s="2481"/>
      <c r="BF17" s="2482" t="s">
        <v>815</v>
      </c>
      <c r="BG17" s="2480"/>
      <c r="BH17" s="2480"/>
      <c r="BI17" s="2480"/>
      <c r="BJ17" s="2480"/>
      <c r="BK17" s="2481"/>
      <c r="BL17" s="2483"/>
      <c r="BM17" s="2479" t="s">
        <v>814</v>
      </c>
      <c r="BN17" s="2480"/>
      <c r="BO17" s="2480"/>
      <c r="BP17" s="2480"/>
      <c r="BQ17" s="2480"/>
      <c r="BR17" s="2481"/>
      <c r="BS17" s="2481"/>
      <c r="BT17" s="2482" t="s">
        <v>815</v>
      </c>
      <c r="BU17" s="2480"/>
      <c r="BV17" s="2480"/>
      <c r="BW17" s="2480"/>
      <c r="BX17" s="2480"/>
      <c r="BY17" s="2481"/>
      <c r="BZ17" s="2483"/>
      <c r="CA17" s="2479" t="s">
        <v>814</v>
      </c>
      <c r="CB17" s="2480"/>
      <c r="CC17" s="2480"/>
      <c r="CD17" s="2480"/>
      <c r="CE17" s="2480"/>
      <c r="CF17" s="2481"/>
      <c r="CG17" s="2481"/>
      <c r="CH17" s="2482" t="s">
        <v>815</v>
      </c>
      <c r="CI17" s="2480"/>
      <c r="CJ17" s="2480"/>
      <c r="CK17" s="2480"/>
      <c r="CL17" s="2480"/>
      <c r="CM17" s="2481"/>
      <c r="CN17" s="2483"/>
      <c r="CO17" s="2479" t="s">
        <v>814</v>
      </c>
      <c r="CP17" s="2480"/>
      <c r="CQ17" s="2480"/>
      <c r="CR17" s="2480"/>
      <c r="CS17" s="2480"/>
      <c r="CT17" s="2481"/>
      <c r="CU17" s="2481"/>
      <c r="CV17" s="2482" t="s">
        <v>815</v>
      </c>
      <c r="CW17" s="2480"/>
      <c r="CX17" s="2480"/>
      <c r="CY17" s="2480"/>
      <c r="CZ17" s="2480"/>
      <c r="DA17" s="2481"/>
      <c r="DB17" s="2483"/>
      <c r="DC17" s="2479" t="s">
        <v>814</v>
      </c>
      <c r="DD17" s="2480"/>
      <c r="DE17" s="2480"/>
      <c r="DF17" s="2480"/>
      <c r="DG17" s="2480"/>
      <c r="DH17" s="2481"/>
      <c r="DI17" s="2481"/>
      <c r="DJ17" s="2482" t="s">
        <v>815</v>
      </c>
      <c r="DK17" s="2480"/>
      <c r="DL17" s="2480"/>
      <c r="DM17" s="2480"/>
      <c r="DN17" s="2480"/>
      <c r="DO17" s="2481"/>
      <c r="DP17" s="2483"/>
      <c r="DQ17" s="2479" t="s">
        <v>814</v>
      </c>
      <c r="DR17" s="2480"/>
      <c r="DS17" s="2480"/>
      <c r="DT17" s="2480"/>
      <c r="DU17" s="2480"/>
      <c r="DV17" s="2481"/>
      <c r="DW17" s="2481"/>
      <c r="DX17" s="2482" t="s">
        <v>815</v>
      </c>
      <c r="DY17" s="2480"/>
      <c r="DZ17" s="2480"/>
      <c r="EA17" s="2480"/>
      <c r="EB17" s="2480"/>
      <c r="EC17" s="2481"/>
      <c r="ED17" s="2483"/>
      <c r="EE17" s="2479" t="s">
        <v>814</v>
      </c>
      <c r="EF17" s="2480"/>
      <c r="EG17" s="2480"/>
      <c r="EH17" s="2480"/>
      <c r="EI17" s="2480"/>
      <c r="EJ17" s="2481"/>
      <c r="EK17" s="2481"/>
      <c r="EL17" s="2482" t="s">
        <v>815</v>
      </c>
      <c r="EM17" s="2480"/>
      <c r="EN17" s="2480"/>
      <c r="EO17" s="2480"/>
      <c r="EP17" s="2480"/>
      <c r="EQ17" s="2481"/>
      <c r="ER17" s="2483"/>
      <c r="ES17" s="2479" t="s">
        <v>814</v>
      </c>
      <c r="ET17" s="2480"/>
      <c r="EU17" s="2480"/>
      <c r="EV17" s="2480"/>
      <c r="EW17" s="2480"/>
      <c r="EX17" s="2481"/>
      <c r="EY17" s="2481"/>
      <c r="EZ17" s="2482" t="s">
        <v>815</v>
      </c>
      <c r="FA17" s="2480"/>
      <c r="FB17" s="2480"/>
      <c r="FC17" s="2480"/>
      <c r="FD17" s="2480"/>
      <c r="FE17" s="2481"/>
      <c r="FF17" s="2483"/>
      <c r="FG17" s="2479" t="s">
        <v>814</v>
      </c>
      <c r="FH17" s="2480"/>
      <c r="FI17" s="2480"/>
      <c r="FJ17" s="2480"/>
      <c r="FK17" s="2480"/>
      <c r="FL17" s="2481"/>
      <c r="FM17" s="2481"/>
      <c r="FN17" s="2482" t="s">
        <v>815</v>
      </c>
      <c r="FO17" s="2480"/>
      <c r="FP17" s="2480"/>
      <c r="FQ17" s="2480"/>
      <c r="FR17" s="2480"/>
      <c r="FS17" s="2481"/>
      <c r="FT17" s="2483"/>
    </row>
    <row r="18" spans="1:176" x14ac:dyDescent="0.25">
      <c r="A18" s="735"/>
      <c r="B18" s="735"/>
      <c r="E18" s="2569" t="s">
        <v>670</v>
      </c>
      <c r="F18" s="2570"/>
      <c r="G18" s="2570"/>
      <c r="H18" s="2571"/>
      <c r="I18" s="2568">
        <f>'F-LSCD-012'!A34</f>
        <v>25000</v>
      </c>
      <c r="J18" s="2525"/>
      <c r="K18" s="2525"/>
      <c r="L18" s="2525"/>
      <c r="M18" s="2525"/>
      <c r="N18" s="2526"/>
      <c r="O18" s="2526"/>
      <c r="P18" s="2524">
        <f>'F-LSCD-012'!A34</f>
        <v>25000</v>
      </c>
      <c r="Q18" s="2525"/>
      <c r="R18" s="2525"/>
      <c r="S18" s="2525"/>
      <c r="T18" s="2525"/>
      <c r="U18" s="2526"/>
      <c r="V18" s="2527"/>
      <c r="W18" s="2575" t="str">
        <f>'F-LSCD-012'!A36</f>
        <v>-</v>
      </c>
      <c r="X18" s="2533"/>
      <c r="Y18" s="2533"/>
      <c r="Z18" s="2533"/>
      <c r="AA18" s="2533"/>
      <c r="AB18" s="2533"/>
      <c r="AC18" s="2533"/>
      <c r="AD18" s="2532" t="str">
        <f>'F-LSCD-012'!A36</f>
        <v>-</v>
      </c>
      <c r="AE18" s="2533"/>
      <c r="AF18" s="2533"/>
      <c r="AG18" s="2533"/>
      <c r="AH18" s="2533"/>
      <c r="AI18" s="2533"/>
      <c r="AJ18" s="2534"/>
      <c r="AK18" s="2484" t="str">
        <f>'F-LSCD-012'!A38</f>
        <v>-</v>
      </c>
      <c r="AL18" s="2485"/>
      <c r="AM18" s="2485"/>
      <c r="AN18" s="2485"/>
      <c r="AO18" s="2485"/>
      <c r="AP18" s="2486"/>
      <c r="AQ18" s="2486"/>
      <c r="AR18" s="2487" t="str">
        <f>'F-LSCD-012'!A38</f>
        <v>-</v>
      </c>
      <c r="AS18" s="2485"/>
      <c r="AT18" s="2485"/>
      <c r="AU18" s="2485"/>
      <c r="AV18" s="2485"/>
      <c r="AW18" s="2486"/>
      <c r="AX18" s="2488"/>
      <c r="AY18" s="2484" t="str">
        <f>'F-LSCD-012'!A40</f>
        <v>-</v>
      </c>
      <c r="AZ18" s="2485"/>
      <c r="BA18" s="2485"/>
      <c r="BB18" s="2485"/>
      <c r="BC18" s="2485"/>
      <c r="BD18" s="2486"/>
      <c r="BE18" s="2486"/>
      <c r="BF18" s="2487" t="str">
        <f>'F-LSCD-012'!A40</f>
        <v>-</v>
      </c>
      <c r="BG18" s="2485"/>
      <c r="BH18" s="2485"/>
      <c r="BI18" s="2485"/>
      <c r="BJ18" s="2485"/>
      <c r="BK18" s="2486"/>
      <c r="BL18" s="2488"/>
      <c r="BM18" s="2484" t="str">
        <f>'F-LSCD-012'!A42</f>
        <v>-</v>
      </c>
      <c r="BN18" s="2485"/>
      <c r="BO18" s="2485"/>
      <c r="BP18" s="2485"/>
      <c r="BQ18" s="2485"/>
      <c r="BR18" s="2486"/>
      <c r="BS18" s="2486"/>
      <c r="BT18" s="2511" t="str">
        <f>'F-LSCD-012'!A42</f>
        <v>-</v>
      </c>
      <c r="BU18" s="2512"/>
      <c r="BV18" s="2512"/>
      <c r="BW18" s="2512"/>
      <c r="BX18" s="2512"/>
      <c r="BY18" s="2512"/>
      <c r="BZ18" s="2513"/>
      <c r="CA18" s="2484" t="str">
        <f>'F-LSCD-012'!A44</f>
        <v>-</v>
      </c>
      <c r="CB18" s="2485"/>
      <c r="CC18" s="2485"/>
      <c r="CD18" s="2485"/>
      <c r="CE18" s="2485"/>
      <c r="CF18" s="2486"/>
      <c r="CG18" s="2486"/>
      <c r="CH18" s="2487" t="str">
        <f>'F-LSCD-012'!A44</f>
        <v>-</v>
      </c>
      <c r="CI18" s="2485"/>
      <c r="CJ18" s="2485"/>
      <c r="CK18" s="2485"/>
      <c r="CL18" s="2485"/>
      <c r="CM18" s="2486"/>
      <c r="CN18" s="2488"/>
      <c r="CO18" s="2484" t="str">
        <f>'F-LSCD-012'!A46</f>
        <v>-</v>
      </c>
      <c r="CP18" s="2485"/>
      <c r="CQ18" s="2485"/>
      <c r="CR18" s="2485"/>
      <c r="CS18" s="2485"/>
      <c r="CT18" s="2486"/>
      <c r="CU18" s="2486"/>
      <c r="CV18" s="2487" t="str">
        <f>'F-LSCD-012'!A46</f>
        <v>-</v>
      </c>
      <c r="CW18" s="2485"/>
      <c r="CX18" s="2485"/>
      <c r="CY18" s="2485"/>
      <c r="CZ18" s="2485"/>
      <c r="DA18" s="2486"/>
      <c r="DB18" s="2488"/>
      <c r="DC18" s="2484" t="str">
        <f>'F-LSCD-012'!A48</f>
        <v>-</v>
      </c>
      <c r="DD18" s="2485"/>
      <c r="DE18" s="2485"/>
      <c r="DF18" s="2485"/>
      <c r="DG18" s="2485"/>
      <c r="DH18" s="2486"/>
      <c r="DI18" s="2486"/>
      <c r="DJ18" s="2487" t="str">
        <f>'F-LSCD-012'!A48</f>
        <v>-</v>
      </c>
      <c r="DK18" s="2485"/>
      <c r="DL18" s="2485"/>
      <c r="DM18" s="2485"/>
      <c r="DN18" s="2485"/>
      <c r="DO18" s="2486"/>
      <c r="DP18" s="2488"/>
      <c r="DQ18" s="2484" t="str">
        <f>'F-LSCD-012'!A50</f>
        <v>-</v>
      </c>
      <c r="DR18" s="2485"/>
      <c r="DS18" s="2485"/>
      <c r="DT18" s="2485"/>
      <c r="DU18" s="2485"/>
      <c r="DV18" s="2486"/>
      <c r="DW18" s="2486"/>
      <c r="DX18" s="2487" t="str">
        <f>'F-LSCD-012'!A50</f>
        <v>-</v>
      </c>
      <c r="DY18" s="2485"/>
      <c r="DZ18" s="2485"/>
      <c r="EA18" s="2485"/>
      <c r="EB18" s="2485"/>
      <c r="EC18" s="2486"/>
      <c r="ED18" s="2488"/>
      <c r="EE18" s="2484" t="str">
        <f>'F-LSCD-012'!A52</f>
        <v>-</v>
      </c>
      <c r="EF18" s="2485"/>
      <c r="EG18" s="2485"/>
      <c r="EH18" s="2485"/>
      <c r="EI18" s="2485"/>
      <c r="EJ18" s="2486"/>
      <c r="EK18" s="2486"/>
      <c r="EL18" s="2487" t="str">
        <f>'F-LSCD-012'!A52</f>
        <v>-</v>
      </c>
      <c r="EM18" s="2485"/>
      <c r="EN18" s="2485"/>
      <c r="EO18" s="2485"/>
      <c r="EP18" s="2485"/>
      <c r="EQ18" s="2486"/>
      <c r="ER18" s="2488"/>
      <c r="ES18" s="2484" t="str">
        <f>'F-LSCD-012'!A54</f>
        <v>-</v>
      </c>
      <c r="ET18" s="2485"/>
      <c r="EU18" s="2485"/>
      <c r="EV18" s="2485"/>
      <c r="EW18" s="2485"/>
      <c r="EX18" s="2486"/>
      <c r="EY18" s="2486"/>
      <c r="EZ18" s="2487" t="str">
        <f>'F-LSCD-012'!A54</f>
        <v>-</v>
      </c>
      <c r="FA18" s="2485"/>
      <c r="FB18" s="2485"/>
      <c r="FC18" s="2485"/>
      <c r="FD18" s="2485"/>
      <c r="FE18" s="2486"/>
      <c r="FF18" s="2488"/>
      <c r="FG18" s="2484" t="str">
        <f>'F-LSCD-012'!A56</f>
        <v>-</v>
      </c>
      <c r="FH18" s="2485"/>
      <c r="FI18" s="2485"/>
      <c r="FJ18" s="2485"/>
      <c r="FK18" s="2485"/>
      <c r="FL18" s="2486"/>
      <c r="FM18" s="2486"/>
      <c r="FN18" s="2487" t="str">
        <f>'F-LSCD-012'!A56</f>
        <v>-</v>
      </c>
      <c r="FO18" s="2485"/>
      <c r="FP18" s="2485"/>
      <c r="FQ18" s="2485"/>
      <c r="FR18" s="2485"/>
      <c r="FS18" s="2486"/>
      <c r="FT18" s="2488"/>
    </row>
    <row r="19" spans="1:176" x14ac:dyDescent="0.25">
      <c r="A19" s="735"/>
      <c r="B19" s="735"/>
      <c r="E19" s="2388" t="s">
        <v>811</v>
      </c>
      <c r="F19" s="2572"/>
      <c r="G19" s="2572"/>
      <c r="H19" s="2573"/>
      <c r="I19" s="2567">
        <f>'F-LSCD-012'!O34</f>
        <v>2474</v>
      </c>
      <c r="J19" s="2529"/>
      <c r="K19" s="2529"/>
      <c r="L19" s="2529"/>
      <c r="M19" s="2529"/>
      <c r="N19" s="2530"/>
      <c r="O19" s="2530"/>
      <c r="P19" s="2528" t="str">
        <f>'F-LSCD-012'!O35</f>
        <v>-</v>
      </c>
      <c r="Q19" s="2529"/>
      <c r="R19" s="2529"/>
      <c r="S19" s="2529"/>
      <c r="T19" s="2529"/>
      <c r="U19" s="2530"/>
      <c r="V19" s="2531"/>
      <c r="W19" s="2576" t="str">
        <f>'F-LSCD-012'!O36</f>
        <v>-</v>
      </c>
      <c r="X19" s="2577"/>
      <c r="Y19" s="2577"/>
      <c r="Z19" s="2577"/>
      <c r="AA19" s="2577"/>
      <c r="AB19" s="2577"/>
      <c r="AC19" s="2577"/>
      <c r="AD19" s="2521" t="str">
        <f>'F-LSCD-012'!O37</f>
        <v>-</v>
      </c>
      <c r="AE19" s="2509"/>
      <c r="AF19" s="2509"/>
      <c r="AG19" s="2509"/>
      <c r="AH19" s="2509"/>
      <c r="AI19" s="2509"/>
      <c r="AJ19" s="2510"/>
      <c r="AK19" s="2489" t="str">
        <f>'F-LSCD-012'!O38</f>
        <v>-</v>
      </c>
      <c r="AL19" s="2490"/>
      <c r="AM19" s="2490"/>
      <c r="AN19" s="2490"/>
      <c r="AO19" s="2490"/>
      <c r="AP19" s="2491"/>
      <c r="AQ19" s="2491"/>
      <c r="AR19" s="2498" t="str">
        <f>'F-LSCD-012'!O39</f>
        <v>-</v>
      </c>
      <c r="AS19" s="2490"/>
      <c r="AT19" s="2490"/>
      <c r="AU19" s="2490"/>
      <c r="AV19" s="2490"/>
      <c r="AW19" s="2491"/>
      <c r="AX19" s="2493"/>
      <c r="AY19" s="2489" t="str">
        <f>'F-LSCD-012'!O40</f>
        <v>-</v>
      </c>
      <c r="AZ19" s="2490"/>
      <c r="BA19" s="2490"/>
      <c r="BB19" s="2490"/>
      <c r="BC19" s="2490"/>
      <c r="BD19" s="2491"/>
      <c r="BE19" s="2491"/>
      <c r="BF19" s="2498" t="str">
        <f>'F-LSCD-012'!O41</f>
        <v>-</v>
      </c>
      <c r="BG19" s="2490"/>
      <c r="BH19" s="2490"/>
      <c r="BI19" s="2490"/>
      <c r="BJ19" s="2490"/>
      <c r="BK19" s="2491"/>
      <c r="BL19" s="2493"/>
      <c r="BM19" s="2489" t="str">
        <f>'F-LSCD-012'!O42</f>
        <v>-</v>
      </c>
      <c r="BN19" s="2490"/>
      <c r="BO19" s="2490"/>
      <c r="BP19" s="2490"/>
      <c r="BQ19" s="2490"/>
      <c r="BR19" s="2491"/>
      <c r="BS19" s="2491"/>
      <c r="BT19" s="2508" t="str">
        <f>'F-LSCD-012'!O43</f>
        <v>-</v>
      </c>
      <c r="BU19" s="2509"/>
      <c r="BV19" s="2509"/>
      <c r="BW19" s="2509"/>
      <c r="BX19" s="2509"/>
      <c r="BY19" s="2509"/>
      <c r="BZ19" s="2510"/>
      <c r="CA19" s="2489" t="str">
        <f>'F-LSCD-012'!O44</f>
        <v>-</v>
      </c>
      <c r="CB19" s="2490"/>
      <c r="CC19" s="2490"/>
      <c r="CD19" s="2490"/>
      <c r="CE19" s="2490"/>
      <c r="CF19" s="2491"/>
      <c r="CG19" s="2491"/>
      <c r="CH19" s="2498" t="str">
        <f>'F-LSCD-012'!O45</f>
        <v>-</v>
      </c>
      <c r="CI19" s="2490"/>
      <c r="CJ19" s="2490"/>
      <c r="CK19" s="2490"/>
      <c r="CL19" s="2490"/>
      <c r="CM19" s="2491"/>
      <c r="CN19" s="2493"/>
      <c r="CO19" s="2489" t="str">
        <f>'F-LSCD-012'!O46</f>
        <v>-</v>
      </c>
      <c r="CP19" s="2490"/>
      <c r="CQ19" s="2490"/>
      <c r="CR19" s="2490"/>
      <c r="CS19" s="2490"/>
      <c r="CT19" s="2491"/>
      <c r="CU19" s="2491"/>
      <c r="CV19" s="2498" t="str">
        <f>'F-LSCD-012'!O47</f>
        <v>-</v>
      </c>
      <c r="CW19" s="2490"/>
      <c r="CX19" s="2490"/>
      <c r="CY19" s="2490"/>
      <c r="CZ19" s="2490"/>
      <c r="DA19" s="2491"/>
      <c r="DB19" s="2493"/>
      <c r="DC19" s="2489" t="str">
        <f>'F-LSCD-012'!O48</f>
        <v>-</v>
      </c>
      <c r="DD19" s="2490"/>
      <c r="DE19" s="2490"/>
      <c r="DF19" s="2490"/>
      <c r="DG19" s="2490"/>
      <c r="DH19" s="2491"/>
      <c r="DI19" s="2491"/>
      <c r="DJ19" s="2498" t="str">
        <f>'F-LSCD-012'!O49</f>
        <v>-</v>
      </c>
      <c r="DK19" s="2490"/>
      <c r="DL19" s="2490"/>
      <c r="DM19" s="2490"/>
      <c r="DN19" s="2490"/>
      <c r="DO19" s="2491"/>
      <c r="DP19" s="2493"/>
      <c r="DQ19" s="2489" t="str">
        <f>'F-LSCD-012'!O50</f>
        <v>-</v>
      </c>
      <c r="DR19" s="2490"/>
      <c r="DS19" s="2490"/>
      <c r="DT19" s="2490"/>
      <c r="DU19" s="2490"/>
      <c r="DV19" s="2491"/>
      <c r="DW19" s="2491"/>
      <c r="DX19" s="2498" t="str">
        <f>'F-LSCD-012'!O51</f>
        <v>-</v>
      </c>
      <c r="DY19" s="2490"/>
      <c r="DZ19" s="2490"/>
      <c r="EA19" s="2490"/>
      <c r="EB19" s="2490"/>
      <c r="EC19" s="2491"/>
      <c r="ED19" s="2493"/>
      <c r="EE19" s="2489" t="str">
        <f>'F-LSCD-012'!O52</f>
        <v>-</v>
      </c>
      <c r="EF19" s="2490"/>
      <c r="EG19" s="2490"/>
      <c r="EH19" s="2490"/>
      <c r="EI19" s="2490"/>
      <c r="EJ19" s="2491"/>
      <c r="EK19" s="2491"/>
      <c r="EL19" s="2492" t="str">
        <f>'F-LSCD-012'!O53</f>
        <v>-</v>
      </c>
      <c r="EM19" s="2490"/>
      <c r="EN19" s="2490"/>
      <c r="EO19" s="2490"/>
      <c r="EP19" s="2490"/>
      <c r="EQ19" s="2491"/>
      <c r="ER19" s="2493"/>
      <c r="ES19" s="2489" t="str">
        <f>'F-LSCD-012'!O54</f>
        <v>-</v>
      </c>
      <c r="ET19" s="2490"/>
      <c r="EU19" s="2490"/>
      <c r="EV19" s="2490"/>
      <c r="EW19" s="2490"/>
      <c r="EX19" s="2491"/>
      <c r="EY19" s="2491"/>
      <c r="EZ19" s="2492" t="str">
        <f>'F-LSCD-012'!O55</f>
        <v>-</v>
      </c>
      <c r="FA19" s="2490"/>
      <c r="FB19" s="2490"/>
      <c r="FC19" s="2490"/>
      <c r="FD19" s="2490"/>
      <c r="FE19" s="2491"/>
      <c r="FF19" s="2493"/>
      <c r="FG19" s="2489" t="str">
        <f>'F-LSCD-012'!O56</f>
        <v>-</v>
      </c>
      <c r="FH19" s="2490"/>
      <c r="FI19" s="2490"/>
      <c r="FJ19" s="2490"/>
      <c r="FK19" s="2490"/>
      <c r="FL19" s="2491"/>
      <c r="FM19" s="2491"/>
      <c r="FN19" s="2492" t="str">
        <f>'F-LSCD-012'!O57</f>
        <v>-</v>
      </c>
      <c r="FO19" s="2490"/>
      <c r="FP19" s="2490"/>
      <c r="FQ19" s="2490"/>
      <c r="FR19" s="2490"/>
      <c r="FS19" s="2491"/>
      <c r="FT19" s="2493"/>
    </row>
    <row r="20" spans="1:176" x14ac:dyDescent="0.25">
      <c r="A20" s="735"/>
      <c r="B20" s="735"/>
      <c r="E20" s="2574" t="s">
        <v>685</v>
      </c>
      <c r="F20" s="2572"/>
      <c r="G20" s="2572"/>
      <c r="H20" s="2573"/>
      <c r="I20" s="2566">
        <f>'F-LSCD-012'!P34</f>
        <v>0</v>
      </c>
      <c r="J20" s="2494"/>
      <c r="K20" s="2494"/>
      <c r="L20" s="2494"/>
      <c r="M20" s="2494"/>
      <c r="N20" s="2495"/>
      <c r="O20" s="2495"/>
      <c r="P20" s="2492" t="str">
        <f>'F-LSCD-012'!P35</f>
        <v>-</v>
      </c>
      <c r="Q20" s="2494"/>
      <c r="R20" s="2494"/>
      <c r="S20" s="2494"/>
      <c r="T20" s="2494"/>
      <c r="U20" s="2495"/>
      <c r="V20" s="2496"/>
      <c r="W20" s="2578" t="str">
        <f>'F-LSCD-012'!P36</f>
        <v>-</v>
      </c>
      <c r="X20" s="2522"/>
      <c r="Y20" s="2522"/>
      <c r="Z20" s="2522"/>
      <c r="AA20" s="2522"/>
      <c r="AB20" s="2522"/>
      <c r="AC20" s="2522"/>
      <c r="AD20" s="2521" t="str">
        <f>'F-LSCD-012'!P37</f>
        <v>-</v>
      </c>
      <c r="AE20" s="2522"/>
      <c r="AF20" s="2522"/>
      <c r="AG20" s="2522"/>
      <c r="AH20" s="2522"/>
      <c r="AI20" s="2522"/>
      <c r="AJ20" s="2523"/>
      <c r="AK20" s="2489" t="str">
        <f>'F-LSCD-012'!P38</f>
        <v>-</v>
      </c>
      <c r="AL20" s="2494"/>
      <c r="AM20" s="2494"/>
      <c r="AN20" s="2494"/>
      <c r="AO20" s="2494"/>
      <c r="AP20" s="2495"/>
      <c r="AQ20" s="2495"/>
      <c r="AR20" s="2492" t="str">
        <f>'F-LSCD-012'!P39</f>
        <v>-</v>
      </c>
      <c r="AS20" s="2494"/>
      <c r="AT20" s="2494"/>
      <c r="AU20" s="2494"/>
      <c r="AV20" s="2494"/>
      <c r="AW20" s="2495"/>
      <c r="AX20" s="2496"/>
      <c r="AY20" s="2489" t="str">
        <f>'F-LSCD-012'!P40</f>
        <v>-</v>
      </c>
      <c r="AZ20" s="2494"/>
      <c r="BA20" s="2494"/>
      <c r="BB20" s="2494"/>
      <c r="BC20" s="2494"/>
      <c r="BD20" s="2495"/>
      <c r="BE20" s="2495"/>
      <c r="BF20" s="2492" t="str">
        <f>'F-LSCD-012'!P41</f>
        <v>-</v>
      </c>
      <c r="BG20" s="2494"/>
      <c r="BH20" s="2494"/>
      <c r="BI20" s="2494"/>
      <c r="BJ20" s="2494"/>
      <c r="BK20" s="2495"/>
      <c r="BL20" s="2496"/>
      <c r="BM20" s="2489" t="str">
        <f>'F-LSCD-012'!P42</f>
        <v>-</v>
      </c>
      <c r="BN20" s="2494"/>
      <c r="BO20" s="2494"/>
      <c r="BP20" s="2494"/>
      <c r="BQ20" s="2494"/>
      <c r="BR20" s="2495"/>
      <c r="BS20" s="2495"/>
      <c r="BT20" s="2521" t="str">
        <f>'F-LSCD-012'!P43</f>
        <v>-</v>
      </c>
      <c r="BU20" s="2522"/>
      <c r="BV20" s="2522"/>
      <c r="BW20" s="2522"/>
      <c r="BX20" s="2522"/>
      <c r="BY20" s="2522"/>
      <c r="BZ20" s="2523"/>
      <c r="CA20" s="2489" t="str">
        <f>'F-LSCD-012'!P44</f>
        <v>-</v>
      </c>
      <c r="CB20" s="2494"/>
      <c r="CC20" s="2494"/>
      <c r="CD20" s="2494"/>
      <c r="CE20" s="2494"/>
      <c r="CF20" s="2495"/>
      <c r="CG20" s="2495"/>
      <c r="CH20" s="2492" t="str">
        <f>'F-LSCD-012'!P45</f>
        <v>-</v>
      </c>
      <c r="CI20" s="2494"/>
      <c r="CJ20" s="2494"/>
      <c r="CK20" s="2494"/>
      <c r="CL20" s="2494"/>
      <c r="CM20" s="2495"/>
      <c r="CN20" s="2496"/>
      <c r="CO20" s="2489" t="str">
        <f>'F-LSCD-012'!P46</f>
        <v>-</v>
      </c>
      <c r="CP20" s="2494"/>
      <c r="CQ20" s="2494"/>
      <c r="CR20" s="2494"/>
      <c r="CS20" s="2494"/>
      <c r="CT20" s="2495"/>
      <c r="CU20" s="2495"/>
      <c r="CV20" s="2492" t="str">
        <f>'F-LSCD-012'!P47</f>
        <v>-</v>
      </c>
      <c r="CW20" s="2494"/>
      <c r="CX20" s="2494"/>
      <c r="CY20" s="2494"/>
      <c r="CZ20" s="2494"/>
      <c r="DA20" s="2495"/>
      <c r="DB20" s="2496"/>
      <c r="DC20" s="2489" t="str">
        <f>'F-LSCD-012'!P48</f>
        <v>-</v>
      </c>
      <c r="DD20" s="2494"/>
      <c r="DE20" s="2494"/>
      <c r="DF20" s="2494"/>
      <c r="DG20" s="2494"/>
      <c r="DH20" s="2495"/>
      <c r="DI20" s="2495"/>
      <c r="DJ20" s="2492" t="str">
        <f>'F-LSCD-012'!P49</f>
        <v>-</v>
      </c>
      <c r="DK20" s="2494"/>
      <c r="DL20" s="2494"/>
      <c r="DM20" s="2494"/>
      <c r="DN20" s="2494"/>
      <c r="DO20" s="2495"/>
      <c r="DP20" s="2496"/>
      <c r="DQ20" s="2489" t="str">
        <f>'F-LSCD-012'!P50</f>
        <v>-</v>
      </c>
      <c r="DR20" s="2494"/>
      <c r="DS20" s="2494"/>
      <c r="DT20" s="2494"/>
      <c r="DU20" s="2494"/>
      <c r="DV20" s="2495"/>
      <c r="DW20" s="2495"/>
      <c r="DX20" s="2492" t="str">
        <f>'F-LSCD-012'!P51</f>
        <v>-</v>
      </c>
      <c r="DY20" s="2494"/>
      <c r="DZ20" s="2494"/>
      <c r="EA20" s="2494"/>
      <c r="EB20" s="2494"/>
      <c r="EC20" s="2495"/>
      <c r="ED20" s="2496"/>
      <c r="EE20" s="2489" t="str">
        <f>'F-LSCD-012'!P52</f>
        <v>-</v>
      </c>
      <c r="EF20" s="2494"/>
      <c r="EG20" s="2494"/>
      <c r="EH20" s="2494"/>
      <c r="EI20" s="2494"/>
      <c r="EJ20" s="2495"/>
      <c r="EK20" s="2495"/>
      <c r="EL20" s="2492" t="str">
        <f>'F-LSCD-012'!P53</f>
        <v>-</v>
      </c>
      <c r="EM20" s="2494"/>
      <c r="EN20" s="2494"/>
      <c r="EO20" s="2494"/>
      <c r="EP20" s="2494"/>
      <c r="EQ20" s="2495"/>
      <c r="ER20" s="2496"/>
      <c r="ES20" s="2489" t="str">
        <f>'F-LSCD-012'!P54</f>
        <v>-</v>
      </c>
      <c r="ET20" s="2494"/>
      <c r="EU20" s="2494"/>
      <c r="EV20" s="2494"/>
      <c r="EW20" s="2494"/>
      <c r="EX20" s="2495"/>
      <c r="EY20" s="2495"/>
      <c r="EZ20" s="2492" t="str">
        <f>'F-LSCD-012'!P55</f>
        <v>-</v>
      </c>
      <c r="FA20" s="2494"/>
      <c r="FB20" s="2494"/>
      <c r="FC20" s="2494"/>
      <c r="FD20" s="2494"/>
      <c r="FE20" s="2495"/>
      <c r="FF20" s="2496"/>
      <c r="FG20" s="2489" t="str">
        <f>'F-LSCD-012'!P56</f>
        <v>-</v>
      </c>
      <c r="FH20" s="2494"/>
      <c r="FI20" s="2494"/>
      <c r="FJ20" s="2494"/>
      <c r="FK20" s="2494"/>
      <c r="FL20" s="2495"/>
      <c r="FM20" s="2495"/>
      <c r="FN20" s="2492" t="str">
        <f>'F-LSCD-012'!P57</f>
        <v>-</v>
      </c>
      <c r="FO20" s="2494"/>
      <c r="FP20" s="2494"/>
      <c r="FQ20" s="2494"/>
      <c r="FR20" s="2494"/>
      <c r="FS20" s="2495"/>
      <c r="FT20" s="2496"/>
    </row>
    <row r="21" spans="1:176" x14ac:dyDescent="0.25">
      <c r="A21" s="735"/>
      <c r="B21" s="735"/>
      <c r="E21" s="2574" t="s">
        <v>671</v>
      </c>
      <c r="F21" s="2572"/>
      <c r="G21" s="2572"/>
      <c r="H21" s="2573"/>
      <c r="I21" s="2566">
        <f>'F-LSCD-012'!M34</f>
        <v>1</v>
      </c>
      <c r="J21" s="2494"/>
      <c r="K21" s="2494"/>
      <c r="L21" s="2494"/>
      <c r="M21" s="2494"/>
      <c r="N21" s="2495"/>
      <c r="O21" s="2495"/>
      <c r="P21" s="2492" t="str">
        <f>'F-LSCD-012'!M35</f>
        <v>-</v>
      </c>
      <c r="Q21" s="2494"/>
      <c r="R21" s="2494"/>
      <c r="S21" s="2494"/>
      <c r="T21" s="2494"/>
      <c r="U21" s="2495"/>
      <c r="V21" s="2496"/>
      <c r="W21" s="2579" t="str">
        <f>'F-LSCD-012'!M36</f>
        <v>-</v>
      </c>
      <c r="X21" s="2536"/>
      <c r="Y21" s="2536"/>
      <c r="Z21" s="2536"/>
      <c r="AA21" s="2536"/>
      <c r="AB21" s="2536"/>
      <c r="AC21" s="2536"/>
      <c r="AD21" s="2535" t="str">
        <f>'F-LSCD-012'!M37</f>
        <v>-</v>
      </c>
      <c r="AE21" s="2536"/>
      <c r="AF21" s="2536"/>
      <c r="AG21" s="2536"/>
      <c r="AH21" s="2536"/>
      <c r="AI21" s="2536"/>
      <c r="AJ21" s="2537"/>
      <c r="AK21" s="2489" t="str">
        <f>'F-LSCD-012'!M38</f>
        <v>-</v>
      </c>
      <c r="AL21" s="2494"/>
      <c r="AM21" s="2494"/>
      <c r="AN21" s="2494"/>
      <c r="AO21" s="2494"/>
      <c r="AP21" s="2495"/>
      <c r="AQ21" s="2495"/>
      <c r="AR21" s="2492" t="str">
        <f>'F-LSCD-012'!M39</f>
        <v>-</v>
      </c>
      <c r="AS21" s="2494"/>
      <c r="AT21" s="2494"/>
      <c r="AU21" s="2494"/>
      <c r="AV21" s="2494"/>
      <c r="AW21" s="2495"/>
      <c r="AX21" s="2496"/>
      <c r="AY21" s="2489" t="str">
        <f>'F-LSCD-012'!M40</f>
        <v>-</v>
      </c>
      <c r="AZ21" s="2494"/>
      <c r="BA21" s="2494"/>
      <c r="BB21" s="2494"/>
      <c r="BC21" s="2494"/>
      <c r="BD21" s="2495"/>
      <c r="BE21" s="2495"/>
      <c r="BF21" s="2492" t="str">
        <f>'F-LSCD-012'!M41</f>
        <v>-</v>
      </c>
      <c r="BG21" s="2494"/>
      <c r="BH21" s="2494"/>
      <c r="BI21" s="2494"/>
      <c r="BJ21" s="2494"/>
      <c r="BK21" s="2495"/>
      <c r="BL21" s="2496"/>
      <c r="BM21" s="2489" t="str">
        <f>'F-LSCD-012'!M42</f>
        <v>-</v>
      </c>
      <c r="BN21" s="2494"/>
      <c r="BO21" s="2494"/>
      <c r="BP21" s="2494"/>
      <c r="BQ21" s="2494"/>
      <c r="BR21" s="2495"/>
      <c r="BS21" s="2495"/>
      <c r="BT21" s="2521" t="str">
        <f>'F-LSCD-012'!M43</f>
        <v>-</v>
      </c>
      <c r="BU21" s="2522"/>
      <c r="BV21" s="2522"/>
      <c r="BW21" s="2522"/>
      <c r="BX21" s="2522"/>
      <c r="BY21" s="2522"/>
      <c r="BZ21" s="2523"/>
      <c r="CA21" s="2489" t="str">
        <f>'F-LSCD-012'!M44</f>
        <v>-</v>
      </c>
      <c r="CB21" s="2494"/>
      <c r="CC21" s="2494"/>
      <c r="CD21" s="2494"/>
      <c r="CE21" s="2494"/>
      <c r="CF21" s="2495"/>
      <c r="CG21" s="2495"/>
      <c r="CH21" s="2492" t="str">
        <f>'F-LSCD-012'!M45</f>
        <v>-</v>
      </c>
      <c r="CI21" s="2494"/>
      <c r="CJ21" s="2494"/>
      <c r="CK21" s="2494"/>
      <c r="CL21" s="2494"/>
      <c r="CM21" s="2495"/>
      <c r="CN21" s="2496"/>
      <c r="CO21" s="2489" t="str">
        <f>'F-LSCD-012'!M46</f>
        <v>-</v>
      </c>
      <c r="CP21" s="2494"/>
      <c r="CQ21" s="2494"/>
      <c r="CR21" s="2494"/>
      <c r="CS21" s="2494"/>
      <c r="CT21" s="2495"/>
      <c r="CU21" s="2495"/>
      <c r="CV21" s="2492" t="str">
        <f>'F-LSCD-012'!M47</f>
        <v>-</v>
      </c>
      <c r="CW21" s="2494"/>
      <c r="CX21" s="2494"/>
      <c r="CY21" s="2494"/>
      <c r="CZ21" s="2494"/>
      <c r="DA21" s="2495"/>
      <c r="DB21" s="2496"/>
      <c r="DC21" s="2489" t="str">
        <f>'F-LSCD-012'!M48</f>
        <v>-</v>
      </c>
      <c r="DD21" s="2494"/>
      <c r="DE21" s="2494"/>
      <c r="DF21" s="2494"/>
      <c r="DG21" s="2494"/>
      <c r="DH21" s="2495"/>
      <c r="DI21" s="2495"/>
      <c r="DJ21" s="2492" t="str">
        <f>'F-LSCD-012'!M49</f>
        <v>-</v>
      </c>
      <c r="DK21" s="2494"/>
      <c r="DL21" s="2494"/>
      <c r="DM21" s="2494"/>
      <c r="DN21" s="2494"/>
      <c r="DO21" s="2495"/>
      <c r="DP21" s="2496"/>
      <c r="DQ21" s="2489" t="str">
        <f>'F-LSCD-012'!M50</f>
        <v>-</v>
      </c>
      <c r="DR21" s="2494"/>
      <c r="DS21" s="2494"/>
      <c r="DT21" s="2494"/>
      <c r="DU21" s="2494"/>
      <c r="DV21" s="2495"/>
      <c r="DW21" s="2495"/>
      <c r="DX21" s="2492" t="str">
        <f>'F-LSCD-012'!M51</f>
        <v>-</v>
      </c>
      <c r="DY21" s="2494"/>
      <c r="DZ21" s="2494"/>
      <c r="EA21" s="2494"/>
      <c r="EB21" s="2494"/>
      <c r="EC21" s="2495"/>
      <c r="ED21" s="2496"/>
      <c r="EE21" s="2489" t="str">
        <f>'F-LSCD-012'!M52</f>
        <v>-</v>
      </c>
      <c r="EF21" s="2494"/>
      <c r="EG21" s="2494"/>
      <c r="EH21" s="2494"/>
      <c r="EI21" s="2494"/>
      <c r="EJ21" s="2495"/>
      <c r="EK21" s="2495"/>
      <c r="EL21" s="2492" t="str">
        <f>'F-LSCD-012'!M53</f>
        <v>-</v>
      </c>
      <c r="EM21" s="2494"/>
      <c r="EN21" s="2494"/>
      <c r="EO21" s="2494"/>
      <c r="EP21" s="2494"/>
      <c r="EQ21" s="2495"/>
      <c r="ER21" s="2496"/>
      <c r="ES21" s="2489" t="str">
        <f>'F-LSCD-012'!M54</f>
        <v>-</v>
      </c>
      <c r="ET21" s="2494"/>
      <c r="EU21" s="2494"/>
      <c r="EV21" s="2494"/>
      <c r="EW21" s="2494"/>
      <c r="EX21" s="2495"/>
      <c r="EY21" s="2495"/>
      <c r="EZ21" s="2492" t="str">
        <f>'F-LSCD-012'!M55</f>
        <v>-</v>
      </c>
      <c r="FA21" s="2494"/>
      <c r="FB21" s="2494"/>
      <c r="FC21" s="2494"/>
      <c r="FD21" s="2494"/>
      <c r="FE21" s="2495"/>
      <c r="FF21" s="2496"/>
      <c r="FG21" s="2489" t="str">
        <f>'F-LSCD-012'!M56</f>
        <v>-</v>
      </c>
      <c r="FH21" s="2494"/>
      <c r="FI21" s="2494"/>
      <c r="FJ21" s="2494"/>
      <c r="FK21" s="2494"/>
      <c r="FL21" s="2495"/>
      <c r="FM21" s="2495"/>
      <c r="FN21" s="2492" t="str">
        <f>'F-LSCD-012'!M57</f>
        <v>-</v>
      </c>
      <c r="FO21" s="2494"/>
      <c r="FP21" s="2494"/>
      <c r="FQ21" s="2494"/>
      <c r="FR21" s="2494"/>
      <c r="FS21" s="2495"/>
      <c r="FT21" s="2496"/>
    </row>
    <row r="22" spans="1:176" x14ac:dyDescent="0.25">
      <c r="A22" s="735"/>
      <c r="B22" s="735"/>
      <c r="E22" s="2574" t="s">
        <v>686</v>
      </c>
      <c r="F22" s="2572"/>
      <c r="G22" s="2572"/>
      <c r="H22" s="2573"/>
      <c r="I22" s="2565">
        <f>COUNT('F-LSCD-012'!C34:L34)</f>
        <v>10</v>
      </c>
      <c r="J22" s="2490"/>
      <c r="K22" s="2490"/>
      <c r="L22" s="2490"/>
      <c r="M22" s="2490"/>
      <c r="N22" s="2491"/>
      <c r="O22" s="2491"/>
      <c r="P22" s="2498">
        <f>COUNT('F-LSCD-012'!C35:L35)</f>
        <v>0</v>
      </c>
      <c r="Q22" s="2490"/>
      <c r="R22" s="2490"/>
      <c r="S22" s="2490"/>
      <c r="T22" s="2490"/>
      <c r="U22" s="2491"/>
      <c r="V22" s="2493"/>
      <c r="W22" s="2580">
        <f>COUNT('F-LSCD-012'!C36:L36)</f>
        <v>0</v>
      </c>
      <c r="X22" s="2509"/>
      <c r="Y22" s="2509"/>
      <c r="Z22" s="2509"/>
      <c r="AA22" s="2509"/>
      <c r="AB22" s="2509"/>
      <c r="AC22" s="2509"/>
      <c r="AD22" s="2508">
        <f>COUNT('F-LSCD-012'!C37:L37)</f>
        <v>0</v>
      </c>
      <c r="AE22" s="2509"/>
      <c r="AF22" s="2509"/>
      <c r="AG22" s="2509"/>
      <c r="AH22" s="2509"/>
      <c r="AI22" s="2509"/>
      <c r="AJ22" s="2510"/>
      <c r="AK22" s="2497">
        <f>COUNT('F-LSCD-012'!C38:L38)</f>
        <v>0</v>
      </c>
      <c r="AL22" s="2490"/>
      <c r="AM22" s="2490"/>
      <c r="AN22" s="2490"/>
      <c r="AO22" s="2490"/>
      <c r="AP22" s="2491"/>
      <c r="AQ22" s="2491"/>
      <c r="AR22" s="2498">
        <f>COUNT('F-LSCD-012'!C39:L39)</f>
        <v>0</v>
      </c>
      <c r="AS22" s="2490"/>
      <c r="AT22" s="2490"/>
      <c r="AU22" s="2490"/>
      <c r="AV22" s="2490"/>
      <c r="AW22" s="2491"/>
      <c r="AX22" s="2493"/>
      <c r="AY22" s="2497">
        <f>COUNT('F-LSCD-012'!C40:L40)</f>
        <v>0</v>
      </c>
      <c r="AZ22" s="2490"/>
      <c r="BA22" s="2490"/>
      <c r="BB22" s="2490"/>
      <c r="BC22" s="2490"/>
      <c r="BD22" s="2491"/>
      <c r="BE22" s="2491"/>
      <c r="BF22" s="2498">
        <f>COUNT('F-LSCD-012'!C41:L41)</f>
        <v>0</v>
      </c>
      <c r="BG22" s="2490"/>
      <c r="BH22" s="2490"/>
      <c r="BI22" s="2490"/>
      <c r="BJ22" s="2490"/>
      <c r="BK22" s="2491"/>
      <c r="BL22" s="2493"/>
      <c r="BM22" s="2497">
        <f>COUNT('F-LSCD-012'!C42:L42)</f>
        <v>0</v>
      </c>
      <c r="BN22" s="2490"/>
      <c r="BO22" s="2490"/>
      <c r="BP22" s="2490"/>
      <c r="BQ22" s="2490"/>
      <c r="BR22" s="2491"/>
      <c r="BS22" s="2491"/>
      <c r="BT22" s="2508">
        <f>COUNT('F-LSCD-012'!C43:L43)</f>
        <v>0</v>
      </c>
      <c r="BU22" s="2509"/>
      <c r="BV22" s="2509"/>
      <c r="BW22" s="2509"/>
      <c r="BX22" s="2509"/>
      <c r="BY22" s="2509"/>
      <c r="BZ22" s="2510"/>
      <c r="CA22" s="2497">
        <f>COUNT('F-LSCD-012'!C44:L44)</f>
        <v>0</v>
      </c>
      <c r="CB22" s="2490"/>
      <c r="CC22" s="2490"/>
      <c r="CD22" s="2490"/>
      <c r="CE22" s="2490"/>
      <c r="CF22" s="2491"/>
      <c r="CG22" s="2491"/>
      <c r="CH22" s="2498">
        <f>COUNT('F-LSCD-012'!C45:L45)</f>
        <v>0</v>
      </c>
      <c r="CI22" s="2490"/>
      <c r="CJ22" s="2490"/>
      <c r="CK22" s="2490"/>
      <c r="CL22" s="2490"/>
      <c r="CM22" s="2491"/>
      <c r="CN22" s="2493"/>
      <c r="CO22" s="2497">
        <f>COUNT('F-LSCD-012'!C46:L46)</f>
        <v>0</v>
      </c>
      <c r="CP22" s="2490"/>
      <c r="CQ22" s="2490"/>
      <c r="CR22" s="2490"/>
      <c r="CS22" s="2490"/>
      <c r="CT22" s="2491"/>
      <c r="CU22" s="2491"/>
      <c r="CV22" s="2498">
        <f>COUNT('F-LSCD-012'!C47:L47)</f>
        <v>0</v>
      </c>
      <c r="CW22" s="2490"/>
      <c r="CX22" s="2490"/>
      <c r="CY22" s="2490"/>
      <c r="CZ22" s="2490"/>
      <c r="DA22" s="2491"/>
      <c r="DB22" s="2493"/>
      <c r="DC22" s="2497">
        <f>COUNT('F-LSCD-012'!C48:L48)</f>
        <v>0</v>
      </c>
      <c r="DD22" s="2490"/>
      <c r="DE22" s="2490"/>
      <c r="DF22" s="2490"/>
      <c r="DG22" s="2490"/>
      <c r="DH22" s="2491"/>
      <c r="DI22" s="2491"/>
      <c r="DJ22" s="2498">
        <f>COUNT('F-LSCD-012'!C49:L49)</f>
        <v>0</v>
      </c>
      <c r="DK22" s="2490"/>
      <c r="DL22" s="2490"/>
      <c r="DM22" s="2490"/>
      <c r="DN22" s="2490"/>
      <c r="DO22" s="2491"/>
      <c r="DP22" s="2493"/>
      <c r="DQ22" s="2497">
        <f>COUNT('F-LSCD-012'!C50:L50)</f>
        <v>0</v>
      </c>
      <c r="DR22" s="2490"/>
      <c r="DS22" s="2490"/>
      <c r="DT22" s="2490"/>
      <c r="DU22" s="2490"/>
      <c r="DV22" s="2491"/>
      <c r="DW22" s="2491"/>
      <c r="DX22" s="2498">
        <f>COUNT('F-LSCD-012'!C51:L51)</f>
        <v>0</v>
      </c>
      <c r="DY22" s="2490"/>
      <c r="DZ22" s="2490"/>
      <c r="EA22" s="2490"/>
      <c r="EB22" s="2490"/>
      <c r="EC22" s="2491"/>
      <c r="ED22" s="2493"/>
      <c r="EE22" s="2497">
        <f>COUNT('F-LSCD-012'!C52:L52)</f>
        <v>0</v>
      </c>
      <c r="EF22" s="2490"/>
      <c r="EG22" s="2490"/>
      <c r="EH22" s="2490"/>
      <c r="EI22" s="2490"/>
      <c r="EJ22" s="2491"/>
      <c r="EK22" s="2491"/>
      <c r="EL22" s="2498">
        <f>COUNT('F-LSCD-012'!C53:L53)</f>
        <v>0</v>
      </c>
      <c r="EM22" s="2490"/>
      <c r="EN22" s="2490"/>
      <c r="EO22" s="2490"/>
      <c r="EP22" s="2490"/>
      <c r="EQ22" s="2491"/>
      <c r="ER22" s="2493"/>
      <c r="ES22" s="2497">
        <f>COUNT('F-LSCD-012'!C54:L54)</f>
        <v>0</v>
      </c>
      <c r="ET22" s="2490"/>
      <c r="EU22" s="2490"/>
      <c r="EV22" s="2490"/>
      <c r="EW22" s="2490"/>
      <c r="EX22" s="2491"/>
      <c r="EY22" s="2491"/>
      <c r="EZ22" s="2498">
        <f>COUNT('F-LSCD-012'!C55:L55)</f>
        <v>0</v>
      </c>
      <c r="FA22" s="2490"/>
      <c r="FB22" s="2490"/>
      <c r="FC22" s="2490"/>
      <c r="FD22" s="2490"/>
      <c r="FE22" s="2491"/>
      <c r="FF22" s="2493"/>
      <c r="FG22" s="2497">
        <f>COUNT('F-LSCD-012'!C56:L56)</f>
        <v>0</v>
      </c>
      <c r="FH22" s="2490"/>
      <c r="FI22" s="2490"/>
      <c r="FJ22" s="2490"/>
      <c r="FK22" s="2490"/>
      <c r="FL22" s="2491"/>
      <c r="FM22" s="2491"/>
      <c r="FN22" s="2498">
        <f>COUNT('F-LSCD-012'!C57:L57)</f>
        <v>0</v>
      </c>
      <c r="FO22" s="2490"/>
      <c r="FP22" s="2490"/>
      <c r="FQ22" s="2490"/>
      <c r="FR22" s="2490"/>
      <c r="FS22" s="2491"/>
      <c r="FT22" s="2493"/>
    </row>
    <row r="23" spans="1:176" ht="15.75" thickBot="1" x14ac:dyDescent="0.3">
      <c r="A23" s="735"/>
      <c r="B23" s="735"/>
      <c r="E23" s="2562" t="s">
        <v>687</v>
      </c>
      <c r="F23" s="2563"/>
      <c r="G23" s="2563"/>
      <c r="H23" s="2564"/>
      <c r="I23" s="2538">
        <f>'F-LSCD-003'!N17</f>
        <v>1.2240005996093581</v>
      </c>
      <c r="J23" s="2519"/>
      <c r="K23" s="2519"/>
      <c r="L23" s="2519"/>
      <c r="M23" s="2519"/>
      <c r="N23" s="2519"/>
      <c r="O23" s="2561"/>
      <c r="P23" s="2502">
        <f>'F-LSCD-003'!N17</f>
        <v>1.2240005996093581</v>
      </c>
      <c r="Q23" s="2500"/>
      <c r="R23" s="2500"/>
      <c r="S23" s="2500"/>
      <c r="T23" s="2500"/>
      <c r="U23" s="2501"/>
      <c r="V23" s="2503"/>
      <c r="W23" s="2538" t="str">
        <f>'F-LSCD-003'!N18</f>
        <v>Tasa de dosis fuera de rango</v>
      </c>
      <c r="X23" s="2519"/>
      <c r="Y23" s="2519"/>
      <c r="Z23" s="2519"/>
      <c r="AA23" s="2519"/>
      <c r="AB23" s="2519"/>
      <c r="AC23" s="2519"/>
      <c r="AD23" s="2518" t="str">
        <f>'F-LSCD-003'!N18</f>
        <v>Tasa de dosis fuera de rango</v>
      </c>
      <c r="AE23" s="2519"/>
      <c r="AF23" s="2519"/>
      <c r="AG23" s="2519"/>
      <c r="AH23" s="2519"/>
      <c r="AI23" s="2519"/>
      <c r="AJ23" s="2520"/>
      <c r="AK23" s="2499" t="str">
        <f>'F-LSCD-003'!N19</f>
        <v>Tasa de dosis fuera de rango</v>
      </c>
      <c r="AL23" s="2500"/>
      <c r="AM23" s="2500"/>
      <c r="AN23" s="2500"/>
      <c r="AO23" s="2500"/>
      <c r="AP23" s="2501"/>
      <c r="AQ23" s="2501"/>
      <c r="AR23" s="2502" t="str">
        <f>'F-LSCD-003'!N19</f>
        <v>Tasa de dosis fuera de rango</v>
      </c>
      <c r="AS23" s="2500"/>
      <c r="AT23" s="2500"/>
      <c r="AU23" s="2500"/>
      <c r="AV23" s="2500"/>
      <c r="AW23" s="2501"/>
      <c r="AX23" s="2503"/>
      <c r="AY23" s="2499" t="str">
        <f>'F-LSCD-003'!N20</f>
        <v>Tasa de dosis fuera de rango</v>
      </c>
      <c r="AZ23" s="2500"/>
      <c r="BA23" s="2500"/>
      <c r="BB23" s="2500"/>
      <c r="BC23" s="2500"/>
      <c r="BD23" s="2501"/>
      <c r="BE23" s="2501"/>
      <c r="BF23" s="2502" t="str">
        <f>'F-LSCD-003'!N20</f>
        <v>Tasa de dosis fuera de rango</v>
      </c>
      <c r="BG23" s="2500"/>
      <c r="BH23" s="2500"/>
      <c r="BI23" s="2500"/>
      <c r="BJ23" s="2500"/>
      <c r="BK23" s="2501"/>
      <c r="BL23" s="2503"/>
      <c r="BM23" s="2499" t="str">
        <f>'F-LSCD-003'!N21</f>
        <v>Tasa de dosis fuera de rango</v>
      </c>
      <c r="BN23" s="2500"/>
      <c r="BO23" s="2500"/>
      <c r="BP23" s="2500"/>
      <c r="BQ23" s="2500"/>
      <c r="BR23" s="2501"/>
      <c r="BS23" s="2501"/>
      <c r="BT23" s="2518" t="str">
        <f>'F-LSCD-003'!N21</f>
        <v>Tasa de dosis fuera de rango</v>
      </c>
      <c r="BU23" s="2519"/>
      <c r="BV23" s="2519"/>
      <c r="BW23" s="2519"/>
      <c r="BX23" s="2519"/>
      <c r="BY23" s="2519"/>
      <c r="BZ23" s="2520"/>
      <c r="CA23" s="2499" t="str">
        <f>'F-LSCD-003'!N22</f>
        <v>Tasa de dosis fuera de rango</v>
      </c>
      <c r="CB23" s="2500"/>
      <c r="CC23" s="2500"/>
      <c r="CD23" s="2500"/>
      <c r="CE23" s="2500"/>
      <c r="CF23" s="2501"/>
      <c r="CG23" s="2501"/>
      <c r="CH23" s="2502" t="str">
        <f>'F-LSCD-003'!N22</f>
        <v>Tasa de dosis fuera de rango</v>
      </c>
      <c r="CI23" s="2500"/>
      <c r="CJ23" s="2500"/>
      <c r="CK23" s="2500"/>
      <c r="CL23" s="2500"/>
      <c r="CM23" s="2501"/>
      <c r="CN23" s="2503"/>
      <c r="CO23" s="2499" t="str">
        <f>'F-LSCD-003'!N23</f>
        <v>Tasa de dosis fuera de rango</v>
      </c>
      <c r="CP23" s="2500"/>
      <c r="CQ23" s="2500"/>
      <c r="CR23" s="2500"/>
      <c r="CS23" s="2500"/>
      <c r="CT23" s="2501"/>
      <c r="CU23" s="2501"/>
      <c r="CV23" s="2502" t="str">
        <f>'F-LSCD-003'!N23</f>
        <v>Tasa de dosis fuera de rango</v>
      </c>
      <c r="CW23" s="2500"/>
      <c r="CX23" s="2500"/>
      <c r="CY23" s="2500"/>
      <c r="CZ23" s="2500"/>
      <c r="DA23" s="2501"/>
      <c r="DB23" s="2503"/>
      <c r="DC23" s="2499" t="str">
        <f>'F-LSCD-003'!N24</f>
        <v>Tasa de dosis fuera de rango</v>
      </c>
      <c r="DD23" s="2500"/>
      <c r="DE23" s="2500"/>
      <c r="DF23" s="2500"/>
      <c r="DG23" s="2500"/>
      <c r="DH23" s="2501"/>
      <c r="DI23" s="2501"/>
      <c r="DJ23" s="2502" t="str">
        <f>'F-LSCD-003'!N24</f>
        <v>Tasa de dosis fuera de rango</v>
      </c>
      <c r="DK23" s="2500"/>
      <c r="DL23" s="2500"/>
      <c r="DM23" s="2500"/>
      <c r="DN23" s="2500"/>
      <c r="DO23" s="2501"/>
      <c r="DP23" s="2503"/>
      <c r="DQ23" s="2499" t="str">
        <f>'F-LSCD-003'!N25</f>
        <v>Tasa de dosis fuera de rango</v>
      </c>
      <c r="DR23" s="2500"/>
      <c r="DS23" s="2500"/>
      <c r="DT23" s="2500"/>
      <c r="DU23" s="2500"/>
      <c r="DV23" s="2501"/>
      <c r="DW23" s="2501"/>
      <c r="DX23" s="2502" t="str">
        <f>'F-LSCD-003'!N25</f>
        <v>Tasa de dosis fuera de rango</v>
      </c>
      <c r="DY23" s="2500"/>
      <c r="DZ23" s="2500"/>
      <c r="EA23" s="2500"/>
      <c r="EB23" s="2500"/>
      <c r="EC23" s="2501"/>
      <c r="ED23" s="2503"/>
      <c r="EE23" s="2499" t="str">
        <f>'F-LSCD-003'!N26</f>
        <v>Tasa de dosis fuera de rango</v>
      </c>
      <c r="EF23" s="2500"/>
      <c r="EG23" s="2500"/>
      <c r="EH23" s="2500"/>
      <c r="EI23" s="2500"/>
      <c r="EJ23" s="2501"/>
      <c r="EK23" s="2501"/>
      <c r="EL23" s="2502" t="str">
        <f>'F-LSCD-003'!N26</f>
        <v>Tasa de dosis fuera de rango</v>
      </c>
      <c r="EM23" s="2500"/>
      <c r="EN23" s="2500"/>
      <c r="EO23" s="2500"/>
      <c r="EP23" s="2500"/>
      <c r="EQ23" s="2501"/>
      <c r="ER23" s="2503"/>
      <c r="ES23" s="2499" t="str">
        <f>'F-LSCD-003'!N27</f>
        <v>Tasa de dosis fuera de rango</v>
      </c>
      <c r="ET23" s="2500"/>
      <c r="EU23" s="2500"/>
      <c r="EV23" s="2500"/>
      <c r="EW23" s="2500"/>
      <c r="EX23" s="2501"/>
      <c r="EY23" s="2501"/>
      <c r="EZ23" s="2502" t="str">
        <f>'F-LSCD-003'!N27</f>
        <v>Tasa de dosis fuera de rango</v>
      </c>
      <c r="FA23" s="2500"/>
      <c r="FB23" s="2500"/>
      <c r="FC23" s="2500"/>
      <c r="FD23" s="2500"/>
      <c r="FE23" s="2501"/>
      <c r="FF23" s="2503"/>
      <c r="FG23" s="2499" t="str">
        <f>'F-LSCD-003'!N28</f>
        <v>Tasa de dosis fuera de rango</v>
      </c>
      <c r="FH23" s="2500"/>
      <c r="FI23" s="2500"/>
      <c r="FJ23" s="2500"/>
      <c r="FK23" s="2500"/>
      <c r="FL23" s="2501"/>
      <c r="FM23" s="2501"/>
      <c r="FN23" s="2502" t="str">
        <f>'F-LSCD-003'!N28</f>
        <v>Tasa de dosis fuera de rango</v>
      </c>
      <c r="FO23" s="2500"/>
      <c r="FP23" s="2500"/>
      <c r="FQ23" s="2500"/>
      <c r="FR23" s="2500"/>
      <c r="FS23" s="2501"/>
      <c r="FT23" s="2503"/>
    </row>
    <row r="24" spans="1:176" ht="45.75" thickBot="1" x14ac:dyDescent="0.3">
      <c r="A24" s="738" t="s">
        <v>708</v>
      </c>
      <c r="B24" s="2477" t="s">
        <v>688</v>
      </c>
      <c r="C24" s="2477"/>
      <c r="D24" s="2477"/>
      <c r="E24" s="2477"/>
      <c r="F24" s="2478"/>
      <c r="G24" s="738" t="s">
        <v>525</v>
      </c>
      <c r="H24" s="1657" t="s">
        <v>560</v>
      </c>
      <c r="I24" s="739" t="s">
        <v>526</v>
      </c>
      <c r="J24" s="799" t="s">
        <v>117</v>
      </c>
      <c r="K24" s="800" t="s">
        <v>347</v>
      </c>
      <c r="L24" s="800" t="s">
        <v>546</v>
      </c>
      <c r="M24" s="800" t="s">
        <v>690</v>
      </c>
      <c r="N24" s="740" t="s">
        <v>716</v>
      </c>
      <c r="O24" s="740" t="s">
        <v>689</v>
      </c>
      <c r="P24" s="1174" t="s">
        <v>526</v>
      </c>
      <c r="Q24" s="799" t="s">
        <v>117</v>
      </c>
      <c r="R24" s="800" t="s">
        <v>347</v>
      </c>
      <c r="S24" s="800" t="s">
        <v>546</v>
      </c>
      <c r="T24" s="800" t="s">
        <v>690</v>
      </c>
      <c r="U24" s="740" t="s">
        <v>716</v>
      </c>
      <c r="V24" s="801" t="s">
        <v>689</v>
      </c>
      <c r="W24" s="739" t="s">
        <v>526</v>
      </c>
      <c r="X24" s="799" t="s">
        <v>117</v>
      </c>
      <c r="Y24" s="800" t="s">
        <v>347</v>
      </c>
      <c r="Z24" s="800" t="s">
        <v>546</v>
      </c>
      <c r="AA24" s="800" t="s">
        <v>690</v>
      </c>
      <c r="AB24" s="740" t="s">
        <v>716</v>
      </c>
      <c r="AC24" s="740" t="s">
        <v>689</v>
      </c>
      <c r="AD24" s="1174" t="s">
        <v>526</v>
      </c>
      <c r="AE24" s="799" t="s">
        <v>117</v>
      </c>
      <c r="AF24" s="800" t="s">
        <v>347</v>
      </c>
      <c r="AG24" s="800" t="s">
        <v>546</v>
      </c>
      <c r="AH24" s="800" t="s">
        <v>690</v>
      </c>
      <c r="AI24" s="740" t="s">
        <v>716</v>
      </c>
      <c r="AJ24" s="801" t="s">
        <v>689</v>
      </c>
      <c r="AK24" s="826" t="s">
        <v>526</v>
      </c>
      <c r="AL24" s="827" t="s">
        <v>117</v>
      </c>
      <c r="AM24" s="828" t="s">
        <v>347</v>
      </c>
      <c r="AN24" s="828" t="s">
        <v>546</v>
      </c>
      <c r="AO24" s="828" t="s">
        <v>690</v>
      </c>
      <c r="AP24" s="825" t="s">
        <v>716</v>
      </c>
      <c r="AQ24" s="825" t="s">
        <v>689</v>
      </c>
      <c r="AR24" s="1183" t="s">
        <v>526</v>
      </c>
      <c r="AS24" s="827" t="s">
        <v>117</v>
      </c>
      <c r="AT24" s="828" t="s">
        <v>347</v>
      </c>
      <c r="AU24" s="828" t="s">
        <v>546</v>
      </c>
      <c r="AV24" s="828" t="s">
        <v>690</v>
      </c>
      <c r="AW24" s="825" t="s">
        <v>716</v>
      </c>
      <c r="AX24" s="829" t="s">
        <v>689</v>
      </c>
      <c r="AY24" s="739" t="s">
        <v>526</v>
      </c>
      <c r="AZ24" s="799" t="s">
        <v>117</v>
      </c>
      <c r="BA24" s="800" t="s">
        <v>347</v>
      </c>
      <c r="BB24" s="800" t="s">
        <v>546</v>
      </c>
      <c r="BC24" s="800" t="s">
        <v>690</v>
      </c>
      <c r="BD24" s="740" t="s">
        <v>716</v>
      </c>
      <c r="BE24" s="740" t="s">
        <v>689</v>
      </c>
      <c r="BF24" s="1174" t="s">
        <v>526</v>
      </c>
      <c r="BG24" s="799" t="s">
        <v>117</v>
      </c>
      <c r="BH24" s="800" t="s">
        <v>347</v>
      </c>
      <c r="BI24" s="800" t="s">
        <v>546</v>
      </c>
      <c r="BJ24" s="800" t="s">
        <v>690</v>
      </c>
      <c r="BK24" s="740" t="s">
        <v>716</v>
      </c>
      <c r="BL24" s="801" t="s">
        <v>689</v>
      </c>
      <c r="BM24" s="739" t="s">
        <v>526</v>
      </c>
      <c r="BN24" s="799" t="s">
        <v>117</v>
      </c>
      <c r="BO24" s="800" t="s">
        <v>347</v>
      </c>
      <c r="BP24" s="800" t="s">
        <v>546</v>
      </c>
      <c r="BQ24" s="800" t="s">
        <v>690</v>
      </c>
      <c r="BR24" s="740" t="s">
        <v>716</v>
      </c>
      <c r="BS24" s="740" t="s">
        <v>689</v>
      </c>
      <c r="BT24" s="1174" t="s">
        <v>526</v>
      </c>
      <c r="BU24" s="799" t="s">
        <v>117</v>
      </c>
      <c r="BV24" s="800" t="s">
        <v>347</v>
      </c>
      <c r="BW24" s="800" t="s">
        <v>546</v>
      </c>
      <c r="BX24" s="800" t="s">
        <v>690</v>
      </c>
      <c r="BY24" s="740" t="s">
        <v>716</v>
      </c>
      <c r="BZ24" s="801" t="s">
        <v>689</v>
      </c>
      <c r="CA24" s="739" t="s">
        <v>526</v>
      </c>
      <c r="CB24" s="799" t="s">
        <v>117</v>
      </c>
      <c r="CC24" s="800" t="s">
        <v>347</v>
      </c>
      <c r="CD24" s="800" t="s">
        <v>546</v>
      </c>
      <c r="CE24" s="800" t="s">
        <v>690</v>
      </c>
      <c r="CF24" s="740" t="s">
        <v>716</v>
      </c>
      <c r="CG24" s="740" t="s">
        <v>689</v>
      </c>
      <c r="CH24" s="1174" t="s">
        <v>526</v>
      </c>
      <c r="CI24" s="799" t="s">
        <v>117</v>
      </c>
      <c r="CJ24" s="800" t="s">
        <v>347</v>
      </c>
      <c r="CK24" s="800" t="s">
        <v>546</v>
      </c>
      <c r="CL24" s="800" t="s">
        <v>690</v>
      </c>
      <c r="CM24" s="740" t="s">
        <v>716</v>
      </c>
      <c r="CN24" s="801" t="s">
        <v>689</v>
      </c>
      <c r="CO24" s="739" t="s">
        <v>526</v>
      </c>
      <c r="CP24" s="799" t="s">
        <v>117</v>
      </c>
      <c r="CQ24" s="800" t="s">
        <v>347</v>
      </c>
      <c r="CR24" s="800" t="s">
        <v>546</v>
      </c>
      <c r="CS24" s="800" t="s">
        <v>690</v>
      </c>
      <c r="CT24" s="740" t="s">
        <v>716</v>
      </c>
      <c r="CU24" s="740" t="s">
        <v>689</v>
      </c>
      <c r="CV24" s="1174" t="s">
        <v>526</v>
      </c>
      <c r="CW24" s="799" t="s">
        <v>117</v>
      </c>
      <c r="CX24" s="800" t="s">
        <v>347</v>
      </c>
      <c r="CY24" s="800" t="s">
        <v>546</v>
      </c>
      <c r="CZ24" s="800" t="s">
        <v>690</v>
      </c>
      <c r="DA24" s="740" t="s">
        <v>716</v>
      </c>
      <c r="DB24" s="801" t="s">
        <v>689</v>
      </c>
      <c r="DC24" s="739" t="s">
        <v>526</v>
      </c>
      <c r="DD24" s="799" t="s">
        <v>117</v>
      </c>
      <c r="DE24" s="800" t="s">
        <v>347</v>
      </c>
      <c r="DF24" s="800" t="s">
        <v>546</v>
      </c>
      <c r="DG24" s="800" t="s">
        <v>690</v>
      </c>
      <c r="DH24" s="740" t="s">
        <v>716</v>
      </c>
      <c r="DI24" s="740" t="s">
        <v>689</v>
      </c>
      <c r="DJ24" s="1174" t="s">
        <v>526</v>
      </c>
      <c r="DK24" s="799" t="s">
        <v>117</v>
      </c>
      <c r="DL24" s="800" t="s">
        <v>347</v>
      </c>
      <c r="DM24" s="800" t="s">
        <v>546</v>
      </c>
      <c r="DN24" s="800" t="s">
        <v>690</v>
      </c>
      <c r="DO24" s="740" t="s">
        <v>716</v>
      </c>
      <c r="DP24" s="801" t="s">
        <v>689</v>
      </c>
      <c r="DQ24" s="739" t="s">
        <v>526</v>
      </c>
      <c r="DR24" s="799" t="s">
        <v>117</v>
      </c>
      <c r="DS24" s="800" t="s">
        <v>347</v>
      </c>
      <c r="DT24" s="800" t="s">
        <v>546</v>
      </c>
      <c r="DU24" s="800" t="s">
        <v>690</v>
      </c>
      <c r="DV24" s="740" t="s">
        <v>716</v>
      </c>
      <c r="DW24" s="740" t="s">
        <v>689</v>
      </c>
      <c r="DX24" s="1174" t="s">
        <v>526</v>
      </c>
      <c r="DY24" s="799" t="s">
        <v>117</v>
      </c>
      <c r="DZ24" s="800" t="s">
        <v>347</v>
      </c>
      <c r="EA24" s="800" t="s">
        <v>546</v>
      </c>
      <c r="EB24" s="800" t="s">
        <v>690</v>
      </c>
      <c r="EC24" s="740" t="s">
        <v>716</v>
      </c>
      <c r="ED24" s="801" t="s">
        <v>689</v>
      </c>
      <c r="EE24" s="739" t="s">
        <v>526</v>
      </c>
      <c r="EF24" s="799" t="s">
        <v>117</v>
      </c>
      <c r="EG24" s="800" t="s">
        <v>347</v>
      </c>
      <c r="EH24" s="800" t="s">
        <v>546</v>
      </c>
      <c r="EI24" s="800" t="s">
        <v>690</v>
      </c>
      <c r="EJ24" s="740" t="s">
        <v>716</v>
      </c>
      <c r="EK24" s="740" t="s">
        <v>689</v>
      </c>
      <c r="EL24" s="1174" t="s">
        <v>526</v>
      </c>
      <c r="EM24" s="799" t="s">
        <v>117</v>
      </c>
      <c r="EN24" s="800" t="s">
        <v>347</v>
      </c>
      <c r="EO24" s="800" t="s">
        <v>546</v>
      </c>
      <c r="EP24" s="800" t="s">
        <v>690</v>
      </c>
      <c r="EQ24" s="740" t="s">
        <v>716</v>
      </c>
      <c r="ER24" s="801" t="s">
        <v>689</v>
      </c>
      <c r="ES24" s="739" t="s">
        <v>526</v>
      </c>
      <c r="ET24" s="799" t="s">
        <v>117</v>
      </c>
      <c r="EU24" s="800" t="s">
        <v>347</v>
      </c>
      <c r="EV24" s="800" t="s">
        <v>546</v>
      </c>
      <c r="EW24" s="800" t="s">
        <v>690</v>
      </c>
      <c r="EX24" s="740" t="s">
        <v>716</v>
      </c>
      <c r="EY24" s="740" t="s">
        <v>689</v>
      </c>
      <c r="EZ24" s="1174" t="s">
        <v>526</v>
      </c>
      <c r="FA24" s="799" t="s">
        <v>117</v>
      </c>
      <c r="FB24" s="800" t="s">
        <v>347</v>
      </c>
      <c r="FC24" s="800" t="s">
        <v>546</v>
      </c>
      <c r="FD24" s="800" t="s">
        <v>690</v>
      </c>
      <c r="FE24" s="740" t="s">
        <v>716</v>
      </c>
      <c r="FF24" s="801" t="s">
        <v>689</v>
      </c>
      <c r="FG24" s="739" t="s">
        <v>526</v>
      </c>
      <c r="FH24" s="799" t="s">
        <v>117</v>
      </c>
      <c r="FI24" s="800" t="s">
        <v>347</v>
      </c>
      <c r="FJ24" s="800" t="s">
        <v>546</v>
      </c>
      <c r="FK24" s="800" t="s">
        <v>690</v>
      </c>
      <c r="FL24" s="740" t="s">
        <v>716</v>
      </c>
      <c r="FM24" s="740" t="s">
        <v>689</v>
      </c>
      <c r="FN24" s="1174" t="s">
        <v>526</v>
      </c>
      <c r="FO24" s="799" t="s">
        <v>117</v>
      </c>
      <c r="FP24" s="800" t="s">
        <v>347</v>
      </c>
      <c r="FQ24" s="800" t="s">
        <v>546</v>
      </c>
      <c r="FR24" s="800" t="s">
        <v>690</v>
      </c>
      <c r="FS24" s="740" t="s">
        <v>716</v>
      </c>
      <c r="FT24" s="801" t="s">
        <v>689</v>
      </c>
    </row>
    <row r="25" spans="1:176" ht="18" x14ac:dyDescent="0.25">
      <c r="A25" s="816">
        <v>1</v>
      </c>
      <c r="B25" s="2552" t="s">
        <v>576</v>
      </c>
      <c r="C25" s="2553"/>
      <c r="D25" s="2553"/>
      <c r="E25" s="2553"/>
      <c r="F25" s="2554"/>
      <c r="G25" s="792" t="s">
        <v>682</v>
      </c>
      <c r="H25" s="780" t="s">
        <v>451</v>
      </c>
      <c r="I25" s="820">
        <f>$C$73</f>
        <v>1.7935633855332079E-2</v>
      </c>
      <c r="J25" s="821" t="s">
        <v>93</v>
      </c>
      <c r="K25" s="821" t="s">
        <v>373</v>
      </c>
      <c r="L25" s="822">
        <f>IF(K25="normal (k=1)",1,IF(K25="normal (k=2)",2,IF(K25="normal (k=3)",3,IF(K25="rectangular",SQRT(3),IF(K25="triangular",SQRT(6),IF(K25="Prob. U",SQRT(2),"no definido"))))))</f>
        <v>2</v>
      </c>
      <c r="M25" s="823">
        <f>CHOOSE('F-LSCD-012'!V34,I25/L25*I19,I25/L25*I19*1000,I25/L25*I19*1000000,I25/L25*I19*'Datos varios'!$E$119,I25/L25*I19*'Datos varios'!$E$120,I25/L25*I19*'Datos varios'!$E$121,I25/L25*I19*'Datos varios'!$E$122,I25/L25*I19*'Datos varios'!$E$123,"-",I25/L25*I19*'F-LSCD-012'!R34,I25/L25*I19*'F-LSCD-012'!R34)</f>
        <v>221.86379079045781</v>
      </c>
      <c r="N25" s="832">
        <f t="shared" ref="N25:N33" si="0">M25^2/$M$35^2</f>
        <v>0.16376385601580237</v>
      </c>
      <c r="O25" s="1171" t="s">
        <v>325</v>
      </c>
      <c r="P25" s="1175">
        <f>$C$73</f>
        <v>1.7935633855332079E-2</v>
      </c>
      <c r="Q25" s="821" t="s">
        <v>93</v>
      </c>
      <c r="R25" s="821" t="s">
        <v>373</v>
      </c>
      <c r="S25" s="822">
        <f>IF(R25="normal (k=1)",1,IF(R25="normal (k=2)",2,IF(R25="normal (k=3)",3,IF(R25="rectangular",SQRT(3),IF(R25="triangular",SQRT(6),IF(R25="Prob. U",SQRT(2),"no definido"))))))</f>
        <v>2</v>
      </c>
      <c r="T25" s="823" t="str">
        <f>CHOOSE('F-LSCD-012'!V35,P25/S25*P19,P25/S25*P19*1000,P25/S25*P19*1000000,P25/S25*P19*'Datos varios'!$E$119,P25/S25*P19*'Datos varios'!$E$120,P25/S25*P19*'Datos varios'!$E$121,P25/S25*P19*'Datos varios'!$E$122,P25/S25*P19*'Datos varios'!$E$123,"-",P25/S25*P19*'F-LSCD-012'!R35,P25/S25*P19*'F-LSCD-012'!R35)</f>
        <v>-</v>
      </c>
      <c r="U25" s="832" t="e">
        <f t="shared" ref="U25:U33" si="1">T25^2/$T$35^2</f>
        <v>#VALUE!</v>
      </c>
      <c r="V25" s="824" t="s">
        <v>325</v>
      </c>
      <c r="W25" s="820">
        <f>$C$73</f>
        <v>1.7935633855332079E-2</v>
      </c>
      <c r="X25" s="821" t="s">
        <v>93</v>
      </c>
      <c r="Y25" s="821" t="s">
        <v>373</v>
      </c>
      <c r="Z25" s="822">
        <f>IF(Y25="normal (k=1)",1,IF(Y25="normal (k=2)",2,IF(Y25="normal (k=3)",3,IF(Y25="rectangular",SQRT(3),IF(Y25="triangular",SQRT(6),IF(Y25="Prob. U",SQRT(2),"no definido"))))))</f>
        <v>2</v>
      </c>
      <c r="AA25" s="823" t="str">
        <f>CHOOSE('F-LSCD-012'!V36,W25/Z25*W19,W25/Z25*W19*1000,W25/Z25*W19*1000000,W25/Z25*W19*'Datos varios'!$E$119,W25/Z25*W19*'Datos varios'!$E$120,W25/Z25*W19*'Datos varios'!$E$121,W25/Z25*W19*'Datos varios'!$E$122,W25/Z25*W19*'Datos varios'!$E$123,"-",W25/Z25*W19*'F-LSCD-012'!R36,W25/Z25*W19*'F-LSCD-012'!R36)</f>
        <v>-</v>
      </c>
      <c r="AB25" s="836" t="e">
        <f t="shared" ref="AB25:AB33" si="2">AA25^2/$AA$35^2</f>
        <v>#VALUE!</v>
      </c>
      <c r="AC25" s="1171" t="s">
        <v>325</v>
      </c>
      <c r="AD25" s="1175">
        <f>$C$73</f>
        <v>1.7935633855332079E-2</v>
      </c>
      <c r="AE25" s="821" t="s">
        <v>93</v>
      </c>
      <c r="AF25" s="821" t="s">
        <v>373</v>
      </c>
      <c r="AG25" s="822">
        <f>IF(AF25="normal (k=1)",1,IF(AF25="normal (k=2)",2,IF(AF25="normal (k=3)",3,IF(AF25="rectangular",SQRT(3),IF(AF25="triangular",SQRT(6),IF(AF25="Prob. U",SQRT(2),"no definido"))))))</f>
        <v>2</v>
      </c>
      <c r="AH25" s="823" t="str">
        <f>CHOOSE('F-LSCD-012'!V37,AD25/AG25*AD19,AD25/AG25*AD19*1000,AD25/AG25*AD19*1000000,AD25/AG25*AD19*'Datos varios'!$E$119,AD25/AG25*AD19*'Datos varios'!$E$120,AD25/AG25*AD19*'Datos varios'!$E$121,AD25/AG25*AD19*'Datos varios'!$E$122,AD25/AG25*AD19*'Datos varios'!$E$123,"-",AD25/AG25*AD19*'F-LSCD-012'!R37,AD25/AG25*AD19*'F-LSCD-012'!R37)</f>
        <v>-</v>
      </c>
      <c r="AI25" s="836" t="e">
        <f t="shared" ref="AI25:AI33" si="3">AH25^2/$AH$35^2</f>
        <v>#VALUE!</v>
      </c>
      <c r="AJ25" s="824" t="s">
        <v>325</v>
      </c>
      <c r="AK25" s="820">
        <f>$C$73</f>
        <v>1.7935633855332079E-2</v>
      </c>
      <c r="AL25" s="821" t="s">
        <v>93</v>
      </c>
      <c r="AM25" s="821" t="s">
        <v>373</v>
      </c>
      <c r="AN25" s="822">
        <f>IF(AM25="normal (k=1)",1,IF(AM25="normal (k=2)",2,IF(AM25="normal (k=3)",3,IF(AM25="rectangular",SQRT(3),IF(AM25="triangular",SQRT(6),IF(AM25="Prob. U",SQRT(2),"no definido"))))))</f>
        <v>2</v>
      </c>
      <c r="AO25" s="823" t="str">
        <f>CHOOSE('F-LSCD-012'!V38,AK25/AN25*AK19,AK25/AN25*AK19*1000,AK25/AN25*AK19*1000000,AK25/AN25*AK19*'Datos varios'!$E$119,AK25/AN25*AK19*'Datos varios'!$E$120,AK25/AN25*AK19*'Datos varios'!$E$121,AK25/AN25*AK19*'Datos varios'!$E$122,AK25/AN25*AK19*'Datos varios'!$E$123,"-",AK25/AN25*AK19*'F-LSCD-012'!R38,AK25/AN25*AK19*'F-LSCD-012'!R38)</f>
        <v>-</v>
      </c>
      <c r="AP25" s="838" t="e">
        <f t="shared" ref="AP25:AP33" si="4">AO25^2/$AO$35^2</f>
        <v>#VALUE!</v>
      </c>
      <c r="AQ25" s="1171" t="s">
        <v>325</v>
      </c>
      <c r="AR25" s="1175">
        <f>$C$73</f>
        <v>1.7935633855332079E-2</v>
      </c>
      <c r="AS25" s="821" t="s">
        <v>93</v>
      </c>
      <c r="AT25" s="821" t="s">
        <v>373</v>
      </c>
      <c r="AU25" s="822">
        <f>IF(AT25="normal (k=1)",1,IF(AT25="normal (k=2)",2,IF(AT25="normal (k=3)",3,IF(AT25="rectangular",SQRT(3),IF(AT25="triangular",SQRT(6),IF(AT25="Prob. U",SQRT(2),"no definido"))))))</f>
        <v>2</v>
      </c>
      <c r="AV25" s="823" t="str">
        <f>CHOOSE('F-LSCD-012'!V39,AR25/AU25*AR19,AR25/AU25*AR19*1000,AR25/AU25*AR19*1000000,AR25/AU25*AR19*'Datos varios'!$E$119,AR25/AU25*AR19*'Datos varios'!$E$120,AR25/AU25*AR19*'Datos varios'!$E$121,AR25/AU25*AR19*'Datos varios'!$E$122,AR25/AU25*AR19*'Datos varios'!$E$123,"-",AR25/AU25*AR19*'F-LSCD-012'!R39,AR25/AU25*AR19*'F-LSCD-012'!R39)</f>
        <v>-</v>
      </c>
      <c r="AW25" s="838" t="e">
        <f t="shared" ref="AW25:AW33" si="5">AV25^2/$AV$35^2</f>
        <v>#VALUE!</v>
      </c>
      <c r="AX25" s="824" t="s">
        <v>325</v>
      </c>
      <c r="AY25" s="820">
        <f>$C$73</f>
        <v>1.7935633855332079E-2</v>
      </c>
      <c r="AZ25" s="821" t="s">
        <v>93</v>
      </c>
      <c r="BA25" s="821" t="s">
        <v>373</v>
      </c>
      <c r="BB25" s="822">
        <f>IF(BA25="normal (k=1)",1,IF(BA25="normal (k=2)",2,IF(BA25="normal (k=3)",3,IF(BA25="rectangular",SQRT(3),IF(BA25="triangular",SQRT(6),IF(BA25="Prob. U",SQRT(2),"no definido"))))))</f>
        <v>2</v>
      </c>
      <c r="BC25" s="823" t="str">
        <f>CHOOSE('F-LSCD-012'!V40,AY25/BB25*AY19,AY25/BB25*AY19*1000,AY25/BB25*AY19*1000000,AY25/BB25*AY19*'Datos varios'!$E$119,AY25/BB25*AY19*'Datos varios'!$E$120,AY25/BB25*AY19*'Datos varios'!$E$121,AY25/BB25*AY19*'Datos varios'!$E$122,AY25/BB25*AY19*'Datos varios'!$E$123,"-",AY25/BB25*AY19*'F-LSCD-012'!R40,AY25/BB25*AY19*'F-LSCD-012'!R40)</f>
        <v>-</v>
      </c>
      <c r="BD25" s="838" t="e">
        <f t="shared" ref="BD25:BD33" si="6">BC25^2/$BC$35^2</f>
        <v>#VALUE!</v>
      </c>
      <c r="BE25" s="1167" t="s">
        <v>325</v>
      </c>
      <c r="BF25" s="1175">
        <f>$C$73</f>
        <v>1.7935633855332079E-2</v>
      </c>
      <c r="BG25" s="821" t="s">
        <v>93</v>
      </c>
      <c r="BH25" s="821" t="s">
        <v>373</v>
      </c>
      <c r="BI25" s="822">
        <f>IF(BH25="normal (k=1)",1,IF(BH25="normal (k=2)",2,IF(BH25="normal (k=3)",3,IF(BH25="rectangular",SQRT(3),IF(BH25="triangular",SQRT(6),IF(BH25="Prob. U",SQRT(2),"no definido"))))))</f>
        <v>2</v>
      </c>
      <c r="BJ25" s="823" t="str">
        <f>CHOOSE('F-LSCD-012'!V41,BF25/BI25*BF19,BF25/BI25*BF19*1000,BF25/BI25*BF19*1000000,BF25/BI25*BF19*'Datos varios'!$E$119,BF25/BI25*BF19*'Datos varios'!$E$120,BF25/BI25*BF19*'Datos varios'!$E$121,BF25/BI25*BF19*'Datos varios'!$E$122,BF25/BI25*BF19*'Datos varios'!$E$123,"-",BF25/BI25*BF19*'F-LSCD-012'!R41,BF25/BI25*BF19*'F-LSCD-012'!R41)</f>
        <v>-</v>
      </c>
      <c r="BK25" s="838" t="e">
        <f t="shared" ref="BK25:BK33" si="7">BJ25^2/$BJ$35^2</f>
        <v>#VALUE!</v>
      </c>
      <c r="BL25" s="842" t="s">
        <v>325</v>
      </c>
      <c r="BM25" s="820">
        <f>$C$73</f>
        <v>1.7935633855332079E-2</v>
      </c>
      <c r="BN25" s="821" t="s">
        <v>93</v>
      </c>
      <c r="BO25" s="821" t="s">
        <v>373</v>
      </c>
      <c r="BP25" s="822">
        <f>IF(BO25="normal (k=1)",1,IF(BO25="normal (k=2)",2,IF(BO25="normal (k=3)",3,IF(BO25="rectangular",SQRT(3),IF(BO25="triangular",SQRT(6),IF(BO25="Prob. U",SQRT(2),"no definido"))))))</f>
        <v>2</v>
      </c>
      <c r="BQ25" s="823" t="str">
        <f>CHOOSE('F-LSCD-012'!V42,BM25/BP25*BM19,BM25/BP25*BM19*1000,BM25/BP25*BM19*1000000,BM25/BP25*BM19*'Datos varios'!$E$119,BM25/BP25*BM19*'Datos varios'!$E$120,BM25/BP25*BM19*'Datos varios'!$E$121,BM25/BP25*BM19*'Datos varios'!$E$122,BM25/BP25*BM19*'Datos varios'!$E$123,"-",BM25/BP25*BM19*'F-LSCD-012'!R42,BM25/BP25*BM19*'F-LSCD-012'!R42)</f>
        <v>-</v>
      </c>
      <c r="BR25" s="838" t="e">
        <f t="shared" ref="BR25:BR33" si="8">BQ25^2/$BQ$35^2</f>
        <v>#VALUE!</v>
      </c>
      <c r="BS25" s="1171" t="s">
        <v>325</v>
      </c>
      <c r="BT25" s="1175">
        <f>$C$73</f>
        <v>1.7935633855332079E-2</v>
      </c>
      <c r="BU25" s="821" t="s">
        <v>93</v>
      </c>
      <c r="BV25" s="821" t="s">
        <v>373</v>
      </c>
      <c r="BW25" s="822">
        <f>IF(BV25="normal (k=1)",1,IF(BV25="normal (k=2)",2,IF(BV25="normal (k=3)",3,IF(BV25="rectangular",SQRT(3),IF(BV25="triangular",SQRT(6),IF(BV25="Prob. U",SQRT(2),"no definido"))))))</f>
        <v>2</v>
      </c>
      <c r="BX25" s="823" t="str">
        <f>CHOOSE('F-LSCD-012'!V43,BT25/BW25*BT19,BT25/BW25*BT19*1000,BT25/BW25*BT19*1000000,BT25/BW25*BT19*'Datos varios'!$E$119,BT25/BW25*BT19*'Datos varios'!$E$120,BT25/BW25*BT19*'Datos varios'!$E$121,BT25/BW25*BT19*'Datos varios'!$E$122,BT25/BW25*BT19*'Datos varios'!$E$123,"-",BT25/BW25*BT19*'F-LSCD-012'!R43,BT25/BW25*BT19*'F-LSCD-012'!R43)</f>
        <v>-</v>
      </c>
      <c r="BY25" s="838" t="e">
        <f t="shared" ref="BY25:BY33" si="9">BX25^2/$BX$35^2</f>
        <v>#VALUE!</v>
      </c>
      <c r="BZ25" s="824" t="s">
        <v>325</v>
      </c>
      <c r="CA25" s="820">
        <f>$C$73</f>
        <v>1.7935633855332079E-2</v>
      </c>
      <c r="CB25" s="821" t="s">
        <v>93</v>
      </c>
      <c r="CC25" s="821" t="s">
        <v>373</v>
      </c>
      <c r="CD25" s="822">
        <f>IF(CC25="normal (k=1)",1,IF(CC25="normal (k=2)",2,IF(CC25="normal (k=3)",3,IF(CC25="rectangular",SQRT(3),IF(CC25="triangular",SQRT(6),IF(CC25="Prob. U",SQRT(2),"no definido"))))))</f>
        <v>2</v>
      </c>
      <c r="CE25" s="823" t="str">
        <f>CHOOSE('F-LSCD-012'!V44,CA25/CD25*CA19,CA25/CD25*CA19*1000,CA25/CD25*CA19*1000000,CA25/CD25*CA19*'Datos varios'!$E$119,CA25/CD25*CA19*'Datos varios'!$E$120,CA25/CD25*CA19*'Datos varios'!$E$121,CA25/CD25*CA19*'Datos varios'!$E$122,CA25/CD25*CA19*'Datos varios'!$E$123,"-",CA25/CD25*CA19*'F-LSCD-012'!R44,CA25/CD25*CA19*'F-LSCD-012'!R44)</f>
        <v>-</v>
      </c>
      <c r="CF25" s="844" t="e">
        <f t="shared" ref="CF25:CF33" si="10">CE25^2/$CE$35^2</f>
        <v>#VALUE!</v>
      </c>
      <c r="CG25" s="1171" t="s">
        <v>325</v>
      </c>
      <c r="CH25" s="1175">
        <f>$C$73</f>
        <v>1.7935633855332079E-2</v>
      </c>
      <c r="CI25" s="821" t="s">
        <v>93</v>
      </c>
      <c r="CJ25" s="821" t="s">
        <v>373</v>
      </c>
      <c r="CK25" s="822">
        <f>IF(CJ25="normal (k=1)",1,IF(CJ25="normal (k=2)",2,IF(CJ25="normal (k=3)",3,IF(CJ25="rectangular",SQRT(3),IF(CJ25="triangular",SQRT(6),IF(CJ25="Prob. U",SQRT(2),"no definido"))))))</f>
        <v>2</v>
      </c>
      <c r="CL25" s="823" t="str">
        <f>CHOOSE('F-LSCD-012'!V45,CH25/CK25*CH19,CH25/CK25*CH19*1000,CH25/CK25*CH19*1000000,CH25/CK25*CH19*'Datos varios'!$E$119,CH25/CK25*CH19*'Datos varios'!$E$120,CH25/CK25*CH19*'Datos varios'!$E$121,CH25/CK25*CH19*'Datos varios'!$E$122,CH25/CK25*CH19*'Datos varios'!$E$123,"-",CH25/CK25*CH19*'F-LSCD-012'!R45,CH25/CK25*CH19*'F-LSCD-012'!R45)</f>
        <v>-</v>
      </c>
      <c r="CM25" s="844" t="e">
        <f t="shared" ref="CM25:CM33" si="11">CL25^2/$CL$35^2</f>
        <v>#VALUE!</v>
      </c>
      <c r="CN25" s="824" t="s">
        <v>325</v>
      </c>
      <c r="CO25" s="820">
        <f>$C$73</f>
        <v>1.7935633855332079E-2</v>
      </c>
      <c r="CP25" s="821" t="s">
        <v>373</v>
      </c>
      <c r="CQ25" s="821" t="s">
        <v>373</v>
      </c>
      <c r="CR25" s="822">
        <f t="shared" ref="CR25:CR32" si="12">IF(CQ25="normal (k=1)",1,IF(CQ25="normal (k=2)",2,IF(CQ25="normal (k=3)",3,IF(CQ25="rectangular",SQRT(3),IF(CQ25="triangular",SQRT(6),IF(CQ25="Prob. U",SQRT(2),"no definido"))))))</f>
        <v>2</v>
      </c>
      <c r="CS25" s="823" t="str">
        <f>CHOOSE('F-LSCD-012'!V46,CO25/CR25*CO19,CO25/CR25*CO19*1000,CO25/CR25*CO19*1000000,CO25/CR25*CO19*'Datos varios'!$E$119,CO25/CR25*CO19*'Datos varios'!$E$120,CO25/CR25*CO19*'Datos varios'!$E$121,CO25/CR25*CO19*'Datos varios'!$E$122,CO25/CR25*CO19*'Datos varios'!$E$123,"-",CO25/CR25*CO19*'F-LSCD-012'!R46,CO25/CR25*CO19*'F-LSCD-012'!R46)</f>
        <v>-</v>
      </c>
      <c r="CT25" s="844" t="e">
        <f t="shared" ref="CT25:CT33" si="13">CS25^2/$CS$35^2</f>
        <v>#VALUE!</v>
      </c>
      <c r="CU25" s="1171" t="s">
        <v>325</v>
      </c>
      <c r="CV25" s="1175">
        <f>$C$73</f>
        <v>1.7935633855332079E-2</v>
      </c>
      <c r="CW25" s="821" t="s">
        <v>373</v>
      </c>
      <c r="CX25" s="821" t="s">
        <v>373</v>
      </c>
      <c r="CY25" s="822">
        <f>IF(CX25="normal (k=1)",1,IF(CX25="normal (k=2)",2,IF(CX25="normal (k=3)",3,IF(CX25="rectangular",SQRT(3),IF(CX25="triangular",SQRT(6),IF(CX25="Prob. U",SQRT(2),"no definido"))))))</f>
        <v>2</v>
      </c>
      <c r="CZ25" s="823" t="str">
        <f>CHOOSE('F-LSCD-012'!V47,CV25/CY25*CV19,CV25/CY25*CV19*1000,CV25/CY25*CV19*1000000,CV25/CY25*CV19*'Datos varios'!$E$119,CV25/CY25*CV19*'Datos varios'!$E$120,CV25/CY25*CV19*'Datos varios'!$E$121,CV25/CY25*CV19*'Datos varios'!$E$122,CV25/CY25*CV19*'Datos varios'!$E$123,"-",CV25/CY25*CV19*'F-LSCD-012'!R47,CV25/CY25*CV19*'F-LSCD-012'!R47)</f>
        <v>-</v>
      </c>
      <c r="DA25" s="844" t="e">
        <f t="shared" ref="DA25:DA33" si="14">CZ25^2/$CZ$35^2</f>
        <v>#VALUE!</v>
      </c>
      <c r="DB25" s="824" t="s">
        <v>325</v>
      </c>
      <c r="DC25" s="820">
        <f>$C$73</f>
        <v>1.7935633855332079E-2</v>
      </c>
      <c r="DD25" s="821" t="s">
        <v>93</v>
      </c>
      <c r="DE25" s="821" t="s">
        <v>373</v>
      </c>
      <c r="DF25" s="822">
        <f>IF(DE25="normal (k=1)",1,IF(DE25="normal (k=2)",2,IF(DE25="normal (k=3)",3,IF(DE25="rectangular",SQRT(3),IF(DE25="triangular",SQRT(6),IF(DE25="Prob. U",SQRT(2),"no definido"))))))</f>
        <v>2</v>
      </c>
      <c r="DG25" s="823" t="str">
        <f>CHOOSE('F-LSCD-012'!V48,DC25/DF25*DC19,DC25/DF25*DC19*1000,DC25/DF25*DC19*1000000,DC25/DF25*DC19*'Datos varios'!$E$119,DC25/DF25*DC19*'Datos varios'!$E$120,DC25/DF25*DC19*'Datos varios'!$E$121,DC25/DF25*DC19*'Datos varios'!$E$122,DC25/DF25*DC19*'Datos varios'!$E$123,"-",DC25/DF25*DC19*'F-LSCD-012'!R48,DC25/DF25*DC19*'F-LSCD-012'!R48)</f>
        <v>-</v>
      </c>
      <c r="DH25" s="838" t="e">
        <f t="shared" ref="DH25:DH33" si="15">DG25^2/$DG$35^2</f>
        <v>#VALUE!</v>
      </c>
      <c r="DI25" s="1171" t="s">
        <v>325</v>
      </c>
      <c r="DJ25" s="1175">
        <f>$C$73</f>
        <v>1.7935633855332079E-2</v>
      </c>
      <c r="DK25" s="821" t="s">
        <v>93</v>
      </c>
      <c r="DL25" s="821" t="s">
        <v>373</v>
      </c>
      <c r="DM25" s="822">
        <f>IF(DL25="normal (k=1)",1,IF(DL25="normal (k=2)",2,IF(DL25="normal (k=3)",3,IF(DL25="rectangular",SQRT(3),IF(DL25="triangular",SQRT(6),IF(DL25="Prob. U",SQRT(2),"no definido"))))))</f>
        <v>2</v>
      </c>
      <c r="DN25" s="823" t="str">
        <f>CHOOSE('F-LSCD-012'!V49,DJ25/DM25*DJ19,DJ25/DM25*DJ19*1000,DJ25/DM25*DJ19*1000000,DJ25/DM25*DJ19*'Datos varios'!$E$119,DJ25/DM25*DJ19*'Datos varios'!$E$120,DJ25/DM25*DJ19*'Datos varios'!$E$121,DJ25/DM25*DJ19*'Datos varios'!$E$122,DJ25/DM25*DJ19*'Datos varios'!$E$123,"-",DJ25/DM25*DJ19*'F-LSCD-012'!R49,DJ25/DM25*DJ19*'F-LSCD-012'!R49)</f>
        <v>-</v>
      </c>
      <c r="DO25" s="838" t="e">
        <f t="shared" ref="DO25:DO33" si="16">DN25^2/$DN$35^2</f>
        <v>#VALUE!</v>
      </c>
      <c r="DP25" s="824" t="s">
        <v>325</v>
      </c>
      <c r="DQ25" s="820">
        <f>$C$73</f>
        <v>1.7935633855332079E-2</v>
      </c>
      <c r="DR25" s="821" t="s">
        <v>93</v>
      </c>
      <c r="DS25" s="821" t="s">
        <v>373</v>
      </c>
      <c r="DT25" s="822">
        <f>IF(DS25="normal (k=1)",1,IF(DS25="normal (k=2)",2,IF(DS25="normal (k=3)",3,IF(DS25="rectangular",SQRT(3),IF(DS25="triangular",SQRT(6),IF(DS25="Prob. U",SQRT(2),"no definido"))))))</f>
        <v>2</v>
      </c>
      <c r="DU25" s="823" t="str">
        <f>CHOOSE('F-LSCD-012'!V50,DQ25/DT25*DQ19,DQ25/DT25*DQ19*1000,DQ25/DT25*DQ19*1000000,DQ25/DT25*DQ19*'Datos varios'!$E$119,DQ25/DT25*DQ19*'Datos varios'!$E$120,DQ25/DT25*DQ19*'Datos varios'!$E$121,DQ25/DT25*DQ19*'Datos varios'!$E$122,DQ25/DT25*DQ19*'Datos varios'!$E$123,"-",DQ25/DT25*DQ19*'F-LSCD-012'!R50,DQ25/DT25*DQ19*'F-LSCD-012'!R50)</f>
        <v>-</v>
      </c>
      <c r="DV25" s="838" t="e">
        <f t="shared" ref="DV25:DV33" si="17">DU25^2/$DU$35^2</f>
        <v>#VALUE!</v>
      </c>
      <c r="DW25" s="1171" t="s">
        <v>325</v>
      </c>
      <c r="DX25" s="1175">
        <f>$C$73</f>
        <v>1.7935633855332079E-2</v>
      </c>
      <c r="DY25" s="821" t="s">
        <v>93</v>
      </c>
      <c r="DZ25" s="821" t="s">
        <v>373</v>
      </c>
      <c r="EA25" s="822">
        <f>IF(DZ25="normal (k=1)",1,IF(DZ25="normal (k=2)",2,IF(DZ25="normal (k=3)",3,IF(DZ25="rectangular",SQRT(3),IF(DZ25="triangular",SQRT(6),IF(DZ25="Prob. U",SQRT(2),"no definido"))))))</f>
        <v>2</v>
      </c>
      <c r="EB25" s="823" t="str">
        <f>CHOOSE('F-LSCD-012'!V51,DX25/EA25*DX19,DX25/EA25*DX19*1000,DX25/EA25*DX19*1000000,DX25/EA25*DX19*'Datos varios'!$E$119,DX25/EA25*DX19*'Datos varios'!$E$120,DX25/EA25*DX19*'Datos varios'!$E$121,DX25/EA25*DX19*'Datos varios'!$E$122,DX25/EA25*DX19*'Datos varios'!$E$123,"-",DX25/EA25*DX19*'F-LSCD-012'!R51,DX25/EA25*DX19*'F-LSCD-012'!R51)</f>
        <v>-</v>
      </c>
      <c r="EC25" s="838" t="e">
        <f t="shared" ref="EC25:EC33" si="18">EB25^2/$EB$35^2</f>
        <v>#VALUE!</v>
      </c>
      <c r="ED25" s="824" t="s">
        <v>325</v>
      </c>
      <c r="EE25" s="820">
        <f>$C$73</f>
        <v>1.7935633855332079E-2</v>
      </c>
      <c r="EF25" s="821" t="s">
        <v>93</v>
      </c>
      <c r="EG25" s="821" t="s">
        <v>373</v>
      </c>
      <c r="EH25" s="822">
        <f>IF(EG25="normal (k=1)",1,IF(EG25="normal (k=2)",2,IF(EG25="normal (k=3)",3,IF(EG25="rectangular",SQRT(3),IF(EG25="triangular",SQRT(6),IF(EG25="Prob. U",SQRT(2),"no definido"))))))</f>
        <v>2</v>
      </c>
      <c r="EI25" s="823" t="str">
        <f>CHOOSE('F-LSCD-012'!V52,EE25/EH25*EE19,EE25/EH25*EE19*1000,EE25/EH25*EE19*1000000,EE25/EH25*EE19*'Datos varios'!$E$119,EE25/EH25*EE19*'Datos varios'!$E$120,EE25/EH25*EE19*'Datos varios'!$E$121,EE25/EH25*EE19*'Datos varios'!$E$122,EE25/EH25*EE19*'Datos varios'!$E$123,"-",EE25/EH25*EE19*'F-LSCD-012'!R52,EE25/EH25*EE19*'F-LSCD-012'!R52)</f>
        <v>-</v>
      </c>
      <c r="EJ25" s="838" t="e">
        <f t="shared" ref="EJ25:EJ33" si="19">EI25^2/$EI$35^2</f>
        <v>#VALUE!</v>
      </c>
      <c r="EK25" s="1171" t="s">
        <v>325</v>
      </c>
      <c r="EL25" s="1175">
        <f>$C$73</f>
        <v>1.7935633855332079E-2</v>
      </c>
      <c r="EM25" s="821" t="s">
        <v>93</v>
      </c>
      <c r="EN25" s="821" t="s">
        <v>373</v>
      </c>
      <c r="EO25" s="822">
        <f>IF(EN25="normal (k=1)",1,IF(EN25="normal (k=2)",2,IF(EN25="normal (k=3)",3,IF(EN25="rectangular",SQRT(3),IF(EN25="triangular",SQRT(6),IF(EN25="Prob. U",SQRT(2),"no definido"))))))</f>
        <v>2</v>
      </c>
      <c r="EP25" s="823" t="str">
        <f>CHOOSE('F-LSCD-012'!V53,EL25/EO25*EL19,EL25/EO25*EL19*1000,EL25/EO25*EL19*1000000,EL25/EO25*EL19*'Datos varios'!$E$119,EL25/EO25*EL19*'Datos varios'!$E$120,EL25/EO25*EL19*'Datos varios'!$E$121,EL25/EO25*EL19*'Datos varios'!$E$122,EL25/EO25*EL19*'Datos varios'!$E$123,"-",EL25/EO25*EL19*'F-LSCD-012'!R53,EL25/EO25*EL19*'F-LSCD-012'!R53)</f>
        <v>-</v>
      </c>
      <c r="EQ25" s="838" t="e">
        <f t="shared" ref="EQ25:EQ33" si="20">EP25^2/$EP$35^2</f>
        <v>#VALUE!</v>
      </c>
      <c r="ER25" s="824" t="s">
        <v>325</v>
      </c>
      <c r="ES25" s="820">
        <f>$C$73</f>
        <v>1.7935633855332079E-2</v>
      </c>
      <c r="ET25" s="821" t="s">
        <v>93</v>
      </c>
      <c r="EU25" s="821" t="s">
        <v>373</v>
      </c>
      <c r="EV25" s="822">
        <f>IF(EU25="normal (k=1)",1,IF(EU25="normal (k=2)",2,IF(EU25="normal (k=3)",3,IF(EU25="rectangular",SQRT(3),IF(EU25="triangular",SQRT(6),IF(EU25="Prob. U",SQRT(2),"no definido"))))))</f>
        <v>2</v>
      </c>
      <c r="EW25" s="823" t="str">
        <f>CHOOSE('F-LSCD-012'!V54,ES25/EV25*ES19,ES25/EV25*ES19*1000,ES25/EV25*ES19*1000000,ES25/EV25*ES19*'Datos varios'!$E$119,ES25/EV25*ES19*'Datos varios'!$E$120,ES25/EV25*ES19*'Datos varios'!$E$121,ES25/EV25*ES19*'Datos varios'!$E$122,ES25/EV25*ES19*'Datos varios'!$E$123,"-",ES25/EV25*ES19*'F-LSCD-012'!R54,ES25/EV25*ES19*'F-LSCD-012'!R54)</f>
        <v>-</v>
      </c>
      <c r="EX25" s="838" t="e">
        <f t="shared" ref="EX25:EX33" si="21">EW25^2/$EW$35^2</f>
        <v>#VALUE!</v>
      </c>
      <c r="EY25" s="1171" t="s">
        <v>325</v>
      </c>
      <c r="EZ25" s="1175">
        <f>$C$73</f>
        <v>1.7935633855332079E-2</v>
      </c>
      <c r="FA25" s="821" t="s">
        <v>93</v>
      </c>
      <c r="FB25" s="821" t="s">
        <v>373</v>
      </c>
      <c r="FC25" s="822">
        <f>IF(FB25="normal (k=1)",1,IF(FB25="normal (k=2)",2,IF(FB25="normal (k=3)",3,IF(FB25="rectangular",SQRT(3),IF(FB25="triangular",SQRT(6),IF(FB25="Prob. U",SQRT(2),"no definido"))))))</f>
        <v>2</v>
      </c>
      <c r="FD25" s="823" t="str">
        <f>CHOOSE('F-LSCD-012'!V55,EZ25/FC25*EZ19,EZ25/FC25*EZ19*1000,EZ25/FC25*EZ19*1000000,EZ25/FC25*EZ19*'Datos varios'!$E$119,EZ25/FC25*EZ19*'Datos varios'!$E$120,EZ25/FC25*EZ19*'Datos varios'!$E$121,EZ25/FC25*EZ19*'Datos varios'!$E$122,EZ25/FC25*EZ19*'Datos varios'!$E$123,"-",EZ25/FC25*EZ19*'F-LSCD-012'!R55,EZ25/FC25*EZ19*'F-LSCD-012'!R55)</f>
        <v>-</v>
      </c>
      <c r="FE25" s="838" t="e">
        <f t="shared" ref="FE25:FE33" si="22">FD25^2/$FD$35^2</f>
        <v>#VALUE!</v>
      </c>
      <c r="FF25" s="824" t="s">
        <v>325</v>
      </c>
      <c r="FG25" s="820">
        <f>$C$73</f>
        <v>1.7935633855332079E-2</v>
      </c>
      <c r="FH25" s="821" t="s">
        <v>93</v>
      </c>
      <c r="FI25" s="821" t="s">
        <v>373</v>
      </c>
      <c r="FJ25" s="822">
        <f>IF(FI25="normal (k=1)",1,IF(FI25="normal (k=2)",2,IF(FI25="normal (k=3)",3,IF(FI25="rectangular",SQRT(3),IF(FI25="triangular",SQRT(6),IF(FI25="Prob. U",SQRT(2),"no definido"))))))</f>
        <v>2</v>
      </c>
      <c r="FK25" s="823" t="str">
        <f>CHOOSE('F-LSCD-012'!V56,FG25/FJ25*FG19,FG25/FJ25*FG19*1000,FG25/FJ25*FG19*1000000,FG25/FJ25*FG19*'Datos varios'!$E$119,FG25/FJ25*FG19*'Datos varios'!$E$120,FG25/FJ25*FG19*'Datos varios'!$E$121,FG25/FJ25*FG19*'Datos varios'!$E$122,FG25/FJ25*FG19*'Datos varios'!$E$123,"-",FG25/FJ25*FG19*'F-LSCD-012'!R56,FG25/FJ25*FG19*'F-LSCD-012'!R56)</f>
        <v>-</v>
      </c>
      <c r="FL25" s="838" t="e">
        <f t="shared" ref="FL25:FL33" si="23">FK25^2/$FK$35^2</f>
        <v>#VALUE!</v>
      </c>
      <c r="FM25" s="1171" t="s">
        <v>325</v>
      </c>
      <c r="FN25" s="1175">
        <f>$C$73</f>
        <v>1.7935633855332079E-2</v>
      </c>
      <c r="FO25" s="821" t="s">
        <v>93</v>
      </c>
      <c r="FP25" s="821" t="s">
        <v>373</v>
      </c>
      <c r="FQ25" s="822">
        <f t="shared" ref="FQ25:FQ32" si="24">IF(FP25="normal (k=1)",1,IF(FP25="normal (k=2)",2,IF(FP25="normal (k=3)",3,IF(FP25="rectangular",SQRT(3),IF(FP25="triangular",SQRT(6),IF(FP25="Prob. U",SQRT(2),"no definido"))))))</f>
        <v>2</v>
      </c>
      <c r="FR25" s="823" t="str">
        <f>CHOOSE('F-LSCD-012'!V57,FN25/FQ25*FN19,FN25/FQ25*FN19*1000,FN25/FQ25*FN19*1000000,FN25/FQ25*FN19*'Datos varios'!$E$119,FN25/FQ25*FN19*'Datos varios'!$E$120,FN25/FQ25*FN19*'Datos varios'!$E$121,FN25/FQ25*FN19*'Datos varios'!$E$122,FN25/FQ25*FN19*'Datos varios'!$E$123,"-",FN25/FQ25*FN19*'F-LSCD-012'!R57,FN25/FQ25*FN19*'F-LSCD-012'!R57)</f>
        <v>-</v>
      </c>
      <c r="FS25" s="838" t="e">
        <f t="shared" ref="FS25:FS33" si="25">FR25^2/$FR$35^2</f>
        <v>#VALUE!</v>
      </c>
      <c r="FT25" s="824" t="s">
        <v>325</v>
      </c>
    </row>
    <row r="26" spans="1:176" ht="18" x14ac:dyDescent="0.25">
      <c r="A26" s="741">
        <v>2</v>
      </c>
      <c r="B26" s="2555" t="s">
        <v>341</v>
      </c>
      <c r="C26" s="2556"/>
      <c r="D26" s="2556"/>
      <c r="E26" s="2556"/>
      <c r="F26" s="2557"/>
      <c r="G26" s="793" t="s">
        <v>618</v>
      </c>
      <c r="H26" s="781" t="s">
        <v>451</v>
      </c>
      <c r="I26" s="803">
        <f>$C$87</f>
        <v>6.8804228560584869E-4</v>
      </c>
      <c r="J26" s="804" t="s">
        <v>93</v>
      </c>
      <c r="K26" s="804" t="s">
        <v>370</v>
      </c>
      <c r="L26" s="805">
        <f>IF(K26="normal (k=1)",1,IF(K26="normal (k=2)",2,IF(K26="normal (k=3)",3,IF(K26="rectangular",SQRT(3),IF(K26="triangular",SQRT(6),IF(K26="Prob. U",SQRT(2),"no definido"))))))</f>
        <v>1.7320508075688772</v>
      </c>
      <c r="M26" s="814">
        <f>CHOOSE('F-LSCD-012'!V34,I26/L26*I19,I26/L26*I19*1000,I26/L26*I19*1000000,I26/L26*I19*'Datos varios'!$E$119,I26/L26*I19*'Datos varios'!$E$120,I26/L26*I19*'Datos varios'!$E$121,I26/L26*I19*'Datos varios'!$E$122,I26/L26*I19*'Datos varios'!$E$123,"-",I26/L26*I19*'F-LSCD-012'!R34,I26/L26*I19*'F-LSCD-012'!R34)</f>
        <v>9.8277522065193743</v>
      </c>
      <c r="N26" s="833">
        <f t="shared" si="0"/>
        <v>3.2133171586724786E-4</v>
      </c>
      <c r="O26" s="1172" t="s">
        <v>325</v>
      </c>
      <c r="P26" s="1176">
        <f>$C$87</f>
        <v>6.8804228560584869E-4</v>
      </c>
      <c r="Q26" s="804" t="s">
        <v>93</v>
      </c>
      <c r="R26" s="804" t="s">
        <v>370</v>
      </c>
      <c r="S26" s="805">
        <f>IF(R26="normal (k=1)",1,IF(R26="normal (k=2)",2,IF(R26="normal (k=3)",3,IF(R26="rectangular",SQRT(3),IF(R26="triangular",SQRT(6),IF(R26="Prob. U",SQRT(2),"no definido"))))))</f>
        <v>1.7320508075688772</v>
      </c>
      <c r="T26" s="814" t="str">
        <f>CHOOSE('F-LSCD-012'!V35,P26/S26*P19,P26/S26*P19*1000,P26/S26*P19*1000000,P26/S26*P19*'Datos varios'!$E$119,P26/S26*P19*'Datos varios'!$E$120,P26/S26*P19*'Datos varios'!$E$121,P26/S26*P19*'Datos varios'!$E$122,P26/S26*P19*'Datos varios'!$E$123,"-",P26/S26*P19*'F-LSCD-012'!R35,P26/S26*P19*'F-LSCD-012'!R35)</f>
        <v>-</v>
      </c>
      <c r="U26" s="833" t="e">
        <f t="shared" si="1"/>
        <v>#VALUE!</v>
      </c>
      <c r="V26" s="812" t="s">
        <v>325</v>
      </c>
      <c r="W26" s="803">
        <f>$C$87</f>
        <v>6.8804228560584869E-4</v>
      </c>
      <c r="X26" s="804" t="s">
        <v>93</v>
      </c>
      <c r="Y26" s="804" t="s">
        <v>370</v>
      </c>
      <c r="Z26" s="805">
        <f>IF(Y26="normal (k=1)",1,IF(Y26="normal (k=2)",2,IF(Y26="normal (k=3)",3,IF(Y26="rectangular",SQRT(3),IF(Y26="triangular",SQRT(6),IF(Y26="Prob. U",SQRT(2),"no definido"))))))</f>
        <v>1.7320508075688772</v>
      </c>
      <c r="AA26" s="814" t="str">
        <f>CHOOSE('F-LSCD-012'!V36,W26/Z26*W19,W26/Z26*W19*1000,W26/Z26*W19*1000000,W26/Z26*W19*'Datos varios'!$E$119,W26/Z26*W19*'Datos varios'!$E$120,W26/Z26*W19*'Datos varios'!$E$121,W26/Z26*W19*'Datos varios'!$E$122,W26/Z26*W19*'Datos varios'!$E$123,"-",IW26/Z26*W19*'F-LSCD-012'!R36,W26/Z26*W19*'F-LSCD-012'!R36)</f>
        <v>-</v>
      </c>
      <c r="AB26" s="835" t="e">
        <f t="shared" si="2"/>
        <v>#VALUE!</v>
      </c>
      <c r="AC26" s="1172" t="s">
        <v>325</v>
      </c>
      <c r="AD26" s="1176">
        <f>$C$87</f>
        <v>6.8804228560584869E-4</v>
      </c>
      <c r="AE26" s="804" t="s">
        <v>93</v>
      </c>
      <c r="AF26" s="804" t="s">
        <v>370</v>
      </c>
      <c r="AG26" s="805">
        <f>IF(AF26="normal (k=1)",1,IF(AF26="normal (k=2)",2,IF(AF26="normal (k=3)",3,IF(AF26="rectangular",SQRT(3),IF(AF26="triangular",SQRT(6),IF(AF26="Prob. U",SQRT(2),"no definido"))))))</f>
        <v>1.7320508075688772</v>
      </c>
      <c r="AH26" s="814" t="str">
        <f>CHOOSE('F-LSCD-012'!V37,AD26/AG26*AD19,AD26/AG26*AD19*1000,AD26/AG26*AD19*1000000,AD26/AG26*AD19*'Datos varios'!$E$119,AD26/AG26*AD19*'Datos varios'!$E$120,AD26/AG26*AD19*'Datos varios'!$E$121,AD26/AG26*AD19*'Datos varios'!$E$122,AD26/AG26*AD19*'Datos varios'!$E$123,"-",AD26/AG26*AD19*'F-LSCD-012'!R37,AD26/AG26*AD19*'F-LSCD-012'!R37)</f>
        <v>-</v>
      </c>
      <c r="AI26" s="835" t="e">
        <f t="shared" si="3"/>
        <v>#VALUE!</v>
      </c>
      <c r="AJ26" s="812" t="s">
        <v>325</v>
      </c>
      <c r="AK26" s="803">
        <f>$C$87</f>
        <v>6.8804228560584869E-4</v>
      </c>
      <c r="AL26" s="804" t="s">
        <v>93</v>
      </c>
      <c r="AM26" s="804" t="s">
        <v>370</v>
      </c>
      <c r="AN26" s="805">
        <f>IF(AM26="normal (k=1)",1,IF(AM26="normal (k=2)",2,IF(AM26="normal (k=3)",3,IF(AM26="rectangular",SQRT(3),IF(AM26="triangular",SQRT(6),IF(AM26="Prob. U",SQRT(2),"no definido"))))))</f>
        <v>1.7320508075688772</v>
      </c>
      <c r="AO26" s="814" t="str">
        <f>CHOOSE('F-LSCD-012'!V38,AK26/AN26*AK19,AK26/AN26*AK19*1000,AK26/AN26*AK19*1000000,AK26/AN26*AK19*'Datos varios'!$E$119,AK26/AN26*AK19*'Datos varios'!$E$120,AK26/AN26*AK19*'Datos varios'!$E$121,AK26/AN26*AK19*'Datos varios'!$E$122,AK26/AN26*AK19*'Datos varios'!$E$123,"-",AK26/AN26*AK19*'F-LSCD-012'!R38,AK26/AN26*AK19*'F-LSCD-012'!R38)</f>
        <v>-</v>
      </c>
      <c r="AP26" s="839" t="e">
        <f t="shared" si="4"/>
        <v>#VALUE!</v>
      </c>
      <c r="AQ26" s="1172" t="s">
        <v>325</v>
      </c>
      <c r="AR26" s="1176">
        <f>$C$87</f>
        <v>6.8804228560584869E-4</v>
      </c>
      <c r="AS26" s="804" t="s">
        <v>93</v>
      </c>
      <c r="AT26" s="804" t="s">
        <v>370</v>
      </c>
      <c r="AU26" s="805">
        <f>IF(AT26="normal (k=1)",1,IF(AT26="normal (k=2)",2,IF(AT26="normal (k=3)",3,IF(AT26="rectangular",SQRT(3),IF(AT26="triangular",SQRT(6),IF(AT26="Prob. U",SQRT(2),"no definido"))))))</f>
        <v>1.7320508075688772</v>
      </c>
      <c r="AV26" s="814" t="str">
        <f>CHOOSE('F-LSCD-012'!V39,AR26/AU26*AR19,AR26/AU26*AR19*1000,AR26/AU26*AR19*1000000,AR26/AU26*AR19*'Datos varios'!$E$119,AR26/AU26*AR19*'Datos varios'!$E$120,AR26/AU26*AR19*'Datos varios'!$E$121,AR26/AU26*AR19*'Datos varios'!$E$122,AR26/AU26*AR19*'Datos varios'!$E$123,"-",AR26/AU26*AR19*'F-LSCD-012'!R39,AR26/AU26*AR19*'F-LSCD-012'!R39)</f>
        <v>-</v>
      </c>
      <c r="AW26" s="839" t="e">
        <f t="shared" si="5"/>
        <v>#VALUE!</v>
      </c>
      <c r="AX26" s="812" t="s">
        <v>325</v>
      </c>
      <c r="AY26" s="803">
        <f>$C$87</f>
        <v>6.8804228560584869E-4</v>
      </c>
      <c r="AZ26" s="804" t="s">
        <v>93</v>
      </c>
      <c r="BA26" s="804" t="s">
        <v>370</v>
      </c>
      <c r="BB26" s="805">
        <f>IF(BA26="normal (k=1)",1,IF(BA26="normal (k=2)",2,IF(BA26="normal (k=3)",3,IF(BA26="rectangular",SQRT(3),IF(BA26="triangular",SQRT(6),IF(BA26="Prob. U",SQRT(2),"no definido"))))))</f>
        <v>1.7320508075688772</v>
      </c>
      <c r="BC26" s="814" t="str">
        <f>CHOOSE('F-LSCD-012'!V40,AY26/BB26*AY19,AY26/BB26*AY19*1000,AY26/BB26*AY19*1000000,AY26/BB26*AY19*'Datos varios'!$E$119,AY26/BB26*AY19*'Datos varios'!$E$120,AY26/BB26*AY19*'Datos varios'!$E$121,AY26/BB26*AY19*'Datos varios'!$E$122,AY26/BB26*AY19*'Datos varios'!$E$123,"-",AY26/BB26*AY19*'F-LSCD-012'!R40,AY26/BB26*AY19*'F-LSCD-012'!R40)</f>
        <v>-</v>
      </c>
      <c r="BD26" s="839" t="e">
        <f t="shared" si="6"/>
        <v>#VALUE!</v>
      </c>
      <c r="BE26" s="1168" t="s">
        <v>325</v>
      </c>
      <c r="BF26" s="1176">
        <f>$C$87</f>
        <v>6.8804228560584869E-4</v>
      </c>
      <c r="BG26" s="804" t="s">
        <v>93</v>
      </c>
      <c r="BH26" s="804" t="s">
        <v>370</v>
      </c>
      <c r="BI26" s="805">
        <f>IF(BH26="normal (k=1)",1,IF(BH26="normal (k=2)",2,IF(BH26="normal (k=3)",3,IF(BH26="rectangular",SQRT(3),IF(BH26="triangular",SQRT(6),IF(BH26="Prob. U",SQRT(2),"no definido"))))))</f>
        <v>1.7320508075688772</v>
      </c>
      <c r="BJ26" s="814" t="str">
        <f>CHOOSE('F-LSCD-012'!V41,BF26/BI26*BF19,BF26/BI26*BF19*1000,BF26/BI26*BF19*1000000,BF26/BI26*BF19*'Datos varios'!$E$119,BF26/BI26*BF19*'Datos varios'!$E$120,BF26/BI26*BF19*'Datos varios'!$E$121,BF26/BI26*BF19*'Datos varios'!$E$122,BF26/BI26*BF19*'Datos varios'!$E$123,"-",BF26/BI26*BF19*'F-LSCD-012'!R41,BF26/BI26*BF19*'F-LSCD-012'!R41)</f>
        <v>-</v>
      </c>
      <c r="BK26" s="839" t="e">
        <f t="shared" si="7"/>
        <v>#VALUE!</v>
      </c>
      <c r="BL26" s="830" t="s">
        <v>325</v>
      </c>
      <c r="BM26" s="803">
        <f>$C$87</f>
        <v>6.8804228560584869E-4</v>
      </c>
      <c r="BN26" s="804" t="s">
        <v>93</v>
      </c>
      <c r="BO26" s="804" t="s">
        <v>370</v>
      </c>
      <c r="BP26" s="805">
        <f>IF(BO26="normal (k=1)",1,IF(BO26="normal (k=2)",2,IF(BO26="normal (k=3)",3,IF(BO26="rectangular",SQRT(3),IF(BO26="triangular",SQRT(6),IF(BO26="Prob. U",SQRT(2),"no definido"))))))</f>
        <v>1.7320508075688772</v>
      </c>
      <c r="BQ26" s="814" t="str">
        <f>CHOOSE('F-LSCD-012'!V42,BM26/BP26*BM19,BM26/BP26*BM19*1000,BM26/BP26*BM19*1000000,BM26/BP26*BM19*'Datos varios'!$E$119,BM26/BP26*BM19*'Datos varios'!$E$120,BM26/BP26*BM19*'Datos varios'!$E$121,BM26/BP26*BM19*'Datos varios'!$E$122,BM26/BP26*BM19*'Datos varios'!$E$123,"-",BM26/BP26*BM19*'F-LSCD-012'!R42,BM26/BP26*BM19*'F-LSCD-012'!R42)</f>
        <v>-</v>
      </c>
      <c r="BR26" s="841" t="e">
        <f t="shared" si="8"/>
        <v>#VALUE!</v>
      </c>
      <c r="BS26" s="1172" t="s">
        <v>325</v>
      </c>
      <c r="BT26" s="1176">
        <f>$C$87</f>
        <v>6.8804228560584869E-4</v>
      </c>
      <c r="BU26" s="804" t="s">
        <v>93</v>
      </c>
      <c r="BV26" s="804" t="s">
        <v>370</v>
      </c>
      <c r="BW26" s="805">
        <f>IF(BV26="normal (k=1)",1,IF(BV26="normal (k=2)",2,IF(BV26="normal (k=3)",3,IF(BV26="rectangular",SQRT(3),IF(BV26="triangular",SQRT(6),IF(BV26="Prob. U",SQRT(2),"no definido"))))))</f>
        <v>1.7320508075688772</v>
      </c>
      <c r="BX26" s="814" t="str">
        <f>CHOOSE('F-LSCD-012'!V43,BT26/BW26*BT19,BT26/BW26*BT19*1000,BT26/BW26*BT19*1000000,BT26/BW26*BT19*'Datos varios'!$E$119,BT26/BW26*BT19*'Datos varios'!$E$120,BT26/BW26*BT19*'Datos varios'!$E$121,BT26/BW26*BT19*'Datos varios'!$E$122,BT26/BW26*BT19*'Datos varios'!$E$123,"-",BT26/BW26*BT19*'F-LSCD-012'!R43,BT26/BW26*BT19*'F-LSCD-012'!R43)</f>
        <v>-</v>
      </c>
      <c r="BY26" s="841" t="e">
        <f t="shared" si="9"/>
        <v>#VALUE!</v>
      </c>
      <c r="BZ26" s="812" t="s">
        <v>325</v>
      </c>
      <c r="CA26" s="803">
        <f>$C$87</f>
        <v>6.8804228560584869E-4</v>
      </c>
      <c r="CB26" s="804" t="s">
        <v>93</v>
      </c>
      <c r="CC26" s="804" t="s">
        <v>370</v>
      </c>
      <c r="CD26" s="805">
        <f>IF(CC26="normal (k=1)",1,IF(CC26="normal (k=2)",2,IF(CC26="normal (k=3)",3,IF(CC26="rectangular",SQRT(3),IF(CC26="triangular",SQRT(6),IF(CC26="Prob. U",SQRT(2),"no definido"))))))</f>
        <v>1.7320508075688772</v>
      </c>
      <c r="CE26" s="814" t="str">
        <f>CHOOSE('F-LSCD-012'!V44,CA26/CD26*CA19,CA26/CD26*CA19*1000,CA26/CD26*CA19*1000000,CA26/CD26*CA19*'Datos varios'!$E$119,CA26/CD26*CA19*'Datos varios'!$E$120,CA26/CD26*CA19*'Datos varios'!$E$121,CA26/CD26*CA19*'Datos varios'!$E$122,CA26/CD26*CA19*'Datos varios'!$E$123,"-",CA26/CD26*CA19*'F-LSCD-012'!R44,CA26/CD26*CA19*'F-LSCD-012'!R44)</f>
        <v>-</v>
      </c>
      <c r="CF26" s="845" t="e">
        <f t="shared" si="10"/>
        <v>#VALUE!</v>
      </c>
      <c r="CG26" s="1172" t="s">
        <v>325</v>
      </c>
      <c r="CH26" s="1176">
        <f>$C$87</f>
        <v>6.8804228560584869E-4</v>
      </c>
      <c r="CI26" s="804" t="s">
        <v>93</v>
      </c>
      <c r="CJ26" s="804" t="s">
        <v>370</v>
      </c>
      <c r="CK26" s="805">
        <f>IF(CJ26="normal (k=1)",1,IF(CJ26="normal (k=2)",2,IF(CJ26="normal (k=3)",3,IF(CJ26="rectangular",SQRT(3),IF(CJ26="triangular",SQRT(6),IF(CJ26="Prob. U",SQRT(2),"no definido"))))))</f>
        <v>1.7320508075688772</v>
      </c>
      <c r="CL26" s="814" t="str">
        <f>CHOOSE('F-LSCD-012'!V45,CH26/CK26*CH19,CH26/CK26*CH19*1000,CH26/CK26*CH19*1000000,CH26/CK26*CH19*'Datos varios'!$E$119,CH26/CK26*CH19*'Datos varios'!$E$120,CH26/CK26*CH19*'Datos varios'!$E$121,CH26/CK26*CH19*'Datos varios'!$E$122,CH26/CK26*CH19*'Datos varios'!$E$123,"-",CH26/CK26*CH19*'F-LSCD-012'!R45,CH26/CK26*CH19*'F-LSCD-012'!R45)</f>
        <v>-</v>
      </c>
      <c r="CM26" s="845" t="e">
        <f t="shared" si="11"/>
        <v>#VALUE!</v>
      </c>
      <c r="CN26" s="812" t="s">
        <v>325</v>
      </c>
      <c r="CO26" s="803">
        <f>$C$87</f>
        <v>6.8804228560584869E-4</v>
      </c>
      <c r="CP26" s="804" t="s">
        <v>370</v>
      </c>
      <c r="CQ26" s="804" t="s">
        <v>370</v>
      </c>
      <c r="CR26" s="805">
        <f t="shared" si="12"/>
        <v>1.7320508075688772</v>
      </c>
      <c r="CS26" s="814" t="str">
        <f>CHOOSE('F-LSCD-012'!V46,CO26/CR26*CO19,CO26/CR26*CO19*1000,CO26/CR26*CO19*1000000,CO26/CR26*CO19*'Datos varios'!$E$119,CO26/CR26*CO19*'Datos varios'!$E$120,CO26/CR26*CO19*'Datos varios'!$E$121,CO26/CR26*CO19*'Datos varios'!$E$122,CO26/CR26*CO19*'Datos varios'!$E$123,"-",CO26/CR26*CO19*'F-LSCD-012'!R46,CO26/CR26*CO19*'F-LSCD-012'!R46)</f>
        <v>-</v>
      </c>
      <c r="CT26" s="845" t="e">
        <f t="shared" si="13"/>
        <v>#VALUE!</v>
      </c>
      <c r="CU26" s="1172" t="s">
        <v>325</v>
      </c>
      <c r="CV26" s="1176">
        <f>$C$87</f>
        <v>6.8804228560584869E-4</v>
      </c>
      <c r="CW26" s="804" t="s">
        <v>370</v>
      </c>
      <c r="CX26" s="804" t="s">
        <v>370</v>
      </c>
      <c r="CY26" s="805">
        <f>IF(CX26="normal (k=1)",1,IF(CX26="normal (k=2)",2,IF(CX26="normal (k=3)",3,IF(CX26="rectangular",SQRT(3),IF(CX26="triangular",SQRT(6),IF(CX26="Prob. U",SQRT(2),"no definido"))))))</f>
        <v>1.7320508075688772</v>
      </c>
      <c r="CZ26" s="814" t="str">
        <f>CHOOSE('F-LSCD-012'!V47,CV26/CY26*CV19,CV26/CY26*CV19*1000,CV26/CY26*CV19*1000000,CV26/CY26*CV19*'Datos varios'!$E$119,CV26/CY26*CV19*'Datos varios'!$E$120,CV26/CY26*CV19*'Datos varios'!$E$121,CV26/CY26*CV19*'Datos varios'!$E$122,CV26/CY26*CV19*'Datos varios'!$E$123,"-",CV26/CY26*CV19*'F-LSCD-012'!R47,CV26/CY26*CV19*'F-LSCD-012'!R47)</f>
        <v>-</v>
      </c>
      <c r="DA26" s="845" t="e">
        <f t="shared" si="14"/>
        <v>#VALUE!</v>
      </c>
      <c r="DB26" s="812" t="s">
        <v>325</v>
      </c>
      <c r="DC26" s="803">
        <f>$C$87</f>
        <v>6.8804228560584869E-4</v>
      </c>
      <c r="DD26" s="804" t="s">
        <v>93</v>
      </c>
      <c r="DE26" s="804" t="s">
        <v>370</v>
      </c>
      <c r="DF26" s="805">
        <f>IF(DE26="normal (k=1)",1,IF(DE26="normal (k=2)",2,IF(DE26="normal (k=3)",3,IF(DE26="rectangular",SQRT(3),IF(DE26="triangular",SQRT(6),IF(DE26="Prob. U",SQRT(2),"no definido"))))))</f>
        <v>1.7320508075688772</v>
      </c>
      <c r="DG26" s="814" t="str">
        <f>CHOOSE('F-LSCD-012'!V48,DC26/DF26*DC19,DC26/DF26*DC19*1000,DC26/DF26*DC19*1000000,DC26/DF26*DC19*'Datos varios'!$E$119,DC26/DF26*DC19*'Datos varios'!$E$120,DC26/DF26*DC19*'Datos varios'!$E$121,DC26/DF26*DC19*'Datos varios'!$E$122,DC26/DF26*DC19*'Datos varios'!$E$123,"-",DC26/DF26*DC19*'F-LSCD-012'!R48,DC26/DF26*DC19*'F-LSCD-012'!R48)</f>
        <v>-</v>
      </c>
      <c r="DH26" s="839" t="e">
        <f t="shared" si="15"/>
        <v>#VALUE!</v>
      </c>
      <c r="DI26" s="1172" t="s">
        <v>325</v>
      </c>
      <c r="DJ26" s="1176">
        <f>$C$87</f>
        <v>6.8804228560584869E-4</v>
      </c>
      <c r="DK26" s="804" t="s">
        <v>93</v>
      </c>
      <c r="DL26" s="804" t="s">
        <v>370</v>
      </c>
      <c r="DM26" s="805">
        <f>IF(DL26="normal (k=1)",1,IF(DL26="normal (k=2)",2,IF(DL26="normal (k=3)",3,IF(DL26="rectangular",SQRT(3),IF(DL26="triangular",SQRT(6),IF(DL26="Prob. U",SQRT(2),"no definido"))))))</f>
        <v>1.7320508075688772</v>
      </c>
      <c r="DN26" s="814" t="str">
        <f>CHOOSE('F-LSCD-012'!V49,DJ26/DM26*DJ19,DJ26/DM26*DJ19*1000,DJ26/DM26*DJ19*1000000,DJ26/DM26*DJ19*'Datos varios'!$E$119,DJ26/DM26*DJ19*'Datos varios'!$E$120,DJ26/DM26*DJ19*'Datos varios'!$E$121,DJ26/DM26*DJ19*'Datos varios'!$E$122,DJ26/DM26*DJ19*'Datos varios'!$E$123,"-",DJ26/DM26*DJ19*'F-LSCD-012'!R49,DJ26/DM26*DJ19*'F-LSCD-012'!R49)</f>
        <v>-</v>
      </c>
      <c r="DO26" s="839" t="e">
        <f t="shared" si="16"/>
        <v>#VALUE!</v>
      </c>
      <c r="DP26" s="812" t="s">
        <v>325</v>
      </c>
      <c r="DQ26" s="803">
        <f>$C$87</f>
        <v>6.8804228560584869E-4</v>
      </c>
      <c r="DR26" s="804" t="s">
        <v>93</v>
      </c>
      <c r="DS26" s="804" t="s">
        <v>370</v>
      </c>
      <c r="DT26" s="805">
        <f>IF(DS26="normal (k=1)",1,IF(DS26="normal (k=2)",2,IF(DS26="normal (k=3)",3,IF(DS26="rectangular",SQRT(3),IF(DS26="triangular",SQRT(6),IF(DS26="Prob. U",SQRT(2),"no definido"))))))</f>
        <v>1.7320508075688772</v>
      </c>
      <c r="DU26" s="814" t="str">
        <f>CHOOSE('F-LSCD-012'!V50,DQ26/DT26*DQ19,DQ26/DT26*DQ19*1000,DQ26/DT26*DQ19*1000000,DQ26/DT26*DQ19*'Datos varios'!$E$119,DQ26/DT26*DQ19*'Datos varios'!$E$120,DQ26/DT26*DQ19*'Datos varios'!$E$121,DQ26/DT26*DQ19*'Datos varios'!$E$122,DQ26/DT26*DQ19*'Datos varios'!$E$123,"-",DQ26/DT26*DQ19*'F-LSCD-012'!R50,DQ26/DT26*DQ19*'F-LSCD-012'!R50)</f>
        <v>-</v>
      </c>
      <c r="DV26" s="839" t="e">
        <f t="shared" si="17"/>
        <v>#VALUE!</v>
      </c>
      <c r="DW26" s="1172" t="s">
        <v>325</v>
      </c>
      <c r="DX26" s="1176">
        <f>$C$87</f>
        <v>6.8804228560584869E-4</v>
      </c>
      <c r="DY26" s="804" t="s">
        <v>93</v>
      </c>
      <c r="DZ26" s="804" t="s">
        <v>370</v>
      </c>
      <c r="EA26" s="805">
        <f>IF(DZ26="normal (k=1)",1,IF(DZ26="normal (k=2)",2,IF(DZ26="normal (k=3)",3,IF(DZ26="rectangular",SQRT(3),IF(DZ26="triangular",SQRT(6),IF(DZ26="Prob. U",SQRT(2),"no definido"))))))</f>
        <v>1.7320508075688772</v>
      </c>
      <c r="EB26" s="814" t="str">
        <f>CHOOSE('F-LSCD-012'!V51,DX26/EA26*DX19,DX26/EA26*DX19*1000,DX26/EA26*DX19*1000000,DX26/EA26*DX19*'Datos varios'!$E$119,DX26/EA26*DX19*'Datos varios'!$E$120,DX26/EA26*DX19*'Datos varios'!$E$121,DX26/EA26*DX19*'Datos varios'!$E$122,DX26/EA26*DX19*'Datos varios'!$E$123,"-",DX26/EA26*DX19*'F-LSCD-012'!R51,DX26/EA26*DX19*'F-LSCD-012'!R51)</f>
        <v>-</v>
      </c>
      <c r="EC26" s="839" t="e">
        <f t="shared" si="18"/>
        <v>#VALUE!</v>
      </c>
      <c r="ED26" s="812" t="s">
        <v>325</v>
      </c>
      <c r="EE26" s="803">
        <f>$C$87</f>
        <v>6.8804228560584869E-4</v>
      </c>
      <c r="EF26" s="804" t="s">
        <v>93</v>
      </c>
      <c r="EG26" s="804" t="s">
        <v>370</v>
      </c>
      <c r="EH26" s="805">
        <f>IF(EG26="normal (k=1)",1,IF(EG26="normal (k=2)",2,IF(EG26="normal (k=3)",3,IF(EG26="rectangular",SQRT(3),IF(EG26="triangular",SQRT(6),IF(EG26="Prob. U",SQRT(2),"no definido"))))))</f>
        <v>1.7320508075688772</v>
      </c>
      <c r="EI26" s="814" t="str">
        <f>CHOOSE('F-LSCD-012'!V52,EE26/EH26*EE19,EE26/EH26*EE19*1000,EE26/EH26*EE19*1000000,EE26/EH26*EE19*'Datos varios'!$E$119,EE26/EH26*EE19*'Datos varios'!$E$120,EE26/EH26*EE19*'Datos varios'!$E$121,EE26/EH26*EE19*'Datos varios'!$E$122,EE26/EH26*EE19*'Datos varios'!$E$123,"-",EE26/EH26*EE19*'F-LSCD-012'!R52,EE26/EH26*EE19*'F-LSCD-012'!R52)</f>
        <v>-</v>
      </c>
      <c r="EJ26" s="839" t="e">
        <f t="shared" si="19"/>
        <v>#VALUE!</v>
      </c>
      <c r="EK26" s="1172" t="s">
        <v>325</v>
      </c>
      <c r="EL26" s="1176">
        <f>$C$87</f>
        <v>6.8804228560584869E-4</v>
      </c>
      <c r="EM26" s="804" t="s">
        <v>93</v>
      </c>
      <c r="EN26" s="804" t="s">
        <v>370</v>
      </c>
      <c r="EO26" s="805">
        <f>IF(EN26="normal (k=1)",1,IF(EN26="normal (k=2)",2,IF(EN26="normal (k=3)",3,IF(EN26="rectangular",SQRT(3),IF(EN26="triangular",SQRT(6),IF(EN26="Prob. U",SQRT(2),"no definido"))))))</f>
        <v>1.7320508075688772</v>
      </c>
      <c r="EP26" s="814" t="str">
        <f>CHOOSE('F-LSCD-012'!V53,EL26/EO26*EL19,EL26/EO26*EL19*1000,EL26/EO26*EL19*1000000,EL26/EO26*EL19*'Datos varios'!$E$119,EL26/EO26*EL19*'Datos varios'!$E$120,EL26/EO26*EL19*'Datos varios'!$E$121,EL26/EO26*EL19*'Datos varios'!$E$122,EL26/EO26*EL19*'Datos varios'!$E$123,"-",EL26/EO26*EL19*'F-LSCD-012'!R53,EL26/EO26*EL19*'F-LSCD-012'!R53)</f>
        <v>-</v>
      </c>
      <c r="EQ26" s="839" t="e">
        <f t="shared" si="20"/>
        <v>#VALUE!</v>
      </c>
      <c r="ER26" s="812" t="s">
        <v>325</v>
      </c>
      <c r="ES26" s="803">
        <f>$C$87</f>
        <v>6.8804228560584869E-4</v>
      </c>
      <c r="ET26" s="804" t="s">
        <v>93</v>
      </c>
      <c r="EU26" s="804" t="s">
        <v>370</v>
      </c>
      <c r="EV26" s="805">
        <f>IF(EU26="normal (k=1)",1,IF(EU26="normal (k=2)",2,IF(EU26="normal (k=3)",3,IF(EU26="rectangular",SQRT(3),IF(EU26="triangular",SQRT(6),IF(EU26="Prob. U",SQRT(2),"no definido"))))))</f>
        <v>1.7320508075688772</v>
      </c>
      <c r="EW26" s="814" t="str">
        <f>CHOOSE('F-LSCD-012'!V54,ES26/EV26*ES19,ES26/EV26*ES19*1000,ES26/EV26*ES19*1000000,ES26/EV26*ES19*'Datos varios'!$E$119,ES26/EV26*ES19*'Datos varios'!$E$120,ES26/EV26*ES19*'Datos varios'!$E$121,ES26/EV26*ES19*'Datos varios'!$E$122,ES26/EV26*ES19*'Datos varios'!$E$123,"-",ES26/EV26*ES19*'F-LSCD-012'!R54,ES26/EV26*ES19*'F-LSCD-012'!R54)</f>
        <v>-</v>
      </c>
      <c r="EX26" s="839" t="e">
        <f t="shared" si="21"/>
        <v>#VALUE!</v>
      </c>
      <c r="EY26" s="1172" t="s">
        <v>325</v>
      </c>
      <c r="EZ26" s="1176">
        <f>$C$87</f>
        <v>6.8804228560584869E-4</v>
      </c>
      <c r="FA26" s="804" t="s">
        <v>93</v>
      </c>
      <c r="FB26" s="804" t="s">
        <v>370</v>
      </c>
      <c r="FC26" s="805">
        <f>IF(FB26="normal (k=1)",1,IF(FB26="normal (k=2)",2,IF(FB26="normal (k=3)",3,IF(FB26="rectangular",SQRT(3),IF(FB26="triangular",SQRT(6),IF(FB26="Prob. U",SQRT(2),"no definido"))))))</f>
        <v>1.7320508075688772</v>
      </c>
      <c r="FD26" s="814" t="str">
        <f>CHOOSE('F-LSCD-012'!V55,EZ26/FC26*EZ19,EZ26/FC26*EZ19*1000,EZ26/FC26*EZ19*1000000,EZ26/FC26*EZ19*'Datos varios'!$E$119,EZ26/FC26*EZ19*'Datos varios'!$E$120,EZ26/FC26*EZ19*'Datos varios'!$E$121,EZ26/FC26*EZ19*'Datos varios'!$E$122,EZ26/FC26*EZ19*'Datos varios'!$E$123,"-",EZ26/FC26*EZ19*'F-LSCD-012'!R55,EZ26/FC26*EZ19*'F-LSCD-012'!R55)</f>
        <v>-</v>
      </c>
      <c r="FE26" s="839" t="e">
        <f t="shared" si="22"/>
        <v>#VALUE!</v>
      </c>
      <c r="FF26" s="812" t="s">
        <v>325</v>
      </c>
      <c r="FG26" s="803">
        <f>$C$87</f>
        <v>6.8804228560584869E-4</v>
      </c>
      <c r="FH26" s="804" t="s">
        <v>93</v>
      </c>
      <c r="FI26" s="804" t="s">
        <v>370</v>
      </c>
      <c r="FJ26" s="805">
        <f>IF(FI26="normal (k=1)",1,IF(FI26="normal (k=2)",2,IF(FI26="normal (k=3)",3,IF(FI26="rectangular",SQRT(3),IF(FI26="triangular",SQRT(6),IF(FI26="Prob. U",SQRT(2),"no definido"))))))</f>
        <v>1.7320508075688772</v>
      </c>
      <c r="FK26" s="814" t="str">
        <f>CHOOSE('F-LSCD-012'!V56,FG26/FJ26*FG19,FG26/FJ26*FG19*1000,FG26/FJ26*FG19*1000000,FG26/FJ26*FG19*'Datos varios'!$E$119,FG26/FJ26*FG19*'Datos varios'!$E$120,FG26/FJ26*FG19*'Datos varios'!$E$121,FG26/FJ26*FG19*'Datos varios'!$E$122,FG26/FJ26*FG19*'Datos varios'!$E$123,"-",FG26/FJ26*FG19*'F-LSCD-012'!R56,FG26/FJ26*FG19*'F-LSCD-012'!R56)</f>
        <v>-</v>
      </c>
      <c r="FL26" s="839" t="e">
        <f t="shared" si="23"/>
        <v>#VALUE!</v>
      </c>
      <c r="FM26" s="1172" t="s">
        <v>325</v>
      </c>
      <c r="FN26" s="1176">
        <f>$C$87</f>
        <v>6.8804228560584869E-4</v>
      </c>
      <c r="FO26" s="804" t="s">
        <v>93</v>
      </c>
      <c r="FP26" s="804" t="s">
        <v>370</v>
      </c>
      <c r="FQ26" s="805">
        <f t="shared" si="24"/>
        <v>1.7320508075688772</v>
      </c>
      <c r="FR26" s="814" t="str">
        <f>CHOOSE('F-LSCD-012'!V57,FN26/FQ26*FN19,FN26/FQ26*FN19*1000,FN26/FQ26*FN19*1000000,FN26/FQ26*FN19*'Datos varios'!$E$119,FN26/FQ26*FN19*'Datos varios'!$E$120,FN26/FQ26*FN19*'Datos varios'!$E$121,FN26/FQ26*FN19*'Datos varios'!$E$122,FN26/FQ26*FN19*'Datos varios'!$E$123,"-",FN26/FQ26*FN19*'F-LSCD-012'!R57,FN26/FQ26*FN19*'F-LSCD-012'!R57)</f>
        <v>-</v>
      </c>
      <c r="FS26" s="839" t="e">
        <f t="shared" si="25"/>
        <v>#VALUE!</v>
      </c>
      <c r="FT26" s="812" t="s">
        <v>325</v>
      </c>
    </row>
    <row r="27" spans="1:176" ht="18" x14ac:dyDescent="0.25">
      <c r="A27" s="741">
        <v>3</v>
      </c>
      <c r="B27" s="2555" t="s">
        <v>342</v>
      </c>
      <c r="C27" s="2556"/>
      <c r="D27" s="2556"/>
      <c r="E27" s="2556"/>
      <c r="F27" s="2557"/>
      <c r="G27" s="793" t="s">
        <v>619</v>
      </c>
      <c r="H27" s="781" t="s">
        <v>450</v>
      </c>
      <c r="I27" s="806">
        <f>CHOOSE('F-LSCD-012'!V34,I20/SQRT(I22),I20/SQRT(I22)*1000,I20/SQRT(I22)*1000000,I20/SQRT(I22)*'Datos varios'!$E$119,I20/SQRT(I22)*'Datos varios'!$E$120,I20/SQRT(I22)*'Datos varios'!$E$121,I20/SQRT(I22)*'Datos varios'!$E$122,I20/SQRT(I22)*'Datos varios'!$E$123,"-",I20/SQRT(I22)*'F-LSCD-012'!R34,I20/SQRT(I22)*'F-LSCD-012'!R34)</f>
        <v>0</v>
      </c>
      <c r="J27" s="1166" t="s">
        <v>325</v>
      </c>
      <c r="K27" s="804" t="s">
        <v>372</v>
      </c>
      <c r="L27" s="805">
        <f t="shared" ref="L27:L32" si="26">IF(K27="normal (k=1)",1,IF(K27="normal (k=2)",2,IF(K27="normal (k=3)",3,IF(K27="rectangular",SQRT(3),IF(K27="triangular",SQRT(6),IF(K27="Prob. U",SQRT(2),"no definido"))))))</f>
        <v>1</v>
      </c>
      <c r="M27" s="807">
        <f>I27/L27</f>
        <v>0</v>
      </c>
      <c r="N27" s="833">
        <f t="shared" si="0"/>
        <v>0</v>
      </c>
      <c r="O27" s="1172" t="s">
        <v>325</v>
      </c>
      <c r="P27" s="1177" t="str">
        <f>CHOOSE('F-LSCD-012'!V35,P20/SQRT(P22),P20/SQRT(P22)*1000,P20/SQRT(P22)*1000000,P20/SQRT(P22)*'Datos varios'!$E$119,P20/SQRT(P22)*'Datos varios'!$E$120,P20/SQRT(P22)*'Datos varios'!$E$121,P20/SQRT(P22)*'Datos varios'!$E$122,P20/SQRT(P22)*'Datos varios'!$E$123,"-",P20/SQRT(P22)*'F-LSCD-012'!R35,P20/SQRT(P22)*'F-LSCD-012'!R35)</f>
        <v>-</v>
      </c>
      <c r="Q27" s="1166" t="s">
        <v>325</v>
      </c>
      <c r="R27" s="804" t="s">
        <v>372</v>
      </c>
      <c r="S27" s="805">
        <f t="shared" ref="S27:S32" si="27">IF(R27="normal (k=1)",1,IF(R27="normal (k=2)",2,IF(R27="normal (k=3)",3,IF(R27="rectangular",SQRT(3),IF(R27="triangular",SQRT(6),IF(R27="Prob. U",SQRT(2),"no definido"))))))</f>
        <v>1</v>
      </c>
      <c r="T27" s="807" t="e">
        <f>P27/S27</f>
        <v>#VALUE!</v>
      </c>
      <c r="U27" s="833" t="e">
        <f t="shared" si="1"/>
        <v>#VALUE!</v>
      </c>
      <c r="V27" s="812" t="s">
        <v>325</v>
      </c>
      <c r="W27" s="806" t="str">
        <f>CHOOSE('F-LSCD-012'!V36,W20/SQRT(W22),W20/SQRT(W22)*1000,W20/SQRT(W22)*1000000,W20/SQRT(W22)*'Datos varios'!$E$119,W20/SQRT(W22)*'Datos varios'!$E$120,W20/SQRT(W22)*'Datos varios'!$E$121,W20/SQRT(W22)*'Datos varios'!$E$122,W20/SQRT(W22)*'Datos varios'!$E$123,"-",W20/SQRT(W22)*'F-LSCD-012'!R36,W20/SQRT(W22)*'F-LSCD-012'!R36)</f>
        <v>-</v>
      </c>
      <c r="X27" s="804" t="s">
        <v>325</v>
      </c>
      <c r="Y27" s="804" t="s">
        <v>372</v>
      </c>
      <c r="Z27" s="805">
        <f t="shared" ref="Z27:Z32" si="28">IF(Y27="normal (k=1)",1,IF(Y27="normal (k=2)",2,IF(Y27="normal (k=3)",3,IF(Y27="rectangular",SQRT(3),IF(Y27="triangular",SQRT(6),IF(Y27="Prob. U",SQRT(2),"no definido"))))))</f>
        <v>1</v>
      </c>
      <c r="AA27" s="807" t="e">
        <f>W27/Z27</f>
        <v>#VALUE!</v>
      </c>
      <c r="AB27" s="835" t="e">
        <f t="shared" si="2"/>
        <v>#VALUE!</v>
      </c>
      <c r="AC27" s="1172" t="s">
        <v>325</v>
      </c>
      <c r="AD27" s="1177" t="str">
        <f>CHOOSE('F-LSCD-012'!V37,AD20/SQRT(AD22),AD20/SQRT(AD22)*1000,AD20/SQRT(AD22)*1000000,AD20/SQRT(AD22)*'Datos varios'!$E$119,AD20/SQRT(AD22)*'Datos varios'!$E$120,AD20/SQRT(AD22)*'Datos varios'!$E$121,AD20/SQRT(AD22)*'Datos varios'!$E$122,AD20/SQRT(AD22)*'Datos varios'!$E$123,"-",AD20/SQRT(AD22)*'F-LSCD-012'!R37,AD20/SQRT(AD22)*'F-LSCD-012'!R37)</f>
        <v>-</v>
      </c>
      <c r="AE27" s="804" t="s">
        <v>325</v>
      </c>
      <c r="AF27" s="804" t="s">
        <v>372</v>
      </c>
      <c r="AG27" s="805">
        <f t="shared" ref="AG27:AG32" si="29">IF(AF27="normal (k=1)",1,IF(AF27="normal (k=2)",2,IF(AF27="normal (k=3)",3,IF(AF27="rectangular",SQRT(3),IF(AF27="triangular",SQRT(6),IF(AF27="Prob. U",SQRT(2),"no definido"))))))</f>
        <v>1</v>
      </c>
      <c r="AH27" s="807" t="e">
        <f>AD27/AG27</f>
        <v>#VALUE!</v>
      </c>
      <c r="AI27" s="835" t="e">
        <f t="shared" si="3"/>
        <v>#VALUE!</v>
      </c>
      <c r="AJ27" s="812" t="s">
        <v>325</v>
      </c>
      <c r="AK27" s="806" t="str">
        <f>CHOOSE('F-LSCD-012'!V38,AK20/SQRT(AK22),AK20/SQRT(AK22)*1000,AK20/SQRT(AK22)*1000000,AK20/SQRT(AK22)*'Datos varios'!$E$119,AK20/SQRT(AK22)*'Datos varios'!$E$120,AK20/SQRT(AK22)*'Datos varios'!$E$121,AK20/SQRT(AK22)*'Datos varios'!$E$122,AK20/SQRT(AK22)*'Datos varios'!$E$123,"-",AK20/SQRT(AK22)*'F-LSCD-012'!R38,AK20/SQRT(AK22)*'F-LSCD-012'!R38)</f>
        <v>-</v>
      </c>
      <c r="AL27" s="804" t="s">
        <v>325</v>
      </c>
      <c r="AM27" s="804" t="s">
        <v>372</v>
      </c>
      <c r="AN27" s="805">
        <f t="shared" ref="AN27:AN32" si="30">IF(AM27="normal (k=1)",1,IF(AM27="normal (k=2)",2,IF(AM27="normal (k=3)",3,IF(AM27="rectangular",SQRT(3),IF(AM27="triangular",SQRT(6),IF(AM27="Prob. U",SQRT(2),"no definido"))))))</f>
        <v>1</v>
      </c>
      <c r="AO27" s="807" t="e">
        <f>AK27/AN27</f>
        <v>#VALUE!</v>
      </c>
      <c r="AP27" s="839" t="e">
        <f t="shared" si="4"/>
        <v>#VALUE!</v>
      </c>
      <c r="AQ27" s="1172" t="s">
        <v>325</v>
      </c>
      <c r="AR27" s="1177" t="str">
        <f>CHOOSE('F-LSCD-012'!V39,AR20/SQRT(AR22),AR20/SQRT(AR22)*1000,AR20/SQRT(AR22)*1000000,AR20/SQRT(AR22)*'Datos varios'!$E$119,AR20/SQRT(AR22)*'Datos varios'!$E$120,AR20/SQRT(AR22)*'Datos varios'!$E$121,AR20/SQRT(AR22)*'Datos varios'!$E$122,AR20/SQRT(AR22)*'Datos varios'!$E$123,"-",AR20/SQRT(AR22)*'F-LSCD-012'!R39,AR20/SQRT(AR22)*'F-LSCD-012'!R39)</f>
        <v>-</v>
      </c>
      <c r="AS27" s="804" t="s">
        <v>325</v>
      </c>
      <c r="AT27" s="804" t="s">
        <v>372</v>
      </c>
      <c r="AU27" s="805">
        <f t="shared" ref="AU27:AU32" si="31">IF(AT27="normal (k=1)",1,IF(AT27="normal (k=2)",2,IF(AT27="normal (k=3)",3,IF(AT27="rectangular",SQRT(3),IF(AT27="triangular",SQRT(6),IF(AT27="Prob. U",SQRT(2),"no definido"))))))</f>
        <v>1</v>
      </c>
      <c r="AV27" s="807" t="e">
        <f>AR27/AU27</f>
        <v>#VALUE!</v>
      </c>
      <c r="AW27" s="839" t="e">
        <f t="shared" si="5"/>
        <v>#VALUE!</v>
      </c>
      <c r="AX27" s="812" t="s">
        <v>325</v>
      </c>
      <c r="AY27" s="806" t="str">
        <f>CHOOSE('F-LSCD-012'!V40,AY20/SQRT(AY22),AY20/SQRT(AY22)*1000,AY20/SQRT(AY22)*1000000,AY20/SQRT(AY22)*'Datos varios'!$E$119,AY20/SQRT(AY22)*'Datos varios'!$E$120,AY20/SQRT(AY22)*'Datos varios'!$E$121,AY20/SQRT(AY22)*'Datos varios'!$E$122,AY20/SQRT(AY22)*'Datos varios'!$E$123,"-",AY20/SQRT(AY22)*'F-LSCD-012'!R40,AY20/SQRT(AY22)*'F-LSCD-012'!R40)</f>
        <v>-</v>
      </c>
      <c r="AZ27" s="804" t="s">
        <v>325</v>
      </c>
      <c r="BA27" s="804" t="s">
        <v>372</v>
      </c>
      <c r="BB27" s="805">
        <f t="shared" ref="BB27:BB32" si="32">IF(BA27="normal (k=1)",1,IF(BA27="normal (k=2)",2,IF(BA27="normal (k=3)",3,IF(BA27="rectangular",SQRT(3),IF(BA27="triangular",SQRT(6),IF(BA27="Prob. U",SQRT(2),"no definido"))))))</f>
        <v>1</v>
      </c>
      <c r="BC27" s="818" t="e">
        <f>AY27/BB27</f>
        <v>#VALUE!</v>
      </c>
      <c r="BD27" s="839" t="e">
        <f t="shared" si="6"/>
        <v>#VALUE!</v>
      </c>
      <c r="BE27" s="1168" t="s">
        <v>325</v>
      </c>
      <c r="BF27" s="1177" t="str">
        <f>CHOOSE('F-LSCD-012'!V41,BF20/SQRT(BF22),BF20/SQRT(BF22)*1000,BF20/SQRT(BF22)*1000000,BF20/SQRT(BF22)*'Datos varios'!$E$119,BF20/SQRT(BF22)*'Datos varios'!$E$120,BF20/SQRT(BF22)*'Datos varios'!$E$121,BF20/SQRT(BF22)*'Datos varios'!$E$122,BF20/SQRT(BF22)*'Datos varios'!$E$123,"-",BF20/SQRT(BF22)*'F-LSCD-012'!R41,BF20/SQRT(BF22)*'F-LSCD-012'!R41)</f>
        <v>-</v>
      </c>
      <c r="BG27" s="804" t="s">
        <v>325</v>
      </c>
      <c r="BH27" s="804" t="s">
        <v>372</v>
      </c>
      <c r="BI27" s="805">
        <f t="shared" ref="BI27:BI32" si="33">IF(BH27="normal (k=1)",1,IF(BH27="normal (k=2)",2,IF(BH27="normal (k=3)",3,IF(BH27="rectangular",SQRT(3),IF(BH27="triangular",SQRT(6),IF(BH27="Prob. U",SQRT(2),"no definido"))))))</f>
        <v>1</v>
      </c>
      <c r="BJ27" s="818" t="e">
        <f>BF27/BI27</f>
        <v>#VALUE!</v>
      </c>
      <c r="BK27" s="839" t="e">
        <f t="shared" si="7"/>
        <v>#VALUE!</v>
      </c>
      <c r="BL27" s="830" t="s">
        <v>325</v>
      </c>
      <c r="BM27" s="806" t="str">
        <f>CHOOSE('F-LSCD-012'!V42,BM20/SQRT(BM22),BM20/SQRT(BM22)*1000,BM20/SQRT(BM22)*1000000,BM20/SQRT(BM22)*'Datos varios'!$E$119,BM20/SQRT(BM22)*'Datos varios'!$E$120,BM20/SQRT(BM22)*'Datos varios'!$E$121,BM20/SQRT(BM22)*'Datos varios'!$E$122,BM20/SQRT(BM22)*'Datos varios'!$E$123,"-",BM20/SQRT(BM22)*'F-LSCD-012'!R42,BM20/SQRT(BM22)*'F-LSCD-012'!R42)</f>
        <v>-</v>
      </c>
      <c r="BN27" s="804" t="s">
        <v>325</v>
      </c>
      <c r="BO27" s="804" t="s">
        <v>372</v>
      </c>
      <c r="BP27" s="805">
        <f t="shared" ref="BP27:BP32" si="34">IF(BO27="normal (k=1)",1,IF(BO27="normal (k=2)",2,IF(BO27="normal (k=3)",3,IF(BO27="rectangular",SQRT(3),IF(BO27="triangular",SQRT(6),IF(BO27="Prob. U",SQRT(2),"no definido"))))))</f>
        <v>1</v>
      </c>
      <c r="BQ27" s="807" t="e">
        <f>BM27/BP27</f>
        <v>#VALUE!</v>
      </c>
      <c r="BR27" s="841" t="e">
        <f t="shared" si="8"/>
        <v>#VALUE!</v>
      </c>
      <c r="BS27" s="1172" t="s">
        <v>325</v>
      </c>
      <c r="BT27" s="1177" t="str">
        <f>CHOOSE('F-LSCD-012'!V43,BT20/SQRT(BT22),BT20/SQRT(BT22)*1000,BT20/SQRT(BT22)*1000000,BT20/SQRT(BT22)*'Datos varios'!$E$119,BT20/SQRT(BT22)*'Datos varios'!$E$120,BT20/SQRT(BT22)*'Datos varios'!$E$121,BT20/SQRT(BT22)*'Datos varios'!$E$122,BT20/SQRT(BT22)*'Datos varios'!$E$123,"-",BT20/SQRT(BT22)*'F-LSCD-012'!R43,BT20/SQRT(BT22)*'F-LSCD-012'!R43)</f>
        <v>-</v>
      </c>
      <c r="BU27" s="804" t="s">
        <v>325</v>
      </c>
      <c r="BV27" s="804" t="s">
        <v>372</v>
      </c>
      <c r="BW27" s="805">
        <f t="shared" ref="BW27:BW32" si="35">IF(BV27="normal (k=1)",1,IF(BV27="normal (k=2)",2,IF(BV27="normal (k=3)",3,IF(BV27="rectangular",SQRT(3),IF(BV27="triangular",SQRT(6),IF(BV27="Prob. U",SQRT(2),"no definido"))))))</f>
        <v>1</v>
      </c>
      <c r="BX27" s="807" t="e">
        <f>BT27/BW27</f>
        <v>#VALUE!</v>
      </c>
      <c r="BY27" s="841" t="e">
        <f t="shared" si="9"/>
        <v>#VALUE!</v>
      </c>
      <c r="BZ27" s="812" t="s">
        <v>325</v>
      </c>
      <c r="CA27" s="806" t="str">
        <f>CHOOSE('F-LSCD-012'!V44,CA20/SQRT(CA22),CA20/SQRT(CA22)*1000,CA20/SQRT(CA22)*1000000,CA20/SQRT(CA22)*'Datos varios'!$E$119,CA20/SQRT(CA22)*'Datos varios'!$E$120,CA20/SQRT(CA22)*'Datos varios'!$E$121,CA20/SQRT(CA22)*'Datos varios'!$E$122,CA20/SQRT(CA22)*'Datos varios'!$E$123,"-",CA20/SQRT(CA22)*'F-LSCD-012'!R44,CA20/SQRT(CA22)*'F-LSCD-012'!R44)</f>
        <v>-</v>
      </c>
      <c r="CB27" s="804" t="s">
        <v>325</v>
      </c>
      <c r="CC27" s="804" t="s">
        <v>372</v>
      </c>
      <c r="CD27" s="805">
        <f t="shared" ref="CD27:CD32" si="36">IF(CC27="normal (k=1)",1,IF(CC27="normal (k=2)",2,IF(CC27="normal (k=3)",3,IF(CC27="rectangular",SQRT(3),IF(CC27="triangular",SQRT(6),IF(CC27="Prob. U",SQRT(2),"no definido"))))))</f>
        <v>1</v>
      </c>
      <c r="CE27" s="807" t="e">
        <f>CA27/CD27</f>
        <v>#VALUE!</v>
      </c>
      <c r="CF27" s="845" t="e">
        <f t="shared" si="10"/>
        <v>#VALUE!</v>
      </c>
      <c r="CG27" s="1172" t="s">
        <v>325</v>
      </c>
      <c r="CH27" s="1177" t="str">
        <f>CHOOSE('F-LSCD-012'!V45,CH20/SQRT(CH22),CH20/SQRT(CH22)*1000,CH20/SQRT(CH22)*1000000,CH20/SQRT(CH22)*'Datos varios'!$E$119,CH20/SQRT(CH22)*'Datos varios'!$E$120,CH20/SQRT(CH22)*'Datos varios'!$E$121,CH20/SQRT(CH22)*'Datos varios'!$E$122,CH20/SQRT(CH22)*'Datos varios'!$E$123,"-",CH20/SQRT(CH22)*'F-LSCD-012'!R45,CH20/SQRT(CH22)*'F-LSCD-012'!R45)</f>
        <v>-</v>
      </c>
      <c r="CI27" s="804" t="s">
        <v>325</v>
      </c>
      <c r="CJ27" s="804" t="s">
        <v>372</v>
      </c>
      <c r="CK27" s="805">
        <f t="shared" ref="CK27:CK32" si="37">IF(CJ27="normal (k=1)",1,IF(CJ27="normal (k=2)",2,IF(CJ27="normal (k=3)",3,IF(CJ27="rectangular",SQRT(3),IF(CJ27="triangular",SQRT(6),IF(CJ27="Prob. U",SQRT(2),"no definido"))))))</f>
        <v>1</v>
      </c>
      <c r="CL27" s="807" t="e">
        <f>CH27/CK27</f>
        <v>#VALUE!</v>
      </c>
      <c r="CM27" s="845" t="e">
        <f t="shared" si="11"/>
        <v>#VALUE!</v>
      </c>
      <c r="CN27" s="812" t="s">
        <v>325</v>
      </c>
      <c r="CO27" s="806" t="str">
        <f>CHOOSE('F-LSCD-012'!V46,CO20/SQRT(CO22),CO20/SQRT(CO22)*1000,CO20/SQRT(CO22)*1000000,CO20/SQRT(CO22)*'Datos varios'!$E$119,CO20/SQRT(CO22)*'Datos varios'!$E$120,CO20/SQRT(CO22)*'Datos varios'!$E$121,CO20/SQRT(CO22)*'Datos varios'!$E$122,CO20/SQRT(CO22)*'Datos varios'!$E$123,"-",CO20/SQRT(CO22)*'F-LSCD-012'!R46,CO20/SQRT(CO22)*'F-LSCD-012'!R46)</f>
        <v>-</v>
      </c>
      <c r="CP27" s="804" t="s">
        <v>372</v>
      </c>
      <c r="CQ27" s="804" t="s">
        <v>372</v>
      </c>
      <c r="CR27" s="805">
        <f t="shared" si="12"/>
        <v>1</v>
      </c>
      <c r="CS27" s="807" t="e">
        <f>CO27/CR27</f>
        <v>#VALUE!</v>
      </c>
      <c r="CT27" s="845" t="e">
        <f t="shared" si="13"/>
        <v>#VALUE!</v>
      </c>
      <c r="CU27" s="1172" t="s">
        <v>325</v>
      </c>
      <c r="CV27" s="1177" t="str">
        <f>CHOOSE('F-LSCD-012'!V47,CV20/SQRT(CV22),CV20/SQRT(CV22)*1000,CV20/SQRT(CV22)*1000000,CV20/SQRT(CV22)*'Datos varios'!$E$119,CV20/SQRT(CV22)*'Datos varios'!$E$120,CV20/SQRT(CV22)*'Datos varios'!$E$121,CV20/SQRT(CV22)*'Datos varios'!$E$122,CV20/SQRT(CV22)*'Datos varios'!$E$123,"-",CV20/SQRT(CV22)*'F-LSCD-012'!R47,CV20/SQRT(CV22)*'F-LSCD-012'!R47)</f>
        <v>-</v>
      </c>
      <c r="CW27" s="804" t="s">
        <v>372</v>
      </c>
      <c r="CX27" s="804" t="s">
        <v>372</v>
      </c>
      <c r="CY27" s="805">
        <f t="shared" ref="CY27:CY32" si="38">IF(CX27="normal (k=1)",1,IF(CX27="normal (k=2)",2,IF(CX27="normal (k=3)",3,IF(CX27="rectangular",SQRT(3),IF(CX27="triangular",SQRT(6),IF(CX27="Prob. U",SQRT(2),"no definido"))))))</f>
        <v>1</v>
      </c>
      <c r="CZ27" s="807" t="e">
        <f>CV27/CY27</f>
        <v>#VALUE!</v>
      </c>
      <c r="DA27" s="845" t="e">
        <f t="shared" si="14"/>
        <v>#VALUE!</v>
      </c>
      <c r="DB27" s="812" t="s">
        <v>325</v>
      </c>
      <c r="DC27" s="806" t="str">
        <f>CHOOSE('F-LSCD-012'!V48,DC20/SQRT(DC22),DC20/SQRT(DC22)*1000,DC20/SQRT(DC22)*1000000,DC20/SQRT(DC22)*'Datos varios'!$E$119,DC20/SQRT(DC22)*'Datos varios'!$E$120,DC20/SQRT(DC22)*'Datos varios'!$E$121,DC20/SQRT(DC22)*'Datos varios'!$E$122,DC20/SQRT(DC22)*'Datos varios'!$E$123,"-",DC20/SQRT(DC22)*'F-LSCD-012'!R48,DC20/SQRT(DC22)*'F-LSCD-012'!R48)</f>
        <v>-</v>
      </c>
      <c r="DD27" s="804" t="s">
        <v>325</v>
      </c>
      <c r="DE27" s="804" t="s">
        <v>372</v>
      </c>
      <c r="DF27" s="805">
        <f t="shared" ref="DF27:DF32" si="39">IF(DE27="normal (k=1)",1,IF(DE27="normal (k=2)",2,IF(DE27="normal (k=3)",3,IF(DE27="rectangular",SQRT(3),IF(DE27="triangular",SQRT(6),IF(DE27="Prob. U",SQRT(2),"no definido"))))))</f>
        <v>1</v>
      </c>
      <c r="DG27" s="807" t="e">
        <f>DC27/DF27</f>
        <v>#VALUE!</v>
      </c>
      <c r="DH27" s="839" t="e">
        <f t="shared" si="15"/>
        <v>#VALUE!</v>
      </c>
      <c r="DI27" s="1172" t="s">
        <v>325</v>
      </c>
      <c r="DJ27" s="1177" t="str">
        <f>CHOOSE('F-LSCD-012'!V49,DJ20/SQRT(DJ22),DJ20/SQRT(DJ22)*1000,DJ20/SQRT(DJ22)*1000000,DJ20/SQRT(DJ22)*'Datos varios'!$E$119,DJ20/SQRT(DJ22)*'Datos varios'!$E$120,DJ20/SQRT(DJ22)*'Datos varios'!$E$121,DJ20/SQRT(DJ22)*'Datos varios'!$E$122,DJ20/SQRT(DJ22)*'Datos varios'!$E$123,"-",DJ20/SQRT(DJ22)*'F-LSCD-012'!R49,DJ20/SQRT(DJ22)*'F-LSCD-012'!R49)</f>
        <v>-</v>
      </c>
      <c r="DK27" s="804" t="s">
        <v>325</v>
      </c>
      <c r="DL27" s="804" t="s">
        <v>372</v>
      </c>
      <c r="DM27" s="805">
        <f t="shared" ref="DM27:DM32" si="40">IF(DL27="normal (k=1)",1,IF(DL27="normal (k=2)",2,IF(DL27="normal (k=3)",3,IF(DL27="rectangular",SQRT(3),IF(DL27="triangular",SQRT(6),IF(DL27="Prob. U",SQRT(2),"no definido"))))))</f>
        <v>1</v>
      </c>
      <c r="DN27" s="807" t="e">
        <f>DJ27/DM27</f>
        <v>#VALUE!</v>
      </c>
      <c r="DO27" s="839" t="e">
        <f t="shared" si="16"/>
        <v>#VALUE!</v>
      </c>
      <c r="DP27" s="812" t="s">
        <v>325</v>
      </c>
      <c r="DQ27" s="806" t="str">
        <f>CHOOSE('F-LSCD-012'!V50,DQ20/SQRT(DQ22),DQ20/SQRT(DQ22)*1000,DQ20/SQRT(DQ22)*1000000,DQ20/SQRT(DQ22)*'Datos varios'!$E$119,DQ20/SQRT(DQ22)*'Datos varios'!$E$120,DQ20/SQRT(DQ22)*'Datos varios'!$E$121,DQ20/SQRT(DQ22)*'Datos varios'!$E$122,DQ20/SQRT(DQ22)*'Datos varios'!$E$123,"-",DQ20/SQRT(DQ22)*'F-LSCD-012'!R50,DQ20/SQRT(DQ22)*'F-LSCD-012'!R50)</f>
        <v>-</v>
      </c>
      <c r="DR27" s="804" t="s">
        <v>325</v>
      </c>
      <c r="DS27" s="804" t="s">
        <v>372</v>
      </c>
      <c r="DT27" s="805">
        <f t="shared" ref="DT27:DT32" si="41">IF(DS27="normal (k=1)",1,IF(DS27="normal (k=2)",2,IF(DS27="normal (k=3)",3,IF(DS27="rectangular",SQRT(3),IF(DS27="triangular",SQRT(6),IF(DS27="Prob. U",SQRT(2),"no definido"))))))</f>
        <v>1</v>
      </c>
      <c r="DU27" s="807" t="e">
        <f>DQ27/DT27</f>
        <v>#VALUE!</v>
      </c>
      <c r="DV27" s="839" t="e">
        <f t="shared" si="17"/>
        <v>#VALUE!</v>
      </c>
      <c r="DW27" s="1172" t="s">
        <v>325</v>
      </c>
      <c r="DX27" s="1177" t="str">
        <f>CHOOSE('F-LSCD-012'!V51,DX20/SQRT(DX22),DX20/SQRT(DX22)*1000,DX20/SQRT(DX22)*1000000,DX20/SQRT(DX22)*'Datos varios'!$E$119,DX20/SQRT(DX22)*'Datos varios'!$E$120,DX20/SQRT(DX22)*'Datos varios'!$E$121,DX20/SQRT(DX22)*'Datos varios'!$E$122,DX20/SQRT(DX22)*'Datos varios'!$E$123,"-",DX20/SQRT(DX22)*'F-LSCD-012'!R51,DX20/SQRT(DX22)*'F-LSCD-012'!R51)</f>
        <v>-</v>
      </c>
      <c r="DY27" s="804" t="s">
        <v>325</v>
      </c>
      <c r="DZ27" s="804" t="s">
        <v>372</v>
      </c>
      <c r="EA27" s="805">
        <f t="shared" ref="EA27:EA32" si="42">IF(DZ27="normal (k=1)",1,IF(DZ27="normal (k=2)",2,IF(DZ27="normal (k=3)",3,IF(DZ27="rectangular",SQRT(3),IF(DZ27="triangular",SQRT(6),IF(DZ27="Prob. U",SQRT(2),"no definido"))))))</f>
        <v>1</v>
      </c>
      <c r="EB27" s="807" t="e">
        <f>DX27/EA27</f>
        <v>#VALUE!</v>
      </c>
      <c r="EC27" s="839" t="e">
        <f t="shared" si="18"/>
        <v>#VALUE!</v>
      </c>
      <c r="ED27" s="812" t="s">
        <v>325</v>
      </c>
      <c r="EE27" s="806" t="str">
        <f>CHOOSE('F-LSCD-012'!V52,EE20/SQRT(EE22),EE20/SQRT(EE22)*1000,EE20/SQRT(EE22)*1000000,EE20/SQRT(EE22)*'Datos varios'!$E$119,EE20/SQRT(EE22)*'Datos varios'!$E$120,EE20/SQRT(EE22)*'Datos varios'!$E$121,EE20/SQRT(EE22)*'Datos varios'!$E$122,EE20/SQRT(EE22)*'Datos varios'!$E$123,"-",EE20/SQRT(EE22)*'F-LSCD-012'!R52,EE20/SQRT(EE22)*'F-LSCD-012'!R52)</f>
        <v>-</v>
      </c>
      <c r="EF27" s="804" t="s">
        <v>325</v>
      </c>
      <c r="EG27" s="804" t="s">
        <v>372</v>
      </c>
      <c r="EH27" s="805">
        <f t="shared" ref="EH27:EH32" si="43">IF(EG27="normal (k=1)",1,IF(EG27="normal (k=2)",2,IF(EG27="normal (k=3)",3,IF(EG27="rectangular",SQRT(3),IF(EG27="triangular",SQRT(6),IF(EG27="Prob. U",SQRT(2),"no definido"))))))</f>
        <v>1</v>
      </c>
      <c r="EI27" s="807" t="e">
        <f>EE27/EH27</f>
        <v>#VALUE!</v>
      </c>
      <c r="EJ27" s="839" t="e">
        <f t="shared" si="19"/>
        <v>#VALUE!</v>
      </c>
      <c r="EK27" s="1172" t="s">
        <v>325</v>
      </c>
      <c r="EL27" s="1177" t="str">
        <f>CHOOSE('F-LSCD-012'!V53,EL20/SQRT(EL22),EL20/SQRT(EL22)*1000,EL20/SQRT(EL22)*1000000,EL20/SQRT(EL22)*'Datos varios'!$E$119,EL20/SQRT(EL22)*'Datos varios'!$E$120,EL20/SQRT(EL22)*'Datos varios'!$E$121,EL20/SQRT(EL22)*'Datos varios'!$E$122,EL20/SQRT(EL22)*'Datos varios'!$E$123,"-",EL20/SQRT(EL22)*'F-LSCD-012'!R53,EL20/SQRT(EL22)*'F-LSCD-012'!R53)</f>
        <v>-</v>
      </c>
      <c r="EM27" s="804" t="s">
        <v>325</v>
      </c>
      <c r="EN27" s="804" t="s">
        <v>372</v>
      </c>
      <c r="EO27" s="805">
        <f t="shared" ref="EO27:EO32" si="44">IF(EN27="normal (k=1)",1,IF(EN27="normal (k=2)",2,IF(EN27="normal (k=3)",3,IF(EN27="rectangular",SQRT(3),IF(EN27="triangular",SQRT(6),IF(EN27="Prob. U",SQRT(2),"no definido"))))))</f>
        <v>1</v>
      </c>
      <c r="EP27" s="807" t="e">
        <f>EL27/EO27</f>
        <v>#VALUE!</v>
      </c>
      <c r="EQ27" s="839" t="e">
        <f t="shared" si="20"/>
        <v>#VALUE!</v>
      </c>
      <c r="ER27" s="812" t="s">
        <v>325</v>
      </c>
      <c r="ES27" s="806" t="str">
        <f>CHOOSE('F-LSCD-012'!V54,ES20/SQRT(ES22),ES20/SQRT(ES22)*1000,ES20/SQRT(ES22)*1000000,ES20/SQRT(ES22)*'Datos varios'!$E$119,ES20/SQRT(ES22)*'Datos varios'!$E$120,ES20/SQRT(ES22)*'Datos varios'!$E$121,ES20/SQRT(ES22)*'Datos varios'!$E$122,ES20/SQRT(ES22)*'Datos varios'!$E$123,"-",ES20/SQRT(ES22)*'F-LSCD-012'!R54,ES20/SQRT(ES22)*'F-LSCD-012'!R54)</f>
        <v>-</v>
      </c>
      <c r="ET27" s="804" t="s">
        <v>325</v>
      </c>
      <c r="EU27" s="804" t="s">
        <v>372</v>
      </c>
      <c r="EV27" s="805">
        <f t="shared" ref="EV27:EV32" si="45">IF(EU27="normal (k=1)",1,IF(EU27="normal (k=2)",2,IF(EU27="normal (k=3)",3,IF(EU27="rectangular",SQRT(3),IF(EU27="triangular",SQRT(6),IF(EU27="Prob. U",SQRT(2),"no definido"))))))</f>
        <v>1</v>
      </c>
      <c r="EW27" s="807" t="e">
        <f>ES27/EV27</f>
        <v>#VALUE!</v>
      </c>
      <c r="EX27" s="839" t="e">
        <f t="shared" si="21"/>
        <v>#VALUE!</v>
      </c>
      <c r="EY27" s="1172" t="s">
        <v>325</v>
      </c>
      <c r="EZ27" s="1177" t="str">
        <f>CHOOSE('F-LSCD-012'!V55,EZ20/SQRT(EZ22),EZ20/SQRT(EZ22)*1000,EZ20/SQRT(EZ22)*1000000,EZ20/SQRT(EZ22)*'Datos varios'!$E$119,EZ20/SQRT(EZ22)*'Datos varios'!$E$120,EZ20/SQRT(EZ22)*'Datos varios'!$E$121,EZ20/SQRT(EZ22)*'Datos varios'!$E$122,EZ20/SQRT(EZ22)*'Datos varios'!$E$123,"-",EZ20/SQRT(EZ22)*'F-LSCD-012'!R55,EZ20/SQRT(EZ22)*'F-LSCD-012'!R55)</f>
        <v>-</v>
      </c>
      <c r="FA27" s="804" t="s">
        <v>325</v>
      </c>
      <c r="FB27" s="804" t="s">
        <v>372</v>
      </c>
      <c r="FC27" s="805">
        <f t="shared" ref="FC27:FC32" si="46">IF(FB27="normal (k=1)",1,IF(FB27="normal (k=2)",2,IF(FB27="normal (k=3)",3,IF(FB27="rectangular",SQRT(3),IF(FB27="triangular",SQRT(6),IF(FB27="Prob. U",SQRT(2),"no definido"))))))</f>
        <v>1</v>
      </c>
      <c r="FD27" s="807" t="e">
        <f>EZ27/FC27</f>
        <v>#VALUE!</v>
      </c>
      <c r="FE27" s="839" t="e">
        <f t="shared" si="22"/>
        <v>#VALUE!</v>
      </c>
      <c r="FF27" s="812" t="s">
        <v>325</v>
      </c>
      <c r="FG27" s="806" t="str">
        <f>CHOOSE('F-LSCD-012'!V56,FG20/SQRT(FG22),FG20/SQRT(FG22)*1000,FG20/SQRT(FG22)*1000000,FG20/SQRT(FG22)*'Datos varios'!$E$119,FG20/SQRT(FG22)*'Datos varios'!$E$120,FG20/SQRT(FG22)*'Datos varios'!$E$121,FG20/SQRT(FG22)*'Datos varios'!$E$122,FG20/SQRT(FG22)*'Datos varios'!$E$123,"-",FG20/SQRT(FG22)*'F-LSCD-012'!R56,FG20/SQRT(FG22)*'F-LSCD-012'!R56)</f>
        <v>-</v>
      </c>
      <c r="FH27" s="804" t="s">
        <v>325</v>
      </c>
      <c r="FI27" s="804" t="s">
        <v>372</v>
      </c>
      <c r="FJ27" s="805">
        <f t="shared" ref="FJ27:FJ32" si="47">IF(FI27="normal (k=1)",1,IF(FI27="normal (k=2)",2,IF(FI27="normal (k=3)",3,IF(FI27="rectangular",SQRT(3),IF(FI27="triangular",SQRT(6),IF(FI27="Prob. U",SQRT(2),"no definido"))))))</f>
        <v>1</v>
      </c>
      <c r="FK27" s="807" t="e">
        <f>FG27/FJ27</f>
        <v>#VALUE!</v>
      </c>
      <c r="FL27" s="839" t="e">
        <f t="shared" si="23"/>
        <v>#VALUE!</v>
      </c>
      <c r="FM27" s="1172" t="s">
        <v>325</v>
      </c>
      <c r="FN27" s="1177" t="str">
        <f>CHOOSE('F-LSCD-012'!V57,FN20/SQRT(FN22),FN20/SQRT(FN22)*1000,FN20/SQRT(FN22)*1000000,FN20/SQRT(FN22)*'Datos varios'!$E$119,FN20/SQRT(FN22)*'Datos varios'!$E$120,FN20/SQRT(FN22)*'Datos varios'!$E$121,FN20/SQRT(FN22)*'Datos varios'!$E$122,FN20/SQRT(FN22)*'Datos varios'!$E$123,"-",FN20/SQRT(FN22)*'F-LSCD-012'!R57,FN20/SQRT(FN22)*'F-LSCD-012'!R57)</f>
        <v>-</v>
      </c>
      <c r="FO27" s="804" t="s">
        <v>325</v>
      </c>
      <c r="FP27" s="804" t="s">
        <v>372</v>
      </c>
      <c r="FQ27" s="805">
        <f t="shared" si="24"/>
        <v>1</v>
      </c>
      <c r="FR27" s="807" t="e">
        <f>FN27/FQ27</f>
        <v>#VALUE!</v>
      </c>
      <c r="FS27" s="839" t="e">
        <f t="shared" si="25"/>
        <v>#VALUE!</v>
      </c>
      <c r="FT27" s="812" t="s">
        <v>325</v>
      </c>
    </row>
    <row r="28" spans="1:176" ht="18" x14ac:dyDescent="0.25">
      <c r="A28" s="741">
        <v>4</v>
      </c>
      <c r="B28" s="2558" t="s">
        <v>991</v>
      </c>
      <c r="C28" s="2556"/>
      <c r="D28" s="2556"/>
      <c r="E28" s="2556"/>
      <c r="F28" s="2557"/>
      <c r="G28" s="793" t="s">
        <v>620</v>
      </c>
      <c r="H28" s="781" t="s">
        <v>451</v>
      </c>
      <c r="I28" s="806">
        <f>('F-LSCD-003'!D17-('F-LSCD-003'!D17*('F-LSCD-003'!N17)^2/('F-LSCD-003'!N17+I117/1000)^2))/(0.000001)</f>
        <v>122.09988002791218</v>
      </c>
      <c r="J28" s="804" t="s">
        <v>325</v>
      </c>
      <c r="K28" s="804" t="s">
        <v>370</v>
      </c>
      <c r="L28" s="805">
        <f t="shared" si="26"/>
        <v>1.7320508075688772</v>
      </c>
      <c r="M28" s="807">
        <f>I28/L28</f>
        <v>70.494398602136116</v>
      </c>
      <c r="N28" s="833">
        <f t="shared" si="0"/>
        <v>1.6533104745671233E-2</v>
      </c>
      <c r="O28" s="1172" t="s">
        <v>325</v>
      </c>
      <c r="P28" s="1177">
        <f>('F-LSCD-003'!D17-('F-LSCD-003'!D17*('F-LSCD-003'!N17)^2/('F-LSCD-003'!N17+I117/1000)^2))/(0.000001)</f>
        <v>122.09988002791218</v>
      </c>
      <c r="Q28" s="804" t="s">
        <v>325</v>
      </c>
      <c r="R28" s="804" t="s">
        <v>370</v>
      </c>
      <c r="S28" s="805">
        <f t="shared" si="27"/>
        <v>1.7320508075688772</v>
      </c>
      <c r="T28" s="807">
        <f>P28/S28</f>
        <v>70.494398602136116</v>
      </c>
      <c r="U28" s="833" t="e">
        <f t="shared" si="1"/>
        <v>#VALUE!</v>
      </c>
      <c r="V28" s="812" t="s">
        <v>325</v>
      </c>
      <c r="W28" s="806" t="e">
        <f>('F-LSCD-003'!D18-('F-LSCD-003'!D18*('F-LSCD-003'!N18)^2/('F-LSCD-003'!N18+I117/1000)^2))/(0.000001)</f>
        <v>#VALUE!</v>
      </c>
      <c r="X28" s="804" t="s">
        <v>325</v>
      </c>
      <c r="Y28" s="804" t="s">
        <v>370</v>
      </c>
      <c r="Z28" s="805">
        <f t="shared" si="28"/>
        <v>1.7320508075688772</v>
      </c>
      <c r="AA28" s="807" t="e">
        <f>W28/Z28</f>
        <v>#VALUE!</v>
      </c>
      <c r="AB28" s="835" t="e">
        <f t="shared" si="2"/>
        <v>#VALUE!</v>
      </c>
      <c r="AC28" s="1172" t="s">
        <v>325</v>
      </c>
      <c r="AD28" s="1177" t="e">
        <f>('F-LSCD-003'!D18-('F-LSCD-003'!D18*('F-LSCD-003'!N18)^2/('F-LSCD-003'!N18+I117/1000)^2))/(0.000001)</f>
        <v>#VALUE!</v>
      </c>
      <c r="AE28" s="804" t="s">
        <v>325</v>
      </c>
      <c r="AF28" s="804" t="s">
        <v>370</v>
      </c>
      <c r="AG28" s="805">
        <f t="shared" si="29"/>
        <v>1.7320508075688772</v>
      </c>
      <c r="AH28" s="807" t="e">
        <f>AD28/AG28</f>
        <v>#VALUE!</v>
      </c>
      <c r="AI28" s="835" t="e">
        <f t="shared" si="3"/>
        <v>#VALUE!</v>
      </c>
      <c r="AJ28" s="812" t="s">
        <v>325</v>
      </c>
      <c r="AK28" s="806" t="e">
        <f>('F-LSCD-003'!D19-('F-LSCD-003'!D19*('F-LSCD-003'!N19)^2/('F-LSCD-003'!N19+I117/1000)^2))/(0.000001)</f>
        <v>#VALUE!</v>
      </c>
      <c r="AL28" s="804" t="s">
        <v>325</v>
      </c>
      <c r="AM28" s="804" t="s">
        <v>370</v>
      </c>
      <c r="AN28" s="805">
        <f t="shared" si="30"/>
        <v>1.7320508075688772</v>
      </c>
      <c r="AO28" s="807" t="e">
        <f>AK28/AN28</f>
        <v>#VALUE!</v>
      </c>
      <c r="AP28" s="839" t="e">
        <f t="shared" si="4"/>
        <v>#VALUE!</v>
      </c>
      <c r="AQ28" s="1172" t="s">
        <v>325</v>
      </c>
      <c r="AR28" s="1177" t="e">
        <f>('F-LSCD-003'!D19-('F-LSCD-003'!D19*('F-LSCD-003'!N19)^2/('F-LSCD-003'!N19+I117/1000)^2))/(0.000001)</f>
        <v>#VALUE!</v>
      </c>
      <c r="AS28" s="804" t="s">
        <v>325</v>
      </c>
      <c r="AT28" s="804" t="s">
        <v>370</v>
      </c>
      <c r="AU28" s="805">
        <f t="shared" si="31"/>
        <v>1.7320508075688772</v>
      </c>
      <c r="AV28" s="807" t="e">
        <f>AR28/AU28</f>
        <v>#VALUE!</v>
      </c>
      <c r="AW28" s="839" t="e">
        <f t="shared" si="5"/>
        <v>#VALUE!</v>
      </c>
      <c r="AX28" s="812" t="s">
        <v>325</v>
      </c>
      <c r="AY28" s="806" t="e">
        <f>('F-LSCD-003'!D20-('F-LSCD-003'!D20*('F-LSCD-003'!N20)^2/('F-LSCD-003'!N20+I117/1000)^2))/(0.000001)</f>
        <v>#VALUE!</v>
      </c>
      <c r="AZ28" s="804" t="s">
        <v>325</v>
      </c>
      <c r="BA28" s="804" t="s">
        <v>370</v>
      </c>
      <c r="BB28" s="805">
        <f t="shared" si="32"/>
        <v>1.7320508075688772</v>
      </c>
      <c r="BC28" s="818" t="e">
        <f>AY28/BB28</f>
        <v>#VALUE!</v>
      </c>
      <c r="BD28" s="839" t="e">
        <f t="shared" si="6"/>
        <v>#VALUE!</v>
      </c>
      <c r="BE28" s="1168" t="s">
        <v>325</v>
      </c>
      <c r="BF28" s="1177" t="e">
        <f>('F-LSCD-003'!D20-('F-LSCD-003'!D20*('F-LSCD-003'!N20)^2/('F-LSCD-003'!N20+I117/1000)^2))/(0.000001)</f>
        <v>#VALUE!</v>
      </c>
      <c r="BG28" s="804" t="s">
        <v>325</v>
      </c>
      <c r="BH28" s="804" t="s">
        <v>370</v>
      </c>
      <c r="BI28" s="805">
        <f t="shared" si="33"/>
        <v>1.7320508075688772</v>
      </c>
      <c r="BJ28" s="818" t="e">
        <f>BF28/BI28</f>
        <v>#VALUE!</v>
      </c>
      <c r="BK28" s="839" t="e">
        <f t="shared" si="7"/>
        <v>#VALUE!</v>
      </c>
      <c r="BL28" s="830" t="s">
        <v>325</v>
      </c>
      <c r="BM28" s="806" t="e">
        <f>('F-LSCD-003'!D21-('F-LSCD-003'!D21*('F-LSCD-003'!N21)^2/('F-LSCD-003'!N21+I117/1000)^2))/(0.000001)</f>
        <v>#VALUE!</v>
      </c>
      <c r="BN28" s="804" t="s">
        <v>325</v>
      </c>
      <c r="BO28" s="804" t="s">
        <v>370</v>
      </c>
      <c r="BP28" s="805">
        <f t="shared" si="34"/>
        <v>1.7320508075688772</v>
      </c>
      <c r="BQ28" s="807" t="e">
        <f>BM28/BP28</f>
        <v>#VALUE!</v>
      </c>
      <c r="BR28" s="841" t="e">
        <f t="shared" si="8"/>
        <v>#VALUE!</v>
      </c>
      <c r="BS28" s="1172" t="s">
        <v>325</v>
      </c>
      <c r="BT28" s="1177" t="e">
        <f>('F-LSCD-003'!D21-('F-LSCD-003'!D21*('F-LSCD-003'!N21)^2/('F-LSCD-003'!N21+I117/1000)^2))/(0.000001)</f>
        <v>#VALUE!</v>
      </c>
      <c r="BU28" s="804" t="s">
        <v>325</v>
      </c>
      <c r="BV28" s="804" t="s">
        <v>370</v>
      </c>
      <c r="BW28" s="805">
        <f t="shared" si="35"/>
        <v>1.7320508075688772</v>
      </c>
      <c r="BX28" s="807" t="e">
        <f>BT28/BW28</f>
        <v>#VALUE!</v>
      </c>
      <c r="BY28" s="841" t="e">
        <f t="shared" si="9"/>
        <v>#VALUE!</v>
      </c>
      <c r="BZ28" s="812" t="s">
        <v>325</v>
      </c>
      <c r="CA28" s="806" t="e">
        <f>('F-LSCD-003'!D22-('F-LSCD-003'!D22*('F-LSCD-003'!N22)^2/('F-LSCD-003'!N22+I117/1000)^2))/(0.000001)</f>
        <v>#VALUE!</v>
      </c>
      <c r="CB28" s="804" t="s">
        <v>325</v>
      </c>
      <c r="CC28" s="804" t="s">
        <v>370</v>
      </c>
      <c r="CD28" s="805">
        <f t="shared" si="36"/>
        <v>1.7320508075688772</v>
      </c>
      <c r="CE28" s="807" t="e">
        <f>CA28/CD28</f>
        <v>#VALUE!</v>
      </c>
      <c r="CF28" s="845" t="e">
        <f t="shared" si="10"/>
        <v>#VALUE!</v>
      </c>
      <c r="CG28" s="1172" t="s">
        <v>325</v>
      </c>
      <c r="CH28" s="1177" t="e">
        <f>('F-LSCD-003'!D22-('F-LSCD-003'!D22*('F-LSCD-003'!N22)^2/('F-LSCD-003'!N22+I117/1000)^2))/(0.000001)</f>
        <v>#VALUE!</v>
      </c>
      <c r="CI28" s="804" t="s">
        <v>325</v>
      </c>
      <c r="CJ28" s="804" t="s">
        <v>370</v>
      </c>
      <c r="CK28" s="805">
        <f t="shared" si="37"/>
        <v>1.7320508075688772</v>
      </c>
      <c r="CL28" s="807" t="e">
        <f>CH28/CK28</f>
        <v>#VALUE!</v>
      </c>
      <c r="CM28" s="845" t="e">
        <f t="shared" si="11"/>
        <v>#VALUE!</v>
      </c>
      <c r="CN28" s="812" t="s">
        <v>325</v>
      </c>
      <c r="CO28" s="806" t="e">
        <f>('F-LSCD-003'!D23-('F-LSCD-003'!D23*('F-LSCD-003'!N23)^2/('F-LSCD-003'!N23+I117/1000)^2))/(0.000001)</f>
        <v>#VALUE!</v>
      </c>
      <c r="CP28" s="804" t="s">
        <v>370</v>
      </c>
      <c r="CQ28" s="804" t="s">
        <v>370</v>
      </c>
      <c r="CR28" s="805">
        <f t="shared" si="12"/>
        <v>1.7320508075688772</v>
      </c>
      <c r="CS28" s="807" t="e">
        <f>CO28/CR28</f>
        <v>#VALUE!</v>
      </c>
      <c r="CT28" s="845" t="e">
        <f t="shared" si="13"/>
        <v>#VALUE!</v>
      </c>
      <c r="CU28" s="1172" t="s">
        <v>325</v>
      </c>
      <c r="CV28" s="1177" t="e">
        <f>('F-LSCD-003'!D23-('F-LSCD-003'!D23*('F-LSCD-003'!N23)^2/('F-LSCD-003'!N23+I117/1000)^2))/(0.000001)</f>
        <v>#VALUE!</v>
      </c>
      <c r="CW28" s="804" t="s">
        <v>370</v>
      </c>
      <c r="CX28" s="804" t="s">
        <v>370</v>
      </c>
      <c r="CY28" s="805">
        <f t="shared" si="38"/>
        <v>1.7320508075688772</v>
      </c>
      <c r="CZ28" s="807" t="e">
        <f>CV28/CY28</f>
        <v>#VALUE!</v>
      </c>
      <c r="DA28" s="845" t="e">
        <f t="shared" si="14"/>
        <v>#VALUE!</v>
      </c>
      <c r="DB28" s="812" t="s">
        <v>325</v>
      </c>
      <c r="DC28" s="806" t="e">
        <f>('F-LSCD-003'!D24-('F-LSCD-003'!D24*('F-LSCD-003'!N24)^2/('F-LSCD-003'!N24+I117/1000)^2))/(0.000001)</f>
        <v>#VALUE!</v>
      </c>
      <c r="DD28" s="804" t="s">
        <v>325</v>
      </c>
      <c r="DE28" s="804" t="s">
        <v>370</v>
      </c>
      <c r="DF28" s="805">
        <f t="shared" si="39"/>
        <v>1.7320508075688772</v>
      </c>
      <c r="DG28" s="807" t="e">
        <f>DC28/DF28</f>
        <v>#VALUE!</v>
      </c>
      <c r="DH28" s="839" t="e">
        <f t="shared" si="15"/>
        <v>#VALUE!</v>
      </c>
      <c r="DI28" s="1172" t="s">
        <v>325</v>
      </c>
      <c r="DJ28" s="1177" t="e">
        <f>('F-LSCD-003'!D24-('F-LSCD-003'!D24*('F-LSCD-003'!N24)^2/('F-LSCD-003'!N24+I117/1000)^2))/(0.000001)</f>
        <v>#VALUE!</v>
      </c>
      <c r="DK28" s="804" t="s">
        <v>325</v>
      </c>
      <c r="DL28" s="804" t="s">
        <v>370</v>
      </c>
      <c r="DM28" s="805">
        <f t="shared" si="40"/>
        <v>1.7320508075688772</v>
      </c>
      <c r="DN28" s="807" t="e">
        <f>DJ28/DM28</f>
        <v>#VALUE!</v>
      </c>
      <c r="DO28" s="839" t="e">
        <f t="shared" si="16"/>
        <v>#VALUE!</v>
      </c>
      <c r="DP28" s="812" t="s">
        <v>325</v>
      </c>
      <c r="DQ28" s="806" t="e">
        <f>('F-LSCD-003'!D25-('F-LSCD-003'!D25*('F-LSCD-003'!N25)^2/('F-LSCD-003'!N25+I117/1000)^2))/(0.000001)</f>
        <v>#VALUE!</v>
      </c>
      <c r="DR28" s="804" t="s">
        <v>325</v>
      </c>
      <c r="DS28" s="804" t="s">
        <v>370</v>
      </c>
      <c r="DT28" s="805">
        <f t="shared" si="41"/>
        <v>1.7320508075688772</v>
      </c>
      <c r="DU28" s="807" t="e">
        <f>DQ28/DT28</f>
        <v>#VALUE!</v>
      </c>
      <c r="DV28" s="839" t="e">
        <f t="shared" si="17"/>
        <v>#VALUE!</v>
      </c>
      <c r="DW28" s="1172" t="s">
        <v>325</v>
      </c>
      <c r="DX28" s="1177" t="e">
        <f>('F-LSCD-003'!D25-('F-LSCD-003'!D25*('F-LSCD-003'!N25)^2/('F-LSCD-003'!N25+I117/1000)^2))/(0.000001)</f>
        <v>#VALUE!</v>
      </c>
      <c r="DY28" s="804" t="s">
        <v>325</v>
      </c>
      <c r="DZ28" s="804" t="s">
        <v>370</v>
      </c>
      <c r="EA28" s="805">
        <f t="shared" si="42"/>
        <v>1.7320508075688772</v>
      </c>
      <c r="EB28" s="807" t="e">
        <f>DX28/EA28</f>
        <v>#VALUE!</v>
      </c>
      <c r="EC28" s="839" t="e">
        <f t="shared" si="18"/>
        <v>#VALUE!</v>
      </c>
      <c r="ED28" s="812" t="s">
        <v>325</v>
      </c>
      <c r="EE28" s="806" t="e">
        <f>('F-LSCD-003'!D26-('F-LSCD-003'!D26*('F-LSCD-003'!N26)^2/('F-LSCD-003'!N26+I117/1000)^2))/(0.000001)</f>
        <v>#VALUE!</v>
      </c>
      <c r="EF28" s="804" t="s">
        <v>325</v>
      </c>
      <c r="EG28" s="804" t="s">
        <v>370</v>
      </c>
      <c r="EH28" s="805">
        <f t="shared" si="43"/>
        <v>1.7320508075688772</v>
      </c>
      <c r="EI28" s="807" t="e">
        <f>EE28/EH28</f>
        <v>#VALUE!</v>
      </c>
      <c r="EJ28" s="839" t="e">
        <f t="shared" si="19"/>
        <v>#VALUE!</v>
      </c>
      <c r="EK28" s="1172" t="s">
        <v>325</v>
      </c>
      <c r="EL28" s="1177" t="e">
        <f>('F-LSCD-003'!D26-('F-LSCD-003'!D26*('F-LSCD-003'!N26)^2/('F-LSCD-003'!N26+I117/1000)^2))/(0.000001)</f>
        <v>#VALUE!</v>
      </c>
      <c r="EM28" s="804" t="s">
        <v>325</v>
      </c>
      <c r="EN28" s="804" t="s">
        <v>370</v>
      </c>
      <c r="EO28" s="805">
        <f t="shared" si="44"/>
        <v>1.7320508075688772</v>
      </c>
      <c r="EP28" s="807" t="e">
        <f>EL28/EO28</f>
        <v>#VALUE!</v>
      </c>
      <c r="EQ28" s="839" t="e">
        <f t="shared" si="20"/>
        <v>#VALUE!</v>
      </c>
      <c r="ER28" s="812" t="s">
        <v>325</v>
      </c>
      <c r="ES28" s="806" t="e">
        <f>('F-LSCD-003'!D27-('F-LSCD-003'!D27*('F-LSCD-003'!N27)^2/('F-LSCD-003'!N27+I117/1000)^2))/(0.000001)</f>
        <v>#VALUE!</v>
      </c>
      <c r="ET28" s="804" t="s">
        <v>325</v>
      </c>
      <c r="EU28" s="804" t="s">
        <v>370</v>
      </c>
      <c r="EV28" s="805">
        <f t="shared" si="45"/>
        <v>1.7320508075688772</v>
      </c>
      <c r="EW28" s="807" t="e">
        <f>ES28/EV28</f>
        <v>#VALUE!</v>
      </c>
      <c r="EX28" s="839" t="e">
        <f t="shared" si="21"/>
        <v>#VALUE!</v>
      </c>
      <c r="EY28" s="1172" t="s">
        <v>325</v>
      </c>
      <c r="EZ28" s="1177" t="e">
        <f>('F-LSCD-003'!D27-('F-LSCD-003'!D27*('F-LSCD-003'!N27)^2/('F-LSCD-003'!N27+I117/1000)^2))/(0.000001)</f>
        <v>#VALUE!</v>
      </c>
      <c r="FA28" s="804" t="s">
        <v>325</v>
      </c>
      <c r="FB28" s="804" t="s">
        <v>370</v>
      </c>
      <c r="FC28" s="805">
        <f t="shared" si="46"/>
        <v>1.7320508075688772</v>
      </c>
      <c r="FD28" s="807" t="e">
        <f>EZ28/FC28</f>
        <v>#VALUE!</v>
      </c>
      <c r="FE28" s="839" t="e">
        <f t="shared" si="22"/>
        <v>#VALUE!</v>
      </c>
      <c r="FF28" s="812" t="s">
        <v>325</v>
      </c>
      <c r="FG28" s="806" t="e">
        <f>('F-LSCD-003'!D28-('F-LSCD-003'!D28*('F-LSCD-003'!N28)^2/('F-LSCD-003'!N28+I117/1000)^2))/(0.000001)</f>
        <v>#VALUE!</v>
      </c>
      <c r="FH28" s="804" t="s">
        <v>325</v>
      </c>
      <c r="FI28" s="804" t="s">
        <v>370</v>
      </c>
      <c r="FJ28" s="805">
        <f t="shared" si="47"/>
        <v>1.7320508075688772</v>
      </c>
      <c r="FK28" s="807" t="e">
        <f>FG28/FJ28</f>
        <v>#VALUE!</v>
      </c>
      <c r="FL28" s="839" t="e">
        <f t="shared" si="23"/>
        <v>#VALUE!</v>
      </c>
      <c r="FM28" s="1172" t="s">
        <v>325</v>
      </c>
      <c r="FN28" s="1177" t="e">
        <f>('F-LSCD-003'!D28-('F-LSCD-003'!D28*('F-LSCD-003'!N28)^2/('F-LSCD-003'!N28+I117/1000)^2))/(0.000001)</f>
        <v>#VALUE!</v>
      </c>
      <c r="FO28" s="804" t="s">
        <v>325</v>
      </c>
      <c r="FP28" s="804" t="s">
        <v>370</v>
      </c>
      <c r="FQ28" s="805">
        <f t="shared" si="24"/>
        <v>1.7320508075688772</v>
      </c>
      <c r="FR28" s="807" t="e">
        <f>FN28/FQ28</f>
        <v>#VALUE!</v>
      </c>
      <c r="FS28" s="839" t="e">
        <f t="shared" si="25"/>
        <v>#VALUE!</v>
      </c>
      <c r="FT28" s="812" t="s">
        <v>325</v>
      </c>
    </row>
    <row r="29" spans="1:176" ht="18" x14ac:dyDescent="0.25">
      <c r="A29" s="741">
        <v>5</v>
      </c>
      <c r="B29" s="2555" t="s">
        <v>429</v>
      </c>
      <c r="C29" s="2556"/>
      <c r="D29" s="2556"/>
      <c r="E29" s="2556"/>
      <c r="F29" s="2557"/>
      <c r="G29" s="793" t="s">
        <v>621</v>
      </c>
      <c r="H29" s="781" t="s">
        <v>451</v>
      </c>
      <c r="I29" s="803">
        <f>$C$137</f>
        <v>1.9915985219840348E-3</v>
      </c>
      <c r="J29" s="804" t="s">
        <v>93</v>
      </c>
      <c r="K29" s="804" t="s">
        <v>370</v>
      </c>
      <c r="L29" s="805">
        <f t="shared" si="26"/>
        <v>1.7320508075688772</v>
      </c>
      <c r="M29" s="814">
        <f>CHOOSE('F-LSCD-012'!V34,I29/L29*I19,I29/L29*I19*1000,I29/L29*I19*1000000,I29/L29*I19*'Datos varios'!$E$119,I29/L29*I19*'Datos varios'!$E$120,I29/L29*I19*'Datos varios'!$E$121,I29/L29*I19*'Datos varios'!$E$122,I29/L29*I19*'Datos varios'!$E$123,"-",I29/L29*I19*'F-LSCD-012'!R34,I29/L29*I19*'F-LSCD-012'!R34)</f>
        <v>28.447287584504451</v>
      </c>
      <c r="N29" s="833">
        <f t="shared" si="0"/>
        <v>2.6923215287456238E-3</v>
      </c>
      <c r="O29" s="1172" t="s">
        <v>325</v>
      </c>
      <c r="P29" s="1176">
        <f>$C$137</f>
        <v>1.9915985219840348E-3</v>
      </c>
      <c r="Q29" s="804" t="s">
        <v>93</v>
      </c>
      <c r="R29" s="804" t="s">
        <v>370</v>
      </c>
      <c r="S29" s="805">
        <f t="shared" si="27"/>
        <v>1.7320508075688772</v>
      </c>
      <c r="T29" s="814" t="str">
        <f>CHOOSE('F-LSCD-012'!V35,P29/S29*P19,P29/S29*P19*1000,P29/S29*P19*1000000,P29/S29*P19*'Datos varios'!$E$119,P29/S29*P19*'Datos varios'!$E$120,P29/S29*P19*'Datos varios'!$E$121,P29/S29*P19*'Datos varios'!$E$122,P29/S29*P19*'Datos varios'!$E$123,"-",P29/S29*P19*'F-LSCD-012'!R35,P29/S29*P19*'F-LSCD-012'!R35)</f>
        <v>-</v>
      </c>
      <c r="U29" s="833" t="e">
        <f t="shared" si="1"/>
        <v>#VALUE!</v>
      </c>
      <c r="V29" s="812" t="s">
        <v>325</v>
      </c>
      <c r="W29" s="803">
        <f>$C$137</f>
        <v>1.9915985219840348E-3</v>
      </c>
      <c r="X29" s="804" t="s">
        <v>93</v>
      </c>
      <c r="Y29" s="804" t="s">
        <v>370</v>
      </c>
      <c r="Z29" s="805">
        <f t="shared" si="28"/>
        <v>1.7320508075688772</v>
      </c>
      <c r="AA29" s="814" t="str">
        <f>CHOOSE('F-LSCD-012'!V36,W29/Z29*W19,W29/Z29*W19*1000,W29/Z29*W19*1000000,W29/Z29*W19*'Datos varios'!$E$119,W29/Z29*W19*'Datos varios'!$E$120,W29/Z29*W19*'Datos varios'!$E$121,W29/Z29*W19*'Datos varios'!$E$122,W29/Z29*W19*'Datos varios'!$E$123,"-",W29/Z29*W19*'F-LSCD-012'!R36,W29/Z29*W19*'F-LSCD-012'!R36)</f>
        <v>-</v>
      </c>
      <c r="AB29" s="835" t="e">
        <f t="shared" si="2"/>
        <v>#VALUE!</v>
      </c>
      <c r="AC29" s="1172" t="s">
        <v>325</v>
      </c>
      <c r="AD29" s="1176">
        <f>$C$137</f>
        <v>1.9915985219840348E-3</v>
      </c>
      <c r="AE29" s="804" t="s">
        <v>93</v>
      </c>
      <c r="AF29" s="804" t="s">
        <v>370</v>
      </c>
      <c r="AG29" s="805">
        <f t="shared" si="29"/>
        <v>1.7320508075688772</v>
      </c>
      <c r="AH29" s="814" t="str">
        <f>CHOOSE('F-LSCD-012'!V37,AD29/AG29*AD19,AD29/AG29*AD19*1000,AD29/AG29*AD19*1000000,AD29/AG29*AD19*'Datos varios'!$E$119,AD29/AG29*AD19*'Datos varios'!$E$120,AD29/AG29*AD19*'Datos varios'!$E$121,AD29/AG29*AD19*'Datos varios'!$E$122,AD29/AG29*AD19*'Datos varios'!$E$123,"-",AD29/AG29*AD19*'F-LSCD-012'!R37,AD29/AG29*AD19*'F-LSCD-012'!R37)</f>
        <v>-</v>
      </c>
      <c r="AI29" s="835" t="e">
        <f t="shared" si="3"/>
        <v>#VALUE!</v>
      </c>
      <c r="AJ29" s="812" t="s">
        <v>325</v>
      </c>
      <c r="AK29" s="803">
        <f>$C$137</f>
        <v>1.9915985219840348E-3</v>
      </c>
      <c r="AL29" s="804" t="s">
        <v>93</v>
      </c>
      <c r="AM29" s="804" t="s">
        <v>370</v>
      </c>
      <c r="AN29" s="805">
        <f t="shared" si="30"/>
        <v>1.7320508075688772</v>
      </c>
      <c r="AO29" s="814" t="str">
        <f>CHOOSE('F-LSCD-012'!V38,AK29/AN29*AK19,AK29/AN29*AK19*1000,AK29/AN29*AK19*1000000,AK29/AN29*AK19*'Datos varios'!$E$119,AK29/AN29*AK19*'Datos varios'!$E$120,AK29/AN29*AK19*'Datos varios'!$E$121,AK29/AN29*AK19*'Datos varios'!$E$122,AK29/AN29*AK19*'Datos varios'!$E$123,"-",AK29/AN29*AK19*'F-LSCD-012'!R38,AK29/AN29*AK19*'F-LSCD-012'!R38)</f>
        <v>-</v>
      </c>
      <c r="AP29" s="839" t="e">
        <f t="shared" si="4"/>
        <v>#VALUE!</v>
      </c>
      <c r="AQ29" s="1172" t="s">
        <v>325</v>
      </c>
      <c r="AR29" s="1176">
        <f>$C$137</f>
        <v>1.9915985219840348E-3</v>
      </c>
      <c r="AS29" s="804" t="s">
        <v>93</v>
      </c>
      <c r="AT29" s="804" t="s">
        <v>370</v>
      </c>
      <c r="AU29" s="805">
        <f t="shared" si="31"/>
        <v>1.7320508075688772</v>
      </c>
      <c r="AV29" s="814" t="str">
        <f>CHOOSE('F-LSCD-012'!V39,AR29/AU29*AR19,AR29/AU29*AR19*1000,AR29/AU29*AR19*1000000,AR29/AU29*AR19*'Datos varios'!$E$119,AR29/AU29*AR19*'Datos varios'!$E$120,AR29/AU29*AR19*'Datos varios'!$E$121,AR29/AU29*AR19*'Datos varios'!$E$122,AR29/AU29*AR19*'Datos varios'!$E$123,"-",AR29/AU29*AR19*'F-LSCD-012'!R39,AR29/AU29*AR19*'F-LSCD-012'!R39)</f>
        <v>-</v>
      </c>
      <c r="AW29" s="839" t="e">
        <f t="shared" si="5"/>
        <v>#VALUE!</v>
      </c>
      <c r="AX29" s="812" t="s">
        <v>325</v>
      </c>
      <c r="AY29" s="803">
        <f>$C$137</f>
        <v>1.9915985219840348E-3</v>
      </c>
      <c r="AZ29" s="804" t="s">
        <v>93</v>
      </c>
      <c r="BA29" s="804" t="s">
        <v>370</v>
      </c>
      <c r="BB29" s="805">
        <f t="shared" si="32"/>
        <v>1.7320508075688772</v>
      </c>
      <c r="BC29" s="814" t="str">
        <f>CHOOSE('F-LSCD-012'!V40,AY29/BB29*AY19,AY29/BB29*AY19*1000,AY29/BB29*AY19*1000000,AY29/BB29*AY19*'Datos varios'!$E$119,AY29/BB29*AY19*'Datos varios'!$E$120,AY29/BB29*AY19*'Datos varios'!$E$121,AY29/BB29*AY19*'Datos varios'!$E$122,AY29/BB29*AY19*'Datos varios'!$E$123,"-",AY29/BB29*AY19*'F-LSCD-012'!R40,AY29/BB29*AY19*'F-LSCD-012'!R40)</f>
        <v>-</v>
      </c>
      <c r="BD29" s="839" t="e">
        <f t="shared" si="6"/>
        <v>#VALUE!</v>
      </c>
      <c r="BE29" s="1168" t="s">
        <v>325</v>
      </c>
      <c r="BF29" s="1176">
        <f>$C$137</f>
        <v>1.9915985219840348E-3</v>
      </c>
      <c r="BG29" s="804" t="s">
        <v>93</v>
      </c>
      <c r="BH29" s="804" t="s">
        <v>370</v>
      </c>
      <c r="BI29" s="805">
        <f t="shared" si="33"/>
        <v>1.7320508075688772</v>
      </c>
      <c r="BJ29" s="814" t="str">
        <f>CHOOSE('F-LSCD-012'!V41,BF29/BI29*BF19,BF29/BI29*BF19*1000,BF29/BI29*BF19*1000000,BF29/BI29*BF19*'Datos varios'!$E$119,BF29/BI29*BF19*'Datos varios'!$E$120,BF29/BI29*BF19*'Datos varios'!$E$121,BF29/BI29*BF19*'Datos varios'!$E$122,BF29/BI29*BF19*'Datos varios'!$E$123,"-",BF29/BI29*BF19*'F-LSCD-012'!R41,BF29/BI29*BF19*'F-LSCD-012'!R41)</f>
        <v>-</v>
      </c>
      <c r="BK29" s="839" t="e">
        <f t="shared" si="7"/>
        <v>#VALUE!</v>
      </c>
      <c r="BL29" s="830" t="s">
        <v>325</v>
      </c>
      <c r="BM29" s="803">
        <f>$C$137</f>
        <v>1.9915985219840348E-3</v>
      </c>
      <c r="BN29" s="804" t="s">
        <v>93</v>
      </c>
      <c r="BO29" s="804" t="s">
        <v>370</v>
      </c>
      <c r="BP29" s="805">
        <f t="shared" si="34"/>
        <v>1.7320508075688772</v>
      </c>
      <c r="BQ29" s="814" t="str">
        <f>CHOOSE('F-LSCD-012'!V42,BM29/BP29*BM19,BM29/BP29*BM19*1000,BM29/BP29*BM19*1000000,BM29/BP29*BM19*'Datos varios'!$E$119,BM29/BP29*BM19*'Datos varios'!$E$120,BM29/BP29*BM19*'Datos varios'!$E$121,BM29/BP29*BM19*'Datos varios'!$E$122,BM29/BP29*BM19*'Datos varios'!$E$123,"-",BM29/BP29*BM19*'F-LSCD-012'!R42,BM29/BP29*BM19*'F-LSCD-012'!R42)</f>
        <v>-</v>
      </c>
      <c r="BR29" s="841" t="e">
        <f t="shared" si="8"/>
        <v>#VALUE!</v>
      </c>
      <c r="BS29" s="1172" t="s">
        <v>325</v>
      </c>
      <c r="BT29" s="1176">
        <f>$C$137</f>
        <v>1.9915985219840348E-3</v>
      </c>
      <c r="BU29" s="804" t="s">
        <v>93</v>
      </c>
      <c r="BV29" s="804" t="s">
        <v>370</v>
      </c>
      <c r="BW29" s="805">
        <f t="shared" si="35"/>
        <v>1.7320508075688772</v>
      </c>
      <c r="BX29" s="814" t="str">
        <f>CHOOSE('F-LSCD-012'!V43,BT29/BW29*BT19,BT29/BW29*BT19*1000,BT29/BW29*BT19*1000000,BT29/BW29*BT19*'Datos varios'!$E$119,BT29/BW29*BT19*'Datos varios'!$E$120,BT29/BW29*BT19*'Datos varios'!$E$121,BT29/BW29*BT19*'Datos varios'!$E$122,BT29/BW29*BT19*'Datos varios'!$E$123,"-",BT29/BW29*BT19*'F-LSCD-012'!R43,BT29/BW29*BT19*'F-LSCD-012'!R43)</f>
        <v>-</v>
      </c>
      <c r="BY29" s="841" t="e">
        <f t="shared" si="9"/>
        <v>#VALUE!</v>
      </c>
      <c r="BZ29" s="812" t="s">
        <v>325</v>
      </c>
      <c r="CA29" s="803">
        <f>$C$137</f>
        <v>1.9915985219840348E-3</v>
      </c>
      <c r="CB29" s="804" t="s">
        <v>93</v>
      </c>
      <c r="CC29" s="804" t="s">
        <v>370</v>
      </c>
      <c r="CD29" s="805">
        <f t="shared" si="36"/>
        <v>1.7320508075688772</v>
      </c>
      <c r="CE29" s="814" t="str">
        <f>CHOOSE('F-LSCD-012'!V44,CA29/CD29*CA19,CA29/CD29*CA19*1000,CA29/CD29*CA19*1000000,CA29/CD29*CA19*'Datos varios'!$E$119,CA29/CD29*CA19*'Datos varios'!$E$120,CA29/CD29*CA19*'Datos varios'!$E$121,CA29/CD29*CA19*'Datos varios'!$E$122,CA29/CD29*CA19*'Datos varios'!$E$123,"-",CA29/CD29*CA19*'F-LSCD-012'!R44,CA29/CD29*CA19*'F-LSCD-012'!R44)</f>
        <v>-</v>
      </c>
      <c r="CF29" s="845" t="e">
        <f t="shared" si="10"/>
        <v>#VALUE!</v>
      </c>
      <c r="CG29" s="1172" t="s">
        <v>325</v>
      </c>
      <c r="CH29" s="1176">
        <f>$C$137</f>
        <v>1.9915985219840348E-3</v>
      </c>
      <c r="CI29" s="804" t="s">
        <v>93</v>
      </c>
      <c r="CJ29" s="804" t="s">
        <v>370</v>
      </c>
      <c r="CK29" s="805">
        <f t="shared" si="37"/>
        <v>1.7320508075688772</v>
      </c>
      <c r="CL29" s="814" t="str">
        <f>CHOOSE('F-LSCD-012'!V45,CH29/CK29*CH19,CH29/CK29*CH19*1000,CH29/CK29*CH19*1000000,CH29/CK29*CH19*'Datos varios'!$E$119,CH29/CK29*CH19*'Datos varios'!$E$120,CH29/CK29*CH19*'Datos varios'!$E$121,CH29/CK29*CH19*'Datos varios'!$E$122,CH29/CK29*CH19*'Datos varios'!$E$123,"-",CH29/CK29*CH19*'F-LSCD-012'!R45,CH29/CK29*CH19*'F-LSCD-012'!R45)</f>
        <v>-</v>
      </c>
      <c r="CM29" s="845" t="e">
        <f t="shared" si="11"/>
        <v>#VALUE!</v>
      </c>
      <c r="CN29" s="812" t="s">
        <v>325</v>
      </c>
      <c r="CO29" s="803">
        <f>$C$137</f>
        <v>1.9915985219840348E-3</v>
      </c>
      <c r="CP29" s="804" t="s">
        <v>370</v>
      </c>
      <c r="CQ29" s="804" t="s">
        <v>370</v>
      </c>
      <c r="CR29" s="805">
        <f t="shared" si="12"/>
        <v>1.7320508075688772</v>
      </c>
      <c r="CS29" s="814" t="str">
        <f>CHOOSE('F-LSCD-012'!V46,CO29/CR29*CO19,CO29/CR29*CO19*1000,CO29/CR29*CO19*1000000,CO29/CR29*CO19*'Datos varios'!$E$119,CO29/CR29*CO19*'Datos varios'!$E$120,CO29/CR29*CO19*'Datos varios'!$E$121,CO29/CR29*CO19*'Datos varios'!$E$122,CO29/CR29*CO19*'Datos varios'!$E$123,"-",CO29/CR29*CO19*'F-LSCD-012'!R46,CO29/CR29*CO19*'F-LSCD-012'!R46)</f>
        <v>-</v>
      </c>
      <c r="CT29" s="845" t="e">
        <f t="shared" si="13"/>
        <v>#VALUE!</v>
      </c>
      <c r="CU29" s="1172" t="s">
        <v>325</v>
      </c>
      <c r="CV29" s="1176">
        <f>$C$137</f>
        <v>1.9915985219840348E-3</v>
      </c>
      <c r="CW29" s="804" t="s">
        <v>370</v>
      </c>
      <c r="CX29" s="804" t="s">
        <v>370</v>
      </c>
      <c r="CY29" s="805">
        <f t="shared" si="38"/>
        <v>1.7320508075688772</v>
      </c>
      <c r="CZ29" s="814" t="str">
        <f>CHOOSE('F-LSCD-012'!V47,CV29/CY29*CV19,CV29/CY29*CV19*1000,CV29/CY29*CV19*1000000,CV29/CY29*CV19*'Datos varios'!$E$119,CV29/CY29*CV19*'Datos varios'!$E$120,CV29/CY29*CV19*'Datos varios'!$E$121,CV29/CY29*CV19*'Datos varios'!$E$122,CV29/CY29*CV19*'Datos varios'!$E$123,"-",CV29/CY29*CV19*'F-LSCD-012'!R47,CV29/CY29*CV19*'F-LSCD-012'!R47)</f>
        <v>-</v>
      </c>
      <c r="DA29" s="845" t="e">
        <f t="shared" si="14"/>
        <v>#VALUE!</v>
      </c>
      <c r="DB29" s="812" t="s">
        <v>325</v>
      </c>
      <c r="DC29" s="803">
        <f>$C$137</f>
        <v>1.9915985219840348E-3</v>
      </c>
      <c r="DD29" s="804" t="s">
        <v>93</v>
      </c>
      <c r="DE29" s="804" t="s">
        <v>370</v>
      </c>
      <c r="DF29" s="805">
        <f t="shared" si="39"/>
        <v>1.7320508075688772</v>
      </c>
      <c r="DG29" s="814" t="str">
        <f>CHOOSE('F-LSCD-012'!V48,DC29/DF29*DC19,DC29/DF29*DC19*1000,DC29/DF29*DC19*1000000,DC29/DF29*DC19*'Datos varios'!$E$119,DC29/DF29*DC19*'Datos varios'!$E$120,DC29/DF29*DC19*'Datos varios'!$E$121,DC29/DF29*DC19*'Datos varios'!$E$122,DC29/DF29*DC19*'Datos varios'!$E$123,"-",DC29/DF29*DC19*'F-LSCD-012'!R48,DC29/DF29*DC19*'F-LSCD-012'!R48)</f>
        <v>-</v>
      </c>
      <c r="DH29" s="839" t="e">
        <f t="shared" si="15"/>
        <v>#VALUE!</v>
      </c>
      <c r="DI29" s="1172" t="s">
        <v>325</v>
      </c>
      <c r="DJ29" s="1176">
        <f>$C$137</f>
        <v>1.9915985219840348E-3</v>
      </c>
      <c r="DK29" s="804" t="s">
        <v>93</v>
      </c>
      <c r="DL29" s="804" t="s">
        <v>370</v>
      </c>
      <c r="DM29" s="805">
        <f t="shared" si="40"/>
        <v>1.7320508075688772</v>
      </c>
      <c r="DN29" s="814" t="str">
        <f>CHOOSE('F-LSCD-012'!V49,DJ29/DM29*DJ19,DJ29/DM29*DJ19*1000,DJ29/DM29*DJ19*1000000,DJ29/DM29*DJ19*'Datos varios'!$E$119,DJ29/DM29*DJ19*'Datos varios'!$E$120,DJ29/DM29*DJ19*'Datos varios'!$E$121,DJ29/DM29*DJ19*'Datos varios'!$E$122,DJ29/DM29*DJ19*'Datos varios'!$E$123,"-",DJ29/DM29*DJ19*'F-LSCD-012'!R49,DJ29/DM29*DJ19*'F-LSCD-012'!R49)</f>
        <v>-</v>
      </c>
      <c r="DO29" s="839" t="e">
        <f t="shared" si="16"/>
        <v>#VALUE!</v>
      </c>
      <c r="DP29" s="812" t="s">
        <v>325</v>
      </c>
      <c r="DQ29" s="803">
        <f>$C$137</f>
        <v>1.9915985219840348E-3</v>
      </c>
      <c r="DR29" s="804" t="s">
        <v>93</v>
      </c>
      <c r="DS29" s="804" t="s">
        <v>370</v>
      </c>
      <c r="DT29" s="805">
        <f t="shared" si="41"/>
        <v>1.7320508075688772</v>
      </c>
      <c r="DU29" s="814" t="str">
        <f>CHOOSE('F-LSCD-012'!V50,DQ29/DT29*DQ19,DQ29/DT29*DQ19*1000,DQ29/DT29*DQ19*1000000,DQ29/DT29*DQ19*'Datos varios'!$E$119,DQ29/DT29*DQ19*'Datos varios'!$E$120,DQ29/DT29*DQ19*'Datos varios'!$E$121,DQ29/DT29*DQ19*'Datos varios'!$E$122,DQ29/DT29*DQ19*'Datos varios'!$E$123,"-",DQ29/DT29*DQ19*'F-LSCD-012'!R50,DQ29/DT29*DQ19*'F-LSCD-012'!R50)</f>
        <v>-</v>
      </c>
      <c r="DV29" s="839" t="e">
        <f t="shared" si="17"/>
        <v>#VALUE!</v>
      </c>
      <c r="DW29" s="1172" t="s">
        <v>325</v>
      </c>
      <c r="DX29" s="1176">
        <f>$C$137</f>
        <v>1.9915985219840348E-3</v>
      </c>
      <c r="DY29" s="804" t="s">
        <v>93</v>
      </c>
      <c r="DZ29" s="804" t="s">
        <v>370</v>
      </c>
      <c r="EA29" s="805">
        <f t="shared" si="42"/>
        <v>1.7320508075688772</v>
      </c>
      <c r="EB29" s="814" t="str">
        <f>CHOOSE('F-LSCD-012'!V51,DX29/EA29*DX19,DX29/EA29*DX19*1000,DX29/EA29*DX19*1000000,DX29/EA29*DX19*'Datos varios'!$E$119,DX29/EA29*DX19*'Datos varios'!$E$120,DX29/EA29*DX19*'Datos varios'!$E$121,DX29/EA29*DX19*'Datos varios'!$E$122,DX29/EA29*DX19*'Datos varios'!$E$123,"-",DX29/EA29*DX19*'F-LSCD-012'!R51,DX29/EA29*DX19*'F-LSCD-012'!R51)</f>
        <v>-</v>
      </c>
      <c r="EC29" s="839" t="e">
        <f t="shared" si="18"/>
        <v>#VALUE!</v>
      </c>
      <c r="ED29" s="812" t="s">
        <v>325</v>
      </c>
      <c r="EE29" s="803">
        <f>$C$137</f>
        <v>1.9915985219840348E-3</v>
      </c>
      <c r="EF29" s="804" t="s">
        <v>93</v>
      </c>
      <c r="EG29" s="804" t="s">
        <v>370</v>
      </c>
      <c r="EH29" s="805">
        <f t="shared" si="43"/>
        <v>1.7320508075688772</v>
      </c>
      <c r="EI29" s="814" t="str">
        <f>CHOOSE('F-LSCD-012'!V52,EE29/EH29*EE19,EE29/EH29*EE19*1000,EE29/EH29*EE19*1000000,EE29/EH29*EE19*'Datos varios'!$E$119,EE29/EH29*EE19*'Datos varios'!$E$120,EE29/EH29*EE19*'Datos varios'!$E$121,EE29/EH29*EE19*'Datos varios'!$E$122,EE29/EH29*EE19*'Datos varios'!$E$123,"-",EE29/EH29*EE19*'F-LSCD-012'!R52,EE29/EH29*EE19*'F-LSCD-012'!R52)</f>
        <v>-</v>
      </c>
      <c r="EJ29" s="839" t="e">
        <f t="shared" si="19"/>
        <v>#VALUE!</v>
      </c>
      <c r="EK29" s="1172" t="s">
        <v>325</v>
      </c>
      <c r="EL29" s="1176">
        <f>$C$137</f>
        <v>1.9915985219840348E-3</v>
      </c>
      <c r="EM29" s="804" t="s">
        <v>93</v>
      </c>
      <c r="EN29" s="804" t="s">
        <v>370</v>
      </c>
      <c r="EO29" s="805">
        <f t="shared" si="44"/>
        <v>1.7320508075688772</v>
      </c>
      <c r="EP29" s="814" t="str">
        <f>CHOOSE('F-LSCD-012'!V53,EL29/EO29*EL19,EL29/EO29*EL19*1000,EL29/EO29*EL19*1000000,EL29/EO29*EL19*'Datos varios'!$E$119,EL29/EO29*EL19*'Datos varios'!$E$120,EL29/EO29*EL19*'Datos varios'!$E$121,EL29/EO29*EL19*'Datos varios'!$E$122,EL29/EO29*EL19*'Datos varios'!$E$123,"-",EL29/EO29*EL19*'F-LSCD-012'!R53,EL29/EO29*EL19*'F-LSCD-012'!R53)</f>
        <v>-</v>
      </c>
      <c r="EQ29" s="839" t="e">
        <f t="shared" si="20"/>
        <v>#VALUE!</v>
      </c>
      <c r="ER29" s="812" t="s">
        <v>325</v>
      </c>
      <c r="ES29" s="803">
        <f>$C$137</f>
        <v>1.9915985219840348E-3</v>
      </c>
      <c r="ET29" s="804" t="s">
        <v>93</v>
      </c>
      <c r="EU29" s="804" t="s">
        <v>370</v>
      </c>
      <c r="EV29" s="805">
        <f t="shared" si="45"/>
        <v>1.7320508075688772</v>
      </c>
      <c r="EW29" s="814" t="str">
        <f>CHOOSE('F-LSCD-012'!V54,ES29/EV29*ES19,ES29/EV29*ES19*1000,ES29/EV29*ES19*1000000,ES29/EV29*ES19*'Datos varios'!$E$119,ES29/EV29*ES19*'Datos varios'!$E$120,ES29/EV29*ES19*'Datos varios'!$E$121,ES29/EV29*ES19*'Datos varios'!$E$122,ES29/EV29*ES19*'Datos varios'!$E$123,"-",ES29/EV29*ES19*'F-LSCD-012'!R54,ES29/EV29*ES19*'F-LSCD-012'!R54)</f>
        <v>-</v>
      </c>
      <c r="EX29" s="839" t="e">
        <f t="shared" si="21"/>
        <v>#VALUE!</v>
      </c>
      <c r="EY29" s="1172" t="s">
        <v>325</v>
      </c>
      <c r="EZ29" s="1176">
        <f>$C$137</f>
        <v>1.9915985219840348E-3</v>
      </c>
      <c r="FA29" s="804" t="s">
        <v>93</v>
      </c>
      <c r="FB29" s="804" t="s">
        <v>370</v>
      </c>
      <c r="FC29" s="805">
        <f t="shared" si="46"/>
        <v>1.7320508075688772</v>
      </c>
      <c r="FD29" s="814" t="str">
        <f>CHOOSE('F-LSCD-012'!V55,EZ29/FC29*EZ19,EZ29/FC29*EZ19*1000,EZ29/FC29*EZ19*1000000,EZ29/FC29*EZ19*'Datos varios'!$E$119,EZ29/FC29*EZ19*'Datos varios'!$E$120,EZ29/FC29*EZ19*'Datos varios'!$E$121,EZ29/FC29*EZ19*'Datos varios'!$E$122,EZ29/FC29*EZ19*'Datos varios'!$E$123,"-",EZ29/FC29*EZ19*'F-LSCD-012'!R55,EZ29/FC29*EZ19*'F-LSCD-012'!R55)</f>
        <v>-</v>
      </c>
      <c r="FE29" s="839" t="e">
        <f t="shared" si="22"/>
        <v>#VALUE!</v>
      </c>
      <c r="FF29" s="812" t="s">
        <v>325</v>
      </c>
      <c r="FG29" s="803">
        <f>$C$137</f>
        <v>1.9915985219840348E-3</v>
      </c>
      <c r="FH29" s="804" t="s">
        <v>93</v>
      </c>
      <c r="FI29" s="804" t="s">
        <v>370</v>
      </c>
      <c r="FJ29" s="805">
        <f t="shared" si="47"/>
        <v>1.7320508075688772</v>
      </c>
      <c r="FK29" s="814" t="str">
        <f>CHOOSE('F-LSCD-012'!V56,FG29/FJ29*FG19,FG29/FJ29*FG19*1000,FG29/FJ29*FG19*1000000,FG29/FJ29*FG19*'Datos varios'!$E$119,FG29/FJ29*FG19*'Datos varios'!$E$120,FG29/FJ29*FG19*'Datos varios'!$E$121,FG29/FJ29*FG19*'Datos varios'!$E$122,FG29/FJ29*FG19*'Datos varios'!$E$123,"-",FG29/FJ29*FG19*'F-LSCD-012'!R56,FG29/FJ29*FG19*'F-LSCD-012'!R56)</f>
        <v>-</v>
      </c>
      <c r="FL29" s="839" t="e">
        <f t="shared" si="23"/>
        <v>#VALUE!</v>
      </c>
      <c r="FM29" s="1172" t="s">
        <v>325</v>
      </c>
      <c r="FN29" s="1176">
        <f>$C$137</f>
        <v>1.9915985219840348E-3</v>
      </c>
      <c r="FO29" s="804" t="s">
        <v>93</v>
      </c>
      <c r="FP29" s="804" t="s">
        <v>370</v>
      </c>
      <c r="FQ29" s="805">
        <f t="shared" si="24"/>
        <v>1.7320508075688772</v>
      </c>
      <c r="FR29" s="814" t="str">
        <f>CHOOSE('F-LSCD-012'!V57,FN29/FQ29*FN19,FN29/FQ29*FN19*1000,FN29/FQ29*FN19*1000000,FN29/FQ29*FN19*'Datos varios'!$E$119,FN29/FQ29*FN19*'Datos varios'!$E$120,FN29/FQ29*FN19*'Datos varios'!$E$121,FN29/FQ29*FN19*'Datos varios'!$E$122,FN29/FQ29*FN19*'Datos varios'!$E$123,"-",FN29/FQ29*FN19*'F-LSCD-012'!R57,FN29/FQ29*FN19*'F-LSCD-012'!R57)</f>
        <v>-</v>
      </c>
      <c r="FS29" s="839" t="e">
        <f t="shared" si="25"/>
        <v>#VALUE!</v>
      </c>
      <c r="FT29" s="812" t="s">
        <v>325</v>
      </c>
    </row>
    <row r="30" spans="1:176" ht="18" x14ac:dyDescent="0.25">
      <c r="A30" s="741">
        <v>6</v>
      </c>
      <c r="B30" s="2558" t="s">
        <v>986</v>
      </c>
      <c r="C30" s="2556"/>
      <c r="D30" s="2556"/>
      <c r="E30" s="2556"/>
      <c r="F30" s="2557"/>
      <c r="G30" s="793" t="s">
        <v>622</v>
      </c>
      <c r="H30" s="781" t="s">
        <v>451</v>
      </c>
      <c r="I30" s="806">
        <f>('F-LSCD-003'!D17-('F-LSCD-003'!D17*'F-LSCD-003'!N17^2/('F-LSCD-003'!N17+$F$152/1000)^2))/0.000001</f>
        <v>44.87411741348896</v>
      </c>
      <c r="J30" s="804" t="s">
        <v>325</v>
      </c>
      <c r="K30" s="804" t="s">
        <v>373</v>
      </c>
      <c r="L30" s="805">
        <f t="shared" si="26"/>
        <v>2</v>
      </c>
      <c r="M30" s="807">
        <f>I30/L30</f>
        <v>22.43705870674448</v>
      </c>
      <c r="N30" s="833">
        <f t="shared" si="0"/>
        <v>1.6748543519879439E-3</v>
      </c>
      <c r="O30" s="1172" t="s">
        <v>325</v>
      </c>
      <c r="P30" s="1177">
        <f>('F-LSCD-003'!D17-('F-LSCD-003'!D17*'F-LSCD-003'!N17^2/('F-LSCD-003'!N17+$F$152/1000)^2))/0.000001</f>
        <v>44.87411741348896</v>
      </c>
      <c r="Q30" s="804" t="s">
        <v>325</v>
      </c>
      <c r="R30" s="804" t="s">
        <v>373</v>
      </c>
      <c r="S30" s="805">
        <f t="shared" si="27"/>
        <v>2</v>
      </c>
      <c r="T30" s="807">
        <f>P30/S30</f>
        <v>22.43705870674448</v>
      </c>
      <c r="U30" s="833" t="e">
        <f t="shared" si="1"/>
        <v>#VALUE!</v>
      </c>
      <c r="V30" s="812" t="s">
        <v>325</v>
      </c>
      <c r="W30" s="806" t="e">
        <f>('F-LSCD-003'!D18-('F-LSCD-003'!D18*'F-LSCD-003'!N18^2/('F-LSCD-003'!N18+$F$152/1000)^2))/0.000001</f>
        <v>#VALUE!</v>
      </c>
      <c r="X30" s="804" t="s">
        <v>325</v>
      </c>
      <c r="Y30" s="804" t="s">
        <v>373</v>
      </c>
      <c r="Z30" s="805">
        <f t="shared" si="28"/>
        <v>2</v>
      </c>
      <c r="AA30" s="807" t="e">
        <f>W30/Z30</f>
        <v>#VALUE!</v>
      </c>
      <c r="AB30" s="835" t="e">
        <f t="shared" si="2"/>
        <v>#VALUE!</v>
      </c>
      <c r="AC30" s="1172" t="s">
        <v>325</v>
      </c>
      <c r="AD30" s="1177" t="e">
        <f>('F-LSCD-003'!D18-('F-LSCD-003'!D18*'F-LSCD-003'!N18^2/('F-LSCD-003'!N18+$F$152/1000)^2))/0.000001</f>
        <v>#VALUE!</v>
      </c>
      <c r="AE30" s="804" t="s">
        <v>325</v>
      </c>
      <c r="AF30" s="804" t="s">
        <v>373</v>
      </c>
      <c r="AG30" s="805">
        <f t="shared" si="29"/>
        <v>2</v>
      </c>
      <c r="AH30" s="807" t="e">
        <f>AD30/AG30</f>
        <v>#VALUE!</v>
      </c>
      <c r="AI30" s="835" t="e">
        <f t="shared" si="3"/>
        <v>#VALUE!</v>
      </c>
      <c r="AJ30" s="812" t="s">
        <v>325</v>
      </c>
      <c r="AK30" s="806" t="e">
        <f>('F-LSCD-003'!D19-('F-LSCD-003'!D19*'F-LSCD-003'!N19^2/('F-LSCD-003'!N19+$F$152/1000)^2))/0.000001</f>
        <v>#VALUE!</v>
      </c>
      <c r="AL30" s="804" t="s">
        <v>325</v>
      </c>
      <c r="AM30" s="804" t="s">
        <v>373</v>
      </c>
      <c r="AN30" s="805">
        <f t="shared" si="30"/>
        <v>2</v>
      </c>
      <c r="AO30" s="807" t="e">
        <f>AK30/AN30</f>
        <v>#VALUE!</v>
      </c>
      <c r="AP30" s="839" t="e">
        <f t="shared" si="4"/>
        <v>#VALUE!</v>
      </c>
      <c r="AQ30" s="1172" t="s">
        <v>325</v>
      </c>
      <c r="AR30" s="1177" t="e">
        <f>('F-LSCD-003'!D19-('F-LSCD-003'!D19*'F-LSCD-003'!N19^2/('F-LSCD-003'!N19+$F$152/1000)^2))/0.000001</f>
        <v>#VALUE!</v>
      </c>
      <c r="AS30" s="804" t="s">
        <v>325</v>
      </c>
      <c r="AT30" s="804" t="s">
        <v>373</v>
      </c>
      <c r="AU30" s="805">
        <f t="shared" si="31"/>
        <v>2</v>
      </c>
      <c r="AV30" s="807" t="e">
        <f>AR30/AU30</f>
        <v>#VALUE!</v>
      </c>
      <c r="AW30" s="839" t="e">
        <f t="shared" si="5"/>
        <v>#VALUE!</v>
      </c>
      <c r="AX30" s="812" t="s">
        <v>325</v>
      </c>
      <c r="AY30" s="806" t="e">
        <f>('F-LSCD-003'!D20-('F-LSCD-003'!D20*'F-LSCD-003'!N20^2/('F-LSCD-003'!N20+$F$152/1000)^2))/0.000001</f>
        <v>#VALUE!</v>
      </c>
      <c r="AZ30" s="804" t="s">
        <v>325</v>
      </c>
      <c r="BA30" s="804" t="s">
        <v>373</v>
      </c>
      <c r="BB30" s="805">
        <f t="shared" si="32"/>
        <v>2</v>
      </c>
      <c r="BC30" s="818" t="e">
        <f>AY30/BB30</f>
        <v>#VALUE!</v>
      </c>
      <c r="BD30" s="839" t="e">
        <f t="shared" si="6"/>
        <v>#VALUE!</v>
      </c>
      <c r="BE30" s="1168" t="s">
        <v>325</v>
      </c>
      <c r="BF30" s="1177" t="e">
        <f>('F-LSCD-003'!D20-('F-LSCD-003'!D20*'F-LSCD-003'!N20^2/('F-LSCD-003'!N20+$F$152/1000)^2))/0.000001</f>
        <v>#VALUE!</v>
      </c>
      <c r="BG30" s="804" t="s">
        <v>325</v>
      </c>
      <c r="BH30" s="804" t="s">
        <v>373</v>
      </c>
      <c r="BI30" s="805">
        <f t="shared" si="33"/>
        <v>2</v>
      </c>
      <c r="BJ30" s="818" t="e">
        <f>BF30/BI30</f>
        <v>#VALUE!</v>
      </c>
      <c r="BK30" s="839" t="e">
        <f t="shared" si="7"/>
        <v>#VALUE!</v>
      </c>
      <c r="BL30" s="830" t="s">
        <v>325</v>
      </c>
      <c r="BM30" s="806" t="e">
        <f>('F-LSCD-003'!D21-('F-LSCD-003'!D21*'F-LSCD-003'!N21^2/('F-LSCD-003'!N21+$F$152/1000)^2))/0.000001</f>
        <v>#VALUE!</v>
      </c>
      <c r="BN30" s="804" t="s">
        <v>325</v>
      </c>
      <c r="BO30" s="804" t="s">
        <v>373</v>
      </c>
      <c r="BP30" s="805">
        <f t="shared" si="34"/>
        <v>2</v>
      </c>
      <c r="BQ30" s="807" t="e">
        <f>BM30/BP30</f>
        <v>#VALUE!</v>
      </c>
      <c r="BR30" s="841" t="e">
        <f t="shared" si="8"/>
        <v>#VALUE!</v>
      </c>
      <c r="BS30" s="1172" t="s">
        <v>325</v>
      </c>
      <c r="BT30" s="1177" t="e">
        <f>('F-LSCD-003'!D21-('F-LSCD-003'!D21*'F-LSCD-003'!N21^2/('F-LSCD-003'!N21+$F$152/1000)^2))/0.000001</f>
        <v>#VALUE!</v>
      </c>
      <c r="BU30" s="804" t="s">
        <v>325</v>
      </c>
      <c r="BV30" s="804" t="s">
        <v>373</v>
      </c>
      <c r="BW30" s="805">
        <f t="shared" si="35"/>
        <v>2</v>
      </c>
      <c r="BX30" s="807" t="e">
        <f>BT30/BW30</f>
        <v>#VALUE!</v>
      </c>
      <c r="BY30" s="841" t="e">
        <f t="shared" si="9"/>
        <v>#VALUE!</v>
      </c>
      <c r="BZ30" s="812" t="s">
        <v>325</v>
      </c>
      <c r="CA30" s="806" t="e">
        <f>('F-LSCD-003'!D22-('F-LSCD-003'!D22*'F-LSCD-003'!N22^2/('F-LSCD-003'!N22+$F$152/1000)^2))/0.000001</f>
        <v>#VALUE!</v>
      </c>
      <c r="CB30" s="804" t="s">
        <v>325</v>
      </c>
      <c r="CC30" s="804" t="s">
        <v>373</v>
      </c>
      <c r="CD30" s="805">
        <f t="shared" si="36"/>
        <v>2</v>
      </c>
      <c r="CE30" s="807" t="e">
        <f>CA30/CD30</f>
        <v>#VALUE!</v>
      </c>
      <c r="CF30" s="845" t="e">
        <f t="shared" si="10"/>
        <v>#VALUE!</v>
      </c>
      <c r="CG30" s="1172" t="s">
        <v>325</v>
      </c>
      <c r="CH30" s="1177" t="e">
        <f>('F-LSCD-003'!D22-('F-LSCD-003'!D22*'F-LSCD-003'!N22^2/('F-LSCD-003'!N22+$F$152/1000)^2))/0.000001</f>
        <v>#VALUE!</v>
      </c>
      <c r="CI30" s="804" t="s">
        <v>325</v>
      </c>
      <c r="CJ30" s="804" t="s">
        <v>373</v>
      </c>
      <c r="CK30" s="805">
        <f t="shared" si="37"/>
        <v>2</v>
      </c>
      <c r="CL30" s="807" t="e">
        <f>CH30/CK30</f>
        <v>#VALUE!</v>
      </c>
      <c r="CM30" s="845" t="e">
        <f t="shared" si="11"/>
        <v>#VALUE!</v>
      </c>
      <c r="CN30" s="812" t="s">
        <v>325</v>
      </c>
      <c r="CO30" s="806" t="e">
        <f>('F-LSCD-003'!D23-('F-LSCD-003'!D23*'F-LSCD-003'!N23^2/('F-LSCD-003'!N23+$F$152/1000)^2))/0.000001</f>
        <v>#VALUE!</v>
      </c>
      <c r="CP30" s="804" t="s">
        <v>373</v>
      </c>
      <c r="CQ30" s="804" t="s">
        <v>373</v>
      </c>
      <c r="CR30" s="805">
        <f t="shared" si="12"/>
        <v>2</v>
      </c>
      <c r="CS30" s="807" t="e">
        <f>CO30/CR30</f>
        <v>#VALUE!</v>
      </c>
      <c r="CT30" s="845" t="e">
        <f t="shared" si="13"/>
        <v>#VALUE!</v>
      </c>
      <c r="CU30" s="1172" t="s">
        <v>325</v>
      </c>
      <c r="CV30" s="1177" t="e">
        <f>('F-LSCD-003'!D23-('F-LSCD-003'!D23*'F-LSCD-003'!N23^2/('F-LSCD-003'!N23+$F$152/1000)^2))/0.000001</f>
        <v>#VALUE!</v>
      </c>
      <c r="CW30" s="804" t="s">
        <v>373</v>
      </c>
      <c r="CX30" s="804" t="s">
        <v>373</v>
      </c>
      <c r="CY30" s="805">
        <f t="shared" si="38"/>
        <v>2</v>
      </c>
      <c r="CZ30" s="807" t="e">
        <f>CV30/CY30</f>
        <v>#VALUE!</v>
      </c>
      <c r="DA30" s="845" t="e">
        <f t="shared" si="14"/>
        <v>#VALUE!</v>
      </c>
      <c r="DB30" s="812" t="s">
        <v>325</v>
      </c>
      <c r="DC30" s="806" t="e">
        <f>('F-LSCD-003'!D24-('F-LSCD-003'!D24*'F-LSCD-003'!N24^2/('F-LSCD-003'!N24+$F$152/1000)^2))/0.000001</f>
        <v>#VALUE!</v>
      </c>
      <c r="DD30" s="804" t="s">
        <v>325</v>
      </c>
      <c r="DE30" s="804" t="s">
        <v>373</v>
      </c>
      <c r="DF30" s="805">
        <f t="shared" si="39"/>
        <v>2</v>
      </c>
      <c r="DG30" s="807" t="e">
        <f>DC30/DF30</f>
        <v>#VALUE!</v>
      </c>
      <c r="DH30" s="839" t="e">
        <f t="shared" si="15"/>
        <v>#VALUE!</v>
      </c>
      <c r="DI30" s="1172" t="s">
        <v>325</v>
      </c>
      <c r="DJ30" s="1177" t="e">
        <f>('F-LSCD-003'!D24-('F-LSCD-003'!D24*'F-LSCD-003'!N24^2/('F-LSCD-003'!N24+$F$152/1000)^2))/0.000001</f>
        <v>#VALUE!</v>
      </c>
      <c r="DK30" s="804" t="s">
        <v>325</v>
      </c>
      <c r="DL30" s="804" t="s">
        <v>373</v>
      </c>
      <c r="DM30" s="805">
        <f t="shared" si="40"/>
        <v>2</v>
      </c>
      <c r="DN30" s="807" t="e">
        <f>DJ30/DM30</f>
        <v>#VALUE!</v>
      </c>
      <c r="DO30" s="839" t="e">
        <f t="shared" si="16"/>
        <v>#VALUE!</v>
      </c>
      <c r="DP30" s="812" t="s">
        <v>325</v>
      </c>
      <c r="DQ30" s="806" t="e">
        <f>('F-LSCD-003'!D25-('F-LSCD-003'!D25*'F-LSCD-003'!N25^2/('F-LSCD-003'!N25+$F$152/1000)^2))/0.000001</f>
        <v>#VALUE!</v>
      </c>
      <c r="DR30" s="804" t="s">
        <v>325</v>
      </c>
      <c r="DS30" s="804" t="s">
        <v>373</v>
      </c>
      <c r="DT30" s="805">
        <f t="shared" si="41"/>
        <v>2</v>
      </c>
      <c r="DU30" s="807" t="e">
        <f>DQ30/DT30</f>
        <v>#VALUE!</v>
      </c>
      <c r="DV30" s="839" t="e">
        <f t="shared" si="17"/>
        <v>#VALUE!</v>
      </c>
      <c r="DW30" s="1172" t="s">
        <v>325</v>
      </c>
      <c r="DX30" s="1177" t="e">
        <f>('F-LSCD-003'!D25-('F-LSCD-003'!D25*'F-LSCD-003'!N25^2/('F-LSCD-003'!N25+$F$152/1000)^2))/0.000001</f>
        <v>#VALUE!</v>
      </c>
      <c r="DY30" s="804" t="s">
        <v>325</v>
      </c>
      <c r="DZ30" s="804" t="s">
        <v>373</v>
      </c>
      <c r="EA30" s="805">
        <f t="shared" si="42"/>
        <v>2</v>
      </c>
      <c r="EB30" s="807" t="e">
        <f>DX30/EA30</f>
        <v>#VALUE!</v>
      </c>
      <c r="EC30" s="839" t="e">
        <f t="shared" si="18"/>
        <v>#VALUE!</v>
      </c>
      <c r="ED30" s="812" t="s">
        <v>325</v>
      </c>
      <c r="EE30" s="806" t="e">
        <f>('F-LSCD-003'!D26-('F-LSCD-003'!D26*'F-LSCD-003'!N26^2/('F-LSCD-003'!N26+$F$152/1000)^2))/0.000001</f>
        <v>#VALUE!</v>
      </c>
      <c r="EF30" s="804" t="s">
        <v>325</v>
      </c>
      <c r="EG30" s="804" t="s">
        <v>373</v>
      </c>
      <c r="EH30" s="805">
        <f t="shared" si="43"/>
        <v>2</v>
      </c>
      <c r="EI30" s="807" t="e">
        <f>EE30/EH30</f>
        <v>#VALUE!</v>
      </c>
      <c r="EJ30" s="839" t="e">
        <f t="shared" si="19"/>
        <v>#VALUE!</v>
      </c>
      <c r="EK30" s="1172" t="s">
        <v>325</v>
      </c>
      <c r="EL30" s="1177" t="e">
        <f>('F-LSCD-003'!D26-('F-LSCD-003'!D26*'F-LSCD-003'!N26^2/('F-LSCD-003'!N26+$F$152/1000)^2))/0.000001</f>
        <v>#VALUE!</v>
      </c>
      <c r="EM30" s="804" t="s">
        <v>325</v>
      </c>
      <c r="EN30" s="804" t="s">
        <v>373</v>
      </c>
      <c r="EO30" s="805">
        <f t="shared" si="44"/>
        <v>2</v>
      </c>
      <c r="EP30" s="807" t="e">
        <f>EL30/EO30</f>
        <v>#VALUE!</v>
      </c>
      <c r="EQ30" s="839" t="e">
        <f t="shared" si="20"/>
        <v>#VALUE!</v>
      </c>
      <c r="ER30" s="812" t="s">
        <v>325</v>
      </c>
      <c r="ES30" s="806" t="e">
        <f>('F-LSCD-003'!D27-('F-LSCD-003'!D27*'F-LSCD-003'!N27^2/('F-LSCD-003'!N27+$F$152/1000)^2))/0.000001</f>
        <v>#VALUE!</v>
      </c>
      <c r="ET30" s="804" t="s">
        <v>325</v>
      </c>
      <c r="EU30" s="804" t="s">
        <v>373</v>
      </c>
      <c r="EV30" s="805">
        <f t="shared" si="45"/>
        <v>2</v>
      </c>
      <c r="EW30" s="807" t="e">
        <f>ES30/EV30</f>
        <v>#VALUE!</v>
      </c>
      <c r="EX30" s="839" t="e">
        <f t="shared" si="21"/>
        <v>#VALUE!</v>
      </c>
      <c r="EY30" s="1172" t="s">
        <v>325</v>
      </c>
      <c r="EZ30" s="1177" t="e">
        <f>('F-LSCD-003'!D27-('F-LSCD-003'!D27*'F-LSCD-003'!N27^2/('F-LSCD-003'!N27+$F$152/1000)^2))/0.000001</f>
        <v>#VALUE!</v>
      </c>
      <c r="FA30" s="804" t="s">
        <v>325</v>
      </c>
      <c r="FB30" s="804" t="s">
        <v>373</v>
      </c>
      <c r="FC30" s="805">
        <f t="shared" si="46"/>
        <v>2</v>
      </c>
      <c r="FD30" s="807" t="e">
        <f>EZ30/FC30</f>
        <v>#VALUE!</v>
      </c>
      <c r="FE30" s="839" t="e">
        <f t="shared" si="22"/>
        <v>#VALUE!</v>
      </c>
      <c r="FF30" s="812" t="s">
        <v>325</v>
      </c>
      <c r="FG30" s="806" t="e">
        <f>('F-LSCD-003'!D28-('F-LSCD-003'!D28*'F-LSCD-003'!N28^2/('F-LSCD-003'!N28+$F$152/1000)^2))/0.000001</f>
        <v>#VALUE!</v>
      </c>
      <c r="FH30" s="804" t="s">
        <v>325</v>
      </c>
      <c r="FI30" s="804" t="s">
        <v>373</v>
      </c>
      <c r="FJ30" s="805">
        <f t="shared" si="47"/>
        <v>2</v>
      </c>
      <c r="FK30" s="807" t="e">
        <f>FG30/FJ30</f>
        <v>#VALUE!</v>
      </c>
      <c r="FL30" s="839" t="e">
        <f t="shared" si="23"/>
        <v>#VALUE!</v>
      </c>
      <c r="FM30" s="1172" t="s">
        <v>325</v>
      </c>
      <c r="FN30" s="1177" t="e">
        <f>('F-LSCD-003'!D28-('F-LSCD-003'!D28*'F-LSCD-003'!N28^2/('F-LSCD-003'!N28+$F$152/1000)^2))/0.000001</f>
        <v>#VALUE!</v>
      </c>
      <c r="FO30" s="804" t="s">
        <v>325</v>
      </c>
      <c r="FP30" s="804" t="s">
        <v>373</v>
      </c>
      <c r="FQ30" s="805">
        <f t="shared" si="24"/>
        <v>2</v>
      </c>
      <c r="FR30" s="807" t="e">
        <f>FN30/FQ30</f>
        <v>#VALUE!</v>
      </c>
      <c r="FS30" s="839" t="e">
        <f t="shared" si="25"/>
        <v>#VALUE!</v>
      </c>
      <c r="FT30" s="812" t="s">
        <v>325</v>
      </c>
    </row>
    <row r="31" spans="1:176" ht="18" x14ac:dyDescent="0.25">
      <c r="A31" s="741">
        <v>7</v>
      </c>
      <c r="B31" s="2555" t="s">
        <v>511</v>
      </c>
      <c r="C31" s="2556"/>
      <c r="D31" s="2556"/>
      <c r="E31" s="2556"/>
      <c r="F31" s="2557"/>
      <c r="G31" s="793" t="s">
        <v>623</v>
      </c>
      <c r="H31" s="781" t="s">
        <v>451</v>
      </c>
      <c r="I31" s="806">
        <f>('F-LSCD-003'!D17-('F-LSCD-003'!D17*'F-LSCD-003'!N17^2/('F-LSCD-003'!N17+$F$183/1000)^2))/0.000001/2</f>
        <v>20.399823421579992</v>
      </c>
      <c r="J31" s="804" t="s">
        <v>325</v>
      </c>
      <c r="K31" s="804" t="s">
        <v>370</v>
      </c>
      <c r="L31" s="805">
        <f t="shared" si="26"/>
        <v>1.7320508075688772</v>
      </c>
      <c r="M31" s="807">
        <f>I31/L31</f>
        <v>11.777843543870041</v>
      </c>
      <c r="N31" s="833">
        <f t="shared" si="0"/>
        <v>4.6150537053803327E-4</v>
      </c>
      <c r="O31" s="1172" t="s">
        <v>325</v>
      </c>
      <c r="P31" s="1177">
        <f>('F-LSCD-003'!D17-('F-LSCD-003'!D17*'F-LSCD-003'!N17^2/('F-LSCD-003'!N17+$F$183/1000)^2))/0.000001/2</f>
        <v>20.399823421579992</v>
      </c>
      <c r="Q31" s="804" t="s">
        <v>325</v>
      </c>
      <c r="R31" s="804" t="s">
        <v>370</v>
      </c>
      <c r="S31" s="805">
        <f t="shared" si="27"/>
        <v>1.7320508075688772</v>
      </c>
      <c r="T31" s="807">
        <f>P31/S31</f>
        <v>11.777843543870041</v>
      </c>
      <c r="U31" s="833" t="e">
        <f t="shared" si="1"/>
        <v>#VALUE!</v>
      </c>
      <c r="V31" s="812" t="s">
        <v>325</v>
      </c>
      <c r="W31" s="806" t="e">
        <f>('F-LSCD-003'!D18-('F-LSCD-003'!D18*'F-LSCD-003'!N18^2/('F-LSCD-003'!N18+$F$183/1000)^2))/0.000001/2</f>
        <v>#VALUE!</v>
      </c>
      <c r="X31" s="804" t="s">
        <v>325</v>
      </c>
      <c r="Y31" s="804" t="s">
        <v>370</v>
      </c>
      <c r="Z31" s="805">
        <f t="shared" si="28"/>
        <v>1.7320508075688772</v>
      </c>
      <c r="AA31" s="807" t="e">
        <f>W31/Z31</f>
        <v>#VALUE!</v>
      </c>
      <c r="AB31" s="835" t="e">
        <f t="shared" si="2"/>
        <v>#VALUE!</v>
      </c>
      <c r="AC31" s="1172" t="s">
        <v>325</v>
      </c>
      <c r="AD31" s="1177" t="e">
        <f>('F-LSCD-003'!D18-('F-LSCD-003'!D18*'F-LSCD-003'!N18^2/('F-LSCD-003'!N18+$F$183/1000)^2))/0.000001/2</f>
        <v>#VALUE!</v>
      </c>
      <c r="AE31" s="804" t="s">
        <v>325</v>
      </c>
      <c r="AF31" s="804" t="s">
        <v>370</v>
      </c>
      <c r="AG31" s="805">
        <f t="shared" si="29"/>
        <v>1.7320508075688772</v>
      </c>
      <c r="AH31" s="807" t="e">
        <f>AD31/AG31</f>
        <v>#VALUE!</v>
      </c>
      <c r="AI31" s="835" t="e">
        <f t="shared" si="3"/>
        <v>#VALUE!</v>
      </c>
      <c r="AJ31" s="812" t="s">
        <v>325</v>
      </c>
      <c r="AK31" s="806" t="e">
        <f>('F-LSCD-003'!D19-('F-LSCD-003'!D19*'F-LSCD-003'!N19^2/('F-LSCD-003'!N19+$F$183/1000)^2))/0.000001/2</f>
        <v>#VALUE!</v>
      </c>
      <c r="AL31" s="804" t="s">
        <v>325</v>
      </c>
      <c r="AM31" s="804" t="s">
        <v>370</v>
      </c>
      <c r="AN31" s="805">
        <f t="shared" si="30"/>
        <v>1.7320508075688772</v>
      </c>
      <c r="AO31" s="807" t="e">
        <f>AK31/AN31</f>
        <v>#VALUE!</v>
      </c>
      <c r="AP31" s="839" t="e">
        <f t="shared" si="4"/>
        <v>#VALUE!</v>
      </c>
      <c r="AQ31" s="1172" t="s">
        <v>325</v>
      </c>
      <c r="AR31" s="1177" t="e">
        <f>('F-LSCD-003'!D19-('F-LSCD-003'!D19*'F-LSCD-003'!N19^2/('F-LSCD-003'!N19+$F$183/1000)^2))/0.000001/2</f>
        <v>#VALUE!</v>
      </c>
      <c r="AS31" s="804" t="s">
        <v>325</v>
      </c>
      <c r="AT31" s="804" t="s">
        <v>370</v>
      </c>
      <c r="AU31" s="805">
        <f t="shared" si="31"/>
        <v>1.7320508075688772</v>
      </c>
      <c r="AV31" s="807" t="e">
        <f>AR31/AU31</f>
        <v>#VALUE!</v>
      </c>
      <c r="AW31" s="839" t="e">
        <f t="shared" si="5"/>
        <v>#VALUE!</v>
      </c>
      <c r="AX31" s="812" t="s">
        <v>325</v>
      </c>
      <c r="AY31" s="806" t="e">
        <f>('F-LSCD-003'!D20-('F-LSCD-003'!D20*'F-LSCD-003'!N20^2/('F-LSCD-003'!N20+$F$183/1000)^2))/0.000001/2</f>
        <v>#VALUE!</v>
      </c>
      <c r="AZ31" s="804" t="s">
        <v>325</v>
      </c>
      <c r="BA31" s="804" t="s">
        <v>370</v>
      </c>
      <c r="BB31" s="805">
        <f t="shared" si="32"/>
        <v>1.7320508075688772</v>
      </c>
      <c r="BC31" s="818" t="e">
        <f>AY31/BB31</f>
        <v>#VALUE!</v>
      </c>
      <c r="BD31" s="839" t="e">
        <f t="shared" si="6"/>
        <v>#VALUE!</v>
      </c>
      <c r="BE31" s="1168" t="s">
        <v>325</v>
      </c>
      <c r="BF31" s="1177" t="e">
        <f>('F-LSCD-003'!D20-('F-LSCD-003'!D20*'F-LSCD-003'!N20^2/('F-LSCD-003'!N20+$F$183/1000)^2))/0.000001/2</f>
        <v>#VALUE!</v>
      </c>
      <c r="BG31" s="804" t="s">
        <v>325</v>
      </c>
      <c r="BH31" s="804" t="s">
        <v>370</v>
      </c>
      <c r="BI31" s="805">
        <f t="shared" si="33"/>
        <v>1.7320508075688772</v>
      </c>
      <c r="BJ31" s="818" t="e">
        <f>BF31/BI31</f>
        <v>#VALUE!</v>
      </c>
      <c r="BK31" s="839" t="e">
        <f t="shared" si="7"/>
        <v>#VALUE!</v>
      </c>
      <c r="BL31" s="830" t="s">
        <v>325</v>
      </c>
      <c r="BM31" s="806" t="e">
        <f>('F-LSCD-003'!D21-('F-LSCD-003'!D21*'F-LSCD-003'!N21^2/('F-LSCD-003'!N21+$F$183/1000)^2))/0.000001/2</f>
        <v>#VALUE!</v>
      </c>
      <c r="BN31" s="804" t="s">
        <v>325</v>
      </c>
      <c r="BO31" s="804" t="s">
        <v>370</v>
      </c>
      <c r="BP31" s="805">
        <f t="shared" si="34"/>
        <v>1.7320508075688772</v>
      </c>
      <c r="BQ31" s="807" t="e">
        <f>BM31/BP31</f>
        <v>#VALUE!</v>
      </c>
      <c r="BR31" s="841" t="e">
        <f t="shared" si="8"/>
        <v>#VALUE!</v>
      </c>
      <c r="BS31" s="1172" t="s">
        <v>325</v>
      </c>
      <c r="BT31" s="1177" t="e">
        <f>('F-LSCD-003'!D21-('F-LSCD-003'!D21*'F-LSCD-003'!N21^2/('F-LSCD-003'!N21+$F$183/1000)^2))/0.000001/2</f>
        <v>#VALUE!</v>
      </c>
      <c r="BU31" s="804" t="s">
        <v>325</v>
      </c>
      <c r="BV31" s="804" t="s">
        <v>370</v>
      </c>
      <c r="BW31" s="805">
        <f t="shared" si="35"/>
        <v>1.7320508075688772</v>
      </c>
      <c r="BX31" s="807" t="e">
        <f>BT31/BW31</f>
        <v>#VALUE!</v>
      </c>
      <c r="BY31" s="841" t="e">
        <f t="shared" si="9"/>
        <v>#VALUE!</v>
      </c>
      <c r="BZ31" s="812" t="s">
        <v>325</v>
      </c>
      <c r="CA31" s="806" t="e">
        <f>('F-LSCD-003'!D22-('F-LSCD-003'!D22*'F-LSCD-003'!N22^2/('F-LSCD-003'!N22+$F$183/1000)^2))/0.000001/2</f>
        <v>#VALUE!</v>
      </c>
      <c r="CB31" s="804" t="s">
        <v>325</v>
      </c>
      <c r="CC31" s="804" t="s">
        <v>370</v>
      </c>
      <c r="CD31" s="805">
        <f t="shared" si="36"/>
        <v>1.7320508075688772</v>
      </c>
      <c r="CE31" s="807" t="e">
        <f>CA31/CD31</f>
        <v>#VALUE!</v>
      </c>
      <c r="CF31" s="845" t="e">
        <f t="shared" si="10"/>
        <v>#VALUE!</v>
      </c>
      <c r="CG31" s="1172" t="s">
        <v>325</v>
      </c>
      <c r="CH31" s="1177" t="e">
        <f>('F-LSCD-003'!D22-('F-LSCD-003'!D22*'F-LSCD-003'!N22^2/('F-LSCD-003'!N22+$F$183/1000)^2))/0.000001/2</f>
        <v>#VALUE!</v>
      </c>
      <c r="CI31" s="804" t="s">
        <v>325</v>
      </c>
      <c r="CJ31" s="804" t="s">
        <v>370</v>
      </c>
      <c r="CK31" s="805">
        <f t="shared" si="37"/>
        <v>1.7320508075688772</v>
      </c>
      <c r="CL31" s="807" t="e">
        <f>CH31/CK31</f>
        <v>#VALUE!</v>
      </c>
      <c r="CM31" s="845" t="e">
        <f t="shared" si="11"/>
        <v>#VALUE!</v>
      </c>
      <c r="CN31" s="812" t="s">
        <v>325</v>
      </c>
      <c r="CO31" s="806" t="e">
        <f>('F-LSCD-003'!D23-('F-LSCD-003'!D23*'F-LSCD-003'!N23^2/('F-LSCD-003'!N23+$F$183/1000)^2))/0.000001/2</f>
        <v>#VALUE!</v>
      </c>
      <c r="CP31" s="804" t="s">
        <v>370</v>
      </c>
      <c r="CQ31" s="804" t="s">
        <v>370</v>
      </c>
      <c r="CR31" s="805">
        <f t="shared" si="12"/>
        <v>1.7320508075688772</v>
      </c>
      <c r="CS31" s="807" t="e">
        <f>CO31/CR31</f>
        <v>#VALUE!</v>
      </c>
      <c r="CT31" s="845" t="e">
        <f t="shared" si="13"/>
        <v>#VALUE!</v>
      </c>
      <c r="CU31" s="1172" t="s">
        <v>325</v>
      </c>
      <c r="CV31" s="1177" t="e">
        <f>('F-LSCD-003'!D23-('F-LSCD-003'!D23*'F-LSCD-003'!N23^2/('F-LSCD-003'!N23+$F$183/1000)^2))/0.000001/2</f>
        <v>#VALUE!</v>
      </c>
      <c r="CW31" s="804" t="s">
        <v>370</v>
      </c>
      <c r="CX31" s="804" t="s">
        <v>370</v>
      </c>
      <c r="CY31" s="805">
        <f t="shared" si="38"/>
        <v>1.7320508075688772</v>
      </c>
      <c r="CZ31" s="807" t="e">
        <f>CV31/CY31</f>
        <v>#VALUE!</v>
      </c>
      <c r="DA31" s="845" t="e">
        <f t="shared" si="14"/>
        <v>#VALUE!</v>
      </c>
      <c r="DB31" s="812" t="s">
        <v>325</v>
      </c>
      <c r="DC31" s="806" t="e">
        <f>('F-LSCD-003'!D24-('F-LSCD-003'!D24*'F-LSCD-003'!N24^2/('F-LSCD-003'!N24+$F$183/1000)^2))/0.000001/2</f>
        <v>#VALUE!</v>
      </c>
      <c r="DD31" s="804" t="s">
        <v>325</v>
      </c>
      <c r="DE31" s="804" t="s">
        <v>370</v>
      </c>
      <c r="DF31" s="805">
        <f t="shared" si="39"/>
        <v>1.7320508075688772</v>
      </c>
      <c r="DG31" s="807" t="e">
        <f>DC31/DF31</f>
        <v>#VALUE!</v>
      </c>
      <c r="DH31" s="839" t="e">
        <f t="shared" si="15"/>
        <v>#VALUE!</v>
      </c>
      <c r="DI31" s="1172" t="s">
        <v>325</v>
      </c>
      <c r="DJ31" s="1177" t="e">
        <f>('F-LSCD-003'!D24-('F-LSCD-003'!D24*'F-LSCD-003'!N24^2/('F-LSCD-003'!N24+$F$183/1000)^2))/0.000001/2</f>
        <v>#VALUE!</v>
      </c>
      <c r="DK31" s="804" t="s">
        <v>325</v>
      </c>
      <c r="DL31" s="804" t="s">
        <v>370</v>
      </c>
      <c r="DM31" s="805">
        <f t="shared" si="40"/>
        <v>1.7320508075688772</v>
      </c>
      <c r="DN31" s="807" t="e">
        <f>DJ31/DM31</f>
        <v>#VALUE!</v>
      </c>
      <c r="DO31" s="839" t="e">
        <f t="shared" si="16"/>
        <v>#VALUE!</v>
      </c>
      <c r="DP31" s="812" t="s">
        <v>325</v>
      </c>
      <c r="DQ31" s="806" t="e">
        <f>('F-LSCD-003'!D25-('F-LSCD-003'!D25*'F-LSCD-003'!N25^2/('F-LSCD-003'!N25+$F$183/1000)^2))/0.000001/2</f>
        <v>#VALUE!</v>
      </c>
      <c r="DR31" s="804" t="s">
        <v>325</v>
      </c>
      <c r="DS31" s="804" t="s">
        <v>370</v>
      </c>
      <c r="DT31" s="805">
        <f t="shared" si="41"/>
        <v>1.7320508075688772</v>
      </c>
      <c r="DU31" s="807" t="e">
        <f>DQ31/DT31</f>
        <v>#VALUE!</v>
      </c>
      <c r="DV31" s="839" t="e">
        <f t="shared" si="17"/>
        <v>#VALUE!</v>
      </c>
      <c r="DW31" s="1172" t="s">
        <v>325</v>
      </c>
      <c r="DX31" s="1177" t="e">
        <f>('F-LSCD-003'!D25-('F-LSCD-003'!D25*'F-LSCD-003'!N25^2/('F-LSCD-003'!N25+$F$183/1000)^2))/0.000001/2</f>
        <v>#VALUE!</v>
      </c>
      <c r="DY31" s="804" t="s">
        <v>325</v>
      </c>
      <c r="DZ31" s="804" t="s">
        <v>370</v>
      </c>
      <c r="EA31" s="805">
        <f t="shared" si="42"/>
        <v>1.7320508075688772</v>
      </c>
      <c r="EB31" s="807" t="e">
        <f>DX31/EA31</f>
        <v>#VALUE!</v>
      </c>
      <c r="EC31" s="839" t="e">
        <f t="shared" si="18"/>
        <v>#VALUE!</v>
      </c>
      <c r="ED31" s="812" t="s">
        <v>325</v>
      </c>
      <c r="EE31" s="806" t="e">
        <f>('F-LSCD-003'!D26-('F-LSCD-003'!D26*'F-LSCD-003'!N26^2/('F-LSCD-003'!N26+$F$183/1000)^2))/0.000001/2</f>
        <v>#VALUE!</v>
      </c>
      <c r="EF31" s="804" t="s">
        <v>325</v>
      </c>
      <c r="EG31" s="804" t="s">
        <v>370</v>
      </c>
      <c r="EH31" s="805">
        <f t="shared" si="43"/>
        <v>1.7320508075688772</v>
      </c>
      <c r="EI31" s="807" t="e">
        <f>EE31/EH31</f>
        <v>#VALUE!</v>
      </c>
      <c r="EJ31" s="839" t="e">
        <f t="shared" si="19"/>
        <v>#VALUE!</v>
      </c>
      <c r="EK31" s="1172" t="s">
        <v>325</v>
      </c>
      <c r="EL31" s="1177" t="e">
        <f>('F-LSCD-003'!D26-('F-LSCD-003'!D26*'F-LSCD-003'!N26^2/('F-LSCD-003'!N26+$F$183/1000)^2))/0.000001/2</f>
        <v>#VALUE!</v>
      </c>
      <c r="EM31" s="804" t="s">
        <v>325</v>
      </c>
      <c r="EN31" s="804" t="s">
        <v>370</v>
      </c>
      <c r="EO31" s="805">
        <f t="shared" si="44"/>
        <v>1.7320508075688772</v>
      </c>
      <c r="EP31" s="807" t="e">
        <f>EL31/EO31</f>
        <v>#VALUE!</v>
      </c>
      <c r="EQ31" s="839" t="e">
        <f t="shared" si="20"/>
        <v>#VALUE!</v>
      </c>
      <c r="ER31" s="812" t="s">
        <v>325</v>
      </c>
      <c r="ES31" s="806" t="e">
        <f>('F-LSCD-003'!D27-('F-LSCD-003'!D27*'F-LSCD-003'!N27^2/('F-LSCD-003'!N27+$F$183/1000)^2))/0.000001/2</f>
        <v>#VALUE!</v>
      </c>
      <c r="ET31" s="804" t="s">
        <v>325</v>
      </c>
      <c r="EU31" s="804" t="s">
        <v>370</v>
      </c>
      <c r="EV31" s="805">
        <f t="shared" si="45"/>
        <v>1.7320508075688772</v>
      </c>
      <c r="EW31" s="807" t="e">
        <f>ES31/EV31</f>
        <v>#VALUE!</v>
      </c>
      <c r="EX31" s="839" t="e">
        <f t="shared" si="21"/>
        <v>#VALUE!</v>
      </c>
      <c r="EY31" s="1172" t="s">
        <v>325</v>
      </c>
      <c r="EZ31" s="1177" t="e">
        <f>('F-LSCD-003'!D27-('F-LSCD-003'!D27*'F-LSCD-003'!N27^2/('F-LSCD-003'!N27+$F$183/1000)^2))/0.000001/2</f>
        <v>#VALUE!</v>
      </c>
      <c r="FA31" s="804" t="s">
        <v>325</v>
      </c>
      <c r="FB31" s="804" t="s">
        <v>370</v>
      </c>
      <c r="FC31" s="805">
        <f t="shared" si="46"/>
        <v>1.7320508075688772</v>
      </c>
      <c r="FD31" s="807" t="e">
        <f>EZ31/FC31</f>
        <v>#VALUE!</v>
      </c>
      <c r="FE31" s="839" t="e">
        <f t="shared" si="22"/>
        <v>#VALUE!</v>
      </c>
      <c r="FF31" s="812" t="s">
        <v>325</v>
      </c>
      <c r="FG31" s="806" t="e">
        <f>('F-LSCD-003'!D28-('F-LSCD-003'!D28*'F-LSCD-003'!N28^2/('F-LSCD-003'!N28+$F$183/1000)^2))/0.000001/2</f>
        <v>#VALUE!</v>
      </c>
      <c r="FH31" s="804" t="s">
        <v>325</v>
      </c>
      <c r="FI31" s="804" t="s">
        <v>370</v>
      </c>
      <c r="FJ31" s="805">
        <f t="shared" si="47"/>
        <v>1.7320508075688772</v>
      </c>
      <c r="FK31" s="807" t="e">
        <f>FG31/FJ31</f>
        <v>#VALUE!</v>
      </c>
      <c r="FL31" s="839" t="e">
        <f t="shared" si="23"/>
        <v>#VALUE!</v>
      </c>
      <c r="FM31" s="1172" t="s">
        <v>325</v>
      </c>
      <c r="FN31" s="1177" t="e">
        <f>('F-LSCD-003'!D28-('F-LSCD-003'!D28*'F-LSCD-003'!N28^2/('F-LSCD-003'!N28+$F$183/1000)^2))/0.000001/2</f>
        <v>#VALUE!</v>
      </c>
      <c r="FO31" s="804" t="s">
        <v>325</v>
      </c>
      <c r="FP31" s="804" t="s">
        <v>370</v>
      </c>
      <c r="FQ31" s="805">
        <f t="shared" si="24"/>
        <v>1.7320508075688772</v>
      </c>
      <c r="FR31" s="807" t="e">
        <f>FN31/FQ31</f>
        <v>#VALUE!</v>
      </c>
      <c r="FS31" s="839" t="e">
        <f t="shared" si="25"/>
        <v>#VALUE!</v>
      </c>
      <c r="FT31" s="812" t="s">
        <v>325</v>
      </c>
    </row>
    <row r="32" spans="1:176" ht="18" x14ac:dyDescent="0.25">
      <c r="A32" s="741">
        <v>8</v>
      </c>
      <c r="B32" s="2555" t="s">
        <v>669</v>
      </c>
      <c r="C32" s="2556"/>
      <c r="D32" s="2556"/>
      <c r="E32" s="2556"/>
      <c r="F32" s="2557"/>
      <c r="G32" s="793" t="s">
        <v>683</v>
      </c>
      <c r="H32" s="781" t="s">
        <v>451</v>
      </c>
      <c r="I32" s="808">
        <f>CHOOSE('F-LSCD-012'!V34,I21/2,I21/2*1000,I21/2*1000000,I21/2*'Datos varios'!$E$119,I21/2*'Datos varios'!$E$120,I21/2*'Datos varios'!$E$121,I21/2*'Datos varios'!$E$122,I21/2*'Datos varios'!$E$123,"-",I21/2*'F-LSCD-012'!R34,I21/2*'F-LSCD-012'!R34)</f>
        <v>5</v>
      </c>
      <c r="J32" s="804" t="s">
        <v>325</v>
      </c>
      <c r="K32" s="804" t="s">
        <v>370</v>
      </c>
      <c r="L32" s="805">
        <f t="shared" si="26"/>
        <v>1.7320508075688772</v>
      </c>
      <c r="M32" s="814">
        <f>I32/L32</f>
        <v>2.8867513459481291</v>
      </c>
      <c r="N32" s="833">
        <f t="shared" si="0"/>
        <v>2.7724514612328436E-5</v>
      </c>
      <c r="O32" s="1172" t="s">
        <v>325</v>
      </c>
      <c r="P32" s="1178" t="str">
        <f>CHOOSE('F-LSCD-012'!V35,P21/2,P21/2*1000,P21/2*1000000,P21/2*'Datos varios'!$E$119,P21/2*'Datos varios'!$E$120,P21/2*'Datos varios'!$E$121,P21/2*'Datos varios'!$E$122,P21/2*'Datos varios'!$E$123,"-",P21/2*'F-LSCD-012'!R35,P21/2*'F-LSCD-012'!R35)</f>
        <v>-</v>
      </c>
      <c r="Q32" s="804" t="s">
        <v>325</v>
      </c>
      <c r="R32" s="804" t="s">
        <v>370</v>
      </c>
      <c r="S32" s="805">
        <f t="shared" si="27"/>
        <v>1.7320508075688772</v>
      </c>
      <c r="T32" s="814" t="e">
        <f>P32/S32</f>
        <v>#VALUE!</v>
      </c>
      <c r="U32" s="833" t="e">
        <f t="shared" si="1"/>
        <v>#VALUE!</v>
      </c>
      <c r="V32" s="812" t="s">
        <v>325</v>
      </c>
      <c r="W32" s="808" t="str">
        <f>CHOOSE('F-LSCD-012'!V36,W21/2,W21/2*1000,W21/2*1000000,W21/2*'Datos varios'!$E$119,W21/2*'Datos varios'!$E$120,W21/2*'Datos varios'!$E$121,W21/2*'Datos varios'!$E$122,W21/2*'Datos varios'!$E$123,"-",W21/2*'F-LSCD-012'!R36,W21/2*'F-LSCD-012'!R36)</f>
        <v>-</v>
      </c>
      <c r="X32" s="804" t="s">
        <v>325</v>
      </c>
      <c r="Y32" s="804" t="s">
        <v>370</v>
      </c>
      <c r="Z32" s="805">
        <f t="shared" si="28"/>
        <v>1.7320508075688772</v>
      </c>
      <c r="AA32" s="814" t="e">
        <f>W32/Z32</f>
        <v>#VALUE!</v>
      </c>
      <c r="AB32" s="835" t="e">
        <f t="shared" si="2"/>
        <v>#VALUE!</v>
      </c>
      <c r="AC32" s="1172" t="s">
        <v>325</v>
      </c>
      <c r="AD32" s="1178" t="str">
        <f>CHOOSE('F-LSCD-012'!V37,AD21/2,AD21/2*1000,AD21/2*1000000,AD21/2*'Datos varios'!$E$119,AD21/2*'Datos varios'!$E$120,AD21/2*'Datos varios'!$E$121,AD21/2*'Datos varios'!$E$122,AD21/2*'Datos varios'!$E$123,"-",AD21/2*'F-LSCD-012'!R37,AD21/2*'F-LSCD-012'!R37)</f>
        <v>-</v>
      </c>
      <c r="AE32" s="804" t="s">
        <v>325</v>
      </c>
      <c r="AF32" s="804" t="s">
        <v>370</v>
      </c>
      <c r="AG32" s="805">
        <f t="shared" si="29"/>
        <v>1.7320508075688772</v>
      </c>
      <c r="AH32" s="814" t="e">
        <f>AD32/AG32</f>
        <v>#VALUE!</v>
      </c>
      <c r="AI32" s="835" t="e">
        <f t="shared" si="3"/>
        <v>#VALUE!</v>
      </c>
      <c r="AJ32" s="812" t="s">
        <v>325</v>
      </c>
      <c r="AK32" s="808" t="str">
        <f>CHOOSE('F-LSCD-012'!V38,AK21/2,AK21/2*1000,AK21/2*1000000,AK21/2*'Datos varios'!$E$119,AK21/2*'Datos varios'!$E$120,AK21/2*'Datos varios'!$E$121,AK21/2*'Datos varios'!$E$122,AK21/2*'Datos varios'!$E$123,"-",AK21/2*'F-LSCD-012'!R38,AK21/2*'F-LSCD-012'!R38)</f>
        <v>-</v>
      </c>
      <c r="AL32" s="804" t="s">
        <v>325</v>
      </c>
      <c r="AM32" s="804" t="s">
        <v>370</v>
      </c>
      <c r="AN32" s="805">
        <f t="shared" si="30"/>
        <v>1.7320508075688772</v>
      </c>
      <c r="AO32" s="814" t="e">
        <f>AK32/AN32</f>
        <v>#VALUE!</v>
      </c>
      <c r="AP32" s="839" t="e">
        <f t="shared" si="4"/>
        <v>#VALUE!</v>
      </c>
      <c r="AQ32" s="1172" t="s">
        <v>325</v>
      </c>
      <c r="AR32" s="1178" t="str">
        <f>CHOOSE('F-LSCD-012'!V39,AR21/2,AR21/2*1000,AR21/2*1000000,AR21/2*'Datos varios'!$E$119,AR21/2*'Datos varios'!$E$120,AR21/2*'Datos varios'!$E$121,AR21/2*'Datos varios'!$E$122,AR21/2*'Datos varios'!$E$123,"-",AR21/2*'F-LSCD-012'!R39,AR21/2*'F-LSCD-012'!R39)</f>
        <v>-</v>
      </c>
      <c r="AS32" s="804" t="s">
        <v>325</v>
      </c>
      <c r="AT32" s="804" t="s">
        <v>370</v>
      </c>
      <c r="AU32" s="805">
        <f t="shared" si="31"/>
        <v>1.7320508075688772</v>
      </c>
      <c r="AV32" s="814" t="e">
        <f>AR32/AU32</f>
        <v>#VALUE!</v>
      </c>
      <c r="AW32" s="839" t="e">
        <f t="shared" si="5"/>
        <v>#VALUE!</v>
      </c>
      <c r="AX32" s="812" t="s">
        <v>325</v>
      </c>
      <c r="AY32" s="808" t="str">
        <f>CHOOSE('F-LSCD-012'!V40,AY21/2,AY21/2*1000,AY21/2*1000000,AY21/2*'Datos varios'!$E$119,AY21/2*'Datos varios'!$E$120,AY21/2*'Datos varios'!$E$121,AY21/2*'Datos varios'!$E$122,AY21/2*'Datos varios'!$E$123,"-",AY21/2*'F-LSCD-012'!R40,AY21/2*'F-LSCD-012'!R40)</f>
        <v>-</v>
      </c>
      <c r="AZ32" s="804" t="s">
        <v>325</v>
      </c>
      <c r="BA32" s="804" t="s">
        <v>370</v>
      </c>
      <c r="BB32" s="805">
        <f t="shared" si="32"/>
        <v>1.7320508075688772</v>
      </c>
      <c r="BC32" s="817" t="e">
        <f>AY32/BB32</f>
        <v>#VALUE!</v>
      </c>
      <c r="BD32" s="839" t="e">
        <f t="shared" si="6"/>
        <v>#VALUE!</v>
      </c>
      <c r="BE32" s="1168" t="s">
        <v>325</v>
      </c>
      <c r="BF32" s="1178" t="str">
        <f>CHOOSE('F-LSCD-012'!V41,BF21/2,BF21/2*1000,BF21/2*1000000,BF21/2*'Datos varios'!$E$119,BF21/2*'Datos varios'!$E$120,BF21/2*'Datos varios'!$E$121,BF21/2*'Datos varios'!$E$122,BF21/2*'Datos varios'!$E$123,"-",BF21/2*'F-LSCD-012'!R41,BF21/2*'F-LSCD-012'!R41)</f>
        <v>-</v>
      </c>
      <c r="BG32" s="804" t="s">
        <v>325</v>
      </c>
      <c r="BH32" s="804" t="s">
        <v>370</v>
      </c>
      <c r="BI32" s="805">
        <f t="shared" si="33"/>
        <v>1.7320508075688772</v>
      </c>
      <c r="BJ32" s="817" t="e">
        <f>BF32/BI32</f>
        <v>#VALUE!</v>
      </c>
      <c r="BK32" s="839" t="e">
        <f t="shared" si="7"/>
        <v>#VALUE!</v>
      </c>
      <c r="BL32" s="830" t="s">
        <v>325</v>
      </c>
      <c r="BM32" s="808" t="str">
        <f>CHOOSE('F-LSCD-012'!V42,BM21/2,BM21/2*1000,BM21/2*1000000,BM21/2*'Datos varios'!$E$119,BM21/2*'Datos varios'!$E$120,BM21/2*'Datos varios'!$E$121,BM21/2*'Datos varios'!$E$122,BM21/2*'Datos varios'!$E$123,"-",BM21/2*'F-LSCD-012'!R42,BM21/2*'F-LSCD-012'!R42)</f>
        <v>-</v>
      </c>
      <c r="BN32" s="804" t="s">
        <v>325</v>
      </c>
      <c r="BO32" s="804" t="s">
        <v>370</v>
      </c>
      <c r="BP32" s="805">
        <f t="shared" si="34"/>
        <v>1.7320508075688772</v>
      </c>
      <c r="BQ32" s="814" t="e">
        <f>BM32/BP32</f>
        <v>#VALUE!</v>
      </c>
      <c r="BR32" s="841" t="e">
        <f t="shared" si="8"/>
        <v>#VALUE!</v>
      </c>
      <c r="BS32" s="1172" t="s">
        <v>325</v>
      </c>
      <c r="BT32" s="1178" t="str">
        <f>CHOOSE('F-LSCD-012'!V43,BT21/2,BT21/2*1000,BT21/2*1000000,BT21/2*'Datos varios'!$E$119,BT21/2*'Datos varios'!$E$120,BT21/2*'Datos varios'!$E$121,BT21/2*'Datos varios'!$E$122,BT21/2*'Datos varios'!$E$123,"-",BT21/2*'F-LSCD-012'!R43,BT21/2*'F-LSCD-012'!R43)</f>
        <v>-</v>
      </c>
      <c r="BU32" s="804" t="s">
        <v>325</v>
      </c>
      <c r="BV32" s="804" t="s">
        <v>370</v>
      </c>
      <c r="BW32" s="805">
        <f t="shared" si="35"/>
        <v>1.7320508075688772</v>
      </c>
      <c r="BX32" s="814" t="e">
        <f>BT32/BW32</f>
        <v>#VALUE!</v>
      </c>
      <c r="BY32" s="841" t="e">
        <f t="shared" si="9"/>
        <v>#VALUE!</v>
      </c>
      <c r="BZ32" s="812" t="s">
        <v>325</v>
      </c>
      <c r="CA32" s="808" t="str">
        <f>CHOOSE('F-LSCD-012'!V44,CA21/2,CA21/2*1000,CA21/2*1000000,CA21/2*'Datos varios'!$E$119,CA21/2*'Datos varios'!$E$120,CA21/2*'Datos varios'!$E$121,CA21/2*'Datos varios'!$E$122,CA21/2*'Datos varios'!$E$123,"-",CA21/2*'F-LSCD-012'!R44,CA21/2*'F-LSCD-012'!R44)</f>
        <v>-</v>
      </c>
      <c r="CB32" s="804" t="s">
        <v>325</v>
      </c>
      <c r="CC32" s="804" t="s">
        <v>370</v>
      </c>
      <c r="CD32" s="805">
        <f t="shared" si="36"/>
        <v>1.7320508075688772</v>
      </c>
      <c r="CE32" s="814" t="e">
        <f>CA32/CD32</f>
        <v>#VALUE!</v>
      </c>
      <c r="CF32" s="845" t="e">
        <f t="shared" si="10"/>
        <v>#VALUE!</v>
      </c>
      <c r="CG32" s="1172" t="s">
        <v>325</v>
      </c>
      <c r="CH32" s="1178" t="str">
        <f>CHOOSE('F-LSCD-012'!V45,CH21/2,CH21/2*1000,CH21/2*1000000,CH21/2*'Datos varios'!$E$119,CH21/2*'Datos varios'!$E$120,CH21/2*'Datos varios'!$E$121,CH21/2*'Datos varios'!$E$122,CH21/2*'Datos varios'!$E$123,"-",CH21/2*'F-LSCD-012'!R45,CH21/2*'F-LSCD-012'!R45)</f>
        <v>-</v>
      </c>
      <c r="CI32" s="804" t="s">
        <v>325</v>
      </c>
      <c r="CJ32" s="804" t="s">
        <v>370</v>
      </c>
      <c r="CK32" s="805">
        <f t="shared" si="37"/>
        <v>1.7320508075688772</v>
      </c>
      <c r="CL32" s="814" t="e">
        <f>CH32/CK32</f>
        <v>#VALUE!</v>
      </c>
      <c r="CM32" s="845" t="e">
        <f t="shared" si="11"/>
        <v>#VALUE!</v>
      </c>
      <c r="CN32" s="812" t="s">
        <v>325</v>
      </c>
      <c r="CO32" s="808" t="str">
        <f>CHOOSE('F-LSCD-012'!V46,CO21/2,CO21/2*1000,CO21/2*1000000,CO21/2*'Datos varios'!$E$119,CO21/2*'Datos varios'!$E$120,CO21/2*'Datos varios'!$E$121,CO21/2*'Datos varios'!$E$122,CO21/2*'Datos varios'!$E$123,"-",CO21/2*'F-LSCD-012'!R46,CO21/2*'F-LSCD-012'!R46)</f>
        <v>-</v>
      </c>
      <c r="CP32" s="804" t="s">
        <v>370</v>
      </c>
      <c r="CQ32" s="804" t="s">
        <v>370</v>
      </c>
      <c r="CR32" s="805">
        <f t="shared" si="12"/>
        <v>1.7320508075688772</v>
      </c>
      <c r="CS32" s="814" t="e">
        <f>CO32/CR32</f>
        <v>#VALUE!</v>
      </c>
      <c r="CT32" s="845" t="e">
        <f t="shared" si="13"/>
        <v>#VALUE!</v>
      </c>
      <c r="CU32" s="1172" t="s">
        <v>325</v>
      </c>
      <c r="CV32" s="1178" t="str">
        <f>CHOOSE('F-LSCD-012'!V47,CV21/2,CV21/2*1000,CV21/2*1000000,CV21/2*'Datos varios'!$E$119,CV21/2*'Datos varios'!$E$120,CV21/2*'Datos varios'!$E$121,CV21/2*'Datos varios'!$E$122,CV21/2*'Datos varios'!$E$123,"-",CV21/2*'F-LSCD-012'!R47,CV21/2*'F-LSCD-012'!R47)</f>
        <v>-</v>
      </c>
      <c r="CW32" s="804" t="s">
        <v>370</v>
      </c>
      <c r="CX32" s="804" t="s">
        <v>370</v>
      </c>
      <c r="CY32" s="805">
        <f t="shared" si="38"/>
        <v>1.7320508075688772</v>
      </c>
      <c r="CZ32" s="814" t="e">
        <f>CV32/CY32</f>
        <v>#VALUE!</v>
      </c>
      <c r="DA32" s="845" t="e">
        <f t="shared" si="14"/>
        <v>#VALUE!</v>
      </c>
      <c r="DB32" s="812" t="s">
        <v>325</v>
      </c>
      <c r="DC32" s="808" t="str">
        <f>CHOOSE('F-LSCD-012'!V48,DC21/2,DC21/2*1000,DC21/2*1000000,DC21/2*'Datos varios'!$E$119,DC21/2*'Datos varios'!$E$120,DC21/2*'Datos varios'!$E$121,DC21/2*'Datos varios'!$E$122,DC21/2*'Datos varios'!$E$123,"-",DC21/2*'F-LSCD-012'!R48,DC21/2*'F-LSCD-012'!R48)</f>
        <v>-</v>
      </c>
      <c r="DD32" s="804" t="s">
        <v>325</v>
      </c>
      <c r="DE32" s="804" t="s">
        <v>370</v>
      </c>
      <c r="DF32" s="805">
        <f t="shared" si="39"/>
        <v>1.7320508075688772</v>
      </c>
      <c r="DG32" s="814" t="e">
        <f>DC32/DF32</f>
        <v>#VALUE!</v>
      </c>
      <c r="DH32" s="839" t="e">
        <f t="shared" si="15"/>
        <v>#VALUE!</v>
      </c>
      <c r="DI32" s="1172" t="s">
        <v>325</v>
      </c>
      <c r="DJ32" s="1178" t="str">
        <f>CHOOSE('F-LSCD-012'!V49,DJ21/2,DJ21/2*1000,DJ21/2*1000000,DJ21/2*'Datos varios'!$E$119,DJ21/2*'Datos varios'!$E$120,DJ21/2*'Datos varios'!$E$121,DJ21/2*'Datos varios'!$E$122,DJ21/2*'Datos varios'!$E$123,"-",DJ21/2*'F-LSCD-012'!R49,DJ21/2*'F-LSCD-012'!R49)</f>
        <v>-</v>
      </c>
      <c r="DK32" s="804" t="s">
        <v>325</v>
      </c>
      <c r="DL32" s="804" t="s">
        <v>370</v>
      </c>
      <c r="DM32" s="805">
        <f t="shared" si="40"/>
        <v>1.7320508075688772</v>
      </c>
      <c r="DN32" s="814" t="e">
        <f>DJ32/DM32</f>
        <v>#VALUE!</v>
      </c>
      <c r="DO32" s="839" t="e">
        <f t="shared" si="16"/>
        <v>#VALUE!</v>
      </c>
      <c r="DP32" s="812" t="s">
        <v>325</v>
      </c>
      <c r="DQ32" s="808" t="str">
        <f>CHOOSE('F-LSCD-012'!V50,DQ21/2,DQ21/2*1000,DQ21/2*1000000,DQ21/2*'Datos varios'!$E$119,DQ21/2*'Datos varios'!$E$120,DQ21/2*'Datos varios'!$E$121,DQ21/2*'Datos varios'!$E$122,DQ21/2*'Datos varios'!$E$123,"-",DQ21/2*'F-LSCD-012'!R50,DQ21/2*'F-LSCD-012'!R50)</f>
        <v>-</v>
      </c>
      <c r="DR32" s="804" t="s">
        <v>325</v>
      </c>
      <c r="DS32" s="804" t="s">
        <v>370</v>
      </c>
      <c r="DT32" s="805">
        <f t="shared" si="41"/>
        <v>1.7320508075688772</v>
      </c>
      <c r="DU32" s="814" t="e">
        <f>DQ32/DT32</f>
        <v>#VALUE!</v>
      </c>
      <c r="DV32" s="839" t="e">
        <f t="shared" si="17"/>
        <v>#VALUE!</v>
      </c>
      <c r="DW32" s="1172" t="s">
        <v>325</v>
      </c>
      <c r="DX32" s="1178" t="str">
        <f>CHOOSE('F-LSCD-012'!V51,DX21/2,DX21/2*1000,DX21/2*1000000,DX21/2*'Datos varios'!$E$119,DX21/2*'Datos varios'!$E$120,DX21/2*'Datos varios'!$E$121,DX21/2*'Datos varios'!$E$122,DX21/2*'Datos varios'!$E$123,"-",DX21/2*'F-LSCD-012'!R51,DX21/2*'F-LSCD-012'!R51)</f>
        <v>-</v>
      </c>
      <c r="DY32" s="804" t="s">
        <v>325</v>
      </c>
      <c r="DZ32" s="804" t="s">
        <v>370</v>
      </c>
      <c r="EA32" s="805">
        <f t="shared" si="42"/>
        <v>1.7320508075688772</v>
      </c>
      <c r="EB32" s="814" t="e">
        <f>DX32/EA32</f>
        <v>#VALUE!</v>
      </c>
      <c r="EC32" s="839" t="e">
        <f t="shared" si="18"/>
        <v>#VALUE!</v>
      </c>
      <c r="ED32" s="812" t="s">
        <v>325</v>
      </c>
      <c r="EE32" s="808" t="str">
        <f>CHOOSE('F-LSCD-012'!V52,EE21/2,EE21/2*1000,EE21/2*1000000,EE21/2*'Datos varios'!$E$119,EE21/2*'Datos varios'!$E$120,EE21/2*'Datos varios'!$E$121,EE21/2*'Datos varios'!$E$122,EE21/2*'Datos varios'!$E$123,"-",EE21/2*'F-LSCD-012'!R52,EE21/2*'F-LSCD-012'!R52)</f>
        <v>-</v>
      </c>
      <c r="EF32" s="804" t="s">
        <v>325</v>
      </c>
      <c r="EG32" s="804" t="s">
        <v>370</v>
      </c>
      <c r="EH32" s="805">
        <f t="shared" si="43"/>
        <v>1.7320508075688772</v>
      </c>
      <c r="EI32" s="814" t="e">
        <f>EE32/EH32</f>
        <v>#VALUE!</v>
      </c>
      <c r="EJ32" s="839" t="e">
        <f t="shared" si="19"/>
        <v>#VALUE!</v>
      </c>
      <c r="EK32" s="1172" t="s">
        <v>325</v>
      </c>
      <c r="EL32" s="1178" t="str">
        <f>CHOOSE('F-LSCD-012'!V53,EL21/2,EL21/2*1000,EL21/2*1000000,EL21/2*'Datos varios'!$E$119,EL21/2*'Datos varios'!$E$120,EL21/2*'Datos varios'!$E$121,EL21/2*'Datos varios'!$E$122,EL21/2*'Datos varios'!$E$123,"-",EL21/2*'F-LSCD-012'!R53,EL21/2*'F-LSCD-012'!R53)</f>
        <v>-</v>
      </c>
      <c r="EM32" s="804" t="s">
        <v>325</v>
      </c>
      <c r="EN32" s="804" t="s">
        <v>370</v>
      </c>
      <c r="EO32" s="805">
        <f t="shared" si="44"/>
        <v>1.7320508075688772</v>
      </c>
      <c r="EP32" s="814" t="e">
        <f>EL32/EO32</f>
        <v>#VALUE!</v>
      </c>
      <c r="EQ32" s="839" t="e">
        <f t="shared" si="20"/>
        <v>#VALUE!</v>
      </c>
      <c r="ER32" s="812" t="s">
        <v>325</v>
      </c>
      <c r="ES32" s="808" t="str">
        <f>CHOOSE('F-LSCD-012'!V54,ES21/2,ES21/2*1000,ES21/2*1000000,ES21/2*'Datos varios'!$E$119,ES21/2*'Datos varios'!$E$120,ES21/2*'Datos varios'!$E$121,ES21/2*'Datos varios'!$E$122,ES21/2*'Datos varios'!$E$123,"-",ES21/2*'F-LSCD-012'!R54,ES21/2*'F-LSCD-012'!R54)</f>
        <v>-</v>
      </c>
      <c r="ET32" s="804" t="s">
        <v>325</v>
      </c>
      <c r="EU32" s="804" t="s">
        <v>370</v>
      </c>
      <c r="EV32" s="805">
        <f t="shared" si="45"/>
        <v>1.7320508075688772</v>
      </c>
      <c r="EW32" s="814" t="e">
        <f>ES32/EV32</f>
        <v>#VALUE!</v>
      </c>
      <c r="EX32" s="839" t="e">
        <f t="shared" si="21"/>
        <v>#VALUE!</v>
      </c>
      <c r="EY32" s="1172" t="s">
        <v>325</v>
      </c>
      <c r="EZ32" s="1178" t="str">
        <f>CHOOSE('F-LSCD-012'!V55,EZ21/2,EZ21/2*1000,EZ21/2*1000000,EZ21/2*'Datos varios'!$E$119,EZ21/2*'Datos varios'!$E$120,EZ21/2*'Datos varios'!$E$121,EZ21/2*'Datos varios'!$E$122,EZ21/2*'Datos varios'!$E$123,"-",EZ21/2*'F-LSCD-012'!R55,EZ21/2*'F-LSCD-012'!R55)</f>
        <v>-</v>
      </c>
      <c r="FA32" s="804" t="s">
        <v>325</v>
      </c>
      <c r="FB32" s="804" t="s">
        <v>370</v>
      </c>
      <c r="FC32" s="805">
        <f t="shared" si="46"/>
        <v>1.7320508075688772</v>
      </c>
      <c r="FD32" s="814" t="e">
        <f>EZ32/FC32</f>
        <v>#VALUE!</v>
      </c>
      <c r="FE32" s="839" t="e">
        <f t="shared" si="22"/>
        <v>#VALUE!</v>
      </c>
      <c r="FF32" s="812" t="s">
        <v>325</v>
      </c>
      <c r="FG32" s="808" t="str">
        <f>CHOOSE('F-LSCD-012'!V56,FG21/2,FG21/2*1000,FG21/2*1000000,FG21/2*'Datos varios'!$E$119,FG21/2*'Datos varios'!$E$120,FG21/2*'Datos varios'!$E$121,FG21/2*'Datos varios'!$E$122,FG21/2*'Datos varios'!$E$123,"-",FG21/2*'F-LSCD-012'!R56,FG21/2*'F-LSCD-012'!R56)</f>
        <v>-</v>
      </c>
      <c r="FH32" s="804" t="s">
        <v>325</v>
      </c>
      <c r="FI32" s="804" t="s">
        <v>370</v>
      </c>
      <c r="FJ32" s="805">
        <f t="shared" si="47"/>
        <v>1.7320508075688772</v>
      </c>
      <c r="FK32" s="814" t="e">
        <f>FG32/FJ32</f>
        <v>#VALUE!</v>
      </c>
      <c r="FL32" s="839" t="e">
        <f t="shared" si="23"/>
        <v>#VALUE!</v>
      </c>
      <c r="FM32" s="1172" t="s">
        <v>325</v>
      </c>
      <c r="FN32" s="1178" t="str">
        <f>CHOOSE('F-LSCD-012'!V57,FN21/2,FN21/2*1000,FN21/2*1000000,FN21/2*'Datos varios'!$E$119,FN21/2*'Datos varios'!$E$120,FN21/2*'Datos varios'!$E$121,FN21/2*'Datos varios'!$E$122,FN21/2*'Datos varios'!$E$123,"-",FN21/2*'F-LSCD-012'!R57,FN21/2*'F-LSCD-012'!R57)</f>
        <v>-</v>
      </c>
      <c r="FO32" s="804" t="s">
        <v>325</v>
      </c>
      <c r="FP32" s="804" t="s">
        <v>370</v>
      </c>
      <c r="FQ32" s="805">
        <f t="shared" si="24"/>
        <v>1.7320508075688772</v>
      </c>
      <c r="FR32" s="814" t="e">
        <f>FN32/FQ32</f>
        <v>#VALUE!</v>
      </c>
      <c r="FS32" s="839" t="e">
        <f t="shared" si="25"/>
        <v>#VALUE!</v>
      </c>
      <c r="FT32" s="812" t="s">
        <v>325</v>
      </c>
    </row>
    <row r="33" spans="1:176" s="733" customFormat="1" ht="18" x14ac:dyDescent="0.25">
      <c r="A33" s="741">
        <v>9</v>
      </c>
      <c r="B33" s="2559" t="s">
        <v>662</v>
      </c>
      <c r="C33" s="2559"/>
      <c r="D33" s="2559"/>
      <c r="E33" s="2559"/>
      <c r="F33" s="2560"/>
      <c r="G33" s="793" t="s">
        <v>684</v>
      </c>
      <c r="H33" s="781" t="s">
        <v>451</v>
      </c>
      <c r="I33" s="1654">
        <f>$C$211</f>
        <v>0.02</v>
      </c>
      <c r="J33" s="804" t="s">
        <v>93</v>
      </c>
      <c r="K33" s="804" t="s">
        <v>372</v>
      </c>
      <c r="L33" s="805">
        <f>IF(K33="normal (k=1)",1,IF(K33="normal (k=2)",2,IF(K33="normal (k=3)",3,IF(K33="rectangular",SQRT(3),IF(K33="triangular",SQRT(6),IF(K33="Prob. U",SQRT(2),"no definido"))))))</f>
        <v>1</v>
      </c>
      <c r="M33" s="814">
        <f>CHOOSE('F-LSCD-012'!V34,I33/L33*I19,I33/L33*I19*1000,I33/L33*I19*1000000,I33/L33*I19*'Datos varios'!$E$119,I33/L33*I19*'Datos varios'!$E$120,I33/L33*I19*'Datos varios'!$E$121,I33/L33*I19*'Datos varios'!$E$122,I33/L33*I19*'Datos varios'!$E$123,"-",I33/L33*I19*'F-LSCD-012'!R34,I33/L33*I19*'F-LSCD-012'!R34)</f>
        <v>494.80000000000007</v>
      </c>
      <c r="N33" s="833">
        <f t="shared" si="0"/>
        <v>0.81452530175677429</v>
      </c>
      <c r="O33" s="1172" t="s">
        <v>325</v>
      </c>
      <c r="P33" s="1655">
        <f>$C$211</f>
        <v>0.02</v>
      </c>
      <c r="Q33" s="804" t="s">
        <v>93</v>
      </c>
      <c r="R33" s="804" t="s">
        <v>372</v>
      </c>
      <c r="S33" s="805">
        <f>IF(R33="normal (k=1)",1,IF(R33="normal (k=2)",2,IF(R33="normal (k=3)",3,IF(R33="rectangular",SQRT(3),IF(R33="triangular",SQRT(6),IF(R33="Prob. U",SQRT(2),"no definido"))))))</f>
        <v>1</v>
      </c>
      <c r="T33" s="814" t="str">
        <f>CHOOSE('F-LSCD-012'!V35,P33/S33*P19,P33/S33*P19*1000,P33/S33*P19*1000000,P33/S33*P19*'Datos varios'!$E$119,P33/S33*P19*'Datos varios'!$E$120,P33/S33*P19*'Datos varios'!$E$121,P33/S33*P19*'Datos varios'!$E$122,P33/S33*P19*'Datos varios'!$E$123,"-",P33/S33*P19*'F-LSCD-012'!R35,P33/S33*P19*'F-LSCD-012'!R35)</f>
        <v>-</v>
      </c>
      <c r="U33" s="833" t="e">
        <f t="shared" si="1"/>
        <v>#VALUE!</v>
      </c>
      <c r="V33" s="812" t="s">
        <v>325</v>
      </c>
      <c r="W33" s="1654">
        <f>$C$211</f>
        <v>0.02</v>
      </c>
      <c r="X33" s="804" t="s">
        <v>93</v>
      </c>
      <c r="Y33" s="804" t="s">
        <v>372</v>
      </c>
      <c r="Z33" s="805">
        <f>IF(Y33="normal (k=1)",1,IF(Y33="normal (k=2)",2,IF(Y33="normal (k=3)",3,IF(Y33="rectangular",SQRT(3),IF(Y33="triangular",SQRT(6),IF(Y33="Prob. U",SQRT(2),"no definido"))))))</f>
        <v>1</v>
      </c>
      <c r="AA33" s="814" t="str">
        <f>CHOOSE('F-LSCD-012'!V36,W33/Z33*W19,W33/Z33*W19*1000,W33/Z33*W19*1000000,W33/Z33*W19*'Datos varios'!$E$119,W33/Z33*W19*'Datos varios'!$E$120,W33/Z33*W19*'Datos varios'!$E$121,W33/Z33*W19*'Datos varios'!$E$122,W33/Z33*W19*'Datos varios'!$E$123,"-",W33/Z33*W19*'F-LSCD-012'!R36,W33/Z33*W19*'F-LSCD-012'!R36)</f>
        <v>-</v>
      </c>
      <c r="AB33" s="835" t="e">
        <f t="shared" si="2"/>
        <v>#VALUE!</v>
      </c>
      <c r="AC33" s="1172" t="s">
        <v>325</v>
      </c>
      <c r="AD33" s="1655">
        <f>$C$211</f>
        <v>0.02</v>
      </c>
      <c r="AE33" s="804" t="s">
        <v>93</v>
      </c>
      <c r="AF33" s="804" t="s">
        <v>372</v>
      </c>
      <c r="AG33" s="805">
        <f>IF(AF33="normal (k=1)",1,IF(AF33="normal (k=2)",2,IF(AF33="normal (k=3)",3,IF(AF33="rectangular",SQRT(3),IF(AF33="triangular",SQRT(6),IF(AF33="Prob. U",SQRT(2),"no definido"))))))</f>
        <v>1</v>
      </c>
      <c r="AH33" s="814" t="str">
        <f>CHOOSE('F-LSCD-012'!V37,AD33/AG33*AD19,AD33/AG33*AD19*1000,AD33/AG33*AD19*1000000,AD33/AG33*AD19*'Datos varios'!$E$119,AD33/AG33*AD19*'Datos varios'!$E$120,AD33/AG33*AD19*'Datos varios'!$E$121,AD33/AG33*AD19*'Datos varios'!$E$122,AD33/AG33*AD19*'Datos varios'!$E$123,"-",AD33/AG33*AD19*'F-LSCD-012'!R37,AD33/AG33*AD19*'F-LSCD-012'!R37)</f>
        <v>-</v>
      </c>
      <c r="AI33" s="835" t="e">
        <f t="shared" si="3"/>
        <v>#VALUE!</v>
      </c>
      <c r="AJ33" s="812" t="s">
        <v>325</v>
      </c>
      <c r="AK33" s="1654">
        <f>$C$211</f>
        <v>0.02</v>
      </c>
      <c r="AL33" s="804" t="s">
        <v>93</v>
      </c>
      <c r="AM33" s="804" t="s">
        <v>372</v>
      </c>
      <c r="AN33" s="805">
        <f>IF(AM33="normal (k=1)",1,IF(AM33="normal (k=2)",2,IF(AM33="normal (k=3)",3,IF(AM33="rectangular",SQRT(3),IF(AM33="triangular",SQRT(6),IF(AM33="Prob. U",SQRT(2),"no definido"))))))</f>
        <v>1</v>
      </c>
      <c r="AO33" s="814" t="str">
        <f>CHOOSE('F-LSCD-012'!V38,AK33/AN33*AK19,AK33/AN33*AK19*1000,AK33/AN33*AK19*1000000,AK33/AN33*AK19*'Datos varios'!$E$119,AK33/AN33*AK19*'Datos varios'!$E$120,AK33/AN33*AK19*'Datos varios'!$E$121,AK33/AN33*AK19*'Datos varios'!$E$122,AK33/AN33*AK19*'Datos varios'!$E$123,"-",AK33/AN33*AK19*'F-LSCD-012'!R38,AK33/AN33*AK19*'F-LSCD-012'!R38)</f>
        <v>-</v>
      </c>
      <c r="AP33" s="839" t="e">
        <f t="shared" si="4"/>
        <v>#VALUE!</v>
      </c>
      <c r="AQ33" s="1172" t="s">
        <v>325</v>
      </c>
      <c r="AR33" s="1655">
        <f>$C$211</f>
        <v>0.02</v>
      </c>
      <c r="AS33" s="804" t="s">
        <v>93</v>
      </c>
      <c r="AT33" s="804" t="s">
        <v>372</v>
      </c>
      <c r="AU33" s="805">
        <f>IF(AT33="normal (k=1)",1,IF(AT33="normal (k=2)",2,IF(AT33="normal (k=3)",3,IF(AT33="rectangular",SQRT(3),IF(AT33="triangular",SQRT(6),IF(AT33="Prob. U",SQRT(2),"no definido"))))))</f>
        <v>1</v>
      </c>
      <c r="AV33" s="814" t="str">
        <f>CHOOSE('F-LSCD-012'!V39,AR33/AU33*AR19,AR33/AU33*AR19*1000,AR33/AU33*AR19*1000000,AR33/AU33*AR19*'Datos varios'!$E$119,AR33/AU33*AR19*'Datos varios'!$E$120,AR33/AU33*AR19*'Datos varios'!$E$121,AR33/AU33*AR19*'Datos varios'!$E$122,AR33/AU33*AR19*'Datos varios'!$E$123,"-",AR33/AU33*AR19*'F-LSCD-012'!R39,AR33/AU33*AR19*'F-LSCD-012'!R39)</f>
        <v>-</v>
      </c>
      <c r="AW33" s="839" t="e">
        <f t="shared" si="5"/>
        <v>#VALUE!</v>
      </c>
      <c r="AX33" s="812" t="s">
        <v>325</v>
      </c>
      <c r="AY33" s="1654">
        <f>$C$211</f>
        <v>0.02</v>
      </c>
      <c r="AZ33" s="804" t="s">
        <v>93</v>
      </c>
      <c r="BA33" s="804" t="s">
        <v>372</v>
      </c>
      <c r="BB33" s="805">
        <f>IF(BA33="normal (k=1)",1,IF(BA33="normal (k=2)",2,IF(BA33="normal (k=3)",3,IF(BA33="rectangular",SQRT(3),IF(BA33="triangular",SQRT(6),IF(BA33="Prob. U",SQRT(2),"no definido"))))))</f>
        <v>1</v>
      </c>
      <c r="BC33" s="814" t="str">
        <f>CHOOSE('F-LSCD-012'!V40,AY33/BB33*AY19,AY33/BB33*AY19*1000,AY33/BB33*AY19*1000000,AY33/BB33*AY19*'Datos varios'!$E$119,AY33/BB33*AY19*'Datos varios'!$E$120,AY33/BB33*AY19*'Datos varios'!$E$121,AY33/BB33*AY19*'Datos varios'!$E$122,AY33/BB33*AY19*'Datos varios'!$E$123,"-",AY33/BB33*AY19*'F-LSCD-012'!R40,AY33/BB33*AY19*'F-LSCD-012'!R40)</f>
        <v>-</v>
      </c>
      <c r="BD33" s="839" t="e">
        <f t="shared" si="6"/>
        <v>#VALUE!</v>
      </c>
      <c r="BE33" s="1168" t="s">
        <v>325</v>
      </c>
      <c r="BF33" s="1655">
        <f>$C$211</f>
        <v>0.02</v>
      </c>
      <c r="BG33" s="804" t="s">
        <v>93</v>
      </c>
      <c r="BH33" s="804" t="s">
        <v>372</v>
      </c>
      <c r="BI33" s="805">
        <f>IF(BH33="normal (k=1)",1,IF(BH33="normal (k=2)",2,IF(BH33="normal (k=3)",3,IF(BH33="rectangular",SQRT(3),IF(BH33="triangular",SQRT(6),IF(BH33="Prob. U",SQRT(2),"no definido"))))))</f>
        <v>1</v>
      </c>
      <c r="BJ33" s="814" t="str">
        <f>CHOOSE('F-LSCD-012'!V41,BF33/BI33*BF19,BF33/BI33*BF19*1000,BF33/BI33*BF19*1000000,BF33/BI33*BF19*'Datos varios'!$E$119,BF33/BI33*BF19*'Datos varios'!$E$120,BF33/BI33*BF19*'Datos varios'!$E$121,BF33/BI33*BF19*'Datos varios'!$E$122,BF33/BI33*BF19*'Datos varios'!$E$123,"-",BF33/BI33*BF19*'F-LSCD-012'!R41,BF33/BI33*BF19*'F-LSCD-012'!R41)</f>
        <v>-</v>
      </c>
      <c r="BK33" s="839" t="e">
        <f t="shared" si="7"/>
        <v>#VALUE!</v>
      </c>
      <c r="BL33" s="830" t="s">
        <v>325</v>
      </c>
      <c r="BM33" s="1654">
        <f>$C$211</f>
        <v>0.02</v>
      </c>
      <c r="BN33" s="804" t="s">
        <v>93</v>
      </c>
      <c r="BO33" s="804" t="s">
        <v>372</v>
      </c>
      <c r="BP33" s="805">
        <f>IF(BO33="normal (k=1)",1,IF(BO33="normal (k=2)",2,IF(BO33="normal (k=3)",3,IF(BO33="rectangular",SQRT(3),IF(BO33="triangular",SQRT(6),IF(BO33="Prob. U",SQRT(2),"no definido"))))))</f>
        <v>1</v>
      </c>
      <c r="BQ33" s="814" t="str">
        <f>CHOOSE('F-LSCD-012'!V42,BM33/BP33*BM19,BM33/BP33*BM19*1000,BM33/BP33*BM19*1000000,BM33/BP33*BM19*'Datos varios'!$E$119,BM33/BP33*BM19*'Datos varios'!$E$120,BM33/BP33*BM19*'Datos varios'!$E$121,BM33/BP33*BM19*'Datos varios'!$E$122,BM33/BP33*BM19*'Datos varios'!$E$123,"-",BM33/BP33*BM19*'F-LSCD-012'!R42,BM33/BP33*BM19*'F-LSCD-012'!R42)</f>
        <v>-</v>
      </c>
      <c r="BR33" s="841" t="e">
        <f t="shared" si="8"/>
        <v>#VALUE!</v>
      </c>
      <c r="BS33" s="1172" t="s">
        <v>325</v>
      </c>
      <c r="BT33" s="1655">
        <f>$C$211</f>
        <v>0.02</v>
      </c>
      <c r="BU33" s="804" t="s">
        <v>93</v>
      </c>
      <c r="BV33" s="804" t="s">
        <v>372</v>
      </c>
      <c r="BW33" s="805">
        <f>IF(BV33="normal (k=1)",1,IF(BV33="normal (k=2)",2,IF(BV33="normal (k=3)",3,IF(BV33="rectangular",SQRT(3),IF(BV33="triangular",SQRT(6),IF(BV33="Prob. U",SQRT(2),"no definido"))))))</f>
        <v>1</v>
      </c>
      <c r="BX33" s="814" t="str">
        <f>CHOOSE('F-LSCD-012'!V43,BT33/BW33*BT19,BT33/BW33*BT19*1000,BT33/BW33*BT19*1000000,BT33/BW33*BT19*'Datos varios'!$E$119,BT33/BW33*BT19*'Datos varios'!$E$120,BT33/BW33*BT19*'Datos varios'!$E$121,BT33/BW33*BT19*'Datos varios'!$E$122,BT33/BW33*BT19*'Datos varios'!$E$123,"-",BT33/BW33*BT19*'F-LSCD-012'!R43,BT33/BW33*BT19*'F-LSCD-012'!R43)</f>
        <v>-</v>
      </c>
      <c r="BY33" s="841" t="e">
        <f t="shared" si="9"/>
        <v>#VALUE!</v>
      </c>
      <c r="BZ33" s="812" t="s">
        <v>325</v>
      </c>
      <c r="CA33" s="1654">
        <f>$C$211</f>
        <v>0.02</v>
      </c>
      <c r="CB33" s="804" t="s">
        <v>93</v>
      </c>
      <c r="CC33" s="804" t="s">
        <v>372</v>
      </c>
      <c r="CD33" s="805">
        <f>IF(CC33="normal (k=1)",1,IF(CC33="normal (k=2)",2,IF(CC33="normal (k=3)",3,IF(CC33="rectangular",SQRT(3),IF(CC33="triangular",SQRT(6),IF(CC33="Prob. U",SQRT(2),"no definido"))))))</f>
        <v>1</v>
      </c>
      <c r="CE33" s="814" t="str">
        <f>CHOOSE('F-LSCD-012'!V44,CA33/CD33*CA19,CA33/CD33*CA19*1000,CA33/CD33*CA19*1000000,CA33/CD33*CA19*'Datos varios'!$E$119,CA33/CD33*CA19*'Datos varios'!$E$120,CA33/CD33*CA19*'Datos varios'!$E$121,CA33/CD33*CA19*'Datos varios'!$E$122,CA33/CD33*CA19*'Datos varios'!$E$123,"-",CA33/CD33*CA19*'F-LSCD-012'!R44,CA33/CD33*CA19*'F-LSCD-012'!R44)</f>
        <v>-</v>
      </c>
      <c r="CF33" s="845" t="e">
        <f t="shared" si="10"/>
        <v>#VALUE!</v>
      </c>
      <c r="CG33" s="1172" t="s">
        <v>325</v>
      </c>
      <c r="CH33" s="1655">
        <f>$C$211</f>
        <v>0.02</v>
      </c>
      <c r="CI33" s="804" t="s">
        <v>93</v>
      </c>
      <c r="CJ33" s="804" t="s">
        <v>372</v>
      </c>
      <c r="CK33" s="805">
        <f>IF(CJ33="normal (k=1)",1,IF(CJ33="normal (k=2)",2,IF(CJ33="normal (k=3)",3,IF(CJ33="rectangular",SQRT(3),IF(CJ33="triangular",SQRT(6),IF(CJ33="Prob. U",SQRT(2),"no definido"))))))</f>
        <v>1</v>
      </c>
      <c r="CL33" s="814" t="str">
        <f>CHOOSE('F-LSCD-012'!V45,CH33/CK33*CH19,CH33/CK33*CH19*1000,CH33/CK33*CH19*1000000,CH33/CK33*CH19*'Datos varios'!$E$119,CH33/CK33*CH19*'Datos varios'!$E$120,CH33/CK33*CH19*'Datos varios'!$E$121,CH33/CK33*CH19*'Datos varios'!$E$122,CH33/CK33*CH19*'Datos varios'!$E$123,"-",CH33/CK33*CH19*'F-LSCD-012'!R45,CH33/CK33*CH19*'F-LSCD-012'!R45)</f>
        <v>-</v>
      </c>
      <c r="CM33" s="845" t="e">
        <f t="shared" si="11"/>
        <v>#VALUE!</v>
      </c>
      <c r="CN33" s="812" t="s">
        <v>325</v>
      </c>
      <c r="CO33" s="1654">
        <f>$C$211</f>
        <v>0.02</v>
      </c>
      <c r="CP33" s="804" t="s">
        <v>93</v>
      </c>
      <c r="CQ33" s="804" t="s">
        <v>372</v>
      </c>
      <c r="CR33" s="805">
        <f>IF(CQ33="normal (k=1)",1,IF(CQ33="normal (k=2)",2,IF(CQ33="normal (k=3)",3,IF(CQ33="rectangular",SQRT(3),IF(CQ33="triangular",SQRT(6),IF(CQ33="Prob. U",SQRT(2),"no definido"))))))</f>
        <v>1</v>
      </c>
      <c r="CS33" s="814" t="str">
        <f>CHOOSE('F-LSCD-012'!V46,CO33/CR33*CO19,CO33/CR33*CO19*1000,CO33/CR33*CO19*1000000,CO33/CR33*CO19*'Datos varios'!$E$119,CO33/CR33*CO19*'Datos varios'!$E$120,CO33/CR33*CO19*'Datos varios'!$E$121,CO33/CR33*CO19*'Datos varios'!$E$122,CO33/CR33*CO19*'Datos varios'!$E$123,"-",CO33/CR33*CO19*'F-LSCD-012'!R46,CO33/CR33*CO19*'F-LSCD-012'!R46)</f>
        <v>-</v>
      </c>
      <c r="CT33" s="845" t="e">
        <f t="shared" si="13"/>
        <v>#VALUE!</v>
      </c>
      <c r="CU33" s="1172" t="s">
        <v>325</v>
      </c>
      <c r="CV33" s="1655">
        <f>$C$211</f>
        <v>0.02</v>
      </c>
      <c r="CW33" s="804" t="s">
        <v>93</v>
      </c>
      <c r="CX33" s="804" t="s">
        <v>372</v>
      </c>
      <c r="CY33" s="805">
        <f>IF(CX33="normal (k=1)",1,IF(CX33="normal (k=2)",2,IF(CX33="normal (k=3)",3,IF(CX33="rectangular",SQRT(3),IF(CX33="triangular",SQRT(6),IF(CX33="Prob. U",SQRT(2),"no definido"))))))</f>
        <v>1</v>
      </c>
      <c r="CZ33" s="814" t="str">
        <f>CHOOSE('F-LSCD-012'!V47,CV33/CY33*CV19,CV33/CY33*CV19*1000,CV33/CY33*CV19*1000000,CV33/CY33*CV19*'Datos varios'!$E$119,CV33/CY33*CV19*'Datos varios'!$E$120,CV33/CY33*CV19*'Datos varios'!$E$121,CV33/CY33*CV19*'Datos varios'!$E$122,CV33/CY33*CV19*'Datos varios'!$E$123,"-",CV33/CY33*CV19*'F-LSCD-012'!R47,CV33/CY33*CV19*'F-LSCD-012'!R47)</f>
        <v>-</v>
      </c>
      <c r="DA33" s="845" t="e">
        <f t="shared" si="14"/>
        <v>#VALUE!</v>
      </c>
      <c r="DB33" s="812" t="s">
        <v>325</v>
      </c>
      <c r="DC33" s="1654">
        <f>$C$211</f>
        <v>0.02</v>
      </c>
      <c r="DD33" s="804" t="s">
        <v>93</v>
      </c>
      <c r="DE33" s="804" t="s">
        <v>372</v>
      </c>
      <c r="DF33" s="805">
        <f>IF(DE33="normal (k=1)",1,IF(DE33="normal (k=2)",2,IF(DE33="normal (k=3)",3,IF(DE33="rectangular",SQRT(3),IF(DE33="triangular",SQRT(6),IF(DE33="Prob. U",SQRT(2),"no definido"))))))</f>
        <v>1</v>
      </c>
      <c r="DG33" s="814" t="str">
        <f>CHOOSE('F-LSCD-012'!V48,DC33/DF33*DC19,DC33/DF33*DC19*1000,DC33/DF33*DC19*1000000,DC33/DF33*DC19*'Datos varios'!$E$119,DC33/DF33*DC19*'Datos varios'!$E$120,DC33/DF33*DC19*'Datos varios'!$E$121,DC33/DF33*DC19*'Datos varios'!$E$122,DC33/DF33*DC19*'Datos varios'!$E$123,"-",DC33/DF33*DC19*'F-LSCD-012'!R48,DC33/DF33*DC19*'F-LSCD-012'!R48)</f>
        <v>-</v>
      </c>
      <c r="DH33" s="839" t="e">
        <f t="shared" si="15"/>
        <v>#VALUE!</v>
      </c>
      <c r="DI33" s="1172" t="s">
        <v>325</v>
      </c>
      <c r="DJ33" s="1655">
        <f>$C$211</f>
        <v>0.02</v>
      </c>
      <c r="DK33" s="804" t="s">
        <v>93</v>
      </c>
      <c r="DL33" s="804" t="s">
        <v>372</v>
      </c>
      <c r="DM33" s="805">
        <f>IF(DL33="normal (k=1)",1,IF(DL33="normal (k=2)",2,IF(DL33="normal (k=3)",3,IF(DL33="rectangular",SQRT(3),IF(DL33="triangular",SQRT(6),IF(DL33="Prob. U",SQRT(2),"no definido"))))))</f>
        <v>1</v>
      </c>
      <c r="DN33" s="814" t="str">
        <f>CHOOSE('F-LSCD-012'!V49,DJ33/DM33*DJ19,DJ33/DM33*DJ19*1000,DJ33/DM33*DJ19*1000000,DJ33/DM33*DJ19*'Datos varios'!$E$119,DJ33/DM33*DJ19*'Datos varios'!$E$120,DJ33/DM33*DJ19*'Datos varios'!$E$121,DJ33/DM33*DJ19*'Datos varios'!$E$122,DJ33/DM33*DJ19*'Datos varios'!$E$123,"-",DJ33/DM33*DJ19*'F-LSCD-012'!R49,DJ33/DM33*DJ19*'F-LSCD-012'!R49)</f>
        <v>-</v>
      </c>
      <c r="DO33" s="839" t="e">
        <f t="shared" si="16"/>
        <v>#VALUE!</v>
      </c>
      <c r="DP33" s="812" t="s">
        <v>325</v>
      </c>
      <c r="DQ33" s="1654">
        <f>$C$211</f>
        <v>0.02</v>
      </c>
      <c r="DR33" s="804" t="s">
        <v>93</v>
      </c>
      <c r="DS33" s="804" t="s">
        <v>372</v>
      </c>
      <c r="DT33" s="805">
        <f>IF(DS33="normal (k=1)",1,IF(DS33="normal (k=2)",2,IF(DS33="normal (k=3)",3,IF(DS33="rectangular",SQRT(3),IF(DS33="triangular",SQRT(6),IF(DS33="Prob. U",SQRT(2),"no definido"))))))</f>
        <v>1</v>
      </c>
      <c r="DU33" s="814" t="str">
        <f>CHOOSE('F-LSCD-012'!V50,DQ33/DT33*DQ19,DQ33/DT33*DQ19*1000,DQ33/DT33*DQ19*1000000,DQ33/DT33*DQ19*'Datos varios'!$E$119,DQ33/DT33*DQ19*'Datos varios'!$E$120,DQ33/DT33*DQ19*'Datos varios'!$E$121,DQ33/DT33*DQ19*'Datos varios'!$E$122,DQ33/DT33*DQ19*'Datos varios'!$E$123,"-",DQ33/DT33*DQ19*'F-LSCD-012'!R50,DQ33/DT33*DQ19*'F-LSCD-012'!R50)</f>
        <v>-</v>
      </c>
      <c r="DV33" s="839" t="e">
        <f t="shared" si="17"/>
        <v>#VALUE!</v>
      </c>
      <c r="DW33" s="1172" t="s">
        <v>325</v>
      </c>
      <c r="DX33" s="1655">
        <f>$C$211</f>
        <v>0.02</v>
      </c>
      <c r="DY33" s="804" t="s">
        <v>93</v>
      </c>
      <c r="DZ33" s="804" t="s">
        <v>372</v>
      </c>
      <c r="EA33" s="805">
        <f>IF(DZ33="normal (k=1)",1,IF(DZ33="normal (k=2)",2,IF(DZ33="normal (k=3)",3,IF(DZ33="rectangular",SQRT(3),IF(DZ33="triangular",SQRT(6),IF(DZ33="Prob. U",SQRT(2),"no definido"))))))</f>
        <v>1</v>
      </c>
      <c r="EB33" s="814" t="str">
        <f>CHOOSE('F-LSCD-012'!V51,DX33/EA33*DX19,DX33/EA33*DX19*1000,DX33/EA33*DX19*1000000,DX33/EA33*DX19*'Datos varios'!$E$119,DX33/EA33*DX19*'Datos varios'!$E$120,DX33/EA33*DX19*'Datos varios'!$E$121,DX33/EA33*DX19*'Datos varios'!$E$122,DX33/EA33*DX19*'Datos varios'!$E$123,"-",DX33/EA33*DX19*'F-LSCD-012'!R51,DX33/EA33*DX19*'F-LSCD-012'!R51)</f>
        <v>-</v>
      </c>
      <c r="EC33" s="839" t="e">
        <f t="shared" si="18"/>
        <v>#VALUE!</v>
      </c>
      <c r="ED33" s="812" t="s">
        <v>325</v>
      </c>
      <c r="EE33" s="1654">
        <f>$C$211</f>
        <v>0.02</v>
      </c>
      <c r="EF33" s="804" t="s">
        <v>93</v>
      </c>
      <c r="EG33" s="804" t="s">
        <v>372</v>
      </c>
      <c r="EH33" s="805">
        <f>IF(EG33="normal (k=1)",1,IF(EG33="normal (k=2)",2,IF(EG33="normal (k=3)",3,IF(EG33="rectangular",SQRT(3),IF(EG33="triangular",SQRT(6),IF(EG33="Prob. U",SQRT(2),"no definido"))))))</f>
        <v>1</v>
      </c>
      <c r="EI33" s="814" t="str">
        <f>CHOOSE('F-LSCD-012'!V52,EE33/EH33*EE19,EE33/EH33*EE19*1000,EE33/EH33*EE19*1000000,EE33/EH33*EE19*'Datos varios'!$E$119,EE33/EH33*EE19*'Datos varios'!$E$120,EE33/EH33*EE19*'Datos varios'!$E$121,EE33/EH33*EE19*'Datos varios'!$E$122,EE33/EH33*EE19*'Datos varios'!$E$123,"-",EE33/EH33*EE19*'F-LSCD-012'!R52,EE33/EH33*EE19*'F-LSCD-012'!R52)</f>
        <v>-</v>
      </c>
      <c r="EJ33" s="839" t="e">
        <f t="shared" si="19"/>
        <v>#VALUE!</v>
      </c>
      <c r="EK33" s="1172" t="s">
        <v>325</v>
      </c>
      <c r="EL33" s="1655">
        <f>$C$211</f>
        <v>0.02</v>
      </c>
      <c r="EM33" s="804" t="s">
        <v>93</v>
      </c>
      <c r="EN33" s="804" t="s">
        <v>372</v>
      </c>
      <c r="EO33" s="805">
        <f>IF(EN33="normal (k=1)",1,IF(EN33="normal (k=2)",2,IF(EN33="normal (k=3)",3,IF(EN33="rectangular",SQRT(3),IF(EN33="triangular",SQRT(6),IF(EN33="Prob. U",SQRT(2),"no definido"))))))</f>
        <v>1</v>
      </c>
      <c r="EP33" s="814" t="str">
        <f>CHOOSE('F-LSCD-012'!V53,EL33/EO33*EL19,EL33/EO33*EL19*1000,EL33/EO33*EL19*1000000,EL33/EO33*EL19*'Datos varios'!$E$119,EL33/EO33*EL19*'Datos varios'!$E$120,EL33/EO33*EL19*'Datos varios'!$E$121,EL33/EO33*EL19*'Datos varios'!$E$122,EL33/EO33*EL19*'Datos varios'!$E$123,"-",EL33/EO33*EL19*'F-LSCD-012'!R53,EL33/EO33*EL19*'F-LSCD-012'!R53)</f>
        <v>-</v>
      </c>
      <c r="EQ33" s="839" t="e">
        <f t="shared" si="20"/>
        <v>#VALUE!</v>
      </c>
      <c r="ER33" s="812" t="s">
        <v>325</v>
      </c>
      <c r="ES33" s="1654">
        <f>$C$211</f>
        <v>0.02</v>
      </c>
      <c r="ET33" s="804" t="s">
        <v>93</v>
      </c>
      <c r="EU33" s="804" t="s">
        <v>372</v>
      </c>
      <c r="EV33" s="805">
        <f>IF(EU33="normal (k=1)",1,IF(EU33="normal (k=2)",2,IF(EU33="normal (k=3)",3,IF(EU33="rectangular",SQRT(3),IF(EU33="triangular",SQRT(6),IF(EU33="Prob. U",SQRT(2),"no definido"))))))</f>
        <v>1</v>
      </c>
      <c r="EW33" s="814" t="str">
        <f>CHOOSE('F-LSCD-012'!V54,ES33/EV33*ES19,ES33/EV33*ES19*1000,ES33/EV33*ES19*1000000,ES33/EV33*ES19*'Datos varios'!$E$119,ES33/EV33*ES19*'Datos varios'!$E$120,ES33/EV33*ES19*'Datos varios'!$E$121,ES33/EV33*ES19*'Datos varios'!$E$122,ES33/EV33*ES19*'Datos varios'!$E$123,"-",ES33/EV33*ES19*'F-LSCD-012'!R54,ES33/EV33*ES19*'F-LSCD-012'!R54)</f>
        <v>-</v>
      </c>
      <c r="EX33" s="839" t="e">
        <f t="shared" si="21"/>
        <v>#VALUE!</v>
      </c>
      <c r="EY33" s="1172" t="s">
        <v>325</v>
      </c>
      <c r="EZ33" s="1655">
        <f>$C$211</f>
        <v>0.02</v>
      </c>
      <c r="FA33" s="804" t="s">
        <v>93</v>
      </c>
      <c r="FB33" s="804" t="s">
        <v>372</v>
      </c>
      <c r="FC33" s="805">
        <f>IF(FB33="normal (k=1)",1,IF(FB33="normal (k=2)",2,IF(FB33="normal (k=3)",3,IF(FB33="rectangular",SQRT(3),IF(FB33="triangular",SQRT(6),IF(FB33="Prob. U",SQRT(2),"no definido"))))))</f>
        <v>1</v>
      </c>
      <c r="FD33" s="814" t="str">
        <f>CHOOSE('F-LSCD-012'!V55,EZ33/FC33*EZ19,EZ33/FC33*EZ19*1000,EZ33/FC33*EZ19*1000000,EZ33/FC33*EZ19*'Datos varios'!$E$119,EZ33/FC33*EZ19*'Datos varios'!$E$120,EZ33/FC33*EZ19*'Datos varios'!$E$121,EZ33/FC33*EZ19*'Datos varios'!$E$122,EZ33/FC33*EZ19*'Datos varios'!$E$123,"-",EZ33/FC33*EZ19*'F-LSCD-012'!R55,EZ33/FC33*EZ19*'F-LSCD-012'!R55)</f>
        <v>-</v>
      </c>
      <c r="FE33" s="839" t="e">
        <f t="shared" si="22"/>
        <v>#VALUE!</v>
      </c>
      <c r="FF33" s="812" t="s">
        <v>325</v>
      </c>
      <c r="FG33" s="1654">
        <f>$C$211</f>
        <v>0.02</v>
      </c>
      <c r="FH33" s="804" t="s">
        <v>93</v>
      </c>
      <c r="FI33" s="804" t="s">
        <v>372</v>
      </c>
      <c r="FJ33" s="805">
        <f>IF(FI33="normal (k=1)",1,IF(FI33="normal (k=2)",2,IF(FI33="normal (k=3)",3,IF(FI33="rectangular",SQRT(3),IF(FI33="triangular",SQRT(6),IF(FI33="Prob. U",SQRT(2),"no definido"))))))</f>
        <v>1</v>
      </c>
      <c r="FK33" s="814" t="str">
        <f>CHOOSE('F-LSCD-012'!V56,FG33/FJ33*FG19,FG33/FJ33*FG19*1000,FG33/FJ33*FG19*1000000,FG33/FJ33*FG19*'Datos varios'!$E$119,FG33/FJ33*FG19*'Datos varios'!$E$120,FG33/FJ33*FG19*'Datos varios'!$E$121,FG33/FJ33*FG19*'Datos varios'!$E$122,FG33/FJ33*FG19*'Datos varios'!$E$123,"-",FG33/FJ33*FG19*'F-LSCD-012'!R56,FG33/FJ33*FG19*'F-LSCD-012'!R56)</f>
        <v>-</v>
      </c>
      <c r="FL33" s="839" t="e">
        <f t="shared" si="23"/>
        <v>#VALUE!</v>
      </c>
      <c r="FM33" s="1172" t="s">
        <v>325</v>
      </c>
      <c r="FN33" s="1655">
        <f>$C$211</f>
        <v>0.02</v>
      </c>
      <c r="FO33" s="804" t="s">
        <v>93</v>
      </c>
      <c r="FP33" s="804" t="s">
        <v>372</v>
      </c>
      <c r="FQ33" s="805">
        <f>IF(FP33="normal (k=1)",1,IF(FP33="normal (k=2)",2,IF(FP33="normal (k=3)",3,IF(FP33="rectangular",SQRT(3),IF(FP33="triangular",SQRT(6),IF(FP33="Prob. U",SQRT(2),"no definido"))))))</f>
        <v>1</v>
      </c>
      <c r="FR33" s="814" t="str">
        <f>CHOOSE('F-LSCD-012'!V57,FN33/FQ33*FN19,FN33/FQ33*FN19*1000,FN33/FQ33*FN19*1000000,FN33/FQ33*FN19*'Datos varios'!$E$119,FN33/FQ33*FN19*'Datos varios'!$E$120,FN33/FQ33*FN19*'Datos varios'!$E$121,FN33/FQ33*FN19*'Datos varios'!$E$122,FN33/FQ33*FN19*'Datos varios'!$E$123,"-",FN33/FQ33*FN19*'F-LSCD-012'!R57,FN33/FQ33*FN19*'F-LSCD-012'!R57)</f>
        <v>-</v>
      </c>
      <c r="FS33" s="839" t="e">
        <f t="shared" si="25"/>
        <v>#VALUE!</v>
      </c>
      <c r="FT33" s="812" t="s">
        <v>325</v>
      </c>
    </row>
    <row r="34" spans="1:176" ht="18.75" thickBot="1" x14ac:dyDescent="0.3">
      <c r="A34" s="1658">
        <v>10</v>
      </c>
      <c r="B34" s="2582" t="s">
        <v>1100</v>
      </c>
      <c r="C34" s="2583"/>
      <c r="D34" s="2583"/>
      <c r="E34" s="2583"/>
      <c r="F34" s="2584"/>
      <c r="G34" s="1659" t="s">
        <v>1101</v>
      </c>
      <c r="H34" s="1660" t="s">
        <v>451</v>
      </c>
      <c r="I34" s="1661">
        <f>$C$244</f>
        <v>1.82995E-5</v>
      </c>
      <c r="J34" s="1662" t="s">
        <v>325</v>
      </c>
      <c r="K34" s="1662" t="s">
        <v>372</v>
      </c>
      <c r="L34" s="1663">
        <f>IF(K34="normal (k=1)",1,IF(K34="normal (k=2)",2,IF(K34="normal (k=3)",3,IF(K34="rectangular",SQRT(3),IF(K34="triangular",SQRT(6),IF(K34="Prob. U",SQRT(2),"no definido"))))))</f>
        <v>1</v>
      </c>
      <c r="M34" s="1664">
        <f>I34/L34</f>
        <v>1.82995E-5</v>
      </c>
      <c r="N34" s="834">
        <f t="shared" ref="N34" si="48">M34^2/$M$35^2</f>
        <v>1.114098641620367E-15</v>
      </c>
      <c r="O34" s="1665" t="s">
        <v>325</v>
      </c>
      <c r="P34" s="1667">
        <f>$C$244</f>
        <v>1.82995E-5</v>
      </c>
      <c r="Q34" s="1662" t="s">
        <v>325</v>
      </c>
      <c r="R34" s="1662" t="s">
        <v>372</v>
      </c>
      <c r="S34" s="1663">
        <f>IF(R34="normal (k=1)",1,IF(R34="normal (k=2)",2,IF(R34="normal (k=3)",3,IF(R34="rectangular",SQRT(3),IF(R34="triangular",SQRT(6),IF(R34="Prob. U",SQRT(2),"no definido"))))))</f>
        <v>1</v>
      </c>
      <c r="T34" s="1664">
        <f>P34/S34</f>
        <v>1.82995E-5</v>
      </c>
      <c r="U34" s="834" t="e">
        <f>T34^2/T35^2</f>
        <v>#VALUE!</v>
      </c>
      <c r="V34" s="1665" t="s">
        <v>325</v>
      </c>
      <c r="W34" s="1661">
        <f>$C$244</f>
        <v>1.82995E-5</v>
      </c>
      <c r="X34" s="1662" t="s">
        <v>325</v>
      </c>
      <c r="Y34" s="1662" t="s">
        <v>372</v>
      </c>
      <c r="Z34" s="1663">
        <f>IF(Y34="normal (k=1)",1,IF(Y34="normal (k=2)",2,IF(Y34="normal (k=3)",3,IF(Y34="rectangular",SQRT(3),IF(Y34="triangular",SQRT(6),IF(Y34="Prob. U",SQRT(2),"no definido"))))))</f>
        <v>1</v>
      </c>
      <c r="AA34" s="1664">
        <f>W34/Z34</f>
        <v>1.82995E-5</v>
      </c>
      <c r="AB34" s="834" t="e">
        <f>AA34^2/AA35^2</f>
        <v>#VALUE!</v>
      </c>
      <c r="AC34" s="1665" t="s">
        <v>325</v>
      </c>
      <c r="AD34" s="1667">
        <f>$C$244</f>
        <v>1.82995E-5</v>
      </c>
      <c r="AE34" s="1662" t="s">
        <v>325</v>
      </c>
      <c r="AF34" s="1662" t="s">
        <v>372</v>
      </c>
      <c r="AG34" s="1663">
        <f>IF(AF34="normal (k=1)",1,IF(AF34="normal (k=2)",2,IF(AF34="normal (k=3)",3,IF(AF34="rectangular",SQRT(3),IF(AF34="triangular",SQRT(6),IF(AF34="Prob. U",SQRT(2),"no definido"))))))</f>
        <v>1</v>
      </c>
      <c r="AH34" s="1664">
        <f>AD34/AG34</f>
        <v>1.82995E-5</v>
      </c>
      <c r="AI34" s="834" t="e">
        <f>AH34^2/AH35^2</f>
        <v>#VALUE!</v>
      </c>
      <c r="AJ34" s="1665" t="s">
        <v>325</v>
      </c>
      <c r="AK34" s="1661">
        <f>$C$244</f>
        <v>1.82995E-5</v>
      </c>
      <c r="AL34" s="1662" t="s">
        <v>325</v>
      </c>
      <c r="AM34" s="1662" t="s">
        <v>372</v>
      </c>
      <c r="AN34" s="1663">
        <f>IF(AM34="normal (k=1)",1,IF(AM34="normal (k=2)",2,IF(AM34="normal (k=3)",3,IF(AM34="rectangular",SQRT(3),IF(AM34="triangular",SQRT(6),IF(AM34="Prob. U",SQRT(2),"no definido"))))))</f>
        <v>1</v>
      </c>
      <c r="AO34" s="1664">
        <f>AK34/AN34</f>
        <v>1.82995E-5</v>
      </c>
      <c r="AP34" s="834" t="e">
        <f>AO34^2/AO35^2</f>
        <v>#VALUE!</v>
      </c>
      <c r="AQ34" s="1665" t="s">
        <v>325</v>
      </c>
      <c r="AR34" s="1667">
        <f>$C$244</f>
        <v>1.82995E-5</v>
      </c>
      <c r="AS34" s="1662" t="s">
        <v>325</v>
      </c>
      <c r="AT34" s="1662" t="s">
        <v>372</v>
      </c>
      <c r="AU34" s="1663">
        <f>IF(AT34="normal (k=1)",1,IF(AT34="normal (k=2)",2,IF(AT34="normal (k=3)",3,IF(AT34="rectangular",SQRT(3),IF(AT34="triangular",SQRT(6),IF(AT34="Prob. U",SQRT(2),"no definido"))))))</f>
        <v>1</v>
      </c>
      <c r="AV34" s="1664">
        <f>AR34/AU34</f>
        <v>1.82995E-5</v>
      </c>
      <c r="AW34" s="834" t="e">
        <f>AV34^2/AV35^2</f>
        <v>#VALUE!</v>
      </c>
      <c r="AX34" s="1665" t="s">
        <v>325</v>
      </c>
      <c r="AY34" s="1661">
        <f>$C$244</f>
        <v>1.82995E-5</v>
      </c>
      <c r="AZ34" s="1662" t="s">
        <v>325</v>
      </c>
      <c r="BA34" s="1662" t="s">
        <v>372</v>
      </c>
      <c r="BB34" s="1663">
        <f>IF(BA34="normal (k=1)",1,IF(BA34="normal (k=2)",2,IF(BA34="normal (k=3)",3,IF(BA34="rectangular",SQRT(3),IF(BA34="triangular",SQRT(6),IF(BA34="Prob. U",SQRT(2),"no definido"))))))</f>
        <v>1</v>
      </c>
      <c r="BC34" s="1664">
        <f>AY34/BB34</f>
        <v>1.82995E-5</v>
      </c>
      <c r="BD34" s="834" t="e">
        <f>BC34^2/BC35^2</f>
        <v>#VALUE!</v>
      </c>
      <c r="BE34" s="1665" t="s">
        <v>325</v>
      </c>
      <c r="BF34" s="1667">
        <f>$C$244</f>
        <v>1.82995E-5</v>
      </c>
      <c r="BG34" s="1662" t="s">
        <v>325</v>
      </c>
      <c r="BH34" s="1662" t="s">
        <v>372</v>
      </c>
      <c r="BI34" s="1663">
        <f>IF(BH34="normal (k=1)",1,IF(BH34="normal (k=2)",2,IF(BH34="normal (k=3)",3,IF(BH34="rectangular",SQRT(3),IF(BH34="triangular",SQRT(6),IF(BH34="Prob. U",SQRT(2),"no definido"))))))</f>
        <v>1</v>
      </c>
      <c r="BJ34" s="1664">
        <f>BF34/BI34</f>
        <v>1.82995E-5</v>
      </c>
      <c r="BK34" s="834" t="e">
        <f>BJ34^2/BJ35^2</f>
        <v>#VALUE!</v>
      </c>
      <c r="BL34" s="1665" t="s">
        <v>325</v>
      </c>
      <c r="BM34" s="1661">
        <f>$C$244</f>
        <v>1.82995E-5</v>
      </c>
      <c r="BN34" s="1662" t="s">
        <v>325</v>
      </c>
      <c r="BO34" s="1662" t="s">
        <v>372</v>
      </c>
      <c r="BP34" s="1663">
        <f>IF(BO34="normal (k=1)",1,IF(BO34="normal (k=2)",2,IF(BO34="normal (k=3)",3,IF(BO34="rectangular",SQRT(3),IF(BO34="triangular",SQRT(6),IF(BO34="Prob. U",SQRT(2),"no definido"))))))</f>
        <v>1</v>
      </c>
      <c r="BQ34" s="1664">
        <f>BM34/BP34</f>
        <v>1.82995E-5</v>
      </c>
      <c r="BR34" s="834" t="e">
        <f>BQ34^2/BQ35^2</f>
        <v>#VALUE!</v>
      </c>
      <c r="BS34" s="1665" t="s">
        <v>325</v>
      </c>
      <c r="BT34" s="1667">
        <f>$C$244</f>
        <v>1.82995E-5</v>
      </c>
      <c r="BU34" s="1662" t="s">
        <v>325</v>
      </c>
      <c r="BV34" s="1662" t="s">
        <v>372</v>
      </c>
      <c r="BW34" s="1663">
        <f>IF(BV34="normal (k=1)",1,IF(BV34="normal (k=2)",2,IF(BV34="normal (k=3)",3,IF(BV34="rectangular",SQRT(3),IF(BV34="triangular",SQRT(6),IF(BV34="Prob. U",SQRT(2),"no definido"))))))</f>
        <v>1</v>
      </c>
      <c r="BX34" s="1664">
        <f>BT34/BW34</f>
        <v>1.82995E-5</v>
      </c>
      <c r="BY34" s="834" t="e">
        <f>BX34^2/BX35^2</f>
        <v>#VALUE!</v>
      </c>
      <c r="BZ34" s="1665" t="s">
        <v>325</v>
      </c>
      <c r="CA34" s="1661">
        <f>$C$244</f>
        <v>1.82995E-5</v>
      </c>
      <c r="CB34" s="1662" t="s">
        <v>325</v>
      </c>
      <c r="CC34" s="1662" t="s">
        <v>372</v>
      </c>
      <c r="CD34" s="1663">
        <f>IF(CC34="normal (k=1)",1,IF(CC34="normal (k=2)",2,IF(CC34="normal (k=3)",3,IF(CC34="rectangular",SQRT(3),IF(CC34="triangular",SQRT(6),IF(CC34="Prob. U",SQRT(2),"no definido"))))))</f>
        <v>1</v>
      </c>
      <c r="CE34" s="1664">
        <f>CA34/CD34</f>
        <v>1.82995E-5</v>
      </c>
      <c r="CF34" s="834" t="e">
        <f>CE34^2/CE35^2</f>
        <v>#VALUE!</v>
      </c>
      <c r="CG34" s="1665" t="s">
        <v>325</v>
      </c>
      <c r="CH34" s="1667">
        <f>$C$244</f>
        <v>1.82995E-5</v>
      </c>
      <c r="CI34" s="1662" t="s">
        <v>325</v>
      </c>
      <c r="CJ34" s="1662" t="s">
        <v>372</v>
      </c>
      <c r="CK34" s="1663">
        <f>IF(CJ34="normal (k=1)",1,IF(CJ34="normal (k=2)",2,IF(CJ34="normal (k=3)",3,IF(CJ34="rectangular",SQRT(3),IF(CJ34="triangular",SQRT(6),IF(CJ34="Prob. U",SQRT(2),"no definido"))))))</f>
        <v>1</v>
      </c>
      <c r="CL34" s="1664">
        <f>CH34/CK34</f>
        <v>1.82995E-5</v>
      </c>
      <c r="CM34" s="834" t="e">
        <f>CL34^2/CL35^2</f>
        <v>#VALUE!</v>
      </c>
      <c r="CN34" s="1665" t="s">
        <v>325</v>
      </c>
      <c r="CO34" s="1661">
        <f>$C$244</f>
        <v>1.82995E-5</v>
      </c>
      <c r="CP34" s="1662" t="s">
        <v>325</v>
      </c>
      <c r="CQ34" s="1662" t="s">
        <v>372</v>
      </c>
      <c r="CR34" s="1663">
        <f>IF(CQ34="normal (k=1)",1,IF(CQ34="normal (k=2)",2,IF(CQ34="normal (k=3)",3,IF(CQ34="rectangular",SQRT(3),IF(CQ34="triangular",SQRT(6),IF(CQ34="Prob. U",SQRT(2),"no definido"))))))</f>
        <v>1</v>
      </c>
      <c r="CS34" s="1664">
        <f>CO34/CR34</f>
        <v>1.82995E-5</v>
      </c>
      <c r="CT34" s="834" t="e">
        <f>CS34^2/CS35^2</f>
        <v>#VALUE!</v>
      </c>
      <c r="CU34" s="1665" t="s">
        <v>325</v>
      </c>
      <c r="CV34" s="1667">
        <f>$C$244</f>
        <v>1.82995E-5</v>
      </c>
      <c r="CW34" s="1662" t="s">
        <v>325</v>
      </c>
      <c r="CX34" s="1662" t="s">
        <v>372</v>
      </c>
      <c r="CY34" s="1663">
        <f>IF(CX34="normal (k=1)",1,IF(CX34="normal (k=2)",2,IF(CX34="normal (k=3)",3,IF(CX34="rectangular",SQRT(3),IF(CX34="triangular",SQRT(6),IF(CX34="Prob. U",SQRT(2),"no definido"))))))</f>
        <v>1</v>
      </c>
      <c r="CZ34" s="1664">
        <f>CV34/CY34</f>
        <v>1.82995E-5</v>
      </c>
      <c r="DA34" s="834" t="e">
        <f>CZ34^2/CZ35^2</f>
        <v>#VALUE!</v>
      </c>
      <c r="DB34" s="1665" t="s">
        <v>325</v>
      </c>
      <c r="DC34" s="1661">
        <f>$C$244</f>
        <v>1.82995E-5</v>
      </c>
      <c r="DD34" s="1662" t="s">
        <v>325</v>
      </c>
      <c r="DE34" s="1662" t="s">
        <v>372</v>
      </c>
      <c r="DF34" s="1663">
        <f>IF(DE34="normal (k=1)",1,IF(DE34="normal (k=2)",2,IF(DE34="normal (k=3)",3,IF(DE34="rectangular",SQRT(3),IF(DE34="triangular",SQRT(6),IF(DE34="Prob. U",SQRT(2),"no definido"))))))</f>
        <v>1</v>
      </c>
      <c r="DG34" s="1664">
        <f>DC34/DF34</f>
        <v>1.82995E-5</v>
      </c>
      <c r="DH34" s="834" t="e">
        <f>DG34^2/DG35^2</f>
        <v>#VALUE!</v>
      </c>
      <c r="DI34" s="1665" t="s">
        <v>325</v>
      </c>
      <c r="DJ34" s="1667">
        <f>$C$244</f>
        <v>1.82995E-5</v>
      </c>
      <c r="DK34" s="1662" t="s">
        <v>325</v>
      </c>
      <c r="DL34" s="1662" t="s">
        <v>372</v>
      </c>
      <c r="DM34" s="1663">
        <f>IF(DL34="normal (k=1)",1,IF(DL34="normal (k=2)",2,IF(DL34="normal (k=3)",3,IF(DL34="rectangular",SQRT(3),IF(DL34="triangular",SQRT(6),IF(DL34="Prob. U",SQRT(2),"no definido"))))))</f>
        <v>1</v>
      </c>
      <c r="DN34" s="1664">
        <f>DJ34/DM34</f>
        <v>1.82995E-5</v>
      </c>
      <c r="DO34" s="834" t="e">
        <f>DN34^2/DN35^2</f>
        <v>#VALUE!</v>
      </c>
      <c r="DP34" s="1665" t="s">
        <v>325</v>
      </c>
      <c r="DQ34" s="1661">
        <f>$C$244</f>
        <v>1.82995E-5</v>
      </c>
      <c r="DR34" s="1662" t="s">
        <v>325</v>
      </c>
      <c r="DS34" s="1662" t="s">
        <v>372</v>
      </c>
      <c r="DT34" s="1663">
        <f>IF(DS34="normal (k=1)",1,IF(DS34="normal (k=2)",2,IF(DS34="normal (k=3)",3,IF(DS34="rectangular",SQRT(3),IF(DS34="triangular",SQRT(6),IF(DS34="Prob. U",SQRT(2),"no definido"))))))</f>
        <v>1</v>
      </c>
      <c r="DU34" s="1664">
        <f>DQ34/DT34</f>
        <v>1.82995E-5</v>
      </c>
      <c r="DV34" s="834" t="e">
        <f>DU34^2/DU35^2</f>
        <v>#VALUE!</v>
      </c>
      <c r="DW34" s="1665" t="s">
        <v>325</v>
      </c>
      <c r="DX34" s="1667">
        <f>$C$244</f>
        <v>1.82995E-5</v>
      </c>
      <c r="DY34" s="1662" t="s">
        <v>325</v>
      </c>
      <c r="DZ34" s="1662" t="s">
        <v>372</v>
      </c>
      <c r="EA34" s="1663">
        <f>IF(DZ34="normal (k=1)",1,IF(DZ34="normal (k=2)",2,IF(DZ34="normal (k=3)",3,IF(DZ34="rectangular",SQRT(3),IF(DZ34="triangular",SQRT(6),IF(DZ34="Prob. U",SQRT(2),"no definido"))))))</f>
        <v>1</v>
      </c>
      <c r="EB34" s="1664">
        <f>DX34/EA34</f>
        <v>1.82995E-5</v>
      </c>
      <c r="EC34" s="834" t="e">
        <f>EB34^2/EB35^2</f>
        <v>#VALUE!</v>
      </c>
      <c r="ED34" s="1665" t="s">
        <v>325</v>
      </c>
      <c r="EE34" s="1661">
        <f>$C$244</f>
        <v>1.82995E-5</v>
      </c>
      <c r="EF34" s="1662" t="s">
        <v>325</v>
      </c>
      <c r="EG34" s="1662" t="s">
        <v>372</v>
      </c>
      <c r="EH34" s="1663">
        <f>IF(EG34="normal (k=1)",1,IF(EG34="normal (k=2)",2,IF(EG34="normal (k=3)",3,IF(EG34="rectangular",SQRT(3),IF(EG34="triangular",SQRT(6),IF(EG34="Prob. U",SQRT(2),"no definido"))))))</f>
        <v>1</v>
      </c>
      <c r="EI34" s="1664">
        <f>EE34/EH34</f>
        <v>1.82995E-5</v>
      </c>
      <c r="EJ34" s="834" t="e">
        <f>EI34^2/EI35^2</f>
        <v>#VALUE!</v>
      </c>
      <c r="EK34" s="1665" t="s">
        <v>325</v>
      </c>
      <c r="EL34" s="1667">
        <f>$C$244</f>
        <v>1.82995E-5</v>
      </c>
      <c r="EM34" s="1662" t="s">
        <v>325</v>
      </c>
      <c r="EN34" s="1662" t="s">
        <v>372</v>
      </c>
      <c r="EO34" s="1663">
        <f>IF(EN34="normal (k=1)",1,IF(EN34="normal (k=2)",2,IF(EN34="normal (k=3)",3,IF(EN34="rectangular",SQRT(3),IF(EN34="triangular",SQRT(6),IF(EN34="Prob. U",SQRT(2),"no definido"))))))</f>
        <v>1</v>
      </c>
      <c r="EP34" s="1664">
        <f>EL34/EO34</f>
        <v>1.82995E-5</v>
      </c>
      <c r="EQ34" s="834" t="e">
        <f>EP34^2/EP35^2</f>
        <v>#VALUE!</v>
      </c>
      <c r="ER34" s="1665" t="s">
        <v>325</v>
      </c>
      <c r="ES34" s="1661">
        <f>$C$244</f>
        <v>1.82995E-5</v>
      </c>
      <c r="ET34" s="1662" t="s">
        <v>325</v>
      </c>
      <c r="EU34" s="1662" t="s">
        <v>372</v>
      </c>
      <c r="EV34" s="1663">
        <f>IF(EU34="normal (k=1)",1,IF(EU34="normal (k=2)",2,IF(EU34="normal (k=3)",3,IF(EU34="rectangular",SQRT(3),IF(EU34="triangular",SQRT(6),IF(EU34="Prob. U",SQRT(2),"no definido"))))))</f>
        <v>1</v>
      </c>
      <c r="EW34" s="1664">
        <f>ES34/EV34</f>
        <v>1.82995E-5</v>
      </c>
      <c r="EX34" s="834" t="e">
        <f>EW34^2/EW35^2</f>
        <v>#VALUE!</v>
      </c>
      <c r="EY34" s="1665" t="s">
        <v>325</v>
      </c>
      <c r="EZ34" s="1667">
        <f>$C$244</f>
        <v>1.82995E-5</v>
      </c>
      <c r="FA34" s="1662" t="s">
        <v>325</v>
      </c>
      <c r="FB34" s="1662" t="s">
        <v>372</v>
      </c>
      <c r="FC34" s="1663">
        <f>IF(FB34="normal (k=1)",1,IF(FB34="normal (k=2)",2,IF(FB34="normal (k=3)",3,IF(FB34="rectangular",SQRT(3),IF(FB34="triangular",SQRT(6),IF(FB34="Prob. U",SQRT(2),"no definido"))))))</f>
        <v>1</v>
      </c>
      <c r="FD34" s="1664">
        <f>EZ34/FC34</f>
        <v>1.82995E-5</v>
      </c>
      <c r="FE34" s="834" t="e">
        <f>FD34^2/FD35^2</f>
        <v>#VALUE!</v>
      </c>
      <c r="FF34" s="1665" t="s">
        <v>325</v>
      </c>
      <c r="FG34" s="1661">
        <f>$C$244</f>
        <v>1.82995E-5</v>
      </c>
      <c r="FH34" s="1662" t="s">
        <v>325</v>
      </c>
      <c r="FI34" s="1662" t="s">
        <v>372</v>
      </c>
      <c r="FJ34" s="1663">
        <f>IF(FI34="normal (k=1)",1,IF(FI34="normal (k=2)",2,IF(FI34="normal (k=3)",3,IF(FI34="rectangular",SQRT(3),IF(FI34="triangular",SQRT(6),IF(FI34="Prob. U",SQRT(2),"no definido"))))))</f>
        <v>1</v>
      </c>
      <c r="FK34" s="1664">
        <f>FG34/FJ34</f>
        <v>1.82995E-5</v>
      </c>
      <c r="FL34" s="834" t="e">
        <f>FK34^2/FK35^2</f>
        <v>#VALUE!</v>
      </c>
      <c r="FM34" s="1665" t="s">
        <v>325</v>
      </c>
      <c r="FN34" s="1667">
        <f>$C$244</f>
        <v>1.82995E-5</v>
      </c>
      <c r="FO34" s="1662" t="s">
        <v>325</v>
      </c>
      <c r="FP34" s="1662" t="s">
        <v>372</v>
      </c>
      <c r="FQ34" s="1663">
        <f>IF(FP34="normal (k=1)",1,IF(FP34="normal (k=2)",2,IF(FP34="normal (k=3)",3,IF(FP34="rectangular",SQRT(3),IF(FP34="triangular",SQRT(6),IF(FP34="Prob. U",SQRT(2),"no definido"))))))</f>
        <v>1</v>
      </c>
      <c r="FR34" s="1664">
        <f>FN34/FQ34</f>
        <v>1.82995E-5</v>
      </c>
      <c r="FS34" s="834" t="e">
        <f>FR34^2/FR35^2</f>
        <v>#VALUE!</v>
      </c>
      <c r="FT34" s="1666" t="s">
        <v>325</v>
      </c>
    </row>
    <row r="35" spans="1:176" x14ac:dyDescent="0.25">
      <c r="A35" s="735"/>
      <c r="I35" s="2504" t="s">
        <v>543</v>
      </c>
      <c r="J35" s="2505"/>
      <c r="K35" s="2505"/>
      <c r="L35" s="2506"/>
      <c r="M35" s="798">
        <f>SQRT(SUMSQ(M25:M34))</f>
        <v>548.24843576413843</v>
      </c>
      <c r="N35" s="819"/>
      <c r="O35" s="819" t="s">
        <v>325</v>
      </c>
      <c r="P35" s="2507" t="s">
        <v>543</v>
      </c>
      <c r="Q35" s="2505"/>
      <c r="R35" s="2505"/>
      <c r="S35" s="2506"/>
      <c r="T35" s="798" t="e">
        <f>SQRT(SUMSQ(T25:T34))</f>
        <v>#VALUE!</v>
      </c>
      <c r="U35" s="819"/>
      <c r="V35" s="796" t="s">
        <v>325</v>
      </c>
      <c r="W35" s="2504" t="s">
        <v>543</v>
      </c>
      <c r="X35" s="2505"/>
      <c r="Y35" s="2505"/>
      <c r="Z35" s="2506"/>
      <c r="AA35" s="798" t="e">
        <f>SQRT(SUMSQ(AA25:AA34))</f>
        <v>#VALUE!</v>
      </c>
      <c r="AB35" s="819"/>
      <c r="AC35" s="819" t="s">
        <v>325</v>
      </c>
      <c r="AD35" s="2507" t="s">
        <v>543</v>
      </c>
      <c r="AE35" s="2505"/>
      <c r="AF35" s="2505"/>
      <c r="AG35" s="2506"/>
      <c r="AH35" s="798" t="e">
        <f>SQRT(SUMSQ(AH25:AH34))</f>
        <v>#VALUE!</v>
      </c>
      <c r="AI35" s="819"/>
      <c r="AJ35" s="796" t="s">
        <v>325</v>
      </c>
      <c r="AK35" s="2504" t="s">
        <v>543</v>
      </c>
      <c r="AL35" s="2505"/>
      <c r="AM35" s="2505"/>
      <c r="AN35" s="2506"/>
      <c r="AO35" s="798" t="e">
        <f>SQRT(SUMSQ(AO25:AO34))</f>
        <v>#VALUE!</v>
      </c>
      <c r="AP35" s="819"/>
      <c r="AQ35" s="819" t="s">
        <v>325</v>
      </c>
      <c r="AR35" s="2507" t="s">
        <v>543</v>
      </c>
      <c r="AS35" s="2505"/>
      <c r="AT35" s="2505"/>
      <c r="AU35" s="2506"/>
      <c r="AV35" s="798" t="e">
        <f>SQRT(SUMSQ(AV25:AV34))</f>
        <v>#VALUE!</v>
      </c>
      <c r="AW35" s="819"/>
      <c r="AX35" s="796" t="s">
        <v>325</v>
      </c>
      <c r="AY35" s="2504" t="s">
        <v>543</v>
      </c>
      <c r="AZ35" s="2505"/>
      <c r="BA35" s="2505"/>
      <c r="BB35" s="2506"/>
      <c r="BC35" s="798" t="e">
        <f>SQRT(SUMSQ(BC25:BC34))</f>
        <v>#VALUE!</v>
      </c>
      <c r="BD35" s="819"/>
      <c r="BE35" s="819" t="s">
        <v>325</v>
      </c>
      <c r="BF35" s="2507" t="s">
        <v>543</v>
      </c>
      <c r="BG35" s="2505"/>
      <c r="BH35" s="2505"/>
      <c r="BI35" s="2506"/>
      <c r="BJ35" s="798" t="e">
        <f>SQRT(SUMSQ(BJ25:BJ34))</f>
        <v>#VALUE!</v>
      </c>
      <c r="BK35" s="819"/>
      <c r="BL35" s="796" t="s">
        <v>325</v>
      </c>
      <c r="BM35" s="2504" t="s">
        <v>543</v>
      </c>
      <c r="BN35" s="2505"/>
      <c r="BO35" s="2505"/>
      <c r="BP35" s="2506"/>
      <c r="BQ35" s="798" t="e">
        <f>SQRT(SUMSQ(BQ25:BQ34))</f>
        <v>#VALUE!</v>
      </c>
      <c r="BR35" s="819"/>
      <c r="BS35" s="819" t="s">
        <v>325</v>
      </c>
      <c r="BT35" s="2507" t="s">
        <v>543</v>
      </c>
      <c r="BU35" s="2505"/>
      <c r="BV35" s="2505"/>
      <c r="BW35" s="2506"/>
      <c r="BX35" s="798" t="e">
        <f>SQRT(SUMSQ(BX25:BX34))</f>
        <v>#VALUE!</v>
      </c>
      <c r="BY35" s="819"/>
      <c r="BZ35" s="796" t="s">
        <v>325</v>
      </c>
      <c r="CA35" s="2504" t="s">
        <v>543</v>
      </c>
      <c r="CB35" s="2505"/>
      <c r="CC35" s="2505"/>
      <c r="CD35" s="2506"/>
      <c r="CE35" s="798" t="e">
        <f>SQRT(SUMSQ(CE25:CE34))</f>
        <v>#VALUE!</v>
      </c>
      <c r="CF35" s="819"/>
      <c r="CG35" s="819" t="s">
        <v>325</v>
      </c>
      <c r="CH35" s="2507" t="s">
        <v>543</v>
      </c>
      <c r="CI35" s="2505"/>
      <c r="CJ35" s="2505"/>
      <c r="CK35" s="2506"/>
      <c r="CL35" s="798" t="e">
        <f>SQRT(SUMSQ(CL25:CL34))</f>
        <v>#VALUE!</v>
      </c>
      <c r="CM35" s="819"/>
      <c r="CN35" s="796" t="s">
        <v>325</v>
      </c>
      <c r="CO35" s="2504" t="s">
        <v>543</v>
      </c>
      <c r="CP35" s="2505"/>
      <c r="CQ35" s="2505"/>
      <c r="CR35" s="2506"/>
      <c r="CS35" s="798" t="e">
        <f>SQRT(SUMSQ(CS25:CS34))</f>
        <v>#VALUE!</v>
      </c>
      <c r="CT35" s="819"/>
      <c r="CU35" s="819" t="s">
        <v>325</v>
      </c>
      <c r="CV35" s="2507" t="s">
        <v>543</v>
      </c>
      <c r="CW35" s="2505"/>
      <c r="CX35" s="2505"/>
      <c r="CY35" s="2506"/>
      <c r="CZ35" s="798" t="e">
        <f>SQRT(SUMSQ(CZ25:CZ34))</f>
        <v>#VALUE!</v>
      </c>
      <c r="DA35" s="819"/>
      <c r="DB35" s="796" t="s">
        <v>325</v>
      </c>
      <c r="DC35" s="2504" t="s">
        <v>543</v>
      </c>
      <c r="DD35" s="2505"/>
      <c r="DE35" s="2505"/>
      <c r="DF35" s="2506"/>
      <c r="DG35" s="798" t="e">
        <f>SQRT(SUMSQ(DG25:DG34))</f>
        <v>#VALUE!</v>
      </c>
      <c r="DH35" s="819"/>
      <c r="DI35" s="819" t="s">
        <v>325</v>
      </c>
      <c r="DJ35" s="2507" t="s">
        <v>543</v>
      </c>
      <c r="DK35" s="2505"/>
      <c r="DL35" s="2505"/>
      <c r="DM35" s="2506"/>
      <c r="DN35" s="798" t="e">
        <f>SQRT(SUMSQ(DN25:DN34))</f>
        <v>#VALUE!</v>
      </c>
      <c r="DO35" s="819"/>
      <c r="DP35" s="796" t="s">
        <v>325</v>
      </c>
      <c r="DQ35" s="2504" t="s">
        <v>543</v>
      </c>
      <c r="DR35" s="2505"/>
      <c r="DS35" s="2505"/>
      <c r="DT35" s="2506"/>
      <c r="DU35" s="798" t="e">
        <f>SQRT(SUMSQ(DU25:DU34))</f>
        <v>#VALUE!</v>
      </c>
      <c r="DV35" s="819"/>
      <c r="DW35" s="819" t="s">
        <v>325</v>
      </c>
      <c r="DX35" s="2507" t="s">
        <v>543</v>
      </c>
      <c r="DY35" s="2505"/>
      <c r="DZ35" s="2505"/>
      <c r="EA35" s="2506"/>
      <c r="EB35" s="798" t="e">
        <f>SQRT(SUMSQ(EB25:EB34))</f>
        <v>#VALUE!</v>
      </c>
      <c r="EC35" s="819"/>
      <c r="ED35" s="796" t="s">
        <v>325</v>
      </c>
      <c r="EE35" s="2504" t="s">
        <v>543</v>
      </c>
      <c r="EF35" s="2505"/>
      <c r="EG35" s="2505"/>
      <c r="EH35" s="2506"/>
      <c r="EI35" s="798" t="e">
        <f>SQRT(SUMSQ(EI25:EI34))</f>
        <v>#VALUE!</v>
      </c>
      <c r="EJ35" s="819"/>
      <c r="EK35" s="819" t="s">
        <v>325</v>
      </c>
      <c r="EL35" s="2507" t="s">
        <v>543</v>
      </c>
      <c r="EM35" s="2505"/>
      <c r="EN35" s="2505"/>
      <c r="EO35" s="2506"/>
      <c r="EP35" s="798" t="e">
        <f>SQRT(SUMSQ(EP25:EP34))</f>
        <v>#VALUE!</v>
      </c>
      <c r="EQ35" s="819"/>
      <c r="ER35" s="796" t="s">
        <v>325</v>
      </c>
      <c r="ES35" s="2504" t="s">
        <v>543</v>
      </c>
      <c r="ET35" s="2505"/>
      <c r="EU35" s="2505"/>
      <c r="EV35" s="2506"/>
      <c r="EW35" s="798" t="e">
        <f>SQRT(SUMSQ(EW25:EW34))</f>
        <v>#VALUE!</v>
      </c>
      <c r="EX35" s="819"/>
      <c r="EY35" s="819" t="s">
        <v>325</v>
      </c>
      <c r="EZ35" s="2507" t="s">
        <v>543</v>
      </c>
      <c r="FA35" s="2505"/>
      <c r="FB35" s="2505"/>
      <c r="FC35" s="2506"/>
      <c r="FD35" s="798" t="e">
        <f>SQRT(SUMSQ(FD25:FD34))</f>
        <v>#VALUE!</v>
      </c>
      <c r="FE35" s="819"/>
      <c r="FF35" s="796" t="s">
        <v>325</v>
      </c>
      <c r="FG35" s="2504" t="s">
        <v>543</v>
      </c>
      <c r="FH35" s="2505"/>
      <c r="FI35" s="2505"/>
      <c r="FJ35" s="2506"/>
      <c r="FK35" s="798" t="e">
        <f>SQRT(SUMSQ(FK25:FK34))</f>
        <v>#VALUE!</v>
      </c>
      <c r="FL35" s="819"/>
      <c r="FM35" s="819" t="s">
        <v>325</v>
      </c>
      <c r="FN35" s="2507" t="s">
        <v>543</v>
      </c>
      <c r="FO35" s="2505"/>
      <c r="FP35" s="2505"/>
      <c r="FQ35" s="2506"/>
      <c r="FR35" s="798" t="e">
        <f>SQRT(SUMSQ(FR25:FR34))</f>
        <v>#VALUE!</v>
      </c>
      <c r="FS35" s="819"/>
      <c r="FT35" s="796" t="s">
        <v>325</v>
      </c>
    </row>
    <row r="36" spans="1:176" x14ac:dyDescent="0.25">
      <c r="A36" s="735"/>
      <c r="H36" s="746"/>
      <c r="I36" s="2468" t="s">
        <v>544</v>
      </c>
      <c r="J36" s="2469"/>
      <c r="K36" s="2469"/>
      <c r="L36" s="2470"/>
      <c r="M36" s="786" t="s">
        <v>373</v>
      </c>
      <c r="N36" s="743"/>
      <c r="O36" s="743"/>
      <c r="P36" s="2471" t="s">
        <v>544</v>
      </c>
      <c r="Q36" s="2469"/>
      <c r="R36" s="2469"/>
      <c r="S36" s="2470"/>
      <c r="T36" s="786" t="s">
        <v>373</v>
      </c>
      <c r="U36" s="743"/>
      <c r="V36" s="782"/>
      <c r="W36" s="2468" t="s">
        <v>544</v>
      </c>
      <c r="X36" s="2469"/>
      <c r="Y36" s="2469"/>
      <c r="Z36" s="2470"/>
      <c r="AA36" s="786" t="s">
        <v>373</v>
      </c>
      <c r="AB36" s="743"/>
      <c r="AC36" s="743"/>
      <c r="AD36" s="2471" t="s">
        <v>544</v>
      </c>
      <c r="AE36" s="2469"/>
      <c r="AF36" s="2469"/>
      <c r="AG36" s="2470"/>
      <c r="AH36" s="786" t="s">
        <v>373</v>
      </c>
      <c r="AI36" s="743"/>
      <c r="AJ36" s="782"/>
      <c r="AK36" s="2468" t="s">
        <v>544</v>
      </c>
      <c r="AL36" s="2469"/>
      <c r="AM36" s="2469"/>
      <c r="AN36" s="2470"/>
      <c r="AO36" s="786" t="s">
        <v>373</v>
      </c>
      <c r="AP36" s="743"/>
      <c r="AQ36" s="743"/>
      <c r="AR36" s="2471" t="s">
        <v>544</v>
      </c>
      <c r="AS36" s="2469"/>
      <c r="AT36" s="2469"/>
      <c r="AU36" s="2470"/>
      <c r="AV36" s="786" t="s">
        <v>373</v>
      </c>
      <c r="AW36" s="743"/>
      <c r="AX36" s="782"/>
      <c r="AY36" s="2468" t="s">
        <v>544</v>
      </c>
      <c r="AZ36" s="2469"/>
      <c r="BA36" s="2469"/>
      <c r="BB36" s="2470"/>
      <c r="BC36" s="786" t="s">
        <v>373</v>
      </c>
      <c r="BD36" s="743"/>
      <c r="BE36" s="743"/>
      <c r="BF36" s="2471" t="s">
        <v>544</v>
      </c>
      <c r="BG36" s="2469"/>
      <c r="BH36" s="2469"/>
      <c r="BI36" s="2470"/>
      <c r="BJ36" s="786" t="s">
        <v>373</v>
      </c>
      <c r="BK36" s="743"/>
      <c r="BL36" s="782"/>
      <c r="BM36" s="2468" t="s">
        <v>544</v>
      </c>
      <c r="BN36" s="2469"/>
      <c r="BO36" s="2469"/>
      <c r="BP36" s="2470"/>
      <c r="BQ36" s="786" t="s">
        <v>373</v>
      </c>
      <c r="BR36" s="743"/>
      <c r="BS36" s="743"/>
      <c r="BT36" s="2471" t="s">
        <v>544</v>
      </c>
      <c r="BU36" s="2469"/>
      <c r="BV36" s="2469"/>
      <c r="BW36" s="2470"/>
      <c r="BX36" s="786" t="s">
        <v>373</v>
      </c>
      <c r="BY36" s="743"/>
      <c r="BZ36" s="782"/>
      <c r="CA36" s="2468" t="s">
        <v>544</v>
      </c>
      <c r="CB36" s="2469"/>
      <c r="CC36" s="2469"/>
      <c r="CD36" s="2470"/>
      <c r="CE36" s="786" t="s">
        <v>373</v>
      </c>
      <c r="CF36" s="743"/>
      <c r="CG36" s="743"/>
      <c r="CH36" s="2471" t="s">
        <v>544</v>
      </c>
      <c r="CI36" s="2469"/>
      <c r="CJ36" s="2469"/>
      <c r="CK36" s="2470"/>
      <c r="CL36" s="786" t="s">
        <v>373</v>
      </c>
      <c r="CM36" s="743"/>
      <c r="CN36" s="782"/>
      <c r="CO36" s="2468" t="s">
        <v>544</v>
      </c>
      <c r="CP36" s="2469"/>
      <c r="CQ36" s="2469"/>
      <c r="CR36" s="2470"/>
      <c r="CS36" s="786" t="s">
        <v>373</v>
      </c>
      <c r="CT36" s="743"/>
      <c r="CU36" s="743"/>
      <c r="CV36" s="2471" t="s">
        <v>544</v>
      </c>
      <c r="CW36" s="2469"/>
      <c r="CX36" s="2469"/>
      <c r="CY36" s="2470"/>
      <c r="CZ36" s="786" t="s">
        <v>373</v>
      </c>
      <c r="DA36" s="743"/>
      <c r="DB36" s="782"/>
      <c r="DC36" s="2468" t="s">
        <v>544</v>
      </c>
      <c r="DD36" s="2469"/>
      <c r="DE36" s="2469"/>
      <c r="DF36" s="2470"/>
      <c r="DG36" s="786" t="s">
        <v>373</v>
      </c>
      <c r="DH36" s="743"/>
      <c r="DI36" s="743"/>
      <c r="DJ36" s="2471" t="s">
        <v>544</v>
      </c>
      <c r="DK36" s="2469"/>
      <c r="DL36" s="2469"/>
      <c r="DM36" s="2470"/>
      <c r="DN36" s="786" t="s">
        <v>373</v>
      </c>
      <c r="DO36" s="743"/>
      <c r="DP36" s="782"/>
      <c r="DQ36" s="2468" t="s">
        <v>544</v>
      </c>
      <c r="DR36" s="2469"/>
      <c r="DS36" s="2469"/>
      <c r="DT36" s="2470"/>
      <c r="DU36" s="786" t="s">
        <v>373</v>
      </c>
      <c r="DV36" s="743"/>
      <c r="DW36" s="743"/>
      <c r="DX36" s="2471" t="s">
        <v>544</v>
      </c>
      <c r="DY36" s="2469"/>
      <c r="DZ36" s="2469"/>
      <c r="EA36" s="2470"/>
      <c r="EB36" s="786" t="s">
        <v>373</v>
      </c>
      <c r="EC36" s="743"/>
      <c r="ED36" s="782"/>
      <c r="EE36" s="2468" t="s">
        <v>544</v>
      </c>
      <c r="EF36" s="2469"/>
      <c r="EG36" s="2469"/>
      <c r="EH36" s="2470"/>
      <c r="EI36" s="786" t="s">
        <v>373</v>
      </c>
      <c r="EJ36" s="743"/>
      <c r="EK36" s="743"/>
      <c r="EL36" s="2471" t="s">
        <v>544</v>
      </c>
      <c r="EM36" s="2469"/>
      <c r="EN36" s="2469"/>
      <c r="EO36" s="2470"/>
      <c r="EP36" s="786" t="s">
        <v>373</v>
      </c>
      <c r="EQ36" s="743"/>
      <c r="ER36" s="782"/>
      <c r="ES36" s="2468" t="s">
        <v>544</v>
      </c>
      <c r="ET36" s="2469"/>
      <c r="EU36" s="2469"/>
      <c r="EV36" s="2470"/>
      <c r="EW36" s="786" t="s">
        <v>373</v>
      </c>
      <c r="EX36" s="743"/>
      <c r="EY36" s="743"/>
      <c r="EZ36" s="2471" t="s">
        <v>544</v>
      </c>
      <c r="FA36" s="2469"/>
      <c r="FB36" s="2469"/>
      <c r="FC36" s="2470"/>
      <c r="FD36" s="786" t="s">
        <v>373</v>
      </c>
      <c r="FE36" s="743"/>
      <c r="FF36" s="782"/>
      <c r="FG36" s="2468" t="s">
        <v>544</v>
      </c>
      <c r="FH36" s="2469"/>
      <c r="FI36" s="2469"/>
      <c r="FJ36" s="2470"/>
      <c r="FK36" s="786" t="s">
        <v>373</v>
      </c>
      <c r="FL36" s="743"/>
      <c r="FM36" s="743"/>
      <c r="FN36" s="2471" t="s">
        <v>544</v>
      </c>
      <c r="FO36" s="2469"/>
      <c r="FP36" s="2469"/>
      <c r="FQ36" s="2470"/>
      <c r="FR36" s="786" t="s">
        <v>373</v>
      </c>
      <c r="FS36" s="743"/>
      <c r="FT36" s="782"/>
    </row>
    <row r="37" spans="1:176" x14ac:dyDescent="0.25">
      <c r="A37" s="735"/>
      <c r="G37" s="1656"/>
      <c r="I37" s="2468" t="s">
        <v>561</v>
      </c>
      <c r="J37" s="2469"/>
      <c r="K37" s="2469"/>
      <c r="L37" s="2470"/>
      <c r="M37" s="787">
        <f>IF(M36="normal (k=1)",1,IF(M36="normal (k=2)",2,IF(M36="normal (k=3)",3,IF(M36="rectangular",SQRT(3),IF(M36="triangular",SQRT(6),IF(M36="Prob. U",SQRT(2),"no definido"))))))</f>
        <v>2</v>
      </c>
      <c r="N37" s="744"/>
      <c r="O37" s="743"/>
      <c r="P37" s="2471" t="s">
        <v>561</v>
      </c>
      <c r="Q37" s="2469"/>
      <c r="R37" s="2469"/>
      <c r="S37" s="2470"/>
      <c r="T37" s="787">
        <f>IF(T36="normal (k=1)",1,IF(T36="normal (k=2)",2,IF(T36="normal (k=3)",3,IF(T36="rectangular",SQRT(3),IF(T36="triangular",SQRT(6),IF(T36="Prob. U",SQRT(2),"no definido"))))))</f>
        <v>2</v>
      </c>
      <c r="U37" s="744"/>
      <c r="V37" s="782"/>
      <c r="W37" s="2468" t="s">
        <v>561</v>
      </c>
      <c r="X37" s="2469"/>
      <c r="Y37" s="2469"/>
      <c r="Z37" s="2470"/>
      <c r="AA37" s="787">
        <f>IF(AA36="normal (k=1)",1,IF(AA36="normal (k=2)",2,IF(AA36="normal (k=3)",3,IF(AA36="rectangular",SQRT(3),IF(AA36="triangular",SQRT(6),IF(AA36="Prob. U",SQRT(2),"no definido"))))))</f>
        <v>2</v>
      </c>
      <c r="AB37" s="744"/>
      <c r="AC37" s="743"/>
      <c r="AD37" s="2471" t="s">
        <v>561</v>
      </c>
      <c r="AE37" s="2469"/>
      <c r="AF37" s="2469"/>
      <c r="AG37" s="2470"/>
      <c r="AH37" s="787">
        <f>IF(AH36="normal (k=1)",1,IF(AH36="normal (k=2)",2,IF(AH36="normal (k=3)",3,IF(AH36="rectangular",SQRT(3),IF(AH36="triangular",SQRT(6),IF(AH36="Prob. U",SQRT(2),"no definido"))))))</f>
        <v>2</v>
      </c>
      <c r="AI37" s="744"/>
      <c r="AJ37" s="782"/>
      <c r="AK37" s="2468" t="s">
        <v>561</v>
      </c>
      <c r="AL37" s="2469"/>
      <c r="AM37" s="2469"/>
      <c r="AN37" s="2470"/>
      <c r="AO37" s="787">
        <f>IF(AO36="normal (k=1)",1,IF(AO36="normal (k=2)",2,IF(AO36="normal (k=3)",3,IF(AO36="rectangular",SQRT(3),IF(AO36="triangular",SQRT(6),IF(AO36="Prob. U",SQRT(2),"no definido"))))))</f>
        <v>2</v>
      </c>
      <c r="AP37" s="744"/>
      <c r="AQ37" s="743"/>
      <c r="AR37" s="2471" t="s">
        <v>561</v>
      </c>
      <c r="AS37" s="2469"/>
      <c r="AT37" s="2469"/>
      <c r="AU37" s="2470"/>
      <c r="AV37" s="787">
        <f>IF(AV36="normal (k=1)",1,IF(AV36="normal (k=2)",2,IF(AV36="normal (k=3)",3,IF(AV36="rectangular",SQRT(3),IF(AV36="triangular",SQRT(6),IF(AV36="Prob. U",SQRT(2),"no definido"))))))</f>
        <v>2</v>
      </c>
      <c r="AW37" s="744"/>
      <c r="AX37" s="782"/>
      <c r="AY37" s="2468" t="s">
        <v>561</v>
      </c>
      <c r="AZ37" s="2469"/>
      <c r="BA37" s="2469"/>
      <c r="BB37" s="2470"/>
      <c r="BC37" s="787">
        <f>IF(BC36="normal (k=1)",1,IF(BC36="normal (k=2)",2,IF(BC36="normal (k=3)",3,IF(BC36="rectangular",SQRT(3),IF(BC36="triangular",SQRT(6),IF(BC36="Prob. U",SQRT(2),"no definido"))))))</f>
        <v>2</v>
      </c>
      <c r="BD37" s="744"/>
      <c r="BE37" s="743"/>
      <c r="BF37" s="2471" t="s">
        <v>561</v>
      </c>
      <c r="BG37" s="2469"/>
      <c r="BH37" s="2469"/>
      <c r="BI37" s="2470"/>
      <c r="BJ37" s="787">
        <f>IF(BJ36="normal (k=1)",1,IF(BJ36="normal (k=2)",2,IF(BJ36="normal (k=3)",3,IF(BJ36="rectangular",SQRT(3),IF(BJ36="triangular",SQRT(6),IF(BJ36="Prob. U",SQRT(2),"no definido"))))))</f>
        <v>2</v>
      </c>
      <c r="BK37" s="744"/>
      <c r="BL37" s="782"/>
      <c r="BM37" s="2468" t="s">
        <v>561</v>
      </c>
      <c r="BN37" s="2469"/>
      <c r="BO37" s="2469"/>
      <c r="BP37" s="2470"/>
      <c r="BQ37" s="787">
        <f>IF(BQ36="normal (k=1)",1,IF(BQ36="normal (k=2)",2,IF(BQ36="normal (k=3)",3,IF(BQ36="rectangular",SQRT(3),IF(BQ36="triangular",SQRT(6),IF(BQ36="Prob. U",SQRT(2),"no definido"))))))</f>
        <v>2</v>
      </c>
      <c r="BR37" s="744"/>
      <c r="BS37" s="743"/>
      <c r="BT37" s="2471" t="s">
        <v>561</v>
      </c>
      <c r="BU37" s="2469"/>
      <c r="BV37" s="2469"/>
      <c r="BW37" s="2470"/>
      <c r="BX37" s="787">
        <f>IF(BX36="normal (k=1)",1,IF(BX36="normal (k=2)",2,IF(BX36="normal (k=3)",3,IF(BX36="rectangular",SQRT(3),IF(BX36="triangular",SQRT(6),IF(BX36="Prob. U",SQRT(2),"no definido"))))))</f>
        <v>2</v>
      </c>
      <c r="BY37" s="744"/>
      <c r="BZ37" s="782"/>
      <c r="CA37" s="2468" t="s">
        <v>561</v>
      </c>
      <c r="CB37" s="2469"/>
      <c r="CC37" s="2469"/>
      <c r="CD37" s="2470"/>
      <c r="CE37" s="787">
        <f>IF(CE36="normal (k=1)",1,IF(CE36="normal (k=2)",2,IF(CE36="normal (k=3)",3,IF(CE36="rectangular",SQRT(3),IF(CE36="triangular",SQRT(6),IF(CE36="Prob. U",SQRT(2),"no definido"))))))</f>
        <v>2</v>
      </c>
      <c r="CF37" s="744"/>
      <c r="CG37" s="743"/>
      <c r="CH37" s="2471" t="s">
        <v>561</v>
      </c>
      <c r="CI37" s="2469"/>
      <c r="CJ37" s="2469"/>
      <c r="CK37" s="2470"/>
      <c r="CL37" s="787">
        <f>IF(CL36="normal (k=1)",1,IF(CL36="normal (k=2)",2,IF(CL36="normal (k=3)",3,IF(CL36="rectangular",SQRT(3),IF(CL36="triangular",SQRT(6),IF(CL36="Prob. U",SQRT(2),"no definido"))))))</f>
        <v>2</v>
      </c>
      <c r="CM37" s="744"/>
      <c r="CN37" s="782"/>
      <c r="CO37" s="2468" t="s">
        <v>561</v>
      </c>
      <c r="CP37" s="2469"/>
      <c r="CQ37" s="2469"/>
      <c r="CR37" s="2470"/>
      <c r="CS37" s="787">
        <f>IF(CS36="normal (k=1)",1,IF(CS36="normal (k=2)",2,IF(CS36="normal (k=3)",3,IF(CS36="rectangular",SQRT(3),IF(CS36="triangular",SQRT(6),IF(CS36="Prob. U",SQRT(2),"no definido"))))))</f>
        <v>2</v>
      </c>
      <c r="CT37" s="744"/>
      <c r="CU37" s="743"/>
      <c r="CV37" s="2471" t="s">
        <v>561</v>
      </c>
      <c r="CW37" s="2469"/>
      <c r="CX37" s="2469"/>
      <c r="CY37" s="2470"/>
      <c r="CZ37" s="787">
        <f>IF(CZ36="normal (k=1)",1,IF(CZ36="normal (k=2)",2,IF(CZ36="normal (k=3)",3,IF(CZ36="rectangular",SQRT(3),IF(CZ36="triangular",SQRT(6),IF(CZ36="Prob. U",SQRT(2),"no definido"))))))</f>
        <v>2</v>
      </c>
      <c r="DA37" s="744"/>
      <c r="DB37" s="782"/>
      <c r="DC37" s="2468" t="s">
        <v>561</v>
      </c>
      <c r="DD37" s="2469"/>
      <c r="DE37" s="2469"/>
      <c r="DF37" s="2470"/>
      <c r="DG37" s="787">
        <f>IF(DG36="normal (k=1)",1,IF(DG36="normal (k=2)",2,IF(DG36="normal (k=3)",3,IF(DG36="rectangular",SQRT(3),IF(DG36="triangular",SQRT(6),IF(DG36="Prob. U",SQRT(2),"no definido"))))))</f>
        <v>2</v>
      </c>
      <c r="DH37" s="744"/>
      <c r="DI37" s="743"/>
      <c r="DJ37" s="2471" t="s">
        <v>561</v>
      </c>
      <c r="DK37" s="2469"/>
      <c r="DL37" s="2469"/>
      <c r="DM37" s="2470"/>
      <c r="DN37" s="787">
        <f>IF(DN36="normal (k=1)",1,IF(DN36="normal (k=2)",2,IF(DN36="normal (k=3)",3,IF(DN36="rectangular",SQRT(3),IF(DN36="triangular",SQRT(6),IF(DN36="Prob. U",SQRT(2),"no definido"))))))</f>
        <v>2</v>
      </c>
      <c r="DO37" s="744"/>
      <c r="DP37" s="782"/>
      <c r="DQ37" s="2468" t="s">
        <v>561</v>
      </c>
      <c r="DR37" s="2469"/>
      <c r="DS37" s="2469"/>
      <c r="DT37" s="2470"/>
      <c r="DU37" s="787">
        <f>IF(DU36="normal (k=1)",1,IF(DU36="normal (k=2)",2,IF(DU36="normal (k=3)",3,IF(DU36="rectangular",SQRT(3),IF(DU36="triangular",SQRT(6),IF(DU36="Prob. U",SQRT(2),"no definido"))))))</f>
        <v>2</v>
      </c>
      <c r="DV37" s="744"/>
      <c r="DW37" s="743"/>
      <c r="DX37" s="2471" t="s">
        <v>561</v>
      </c>
      <c r="DY37" s="2469"/>
      <c r="DZ37" s="2469"/>
      <c r="EA37" s="2470"/>
      <c r="EB37" s="787">
        <f>IF(EB36="normal (k=1)",1,IF(EB36="normal (k=2)",2,IF(EB36="normal (k=3)",3,IF(EB36="rectangular",SQRT(3),IF(EB36="triangular",SQRT(6),IF(EB36="Prob. U",SQRT(2),"no definido"))))))</f>
        <v>2</v>
      </c>
      <c r="EC37" s="744"/>
      <c r="ED37" s="782"/>
      <c r="EE37" s="2468" t="s">
        <v>561</v>
      </c>
      <c r="EF37" s="2469"/>
      <c r="EG37" s="2469"/>
      <c r="EH37" s="2470"/>
      <c r="EI37" s="787">
        <f>IF(EI36="normal (k=1)",1,IF(EI36="normal (k=2)",2,IF(EI36="normal (k=3)",3,IF(EI36="rectangular",SQRT(3),IF(EI36="triangular",SQRT(6),IF(EI36="Prob. U",SQRT(2),"no definido"))))))</f>
        <v>2</v>
      </c>
      <c r="EJ37" s="744"/>
      <c r="EK37" s="743"/>
      <c r="EL37" s="2471" t="s">
        <v>561</v>
      </c>
      <c r="EM37" s="2469"/>
      <c r="EN37" s="2469"/>
      <c r="EO37" s="2470"/>
      <c r="EP37" s="787">
        <f>IF(EP36="normal (k=1)",1,IF(EP36="normal (k=2)",2,IF(EP36="normal (k=3)",3,IF(EP36="rectangular",SQRT(3),IF(EP36="triangular",SQRT(6),IF(EP36="Prob. U",SQRT(2),"no definido"))))))</f>
        <v>2</v>
      </c>
      <c r="EQ37" s="744"/>
      <c r="ER37" s="782"/>
      <c r="ES37" s="2468" t="s">
        <v>561</v>
      </c>
      <c r="ET37" s="2469"/>
      <c r="EU37" s="2469"/>
      <c r="EV37" s="2470"/>
      <c r="EW37" s="787">
        <f>IF(EW36="normal (k=1)",1,IF(EW36="normal (k=2)",2,IF(EW36="normal (k=3)",3,IF(EW36="rectangular",SQRT(3),IF(EW36="triangular",SQRT(6),IF(EW36="Prob. U",SQRT(2),"no definido"))))))</f>
        <v>2</v>
      </c>
      <c r="EX37" s="744"/>
      <c r="EY37" s="743"/>
      <c r="EZ37" s="2471" t="s">
        <v>561</v>
      </c>
      <c r="FA37" s="2469"/>
      <c r="FB37" s="2469"/>
      <c r="FC37" s="2470"/>
      <c r="FD37" s="787">
        <f>IF(FD36="normal (k=1)",1,IF(FD36="normal (k=2)",2,IF(FD36="normal (k=3)",3,IF(FD36="rectangular",SQRT(3),IF(FD36="triangular",SQRT(6),IF(FD36="Prob. U",SQRT(2),"no definido"))))))</f>
        <v>2</v>
      </c>
      <c r="FE37" s="744"/>
      <c r="FF37" s="782"/>
      <c r="FG37" s="2468" t="s">
        <v>561</v>
      </c>
      <c r="FH37" s="2469"/>
      <c r="FI37" s="2469"/>
      <c r="FJ37" s="2470"/>
      <c r="FK37" s="787">
        <f>IF(FK36="normal (k=1)",1,IF(FK36="normal (k=2)",2,IF(FK36="normal (k=3)",3,IF(FK36="rectangular",SQRT(3),IF(FK36="triangular",SQRT(6),IF(FK36="Prob. U",SQRT(2),"no definido"))))))</f>
        <v>2</v>
      </c>
      <c r="FL37" s="744"/>
      <c r="FM37" s="743"/>
      <c r="FN37" s="2471" t="s">
        <v>561</v>
      </c>
      <c r="FO37" s="2469"/>
      <c r="FP37" s="2469"/>
      <c r="FQ37" s="2470"/>
      <c r="FR37" s="787">
        <f>IF(FR36="normal (k=1)",1,IF(FR36="normal (k=2)",2,IF(FR36="normal (k=3)",3,IF(FR36="rectangular",SQRT(3),IF(FR36="triangular",SQRT(6),IF(FR36="Prob. U",SQRT(2),"no definido"))))))</f>
        <v>2</v>
      </c>
      <c r="FS37" s="744"/>
      <c r="FT37" s="782"/>
    </row>
    <row r="38" spans="1:176" ht="18" x14ac:dyDescent="0.25">
      <c r="A38" s="735"/>
      <c r="I38" s="2392" t="s">
        <v>796</v>
      </c>
      <c r="J38" s="2469"/>
      <c r="K38" s="2469"/>
      <c r="L38" s="2470"/>
      <c r="M38" s="788">
        <f>M35*M37</f>
        <v>1096.4968715282769</v>
      </c>
      <c r="N38" s="742"/>
      <c r="O38" s="743" t="s">
        <v>325</v>
      </c>
      <c r="P38" s="2472" t="s">
        <v>796</v>
      </c>
      <c r="Q38" s="2469"/>
      <c r="R38" s="2469"/>
      <c r="S38" s="2470"/>
      <c r="T38" s="788" t="e">
        <f>T35*T37</f>
        <v>#VALUE!</v>
      </c>
      <c r="U38" s="742"/>
      <c r="V38" s="782" t="s">
        <v>325</v>
      </c>
      <c r="W38" s="2392" t="s">
        <v>796</v>
      </c>
      <c r="X38" s="2517"/>
      <c r="Y38" s="2517"/>
      <c r="Z38" s="2393"/>
      <c r="AA38" s="788" t="e">
        <f>AA35*AA37</f>
        <v>#VALUE!</v>
      </c>
      <c r="AB38" s="742"/>
      <c r="AC38" s="743" t="s">
        <v>325</v>
      </c>
      <c r="AD38" s="2472" t="s">
        <v>796</v>
      </c>
      <c r="AE38" s="2517"/>
      <c r="AF38" s="2517"/>
      <c r="AG38" s="2393"/>
      <c r="AH38" s="788" t="e">
        <f>AH35*AH37</f>
        <v>#VALUE!</v>
      </c>
      <c r="AI38" s="742"/>
      <c r="AJ38" s="782" t="s">
        <v>325</v>
      </c>
      <c r="AK38" s="2392" t="s">
        <v>796</v>
      </c>
      <c r="AL38" s="2469"/>
      <c r="AM38" s="2469"/>
      <c r="AN38" s="2470"/>
      <c r="AO38" s="788" t="e">
        <f>AO35*AO37</f>
        <v>#VALUE!</v>
      </c>
      <c r="AP38" s="742"/>
      <c r="AQ38" s="743" t="s">
        <v>325</v>
      </c>
      <c r="AR38" s="2472" t="s">
        <v>796</v>
      </c>
      <c r="AS38" s="2469"/>
      <c r="AT38" s="2469"/>
      <c r="AU38" s="2470"/>
      <c r="AV38" s="788" t="e">
        <f>AV35*AV37</f>
        <v>#VALUE!</v>
      </c>
      <c r="AW38" s="742"/>
      <c r="AX38" s="782" t="s">
        <v>325</v>
      </c>
      <c r="AY38" s="2392" t="s">
        <v>796</v>
      </c>
      <c r="AZ38" s="2469"/>
      <c r="BA38" s="2469"/>
      <c r="BB38" s="2470"/>
      <c r="BC38" s="788" t="e">
        <f>BC35*BC37</f>
        <v>#VALUE!</v>
      </c>
      <c r="BD38" s="742"/>
      <c r="BE38" s="743" t="s">
        <v>325</v>
      </c>
      <c r="BF38" s="2472" t="s">
        <v>796</v>
      </c>
      <c r="BG38" s="2469"/>
      <c r="BH38" s="2469"/>
      <c r="BI38" s="2470"/>
      <c r="BJ38" s="788" t="e">
        <f>BJ35*BJ37</f>
        <v>#VALUE!</v>
      </c>
      <c r="BK38" s="742"/>
      <c r="BL38" s="782" t="s">
        <v>325</v>
      </c>
      <c r="BM38" s="2392" t="s">
        <v>796</v>
      </c>
      <c r="BN38" s="2469"/>
      <c r="BO38" s="2469"/>
      <c r="BP38" s="2470"/>
      <c r="BQ38" s="788" t="e">
        <f>BQ35*BQ37</f>
        <v>#VALUE!</v>
      </c>
      <c r="BR38" s="742"/>
      <c r="BS38" s="743" t="s">
        <v>325</v>
      </c>
      <c r="BT38" s="2472" t="s">
        <v>796</v>
      </c>
      <c r="BU38" s="2517"/>
      <c r="BV38" s="2517"/>
      <c r="BW38" s="2393"/>
      <c r="BX38" s="788" t="e">
        <f>BX35*BX37</f>
        <v>#VALUE!</v>
      </c>
      <c r="BY38" s="742"/>
      <c r="BZ38" s="782" t="s">
        <v>325</v>
      </c>
      <c r="CA38" s="2392" t="s">
        <v>796</v>
      </c>
      <c r="CB38" s="2469"/>
      <c r="CC38" s="2469"/>
      <c r="CD38" s="2470"/>
      <c r="CE38" s="788" t="e">
        <f>CE35*CE37</f>
        <v>#VALUE!</v>
      </c>
      <c r="CF38" s="742"/>
      <c r="CG38" s="743" t="s">
        <v>325</v>
      </c>
      <c r="CH38" s="2472" t="s">
        <v>796</v>
      </c>
      <c r="CI38" s="2469"/>
      <c r="CJ38" s="2469"/>
      <c r="CK38" s="2470"/>
      <c r="CL38" s="788" t="e">
        <f>CL35*CL37</f>
        <v>#VALUE!</v>
      </c>
      <c r="CM38" s="742"/>
      <c r="CN38" s="782" t="s">
        <v>325</v>
      </c>
      <c r="CO38" s="2392" t="s">
        <v>796</v>
      </c>
      <c r="CP38" s="2469"/>
      <c r="CQ38" s="2469"/>
      <c r="CR38" s="2470"/>
      <c r="CS38" s="788" t="e">
        <f>CS35*CS37</f>
        <v>#VALUE!</v>
      </c>
      <c r="CT38" s="742"/>
      <c r="CU38" s="743" t="s">
        <v>325</v>
      </c>
      <c r="CV38" s="2472" t="s">
        <v>796</v>
      </c>
      <c r="CW38" s="2469"/>
      <c r="CX38" s="2469"/>
      <c r="CY38" s="2470"/>
      <c r="CZ38" s="788" t="e">
        <f>CZ35*CZ37</f>
        <v>#VALUE!</v>
      </c>
      <c r="DA38" s="742"/>
      <c r="DB38" s="782" t="s">
        <v>325</v>
      </c>
      <c r="DC38" s="2392" t="s">
        <v>796</v>
      </c>
      <c r="DD38" s="2469"/>
      <c r="DE38" s="2469"/>
      <c r="DF38" s="2470"/>
      <c r="DG38" s="788" t="e">
        <f>DG35*DG37</f>
        <v>#VALUE!</v>
      </c>
      <c r="DH38" s="742"/>
      <c r="DI38" s="743" t="s">
        <v>325</v>
      </c>
      <c r="DJ38" s="2472" t="s">
        <v>796</v>
      </c>
      <c r="DK38" s="2469"/>
      <c r="DL38" s="2469"/>
      <c r="DM38" s="2470"/>
      <c r="DN38" s="788" t="e">
        <f>DN35*DN37</f>
        <v>#VALUE!</v>
      </c>
      <c r="DO38" s="742"/>
      <c r="DP38" s="782" t="s">
        <v>325</v>
      </c>
      <c r="DQ38" s="2392" t="s">
        <v>796</v>
      </c>
      <c r="DR38" s="2469"/>
      <c r="DS38" s="2469"/>
      <c r="DT38" s="2470"/>
      <c r="DU38" s="788" t="e">
        <f>DU35*DU37</f>
        <v>#VALUE!</v>
      </c>
      <c r="DV38" s="742"/>
      <c r="DW38" s="743" t="s">
        <v>325</v>
      </c>
      <c r="DX38" s="2472" t="s">
        <v>796</v>
      </c>
      <c r="DY38" s="2469"/>
      <c r="DZ38" s="2469"/>
      <c r="EA38" s="2470"/>
      <c r="EB38" s="788" t="e">
        <f>EB35*EB37</f>
        <v>#VALUE!</v>
      </c>
      <c r="EC38" s="742"/>
      <c r="ED38" s="782" t="s">
        <v>325</v>
      </c>
      <c r="EE38" s="2392" t="s">
        <v>796</v>
      </c>
      <c r="EF38" s="2469"/>
      <c r="EG38" s="2469"/>
      <c r="EH38" s="2470"/>
      <c r="EI38" s="788" t="e">
        <f>EI35*EI37</f>
        <v>#VALUE!</v>
      </c>
      <c r="EJ38" s="742"/>
      <c r="EK38" s="743" t="s">
        <v>325</v>
      </c>
      <c r="EL38" s="2472" t="s">
        <v>796</v>
      </c>
      <c r="EM38" s="2469"/>
      <c r="EN38" s="2469"/>
      <c r="EO38" s="2470"/>
      <c r="EP38" s="788" t="e">
        <f>EP35*EP37</f>
        <v>#VALUE!</v>
      </c>
      <c r="EQ38" s="742"/>
      <c r="ER38" s="782" t="s">
        <v>325</v>
      </c>
      <c r="ES38" s="2392" t="s">
        <v>796</v>
      </c>
      <c r="ET38" s="2469"/>
      <c r="EU38" s="2469"/>
      <c r="EV38" s="2470"/>
      <c r="EW38" s="788" t="e">
        <f>EW35*EW37</f>
        <v>#VALUE!</v>
      </c>
      <c r="EX38" s="742"/>
      <c r="EY38" s="743" t="s">
        <v>325</v>
      </c>
      <c r="EZ38" s="2472" t="s">
        <v>796</v>
      </c>
      <c r="FA38" s="2469"/>
      <c r="FB38" s="2469"/>
      <c r="FC38" s="2470"/>
      <c r="FD38" s="788" t="e">
        <f>FD35*FD37</f>
        <v>#VALUE!</v>
      </c>
      <c r="FE38" s="742"/>
      <c r="FF38" s="782" t="s">
        <v>325</v>
      </c>
      <c r="FG38" s="2392" t="s">
        <v>796</v>
      </c>
      <c r="FH38" s="2469"/>
      <c r="FI38" s="2469"/>
      <c r="FJ38" s="2470"/>
      <c r="FK38" s="788" t="e">
        <f>FK35*FK37</f>
        <v>#VALUE!</v>
      </c>
      <c r="FL38" s="742"/>
      <c r="FM38" s="743" t="s">
        <v>325</v>
      </c>
      <c r="FN38" s="2472" t="s">
        <v>796</v>
      </c>
      <c r="FO38" s="2469"/>
      <c r="FP38" s="2469"/>
      <c r="FQ38" s="2470"/>
      <c r="FR38" s="788" t="e">
        <f>FR35*FR37</f>
        <v>#VALUE!</v>
      </c>
      <c r="FS38" s="742"/>
      <c r="FT38" s="782" t="s">
        <v>325</v>
      </c>
    </row>
    <row r="39" spans="1:176" ht="18.75" thickBot="1" x14ac:dyDescent="0.3">
      <c r="A39" s="735"/>
      <c r="I39" s="2473" t="s">
        <v>796</v>
      </c>
      <c r="J39" s="2474"/>
      <c r="K39" s="2474"/>
      <c r="L39" s="2474"/>
      <c r="M39" s="791">
        <f>CHOOSE('F-LSCD-012'!V34,M38/I19,M38/(I19*1000),M38/(I19*1000000),M38/(I19*'Datos varios'!$E$119),M38/(I19*'Datos varios'!$E$120),M38/(I19*'Datos varios'!$E$121),M38/(I19*'Datos varios'!$E$122),M38/(I19*'Datos varios'!$E$123),"-",M38/(I19*'F-LSCD-012'!R34),M38/(I19*'F-LSCD-012'!R34))</f>
        <v>4.4320811298636902E-2</v>
      </c>
      <c r="N39" s="789"/>
      <c r="O39" s="1170"/>
      <c r="P39" s="2475" t="s">
        <v>796</v>
      </c>
      <c r="Q39" s="2474"/>
      <c r="R39" s="2474"/>
      <c r="S39" s="2474"/>
      <c r="T39" s="791" t="str">
        <f>CHOOSE('F-LSCD-012'!V35,T38/P19,T38/(P19*1000),T38/(P19*1000000),T38/(P19*'Datos varios'!$E$119),T38/(P19*'Datos varios'!$E$120),T38/(P19*'Datos varios'!$E$121),T38/(P19*'Datos varios'!$E$122),T38/(P19*'Datos varios'!$E$123),"-",T38/(P19*'F-LSCD-012'!R35),T38/(P19*'F-LSCD-012'!R35))</f>
        <v>-</v>
      </c>
      <c r="U39" s="789"/>
      <c r="V39" s="790"/>
      <c r="W39" s="2581" t="s">
        <v>796</v>
      </c>
      <c r="X39" s="2515"/>
      <c r="Y39" s="2515"/>
      <c r="Z39" s="2516"/>
      <c r="AA39" s="791" t="str">
        <f>CHOOSE('F-LSCD-012'!V36,AA38/W19,AA38/(W19*1000),AA38/(W19*1000000),AA38/(W19*'Datos varios'!$E$119),AA38/(W19*'Datos varios'!$E$120),AA38/(W19*'Datos varios'!$E$121),AA38/(W19*'Datos varios'!$E$122),AA38/(W19*'Datos varios'!$E$123),"-",AA38/(W19*'F-LSCD-012'!R36),AA38/(W19*'F-LSCD-012'!R36))</f>
        <v>-</v>
      </c>
      <c r="AB39" s="789"/>
      <c r="AC39" s="1170"/>
      <c r="AD39" s="2514" t="s">
        <v>796</v>
      </c>
      <c r="AE39" s="2515"/>
      <c r="AF39" s="2515"/>
      <c r="AG39" s="2516"/>
      <c r="AH39" s="791" t="str">
        <f>CHOOSE('F-LSCD-012'!V37,AH38/AD19,AH38/(AD19*1000),AH38/(AD19*1000000),AH38/(AD19*'Datos varios'!$E$119),AH38/(AD19*'Datos varios'!$E$120),AH38/(AD19*'Datos varios'!$E$121),AH38/(AD19*'Datos varios'!$E$122),AH38/(AD19*'Datos varios'!$E$123),"-",AH38/(AD19*'F-LSCD-012'!R37),AH38/(AD19*'F-LSCD-012'!R37))</f>
        <v>-</v>
      </c>
      <c r="AI39" s="789"/>
      <c r="AJ39" s="790"/>
      <c r="AK39" s="2473" t="s">
        <v>796</v>
      </c>
      <c r="AL39" s="2474"/>
      <c r="AM39" s="2474"/>
      <c r="AN39" s="2474"/>
      <c r="AO39" s="791" t="str">
        <f>CHOOSE('F-LSCD-012'!V38,AO38/AK19,AO38/(AK19*1000),AO38/(AK19*1000000),AO38/(AK19*'Datos varios'!$E$119),AO38/(AK19*'Datos varios'!$E$120),AO38/(AK19*'Datos varios'!$E$121),AO38/(AK19*'Datos varios'!$E$122),AO38/(AK19*'Datos varios'!$E$123),"-",AO38/(AK19*'F-LSCD-012'!R38),AO38/(AK19*'F-LSCD-012'!R38))</f>
        <v>-</v>
      </c>
      <c r="AP39" s="789"/>
      <c r="AQ39" s="1170"/>
      <c r="AR39" s="2475" t="s">
        <v>796</v>
      </c>
      <c r="AS39" s="2474"/>
      <c r="AT39" s="2474"/>
      <c r="AU39" s="2474"/>
      <c r="AV39" s="791" t="str">
        <f>CHOOSE('F-LSCD-012'!V39,AV38/AR19,AV38/(AR19*1000),AV38/(AR19*1000000),AV38/(AR19*'Datos varios'!$E$119),AV38/(AR19*'Datos varios'!$E$120),AV38/(AR19*'Datos varios'!$E$121),AV38/(AR19*'Datos varios'!$E$122),AV38/(AR19*'Datos varios'!$E$123),"-",AV38/(AR19*'F-LSCD-012'!R39),AV38/(AR19*'F-LSCD-012'!R39))</f>
        <v>-</v>
      </c>
      <c r="AW39" s="789"/>
      <c r="AX39" s="790"/>
      <c r="AY39" s="2473" t="s">
        <v>796</v>
      </c>
      <c r="AZ39" s="2474"/>
      <c r="BA39" s="2474"/>
      <c r="BB39" s="2474"/>
      <c r="BC39" s="791" t="str">
        <f>CHOOSE('F-LSCD-012'!V40,BC38/AY19,BC38/(AY19*1000),BC38/(AY19*1000000),BC38/(AY19*'Datos varios'!$E$119),BC38/(AY19*'Datos varios'!$E$120),BC38/(AY19*'Datos varios'!$E$121),BC38/(AY19*'Datos varios'!$E$122),BC38/(AY19*'Datos varios'!$E$123),"-",BC38/(AY19*'F-LSCD-012'!R40),BC38/(AY19*'F-LSCD-012'!R40))</f>
        <v>-</v>
      </c>
      <c r="BD39" s="789"/>
      <c r="BE39" s="1170"/>
      <c r="BF39" s="2475" t="s">
        <v>796</v>
      </c>
      <c r="BG39" s="2474"/>
      <c r="BH39" s="2474"/>
      <c r="BI39" s="2474"/>
      <c r="BJ39" s="791" t="str">
        <f>CHOOSE('F-LSCD-012'!V41,BJ38/BF19,BJ38/(BF19*1000),BJ38/(BF19*1000000),BJ38/(BF19*'Datos varios'!$E$119),BJ38/(BF19*'Datos varios'!$E$120),BJ38/(BF19*'Datos varios'!$E$121),BJ38/(BF19*'Datos varios'!$E$122),BJ38/(BF19*'Datos varios'!$E$123),"-",BJ38/(BF19*'F-LSCD-012'!R41),BJ38/(BF19*'F-LSCD-012'!R41))</f>
        <v>-</v>
      </c>
      <c r="BK39" s="789"/>
      <c r="BL39" s="790"/>
      <c r="BM39" s="2473" t="s">
        <v>796</v>
      </c>
      <c r="BN39" s="2474"/>
      <c r="BO39" s="2474"/>
      <c r="BP39" s="2474"/>
      <c r="BQ39" s="791" t="str">
        <f>CHOOSE('F-LSCD-012'!V42,BQ38/BM19,BQ38/(BM19*1000),BQ38/(BM19*1000000),BQ38/(BM19*'Datos varios'!$E$119),BQ38/(BM19*'Datos varios'!$E$120),BQ38/(BM19*'Datos varios'!$E$121),BQ38/(BM19*'Datos varios'!$E$122),BQ38/(BM19*'Datos varios'!$E$123),"-",BQ38/(BM19*'F-LSCD-012'!R42),BQ38/(BM19*'F-LSCD-012'!R42))</f>
        <v>-</v>
      </c>
      <c r="BR39" s="789"/>
      <c r="BS39" s="1170"/>
      <c r="BT39" s="2514" t="s">
        <v>796</v>
      </c>
      <c r="BU39" s="2515"/>
      <c r="BV39" s="2515"/>
      <c r="BW39" s="2516"/>
      <c r="BX39" s="791" t="str">
        <f>CHOOSE('F-LSCD-012'!V43,BX38/BT19,BX38/(BT19*1000),BX38/(BT19*1000000),BX38/(BT19*'Datos varios'!$E$119),BX38/(BT19*'Datos varios'!$E$120),BX38/(BT19*'Datos varios'!$E$121),BX38/(BT19*'Datos varios'!$E$122),BX38/(BT19*'Datos varios'!$E$123),"-",BX38/(BT19*'F-LSCD-012'!R43),BX38/(BT19*'F-LSCD-012'!R43))</f>
        <v>-</v>
      </c>
      <c r="BY39" s="789"/>
      <c r="BZ39" s="790"/>
      <c r="CA39" s="2473" t="s">
        <v>796</v>
      </c>
      <c r="CB39" s="2474"/>
      <c r="CC39" s="2474"/>
      <c r="CD39" s="2474"/>
      <c r="CE39" s="791" t="str">
        <f>CHOOSE('F-LSCD-012'!V44,CE38/CA19,CE38/(CA19*1000),CE38/(CA19*1000000),CE38/(CA19*'Datos varios'!$E$119),CE38/(CA19*'Datos varios'!$E$120),CE38/(CA19*'Datos varios'!$E$121),CE38/(CA19*'Datos varios'!$E$122),CE38/(CA19*'Datos varios'!$E$123),"-",CE38/(CA19*'F-LSCD-012'!R44),CE38/(CA19*'F-LSCD-012'!R44))</f>
        <v>-</v>
      </c>
      <c r="CF39" s="789"/>
      <c r="CG39" s="1170"/>
      <c r="CH39" s="2475" t="s">
        <v>796</v>
      </c>
      <c r="CI39" s="2474"/>
      <c r="CJ39" s="2474"/>
      <c r="CK39" s="2474"/>
      <c r="CL39" s="791" t="str">
        <f>CHOOSE('F-LSCD-012'!V45,CL38/CH19,CL38/(CH19*1000),CL38/(CH19*1000000),CL38/(CH19*'Datos varios'!$E$119),CL38/(CH19*'Datos varios'!$E$120),CL38/(CH19*'Datos varios'!$E$121),CL38/(CH19*'Datos varios'!$E$122),CL38/(CH19*'Datos varios'!$E$123),"-",CL38/(CH19*'F-LSCD-012'!R45),CL38/(CH19*'F-LSCD-012'!R45))</f>
        <v>-</v>
      </c>
      <c r="CM39" s="789"/>
      <c r="CN39" s="790"/>
      <c r="CO39" s="2473" t="s">
        <v>796</v>
      </c>
      <c r="CP39" s="2474"/>
      <c r="CQ39" s="2474"/>
      <c r="CR39" s="2474"/>
      <c r="CS39" s="791" t="str">
        <f>CHOOSE('F-LSCD-012'!V46,CS38/CO19,CS38/(CO19*1000),CS38/(CO19*1000000),CS38/(CO19*'Datos varios'!$E$119),CS38/(CO19*'Datos varios'!$E$120),CS38/(CO19*'Datos varios'!$E$121),CS38/(CO19*'Datos varios'!$E$122),CS38/(CO19*'Datos varios'!$E$123),"-",CS38/(CO19*'F-LSCD-012'!R46),CS38/(CO19*'F-LSCD-012'!R46))</f>
        <v>-</v>
      </c>
      <c r="CT39" s="789"/>
      <c r="CU39" s="1170"/>
      <c r="CV39" s="2475" t="s">
        <v>796</v>
      </c>
      <c r="CW39" s="2474"/>
      <c r="CX39" s="2474"/>
      <c r="CY39" s="2474"/>
      <c r="CZ39" s="791" t="str">
        <f>CHOOSE('F-LSCD-012'!V47,CZ38/CV19,CZ38/(CV19*1000),CZ38/(CV19*1000000),CZ38/(CV19*'Datos varios'!$E$119),CZ38/(CV19*'Datos varios'!$E$120),CZ38/(CV19*'Datos varios'!$E$121),CZ38/(CV19*'Datos varios'!$E$122),CZ38/(CV19*'Datos varios'!$E$123),"-",CZ38/(CV19*'F-LSCD-012'!R47),CZ38/(CV19*'F-LSCD-012'!R47))</f>
        <v>-</v>
      </c>
      <c r="DA39" s="789"/>
      <c r="DB39" s="790"/>
      <c r="DC39" s="2473" t="s">
        <v>796</v>
      </c>
      <c r="DD39" s="2474"/>
      <c r="DE39" s="2474"/>
      <c r="DF39" s="2474"/>
      <c r="DG39" s="791" t="str">
        <f>CHOOSE('F-LSCD-012'!V48,DG38/DC19,DG38/(DC19*1000),DG38/(DC19*1000000),DG38/(DC19*'Datos varios'!$E$119),DG38/(DC19*'Datos varios'!$E$120),DG38/(DC19*'Datos varios'!$E$121),DG38/(DC19*'Datos varios'!$E$122),DG38/(DC19*'Datos varios'!$E$123),"-",DG38/(DC19*'F-LSCD-012'!R48),DG38/(DC19*'F-LSCD-012'!R48))</f>
        <v>-</v>
      </c>
      <c r="DH39" s="789"/>
      <c r="DI39" s="1170"/>
      <c r="DJ39" s="2475" t="s">
        <v>796</v>
      </c>
      <c r="DK39" s="2474"/>
      <c r="DL39" s="2474"/>
      <c r="DM39" s="2474"/>
      <c r="DN39" s="791" t="str">
        <f>CHOOSE('F-LSCD-012'!V49,DN38/DJ19,DN38/(DJ19*1000),DN38/(DJ19*1000000),DN38/(DJ19*'Datos varios'!$E$119),DN38/(DJ19*'Datos varios'!$E$120),DN38/(DJ19*'Datos varios'!$E$121),DN38/(DJ19*'Datos varios'!$E$122),DN38/(DJ19*'Datos varios'!$E$123),"-",DN38/(DJ19*'F-LSCD-012'!R49),DN38/(DJ19*'F-LSCD-012'!R49))</f>
        <v>-</v>
      </c>
      <c r="DO39" s="789"/>
      <c r="DP39" s="790"/>
      <c r="DQ39" s="2473" t="s">
        <v>796</v>
      </c>
      <c r="DR39" s="2474"/>
      <c r="DS39" s="2474"/>
      <c r="DT39" s="2474"/>
      <c r="DU39" s="791" t="str">
        <f>CHOOSE('F-LSCD-012'!V50,DU38/DQ19,DU38/(DQ19*1000),DU38/(DQ19*1000000),DU38/(DQ19*'Datos varios'!$E$119),DU38/(DQ19*'Datos varios'!$E$120),DU38/(DQ19*'Datos varios'!$E$121),DU38/(DQ19*'Datos varios'!$E$122),DU38/(DQ19*'Datos varios'!$E$123),"-",DU38/(DQ19*'F-LSCD-012'!R50),DU38/(DQ19*'F-LSCD-012'!R50))</f>
        <v>-</v>
      </c>
      <c r="DV39" s="789"/>
      <c r="DW39" s="1170"/>
      <c r="DX39" s="2475" t="s">
        <v>796</v>
      </c>
      <c r="DY39" s="2474"/>
      <c r="DZ39" s="2474"/>
      <c r="EA39" s="2474"/>
      <c r="EB39" s="791" t="str">
        <f>CHOOSE('F-LSCD-012'!V51,EB38/DX19,EB38/(DX19*1000),EB38/(DX19*1000000),EB38/(DX19*'Datos varios'!$E$119),EB38/(DX19*'Datos varios'!$E$120),EB38/(DX19*'Datos varios'!$E$121),EB38/(DX19*'Datos varios'!$E$122),EB38/(DX19*'Datos varios'!$E$123),"-",EB38/(DX19*'F-LSCD-012'!R51),EB38/(DX19*'F-LSCD-012'!R51))</f>
        <v>-</v>
      </c>
      <c r="EC39" s="789"/>
      <c r="ED39" s="790"/>
      <c r="EE39" s="2473" t="s">
        <v>796</v>
      </c>
      <c r="EF39" s="2474"/>
      <c r="EG39" s="2474"/>
      <c r="EH39" s="2474"/>
      <c r="EI39" s="791" t="str">
        <f>CHOOSE('F-LSCD-012'!V52,EI38/EE19,EI38/(EE19*1000),EI38/(EE19*1000000),EI38/(EE19*'Datos varios'!$E$119),EI38/(EE19*'Datos varios'!$E$120),EI38/(EE19*'Datos varios'!$E$121),EI38/(EE19*'Datos varios'!$E$122),EI38/(EE19*'Datos varios'!$E$123),"-",EI38/(EE19*'F-LSCD-012'!R52),EI38/(EE19*'F-LSCD-012'!R52))</f>
        <v>-</v>
      </c>
      <c r="EJ39" s="789"/>
      <c r="EK39" s="1170"/>
      <c r="EL39" s="2475" t="s">
        <v>796</v>
      </c>
      <c r="EM39" s="2474"/>
      <c r="EN39" s="2474"/>
      <c r="EO39" s="2474"/>
      <c r="EP39" s="791" t="str">
        <f>CHOOSE('F-LSCD-012'!V53,EP38/EL19,EP38/(EL19*1000),EP38/(EL19*1000000),EP38/(EL19*'Datos varios'!$E$119),EP38/(EL19*'Datos varios'!$E$120),EP38/(EL19*'Datos varios'!$E$121),EP38/(EL19*'Datos varios'!$E$122),EP38/(EL19*'Datos varios'!$E$123),"-",EP38/(EL19*'F-LSCD-012'!R53),EP38/(EL19*'F-LSCD-012'!R53))</f>
        <v>-</v>
      </c>
      <c r="EQ39" s="789"/>
      <c r="ER39" s="790"/>
      <c r="ES39" s="2473" t="s">
        <v>796</v>
      </c>
      <c r="ET39" s="2474"/>
      <c r="EU39" s="2474"/>
      <c r="EV39" s="2474"/>
      <c r="EW39" s="791" t="str">
        <f>CHOOSE('F-LSCD-012'!V54,EW38/ES19,EW38/(ES19*1000),EW38/(ES19*1000000),EW38/(ES19*'Datos varios'!$E$119),EW38/(ES19*'Datos varios'!$E$120),EW38/(ES19*'Datos varios'!$E$121),EW38/(ES19*'Datos varios'!$E$122),EW38/(ES19*'Datos varios'!$E$123),"-",EW38/(ES19*'F-LSCD-012'!R54),EW38/(ES19*'F-LSCD-012'!R54))</f>
        <v>-</v>
      </c>
      <c r="EX39" s="789"/>
      <c r="EY39" s="1170"/>
      <c r="EZ39" s="2475" t="s">
        <v>796</v>
      </c>
      <c r="FA39" s="2474"/>
      <c r="FB39" s="2474"/>
      <c r="FC39" s="2474"/>
      <c r="FD39" s="791" t="str">
        <f>CHOOSE('F-LSCD-012'!V55,FD38/EZ19,FD38/(EZ19*1000),FD38/(EZ19*1000000),FD38/(EZ19*'Datos varios'!$E$119),FD38/(EZ19*'Datos varios'!$E$120),FD38/(EZ19*'Datos varios'!$E$121),FD38/(EZ19*'Datos varios'!$E$122),FD38/(EZ19*'Datos varios'!$E$123),"-",FD38/(EZ19*'F-LSCD-012'!R55),FD38/(EZ19*'F-LSCD-012'!R55))</f>
        <v>-</v>
      </c>
      <c r="FE39" s="789"/>
      <c r="FF39" s="790"/>
      <c r="FG39" s="2473" t="s">
        <v>796</v>
      </c>
      <c r="FH39" s="2474"/>
      <c r="FI39" s="2474"/>
      <c r="FJ39" s="2474"/>
      <c r="FK39" s="791" t="str">
        <f>CHOOSE('F-LSCD-012'!V56,FK38/FG19,FK38/(FG19*1000),FK38/(FG19*1000000),FK38/(FG19*'Datos varios'!$E$119),FK38/(FG19*'Datos varios'!$E$120),FK38/(FG19*'Datos varios'!$E$121),FK38/(FG19*'Datos varios'!$E$122),FK38/(FG19*'Datos varios'!$E$123),"-",FK38/(FG19*'F-LSCD-012'!R56),FK38/(FG19*'F-LSCD-012'!R56))</f>
        <v>-</v>
      </c>
      <c r="FL39" s="789"/>
      <c r="FM39" s="1170"/>
      <c r="FN39" s="2475" t="s">
        <v>796</v>
      </c>
      <c r="FO39" s="2474"/>
      <c r="FP39" s="2474"/>
      <c r="FQ39" s="2474"/>
      <c r="FR39" s="791" t="str">
        <f>CHOOSE('F-LSCD-012'!V57,FR38/FN19,FR38/(FN19*1000),FR38/(FN19*1000000),FR38/(FN19*'Datos varios'!$E$119),FR38/(FN19*'Datos varios'!$E$120),FR38/(FN19*'Datos varios'!$E$121),FR38/(FN19*'Datos varios'!$E$122),FR38/(FN19*'Datos varios'!$E$123),"-",FR38/(FN19*'F-LSCD-012'!R57),FR38/(FN19*'F-LSCD-012'!R57))</f>
        <v>-</v>
      </c>
      <c r="FS39" s="789"/>
      <c r="FT39" s="790"/>
    </row>
    <row r="40" spans="1:176" x14ac:dyDescent="0.25">
      <c r="A40" s="735"/>
      <c r="I40" s="847"/>
      <c r="J40" s="783"/>
      <c r="K40" s="783"/>
      <c r="L40" s="783"/>
      <c r="M40" s="783"/>
      <c r="N40" s="783"/>
      <c r="O40" s="783"/>
      <c r="P40" s="1180"/>
      <c r="Q40" s="783"/>
      <c r="R40" s="783"/>
      <c r="S40" s="783"/>
      <c r="T40" s="783"/>
      <c r="U40" s="783"/>
      <c r="V40" s="848"/>
      <c r="W40" s="847"/>
      <c r="X40" s="783"/>
      <c r="Y40" s="783"/>
      <c r="Z40" s="783"/>
      <c r="AA40" s="1501"/>
      <c r="AB40" s="783"/>
      <c r="AC40" s="783"/>
      <c r="AD40" s="1180"/>
      <c r="AE40" s="783"/>
      <c r="AF40" s="783"/>
      <c r="AG40" s="783"/>
      <c r="AH40" s="1501"/>
      <c r="AI40" s="783"/>
      <c r="AJ40" s="848"/>
      <c r="AK40" s="847"/>
      <c r="AL40" s="783"/>
      <c r="AM40" s="783"/>
      <c r="AN40" s="783"/>
      <c r="AO40" s="1501"/>
      <c r="AP40" s="783"/>
      <c r="AQ40" s="783"/>
      <c r="AR40" s="1180"/>
      <c r="AS40" s="783"/>
      <c r="AT40" s="783"/>
      <c r="AU40" s="783"/>
      <c r="AV40" s="1501"/>
      <c r="AW40" s="783"/>
      <c r="AX40" s="848"/>
      <c r="AY40" s="1007"/>
      <c r="AZ40" s="783"/>
      <c r="BA40" s="783"/>
      <c r="BB40" s="783"/>
      <c r="BC40" s="1501"/>
      <c r="BD40" s="783"/>
      <c r="BE40" s="783"/>
      <c r="BF40" s="1184"/>
      <c r="BG40" s="783"/>
      <c r="BH40" s="783"/>
      <c r="BI40" s="783"/>
      <c r="BJ40" s="1501"/>
      <c r="BK40" s="783"/>
      <c r="BL40" s="848"/>
      <c r="BM40" s="847"/>
      <c r="BN40" s="783"/>
      <c r="BO40" s="783"/>
      <c r="BP40" s="783"/>
      <c r="BQ40" s="1501"/>
      <c r="BR40" s="783"/>
      <c r="BS40" s="783"/>
      <c r="BT40" s="1180"/>
      <c r="BU40" s="783"/>
      <c r="BV40" s="783"/>
      <c r="BW40" s="783"/>
      <c r="BX40" s="1501"/>
      <c r="BY40" s="783"/>
      <c r="BZ40" s="848"/>
      <c r="CA40" s="847"/>
      <c r="CB40" s="783"/>
      <c r="CC40" s="783"/>
      <c r="CD40" s="783"/>
      <c r="CE40" s="1501"/>
      <c r="CF40" s="783"/>
      <c r="CG40" s="783"/>
      <c r="CH40" s="1180"/>
      <c r="CI40" s="783"/>
      <c r="CJ40" s="783"/>
      <c r="CK40" s="783"/>
      <c r="CL40" s="1501"/>
      <c r="CM40" s="783"/>
      <c r="CN40" s="848"/>
      <c r="CO40" s="847"/>
      <c r="CP40" s="783"/>
      <c r="CQ40" s="783"/>
      <c r="CR40" s="783"/>
      <c r="CS40" s="1501"/>
      <c r="CT40" s="783"/>
      <c r="CU40" s="783"/>
      <c r="CV40" s="1180"/>
      <c r="CW40" s="783"/>
      <c r="CX40" s="783"/>
      <c r="CY40" s="783"/>
      <c r="CZ40" s="1501"/>
      <c r="DA40" s="783"/>
      <c r="DB40" s="848"/>
      <c r="DC40" s="847"/>
      <c r="DD40" s="783"/>
      <c r="DE40" s="783"/>
      <c r="DF40" s="783"/>
      <c r="DG40" s="1501"/>
      <c r="DH40" s="783"/>
      <c r="DI40" s="783"/>
      <c r="DJ40" s="1180"/>
      <c r="DK40" s="783"/>
      <c r="DL40" s="783"/>
      <c r="DM40" s="783"/>
      <c r="DN40" s="1501"/>
      <c r="DO40" s="783"/>
      <c r="DP40" s="848"/>
      <c r="DQ40" s="847"/>
      <c r="DR40" s="783"/>
      <c r="DS40" s="783"/>
      <c r="DT40" s="783"/>
      <c r="DU40" s="1501"/>
      <c r="DV40" s="783"/>
      <c r="DW40" s="783"/>
      <c r="DX40" s="1180"/>
      <c r="DY40" s="783"/>
      <c r="DZ40" s="783"/>
      <c r="EA40" s="783"/>
      <c r="EB40" s="1501"/>
      <c r="EC40" s="783"/>
      <c r="ED40" s="848"/>
      <c r="EE40" s="847"/>
      <c r="EF40" s="783"/>
      <c r="EG40" s="783"/>
      <c r="EH40" s="783"/>
      <c r="EI40" s="1501"/>
      <c r="EJ40" s="783"/>
      <c r="EK40" s="783"/>
      <c r="EL40" s="1180"/>
      <c r="EM40" s="783"/>
      <c r="EN40" s="783"/>
      <c r="EO40" s="783"/>
      <c r="EP40" s="1501"/>
      <c r="EQ40" s="783"/>
      <c r="ER40" s="848"/>
      <c r="ES40" s="847"/>
      <c r="ET40" s="783"/>
      <c r="EU40" s="783"/>
      <c r="EV40" s="783"/>
      <c r="EW40" s="1501"/>
      <c r="EX40" s="783"/>
      <c r="EY40" s="783"/>
      <c r="EZ40" s="1180"/>
      <c r="FA40" s="783"/>
      <c r="FB40" s="783"/>
      <c r="FC40" s="783"/>
      <c r="FD40" s="1501"/>
      <c r="FE40" s="783"/>
      <c r="FF40" s="848"/>
      <c r="FG40" s="847"/>
      <c r="FH40" s="783"/>
      <c r="FI40" s="783"/>
      <c r="FJ40" s="783"/>
      <c r="FK40" s="1501"/>
      <c r="FL40" s="783"/>
      <c r="FM40" s="783"/>
      <c r="FN40" s="1180"/>
      <c r="FO40" s="783"/>
      <c r="FP40" s="783"/>
      <c r="FQ40" s="783"/>
      <c r="FR40" s="1501"/>
      <c r="FS40" s="783"/>
      <c r="FT40" s="848"/>
    </row>
    <row r="41" spans="1:176" x14ac:dyDescent="0.25">
      <c r="A41" s="735"/>
      <c r="I41" s="777"/>
      <c r="P41" s="1181"/>
      <c r="V41" s="784"/>
      <c r="W41" s="777"/>
      <c r="AD41" s="1181"/>
      <c r="AJ41" s="784"/>
      <c r="AK41" s="777"/>
      <c r="AR41" s="1181"/>
      <c r="AX41" s="784"/>
      <c r="AY41" s="777"/>
      <c r="BF41" s="1181"/>
      <c r="BL41" s="784"/>
      <c r="BM41" s="777"/>
      <c r="BT41" s="1181"/>
      <c r="BZ41" s="784"/>
      <c r="CA41" s="777"/>
      <c r="CH41" s="1181"/>
      <c r="CN41" s="784"/>
      <c r="CO41" s="777"/>
      <c r="CV41" s="1181"/>
      <c r="DB41" s="784"/>
      <c r="DC41" s="777"/>
      <c r="DJ41" s="1181"/>
      <c r="DP41" s="784"/>
      <c r="DQ41" s="777"/>
      <c r="DX41" s="1181"/>
      <c r="ED41" s="784"/>
      <c r="EE41" s="777"/>
      <c r="EL41" s="1181"/>
      <c r="ER41" s="784"/>
      <c r="ES41" s="777"/>
      <c r="EZ41" s="1181"/>
      <c r="FF41" s="784"/>
      <c r="FG41" s="777"/>
      <c r="FN41" s="1181"/>
      <c r="FT41" s="784"/>
    </row>
    <row r="42" spans="1:176" x14ac:dyDescent="0.25">
      <c r="A42" s="735"/>
      <c r="I42" s="777"/>
      <c r="N42" s="779"/>
      <c r="P42" s="1181"/>
      <c r="U42" s="779"/>
      <c r="V42" s="784"/>
      <c r="W42" s="777"/>
      <c r="AB42" s="779"/>
      <c r="AD42" s="1181"/>
      <c r="AI42" s="779"/>
      <c r="AJ42" s="784"/>
      <c r="AK42" s="777"/>
      <c r="AP42" s="779"/>
      <c r="AR42" s="1181"/>
      <c r="AW42" s="779"/>
      <c r="AX42" s="784"/>
      <c r="AY42" s="777"/>
      <c r="BD42" s="779"/>
      <c r="BF42" s="1181"/>
      <c r="BK42" s="779"/>
      <c r="BL42" s="784"/>
      <c r="BM42" s="777"/>
      <c r="BR42" s="779"/>
      <c r="BT42" s="1181"/>
      <c r="BY42" s="779"/>
      <c r="BZ42" s="784"/>
      <c r="CA42" s="777"/>
      <c r="CF42" s="779"/>
      <c r="CH42" s="1181"/>
      <c r="CM42" s="779"/>
      <c r="CN42" s="784"/>
      <c r="CO42" s="777"/>
      <c r="CT42" s="779"/>
      <c r="CV42" s="1181"/>
      <c r="DA42" s="779"/>
      <c r="DB42" s="784"/>
      <c r="DC42" s="777"/>
      <c r="DH42" s="779"/>
      <c r="DJ42" s="1181"/>
      <c r="DO42" s="779"/>
      <c r="DP42" s="784"/>
      <c r="DQ42" s="777"/>
      <c r="DV42" s="779"/>
      <c r="DX42" s="1181"/>
      <c r="EC42" s="779"/>
      <c r="ED42" s="784"/>
      <c r="EE42" s="777"/>
      <c r="EJ42" s="779"/>
      <c r="EL42" s="1181"/>
      <c r="EQ42" s="779"/>
      <c r="ER42" s="784"/>
      <c r="ES42" s="777"/>
      <c r="EX42" s="779"/>
      <c r="EZ42" s="1181"/>
      <c r="FE42" s="779"/>
      <c r="FF42" s="784"/>
      <c r="FG42" s="777"/>
      <c r="FL42" s="779"/>
      <c r="FN42" s="1181"/>
      <c r="FS42" s="779"/>
      <c r="FT42" s="784"/>
    </row>
    <row r="43" spans="1:176" x14ac:dyDescent="0.25">
      <c r="A43" s="735"/>
      <c r="I43" s="777"/>
      <c r="P43" s="1181"/>
      <c r="V43" s="784"/>
      <c r="W43" s="777"/>
      <c r="AD43" s="1181"/>
      <c r="AJ43" s="784"/>
      <c r="AK43" s="777"/>
      <c r="AR43" s="1181"/>
      <c r="AX43" s="784"/>
      <c r="AY43" s="777"/>
      <c r="BF43" s="1181"/>
      <c r="BL43" s="784"/>
      <c r="BM43" s="777"/>
      <c r="BT43" s="1181"/>
      <c r="BZ43" s="784"/>
      <c r="CA43" s="777"/>
      <c r="CH43" s="1181"/>
      <c r="CN43" s="784"/>
      <c r="CO43" s="777"/>
      <c r="CV43" s="1181"/>
      <c r="DB43" s="784"/>
      <c r="DC43" s="777"/>
      <c r="DJ43" s="1181"/>
      <c r="DP43" s="784"/>
      <c r="DQ43" s="777"/>
      <c r="DX43" s="1181"/>
      <c r="ED43" s="784"/>
      <c r="EE43" s="777"/>
      <c r="EL43" s="1181"/>
      <c r="ER43" s="784"/>
      <c r="ES43" s="777"/>
      <c r="EZ43" s="1181"/>
      <c r="FF43" s="784"/>
      <c r="FG43" s="777"/>
      <c r="FN43" s="1181"/>
      <c r="FT43" s="784"/>
    </row>
    <row r="44" spans="1:176" x14ac:dyDescent="0.25">
      <c r="A44" s="735"/>
      <c r="I44" s="777"/>
      <c r="P44" s="1181"/>
      <c r="V44" s="784"/>
      <c r="W44" s="777"/>
      <c r="AD44" s="1181"/>
      <c r="AJ44" s="784"/>
      <c r="AK44" s="777"/>
      <c r="AR44" s="1181"/>
      <c r="AX44" s="784"/>
      <c r="AY44" s="777"/>
      <c r="BF44" s="1181"/>
      <c r="BL44" s="784"/>
      <c r="BM44" s="777"/>
      <c r="BT44" s="1181"/>
      <c r="BZ44" s="784"/>
      <c r="CA44" s="777"/>
      <c r="CH44" s="1181"/>
      <c r="CN44" s="784"/>
      <c r="CO44" s="777"/>
      <c r="CV44" s="1181"/>
      <c r="DB44" s="784"/>
      <c r="DC44" s="777"/>
      <c r="DJ44" s="1181"/>
      <c r="DP44" s="784"/>
      <c r="DQ44" s="777"/>
      <c r="DX44" s="1181"/>
      <c r="ED44" s="784"/>
      <c r="EE44" s="777"/>
      <c r="EL44" s="1181"/>
      <c r="ER44" s="784"/>
      <c r="ES44" s="777"/>
      <c r="EZ44" s="1181"/>
      <c r="FF44" s="784"/>
      <c r="FG44" s="777"/>
      <c r="FN44" s="1181"/>
      <c r="FT44" s="784"/>
    </row>
    <row r="45" spans="1:176" x14ac:dyDescent="0.25">
      <c r="A45" s="735"/>
      <c r="I45" s="777"/>
      <c r="P45" s="1181"/>
      <c r="V45" s="784"/>
      <c r="W45" s="777"/>
      <c r="AD45" s="1181"/>
      <c r="AJ45" s="784"/>
      <c r="AK45" s="777"/>
      <c r="AR45" s="1181"/>
      <c r="AX45" s="784"/>
      <c r="AY45" s="777"/>
      <c r="BF45" s="1181"/>
      <c r="BL45" s="784"/>
      <c r="BM45" s="777"/>
      <c r="BT45" s="1181"/>
      <c r="BZ45" s="784"/>
      <c r="CA45" s="777"/>
      <c r="CH45" s="1181"/>
      <c r="CN45" s="784"/>
      <c r="CO45" s="777"/>
      <c r="CV45" s="1181"/>
      <c r="DB45" s="784"/>
      <c r="DC45" s="777"/>
      <c r="DJ45" s="1181"/>
      <c r="DP45" s="784"/>
      <c r="DQ45" s="777"/>
      <c r="DX45" s="1181"/>
      <c r="ED45" s="784"/>
      <c r="EE45" s="777"/>
      <c r="EL45" s="1181"/>
      <c r="ER45" s="784"/>
      <c r="ES45" s="777"/>
      <c r="EZ45" s="1181"/>
      <c r="FF45" s="784"/>
      <c r="FG45" s="777"/>
      <c r="FN45" s="1181"/>
      <c r="FT45" s="784"/>
    </row>
    <row r="46" spans="1:176" x14ac:dyDescent="0.25">
      <c r="A46" s="735"/>
      <c r="I46" s="777"/>
      <c r="P46" s="1181"/>
      <c r="V46" s="784"/>
      <c r="W46" s="777"/>
      <c r="AD46" s="1181"/>
      <c r="AJ46" s="784"/>
      <c r="AK46" s="777"/>
      <c r="AR46" s="1181"/>
      <c r="AX46" s="784"/>
      <c r="AY46" s="777"/>
      <c r="BF46" s="1181"/>
      <c r="BL46" s="784"/>
      <c r="BM46" s="777"/>
      <c r="BT46" s="1181"/>
      <c r="BZ46" s="784"/>
      <c r="CA46" s="777"/>
      <c r="CH46" s="1181"/>
      <c r="CN46" s="784"/>
      <c r="CO46" s="777"/>
      <c r="CV46" s="1181"/>
      <c r="DB46" s="784"/>
      <c r="DC46" s="777"/>
      <c r="DJ46" s="1181"/>
      <c r="DP46" s="784"/>
      <c r="DQ46" s="777"/>
      <c r="DX46" s="1181"/>
      <c r="ED46" s="784"/>
      <c r="EE46" s="777"/>
      <c r="EL46" s="1181"/>
      <c r="ER46" s="784"/>
      <c r="ES46" s="777"/>
      <c r="EZ46" s="1181"/>
      <c r="FF46" s="784"/>
      <c r="FG46" s="777"/>
      <c r="FN46" s="1181"/>
      <c r="FT46" s="784"/>
    </row>
    <row r="47" spans="1:176" x14ac:dyDescent="0.25">
      <c r="A47" s="735"/>
      <c r="I47" s="777"/>
      <c r="P47" s="1181"/>
      <c r="V47" s="784"/>
      <c r="W47" s="777"/>
      <c r="AD47" s="1181"/>
      <c r="AJ47" s="784"/>
      <c r="AK47" s="777"/>
      <c r="AR47" s="1181"/>
      <c r="AX47" s="784"/>
      <c r="AY47" s="777"/>
      <c r="BF47" s="1181"/>
      <c r="BL47" s="784"/>
      <c r="BM47" s="777"/>
      <c r="BT47" s="1181"/>
      <c r="BZ47" s="784"/>
      <c r="CA47" s="777"/>
      <c r="CH47" s="1181"/>
      <c r="CN47" s="784"/>
      <c r="CO47" s="777"/>
      <c r="CV47" s="1181"/>
      <c r="DB47" s="784"/>
      <c r="DC47" s="777"/>
      <c r="DJ47" s="1181"/>
      <c r="DP47" s="784"/>
      <c r="DQ47" s="777"/>
      <c r="DX47" s="1181"/>
      <c r="ED47" s="784"/>
      <c r="EE47" s="777"/>
      <c r="EL47" s="1181"/>
      <c r="ER47" s="784"/>
      <c r="ES47" s="777"/>
      <c r="EZ47" s="1181"/>
      <c r="FF47" s="784"/>
      <c r="FG47" s="777"/>
      <c r="FN47" s="1181"/>
      <c r="FT47" s="784"/>
    </row>
    <row r="48" spans="1:176" x14ac:dyDescent="0.25">
      <c r="A48" s="735"/>
      <c r="I48" s="777"/>
      <c r="P48" s="1181"/>
      <c r="V48" s="784"/>
      <c r="W48" s="777"/>
      <c r="AD48" s="1181"/>
      <c r="AJ48" s="784"/>
      <c r="AK48" s="777"/>
      <c r="AR48" s="1181"/>
      <c r="AX48" s="784"/>
      <c r="AY48" s="777"/>
      <c r="BF48" s="1181"/>
      <c r="BL48" s="784"/>
      <c r="BM48" s="777"/>
      <c r="BT48" s="1181"/>
      <c r="BZ48" s="784"/>
      <c r="CA48" s="777"/>
      <c r="CH48" s="1181"/>
      <c r="CN48" s="784"/>
      <c r="CO48" s="777"/>
      <c r="CV48" s="1181"/>
      <c r="DB48" s="784"/>
      <c r="DC48" s="777"/>
      <c r="DJ48" s="1181"/>
      <c r="DP48" s="784"/>
      <c r="DQ48" s="777"/>
      <c r="DX48" s="1181"/>
      <c r="ED48" s="784"/>
      <c r="EE48" s="777"/>
      <c r="EL48" s="1181"/>
      <c r="ER48" s="784"/>
      <c r="ES48" s="777"/>
      <c r="EZ48" s="1181"/>
      <c r="FF48" s="784"/>
      <c r="FG48" s="777"/>
      <c r="FN48" s="1181"/>
      <c r="FT48" s="784"/>
    </row>
    <row r="49" spans="1:176" x14ac:dyDescent="0.25">
      <c r="A49" s="735"/>
      <c r="I49" s="777"/>
      <c r="P49" s="1181"/>
      <c r="V49" s="784"/>
      <c r="W49" s="777"/>
      <c r="AD49" s="1181"/>
      <c r="AJ49" s="784"/>
      <c r="AK49" s="777"/>
      <c r="AR49" s="1181"/>
      <c r="AX49" s="784"/>
      <c r="AY49" s="777"/>
      <c r="BF49" s="1181"/>
      <c r="BL49" s="784"/>
      <c r="BM49" s="777"/>
      <c r="BT49" s="1181"/>
      <c r="BZ49" s="784"/>
      <c r="CA49" s="777"/>
      <c r="CH49" s="1181"/>
      <c r="CN49" s="784"/>
      <c r="CO49" s="777"/>
      <c r="CV49" s="1181"/>
      <c r="DB49" s="784"/>
      <c r="DC49" s="777"/>
      <c r="DJ49" s="1181"/>
      <c r="DP49" s="784"/>
      <c r="DQ49" s="777"/>
      <c r="DX49" s="1181"/>
      <c r="ED49" s="784"/>
      <c r="EE49" s="777"/>
      <c r="EL49" s="1181"/>
      <c r="ER49" s="784"/>
      <c r="ES49" s="777"/>
      <c r="EZ49" s="1181"/>
      <c r="FF49" s="784"/>
      <c r="FG49" s="777"/>
      <c r="FN49" s="1181"/>
      <c r="FT49" s="784"/>
    </row>
    <row r="50" spans="1:176" x14ac:dyDescent="0.25">
      <c r="A50" s="735"/>
      <c r="I50" s="777"/>
      <c r="P50" s="1181"/>
      <c r="V50" s="784"/>
      <c r="W50" s="777"/>
      <c r="AD50" s="1181"/>
      <c r="AJ50" s="784"/>
      <c r="AK50" s="777"/>
      <c r="AR50" s="1181"/>
      <c r="AX50" s="784"/>
      <c r="AY50" s="777"/>
      <c r="BF50" s="1181"/>
      <c r="BL50" s="784"/>
      <c r="BM50" s="777"/>
      <c r="BT50" s="1181"/>
      <c r="BZ50" s="784"/>
      <c r="CA50" s="777"/>
      <c r="CH50" s="1181"/>
      <c r="CN50" s="784"/>
      <c r="CO50" s="777"/>
      <c r="CV50" s="1181"/>
      <c r="DB50" s="784"/>
      <c r="DC50" s="777"/>
      <c r="DJ50" s="1181"/>
      <c r="DP50" s="784"/>
      <c r="DQ50" s="777"/>
      <c r="DX50" s="1181"/>
      <c r="ED50" s="784"/>
      <c r="EE50" s="777"/>
      <c r="EL50" s="1181"/>
      <c r="ER50" s="784"/>
      <c r="ES50" s="777"/>
      <c r="EZ50" s="1181"/>
      <c r="FF50" s="784"/>
      <c r="FG50" s="777"/>
      <c r="FN50" s="1181"/>
      <c r="FT50" s="784"/>
    </row>
    <row r="51" spans="1:176" x14ac:dyDescent="0.25">
      <c r="A51" s="735"/>
      <c r="I51" s="777"/>
      <c r="P51" s="1181"/>
      <c r="V51" s="784"/>
      <c r="W51" s="777"/>
      <c r="AD51" s="1181"/>
      <c r="AJ51" s="784"/>
      <c r="AK51" s="777"/>
      <c r="AR51" s="1181"/>
      <c r="AX51" s="784"/>
      <c r="AY51" s="777"/>
      <c r="BF51" s="1181"/>
      <c r="BL51" s="784"/>
      <c r="BM51" s="777"/>
      <c r="BT51" s="1181"/>
      <c r="BZ51" s="784"/>
      <c r="CA51" s="777"/>
      <c r="CH51" s="1181"/>
      <c r="CN51" s="784"/>
      <c r="CO51" s="777"/>
      <c r="CV51" s="1181"/>
      <c r="DB51" s="784"/>
      <c r="DC51" s="777"/>
      <c r="DJ51" s="1181"/>
      <c r="DP51" s="784"/>
      <c r="DQ51" s="777"/>
      <c r="DX51" s="1181"/>
      <c r="ED51" s="784"/>
      <c r="EE51" s="777"/>
      <c r="EL51" s="1181"/>
      <c r="ER51" s="784"/>
      <c r="ES51" s="777"/>
      <c r="EZ51" s="1181"/>
      <c r="FF51" s="784"/>
      <c r="FG51" s="777"/>
      <c r="FN51" s="1181"/>
      <c r="FT51" s="784"/>
    </row>
    <row r="52" spans="1:176" x14ac:dyDescent="0.25">
      <c r="A52" s="735"/>
      <c r="I52" s="777"/>
      <c r="P52" s="1181"/>
      <c r="V52" s="784"/>
      <c r="W52" s="777"/>
      <c r="AD52" s="1181"/>
      <c r="AJ52" s="784"/>
      <c r="AK52" s="777"/>
      <c r="AR52" s="1181"/>
      <c r="AX52" s="784"/>
      <c r="AY52" s="777"/>
      <c r="BF52" s="1181"/>
      <c r="BL52" s="784"/>
      <c r="BM52" s="777"/>
      <c r="BT52" s="1181"/>
      <c r="BZ52" s="784"/>
      <c r="CA52" s="777"/>
      <c r="CH52" s="1181"/>
      <c r="CN52" s="784"/>
      <c r="CO52" s="777"/>
      <c r="CV52" s="1181"/>
      <c r="DB52" s="784"/>
      <c r="DC52" s="777"/>
      <c r="DJ52" s="1181"/>
      <c r="DP52" s="784"/>
      <c r="DQ52" s="777"/>
      <c r="DX52" s="1181"/>
      <c r="ED52" s="784"/>
      <c r="EE52" s="777"/>
      <c r="EL52" s="1181"/>
      <c r="ER52" s="784"/>
      <c r="ES52" s="777"/>
      <c r="EZ52" s="1181"/>
      <c r="FF52" s="784"/>
      <c r="FG52" s="777"/>
      <c r="FN52" s="1181"/>
      <c r="FT52" s="784"/>
    </row>
    <row r="53" spans="1:176" x14ac:dyDescent="0.25">
      <c r="A53" s="735"/>
      <c r="I53" s="777"/>
      <c r="P53" s="1181"/>
      <c r="V53" s="784"/>
      <c r="W53" s="777"/>
      <c r="AD53" s="1181"/>
      <c r="AJ53" s="784"/>
      <c r="AK53" s="777"/>
      <c r="AR53" s="1181"/>
      <c r="AX53" s="784"/>
      <c r="AY53" s="777"/>
      <c r="BF53" s="1181"/>
      <c r="BL53" s="784"/>
      <c r="BM53" s="777"/>
      <c r="BT53" s="1181"/>
      <c r="BZ53" s="784"/>
      <c r="CA53" s="777"/>
      <c r="CH53" s="1181"/>
      <c r="CN53" s="784"/>
      <c r="CO53" s="777"/>
      <c r="CV53" s="1181"/>
      <c r="DB53" s="784"/>
      <c r="DC53" s="777"/>
      <c r="DJ53" s="1181"/>
      <c r="DP53" s="784"/>
      <c r="DQ53" s="777"/>
      <c r="DX53" s="1181"/>
      <c r="ED53" s="784"/>
      <c r="EE53" s="777"/>
      <c r="EL53" s="1181"/>
      <c r="ER53" s="784"/>
      <c r="ES53" s="777"/>
      <c r="EZ53" s="1181"/>
      <c r="FF53" s="784"/>
      <c r="FG53" s="777"/>
      <c r="FN53" s="1181"/>
      <c r="FT53" s="784"/>
    </row>
    <row r="54" spans="1:176" x14ac:dyDescent="0.25">
      <c r="A54" s="735"/>
      <c r="I54" s="777"/>
      <c r="P54" s="1181"/>
      <c r="V54" s="784"/>
      <c r="W54" s="777"/>
      <c r="AD54" s="1181"/>
      <c r="AJ54" s="784"/>
      <c r="AK54" s="777"/>
      <c r="AR54" s="1181"/>
      <c r="AX54" s="784"/>
      <c r="AY54" s="777"/>
      <c r="BF54" s="1181"/>
      <c r="BL54" s="784"/>
      <c r="BM54" s="777"/>
      <c r="BT54" s="1181"/>
      <c r="BZ54" s="784"/>
      <c r="CA54" s="777"/>
      <c r="CH54" s="1181"/>
      <c r="CN54" s="784"/>
      <c r="CO54" s="777"/>
      <c r="CV54" s="1181"/>
      <c r="DB54" s="784"/>
      <c r="DC54" s="777"/>
      <c r="DJ54" s="1181"/>
      <c r="DP54" s="784"/>
      <c r="DQ54" s="777"/>
      <c r="DX54" s="1181"/>
      <c r="ED54" s="784"/>
      <c r="EE54" s="777"/>
      <c r="EL54" s="1181"/>
      <c r="ER54" s="784"/>
      <c r="ES54" s="777"/>
      <c r="EZ54" s="1181"/>
      <c r="FF54" s="784"/>
      <c r="FG54" s="777"/>
      <c r="FN54" s="1181"/>
      <c r="FT54" s="784"/>
    </row>
    <row r="55" spans="1:176" x14ac:dyDescent="0.25">
      <c r="I55" s="777"/>
      <c r="P55" s="1181"/>
      <c r="V55" s="784"/>
      <c r="W55" s="777"/>
      <c r="AD55" s="1181"/>
      <c r="AJ55" s="784"/>
      <c r="AK55" s="777"/>
      <c r="AR55" s="1181"/>
      <c r="AX55" s="784"/>
      <c r="AY55" s="777"/>
      <c r="BF55" s="1181"/>
      <c r="BL55" s="784"/>
      <c r="BM55" s="777"/>
      <c r="BT55" s="1181"/>
      <c r="BZ55" s="784"/>
      <c r="CA55" s="777"/>
      <c r="CH55" s="1181"/>
      <c r="CN55" s="784"/>
      <c r="CO55" s="777"/>
      <c r="CV55" s="1181"/>
      <c r="DB55" s="784"/>
      <c r="DC55" s="777"/>
      <c r="DJ55" s="1181"/>
      <c r="DP55" s="784"/>
      <c r="DQ55" s="777"/>
      <c r="DX55" s="1181"/>
      <c r="ED55" s="784"/>
      <c r="EE55" s="777"/>
      <c r="EL55" s="1181"/>
      <c r="ER55" s="784"/>
      <c r="ES55" s="777"/>
      <c r="EZ55" s="1181"/>
      <c r="FF55" s="784"/>
      <c r="FG55" s="777"/>
      <c r="FN55" s="1181"/>
      <c r="FT55" s="784"/>
    </row>
    <row r="56" spans="1:176" x14ac:dyDescent="0.25">
      <c r="A56" s="735"/>
      <c r="I56" s="777"/>
      <c r="P56" s="1181"/>
      <c r="V56" s="784"/>
      <c r="W56" s="777"/>
      <c r="AD56" s="1181"/>
      <c r="AJ56" s="784"/>
      <c r="AK56" s="777"/>
      <c r="AR56" s="1181"/>
      <c r="AX56" s="784"/>
      <c r="AY56" s="777"/>
      <c r="BF56" s="1181"/>
      <c r="BL56" s="784"/>
      <c r="BM56" s="777"/>
      <c r="BT56" s="1181"/>
      <c r="BZ56" s="784"/>
      <c r="CA56" s="777"/>
      <c r="CH56" s="1181"/>
      <c r="CN56" s="784"/>
      <c r="CO56" s="777"/>
      <c r="CV56" s="1181"/>
      <c r="DB56" s="784"/>
      <c r="DC56" s="777"/>
      <c r="DJ56" s="1181"/>
      <c r="DP56" s="784"/>
      <c r="DQ56" s="777"/>
      <c r="DX56" s="1181"/>
      <c r="ED56" s="784"/>
      <c r="EE56" s="777"/>
      <c r="EL56" s="1181"/>
      <c r="ER56" s="784"/>
      <c r="ES56" s="777"/>
      <c r="EZ56" s="1181"/>
      <c r="FF56" s="784"/>
      <c r="FG56" s="777"/>
      <c r="FN56" s="1181"/>
      <c r="FT56" s="784"/>
    </row>
    <row r="57" spans="1:176" x14ac:dyDescent="0.25">
      <c r="C57" s="734"/>
      <c r="I57" s="777"/>
      <c r="P57" s="1181"/>
      <c r="V57" s="784"/>
      <c r="W57" s="777"/>
      <c r="AD57" s="1181"/>
      <c r="AJ57" s="784"/>
      <c r="AK57" s="777"/>
      <c r="AR57" s="1181"/>
      <c r="AX57" s="784"/>
      <c r="AY57" s="777"/>
      <c r="BF57" s="1181"/>
      <c r="BL57" s="784"/>
      <c r="BM57" s="777"/>
      <c r="BT57" s="1181"/>
      <c r="BZ57" s="784"/>
      <c r="CA57" s="777"/>
      <c r="CH57" s="1181"/>
      <c r="CN57" s="784"/>
      <c r="CO57" s="777"/>
      <c r="CV57" s="1181"/>
      <c r="DB57" s="784"/>
      <c r="DC57" s="777"/>
      <c r="DJ57" s="1181"/>
      <c r="DP57" s="784"/>
      <c r="DQ57" s="777"/>
      <c r="DX57" s="1181"/>
      <c r="ED57" s="784"/>
      <c r="EE57" s="777"/>
      <c r="EL57" s="1181"/>
      <c r="ER57" s="784"/>
      <c r="ES57" s="777"/>
      <c r="EZ57" s="1181"/>
      <c r="FF57" s="784"/>
      <c r="FG57" s="777"/>
      <c r="FN57" s="1181"/>
      <c r="FT57" s="784"/>
    </row>
    <row r="58" spans="1:176" x14ac:dyDescent="0.25">
      <c r="B58" s="734"/>
      <c r="I58" s="777"/>
      <c r="P58" s="1181"/>
      <c r="V58" s="784"/>
      <c r="W58" s="777"/>
      <c r="AD58" s="1181"/>
      <c r="AJ58" s="784"/>
      <c r="AK58" s="777"/>
      <c r="AR58" s="1181"/>
      <c r="AX58" s="784"/>
      <c r="AY58" s="777"/>
      <c r="BF58" s="1181"/>
      <c r="BL58" s="784"/>
      <c r="BM58" s="777"/>
      <c r="BT58" s="1181"/>
      <c r="BZ58" s="784"/>
      <c r="CA58" s="777"/>
      <c r="CH58" s="1181"/>
      <c r="CN58" s="784"/>
      <c r="CO58" s="777"/>
      <c r="CV58" s="1181"/>
      <c r="DB58" s="784"/>
      <c r="DC58" s="777"/>
      <c r="DJ58" s="1181"/>
      <c r="DP58" s="784"/>
      <c r="DQ58" s="777"/>
      <c r="DX58" s="1181"/>
      <c r="ED58" s="784"/>
      <c r="EE58" s="777"/>
      <c r="EL58" s="1181"/>
      <c r="ER58" s="784"/>
      <c r="ES58" s="777"/>
      <c r="EZ58" s="1181"/>
      <c r="FF58" s="784"/>
      <c r="FG58" s="777"/>
      <c r="FN58" s="1181"/>
      <c r="FT58" s="784"/>
    </row>
    <row r="59" spans="1:176" x14ac:dyDescent="0.25">
      <c r="I59" s="777"/>
      <c r="P59" s="1181"/>
      <c r="V59" s="784"/>
      <c r="W59" s="777"/>
      <c r="AD59" s="1181"/>
      <c r="AJ59" s="784"/>
      <c r="AK59" s="777"/>
      <c r="AR59" s="1181"/>
      <c r="AX59" s="784"/>
      <c r="AY59" s="777"/>
      <c r="BF59" s="1181"/>
      <c r="BL59" s="784"/>
      <c r="BM59" s="777"/>
      <c r="BT59" s="1181"/>
      <c r="BZ59" s="784"/>
      <c r="CA59" s="777"/>
      <c r="CH59" s="1181"/>
      <c r="CN59" s="784"/>
      <c r="CO59" s="777"/>
      <c r="CV59" s="1181"/>
      <c r="DB59" s="784"/>
      <c r="DC59" s="777"/>
      <c r="DJ59" s="1181"/>
      <c r="DP59" s="784"/>
      <c r="DQ59" s="777"/>
      <c r="DX59" s="1181"/>
      <c r="ED59" s="784"/>
      <c r="EE59" s="777"/>
      <c r="EL59" s="1181"/>
      <c r="ER59" s="784"/>
      <c r="ES59" s="777"/>
      <c r="EZ59" s="1181"/>
      <c r="FF59" s="784"/>
      <c r="FG59" s="777"/>
      <c r="FN59" s="1181"/>
      <c r="FT59" s="784"/>
    </row>
    <row r="60" spans="1:176" x14ac:dyDescent="0.25">
      <c r="I60" s="777"/>
      <c r="P60" s="1181"/>
      <c r="V60" s="784"/>
      <c r="W60" s="777"/>
      <c r="AD60" s="1181"/>
      <c r="AJ60" s="784"/>
      <c r="AK60" s="777"/>
      <c r="AR60" s="1181"/>
      <c r="AX60" s="784"/>
      <c r="AY60" s="777"/>
      <c r="BF60" s="1181"/>
      <c r="BL60" s="784"/>
      <c r="BM60" s="777"/>
      <c r="BT60" s="1181"/>
      <c r="BZ60" s="784"/>
      <c r="CA60" s="777"/>
      <c r="CH60" s="1181"/>
      <c r="CN60" s="784"/>
      <c r="CO60" s="777"/>
      <c r="CV60" s="1181"/>
      <c r="DB60" s="784"/>
      <c r="DC60" s="777"/>
      <c r="DJ60" s="1181"/>
      <c r="DP60" s="784"/>
      <c r="DQ60" s="777"/>
      <c r="DX60" s="1181"/>
      <c r="ED60" s="784"/>
      <c r="EE60" s="777"/>
      <c r="EL60" s="1181"/>
      <c r="ER60" s="784"/>
      <c r="ES60" s="777"/>
      <c r="EZ60" s="1181"/>
      <c r="FF60" s="784"/>
      <c r="FG60" s="777"/>
      <c r="FN60" s="1181"/>
      <c r="FT60" s="784"/>
    </row>
    <row r="61" spans="1:176" x14ac:dyDescent="0.25">
      <c r="I61" s="777"/>
      <c r="P61" s="1181"/>
      <c r="V61" s="784"/>
      <c r="W61" s="777"/>
      <c r="AD61" s="1181"/>
      <c r="AJ61" s="784"/>
      <c r="AK61" s="777"/>
      <c r="AR61" s="1181"/>
      <c r="AX61" s="784"/>
      <c r="AY61" s="777"/>
      <c r="BF61" s="1181"/>
      <c r="BL61" s="784"/>
      <c r="BM61" s="777"/>
      <c r="BT61" s="1181"/>
      <c r="BZ61" s="784"/>
      <c r="CA61" s="777"/>
      <c r="CH61" s="1181"/>
      <c r="CN61" s="784"/>
      <c r="CO61" s="777"/>
      <c r="CV61" s="1181"/>
      <c r="DB61" s="784"/>
      <c r="DC61" s="777"/>
      <c r="DJ61" s="1181"/>
      <c r="DP61" s="784"/>
      <c r="DQ61" s="777"/>
      <c r="DX61" s="1181"/>
      <c r="ED61" s="784"/>
      <c r="EE61" s="777"/>
      <c r="EL61" s="1181"/>
      <c r="ER61" s="784"/>
      <c r="ES61" s="777"/>
      <c r="EZ61" s="1181"/>
      <c r="FF61" s="784"/>
      <c r="FG61" s="777"/>
      <c r="FN61" s="1181"/>
      <c r="FT61" s="784"/>
    </row>
    <row r="62" spans="1:176" ht="15.75" thickBot="1" x14ac:dyDescent="0.3">
      <c r="I62" s="849"/>
      <c r="J62" s="850"/>
      <c r="K62" s="850"/>
      <c r="L62" s="850"/>
      <c r="M62" s="850"/>
      <c r="N62" s="850"/>
      <c r="O62" s="850"/>
      <c r="P62" s="1182"/>
      <c r="Q62" s="850"/>
      <c r="R62" s="850"/>
      <c r="S62" s="850"/>
      <c r="T62" s="850"/>
      <c r="U62" s="850"/>
      <c r="V62" s="785"/>
      <c r="W62" s="849"/>
      <c r="X62" s="850"/>
      <c r="Y62" s="850"/>
      <c r="Z62" s="850"/>
      <c r="AA62" s="850"/>
      <c r="AB62" s="850"/>
      <c r="AC62" s="850"/>
      <c r="AD62" s="1182"/>
      <c r="AE62" s="850"/>
      <c r="AF62" s="850"/>
      <c r="AG62" s="850"/>
      <c r="AH62" s="850"/>
      <c r="AI62" s="850"/>
      <c r="AJ62" s="785"/>
      <c r="AK62" s="849"/>
      <c r="AL62" s="850"/>
      <c r="AM62" s="850"/>
      <c r="AN62" s="850"/>
      <c r="AO62" s="850"/>
      <c r="AP62" s="850"/>
      <c r="AQ62" s="850"/>
      <c r="AR62" s="1182"/>
      <c r="AS62" s="850"/>
      <c r="AT62" s="850"/>
      <c r="AU62" s="850"/>
      <c r="AV62" s="850"/>
      <c r="AW62" s="850"/>
      <c r="AX62" s="785"/>
      <c r="AY62" s="849"/>
      <c r="AZ62" s="850"/>
      <c r="BA62" s="850"/>
      <c r="BB62" s="850"/>
      <c r="BC62" s="850"/>
      <c r="BD62" s="850"/>
      <c r="BE62" s="850"/>
      <c r="BF62" s="1182"/>
      <c r="BG62" s="850"/>
      <c r="BH62" s="850"/>
      <c r="BI62" s="850"/>
      <c r="BJ62" s="850"/>
      <c r="BK62" s="850"/>
      <c r="BL62" s="785"/>
      <c r="BM62" s="849"/>
      <c r="BN62" s="850"/>
      <c r="BO62" s="850"/>
      <c r="BP62" s="850"/>
      <c r="BQ62" s="850"/>
      <c r="BR62" s="850"/>
      <c r="BS62" s="850"/>
      <c r="BT62" s="1182"/>
      <c r="BU62" s="850"/>
      <c r="BV62" s="850"/>
      <c r="BW62" s="850"/>
      <c r="BX62" s="850"/>
      <c r="BY62" s="850"/>
      <c r="BZ62" s="785"/>
      <c r="CA62" s="849"/>
      <c r="CB62" s="850"/>
      <c r="CC62" s="850"/>
      <c r="CD62" s="850"/>
      <c r="CE62" s="850"/>
      <c r="CF62" s="850"/>
      <c r="CG62" s="850"/>
      <c r="CH62" s="1182"/>
      <c r="CI62" s="850"/>
      <c r="CJ62" s="850"/>
      <c r="CK62" s="850"/>
      <c r="CL62" s="850"/>
      <c r="CM62" s="850"/>
      <c r="CN62" s="785"/>
      <c r="CO62" s="849"/>
      <c r="CP62" s="850"/>
      <c r="CQ62" s="850"/>
      <c r="CR62" s="850"/>
      <c r="CS62" s="850"/>
      <c r="CT62" s="850"/>
      <c r="CU62" s="850"/>
      <c r="CV62" s="1182"/>
      <c r="CW62" s="850"/>
      <c r="CX62" s="850"/>
      <c r="CY62" s="850"/>
      <c r="CZ62" s="850"/>
      <c r="DA62" s="850"/>
      <c r="DB62" s="785"/>
      <c r="DC62" s="849"/>
      <c r="DD62" s="850"/>
      <c r="DE62" s="850"/>
      <c r="DF62" s="850"/>
      <c r="DG62" s="850"/>
      <c r="DH62" s="850"/>
      <c r="DI62" s="850"/>
      <c r="DJ62" s="1182"/>
      <c r="DK62" s="850"/>
      <c r="DL62" s="850"/>
      <c r="DM62" s="850"/>
      <c r="DN62" s="850"/>
      <c r="DO62" s="850"/>
      <c r="DP62" s="785"/>
      <c r="DQ62" s="849"/>
      <c r="DR62" s="850"/>
      <c r="DS62" s="850"/>
      <c r="DT62" s="850"/>
      <c r="DU62" s="850"/>
      <c r="DV62" s="850"/>
      <c r="DW62" s="850"/>
      <c r="DX62" s="1182"/>
      <c r="DY62" s="850"/>
      <c r="DZ62" s="850"/>
      <c r="EA62" s="850"/>
      <c r="EB62" s="850"/>
      <c r="EC62" s="850"/>
      <c r="ED62" s="785"/>
      <c r="EE62" s="849"/>
      <c r="EF62" s="850"/>
      <c r="EG62" s="850"/>
      <c r="EH62" s="850"/>
      <c r="EI62" s="850"/>
      <c r="EJ62" s="850"/>
      <c r="EK62" s="850"/>
      <c r="EL62" s="1182"/>
      <c r="EM62" s="850"/>
      <c r="EN62" s="850"/>
      <c r="EO62" s="850"/>
      <c r="EP62" s="850"/>
      <c r="EQ62" s="850"/>
      <c r="ER62" s="785"/>
      <c r="ES62" s="849"/>
      <c r="ET62" s="850"/>
      <c r="EU62" s="850"/>
      <c r="EV62" s="850"/>
      <c r="EW62" s="850"/>
      <c r="EX62" s="850"/>
      <c r="EY62" s="850"/>
      <c r="EZ62" s="1182"/>
      <c r="FA62" s="850"/>
      <c r="FB62" s="850"/>
      <c r="FC62" s="850"/>
      <c r="FD62" s="850"/>
      <c r="FE62" s="850"/>
      <c r="FF62" s="785"/>
      <c r="FG62" s="849"/>
      <c r="FH62" s="850"/>
      <c r="FI62" s="850"/>
      <c r="FJ62" s="850"/>
      <c r="FK62" s="850"/>
      <c r="FL62" s="850"/>
      <c r="FM62" s="850"/>
      <c r="FN62" s="1182"/>
      <c r="FO62" s="850"/>
      <c r="FP62" s="850"/>
      <c r="FQ62" s="850"/>
      <c r="FR62" s="850"/>
      <c r="FS62" s="850"/>
      <c r="FT62" s="785"/>
    </row>
    <row r="63" spans="1:176" ht="15.75" thickBot="1" x14ac:dyDescent="0.3">
      <c r="P63" s="746"/>
      <c r="Q63" s="746"/>
      <c r="R63" s="746"/>
      <c r="V63" s="746"/>
      <c r="W63" s="746"/>
      <c r="X63" s="746"/>
    </row>
    <row r="64" spans="1:176" ht="15.75" thickBot="1" x14ac:dyDescent="0.3">
      <c r="A64" s="2549" t="s">
        <v>463</v>
      </c>
      <c r="B64" s="2550"/>
      <c r="C64" s="2550"/>
      <c r="D64" s="2550"/>
      <c r="E64" s="2550"/>
      <c r="F64" s="2550"/>
      <c r="G64" s="2550"/>
      <c r="H64" s="2550"/>
      <c r="I64" s="2550"/>
      <c r="J64" s="2550"/>
      <c r="K64" s="2550"/>
      <c r="L64" s="2550"/>
      <c r="M64" s="2550"/>
      <c r="N64" s="2550"/>
      <c r="O64" s="2551"/>
      <c r="P64" s="746"/>
      <c r="Q64" s="746"/>
      <c r="R64" s="746"/>
      <c r="V64" s="746"/>
      <c r="W64" s="746"/>
      <c r="X64" s="746"/>
    </row>
    <row r="65" spans="1:24" ht="15.75" thickBot="1" x14ac:dyDescent="0.3">
      <c r="P65" s="746"/>
      <c r="Q65" s="746"/>
      <c r="R65" s="746"/>
      <c r="V65" s="746"/>
      <c r="W65" s="746"/>
      <c r="X65" s="746"/>
    </row>
    <row r="66" spans="1:24" x14ac:dyDescent="0.25">
      <c r="A66" s="747"/>
      <c r="B66" s="748"/>
      <c r="C66" s="748"/>
      <c r="D66" s="748"/>
      <c r="E66" s="748"/>
      <c r="F66" s="748"/>
      <c r="G66" s="748"/>
      <c r="H66" s="748"/>
      <c r="I66" s="748"/>
      <c r="J66" s="748"/>
      <c r="K66" s="748"/>
      <c r="L66" s="748"/>
      <c r="M66" s="748"/>
      <c r="N66" s="748"/>
      <c r="O66" s="749"/>
      <c r="P66" s="746"/>
      <c r="Q66" s="746"/>
      <c r="R66" s="746"/>
      <c r="S66" s="746"/>
      <c r="T66" s="746"/>
      <c r="U66" s="746"/>
      <c r="V66" s="746"/>
      <c r="W66" s="746"/>
      <c r="X66" s="746"/>
    </row>
    <row r="67" spans="1:24" x14ac:dyDescent="0.25">
      <c r="A67" s="750" t="s">
        <v>575</v>
      </c>
      <c r="B67" s="751"/>
      <c r="C67" s="751"/>
      <c r="D67" s="751"/>
      <c r="E67" s="751"/>
      <c r="F67" s="751"/>
      <c r="G67" s="751"/>
      <c r="H67" s="751"/>
      <c r="I67" s="751"/>
      <c r="J67" s="751"/>
      <c r="K67" s="751"/>
      <c r="L67" s="751"/>
      <c r="M67" s="751"/>
      <c r="N67" s="751"/>
      <c r="O67" s="752"/>
    </row>
    <row r="68" spans="1:24" x14ac:dyDescent="0.25">
      <c r="A68" s="753"/>
      <c r="B68" s="751"/>
      <c r="C68" s="751"/>
      <c r="D68" s="751"/>
      <c r="E68" s="751"/>
      <c r="F68" s="751"/>
      <c r="G68" s="751"/>
      <c r="H68" s="751"/>
      <c r="I68" s="751"/>
      <c r="J68" s="751"/>
      <c r="K68" s="751"/>
      <c r="L68" s="751"/>
      <c r="M68" s="751"/>
      <c r="N68" s="751"/>
      <c r="O68" s="752"/>
    </row>
    <row r="69" spans="1:24" x14ac:dyDescent="0.25">
      <c r="A69" s="750" t="s">
        <v>475</v>
      </c>
      <c r="B69" s="751"/>
      <c r="C69" s="751"/>
      <c r="D69" s="751"/>
      <c r="E69" s="751"/>
      <c r="F69" s="751"/>
      <c r="G69" s="751"/>
      <c r="H69" s="751"/>
      <c r="I69" s="751"/>
      <c r="J69" s="751"/>
      <c r="K69" s="751"/>
      <c r="L69" s="751"/>
      <c r="M69" s="751"/>
      <c r="N69" s="751"/>
      <c r="O69" s="752"/>
    </row>
    <row r="70" spans="1:24" x14ac:dyDescent="0.25">
      <c r="A70" s="753"/>
      <c r="B70" s="751"/>
      <c r="C70" s="751"/>
      <c r="D70" s="751"/>
      <c r="E70" s="751"/>
      <c r="F70" s="751"/>
      <c r="G70" s="751"/>
      <c r="H70" s="751"/>
      <c r="I70" s="751"/>
      <c r="J70" s="751"/>
      <c r="K70" s="751"/>
      <c r="L70" s="751"/>
      <c r="M70" s="751"/>
      <c r="N70" s="751"/>
      <c r="O70" s="752"/>
    </row>
    <row r="71" spans="1:24" x14ac:dyDescent="0.25">
      <c r="A71" s="753"/>
      <c r="B71" s="751" t="s">
        <v>464</v>
      </c>
      <c r="C71" s="754" t="s">
        <v>602</v>
      </c>
      <c r="D71" s="751"/>
      <c r="E71" s="751"/>
      <c r="F71" s="751"/>
      <c r="G71" s="751"/>
      <c r="H71" s="751"/>
      <c r="I71" s="751"/>
      <c r="J71" s="751"/>
      <c r="K71" s="751"/>
      <c r="L71" s="751"/>
      <c r="M71" s="751"/>
      <c r="N71" s="751"/>
      <c r="O71" s="752"/>
    </row>
    <row r="72" spans="1:24" x14ac:dyDescent="0.25">
      <c r="A72" s="753"/>
      <c r="B72" s="751"/>
      <c r="C72" s="751"/>
      <c r="D72" s="751"/>
      <c r="E72" s="751"/>
      <c r="F72" s="751"/>
      <c r="G72" s="751"/>
      <c r="H72" s="751"/>
      <c r="I72" s="751"/>
      <c r="J72" s="751"/>
      <c r="K72" s="751"/>
      <c r="L72" s="751"/>
      <c r="M72" s="751"/>
      <c r="N72" s="751"/>
      <c r="O72" s="752"/>
    </row>
    <row r="73" spans="1:24" x14ac:dyDescent="0.25">
      <c r="A73" s="753"/>
      <c r="B73" s="751" t="s">
        <v>464</v>
      </c>
      <c r="C73" s="755">
        <f>'Incert. Dos.'!O40</f>
        <v>1.7935633855332079E-2</v>
      </c>
      <c r="D73" s="754"/>
      <c r="E73" s="751"/>
      <c r="F73" s="751"/>
      <c r="G73" s="751"/>
      <c r="H73" s="751"/>
      <c r="I73" s="751"/>
      <c r="J73" s="751"/>
      <c r="K73" s="751"/>
      <c r="L73" s="751"/>
      <c r="M73" s="751"/>
      <c r="N73" s="751"/>
      <c r="O73" s="752"/>
    </row>
    <row r="74" spans="1:24" x14ac:dyDescent="0.25">
      <c r="A74" s="753"/>
      <c r="B74" s="751"/>
      <c r="C74" s="755"/>
      <c r="D74" s="754"/>
      <c r="E74" s="751"/>
      <c r="F74" s="751"/>
      <c r="G74" s="751"/>
      <c r="H74" s="751"/>
      <c r="I74" s="751"/>
      <c r="J74" s="751"/>
      <c r="K74" s="751"/>
      <c r="L74" s="751"/>
      <c r="M74" s="751"/>
      <c r="N74" s="751"/>
      <c r="O74" s="752"/>
    </row>
    <row r="75" spans="1:24" x14ac:dyDescent="0.25">
      <c r="A75" s="750" t="s">
        <v>706</v>
      </c>
      <c r="B75" s="751"/>
      <c r="C75" s="755"/>
      <c r="D75" s="754"/>
      <c r="E75" s="751"/>
      <c r="F75" s="751"/>
      <c r="G75" s="751"/>
      <c r="H75" s="751"/>
      <c r="I75" s="751"/>
      <c r="J75" s="751"/>
      <c r="K75" s="751"/>
      <c r="L75" s="751"/>
      <c r="M75" s="751"/>
      <c r="N75" s="751"/>
      <c r="O75" s="752"/>
    </row>
    <row r="76" spans="1:24" x14ac:dyDescent="0.25">
      <c r="A76" s="750"/>
      <c r="B76" s="751"/>
      <c r="C76" s="755"/>
      <c r="D76" s="754"/>
      <c r="E76" s="751"/>
      <c r="F76" s="751"/>
      <c r="G76" s="751"/>
      <c r="H76" s="751"/>
      <c r="I76" s="751"/>
      <c r="J76" s="751"/>
      <c r="K76" s="751"/>
      <c r="L76" s="751"/>
      <c r="M76" s="751"/>
      <c r="N76" s="751"/>
      <c r="O76" s="752"/>
    </row>
    <row r="77" spans="1:24" x14ac:dyDescent="0.25">
      <c r="A77" s="750"/>
      <c r="B77" s="751"/>
      <c r="C77" s="755"/>
      <c r="D77" s="754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2"/>
    </row>
    <row r="78" spans="1:24" x14ac:dyDescent="0.25">
      <c r="A78" s="750"/>
      <c r="B78" s="751"/>
      <c r="C78" s="755"/>
      <c r="D78" s="754"/>
      <c r="E78" s="751"/>
      <c r="F78" s="751"/>
      <c r="G78" s="751"/>
      <c r="H78" s="751"/>
      <c r="I78" s="751"/>
      <c r="J78" s="751"/>
      <c r="K78" s="751"/>
      <c r="L78" s="751"/>
      <c r="M78" s="751"/>
      <c r="N78" s="751"/>
      <c r="O78" s="752"/>
    </row>
    <row r="79" spans="1:24" ht="15.75" thickBot="1" x14ac:dyDescent="0.3">
      <c r="A79" s="756"/>
      <c r="B79" s="757"/>
      <c r="C79" s="757"/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8"/>
    </row>
    <row r="80" spans="1:24" x14ac:dyDescent="0.25">
      <c r="A80" s="747"/>
      <c r="B80" s="748"/>
      <c r="C80" s="748"/>
      <c r="D80" s="748"/>
      <c r="E80" s="748"/>
      <c r="F80" s="748"/>
      <c r="G80" s="748"/>
      <c r="H80" s="748"/>
      <c r="I80" s="748"/>
      <c r="J80" s="748"/>
      <c r="K80" s="748"/>
      <c r="L80" s="748"/>
      <c r="M80" s="748"/>
      <c r="N80" s="748"/>
      <c r="O80" s="749"/>
    </row>
    <row r="81" spans="1:15" x14ac:dyDescent="0.25">
      <c r="A81" s="750" t="s">
        <v>604</v>
      </c>
      <c r="B81" s="751"/>
      <c r="C81" s="751"/>
      <c r="D81" s="751"/>
      <c r="E81" s="751"/>
      <c r="F81" s="751"/>
      <c r="G81" s="751"/>
      <c r="H81" s="751"/>
      <c r="I81" s="751"/>
      <c r="J81" s="751"/>
      <c r="K81" s="751"/>
      <c r="L81" s="751"/>
      <c r="M81" s="751"/>
      <c r="N81" s="751"/>
      <c r="O81" s="752"/>
    </row>
    <row r="82" spans="1:15" x14ac:dyDescent="0.25">
      <c r="A82" s="750"/>
      <c r="B82" s="751"/>
      <c r="C82" s="751"/>
      <c r="D82" s="751"/>
      <c r="E82" s="751"/>
      <c r="F82" s="751"/>
      <c r="G82" s="751"/>
      <c r="H82" s="751"/>
      <c r="I82" s="751"/>
      <c r="J82" s="751"/>
      <c r="K82" s="751"/>
      <c r="L82" s="751"/>
      <c r="M82" s="751"/>
      <c r="N82" s="751"/>
      <c r="O82" s="752"/>
    </row>
    <row r="83" spans="1:15" x14ac:dyDescent="0.25">
      <c r="A83" s="750" t="s">
        <v>477</v>
      </c>
      <c r="B83" s="751"/>
      <c r="C83" s="751"/>
      <c r="D83" s="751"/>
      <c r="E83" s="751"/>
      <c r="F83" s="751"/>
      <c r="G83" s="751"/>
      <c r="H83" s="751"/>
      <c r="I83" s="751"/>
      <c r="J83" s="751"/>
      <c r="K83" s="751"/>
      <c r="L83" s="751"/>
      <c r="M83" s="751"/>
      <c r="N83" s="751"/>
      <c r="O83" s="752"/>
    </row>
    <row r="84" spans="1:15" x14ac:dyDescent="0.25">
      <c r="A84" s="753"/>
      <c r="B84" s="751"/>
      <c r="C84" s="751"/>
      <c r="D84" s="751"/>
      <c r="E84" s="751"/>
      <c r="F84" s="751"/>
      <c r="G84" s="751"/>
      <c r="H84" s="751"/>
      <c r="I84" s="751"/>
      <c r="J84" s="751"/>
      <c r="K84" s="751"/>
      <c r="L84" s="751"/>
      <c r="M84" s="751"/>
      <c r="N84" s="751"/>
      <c r="O84" s="752"/>
    </row>
    <row r="85" spans="1:15" x14ac:dyDescent="0.25">
      <c r="A85" s="753"/>
      <c r="B85" s="751" t="s">
        <v>464</v>
      </c>
      <c r="C85" s="754" t="s">
        <v>603</v>
      </c>
      <c r="D85" s="751"/>
      <c r="E85" s="751"/>
      <c r="F85" s="751"/>
      <c r="G85" s="751"/>
      <c r="H85" s="751"/>
      <c r="I85" s="751"/>
      <c r="J85" s="751"/>
      <c r="K85" s="751"/>
      <c r="L85" s="751"/>
      <c r="M85" s="751"/>
      <c r="N85" s="751"/>
      <c r="O85" s="752"/>
    </row>
    <row r="86" spans="1:15" x14ac:dyDescent="0.25">
      <c r="A86" s="753"/>
      <c r="B86" s="751"/>
      <c r="C86" s="751"/>
      <c r="D86" s="751"/>
      <c r="E86" s="751"/>
      <c r="F86" s="751"/>
      <c r="G86" s="751"/>
      <c r="H86" s="751"/>
      <c r="I86" s="751"/>
      <c r="J86" s="751"/>
      <c r="K86" s="751"/>
      <c r="L86" s="751"/>
      <c r="M86" s="751"/>
      <c r="N86" s="751"/>
      <c r="O86" s="752"/>
    </row>
    <row r="87" spans="1:15" x14ac:dyDescent="0.25">
      <c r="A87" s="753"/>
      <c r="B87" s="751" t="s">
        <v>464</v>
      </c>
      <c r="C87" s="759">
        <f>'F-LSCD-002 (homogeneidad C.I.)'!AH69/2</f>
        <v>6.8804228560584869E-4</v>
      </c>
      <c r="D87" s="754"/>
      <c r="E87" s="751"/>
      <c r="F87" s="751"/>
      <c r="G87" s="751"/>
      <c r="H87" s="751"/>
      <c r="I87" s="751"/>
      <c r="J87" s="751"/>
      <c r="K87" s="751"/>
      <c r="L87" s="751"/>
      <c r="M87" s="751"/>
      <c r="N87" s="751"/>
      <c r="O87" s="752"/>
    </row>
    <row r="88" spans="1:15" x14ac:dyDescent="0.25">
      <c r="A88" s="753"/>
      <c r="B88" s="751"/>
      <c r="C88" s="751"/>
      <c r="D88" s="751"/>
      <c r="E88" s="751"/>
      <c r="F88" s="751"/>
      <c r="G88" s="751"/>
      <c r="H88" s="751"/>
      <c r="I88" s="751"/>
      <c r="J88" s="751"/>
      <c r="K88" s="751"/>
      <c r="L88" s="751"/>
      <c r="M88" s="751"/>
      <c r="N88" s="751"/>
      <c r="O88" s="752"/>
    </row>
    <row r="89" spans="1:15" x14ac:dyDescent="0.25">
      <c r="A89" s="753"/>
      <c r="B89" s="754" t="s">
        <v>397</v>
      </c>
      <c r="C89" s="751"/>
      <c r="D89" s="751"/>
      <c r="E89" s="751"/>
      <c r="F89" s="751"/>
      <c r="G89" s="751"/>
      <c r="H89" s="751"/>
      <c r="I89" s="751"/>
      <c r="J89" s="751"/>
      <c r="K89" s="751"/>
      <c r="L89" s="751"/>
      <c r="M89" s="751"/>
      <c r="N89" s="751"/>
      <c r="O89" s="752"/>
    </row>
    <row r="90" spans="1:15" x14ac:dyDescent="0.25">
      <c r="A90" s="753"/>
      <c r="B90" s="754" t="s">
        <v>416</v>
      </c>
      <c r="C90" s="751"/>
      <c r="D90" s="751"/>
      <c r="E90" s="751"/>
      <c r="F90" s="751"/>
      <c r="G90" s="751"/>
      <c r="H90" s="751"/>
      <c r="I90" s="751"/>
      <c r="J90" s="751"/>
      <c r="K90" s="751"/>
      <c r="L90" s="751"/>
      <c r="M90" s="751"/>
      <c r="N90" s="751"/>
      <c r="O90" s="752"/>
    </row>
    <row r="91" spans="1:15" x14ac:dyDescent="0.25">
      <c r="A91" s="753"/>
      <c r="B91" s="751"/>
      <c r="C91" s="755"/>
      <c r="D91" s="754"/>
      <c r="E91" s="751"/>
      <c r="F91" s="751"/>
      <c r="G91" s="751"/>
      <c r="H91" s="751"/>
      <c r="I91" s="751"/>
      <c r="J91" s="751"/>
      <c r="K91" s="751"/>
      <c r="L91" s="751"/>
      <c r="M91" s="751"/>
      <c r="N91" s="751"/>
      <c r="O91" s="752"/>
    </row>
    <row r="92" spans="1:15" x14ac:dyDescent="0.25">
      <c r="A92" s="750" t="s">
        <v>705</v>
      </c>
      <c r="B92" s="751"/>
      <c r="C92" s="755"/>
      <c r="D92" s="754"/>
      <c r="E92" s="751"/>
      <c r="F92" s="751"/>
      <c r="G92" s="751"/>
      <c r="H92" s="751"/>
      <c r="I92" s="751"/>
      <c r="J92" s="751"/>
      <c r="K92" s="751"/>
      <c r="L92" s="751"/>
      <c r="M92" s="751"/>
      <c r="N92" s="751"/>
      <c r="O92" s="752"/>
    </row>
    <row r="93" spans="1:15" x14ac:dyDescent="0.25">
      <c r="A93" s="750"/>
      <c r="B93" s="751"/>
      <c r="C93" s="755"/>
      <c r="D93" s="754"/>
      <c r="E93" s="751"/>
      <c r="F93" s="751"/>
      <c r="G93" s="751"/>
      <c r="H93" s="751"/>
      <c r="I93" s="751"/>
      <c r="J93" s="751"/>
      <c r="K93" s="751"/>
      <c r="L93" s="751"/>
      <c r="M93" s="751"/>
      <c r="N93" s="751"/>
      <c r="O93" s="752"/>
    </row>
    <row r="94" spans="1:15" x14ac:dyDescent="0.25">
      <c r="A94" s="750"/>
      <c r="B94" s="751"/>
      <c r="C94" s="755"/>
      <c r="D94" s="754"/>
      <c r="E94" s="751"/>
      <c r="F94" s="751"/>
      <c r="G94" s="751"/>
      <c r="H94" s="751"/>
      <c r="I94" s="751"/>
      <c r="J94" s="751"/>
      <c r="K94" s="751"/>
      <c r="L94" s="751"/>
      <c r="M94" s="751"/>
      <c r="N94" s="751"/>
      <c r="O94" s="752"/>
    </row>
    <row r="95" spans="1:15" x14ac:dyDescent="0.25">
      <c r="A95" s="750"/>
      <c r="B95" s="751"/>
      <c r="C95" s="755"/>
      <c r="D95" s="754"/>
      <c r="E95" s="751"/>
      <c r="F95" s="751"/>
      <c r="G95" s="751"/>
      <c r="H95" s="751"/>
      <c r="I95" s="751"/>
      <c r="J95" s="751"/>
      <c r="K95" s="751"/>
      <c r="L95" s="751"/>
      <c r="M95" s="751"/>
      <c r="N95" s="751"/>
      <c r="O95" s="752"/>
    </row>
    <row r="96" spans="1:15" ht="15.75" thickBot="1" x14ac:dyDescent="0.3">
      <c r="A96" s="756"/>
      <c r="B96" s="757"/>
      <c r="C96" s="757"/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8"/>
    </row>
    <row r="97" spans="1:15" x14ac:dyDescent="0.25">
      <c r="A97" s="747"/>
      <c r="B97" s="748"/>
      <c r="C97" s="748"/>
      <c r="D97" s="748"/>
      <c r="E97" s="748"/>
      <c r="F97" s="748"/>
      <c r="G97" s="748"/>
      <c r="H97" s="748"/>
      <c r="I97" s="748"/>
      <c r="J97" s="748"/>
      <c r="K97" s="748"/>
      <c r="L97" s="748"/>
      <c r="M97" s="748"/>
      <c r="N97" s="748"/>
      <c r="O97" s="749"/>
    </row>
    <row r="98" spans="1:15" x14ac:dyDescent="0.25">
      <c r="A98" s="750" t="s">
        <v>606</v>
      </c>
      <c r="B98" s="751"/>
      <c r="C98" s="751"/>
      <c r="D98" s="751"/>
      <c r="E98" s="751"/>
      <c r="F98" s="751"/>
      <c r="G98" s="751"/>
      <c r="H98" s="751"/>
      <c r="I98" s="751"/>
      <c r="J98" s="751"/>
      <c r="K98" s="751"/>
      <c r="L98" s="751"/>
      <c r="M98" s="751"/>
      <c r="N98" s="751"/>
      <c r="O98" s="752"/>
    </row>
    <row r="99" spans="1:15" x14ac:dyDescent="0.25">
      <c r="A99" s="753"/>
      <c r="B99" s="751"/>
      <c r="C99" s="751"/>
      <c r="D99" s="751"/>
      <c r="E99" s="751"/>
      <c r="F99" s="751"/>
      <c r="G99" s="751"/>
      <c r="H99" s="751"/>
      <c r="I99" s="751"/>
      <c r="J99" s="751"/>
      <c r="K99" s="751"/>
      <c r="L99" s="751"/>
      <c r="M99" s="751"/>
      <c r="N99" s="751"/>
      <c r="O99" s="752"/>
    </row>
    <row r="100" spans="1:15" x14ac:dyDescent="0.25">
      <c r="A100" s="750" t="s">
        <v>480</v>
      </c>
      <c r="B100" s="751"/>
      <c r="C100" s="751"/>
      <c r="D100" s="751"/>
      <c r="E100" s="751"/>
      <c r="F100" s="751"/>
      <c r="G100" s="751"/>
      <c r="H100" s="751"/>
      <c r="I100" s="751"/>
      <c r="J100" s="751"/>
      <c r="K100" s="751"/>
      <c r="L100" s="751"/>
      <c r="M100" s="751"/>
      <c r="N100" s="751"/>
      <c r="O100" s="752"/>
    </row>
    <row r="101" spans="1:15" x14ac:dyDescent="0.25">
      <c r="A101" s="753"/>
      <c r="B101" s="751"/>
      <c r="C101" s="751"/>
      <c r="D101" s="751"/>
      <c r="E101" s="751"/>
      <c r="F101" s="751"/>
      <c r="G101" s="751"/>
      <c r="H101" s="751"/>
      <c r="I101" s="751"/>
      <c r="J101" s="751"/>
      <c r="K101" s="751"/>
      <c r="L101" s="751"/>
      <c r="M101" s="751"/>
      <c r="N101" s="751"/>
      <c r="O101" s="752"/>
    </row>
    <row r="102" spans="1:15" x14ac:dyDescent="0.25">
      <c r="A102" s="753"/>
      <c r="B102" s="751" t="s">
        <v>464</v>
      </c>
      <c r="C102" s="754" t="s">
        <v>491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2"/>
    </row>
    <row r="103" spans="1:15" x14ac:dyDescent="0.25">
      <c r="A103" s="753"/>
      <c r="B103" s="751"/>
      <c r="C103" s="754"/>
      <c r="D103" s="751"/>
      <c r="E103" s="751"/>
      <c r="F103" s="751"/>
      <c r="G103" s="751"/>
      <c r="H103" s="751"/>
      <c r="I103" s="751"/>
      <c r="J103" s="751"/>
      <c r="K103" s="751"/>
      <c r="L103" s="751"/>
      <c r="M103" s="751"/>
      <c r="N103" s="751"/>
      <c r="O103" s="752"/>
    </row>
    <row r="104" spans="1:15" x14ac:dyDescent="0.25">
      <c r="A104" s="753"/>
      <c r="B104" s="754" t="s">
        <v>397</v>
      </c>
      <c r="C104" s="751"/>
      <c r="D104" s="751"/>
      <c r="E104" s="751"/>
      <c r="F104" s="751"/>
      <c r="G104" s="751"/>
      <c r="H104" s="751"/>
      <c r="I104" s="751"/>
      <c r="J104" s="751"/>
      <c r="K104" s="751"/>
      <c r="L104" s="751"/>
      <c r="M104" s="751"/>
      <c r="N104" s="751"/>
      <c r="O104" s="752"/>
    </row>
    <row r="105" spans="1:15" x14ac:dyDescent="0.25">
      <c r="A105" s="753"/>
      <c r="B105" s="754" t="s">
        <v>605</v>
      </c>
      <c r="C105" s="751"/>
      <c r="D105" s="751"/>
      <c r="E105" s="751"/>
      <c r="F105" s="751"/>
      <c r="G105" s="751"/>
      <c r="H105" s="751"/>
      <c r="I105" s="751"/>
      <c r="J105" s="751"/>
      <c r="K105" s="751"/>
      <c r="L105" s="751"/>
      <c r="M105" s="751"/>
      <c r="N105" s="751"/>
      <c r="O105" s="752"/>
    </row>
    <row r="106" spans="1:15" x14ac:dyDescent="0.25">
      <c r="A106" s="753"/>
      <c r="B106" s="751"/>
      <c r="C106" s="755"/>
      <c r="D106" s="754"/>
      <c r="E106" s="751"/>
      <c r="F106" s="751"/>
      <c r="G106" s="751"/>
      <c r="H106" s="751"/>
      <c r="I106" s="751"/>
      <c r="J106" s="751"/>
      <c r="K106" s="751"/>
      <c r="L106" s="751"/>
      <c r="M106" s="751"/>
      <c r="N106" s="751"/>
      <c r="O106" s="752"/>
    </row>
    <row r="107" spans="1:15" x14ac:dyDescent="0.25">
      <c r="A107" s="750" t="s">
        <v>707</v>
      </c>
      <c r="B107" s="751"/>
      <c r="C107" s="755"/>
      <c r="D107" s="754"/>
      <c r="E107" s="751"/>
      <c r="F107" s="751"/>
      <c r="G107" s="751"/>
      <c r="H107" s="751"/>
      <c r="I107" s="751"/>
      <c r="J107" s="751"/>
      <c r="K107" s="751"/>
      <c r="L107" s="751"/>
      <c r="M107" s="751"/>
      <c r="N107" s="751"/>
      <c r="O107" s="752"/>
    </row>
    <row r="108" spans="1:15" x14ac:dyDescent="0.25">
      <c r="A108" s="750"/>
      <c r="B108" s="751"/>
      <c r="C108" s="755"/>
      <c r="D108" s="754"/>
      <c r="E108" s="751"/>
      <c r="F108" s="751"/>
      <c r="G108" s="751"/>
      <c r="H108" s="751"/>
      <c r="I108" s="751"/>
      <c r="J108" s="751"/>
      <c r="K108" s="751"/>
      <c r="L108" s="751"/>
      <c r="M108" s="751"/>
      <c r="N108" s="751"/>
      <c r="O108" s="752"/>
    </row>
    <row r="109" spans="1:15" x14ac:dyDescent="0.25">
      <c r="A109" s="750"/>
      <c r="B109" s="751"/>
      <c r="C109" s="755"/>
      <c r="D109" s="754"/>
      <c r="E109" s="751"/>
      <c r="F109" s="751"/>
      <c r="G109" s="751"/>
      <c r="H109" s="751"/>
      <c r="I109" s="751"/>
      <c r="J109" s="751"/>
      <c r="K109" s="751"/>
      <c r="L109" s="751"/>
      <c r="M109" s="751"/>
      <c r="N109" s="751"/>
      <c r="O109" s="752"/>
    </row>
    <row r="110" spans="1:15" x14ac:dyDescent="0.25">
      <c r="A110" s="750"/>
      <c r="B110" s="751"/>
      <c r="C110" s="755"/>
      <c r="D110" s="754"/>
      <c r="E110" s="751"/>
      <c r="F110" s="751"/>
      <c r="G110" s="751"/>
      <c r="H110" s="751"/>
      <c r="I110" s="751"/>
      <c r="J110" s="751"/>
      <c r="K110" s="751"/>
      <c r="L110" s="751"/>
      <c r="M110" s="751"/>
      <c r="N110" s="751"/>
      <c r="O110" s="752"/>
    </row>
    <row r="111" spans="1:15" ht="15.75" thickBot="1" x14ac:dyDescent="0.3">
      <c r="A111" s="756"/>
      <c r="B111" s="757"/>
      <c r="C111" s="757"/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8"/>
    </row>
    <row r="112" spans="1:15" x14ac:dyDescent="0.25">
      <c r="A112" s="747"/>
      <c r="B112" s="748"/>
      <c r="C112" s="748"/>
      <c r="D112" s="748"/>
      <c r="E112" s="748"/>
      <c r="F112" s="748"/>
      <c r="G112" s="748"/>
      <c r="H112" s="748"/>
      <c r="I112" s="748"/>
      <c r="J112" s="748"/>
      <c r="K112" s="748"/>
      <c r="L112" s="748"/>
      <c r="M112" s="748"/>
      <c r="N112" s="748"/>
      <c r="O112" s="749"/>
    </row>
    <row r="113" spans="1:15" x14ac:dyDescent="0.25">
      <c r="A113" s="323" t="s">
        <v>1078</v>
      </c>
      <c r="B113" s="751"/>
      <c r="C113" s="751"/>
      <c r="D113" s="751"/>
      <c r="E113" s="751"/>
      <c r="F113" s="751"/>
      <c r="G113" s="751"/>
      <c r="H113" s="751"/>
      <c r="I113" s="751"/>
      <c r="J113" s="751"/>
      <c r="K113" s="751"/>
      <c r="L113" s="751"/>
      <c r="M113" s="751"/>
      <c r="N113" s="751"/>
      <c r="O113" s="752"/>
    </row>
    <row r="114" spans="1:15" x14ac:dyDescent="0.25">
      <c r="A114" s="750"/>
      <c r="B114" s="751"/>
      <c r="C114" s="751"/>
      <c r="D114" s="751"/>
      <c r="E114" s="751"/>
      <c r="F114" s="751"/>
      <c r="G114" s="751"/>
      <c r="H114" s="751"/>
      <c r="I114" s="751"/>
      <c r="J114" s="751"/>
      <c r="K114" s="751"/>
      <c r="L114" s="751"/>
      <c r="M114" s="751"/>
      <c r="N114" s="751"/>
      <c r="O114" s="752"/>
    </row>
    <row r="115" spans="1:15" x14ac:dyDescent="0.25">
      <c r="A115" s="750" t="s">
        <v>482</v>
      </c>
      <c r="B115" s="751"/>
      <c r="C115" s="751"/>
      <c r="D115" s="751"/>
      <c r="E115" s="751"/>
      <c r="F115" s="751"/>
      <c r="G115" s="751"/>
      <c r="H115" s="751"/>
      <c r="I115" s="751"/>
      <c r="J115" s="751"/>
      <c r="K115" s="751"/>
      <c r="L115" s="751"/>
      <c r="M115" s="751"/>
      <c r="N115" s="751"/>
      <c r="O115" s="752"/>
    </row>
    <row r="116" spans="1:15" x14ac:dyDescent="0.25">
      <c r="A116" s="750"/>
      <c r="B116" s="751"/>
      <c r="C116" s="751"/>
      <c r="D116" s="751"/>
      <c r="E116" s="751"/>
      <c r="F116" s="751"/>
      <c r="G116" s="751"/>
      <c r="H116" s="751"/>
      <c r="I116" s="751"/>
      <c r="J116" s="751"/>
      <c r="K116" s="751"/>
      <c r="L116" s="751"/>
      <c r="M116" s="751"/>
      <c r="N116" s="751"/>
      <c r="O116" s="752"/>
    </row>
    <row r="117" spans="1:15" x14ac:dyDescent="0.25">
      <c r="A117" s="753"/>
      <c r="B117" s="754" t="s">
        <v>667</v>
      </c>
      <c r="C117" s="751"/>
      <c r="D117" s="751"/>
      <c r="E117" s="751"/>
      <c r="F117" s="751"/>
      <c r="G117" s="751"/>
      <c r="H117" s="751"/>
      <c r="I117" s="751">
        <v>3</v>
      </c>
      <c r="J117" s="754" t="s">
        <v>449</v>
      </c>
      <c r="K117" s="751"/>
      <c r="L117" s="751"/>
      <c r="M117" s="751"/>
      <c r="N117" s="751"/>
      <c r="O117" s="752"/>
    </row>
    <row r="118" spans="1:15" x14ac:dyDescent="0.25">
      <c r="A118" s="753"/>
      <c r="B118" s="751"/>
      <c r="C118" s="751"/>
      <c r="D118" s="751"/>
      <c r="E118" s="751"/>
      <c r="F118" s="751"/>
      <c r="G118" s="751"/>
      <c r="H118" s="751"/>
      <c r="I118" s="751"/>
      <c r="J118" s="751"/>
      <c r="K118" s="751"/>
      <c r="L118" s="751"/>
      <c r="M118" s="751"/>
      <c r="N118" s="751"/>
      <c r="O118" s="752"/>
    </row>
    <row r="119" spans="1:15" x14ac:dyDescent="0.25">
      <c r="A119" s="753"/>
      <c r="B119" s="751" t="s">
        <v>464</v>
      </c>
      <c r="C119" s="754" t="str">
        <f>"(VCV de la Tasa de dosis equivalente ambiental real a "&amp;'Incert. Dos.'!C94-I117/1000&amp;" m - Tasa de dosis equivalente ambiental errado teóricamente a "&amp;'Incert. Dos.'!C94+I117/1000&amp;" m)"</f>
        <v>(VCV de la Tasa de dosis equivalente ambiental real a 1.997 m - Tasa de dosis equivalente ambiental errado teóricamente a 2.003 m)</v>
      </c>
      <c r="D119" s="751"/>
      <c r="E119" s="751"/>
      <c r="F119" s="751"/>
      <c r="G119" s="751"/>
      <c r="H119" s="751"/>
      <c r="I119" s="751"/>
      <c r="J119" s="751"/>
      <c r="K119" s="751"/>
      <c r="L119" s="751"/>
      <c r="M119" s="751"/>
      <c r="N119" s="751"/>
      <c r="O119" s="752"/>
    </row>
    <row r="120" spans="1:15" x14ac:dyDescent="0.25">
      <c r="A120" s="753"/>
      <c r="B120" s="751"/>
      <c r="C120" s="751"/>
      <c r="D120" s="751"/>
      <c r="E120" s="751"/>
      <c r="F120" s="751"/>
      <c r="G120" s="751"/>
      <c r="H120" s="751"/>
      <c r="I120" s="751"/>
      <c r="J120" s="751"/>
      <c r="K120" s="751"/>
      <c r="L120" s="751"/>
      <c r="M120" s="751"/>
      <c r="N120" s="751"/>
      <c r="O120" s="752"/>
    </row>
    <row r="121" spans="1:15" x14ac:dyDescent="0.25">
      <c r="A121" s="753"/>
      <c r="B121" s="754" t="s">
        <v>419</v>
      </c>
      <c r="C121" s="751"/>
      <c r="D121" s="751"/>
      <c r="E121" s="751"/>
      <c r="F121" s="751"/>
      <c r="G121" s="751"/>
      <c r="H121" s="751"/>
      <c r="I121" s="751"/>
      <c r="J121" s="751"/>
      <c r="K121" s="751"/>
      <c r="L121" s="751"/>
      <c r="M121" s="751"/>
      <c r="N121" s="751"/>
      <c r="O121" s="752"/>
    </row>
    <row r="122" spans="1:15" x14ac:dyDescent="0.25">
      <c r="A122" s="753"/>
      <c r="B122" s="751"/>
      <c r="C122" s="751"/>
      <c r="D122" s="751"/>
      <c r="E122" s="751"/>
      <c r="F122" s="760"/>
      <c r="G122" s="751"/>
      <c r="H122" s="751"/>
      <c r="I122" s="751"/>
      <c r="J122" s="751"/>
      <c r="K122" s="751"/>
      <c r="L122" s="751"/>
      <c r="M122" s="751"/>
      <c r="N122" s="751"/>
      <c r="O122" s="752"/>
    </row>
    <row r="123" spans="1:15" x14ac:dyDescent="0.25">
      <c r="A123" s="753"/>
      <c r="B123" s="751" t="s">
        <v>464</v>
      </c>
      <c r="C123" s="760">
        <f>(('F-LSCD-003'!D17*('F-LSCD-003'!N17)^2/('F-LSCD-003'!N17-I117/1000)^2)-('F-LSCD-003'!D17*('F-LSCD-003'!N17)^2/('F-LSCD-003'!N17+I117/1000)^2))/(0.000001)</f>
        <v>245.10086392736525</v>
      </c>
      <c r="D123" s="754" t="s">
        <v>325</v>
      </c>
      <c r="E123" s="751"/>
      <c r="F123" s="751"/>
      <c r="G123" s="762"/>
      <c r="H123" s="751"/>
      <c r="I123" s="751"/>
      <c r="J123" s="751"/>
      <c r="K123" s="751"/>
      <c r="L123" s="751"/>
      <c r="M123" s="751"/>
      <c r="N123" s="751"/>
      <c r="O123" s="752"/>
    </row>
    <row r="124" spans="1:15" x14ac:dyDescent="0.25">
      <c r="A124" s="753"/>
      <c r="B124" s="751"/>
      <c r="C124" s="755"/>
      <c r="D124" s="754"/>
      <c r="E124" s="751"/>
      <c r="F124" s="751"/>
      <c r="G124" s="751"/>
      <c r="H124" s="751"/>
      <c r="I124" s="751"/>
      <c r="J124" s="751"/>
      <c r="K124" s="751"/>
      <c r="L124" s="751"/>
      <c r="M124" s="751"/>
      <c r="N124" s="751"/>
      <c r="O124" s="752"/>
    </row>
    <row r="125" spans="1:15" x14ac:dyDescent="0.25">
      <c r="A125" s="750" t="s">
        <v>709</v>
      </c>
      <c r="B125" s="751"/>
      <c r="C125" s="755"/>
      <c r="D125" s="754"/>
      <c r="E125" s="751"/>
      <c r="F125" s="751"/>
      <c r="G125" s="751"/>
      <c r="H125" s="751"/>
      <c r="I125" s="751"/>
      <c r="J125" s="751"/>
      <c r="K125" s="751"/>
      <c r="L125" s="751"/>
      <c r="M125" s="751"/>
      <c r="N125" s="751"/>
      <c r="O125" s="752"/>
    </row>
    <row r="126" spans="1:15" x14ac:dyDescent="0.25">
      <c r="A126" s="750"/>
      <c r="B126" s="751"/>
      <c r="C126" s="755"/>
      <c r="D126" s="754"/>
      <c r="E126" s="751"/>
      <c r="F126" s="751"/>
      <c r="G126" s="751"/>
      <c r="H126" s="751"/>
      <c r="I126" s="751"/>
      <c r="J126" s="751"/>
      <c r="K126" s="751"/>
      <c r="L126" s="751"/>
      <c r="M126" s="751"/>
      <c r="N126" s="751"/>
      <c r="O126" s="752"/>
    </row>
    <row r="127" spans="1:15" x14ac:dyDescent="0.25">
      <c r="A127" s="750"/>
      <c r="B127" s="751"/>
      <c r="C127" s="755"/>
      <c r="D127" s="754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2"/>
    </row>
    <row r="128" spans="1:15" x14ac:dyDescent="0.25">
      <c r="A128" s="750"/>
      <c r="B128" s="751"/>
      <c r="C128" s="755"/>
      <c r="D128" s="754"/>
      <c r="E128" s="751"/>
      <c r="F128" s="751"/>
      <c r="G128" s="751"/>
      <c r="H128" s="751"/>
      <c r="I128" s="751"/>
      <c r="J128" s="751"/>
      <c r="K128" s="751"/>
      <c r="L128" s="751"/>
      <c r="M128" s="751"/>
      <c r="N128" s="751"/>
      <c r="O128" s="752"/>
    </row>
    <row r="129" spans="1:15" ht="15.75" thickBot="1" x14ac:dyDescent="0.3">
      <c r="A129" s="756"/>
      <c r="B129" s="763"/>
      <c r="C129" s="757"/>
      <c r="D129" s="757"/>
      <c r="E129" s="757"/>
      <c r="F129" s="757"/>
      <c r="G129" s="764"/>
      <c r="H129" s="757"/>
      <c r="I129" s="757"/>
      <c r="J129" s="757"/>
      <c r="K129" s="757"/>
      <c r="L129" s="757"/>
      <c r="M129" s="757"/>
      <c r="N129" s="757"/>
      <c r="O129" s="758"/>
    </row>
    <row r="130" spans="1:15" x14ac:dyDescent="0.25">
      <c r="A130" s="747"/>
      <c r="B130" s="748"/>
      <c r="C130" s="748"/>
      <c r="D130" s="748"/>
      <c r="E130" s="748"/>
      <c r="F130" s="748"/>
      <c r="G130" s="765"/>
      <c r="H130" s="748"/>
      <c r="I130" s="748"/>
      <c r="J130" s="748"/>
      <c r="K130" s="748"/>
      <c r="L130" s="748"/>
      <c r="M130" s="748"/>
      <c r="N130" s="748"/>
      <c r="O130" s="749"/>
    </row>
    <row r="131" spans="1:15" x14ac:dyDescent="0.25">
      <c r="A131" s="750" t="s">
        <v>608</v>
      </c>
      <c r="B131" s="751"/>
      <c r="C131" s="751"/>
      <c r="D131" s="751"/>
      <c r="E131" s="751"/>
      <c r="F131" s="751"/>
      <c r="G131" s="766"/>
      <c r="H131" s="751"/>
      <c r="I131" s="751"/>
      <c r="J131" s="751"/>
      <c r="K131" s="751"/>
      <c r="L131" s="751"/>
      <c r="M131" s="751"/>
      <c r="N131" s="751"/>
      <c r="O131" s="752"/>
    </row>
    <row r="132" spans="1:15" x14ac:dyDescent="0.25">
      <c r="A132" s="750"/>
      <c r="B132" s="751"/>
      <c r="C132" s="751"/>
      <c r="D132" s="751"/>
      <c r="E132" s="751"/>
      <c r="F132" s="751"/>
      <c r="G132" s="766"/>
      <c r="H132" s="751"/>
      <c r="I132" s="751"/>
      <c r="J132" s="751"/>
      <c r="K132" s="751"/>
      <c r="L132" s="751"/>
      <c r="M132" s="751"/>
      <c r="N132" s="751"/>
      <c r="O132" s="752"/>
    </row>
    <row r="133" spans="1:15" x14ac:dyDescent="0.25">
      <c r="A133" s="750" t="s">
        <v>485</v>
      </c>
      <c r="B133" s="751"/>
      <c r="C133" s="751"/>
      <c r="D133" s="751"/>
      <c r="E133" s="751"/>
      <c r="F133" s="751"/>
      <c r="G133" s="766"/>
      <c r="H133" s="751"/>
      <c r="I133" s="751"/>
      <c r="J133" s="751"/>
      <c r="K133" s="751"/>
      <c r="L133" s="751"/>
      <c r="M133" s="751"/>
      <c r="N133" s="751"/>
      <c r="O133" s="752"/>
    </row>
    <row r="134" spans="1:15" x14ac:dyDescent="0.25">
      <c r="A134" s="753"/>
      <c r="B134" s="751"/>
      <c r="C134" s="751"/>
      <c r="D134" s="751"/>
      <c r="E134" s="751"/>
      <c r="F134" s="751"/>
      <c r="G134" s="766"/>
      <c r="H134" s="751"/>
      <c r="I134" s="751"/>
      <c r="J134" s="751"/>
      <c r="K134" s="751"/>
      <c r="L134" s="751"/>
      <c r="M134" s="751"/>
      <c r="N134" s="751"/>
      <c r="O134" s="752"/>
    </row>
    <row r="135" spans="1:15" x14ac:dyDescent="0.25">
      <c r="A135" s="753"/>
      <c r="B135" s="751" t="s">
        <v>464</v>
      </c>
      <c r="C135" s="754" t="s">
        <v>609</v>
      </c>
      <c r="D135" s="751"/>
      <c r="E135" s="751"/>
      <c r="F135" s="751"/>
      <c r="G135" s="766"/>
      <c r="H135" s="751"/>
      <c r="I135" s="751"/>
      <c r="J135" s="751"/>
      <c r="K135" s="751"/>
      <c r="L135" s="751"/>
      <c r="M135" s="751"/>
      <c r="N135" s="751"/>
      <c r="O135" s="752"/>
    </row>
    <row r="136" spans="1:15" x14ac:dyDescent="0.25">
      <c r="A136" s="753"/>
      <c r="B136" s="751"/>
      <c r="C136" s="751"/>
      <c r="D136" s="751"/>
      <c r="E136" s="751"/>
      <c r="F136" s="751"/>
      <c r="G136" s="766"/>
      <c r="H136" s="751"/>
      <c r="I136" s="751"/>
      <c r="J136" s="751"/>
      <c r="K136" s="751"/>
      <c r="L136" s="751"/>
      <c r="M136" s="751"/>
      <c r="N136" s="751"/>
      <c r="O136" s="752"/>
    </row>
    <row r="137" spans="1:15" x14ac:dyDescent="0.25">
      <c r="A137" s="753"/>
      <c r="B137" s="751" t="s">
        <v>464</v>
      </c>
      <c r="C137" s="759">
        <f>'F-LSCD-002 (Pos. fuente)'!AH69/2</f>
        <v>1.9915985219840348E-3</v>
      </c>
      <c r="D137" s="754"/>
      <c r="E137" s="751"/>
      <c r="F137" s="751"/>
      <c r="G137" s="766"/>
      <c r="H137" s="751"/>
      <c r="I137" s="751"/>
      <c r="J137" s="751"/>
      <c r="K137" s="751"/>
      <c r="L137" s="751"/>
      <c r="M137" s="751"/>
      <c r="N137" s="751"/>
      <c r="O137" s="752"/>
    </row>
    <row r="138" spans="1:15" x14ac:dyDescent="0.25">
      <c r="A138" s="753"/>
      <c r="B138" s="751"/>
      <c r="C138" s="760"/>
      <c r="D138" s="754"/>
      <c r="E138" s="751"/>
      <c r="F138" s="751"/>
      <c r="G138" s="766"/>
      <c r="H138" s="751"/>
      <c r="I138" s="751"/>
      <c r="J138" s="751"/>
      <c r="K138" s="751"/>
      <c r="L138" s="751"/>
      <c r="M138" s="751"/>
      <c r="N138" s="751"/>
      <c r="O138" s="752"/>
    </row>
    <row r="139" spans="1:15" x14ac:dyDescent="0.25">
      <c r="A139" s="753"/>
      <c r="B139" s="754" t="s">
        <v>397</v>
      </c>
      <c r="C139" s="751"/>
      <c r="D139" s="751"/>
      <c r="E139" s="751"/>
      <c r="F139" s="751"/>
      <c r="G139" s="751"/>
      <c r="H139" s="751"/>
      <c r="I139" s="751"/>
      <c r="J139" s="751"/>
      <c r="K139" s="751"/>
      <c r="L139" s="751"/>
      <c r="M139" s="751"/>
      <c r="N139" s="751"/>
      <c r="O139" s="752"/>
    </row>
    <row r="140" spans="1:15" x14ac:dyDescent="0.25">
      <c r="A140" s="753"/>
      <c r="B140" s="754" t="s">
        <v>416</v>
      </c>
      <c r="C140" s="751"/>
      <c r="D140" s="751"/>
      <c r="E140" s="751"/>
      <c r="F140" s="751"/>
      <c r="G140" s="751"/>
      <c r="H140" s="751"/>
      <c r="I140" s="751"/>
      <c r="J140" s="751"/>
      <c r="K140" s="751"/>
      <c r="L140" s="751"/>
      <c r="M140" s="751"/>
      <c r="N140" s="751"/>
      <c r="O140" s="752"/>
    </row>
    <row r="141" spans="1:15" x14ac:dyDescent="0.25">
      <c r="A141" s="753"/>
      <c r="B141" s="751"/>
      <c r="C141" s="755"/>
      <c r="D141" s="754"/>
      <c r="E141" s="751"/>
      <c r="F141" s="751"/>
      <c r="G141" s="751"/>
      <c r="H141" s="751"/>
      <c r="I141" s="751"/>
      <c r="J141" s="751"/>
      <c r="K141" s="751"/>
      <c r="L141" s="751"/>
      <c r="M141" s="751"/>
      <c r="N141" s="751"/>
      <c r="O141" s="752"/>
    </row>
    <row r="142" spans="1:15" x14ac:dyDescent="0.25">
      <c r="A142" s="750" t="s">
        <v>710</v>
      </c>
      <c r="B142" s="751"/>
      <c r="C142" s="755"/>
      <c r="D142" s="754"/>
      <c r="E142" s="751"/>
      <c r="F142" s="751"/>
      <c r="G142" s="751"/>
      <c r="H142" s="751"/>
      <c r="I142" s="751"/>
      <c r="J142" s="751"/>
      <c r="K142" s="751"/>
      <c r="L142" s="751"/>
      <c r="M142" s="751"/>
      <c r="N142" s="751"/>
      <c r="O142" s="752"/>
    </row>
    <row r="143" spans="1:15" x14ac:dyDescent="0.25">
      <c r="A143" s="750"/>
      <c r="B143" s="751"/>
      <c r="C143" s="755"/>
      <c r="D143" s="754"/>
      <c r="E143" s="751"/>
      <c r="F143" s="751"/>
      <c r="G143" s="751"/>
      <c r="H143" s="751"/>
      <c r="I143" s="751"/>
      <c r="J143" s="751"/>
      <c r="K143" s="751"/>
      <c r="L143" s="751"/>
      <c r="M143" s="751"/>
      <c r="N143" s="751"/>
      <c r="O143" s="752"/>
    </row>
    <row r="144" spans="1:15" x14ac:dyDescent="0.25">
      <c r="A144" s="750"/>
      <c r="B144" s="751"/>
      <c r="C144" s="755"/>
      <c r="D144" s="754"/>
      <c r="E144" s="751"/>
      <c r="F144" s="751"/>
      <c r="G144" s="751"/>
      <c r="H144" s="751"/>
      <c r="I144" s="751"/>
      <c r="J144" s="751"/>
      <c r="K144" s="751"/>
      <c r="L144" s="751"/>
      <c r="M144" s="751"/>
      <c r="N144" s="751"/>
      <c r="O144" s="752"/>
    </row>
    <row r="145" spans="1:15" x14ac:dyDescent="0.25">
      <c r="A145" s="750"/>
      <c r="B145" s="751"/>
      <c r="C145" s="755"/>
      <c r="D145" s="754"/>
      <c r="E145" s="751"/>
      <c r="F145" s="751"/>
      <c r="G145" s="751"/>
      <c r="H145" s="751"/>
      <c r="I145" s="751"/>
      <c r="J145" s="751"/>
      <c r="K145" s="751"/>
      <c r="L145" s="751"/>
      <c r="M145" s="751"/>
      <c r="N145" s="751"/>
      <c r="O145" s="752"/>
    </row>
    <row r="146" spans="1:15" ht="15.75" thickBot="1" x14ac:dyDescent="0.3">
      <c r="A146" s="756"/>
      <c r="B146" s="763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8"/>
    </row>
    <row r="147" spans="1:15" x14ac:dyDescent="0.25">
      <c r="A147" s="747"/>
      <c r="B147" s="767"/>
      <c r="C147" s="748"/>
      <c r="D147" s="748"/>
      <c r="E147" s="748"/>
      <c r="F147" s="748"/>
      <c r="G147" s="748"/>
      <c r="H147" s="748"/>
      <c r="I147" s="748"/>
      <c r="J147" s="748"/>
      <c r="K147" s="748"/>
      <c r="L147" s="748"/>
      <c r="M147" s="748"/>
      <c r="N147" s="748"/>
      <c r="O147" s="749"/>
    </row>
    <row r="148" spans="1:15" x14ac:dyDescent="0.25">
      <c r="A148" s="323" t="s">
        <v>992</v>
      </c>
      <c r="B148" s="754"/>
      <c r="C148" s="751"/>
      <c r="D148" s="751"/>
      <c r="E148" s="751"/>
      <c r="F148" s="751"/>
      <c r="G148" s="751"/>
      <c r="H148" s="751"/>
      <c r="I148" s="751"/>
      <c r="J148" s="751"/>
      <c r="K148" s="751"/>
      <c r="L148" s="751"/>
      <c r="M148" s="751"/>
      <c r="N148" s="751"/>
      <c r="O148" s="752"/>
    </row>
    <row r="149" spans="1:15" x14ac:dyDescent="0.25">
      <c r="A149" s="750"/>
      <c r="B149" s="754"/>
      <c r="C149" s="751"/>
      <c r="D149" s="751"/>
      <c r="E149" s="751"/>
      <c r="F149" s="751"/>
      <c r="G149" s="751"/>
      <c r="H149" s="751"/>
      <c r="I149" s="751"/>
      <c r="J149" s="751"/>
      <c r="K149" s="751"/>
      <c r="L149" s="751"/>
      <c r="M149" s="751"/>
      <c r="N149" s="751"/>
      <c r="O149" s="752"/>
    </row>
    <row r="150" spans="1:15" x14ac:dyDescent="0.25">
      <c r="A150" s="750" t="s">
        <v>494</v>
      </c>
      <c r="B150" s="754"/>
      <c r="C150" s="751"/>
      <c r="D150" s="751"/>
      <c r="E150" s="751"/>
      <c r="F150" s="751"/>
      <c r="G150" s="751"/>
      <c r="H150" s="751"/>
      <c r="I150" s="751"/>
      <c r="J150" s="751"/>
      <c r="K150" s="751"/>
      <c r="L150" s="751"/>
      <c r="M150" s="751"/>
      <c r="N150" s="751"/>
      <c r="O150" s="752"/>
    </row>
    <row r="151" spans="1:15" x14ac:dyDescent="0.25">
      <c r="A151" s="750"/>
      <c r="B151" s="754"/>
      <c r="C151" s="751"/>
      <c r="D151" s="751"/>
      <c r="E151" s="751"/>
      <c r="F151" s="751"/>
      <c r="G151" s="751"/>
      <c r="H151" s="751"/>
      <c r="I151" s="751"/>
      <c r="J151" s="751"/>
      <c r="K151" s="751"/>
      <c r="L151" s="751"/>
      <c r="M151" s="751"/>
      <c r="N151" s="751"/>
      <c r="O151" s="752"/>
    </row>
    <row r="152" spans="1:15" x14ac:dyDescent="0.25">
      <c r="A152" s="750"/>
      <c r="B152" s="754" t="s">
        <v>453</v>
      </c>
      <c r="C152" s="751"/>
      <c r="D152" s="751"/>
      <c r="E152" s="751"/>
      <c r="F152" s="751">
        <v>1.1000000000000001</v>
      </c>
      <c r="G152" s="754" t="s">
        <v>449</v>
      </c>
      <c r="H152" s="751"/>
      <c r="I152" s="751"/>
      <c r="J152" s="751"/>
      <c r="K152" s="751"/>
      <c r="L152" s="751"/>
      <c r="M152" s="751"/>
      <c r="N152" s="751"/>
      <c r="O152" s="752"/>
    </row>
    <row r="153" spans="1:15" x14ac:dyDescent="0.25">
      <c r="A153" s="750"/>
      <c r="B153" s="754"/>
      <c r="C153" s="751"/>
      <c r="D153" s="751"/>
      <c r="E153" s="751"/>
      <c r="F153" s="751"/>
      <c r="G153" s="754"/>
      <c r="H153" s="751"/>
      <c r="I153" s="751"/>
      <c r="J153" s="751"/>
      <c r="K153" s="751"/>
      <c r="L153" s="751"/>
      <c r="M153" s="751"/>
      <c r="N153" s="751"/>
      <c r="O153" s="752"/>
    </row>
    <row r="154" spans="1:15" x14ac:dyDescent="0.25">
      <c r="A154" s="750"/>
      <c r="B154" s="754" t="s">
        <v>610</v>
      </c>
      <c r="C154" s="751"/>
      <c r="D154" s="751"/>
      <c r="E154" s="751"/>
      <c r="F154" s="751"/>
      <c r="G154" s="754"/>
      <c r="H154" s="751"/>
      <c r="I154" s="751"/>
      <c r="J154" s="751"/>
      <c r="K154" s="751"/>
      <c r="L154" s="751"/>
      <c r="M154" s="751"/>
      <c r="N154" s="751"/>
      <c r="O154" s="752"/>
    </row>
    <row r="155" spans="1:15" x14ac:dyDescent="0.25">
      <c r="A155" s="750"/>
      <c r="B155" s="754"/>
      <c r="C155" s="751"/>
      <c r="D155" s="751"/>
      <c r="E155" s="751"/>
      <c r="F155" s="751"/>
      <c r="G155" s="754"/>
      <c r="H155" s="751"/>
      <c r="I155" s="751"/>
      <c r="J155" s="751"/>
      <c r="K155" s="751"/>
      <c r="L155" s="751"/>
      <c r="M155" s="751"/>
      <c r="N155" s="751"/>
      <c r="O155" s="752"/>
    </row>
    <row r="156" spans="1:15" x14ac:dyDescent="0.25">
      <c r="A156" s="750"/>
      <c r="B156" s="754"/>
      <c r="C156" s="751" t="s">
        <v>612</v>
      </c>
      <c r="D156" s="751" t="s">
        <v>611</v>
      </c>
      <c r="E156" s="751"/>
      <c r="F156" s="751"/>
      <c r="G156" s="754"/>
      <c r="H156" s="751"/>
      <c r="I156" s="751"/>
      <c r="J156" s="751"/>
      <c r="K156" s="751"/>
      <c r="L156" s="751"/>
      <c r="M156" s="751"/>
      <c r="N156" s="751"/>
      <c r="O156" s="752"/>
    </row>
    <row r="157" spans="1:15" x14ac:dyDescent="0.25">
      <c r="A157" s="750"/>
      <c r="B157" s="754"/>
      <c r="C157" s="751">
        <v>100</v>
      </c>
      <c r="D157" s="768">
        <f t="shared" ref="D157:D167" si="49">$F$152/C157*100</f>
        <v>1.1000000000000001</v>
      </c>
      <c r="E157" s="751"/>
      <c r="F157" s="751"/>
      <c r="G157" s="754"/>
      <c r="H157" s="751"/>
      <c r="I157" s="751"/>
      <c r="J157" s="751"/>
      <c r="K157" s="751"/>
      <c r="L157" s="751"/>
      <c r="M157" s="751"/>
      <c r="N157" s="751"/>
      <c r="O157" s="752"/>
    </row>
    <row r="158" spans="1:15" x14ac:dyDescent="0.25">
      <c r="A158" s="750"/>
      <c r="B158" s="754"/>
      <c r="C158" s="751">
        <v>500</v>
      </c>
      <c r="D158" s="768">
        <f t="shared" si="49"/>
        <v>0.22</v>
      </c>
      <c r="E158" s="751"/>
      <c r="F158" s="751"/>
      <c r="G158" s="754"/>
      <c r="H158" s="751"/>
      <c r="I158" s="751"/>
      <c r="J158" s="751"/>
      <c r="K158" s="751"/>
      <c r="L158" s="751"/>
      <c r="M158" s="751"/>
      <c r="N158" s="751"/>
      <c r="O158" s="752"/>
    </row>
    <row r="159" spans="1:15" x14ac:dyDescent="0.25">
      <c r="A159" s="750"/>
      <c r="B159" s="754"/>
      <c r="C159" s="751">
        <v>1000</v>
      </c>
      <c r="D159" s="768">
        <f t="shared" si="49"/>
        <v>0.11</v>
      </c>
      <c r="E159" s="751"/>
      <c r="F159" s="751"/>
      <c r="G159" s="754"/>
      <c r="H159" s="751"/>
      <c r="I159" s="751"/>
      <c r="J159" s="751"/>
      <c r="K159" s="751"/>
      <c r="L159" s="751"/>
      <c r="M159" s="751"/>
      <c r="N159" s="751"/>
      <c r="O159" s="752"/>
    </row>
    <row r="160" spans="1:15" x14ac:dyDescent="0.25">
      <c r="A160" s="750"/>
      <c r="B160" s="754"/>
      <c r="C160" s="751">
        <v>1500</v>
      </c>
      <c r="D160" s="768">
        <f t="shared" si="49"/>
        <v>7.3333333333333334E-2</v>
      </c>
      <c r="E160" s="751"/>
      <c r="F160" s="751"/>
      <c r="G160" s="754"/>
      <c r="H160" s="751"/>
      <c r="I160" s="751"/>
      <c r="J160" s="751"/>
      <c r="K160" s="751"/>
      <c r="L160" s="751"/>
      <c r="M160" s="751"/>
      <c r="N160" s="751"/>
      <c r="O160" s="752"/>
    </row>
    <row r="161" spans="1:15" x14ac:dyDescent="0.25">
      <c r="A161" s="750"/>
      <c r="B161" s="754"/>
      <c r="C161" s="751">
        <v>2000</v>
      </c>
      <c r="D161" s="768">
        <f t="shared" si="49"/>
        <v>5.5E-2</v>
      </c>
      <c r="E161" s="751"/>
      <c r="F161" s="751"/>
      <c r="G161" s="754"/>
      <c r="H161" s="751"/>
      <c r="I161" s="751"/>
      <c r="J161" s="751"/>
      <c r="K161" s="751"/>
      <c r="L161" s="751"/>
      <c r="M161" s="751"/>
      <c r="N161" s="751"/>
      <c r="O161" s="752"/>
    </row>
    <row r="162" spans="1:15" x14ac:dyDescent="0.25">
      <c r="A162" s="750"/>
      <c r="B162" s="754"/>
      <c r="C162" s="751">
        <v>2500</v>
      </c>
      <c r="D162" s="768">
        <f t="shared" si="49"/>
        <v>4.4000000000000004E-2</v>
      </c>
      <c r="E162" s="751"/>
      <c r="F162" s="751"/>
      <c r="G162" s="754"/>
      <c r="H162" s="751"/>
      <c r="I162" s="751"/>
      <c r="J162" s="751"/>
      <c r="K162" s="751"/>
      <c r="L162" s="751"/>
      <c r="M162" s="751"/>
      <c r="N162" s="751"/>
      <c r="O162" s="752"/>
    </row>
    <row r="163" spans="1:15" x14ac:dyDescent="0.25">
      <c r="A163" s="750"/>
      <c r="B163" s="754"/>
      <c r="C163" s="751">
        <v>3000</v>
      </c>
      <c r="D163" s="768">
        <f t="shared" si="49"/>
        <v>3.6666666666666667E-2</v>
      </c>
      <c r="E163" s="751"/>
      <c r="F163" s="751"/>
      <c r="G163" s="754"/>
      <c r="H163" s="751"/>
      <c r="I163" s="751"/>
      <c r="J163" s="751"/>
      <c r="K163" s="751"/>
      <c r="L163" s="751"/>
      <c r="M163" s="751"/>
      <c r="N163" s="751"/>
      <c r="O163" s="752"/>
    </row>
    <row r="164" spans="1:15" x14ac:dyDescent="0.25">
      <c r="A164" s="750"/>
      <c r="B164" s="754"/>
      <c r="C164" s="751">
        <v>3500</v>
      </c>
      <c r="D164" s="768">
        <f t="shared" si="49"/>
        <v>3.1428571428571431E-2</v>
      </c>
      <c r="E164" s="751"/>
      <c r="F164" s="751"/>
      <c r="G164" s="754"/>
      <c r="H164" s="751"/>
      <c r="I164" s="751"/>
      <c r="J164" s="751"/>
      <c r="K164" s="751"/>
      <c r="L164" s="751"/>
      <c r="M164" s="751"/>
      <c r="N164" s="751"/>
      <c r="O164" s="752"/>
    </row>
    <row r="165" spans="1:15" x14ac:dyDescent="0.25">
      <c r="A165" s="750"/>
      <c r="B165" s="754"/>
      <c r="C165" s="751">
        <v>4000</v>
      </c>
      <c r="D165" s="768">
        <f t="shared" si="49"/>
        <v>2.75E-2</v>
      </c>
      <c r="E165" s="751"/>
      <c r="F165" s="751"/>
      <c r="G165" s="754"/>
      <c r="H165" s="751"/>
      <c r="I165" s="751"/>
      <c r="J165" s="751"/>
      <c r="K165" s="751"/>
      <c r="L165" s="751"/>
      <c r="M165" s="751"/>
      <c r="N165" s="751"/>
      <c r="O165" s="752"/>
    </row>
    <row r="166" spans="1:15" x14ac:dyDescent="0.25">
      <c r="A166" s="750"/>
      <c r="B166" s="754"/>
      <c r="C166" s="751">
        <v>4500</v>
      </c>
      <c r="D166" s="768">
        <f t="shared" si="49"/>
        <v>2.4444444444444449E-2</v>
      </c>
      <c r="E166" s="751"/>
      <c r="F166" s="751"/>
      <c r="G166" s="754"/>
      <c r="H166" s="751"/>
      <c r="I166" s="751"/>
      <c r="J166" s="751"/>
      <c r="K166" s="751"/>
      <c r="L166" s="751"/>
      <c r="M166" s="751"/>
      <c r="N166" s="751"/>
      <c r="O166" s="752"/>
    </row>
    <row r="167" spans="1:15" x14ac:dyDescent="0.25">
      <c r="A167" s="750"/>
      <c r="B167" s="754"/>
      <c r="C167" s="751">
        <v>5000</v>
      </c>
      <c r="D167" s="768">
        <f t="shared" si="49"/>
        <v>2.2000000000000002E-2</v>
      </c>
      <c r="E167" s="751"/>
      <c r="F167" s="751"/>
      <c r="G167" s="754"/>
      <c r="H167" s="751"/>
      <c r="I167" s="751"/>
      <c r="J167" s="751"/>
      <c r="K167" s="751"/>
      <c r="L167" s="751"/>
      <c r="M167" s="751"/>
      <c r="N167" s="751"/>
      <c r="O167" s="752"/>
    </row>
    <row r="168" spans="1:15" x14ac:dyDescent="0.25">
      <c r="A168" s="750"/>
      <c r="B168" s="754"/>
      <c r="C168" s="751"/>
      <c r="D168" s="751"/>
      <c r="E168" s="751"/>
      <c r="F168" s="751"/>
      <c r="G168" s="751"/>
      <c r="H168" s="751"/>
      <c r="I168" s="751"/>
      <c r="J168" s="751"/>
      <c r="K168" s="751"/>
      <c r="L168" s="751"/>
      <c r="M168" s="751"/>
      <c r="N168" s="751"/>
      <c r="O168" s="752"/>
    </row>
    <row r="169" spans="1:15" x14ac:dyDescent="0.25">
      <c r="A169" s="750"/>
      <c r="B169" s="751" t="s">
        <v>464</v>
      </c>
      <c r="C169" s="754" t="str">
        <f>"(Tasa de Kerma en aire medido a "&amp;'Incert. Dos.'!C94-F152/1000&amp;" m - Tasa de Kerma en aire teórico a "&amp;'Incert. Dos.'!C94+F152/1000&amp;" m)/2"</f>
        <v>(Tasa de Kerma en aire medido a 1.9989 m - Tasa de Kerma en aire teórico a 2.0011 m)/2</v>
      </c>
      <c r="D169" s="751"/>
      <c r="E169" s="751"/>
      <c r="F169" s="751"/>
      <c r="G169" s="751"/>
      <c r="H169" s="751"/>
      <c r="I169" s="751"/>
      <c r="J169" s="751"/>
      <c r="K169" s="751"/>
      <c r="L169" s="751"/>
      <c r="M169" s="751"/>
      <c r="N169" s="751"/>
      <c r="O169" s="752"/>
    </row>
    <row r="170" spans="1:15" x14ac:dyDescent="0.25">
      <c r="A170" s="750"/>
      <c r="B170" s="751"/>
      <c r="C170" s="754"/>
      <c r="D170" s="751"/>
      <c r="E170" s="751"/>
      <c r="F170" s="751"/>
      <c r="G170" s="751"/>
      <c r="H170" s="751"/>
      <c r="I170" s="751"/>
      <c r="J170" s="751"/>
      <c r="K170" s="751"/>
      <c r="L170" s="751"/>
      <c r="M170" s="751"/>
      <c r="N170" s="751"/>
      <c r="O170" s="752"/>
    </row>
    <row r="171" spans="1:15" x14ac:dyDescent="0.25">
      <c r="A171" s="750"/>
      <c r="B171" s="751" t="s">
        <v>464</v>
      </c>
      <c r="C171" s="760">
        <f>(('F-LSCD-003'!D17*'F-LSCD-003'!N17^2/('F-LSCD-003'!N17-$F$152/1000)^2)-('F-LSCD-003'!D17*'F-LSCD-003'!N17^2/('F-LSCD-003'!N17+$F$152/1000)^2))/0.000001</f>
        <v>89.869382186486689</v>
      </c>
      <c r="D171" s="754" t="s">
        <v>325</v>
      </c>
      <c r="E171" s="751"/>
      <c r="F171" s="751"/>
      <c r="G171" s="751"/>
      <c r="H171" s="751"/>
      <c r="I171" s="751"/>
      <c r="J171" s="751"/>
      <c r="K171" s="751"/>
      <c r="L171" s="751"/>
      <c r="M171" s="751"/>
      <c r="N171" s="751"/>
      <c r="O171" s="752"/>
    </row>
    <row r="172" spans="1:15" x14ac:dyDescent="0.25">
      <c r="A172" s="753"/>
      <c r="B172" s="751"/>
      <c r="C172" s="755"/>
      <c r="D172" s="754"/>
      <c r="E172" s="751"/>
      <c r="F172" s="751"/>
      <c r="G172" s="751"/>
      <c r="H172" s="751"/>
      <c r="I172" s="751"/>
      <c r="J172" s="751"/>
      <c r="K172" s="751"/>
      <c r="L172" s="751"/>
      <c r="M172" s="751"/>
      <c r="N172" s="751"/>
      <c r="O172" s="752"/>
    </row>
    <row r="173" spans="1:15" x14ac:dyDescent="0.25">
      <c r="A173" s="750" t="s">
        <v>711</v>
      </c>
      <c r="B173" s="751"/>
      <c r="C173" s="755"/>
      <c r="D173" s="754"/>
      <c r="E173" s="751"/>
      <c r="F173" s="751"/>
      <c r="G173" s="751"/>
      <c r="H173" s="751"/>
      <c r="I173" s="751"/>
      <c r="J173" s="751"/>
      <c r="K173" s="751"/>
      <c r="L173" s="751"/>
      <c r="M173" s="751"/>
      <c r="N173" s="751"/>
      <c r="O173" s="752"/>
    </row>
    <row r="174" spans="1:15" x14ac:dyDescent="0.25">
      <c r="A174" s="750"/>
      <c r="B174" s="751"/>
      <c r="C174" s="755"/>
      <c r="D174" s="754"/>
      <c r="E174" s="751"/>
      <c r="F174" s="751"/>
      <c r="G174" s="751"/>
      <c r="H174" s="751"/>
      <c r="I174" s="751"/>
      <c r="J174" s="751"/>
      <c r="K174" s="751"/>
      <c r="L174" s="751"/>
      <c r="M174" s="751"/>
      <c r="N174" s="751"/>
      <c r="O174" s="752"/>
    </row>
    <row r="175" spans="1:15" x14ac:dyDescent="0.25">
      <c r="A175" s="750"/>
      <c r="B175" s="751"/>
      <c r="C175" s="755"/>
      <c r="D175" s="754"/>
      <c r="E175" s="751"/>
      <c r="F175" s="751"/>
      <c r="G175" s="751"/>
      <c r="H175" s="751"/>
      <c r="I175" s="751"/>
      <c r="J175" s="751"/>
      <c r="K175" s="751"/>
      <c r="L175" s="751"/>
      <c r="M175" s="751"/>
      <c r="N175" s="751"/>
      <c r="O175" s="752"/>
    </row>
    <row r="176" spans="1:15" x14ac:dyDescent="0.25">
      <c r="A176" s="750"/>
      <c r="B176" s="751"/>
      <c r="C176" s="755"/>
      <c r="D176" s="754"/>
      <c r="E176" s="751"/>
      <c r="F176" s="751"/>
      <c r="G176" s="751"/>
      <c r="H176" s="751"/>
      <c r="I176" s="751"/>
      <c r="J176" s="751"/>
      <c r="K176" s="751"/>
      <c r="L176" s="751"/>
      <c r="M176" s="751"/>
      <c r="N176" s="751"/>
      <c r="O176" s="752"/>
    </row>
    <row r="177" spans="1:15" ht="15.75" thickBot="1" x14ac:dyDescent="0.3">
      <c r="A177" s="769"/>
      <c r="B177" s="757"/>
      <c r="C177" s="770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8"/>
    </row>
    <row r="178" spans="1:15" x14ac:dyDescent="0.25">
      <c r="A178" s="771"/>
      <c r="B178" s="748"/>
      <c r="C178" s="767"/>
      <c r="D178" s="748"/>
      <c r="E178" s="748"/>
      <c r="F178" s="748"/>
      <c r="G178" s="748"/>
      <c r="H178" s="748"/>
      <c r="I178" s="748"/>
      <c r="J178" s="748"/>
      <c r="K178" s="748"/>
      <c r="L178" s="748"/>
      <c r="M178" s="748"/>
      <c r="N178" s="748"/>
      <c r="O178" s="749"/>
    </row>
    <row r="179" spans="1:15" x14ac:dyDescent="0.25">
      <c r="A179" s="750" t="s">
        <v>678</v>
      </c>
      <c r="B179" s="754"/>
      <c r="C179" s="751"/>
      <c r="D179" s="751"/>
      <c r="E179" s="751"/>
      <c r="F179" s="751"/>
      <c r="G179" s="751"/>
      <c r="H179" s="751"/>
      <c r="I179" s="751"/>
      <c r="J179" s="751"/>
      <c r="K179" s="751"/>
      <c r="L179" s="751"/>
      <c r="M179" s="751"/>
      <c r="N179" s="751"/>
      <c r="O179" s="752"/>
    </row>
    <row r="180" spans="1:15" x14ac:dyDescent="0.25">
      <c r="A180" s="750"/>
      <c r="B180" s="754"/>
      <c r="C180" s="751"/>
      <c r="D180" s="751"/>
      <c r="E180" s="751"/>
      <c r="F180" s="751"/>
      <c r="G180" s="751"/>
      <c r="H180" s="751"/>
      <c r="I180" s="751"/>
      <c r="J180" s="751"/>
      <c r="K180" s="751"/>
      <c r="L180" s="751"/>
      <c r="M180" s="751"/>
      <c r="N180" s="751"/>
      <c r="O180" s="752"/>
    </row>
    <row r="181" spans="1:15" x14ac:dyDescent="0.25">
      <c r="A181" s="750" t="s">
        <v>498</v>
      </c>
      <c r="B181" s="754"/>
      <c r="C181" s="751"/>
      <c r="D181" s="751"/>
      <c r="E181" s="751"/>
      <c r="F181" s="751"/>
      <c r="G181" s="751"/>
      <c r="H181" s="751"/>
      <c r="I181" s="751"/>
      <c r="J181" s="751"/>
      <c r="K181" s="751"/>
      <c r="L181" s="751"/>
      <c r="M181" s="751"/>
      <c r="N181" s="751"/>
      <c r="O181" s="752"/>
    </row>
    <row r="182" spans="1:15" x14ac:dyDescent="0.25">
      <c r="A182" s="750"/>
      <c r="B182" s="754"/>
      <c r="C182" s="751"/>
      <c r="D182" s="751"/>
      <c r="E182" s="751"/>
      <c r="F182" s="751"/>
      <c r="G182" s="751"/>
      <c r="H182" s="751"/>
      <c r="I182" s="751"/>
      <c r="J182" s="751"/>
      <c r="K182" s="751"/>
      <c r="L182" s="751"/>
      <c r="M182" s="751"/>
      <c r="N182" s="751"/>
      <c r="O182" s="752"/>
    </row>
    <row r="183" spans="1:15" x14ac:dyDescent="0.25">
      <c r="A183" s="750"/>
      <c r="B183" s="754" t="s">
        <v>454</v>
      </c>
      <c r="C183" s="751"/>
      <c r="D183" s="751"/>
      <c r="E183" s="751"/>
      <c r="F183" s="751">
        <f>'F-LSCD-002 (Dosimetría)'!D66</f>
        <v>1</v>
      </c>
      <c r="G183" s="751" t="s">
        <v>449</v>
      </c>
      <c r="H183" s="751"/>
      <c r="I183" s="751"/>
      <c r="J183" s="751"/>
      <c r="K183" s="751"/>
      <c r="L183" s="751"/>
      <c r="M183" s="751"/>
      <c r="N183" s="751"/>
      <c r="O183" s="752"/>
    </row>
    <row r="184" spans="1:15" x14ac:dyDescent="0.25">
      <c r="A184" s="750"/>
      <c r="B184" s="754"/>
      <c r="C184" s="751"/>
      <c r="D184" s="751"/>
      <c r="E184" s="751"/>
      <c r="F184" s="751"/>
      <c r="G184" s="751"/>
      <c r="H184" s="751"/>
      <c r="I184" s="751"/>
      <c r="J184" s="751"/>
      <c r="K184" s="751"/>
      <c r="L184" s="751"/>
      <c r="M184" s="751"/>
      <c r="N184" s="751"/>
      <c r="O184" s="752"/>
    </row>
    <row r="185" spans="1:15" x14ac:dyDescent="0.25">
      <c r="A185" s="750"/>
      <c r="B185" s="751" t="s">
        <v>464</v>
      </c>
      <c r="C185" s="754" t="str">
        <f>"(Tasa de Kerma en aire medido a "&amp;'Incert. Dos.'!C94-F183/1000&amp;" m - Tasa de Kerma en aire teórico a "&amp;'Incert. Dos.'!C94+F183/1000&amp;" m)/2"</f>
        <v>(Tasa de Kerma en aire medido a 1.999 m - Tasa de Kerma en aire teórico a 2.001 m)/2</v>
      </c>
      <c r="D185" s="751"/>
      <c r="E185" s="751"/>
      <c r="F185" s="751"/>
      <c r="G185" s="751"/>
      <c r="H185" s="751"/>
      <c r="I185" s="751"/>
      <c r="J185" s="751"/>
      <c r="K185" s="751"/>
      <c r="L185" s="751"/>
      <c r="M185" s="751"/>
      <c r="N185" s="751"/>
      <c r="O185" s="752"/>
    </row>
    <row r="186" spans="1:15" x14ac:dyDescent="0.25">
      <c r="A186" s="750"/>
      <c r="B186" s="754"/>
      <c r="C186" s="751"/>
      <c r="D186" s="751"/>
      <c r="E186" s="751"/>
      <c r="F186" s="751"/>
      <c r="G186" s="751"/>
      <c r="H186" s="751"/>
      <c r="I186" s="751"/>
      <c r="J186" s="751"/>
      <c r="K186" s="751"/>
      <c r="L186" s="751"/>
      <c r="M186" s="751"/>
      <c r="N186" s="751"/>
      <c r="O186" s="752"/>
    </row>
    <row r="187" spans="1:15" x14ac:dyDescent="0.25">
      <c r="A187" s="750"/>
      <c r="B187" s="751" t="s">
        <v>464</v>
      </c>
      <c r="C187" s="760">
        <f>(('F-LSCD-003'!D17*'F-LSCD-003'!N17^2/('F-LSCD-003'!N17-$F$183/1000)^2)-('F-LSCD-003'!D17*'F-LSCD-003'!N17^2/('F-LSCD-003'!N17+$F$183/1000)^2))/0.000001/2</f>
        <v>40.849707723823045</v>
      </c>
      <c r="D187" s="754" t="s">
        <v>325</v>
      </c>
      <c r="E187" s="751"/>
      <c r="F187" s="751"/>
      <c r="G187" s="751"/>
      <c r="H187" s="751"/>
      <c r="I187" s="751"/>
      <c r="J187" s="751"/>
      <c r="K187" s="751"/>
      <c r="L187" s="751"/>
      <c r="M187" s="751"/>
      <c r="N187" s="751"/>
      <c r="O187" s="752"/>
    </row>
    <row r="188" spans="1:15" x14ac:dyDescent="0.25">
      <c r="A188" s="753"/>
      <c r="B188" s="751"/>
      <c r="C188" s="755"/>
      <c r="D188" s="754"/>
      <c r="E188" s="751"/>
      <c r="F188" s="751"/>
      <c r="G188" s="751"/>
      <c r="H188" s="751"/>
      <c r="I188" s="751"/>
      <c r="J188" s="751"/>
      <c r="K188" s="751"/>
      <c r="L188" s="751"/>
      <c r="M188" s="751"/>
      <c r="N188" s="751"/>
      <c r="O188" s="752"/>
    </row>
    <row r="189" spans="1:15" x14ac:dyDescent="0.25">
      <c r="A189" s="750" t="s">
        <v>712</v>
      </c>
      <c r="B189" s="751"/>
      <c r="C189" s="755"/>
      <c r="D189" s="754"/>
      <c r="E189" s="751"/>
      <c r="F189" s="751"/>
      <c r="G189" s="751"/>
      <c r="H189" s="751"/>
      <c r="I189" s="751"/>
      <c r="J189" s="751"/>
      <c r="K189" s="751"/>
      <c r="L189" s="751"/>
      <c r="M189" s="751"/>
      <c r="N189" s="751"/>
      <c r="O189" s="752"/>
    </row>
    <row r="190" spans="1:15" x14ac:dyDescent="0.25">
      <c r="A190" s="750"/>
      <c r="B190" s="751"/>
      <c r="C190" s="755"/>
      <c r="D190" s="754"/>
      <c r="E190" s="751"/>
      <c r="F190" s="751"/>
      <c r="G190" s="751"/>
      <c r="H190" s="751"/>
      <c r="I190" s="751"/>
      <c r="J190" s="751"/>
      <c r="K190" s="751"/>
      <c r="L190" s="751"/>
      <c r="M190" s="751"/>
      <c r="N190" s="751"/>
      <c r="O190" s="752"/>
    </row>
    <row r="191" spans="1:15" x14ac:dyDescent="0.25">
      <c r="A191" s="750"/>
      <c r="B191" s="751"/>
      <c r="C191" s="755"/>
      <c r="D191" s="754"/>
      <c r="E191" s="751"/>
      <c r="F191" s="751"/>
      <c r="G191" s="751"/>
      <c r="H191" s="751"/>
      <c r="I191" s="751"/>
      <c r="J191" s="751"/>
      <c r="K191" s="751"/>
      <c r="L191" s="751"/>
      <c r="M191" s="751"/>
      <c r="N191" s="751"/>
      <c r="O191" s="752"/>
    </row>
    <row r="192" spans="1:15" x14ac:dyDescent="0.25">
      <c r="A192" s="750"/>
      <c r="B192" s="751"/>
      <c r="C192" s="755"/>
      <c r="D192" s="754"/>
      <c r="E192" s="751"/>
      <c r="F192" s="751"/>
      <c r="G192" s="751"/>
      <c r="H192" s="751"/>
      <c r="I192" s="751"/>
      <c r="J192" s="751"/>
      <c r="K192" s="751"/>
      <c r="L192" s="751"/>
      <c r="M192" s="751"/>
      <c r="N192" s="751"/>
      <c r="O192" s="752"/>
    </row>
    <row r="193" spans="1:15" ht="15.75" thickBot="1" x14ac:dyDescent="0.3">
      <c r="A193" s="769"/>
      <c r="B193" s="757"/>
      <c r="C193" s="772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8"/>
    </row>
    <row r="194" spans="1:15" x14ac:dyDescent="0.25">
      <c r="A194" s="747"/>
      <c r="B194" s="773"/>
      <c r="C194" s="748"/>
      <c r="D194" s="748"/>
      <c r="E194" s="748"/>
      <c r="F194" s="748"/>
      <c r="G194" s="748"/>
      <c r="H194" s="748"/>
      <c r="I194" s="748"/>
      <c r="J194" s="748"/>
      <c r="K194" s="748"/>
      <c r="L194" s="748"/>
      <c r="M194" s="748"/>
      <c r="N194" s="748"/>
      <c r="O194" s="749"/>
    </row>
    <row r="195" spans="1:15" x14ac:dyDescent="0.25">
      <c r="A195" s="754" t="s">
        <v>679</v>
      </c>
      <c r="B195" s="754"/>
      <c r="C195" s="751"/>
      <c r="D195" s="751"/>
      <c r="E195" s="751"/>
      <c r="F195" s="751"/>
      <c r="G195" s="751"/>
      <c r="H195" s="751"/>
      <c r="I195" s="751"/>
      <c r="J195" s="751"/>
      <c r="K195" s="751"/>
      <c r="L195" s="751"/>
      <c r="M195" s="751"/>
      <c r="N195" s="751"/>
      <c r="O195" s="752"/>
    </row>
    <row r="196" spans="1:15" x14ac:dyDescent="0.25">
      <c r="A196" s="750"/>
      <c r="B196" s="754"/>
      <c r="C196" s="751"/>
      <c r="D196" s="751"/>
      <c r="E196" s="751"/>
      <c r="F196" s="751"/>
      <c r="G196" s="751"/>
      <c r="H196" s="751"/>
      <c r="I196" s="751"/>
      <c r="J196" s="751"/>
      <c r="K196" s="751"/>
      <c r="L196" s="751"/>
      <c r="M196" s="751"/>
      <c r="N196" s="751"/>
      <c r="O196" s="752"/>
    </row>
    <row r="197" spans="1:15" x14ac:dyDescent="0.25">
      <c r="A197" s="750" t="s">
        <v>502</v>
      </c>
      <c r="B197" s="754"/>
      <c r="C197" s="751"/>
      <c r="D197" s="751"/>
      <c r="E197" s="751"/>
      <c r="F197" s="751"/>
      <c r="G197" s="751"/>
      <c r="H197" s="751"/>
      <c r="I197" s="751"/>
      <c r="J197" s="751"/>
      <c r="K197" s="751"/>
      <c r="L197" s="751"/>
      <c r="M197" s="751"/>
      <c r="N197" s="751"/>
      <c r="O197" s="752"/>
    </row>
    <row r="198" spans="1:15" x14ac:dyDescent="0.25">
      <c r="A198" s="750"/>
      <c r="B198" s="754"/>
      <c r="C198" s="751"/>
      <c r="D198" s="751"/>
      <c r="E198" s="751"/>
      <c r="F198" s="751"/>
      <c r="G198" s="751"/>
      <c r="H198" s="751"/>
      <c r="I198" s="751"/>
      <c r="J198" s="751"/>
      <c r="K198" s="751"/>
      <c r="L198" s="751"/>
      <c r="M198" s="751"/>
      <c r="N198" s="751"/>
      <c r="O198" s="752"/>
    </row>
    <row r="199" spans="1:15" x14ac:dyDescent="0.25">
      <c r="A199" s="750"/>
      <c r="B199" s="751" t="s">
        <v>464</v>
      </c>
      <c r="C199" s="754" t="s">
        <v>399</v>
      </c>
      <c r="D199" s="751"/>
      <c r="E199" s="751"/>
      <c r="F199" s="751"/>
      <c r="G199" s="751"/>
      <c r="H199" s="751"/>
      <c r="I199" s="751"/>
      <c r="J199" s="751"/>
      <c r="K199" s="751"/>
      <c r="L199" s="751"/>
      <c r="M199" s="751"/>
      <c r="N199" s="751"/>
      <c r="O199" s="752"/>
    </row>
    <row r="200" spans="1:15" x14ac:dyDescent="0.25">
      <c r="A200" s="750"/>
      <c r="B200" s="754"/>
      <c r="C200" s="751"/>
      <c r="D200" s="751"/>
      <c r="E200" s="751"/>
      <c r="F200" s="751"/>
      <c r="G200" s="751"/>
      <c r="H200" s="751"/>
      <c r="I200" s="751"/>
      <c r="J200" s="751"/>
      <c r="K200" s="751"/>
      <c r="L200" s="751"/>
      <c r="M200" s="751"/>
      <c r="N200" s="751"/>
      <c r="O200" s="752"/>
    </row>
    <row r="201" spans="1:15" x14ac:dyDescent="0.25">
      <c r="A201" s="750" t="s">
        <v>713</v>
      </c>
      <c r="B201" s="751"/>
      <c r="C201" s="755"/>
      <c r="D201" s="754"/>
      <c r="E201" s="751"/>
      <c r="F201" s="751"/>
      <c r="G201" s="751"/>
      <c r="H201" s="751"/>
      <c r="I201" s="751"/>
      <c r="J201" s="751"/>
      <c r="K201" s="751"/>
      <c r="L201" s="751"/>
      <c r="M201" s="751"/>
      <c r="N201" s="751"/>
      <c r="O201" s="752"/>
    </row>
    <row r="202" spans="1:15" x14ac:dyDescent="0.25">
      <c r="A202" s="750"/>
      <c r="B202" s="751"/>
      <c r="C202" s="755"/>
      <c r="D202" s="754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2"/>
    </row>
    <row r="203" spans="1:15" x14ac:dyDescent="0.25">
      <c r="A203" s="750"/>
      <c r="B203" s="751"/>
      <c r="C203" s="755"/>
      <c r="D203" s="754"/>
      <c r="E203" s="751"/>
      <c r="F203" s="751"/>
      <c r="G203" s="751"/>
      <c r="H203" s="751"/>
      <c r="I203" s="751"/>
      <c r="J203" s="751"/>
      <c r="K203" s="751"/>
      <c r="L203" s="751"/>
      <c r="M203" s="751"/>
      <c r="N203" s="751"/>
      <c r="O203" s="752"/>
    </row>
    <row r="204" spans="1:15" x14ac:dyDescent="0.25">
      <c r="A204" s="750"/>
      <c r="B204" s="751"/>
      <c r="C204" s="755"/>
      <c r="D204" s="754"/>
      <c r="E204" s="751"/>
      <c r="F204" s="751"/>
      <c r="G204" s="751"/>
      <c r="H204" s="751"/>
      <c r="I204" s="751"/>
      <c r="J204" s="751"/>
      <c r="K204" s="751"/>
      <c r="L204" s="751"/>
      <c r="M204" s="751"/>
      <c r="N204" s="751"/>
      <c r="O204" s="752"/>
    </row>
    <row r="205" spans="1:15" ht="15.75" thickBot="1" x14ac:dyDescent="0.3">
      <c r="A205" s="756"/>
      <c r="B205" s="757"/>
      <c r="C205" s="757"/>
      <c r="D205" s="757"/>
      <c r="E205" s="757"/>
      <c r="F205" s="757"/>
      <c r="G205" s="757"/>
      <c r="H205" s="757"/>
      <c r="I205" s="757"/>
      <c r="J205" s="757"/>
      <c r="K205" s="757"/>
      <c r="L205" s="757"/>
      <c r="M205" s="757"/>
      <c r="N205" s="757"/>
      <c r="O205" s="758"/>
    </row>
    <row r="206" spans="1:15" x14ac:dyDescent="0.25">
      <c r="A206" s="751"/>
      <c r="B206" s="748"/>
      <c r="C206" s="748"/>
      <c r="D206" s="748"/>
      <c r="E206" s="748"/>
      <c r="F206" s="751"/>
      <c r="G206" s="748"/>
      <c r="H206" s="748"/>
      <c r="I206" s="748"/>
      <c r="J206" s="748"/>
      <c r="K206" s="748"/>
      <c r="L206" s="748"/>
      <c r="M206" s="748"/>
      <c r="N206" s="748"/>
      <c r="O206" s="749"/>
    </row>
    <row r="207" spans="1:15" x14ac:dyDescent="0.25">
      <c r="A207" s="754" t="s">
        <v>680</v>
      </c>
      <c r="B207" s="751"/>
      <c r="C207" s="751"/>
      <c r="D207" s="751"/>
      <c r="E207" s="751"/>
      <c r="F207" s="751"/>
      <c r="G207" s="751"/>
      <c r="H207" s="751"/>
      <c r="I207" s="751"/>
      <c r="J207" s="751"/>
      <c r="K207" s="751"/>
      <c r="L207" s="751"/>
      <c r="M207" s="751"/>
      <c r="N207" s="751"/>
      <c r="O207" s="752"/>
    </row>
    <row r="208" spans="1:15" x14ac:dyDescent="0.25">
      <c r="A208" s="750"/>
      <c r="B208" s="751"/>
      <c r="C208" s="751"/>
      <c r="D208" s="751"/>
      <c r="E208" s="751"/>
      <c r="F208" s="751"/>
      <c r="G208" s="751"/>
      <c r="H208" s="751"/>
      <c r="I208" s="751"/>
      <c r="J208" s="751"/>
      <c r="K208" s="751"/>
      <c r="L208" s="751"/>
      <c r="M208" s="751"/>
      <c r="N208" s="751"/>
      <c r="O208" s="752"/>
    </row>
    <row r="209" spans="1:15" x14ac:dyDescent="0.25">
      <c r="A209" s="750" t="s">
        <v>504</v>
      </c>
      <c r="B209" s="751"/>
      <c r="C209" s="751"/>
      <c r="D209" s="751"/>
      <c r="E209" s="751"/>
      <c r="F209" s="751"/>
      <c r="G209" s="751"/>
      <c r="H209" s="751"/>
      <c r="I209" s="751"/>
      <c r="J209" s="751"/>
      <c r="K209" s="751"/>
      <c r="L209" s="751"/>
      <c r="M209" s="751"/>
      <c r="N209" s="751"/>
      <c r="O209" s="752"/>
    </row>
    <row r="210" spans="1:15" x14ac:dyDescent="0.25">
      <c r="A210" s="750"/>
      <c r="B210" s="751"/>
      <c r="C210" s="751"/>
      <c r="D210" s="751"/>
      <c r="E210" s="751"/>
      <c r="F210" s="751"/>
      <c r="G210" s="751"/>
      <c r="H210" s="751"/>
      <c r="I210" s="751"/>
      <c r="J210" s="751"/>
      <c r="K210" s="751"/>
      <c r="L210" s="751"/>
      <c r="M210" s="751"/>
      <c r="N210" s="751"/>
      <c r="O210" s="752"/>
    </row>
    <row r="211" spans="1:15" x14ac:dyDescent="0.25">
      <c r="A211" s="753"/>
      <c r="B211" s="751" t="s">
        <v>464</v>
      </c>
      <c r="C211" s="774">
        <v>0.02</v>
      </c>
      <c r="D211" s="754"/>
      <c r="E211" s="751"/>
      <c r="F211" s="751"/>
      <c r="G211" s="751"/>
      <c r="H211" s="751"/>
      <c r="I211" s="751"/>
      <c r="J211" s="751"/>
      <c r="K211" s="751"/>
      <c r="L211" s="751"/>
      <c r="M211" s="751"/>
      <c r="N211" s="751"/>
      <c r="O211" s="752"/>
    </row>
    <row r="212" spans="1:15" x14ac:dyDescent="0.25">
      <c r="A212" s="753"/>
      <c r="B212" s="751"/>
      <c r="C212" s="751"/>
      <c r="D212" s="751"/>
      <c r="E212" s="751"/>
      <c r="F212" s="751"/>
      <c r="G212" s="751"/>
      <c r="H212" s="751"/>
      <c r="I212" s="751"/>
      <c r="J212" s="751"/>
      <c r="K212" s="751"/>
      <c r="L212" s="751"/>
      <c r="M212" s="751"/>
      <c r="N212" s="751"/>
      <c r="O212" s="752"/>
    </row>
    <row r="213" spans="1:15" x14ac:dyDescent="0.25">
      <c r="A213" s="753"/>
      <c r="B213" s="754" t="s">
        <v>397</v>
      </c>
      <c r="C213" s="751"/>
      <c r="D213" s="751"/>
      <c r="E213" s="751"/>
      <c r="F213" s="751"/>
      <c r="G213" s="751"/>
      <c r="H213" s="751"/>
      <c r="I213" s="751"/>
      <c r="J213" s="751"/>
      <c r="K213" s="751"/>
      <c r="L213" s="751"/>
      <c r="M213" s="751"/>
      <c r="N213" s="751"/>
      <c r="O213" s="752"/>
    </row>
    <row r="214" spans="1:15" x14ac:dyDescent="0.25">
      <c r="A214" s="753"/>
      <c r="B214" s="754" t="s">
        <v>663</v>
      </c>
      <c r="C214" s="751"/>
      <c r="D214" s="751"/>
      <c r="E214" s="751"/>
      <c r="F214" s="751"/>
      <c r="G214" s="751"/>
      <c r="H214" s="751"/>
      <c r="I214" s="751"/>
      <c r="J214" s="751"/>
      <c r="K214" s="751"/>
      <c r="L214" s="751"/>
      <c r="M214" s="751"/>
      <c r="N214" s="751"/>
      <c r="O214" s="752"/>
    </row>
    <row r="215" spans="1:15" x14ac:dyDescent="0.25">
      <c r="A215" s="753"/>
      <c r="B215" s="751"/>
      <c r="C215" s="755"/>
      <c r="D215" s="754"/>
      <c r="E215" s="751"/>
      <c r="F215" s="751"/>
      <c r="G215" s="751"/>
      <c r="H215" s="751"/>
      <c r="I215" s="751"/>
      <c r="J215" s="751"/>
      <c r="K215" s="751"/>
      <c r="L215" s="751"/>
      <c r="M215" s="751"/>
      <c r="N215" s="751"/>
      <c r="O215" s="752"/>
    </row>
    <row r="216" spans="1:15" x14ac:dyDescent="0.25">
      <c r="A216" s="750" t="s">
        <v>714</v>
      </c>
      <c r="B216" s="751"/>
      <c r="C216" s="755"/>
      <c r="D216" s="754"/>
      <c r="E216" s="751"/>
      <c r="F216" s="751"/>
      <c r="G216" s="751"/>
      <c r="H216" s="751"/>
      <c r="I216" s="751"/>
      <c r="J216" s="751"/>
      <c r="K216" s="751"/>
      <c r="L216" s="751"/>
      <c r="M216" s="751"/>
      <c r="N216" s="751"/>
      <c r="O216" s="752"/>
    </row>
    <row r="217" spans="1:15" x14ac:dyDescent="0.25">
      <c r="A217" s="750"/>
      <c r="B217" s="751"/>
      <c r="C217" s="755"/>
      <c r="D217" s="754"/>
      <c r="E217" s="751"/>
      <c r="F217" s="751"/>
      <c r="G217" s="751"/>
      <c r="H217" s="751"/>
      <c r="I217" s="751"/>
      <c r="J217" s="751"/>
      <c r="K217" s="751"/>
      <c r="L217" s="751"/>
      <c r="M217" s="751"/>
      <c r="N217" s="751"/>
      <c r="O217" s="752"/>
    </row>
    <row r="218" spans="1:15" x14ac:dyDescent="0.25">
      <c r="A218" s="750"/>
      <c r="B218" s="751"/>
      <c r="C218" s="755"/>
      <c r="D218" s="754"/>
      <c r="E218" s="751"/>
      <c r="F218" s="751"/>
      <c r="G218" s="751"/>
      <c r="H218" s="751"/>
      <c r="I218" s="751"/>
      <c r="J218" s="751"/>
      <c r="K218" s="751"/>
      <c r="L218" s="751"/>
      <c r="M218" s="751"/>
      <c r="N218" s="751"/>
      <c r="O218" s="752"/>
    </row>
    <row r="219" spans="1:15" x14ac:dyDescent="0.25">
      <c r="A219" s="750"/>
      <c r="B219" s="751"/>
      <c r="C219" s="755"/>
      <c r="D219" s="754"/>
      <c r="E219" s="751"/>
      <c r="F219" s="751"/>
      <c r="G219" s="751"/>
      <c r="H219" s="751"/>
      <c r="I219" s="751"/>
      <c r="J219" s="751"/>
      <c r="K219" s="751"/>
      <c r="L219" s="751"/>
      <c r="M219" s="751"/>
      <c r="N219" s="751"/>
      <c r="O219" s="752"/>
    </row>
    <row r="220" spans="1:15" ht="15.75" thickBot="1" x14ac:dyDescent="0.3">
      <c r="A220" s="756"/>
      <c r="B220" s="775"/>
      <c r="C220" s="757"/>
      <c r="D220" s="757"/>
      <c r="E220" s="757"/>
      <c r="F220" s="757"/>
      <c r="G220" s="757"/>
      <c r="H220" s="757"/>
      <c r="I220" s="757"/>
      <c r="J220" s="757"/>
      <c r="K220" s="757"/>
      <c r="L220" s="757"/>
      <c r="M220" s="757"/>
      <c r="N220" s="757"/>
      <c r="O220" s="758"/>
    </row>
    <row r="221" spans="1:15" x14ac:dyDescent="0.25">
      <c r="A221" s="747"/>
      <c r="B221" s="773"/>
      <c r="C221" s="748"/>
      <c r="D221" s="748"/>
      <c r="E221" s="748"/>
      <c r="F221" s="748"/>
      <c r="G221" s="748"/>
      <c r="H221" s="748"/>
      <c r="I221" s="748"/>
      <c r="J221" s="748"/>
      <c r="K221" s="748"/>
      <c r="L221" s="748"/>
      <c r="M221" s="748"/>
      <c r="N221" s="748"/>
      <c r="O221" s="749"/>
    </row>
    <row r="222" spans="1:15" x14ac:dyDescent="0.25">
      <c r="A222" s="323" t="s">
        <v>1096</v>
      </c>
      <c r="B222" s="754"/>
      <c r="C222" s="751"/>
      <c r="D222" s="751"/>
      <c r="E222" s="751"/>
      <c r="F222" s="751"/>
      <c r="G222" s="751"/>
      <c r="H222" s="751"/>
      <c r="I222" s="751"/>
      <c r="J222" s="751"/>
      <c r="K222" s="751"/>
      <c r="L222" s="751"/>
      <c r="M222" s="751"/>
      <c r="N222" s="751"/>
      <c r="O222" s="752"/>
    </row>
    <row r="223" spans="1:15" x14ac:dyDescent="0.25">
      <c r="A223" s="750"/>
      <c r="B223" s="754"/>
      <c r="C223" s="751"/>
      <c r="D223" s="751"/>
      <c r="E223" s="751"/>
      <c r="F223" s="751"/>
      <c r="G223" s="751"/>
      <c r="H223" s="751"/>
      <c r="I223" s="751"/>
      <c r="J223" s="751"/>
      <c r="K223" s="751"/>
      <c r="L223" s="751"/>
      <c r="M223" s="751"/>
      <c r="N223" s="751"/>
      <c r="O223" s="752"/>
    </row>
    <row r="224" spans="1:15" x14ac:dyDescent="0.25">
      <c r="A224" s="750" t="s">
        <v>508</v>
      </c>
      <c r="B224" s="754"/>
      <c r="C224" s="751"/>
      <c r="D224" s="751"/>
      <c r="E224" s="751"/>
      <c r="F224" s="751"/>
      <c r="G224" s="751"/>
      <c r="H224" s="751"/>
      <c r="I224" s="751"/>
      <c r="J224" s="751"/>
      <c r="K224" s="751"/>
      <c r="L224" s="751"/>
      <c r="M224" s="751"/>
      <c r="N224" s="751"/>
      <c r="O224" s="752"/>
    </row>
    <row r="225" spans="1:15" x14ac:dyDescent="0.25">
      <c r="A225" s="750"/>
      <c r="B225" s="754"/>
      <c r="C225" s="751"/>
      <c r="D225" s="751"/>
      <c r="E225" s="751"/>
      <c r="F225" s="751"/>
      <c r="G225" s="751"/>
      <c r="H225" s="751"/>
      <c r="I225" s="751"/>
      <c r="J225" s="751"/>
      <c r="K225" s="751"/>
      <c r="L225" s="751"/>
      <c r="M225" s="751"/>
      <c r="N225" s="751"/>
      <c r="O225" s="752"/>
    </row>
    <row r="226" spans="1:15" x14ac:dyDescent="0.25">
      <c r="A226" s="750"/>
      <c r="B226" s="754" t="s">
        <v>673</v>
      </c>
      <c r="C226" s="751"/>
      <c r="D226" s="751"/>
      <c r="E226" s="751"/>
      <c r="F226" s="751"/>
      <c r="G226" s="751"/>
      <c r="H226" s="751"/>
      <c r="I226" s="751"/>
      <c r="J226" s="751"/>
      <c r="K226" s="751"/>
      <c r="L226" s="751"/>
      <c r="M226" s="751"/>
      <c r="N226" s="751"/>
      <c r="O226" s="752"/>
    </row>
    <row r="227" spans="1:15" x14ac:dyDescent="0.25">
      <c r="A227" s="750"/>
      <c r="B227" s="754"/>
      <c r="C227" s="751"/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2"/>
    </row>
    <row r="228" spans="1:15" x14ac:dyDescent="0.25">
      <c r="A228" s="750"/>
      <c r="B228" s="751"/>
      <c r="C228" s="751"/>
      <c r="D228" s="751"/>
      <c r="E228" s="751"/>
      <c r="F228" s="751"/>
      <c r="G228" s="751"/>
      <c r="H228" s="751"/>
      <c r="I228" s="751"/>
      <c r="J228" s="751"/>
      <c r="K228" s="751"/>
      <c r="L228" s="751"/>
      <c r="M228" s="751"/>
      <c r="N228" s="751"/>
      <c r="O228" s="752"/>
    </row>
    <row r="229" spans="1:15" x14ac:dyDescent="0.25">
      <c r="A229" s="750"/>
      <c r="B229" s="754"/>
      <c r="C229" s="751"/>
      <c r="D229" s="751"/>
      <c r="E229" s="751"/>
      <c r="F229" s="751"/>
      <c r="G229" s="751"/>
      <c r="H229" s="751"/>
      <c r="I229" s="751"/>
      <c r="J229" s="751"/>
      <c r="K229" s="751"/>
      <c r="L229" s="751"/>
      <c r="M229" s="751"/>
      <c r="N229" s="751"/>
      <c r="O229" s="752"/>
    </row>
    <row r="230" spans="1:15" x14ac:dyDescent="0.25">
      <c r="A230" s="750"/>
      <c r="B230" s="754"/>
      <c r="C230" s="751"/>
      <c r="D230" s="751"/>
      <c r="E230" s="751"/>
      <c r="F230" s="751"/>
      <c r="G230" s="751"/>
      <c r="H230" s="751"/>
      <c r="I230" s="751"/>
      <c r="J230" s="751"/>
      <c r="K230" s="751"/>
      <c r="L230" s="751"/>
      <c r="M230" s="751"/>
      <c r="N230" s="751"/>
      <c r="O230" s="752"/>
    </row>
    <row r="231" spans="1:15" x14ac:dyDescent="0.25">
      <c r="A231" s="750"/>
      <c r="B231" s="354" t="s">
        <v>1098</v>
      </c>
      <c r="C231" s="751"/>
      <c r="D231" s="751"/>
      <c r="E231" s="751"/>
      <c r="F231" s="751"/>
      <c r="G231" s="751"/>
      <c r="H231" s="751"/>
      <c r="I231" s="751"/>
      <c r="J231" s="751"/>
      <c r="K231" s="751"/>
      <c r="L231" s="751"/>
      <c r="M231" s="751"/>
      <c r="N231" s="751"/>
      <c r="O231" s="752"/>
    </row>
    <row r="232" spans="1:15" x14ac:dyDescent="0.25">
      <c r="A232" s="750"/>
      <c r="B232" s="354" t="str">
        <f>"A = coeficiente de ajuste de la curva (tomado del ajuste de la ecuación sin atenuadores) = ("&amp;'F-LSCD-002 (Dosimetría)'!D214&amp;" ± "&amp;'F-LSCD-002 (Dosimetría)'!F214&amp;") µSv/h*m²"</f>
        <v>A = coeficiente de ajuste de la curva (tomado del ajuste de la ecuación sin atenuadores) = (0.03782 ± 0.0001121) µSv/h*m²</v>
      </c>
      <c r="C232" s="751"/>
      <c r="D232" s="751"/>
      <c r="E232" s="751"/>
      <c r="F232" s="751"/>
      <c r="G232" s="751"/>
      <c r="H232" s="354"/>
      <c r="I232" s="354"/>
      <c r="J232" s="751"/>
      <c r="K232" s="751"/>
      <c r="L232" s="354"/>
      <c r="M232" s="751"/>
      <c r="N232" s="751"/>
      <c r="O232" s="752"/>
    </row>
    <row r="233" spans="1:15" x14ac:dyDescent="0.25">
      <c r="A233" s="750"/>
      <c r="B233" s="354" t="s">
        <v>1097</v>
      </c>
      <c r="C233" s="751"/>
      <c r="D233" s="751"/>
      <c r="E233" s="751"/>
      <c r="F233" s="751"/>
      <c r="G233" s="751"/>
      <c r="H233" s="751"/>
      <c r="I233" s="751"/>
      <c r="J233" s="751"/>
      <c r="K233" s="751"/>
      <c r="L233" s="751"/>
      <c r="M233" s="751"/>
      <c r="N233" s="751"/>
      <c r="O233" s="752"/>
    </row>
    <row r="234" spans="1:15" x14ac:dyDescent="0.25">
      <c r="A234" s="750"/>
      <c r="B234" s="754"/>
      <c r="C234" s="751"/>
      <c r="D234" s="751"/>
      <c r="E234" s="751"/>
      <c r="F234" s="751"/>
      <c r="G234" s="751"/>
      <c r="H234" s="1652"/>
      <c r="I234" s="751"/>
      <c r="J234" s="751"/>
      <c r="K234" s="751"/>
      <c r="L234" s="751"/>
      <c r="M234" s="751"/>
      <c r="N234" s="751"/>
      <c r="O234" s="752"/>
    </row>
    <row r="235" spans="1:15" x14ac:dyDescent="0.25">
      <c r="A235" s="750"/>
      <c r="B235" s="754"/>
      <c r="C235" s="751"/>
      <c r="D235" s="751"/>
      <c r="E235" s="751"/>
      <c r="F235" s="751"/>
      <c r="G235" s="751"/>
      <c r="H235" s="751"/>
      <c r="I235" s="751"/>
      <c r="J235" s="751"/>
      <c r="K235" s="751"/>
      <c r="L235" s="751"/>
      <c r="M235" s="751"/>
      <c r="N235" s="751"/>
      <c r="O235" s="752"/>
    </row>
    <row r="236" spans="1:15" x14ac:dyDescent="0.25">
      <c r="A236" s="750"/>
      <c r="B236" s="751" t="s">
        <v>464</v>
      </c>
      <c r="C236" s="754" t="s">
        <v>676</v>
      </c>
      <c r="D236" s="751"/>
      <c r="E236" s="751"/>
      <c r="F236" s="751"/>
      <c r="G236" s="751"/>
      <c r="H236" s="751"/>
      <c r="I236" s="751"/>
      <c r="J236" s="751"/>
      <c r="K236" s="751"/>
      <c r="L236" s="751"/>
      <c r="M236" s="751"/>
      <c r="N236" s="751"/>
      <c r="O236" s="752"/>
    </row>
    <row r="237" spans="1:15" x14ac:dyDescent="0.25">
      <c r="A237" s="750"/>
      <c r="B237" s="754"/>
      <c r="C237" s="751"/>
      <c r="D237" s="751"/>
      <c r="E237" s="751"/>
      <c r="F237" s="751"/>
      <c r="G237" s="751"/>
      <c r="H237" s="751"/>
      <c r="I237" s="751"/>
      <c r="J237" s="751"/>
      <c r="K237" s="751"/>
      <c r="L237" s="751"/>
      <c r="M237" s="751"/>
      <c r="N237" s="751"/>
      <c r="O237" s="752"/>
    </row>
    <row r="238" spans="1:15" x14ac:dyDescent="0.25">
      <c r="A238" s="750"/>
      <c r="B238" s="754"/>
      <c r="C238" s="751"/>
      <c r="D238" s="751"/>
      <c r="E238" s="751"/>
      <c r="F238" s="751"/>
      <c r="G238" s="751"/>
      <c r="H238" s="751"/>
      <c r="I238" s="751"/>
      <c r="J238" s="751"/>
      <c r="K238" s="751"/>
      <c r="L238" s="751"/>
      <c r="M238" s="751"/>
      <c r="N238" s="751"/>
      <c r="O238" s="752"/>
    </row>
    <row r="239" spans="1:15" x14ac:dyDescent="0.25">
      <c r="A239" s="750"/>
      <c r="B239" s="754"/>
      <c r="C239" s="751"/>
      <c r="D239" s="751"/>
      <c r="E239" s="751"/>
      <c r="F239" s="751"/>
      <c r="G239" s="751"/>
      <c r="H239" s="751"/>
      <c r="I239" s="751"/>
      <c r="J239" s="751"/>
      <c r="K239" s="751"/>
      <c r="L239" s="751"/>
      <c r="M239" s="751"/>
      <c r="N239" s="751"/>
      <c r="O239" s="752"/>
    </row>
    <row r="240" spans="1:15" x14ac:dyDescent="0.25">
      <c r="A240" s="750"/>
      <c r="B240" s="751"/>
      <c r="C240" s="754"/>
      <c r="D240" s="751"/>
      <c r="E240" s="751"/>
      <c r="F240" s="751"/>
      <c r="G240" s="751"/>
      <c r="H240" s="751"/>
      <c r="I240" s="751"/>
      <c r="J240" s="751"/>
      <c r="K240" s="751"/>
      <c r="L240" s="751"/>
      <c r="M240" s="751"/>
      <c r="N240" s="751"/>
      <c r="O240" s="752"/>
    </row>
    <row r="241" spans="1:15" ht="17.25" x14ac:dyDescent="0.25">
      <c r="A241" s="750"/>
      <c r="B241" s="751"/>
      <c r="C241" s="354" t="s">
        <v>692</v>
      </c>
      <c r="D241" s="751"/>
      <c r="E241" s="751"/>
      <c r="F241" s="751"/>
      <c r="G241" s="751"/>
      <c r="H241" s="751"/>
      <c r="I241" s="751">
        <v>1.148E-4</v>
      </c>
      <c r="J241" s="324" t="s">
        <v>1095</v>
      </c>
      <c r="K241" s="751"/>
      <c r="L241" s="751"/>
      <c r="M241" s="751"/>
      <c r="N241" s="751"/>
      <c r="O241" s="752"/>
    </row>
    <row r="242" spans="1:15" x14ac:dyDescent="0.25">
      <c r="A242" s="750"/>
      <c r="B242" s="754"/>
      <c r="C242" s="354" t="s">
        <v>691</v>
      </c>
      <c r="D242" s="751"/>
      <c r="E242" s="751"/>
      <c r="F242" s="751"/>
      <c r="G242" s="751"/>
      <c r="H242" s="751"/>
      <c r="I242" s="751"/>
      <c r="J242" s="324">
        <f>1.1*0.001</f>
        <v>1.1000000000000001E-3</v>
      </c>
      <c r="K242" s="354" t="s">
        <v>418</v>
      </c>
      <c r="L242" s="751"/>
      <c r="M242" s="751"/>
      <c r="N242" s="751"/>
      <c r="O242" s="752"/>
    </row>
    <row r="243" spans="1:15" x14ac:dyDescent="0.25">
      <c r="A243" s="750"/>
      <c r="B243" s="754"/>
      <c r="C243" s="776"/>
      <c r="D243" s="751"/>
      <c r="E243" s="751"/>
      <c r="F243" s="751"/>
      <c r="G243" s="751"/>
      <c r="H243" s="751"/>
      <c r="I243" s="751"/>
      <c r="J243" s="751"/>
      <c r="K243" s="754"/>
      <c r="L243" s="751"/>
      <c r="M243" s="751"/>
      <c r="N243" s="751"/>
      <c r="O243" s="752"/>
    </row>
    <row r="244" spans="1:15" x14ac:dyDescent="0.25">
      <c r="A244" s="753"/>
      <c r="B244" s="751" t="s">
        <v>464</v>
      </c>
      <c r="C244" s="760">
        <f>(1/2^2*I241)-(2*'F-LSCD-002 (Dosimetría)'!D214*2/2^4*J242)</f>
        <v>1.82995E-5</v>
      </c>
      <c r="D244" s="354" t="s">
        <v>294</v>
      </c>
      <c r="E244" s="1653"/>
      <c r="F244" s="751"/>
      <c r="G244" s="751"/>
      <c r="H244" s="751"/>
      <c r="I244" s="751"/>
      <c r="J244" s="751"/>
      <c r="K244" s="751"/>
      <c r="L244" s="751"/>
      <c r="M244" s="751"/>
      <c r="N244" s="751"/>
      <c r="O244" s="752"/>
    </row>
    <row r="245" spans="1:15" x14ac:dyDescent="0.25">
      <c r="A245" s="753"/>
      <c r="B245" s="751"/>
      <c r="C245" s="760"/>
      <c r="D245" s="354"/>
      <c r="E245" s="1653"/>
      <c r="F245" s="751"/>
      <c r="G245" s="751"/>
      <c r="H245" s="751"/>
      <c r="I245" s="751"/>
      <c r="J245" s="751"/>
      <c r="K245" s="751"/>
      <c r="L245" s="751"/>
      <c r="M245" s="751"/>
      <c r="N245" s="751"/>
      <c r="O245" s="752"/>
    </row>
    <row r="246" spans="1:15" x14ac:dyDescent="0.25">
      <c r="A246" s="323" t="s">
        <v>1099</v>
      </c>
      <c r="B246" s="751"/>
      <c r="C246" s="760"/>
      <c r="D246" s="354"/>
      <c r="E246" s="1653"/>
      <c r="F246" s="751"/>
      <c r="G246" s="751"/>
      <c r="H246" s="751"/>
      <c r="I246" s="751"/>
      <c r="J246" s="751"/>
      <c r="K246" s="751"/>
      <c r="L246" s="751"/>
      <c r="M246" s="751"/>
      <c r="N246" s="751"/>
      <c r="O246" s="752"/>
    </row>
    <row r="247" spans="1:15" x14ac:dyDescent="0.25">
      <c r="A247" s="323"/>
      <c r="B247" s="751"/>
      <c r="C247" s="760"/>
      <c r="D247" s="354"/>
      <c r="E247" s="1653"/>
      <c r="F247" s="751"/>
      <c r="G247" s="751"/>
      <c r="H247" s="751"/>
      <c r="I247" s="751"/>
      <c r="J247" s="751"/>
      <c r="K247" s="751"/>
      <c r="L247" s="751"/>
      <c r="M247" s="751"/>
      <c r="N247" s="751"/>
      <c r="O247" s="752"/>
    </row>
    <row r="248" spans="1:15" x14ac:dyDescent="0.25">
      <c r="A248" s="750"/>
      <c r="B248" s="751"/>
      <c r="C248" s="760"/>
      <c r="D248" s="354"/>
      <c r="E248" s="1653"/>
      <c r="F248" s="751"/>
      <c r="G248" s="751"/>
      <c r="H248" s="751"/>
      <c r="I248" s="751"/>
      <c r="J248" s="751"/>
      <c r="K248" s="751"/>
      <c r="L248" s="751"/>
      <c r="M248" s="751"/>
      <c r="N248" s="751"/>
      <c r="O248" s="752"/>
    </row>
    <row r="249" spans="1:15" x14ac:dyDescent="0.25">
      <c r="A249" s="750"/>
      <c r="B249" s="751"/>
      <c r="C249" s="760"/>
      <c r="D249" s="354"/>
      <c r="E249" s="1653"/>
      <c r="F249" s="751"/>
      <c r="G249" s="751"/>
      <c r="H249" s="751"/>
      <c r="I249" s="751"/>
      <c r="J249" s="751"/>
      <c r="K249" s="751"/>
      <c r="L249" s="751"/>
      <c r="M249" s="751"/>
      <c r="N249" s="751"/>
      <c r="O249" s="752"/>
    </row>
    <row r="250" spans="1:15" ht="15.75" thickBot="1" x14ac:dyDescent="0.3">
      <c r="A250" s="756"/>
      <c r="B250" s="757"/>
      <c r="C250" s="757"/>
      <c r="D250" s="757"/>
      <c r="E250" s="757"/>
      <c r="F250" s="757"/>
      <c r="G250" s="757"/>
      <c r="H250" s="757"/>
      <c r="I250" s="757"/>
      <c r="J250" s="757"/>
      <c r="K250" s="757"/>
      <c r="L250" s="757"/>
      <c r="M250" s="757"/>
      <c r="N250" s="757"/>
      <c r="O250" s="758"/>
    </row>
  </sheetData>
  <sheetProtection password="D8A8"/>
  <mergeCells count="320">
    <mergeCell ref="I39:L39"/>
    <mergeCell ref="I38:L38"/>
    <mergeCell ref="I18:O18"/>
    <mergeCell ref="E18:H18"/>
    <mergeCell ref="E19:H19"/>
    <mergeCell ref="E20:H20"/>
    <mergeCell ref="E21:H21"/>
    <mergeCell ref="E22:H22"/>
    <mergeCell ref="W18:AC18"/>
    <mergeCell ref="W19:AC19"/>
    <mergeCell ref="W20:AC20"/>
    <mergeCell ref="W21:AC21"/>
    <mergeCell ref="W22:AC22"/>
    <mergeCell ref="W35:Z35"/>
    <mergeCell ref="W36:Z36"/>
    <mergeCell ref="W37:Z37"/>
    <mergeCell ref="W38:Z38"/>
    <mergeCell ref="W39:Z39"/>
    <mergeCell ref="P38:S38"/>
    <mergeCell ref="P39:S39"/>
    <mergeCell ref="B34:F34"/>
    <mergeCell ref="D1:R4"/>
    <mergeCell ref="A7:R7"/>
    <mergeCell ref="A64:O6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I23:O23"/>
    <mergeCell ref="B24:F24"/>
    <mergeCell ref="E23:H23"/>
    <mergeCell ref="I22:O22"/>
    <mergeCell ref="I21:O21"/>
    <mergeCell ref="I20:O20"/>
    <mergeCell ref="I19:O19"/>
    <mergeCell ref="I17:O17"/>
    <mergeCell ref="I37:L37"/>
    <mergeCell ref="I36:L36"/>
    <mergeCell ref="I35:L35"/>
    <mergeCell ref="P37:S37"/>
    <mergeCell ref="AK17:AQ17"/>
    <mergeCell ref="AY17:BE17"/>
    <mergeCell ref="BM17:BS17"/>
    <mergeCell ref="AY23:BE23"/>
    <mergeCell ref="BM18:BS18"/>
    <mergeCell ref="BM19:BS19"/>
    <mergeCell ref="BM20:BS20"/>
    <mergeCell ref="BM21:BS21"/>
    <mergeCell ref="BM22:BS22"/>
    <mergeCell ref="BM23:BS23"/>
    <mergeCell ref="AY18:BE18"/>
    <mergeCell ref="AY19:BE19"/>
    <mergeCell ref="AY20:BE20"/>
    <mergeCell ref="AY21:BE21"/>
    <mergeCell ref="AY22:BE22"/>
    <mergeCell ref="AK18:AQ18"/>
    <mergeCell ref="AK19:AQ19"/>
    <mergeCell ref="AK20:AQ20"/>
    <mergeCell ref="AK21:AQ21"/>
    <mergeCell ref="AK22:AQ22"/>
    <mergeCell ref="AK23:AQ23"/>
    <mergeCell ref="AR17:AX17"/>
    <mergeCell ref="AR18:AX18"/>
    <mergeCell ref="AR19:AX19"/>
    <mergeCell ref="BM35:BP35"/>
    <mergeCell ref="BM36:BP36"/>
    <mergeCell ref="BM37:BP37"/>
    <mergeCell ref="BM38:BP38"/>
    <mergeCell ref="BM39:BP39"/>
    <mergeCell ref="AK37:AN37"/>
    <mergeCell ref="AK38:AN38"/>
    <mergeCell ref="AK39:AN39"/>
    <mergeCell ref="AY35:BB35"/>
    <mergeCell ref="AY36:BB36"/>
    <mergeCell ref="AY37:BB37"/>
    <mergeCell ref="AY38:BB38"/>
    <mergeCell ref="AY39:BB39"/>
    <mergeCell ref="AK35:AN35"/>
    <mergeCell ref="AK36:AN36"/>
    <mergeCell ref="BF37:BI37"/>
    <mergeCell ref="BF38:BI38"/>
    <mergeCell ref="BF39:BI39"/>
    <mergeCell ref="CO35:CR35"/>
    <mergeCell ref="CO36:CR36"/>
    <mergeCell ref="CO37:CR37"/>
    <mergeCell ref="CO38:CR38"/>
    <mergeCell ref="CO39:CR39"/>
    <mergeCell ref="CA35:CD35"/>
    <mergeCell ref="CA36:CD36"/>
    <mergeCell ref="CA37:CD37"/>
    <mergeCell ref="CA38:CD38"/>
    <mergeCell ref="CA39:CD39"/>
    <mergeCell ref="CH35:CK35"/>
    <mergeCell ref="CH36:CK36"/>
    <mergeCell ref="CH37:CK37"/>
    <mergeCell ref="CH38:CK38"/>
    <mergeCell ref="CH39:CK39"/>
    <mergeCell ref="DQ35:DT35"/>
    <mergeCell ref="DQ36:DT36"/>
    <mergeCell ref="DQ37:DT37"/>
    <mergeCell ref="DQ38:DT38"/>
    <mergeCell ref="DQ39:DT39"/>
    <mergeCell ref="DC35:DF35"/>
    <mergeCell ref="DC36:DF36"/>
    <mergeCell ref="DC37:DF37"/>
    <mergeCell ref="DC38:DF38"/>
    <mergeCell ref="DC39:DF39"/>
    <mergeCell ref="DJ37:DM37"/>
    <mergeCell ref="DJ38:DM38"/>
    <mergeCell ref="DJ39:DM39"/>
    <mergeCell ref="DJ35:DM35"/>
    <mergeCell ref="DJ36:DM36"/>
    <mergeCell ref="CA23:CG23"/>
    <mergeCell ref="CO17:CU17"/>
    <mergeCell ref="CO18:CU18"/>
    <mergeCell ref="CO19:CU19"/>
    <mergeCell ref="CO20:CU20"/>
    <mergeCell ref="CO21:CU21"/>
    <mergeCell ref="CO22:CU22"/>
    <mergeCell ref="CO23:CU23"/>
    <mergeCell ref="CA17:CG17"/>
    <mergeCell ref="CA18:CG18"/>
    <mergeCell ref="CA19:CG19"/>
    <mergeCell ref="CA20:CG20"/>
    <mergeCell ref="CA21:CG21"/>
    <mergeCell ref="CH23:CN23"/>
    <mergeCell ref="DQ17:DW17"/>
    <mergeCell ref="DQ18:DW18"/>
    <mergeCell ref="DQ19:DW19"/>
    <mergeCell ref="DQ20:DW20"/>
    <mergeCell ref="DQ21:DW21"/>
    <mergeCell ref="DQ22:DW22"/>
    <mergeCell ref="DQ23:DW23"/>
    <mergeCell ref="DC17:DI17"/>
    <mergeCell ref="DC18:DI18"/>
    <mergeCell ref="DC19:DI19"/>
    <mergeCell ref="DC20:DI20"/>
    <mergeCell ref="DC21:DI21"/>
    <mergeCell ref="DC22:DI22"/>
    <mergeCell ref="DC23:DI23"/>
    <mergeCell ref="DJ17:DP17"/>
    <mergeCell ref="DJ18:DP18"/>
    <mergeCell ref="DJ19:DP19"/>
    <mergeCell ref="DJ20:DP20"/>
    <mergeCell ref="DJ21:DP21"/>
    <mergeCell ref="DJ22:DP22"/>
    <mergeCell ref="DJ23:DP23"/>
    <mergeCell ref="AD37:AG37"/>
    <mergeCell ref="AD38:AG38"/>
    <mergeCell ref="AD39:AG39"/>
    <mergeCell ref="P17:V17"/>
    <mergeCell ref="P18:V18"/>
    <mergeCell ref="P19:V19"/>
    <mergeCell ref="P20:V20"/>
    <mergeCell ref="P21:V21"/>
    <mergeCell ref="P22:V22"/>
    <mergeCell ref="P23:V23"/>
    <mergeCell ref="P35:S35"/>
    <mergeCell ref="P36:S36"/>
    <mergeCell ref="W17:AC17"/>
    <mergeCell ref="AD17:AJ17"/>
    <mergeCell ref="AD18:AJ18"/>
    <mergeCell ref="AD19:AJ19"/>
    <mergeCell ref="AD20:AJ20"/>
    <mergeCell ref="AD21:AJ21"/>
    <mergeCell ref="AD22:AJ22"/>
    <mergeCell ref="AD23:AJ23"/>
    <mergeCell ref="AD35:AG35"/>
    <mergeCell ref="AD36:AG36"/>
    <mergeCell ref="W23:AC23"/>
    <mergeCell ref="AR20:AX20"/>
    <mergeCell ref="AR21:AX21"/>
    <mergeCell ref="AR22:AX22"/>
    <mergeCell ref="AR23:AX23"/>
    <mergeCell ref="AR35:AU35"/>
    <mergeCell ref="AR36:AU36"/>
    <mergeCell ref="AR37:AU37"/>
    <mergeCell ref="AR38:AU38"/>
    <mergeCell ref="AR39:AU39"/>
    <mergeCell ref="BF17:BL17"/>
    <mergeCell ref="BF18:BL18"/>
    <mergeCell ref="BF19:BL19"/>
    <mergeCell ref="BF20:BL20"/>
    <mergeCell ref="BF21:BL21"/>
    <mergeCell ref="BF22:BL22"/>
    <mergeCell ref="BF23:BL23"/>
    <mergeCell ref="BF35:BI35"/>
    <mergeCell ref="BF36:BI36"/>
    <mergeCell ref="BT39:BW39"/>
    <mergeCell ref="BT38:BW38"/>
    <mergeCell ref="BT37:BW37"/>
    <mergeCell ref="BT36:BW36"/>
    <mergeCell ref="BT35:BW35"/>
    <mergeCell ref="BT23:BZ23"/>
    <mergeCell ref="BT22:BZ22"/>
    <mergeCell ref="BT21:BZ21"/>
    <mergeCell ref="BT20:BZ20"/>
    <mergeCell ref="BT19:BZ19"/>
    <mergeCell ref="BT18:BZ18"/>
    <mergeCell ref="BT17:BZ17"/>
    <mergeCell ref="CH17:CN17"/>
    <mergeCell ref="CH18:CN18"/>
    <mergeCell ref="CH19:CN19"/>
    <mergeCell ref="CH20:CN20"/>
    <mergeCell ref="CH21:CN21"/>
    <mergeCell ref="CH22:CN22"/>
    <mergeCell ref="CA22:CG22"/>
    <mergeCell ref="CV17:DB17"/>
    <mergeCell ref="CV18:DB18"/>
    <mergeCell ref="CV19:DB19"/>
    <mergeCell ref="CV20:DB20"/>
    <mergeCell ref="CV21:DB21"/>
    <mergeCell ref="CV22:DB22"/>
    <mergeCell ref="CV23:DB23"/>
    <mergeCell ref="CV35:CY35"/>
    <mergeCell ref="CV36:CY36"/>
    <mergeCell ref="DX37:EA37"/>
    <mergeCell ref="DX38:EA38"/>
    <mergeCell ref="DX39:EA39"/>
    <mergeCell ref="I16:V16"/>
    <mergeCell ref="DQ16:ED16"/>
    <mergeCell ref="DC16:DP16"/>
    <mergeCell ref="CO16:DB16"/>
    <mergeCell ref="CA16:CN16"/>
    <mergeCell ref="BM16:BZ16"/>
    <mergeCell ref="AY16:BL16"/>
    <mergeCell ref="AK16:AX16"/>
    <mergeCell ref="W16:AJ16"/>
    <mergeCell ref="DX17:ED17"/>
    <mergeCell ref="DX18:ED18"/>
    <mergeCell ref="DX19:ED19"/>
    <mergeCell ref="DX20:ED20"/>
    <mergeCell ref="DX21:ED21"/>
    <mergeCell ref="DX22:ED22"/>
    <mergeCell ref="DX23:ED23"/>
    <mergeCell ref="DX35:EA35"/>
    <mergeCell ref="DX36:EA36"/>
    <mergeCell ref="CV37:CY37"/>
    <mergeCell ref="CV38:CY38"/>
    <mergeCell ref="CV39:CY39"/>
    <mergeCell ref="EE16:ER16"/>
    <mergeCell ref="EE17:EK17"/>
    <mergeCell ref="EL17:ER17"/>
    <mergeCell ref="EE18:EK18"/>
    <mergeCell ref="EL18:ER18"/>
    <mergeCell ref="EE19:EK19"/>
    <mergeCell ref="EL19:ER19"/>
    <mergeCell ref="EE20:EK20"/>
    <mergeCell ref="EL20:ER20"/>
    <mergeCell ref="EE21:EK21"/>
    <mergeCell ref="EL21:ER21"/>
    <mergeCell ref="EE22:EK22"/>
    <mergeCell ref="EL22:ER22"/>
    <mergeCell ref="EE23:EK23"/>
    <mergeCell ref="EL23:ER23"/>
    <mergeCell ref="EE35:EH35"/>
    <mergeCell ref="EL35:EO35"/>
    <mergeCell ref="EE36:EH36"/>
    <mergeCell ref="EL36:EO36"/>
    <mergeCell ref="EE37:EH37"/>
    <mergeCell ref="EL37:EO37"/>
    <mergeCell ref="EE38:EH38"/>
    <mergeCell ref="EL38:EO38"/>
    <mergeCell ref="EE39:EH39"/>
    <mergeCell ref="EL39:EO39"/>
    <mergeCell ref="ES16:FF16"/>
    <mergeCell ref="ES17:EY17"/>
    <mergeCell ref="EZ17:FF17"/>
    <mergeCell ref="ES18:EY18"/>
    <mergeCell ref="EZ18:FF18"/>
    <mergeCell ref="ES19:EY19"/>
    <mergeCell ref="EZ19:FF19"/>
    <mergeCell ref="ES20:EY20"/>
    <mergeCell ref="EZ20:FF20"/>
    <mergeCell ref="ES21:EY21"/>
    <mergeCell ref="EZ21:FF21"/>
    <mergeCell ref="ES22:EY22"/>
    <mergeCell ref="EZ22:FF22"/>
    <mergeCell ref="ES23:EY23"/>
    <mergeCell ref="EZ23:FF23"/>
    <mergeCell ref="ES35:EV35"/>
    <mergeCell ref="EZ35:FC35"/>
    <mergeCell ref="ES36:EV36"/>
    <mergeCell ref="FG21:FM21"/>
    <mergeCell ref="FN21:FT21"/>
    <mergeCell ref="FG22:FM22"/>
    <mergeCell ref="FN22:FT22"/>
    <mergeCell ref="FG23:FM23"/>
    <mergeCell ref="FN23:FT23"/>
    <mergeCell ref="FG35:FJ35"/>
    <mergeCell ref="FN35:FQ35"/>
    <mergeCell ref="FG36:FJ36"/>
    <mergeCell ref="FN36:FQ36"/>
    <mergeCell ref="FG16:FT16"/>
    <mergeCell ref="FG17:FM17"/>
    <mergeCell ref="FN17:FT17"/>
    <mergeCell ref="FG18:FM18"/>
    <mergeCell ref="FN18:FT18"/>
    <mergeCell ref="FG19:FM19"/>
    <mergeCell ref="FN19:FT19"/>
    <mergeCell ref="FG20:FM20"/>
    <mergeCell ref="FN20:FT20"/>
    <mergeCell ref="FG37:FJ37"/>
    <mergeCell ref="FN37:FQ37"/>
    <mergeCell ref="FG38:FJ38"/>
    <mergeCell ref="FN38:FQ38"/>
    <mergeCell ref="FG39:FJ39"/>
    <mergeCell ref="FN39:FQ39"/>
    <mergeCell ref="EZ36:FC36"/>
    <mergeCell ref="ES37:EV37"/>
    <mergeCell ref="EZ37:FC37"/>
    <mergeCell ref="ES38:EV38"/>
    <mergeCell ref="EZ38:FC38"/>
    <mergeCell ref="ES39:EV39"/>
    <mergeCell ref="EZ39:FC39"/>
  </mergeCells>
  <dataValidations count="6">
    <dataValidation type="list" allowBlank="1" showInputMessage="1" showErrorMessage="1" sqref="M36:N36 BQ36:BR36 AO36:AP36 AA36:AB36 BC36:BD36 CE36:CF36 CS36:CT36 DG36:DH36 DU36:DV36 T36:U36 AH36:AI36 AV36:AW36 BJ36:BK36 BX36:BY36 CL36:CM36 CZ36:DA36 DN36:DO36 EB36:EC36 EI36:EJ36 EP36:EQ36 EW36:EX36 FD36:FE36 FK36:FL36 FR36:FS36" xr:uid="{00000000-0002-0000-0300-000000000000}">
      <formula1>#REF!</formula1>
    </dataValidation>
    <dataValidation type="list" allowBlank="1" showInputMessage="1" showErrorMessage="1" sqref="O38 CW33 V38 AC38 AJ38 AQ38 AX38 BE38 BL38 BS38 BZ38 CG38 CN38 CU38 DB38 DI38 DP38 DW38 ED38 EK38 ER38 EY38 FF38 FM38 FT38 CP33 O25:O35 V25:V35 X25:X33 AE25:AE33 AL25:AL33 AS25:AS33 AZ25:AZ33 BG25:BG33 BN25:BN33 BU25:BU33 CB25:CB33 CI25:CI33 CU25:CU35 DB25:DB35 DD25:DD33 DK25:DK33 DR25:DR33 DY25:DY33 EF25:EF33 EM25:EM33 ET25:ET33 FA25:FA33 FH25:FH33 AC25:AC35 AJ25:AJ35 AQ25:AQ35 AX25:AX35 BE25:BE35 BL25:BL35 BS25:BS35 BZ25:BZ35 CG25:CG35 CN25:CN35 DI25:DI35 DP25:DP35 DW25:DW35 ED25:ED35 EK25:EK35 ER25:ER35 EY25:EY35 FF25:FF35 FM25:FM35 FT25:FT35 FO25:FO33" xr:uid="{00000000-0002-0000-0300-000001000000}">
      <formula1>$B$14:$B$25</formula1>
    </dataValidation>
    <dataValidation type="list" allowBlank="1" showInputMessage="1" showErrorMessage="1" sqref="CQ25:CQ32 CX25:CX32" xr:uid="{00000000-0002-0000-0300-000002000000}">
      <formula1>$B$28:$B$34</formula1>
    </dataValidation>
    <dataValidation type="list" allowBlank="1" showInputMessage="1" showErrorMessage="1" sqref="Q25:Q33" xr:uid="{00000000-0002-0000-0300-000003000000}">
      <formula1>$B$17:$B$29</formula1>
    </dataValidation>
    <dataValidation type="list" allowBlank="1" showInputMessage="1" showErrorMessage="1" sqref="CX33 CQ33 DL25:DL33 CW25:CW32 FI25:FI33 BV25:BV33 BH25:BH33 AT25:AT33 AF25:AF33 Y25:Y33 AM25:AM33 BA25:BA33 BO25:BO33 CC25:CC33 CP25:CP32 CJ25:CJ33 DE25:DE33 DS25:DS33 DZ25:DZ33 EG25:EG33 EN25:EN33 EU25:EU33 FB25:FB33 FP25:FP33" xr:uid="{00000000-0002-0000-0300-000004000000}">
      <formula1>$B$30:$B$36</formula1>
    </dataValidation>
    <dataValidation type="list" allowBlank="1" showInputMessage="1" showErrorMessage="1" sqref="R25:R33" xr:uid="{00000000-0002-0000-0300-000005000000}">
      <formula1>$B$32:$B$38</formula1>
    </dataValidation>
  </dataValidations>
  <pageMargins left="0.7" right="0.7" top="0.75" bottom="0.75" header="0.3" footer="0.3"/>
  <pageSetup paperSize="9" scale="10" fitToHeight="0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300-000006000000}">
          <x14:formula1>
            <xm:f>'Datos varios'!$B$43:$B$44</xm:f>
          </x14:formula1>
          <xm:sqref>H25:H34</xm:sqref>
        </x14:dataValidation>
        <x14:dataValidation type="list" allowBlank="1" showInputMessage="1" showErrorMessage="1" xr:uid="{00000000-0002-0000-0300-000007000000}">
          <x14:formula1>
            <xm:f>'Datos varios'!$B$19:$B$32</xm:f>
          </x14:formula1>
          <xm:sqref>J25:J34 Q34 X34 AE34 AL34 AS34 AZ34 BG34 BN34 BU34 CB34 CI34 CP34 CW34 DD34 DK34 DR34 DY34 EF34 EM34 ET34 FA34 FH34 FO34</xm:sqref>
        </x14:dataValidation>
        <x14:dataValidation type="list" allowBlank="1" showInputMessage="1" showErrorMessage="1" xr:uid="{00000000-0002-0000-0300-000008000000}">
          <x14:formula1>
            <xm:f>'Datos varios'!$B$35:$B$40</xm:f>
          </x14:formula1>
          <xm:sqref>K25:K34 R34 Y34 AF34 AM34 AT34 BA34 BH34 BO34 BV34 CC34 CJ34 CQ34 CX34 DE34 DL34 DS34 DZ34 EG34 EN34 EU34 FB34 FI34 FP34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/>
  <dimension ref="A1:FT244"/>
  <sheetViews>
    <sheetView topLeftCell="A10" workbookViewId="0">
      <selection activeCell="I19" sqref="I19:O19"/>
    </sheetView>
  </sheetViews>
  <sheetFormatPr baseColWidth="10" defaultColWidth="11.42578125" defaultRowHeight="15" x14ac:dyDescent="0.25"/>
  <cols>
    <col min="1" max="2" width="11.42578125" style="730"/>
    <col min="3" max="6" width="12.7109375" style="730" bestFit="1" customWidth="1"/>
    <col min="7" max="7" width="11.42578125" style="730"/>
    <col min="8" max="9" width="12" style="730" bestFit="1" customWidth="1"/>
    <col min="10" max="10" width="11.42578125" style="730"/>
    <col min="11" max="12" width="12.7109375" style="730" bestFit="1" customWidth="1"/>
    <col min="13" max="14" width="12.7109375" style="730" customWidth="1"/>
    <col min="15" max="16" width="12.7109375" style="730" bestFit="1" customWidth="1"/>
    <col min="17" max="18" width="11.42578125" style="730"/>
    <col min="19" max="19" width="12.7109375" style="730" customWidth="1"/>
    <col min="20" max="20" width="12.7109375" style="730" bestFit="1" customWidth="1"/>
    <col min="21" max="21" width="12.7109375" style="730" customWidth="1"/>
    <col min="22" max="22" width="12.7109375" style="730" bestFit="1" customWidth="1"/>
    <col min="23" max="27" width="11.42578125" style="730"/>
    <col min="28" max="28" width="11.85546875" style="730" customWidth="1"/>
    <col min="29" max="34" width="11.42578125" style="730"/>
    <col min="35" max="35" width="12.28515625" style="730" customWidth="1"/>
    <col min="36" max="41" width="11.42578125" style="730"/>
    <col min="42" max="42" width="12.28515625" style="730" customWidth="1"/>
    <col min="43" max="48" width="11.42578125" style="730"/>
    <col min="49" max="49" width="12" style="730" customWidth="1"/>
    <col min="50" max="55" width="11.42578125" style="730"/>
    <col min="56" max="56" width="12" style="730" customWidth="1"/>
    <col min="57" max="62" width="11.42578125" style="730"/>
    <col min="63" max="63" width="12.140625" style="730" customWidth="1"/>
    <col min="64" max="69" width="11.42578125" style="730"/>
    <col min="70" max="70" width="12.42578125" style="730" customWidth="1"/>
    <col min="71" max="16384" width="11.42578125" style="730"/>
  </cols>
  <sheetData>
    <row r="1" spans="1:176" ht="15" customHeight="1" x14ac:dyDescent="0.25">
      <c r="A1" s="728"/>
      <c r="B1" s="729"/>
      <c r="C1" s="729"/>
      <c r="D1" s="2539" t="s">
        <v>555</v>
      </c>
      <c r="E1" s="2540"/>
      <c r="F1" s="2540"/>
      <c r="G1" s="2540"/>
      <c r="H1" s="2540"/>
      <c r="I1" s="2540"/>
      <c r="J1" s="2540"/>
      <c r="K1" s="2540"/>
      <c r="L1" s="2540"/>
      <c r="M1" s="2540"/>
      <c r="N1" s="2540"/>
      <c r="O1" s="2540"/>
      <c r="P1" s="2540"/>
      <c r="Q1" s="2540"/>
      <c r="R1" s="2541"/>
      <c r="S1" s="1258" t="s">
        <v>68</v>
      </c>
      <c r="T1" s="1044" t="s">
        <v>556</v>
      </c>
    </row>
    <row r="2" spans="1:176" ht="15" customHeight="1" x14ac:dyDescent="0.25">
      <c r="A2" s="731"/>
      <c r="D2" s="2542"/>
      <c r="E2" s="2543"/>
      <c r="F2" s="2543"/>
      <c r="G2" s="2543"/>
      <c r="H2" s="2543"/>
      <c r="I2" s="2543"/>
      <c r="J2" s="2543"/>
      <c r="K2" s="2543"/>
      <c r="L2" s="2543"/>
      <c r="M2" s="2543"/>
      <c r="N2" s="2543"/>
      <c r="O2" s="2543"/>
      <c r="P2" s="2543"/>
      <c r="Q2" s="2543"/>
      <c r="R2" s="2544"/>
      <c r="S2" s="1056" t="s">
        <v>69</v>
      </c>
      <c r="T2" s="1049" t="s">
        <v>174</v>
      </c>
    </row>
    <row r="3" spans="1:176" ht="15" customHeight="1" x14ac:dyDescent="0.25">
      <c r="A3" s="731"/>
      <c r="D3" s="2542"/>
      <c r="E3" s="2543"/>
      <c r="F3" s="2543"/>
      <c r="G3" s="2543"/>
      <c r="H3" s="2543"/>
      <c r="I3" s="2543"/>
      <c r="J3" s="2543"/>
      <c r="K3" s="2543"/>
      <c r="L3" s="2543"/>
      <c r="M3" s="2543"/>
      <c r="N3" s="2543"/>
      <c r="O3" s="2543"/>
      <c r="P3" s="2543"/>
      <c r="Q3" s="2543"/>
      <c r="R3" s="2544"/>
      <c r="S3" s="1056" t="s">
        <v>70</v>
      </c>
      <c r="T3" s="1049" t="s">
        <v>72</v>
      </c>
    </row>
    <row r="4" spans="1:176" ht="15" customHeight="1" x14ac:dyDescent="0.25">
      <c r="A4" s="732"/>
      <c r="B4" s="733"/>
      <c r="C4" s="733"/>
      <c r="D4" s="2545"/>
      <c r="E4" s="2546"/>
      <c r="F4" s="2546"/>
      <c r="G4" s="2546"/>
      <c r="H4" s="2546"/>
      <c r="I4" s="2546"/>
      <c r="J4" s="2546"/>
      <c r="K4" s="2546"/>
      <c r="L4" s="2546"/>
      <c r="M4" s="2546"/>
      <c r="N4" s="2546"/>
      <c r="O4" s="2546"/>
      <c r="P4" s="2546"/>
      <c r="Q4" s="2546"/>
      <c r="R4" s="2547"/>
      <c r="S4" s="1259" t="s">
        <v>71</v>
      </c>
      <c r="T4" s="1054" t="s">
        <v>73</v>
      </c>
    </row>
    <row r="5" spans="1:176" s="734" customFormat="1" x14ac:dyDescent="0.25"/>
    <row r="7" spans="1:176" ht="20.25" x14ac:dyDescent="0.25">
      <c r="A7" s="2548" t="s">
        <v>715</v>
      </c>
      <c r="B7" s="2548"/>
      <c r="C7" s="2548"/>
      <c r="D7" s="2548"/>
      <c r="E7" s="2548"/>
      <c r="F7" s="2548"/>
      <c r="G7" s="2548"/>
      <c r="H7" s="2548"/>
      <c r="I7" s="2548"/>
      <c r="J7" s="2548"/>
      <c r="K7" s="2548"/>
      <c r="L7" s="2548"/>
      <c r="M7" s="2548"/>
      <c r="N7" s="2548"/>
      <c r="O7" s="2548"/>
      <c r="P7" s="2548"/>
      <c r="Q7" s="2548"/>
      <c r="R7" s="2548"/>
    </row>
    <row r="9" spans="1:176" x14ac:dyDescent="0.25">
      <c r="A9" s="735" t="s">
        <v>545</v>
      </c>
    </row>
    <row r="11" spans="1:176" x14ac:dyDescent="0.25">
      <c r="A11" s="736" t="s">
        <v>350</v>
      </c>
      <c r="B11" s="730" t="s">
        <v>353</v>
      </c>
    </row>
    <row r="12" spans="1:176" x14ac:dyDescent="0.25">
      <c r="A12" s="736" t="s">
        <v>351</v>
      </c>
      <c r="B12" s="730" t="s">
        <v>354</v>
      </c>
    </row>
    <row r="13" spans="1:176" x14ac:dyDescent="0.25">
      <c r="A13" s="736" t="s">
        <v>352</v>
      </c>
      <c r="B13" s="737" t="s">
        <v>355</v>
      </c>
    </row>
    <row r="14" spans="1:176" x14ac:dyDescent="0.25">
      <c r="A14" s="736" t="s">
        <v>547</v>
      </c>
      <c r="B14" s="737" t="s">
        <v>548</v>
      </c>
      <c r="J14" s="87"/>
    </row>
    <row r="15" spans="1:176" ht="15.75" thickBot="1" x14ac:dyDescent="0.3"/>
    <row r="16" spans="1:176" ht="15.75" thickBot="1" x14ac:dyDescent="0.3">
      <c r="A16" s="735"/>
      <c r="G16" s="218"/>
      <c r="I16" s="2476" t="s">
        <v>693</v>
      </c>
      <c r="J16" s="2477"/>
      <c r="K16" s="2477"/>
      <c r="L16" s="2477"/>
      <c r="M16" s="2477"/>
      <c r="N16" s="2477"/>
      <c r="O16" s="2477"/>
      <c r="P16" s="2477"/>
      <c r="Q16" s="2477"/>
      <c r="R16" s="2477"/>
      <c r="S16" s="2477"/>
      <c r="T16" s="2477"/>
      <c r="U16" s="2477"/>
      <c r="V16" s="2478"/>
      <c r="W16" s="2476" t="s">
        <v>694</v>
      </c>
      <c r="X16" s="2477"/>
      <c r="Y16" s="2477"/>
      <c r="Z16" s="2477"/>
      <c r="AA16" s="2477"/>
      <c r="AB16" s="2477"/>
      <c r="AC16" s="2477"/>
      <c r="AD16" s="2477"/>
      <c r="AE16" s="2477"/>
      <c r="AF16" s="2477"/>
      <c r="AG16" s="2477"/>
      <c r="AH16" s="2477"/>
      <c r="AI16" s="2477"/>
      <c r="AJ16" s="2478"/>
      <c r="AK16" s="2476" t="s">
        <v>695</v>
      </c>
      <c r="AL16" s="2477"/>
      <c r="AM16" s="2477"/>
      <c r="AN16" s="2477"/>
      <c r="AO16" s="2477"/>
      <c r="AP16" s="2477"/>
      <c r="AQ16" s="2477"/>
      <c r="AR16" s="2477"/>
      <c r="AS16" s="2477"/>
      <c r="AT16" s="2477"/>
      <c r="AU16" s="2477"/>
      <c r="AV16" s="2477"/>
      <c r="AW16" s="2477"/>
      <c r="AX16" s="2478"/>
      <c r="AY16" s="2476" t="s">
        <v>696</v>
      </c>
      <c r="AZ16" s="2477"/>
      <c r="BA16" s="2477"/>
      <c r="BB16" s="2477"/>
      <c r="BC16" s="2477"/>
      <c r="BD16" s="2477"/>
      <c r="BE16" s="2477"/>
      <c r="BF16" s="2477"/>
      <c r="BG16" s="2477"/>
      <c r="BH16" s="2477"/>
      <c r="BI16" s="2477"/>
      <c r="BJ16" s="2477"/>
      <c r="BK16" s="2477"/>
      <c r="BL16" s="2478"/>
      <c r="BM16" s="2476" t="s">
        <v>697</v>
      </c>
      <c r="BN16" s="2477"/>
      <c r="BO16" s="2477"/>
      <c r="BP16" s="2477"/>
      <c r="BQ16" s="2477"/>
      <c r="BR16" s="2477"/>
      <c r="BS16" s="2477"/>
      <c r="BT16" s="2477"/>
      <c r="BU16" s="2477"/>
      <c r="BV16" s="2477"/>
      <c r="BW16" s="2477"/>
      <c r="BX16" s="2477"/>
      <c r="BY16" s="2477"/>
      <c r="BZ16" s="2478"/>
      <c r="CA16" s="2476" t="s">
        <v>698</v>
      </c>
      <c r="CB16" s="2477"/>
      <c r="CC16" s="2477"/>
      <c r="CD16" s="2477"/>
      <c r="CE16" s="2477"/>
      <c r="CF16" s="2477"/>
      <c r="CG16" s="2477"/>
      <c r="CH16" s="2477"/>
      <c r="CI16" s="2477"/>
      <c r="CJ16" s="2477"/>
      <c r="CK16" s="2477"/>
      <c r="CL16" s="2477"/>
      <c r="CM16" s="2477"/>
      <c r="CN16" s="2478"/>
      <c r="CO16" s="2476" t="s">
        <v>699</v>
      </c>
      <c r="CP16" s="2477"/>
      <c r="CQ16" s="2477"/>
      <c r="CR16" s="2477"/>
      <c r="CS16" s="2477"/>
      <c r="CT16" s="2477"/>
      <c r="CU16" s="2477"/>
      <c r="CV16" s="2477"/>
      <c r="CW16" s="2477"/>
      <c r="CX16" s="2477"/>
      <c r="CY16" s="2477"/>
      <c r="CZ16" s="2477"/>
      <c r="DA16" s="2477"/>
      <c r="DB16" s="2478"/>
      <c r="DC16" s="2476" t="s">
        <v>700</v>
      </c>
      <c r="DD16" s="2477"/>
      <c r="DE16" s="2477"/>
      <c r="DF16" s="2477"/>
      <c r="DG16" s="2477"/>
      <c r="DH16" s="2477"/>
      <c r="DI16" s="2477"/>
      <c r="DJ16" s="2477"/>
      <c r="DK16" s="2477"/>
      <c r="DL16" s="2477"/>
      <c r="DM16" s="2477"/>
      <c r="DN16" s="2477"/>
      <c r="DO16" s="2477"/>
      <c r="DP16" s="2478"/>
      <c r="DQ16" s="2476" t="s">
        <v>704</v>
      </c>
      <c r="DR16" s="2477"/>
      <c r="DS16" s="2477"/>
      <c r="DT16" s="2477"/>
      <c r="DU16" s="2477"/>
      <c r="DV16" s="2477"/>
      <c r="DW16" s="2477"/>
      <c r="DX16" s="2477"/>
      <c r="DY16" s="2477"/>
      <c r="DZ16" s="2477"/>
      <c r="EA16" s="2477"/>
      <c r="EB16" s="2477"/>
      <c r="EC16" s="2477"/>
      <c r="ED16" s="2478"/>
      <c r="EE16" s="2476" t="s">
        <v>847</v>
      </c>
      <c r="EF16" s="2477"/>
      <c r="EG16" s="2477"/>
      <c r="EH16" s="2477"/>
      <c r="EI16" s="2477"/>
      <c r="EJ16" s="2477"/>
      <c r="EK16" s="2477"/>
      <c r="EL16" s="2477"/>
      <c r="EM16" s="2477"/>
      <c r="EN16" s="2477"/>
      <c r="EO16" s="2477"/>
      <c r="EP16" s="2477"/>
      <c r="EQ16" s="2477"/>
      <c r="ER16" s="2478"/>
      <c r="ES16" s="2476" t="s">
        <v>848</v>
      </c>
      <c r="ET16" s="2477"/>
      <c r="EU16" s="2477"/>
      <c r="EV16" s="2477"/>
      <c r="EW16" s="2477"/>
      <c r="EX16" s="2477"/>
      <c r="EY16" s="2477"/>
      <c r="EZ16" s="2477"/>
      <c r="FA16" s="2477"/>
      <c r="FB16" s="2477"/>
      <c r="FC16" s="2477"/>
      <c r="FD16" s="2477"/>
      <c r="FE16" s="2477"/>
      <c r="FF16" s="2478"/>
      <c r="FG16" s="2476" t="s">
        <v>849</v>
      </c>
      <c r="FH16" s="2477"/>
      <c r="FI16" s="2477"/>
      <c r="FJ16" s="2477"/>
      <c r="FK16" s="2477"/>
      <c r="FL16" s="2477"/>
      <c r="FM16" s="2477"/>
      <c r="FN16" s="2477"/>
      <c r="FO16" s="2477"/>
      <c r="FP16" s="2477"/>
      <c r="FQ16" s="2477"/>
      <c r="FR16" s="2477"/>
      <c r="FS16" s="2477"/>
      <c r="FT16" s="2478"/>
    </row>
    <row r="17" spans="1:176" ht="15.75" thickBot="1" x14ac:dyDescent="0.3">
      <c r="A17" s="735"/>
      <c r="I17" s="2479" t="s">
        <v>814</v>
      </c>
      <c r="J17" s="2480"/>
      <c r="K17" s="2480"/>
      <c r="L17" s="2480"/>
      <c r="M17" s="2480"/>
      <c r="N17" s="2481"/>
      <c r="O17" s="2481"/>
      <c r="P17" s="2482" t="s">
        <v>815</v>
      </c>
      <c r="Q17" s="2480"/>
      <c r="R17" s="2480"/>
      <c r="S17" s="2480"/>
      <c r="T17" s="2480"/>
      <c r="U17" s="2481"/>
      <c r="V17" s="2483"/>
      <c r="W17" s="2479" t="s">
        <v>814</v>
      </c>
      <c r="X17" s="2480"/>
      <c r="Y17" s="2480"/>
      <c r="Z17" s="2480"/>
      <c r="AA17" s="2480"/>
      <c r="AB17" s="2481"/>
      <c r="AC17" s="2481"/>
      <c r="AD17" s="2482" t="s">
        <v>815</v>
      </c>
      <c r="AE17" s="2480"/>
      <c r="AF17" s="2480"/>
      <c r="AG17" s="2480"/>
      <c r="AH17" s="2480"/>
      <c r="AI17" s="2481"/>
      <c r="AJ17" s="2483"/>
      <c r="AK17" s="2479" t="s">
        <v>814</v>
      </c>
      <c r="AL17" s="2480"/>
      <c r="AM17" s="2480"/>
      <c r="AN17" s="2480"/>
      <c r="AO17" s="2480"/>
      <c r="AP17" s="2481"/>
      <c r="AQ17" s="2481"/>
      <c r="AR17" s="2482" t="s">
        <v>815</v>
      </c>
      <c r="AS17" s="2480"/>
      <c r="AT17" s="2480"/>
      <c r="AU17" s="2480"/>
      <c r="AV17" s="2480"/>
      <c r="AW17" s="2481"/>
      <c r="AX17" s="2483"/>
      <c r="AY17" s="2479" t="s">
        <v>814</v>
      </c>
      <c r="AZ17" s="2480"/>
      <c r="BA17" s="2480"/>
      <c r="BB17" s="2480"/>
      <c r="BC17" s="2480"/>
      <c r="BD17" s="2481"/>
      <c r="BE17" s="2481"/>
      <c r="BF17" s="2482" t="s">
        <v>815</v>
      </c>
      <c r="BG17" s="2480"/>
      <c r="BH17" s="2480"/>
      <c r="BI17" s="2480"/>
      <c r="BJ17" s="2480"/>
      <c r="BK17" s="2481"/>
      <c r="BL17" s="2483"/>
      <c r="BM17" s="2479" t="s">
        <v>814</v>
      </c>
      <c r="BN17" s="2480"/>
      <c r="BO17" s="2480"/>
      <c r="BP17" s="2480"/>
      <c r="BQ17" s="2480"/>
      <c r="BR17" s="2481"/>
      <c r="BS17" s="2481"/>
      <c r="BT17" s="2482" t="s">
        <v>815</v>
      </c>
      <c r="BU17" s="2480"/>
      <c r="BV17" s="2480"/>
      <c r="BW17" s="2480"/>
      <c r="BX17" s="2480"/>
      <c r="BY17" s="2481"/>
      <c r="BZ17" s="2483"/>
      <c r="CA17" s="2479" t="s">
        <v>814</v>
      </c>
      <c r="CB17" s="2480"/>
      <c r="CC17" s="2480"/>
      <c r="CD17" s="2480"/>
      <c r="CE17" s="2480"/>
      <c r="CF17" s="2481"/>
      <c r="CG17" s="2481"/>
      <c r="CH17" s="2482" t="s">
        <v>815</v>
      </c>
      <c r="CI17" s="2480"/>
      <c r="CJ17" s="2480"/>
      <c r="CK17" s="2480"/>
      <c r="CL17" s="2480"/>
      <c r="CM17" s="2481"/>
      <c r="CN17" s="2483"/>
      <c r="CO17" s="2479" t="s">
        <v>814</v>
      </c>
      <c r="CP17" s="2480"/>
      <c r="CQ17" s="2480"/>
      <c r="CR17" s="2480"/>
      <c r="CS17" s="2480"/>
      <c r="CT17" s="2481"/>
      <c r="CU17" s="2481"/>
      <c r="CV17" s="2482" t="s">
        <v>815</v>
      </c>
      <c r="CW17" s="2480"/>
      <c r="CX17" s="2480"/>
      <c r="CY17" s="2480"/>
      <c r="CZ17" s="2480"/>
      <c r="DA17" s="2481"/>
      <c r="DB17" s="2483"/>
      <c r="DC17" s="2479" t="s">
        <v>814</v>
      </c>
      <c r="DD17" s="2480"/>
      <c r="DE17" s="2480"/>
      <c r="DF17" s="2480"/>
      <c r="DG17" s="2480"/>
      <c r="DH17" s="2481"/>
      <c r="DI17" s="2481"/>
      <c r="DJ17" s="2482" t="s">
        <v>815</v>
      </c>
      <c r="DK17" s="2480"/>
      <c r="DL17" s="2480"/>
      <c r="DM17" s="2480"/>
      <c r="DN17" s="2480"/>
      <c r="DO17" s="2481"/>
      <c r="DP17" s="2483"/>
      <c r="DQ17" s="2479" t="s">
        <v>814</v>
      </c>
      <c r="DR17" s="2480"/>
      <c r="DS17" s="2480"/>
      <c r="DT17" s="2480"/>
      <c r="DU17" s="2480"/>
      <c r="DV17" s="2481"/>
      <c r="DW17" s="2481"/>
      <c r="DX17" s="2482" t="s">
        <v>815</v>
      </c>
      <c r="DY17" s="2480"/>
      <c r="DZ17" s="2480"/>
      <c r="EA17" s="2480"/>
      <c r="EB17" s="2480"/>
      <c r="EC17" s="2481"/>
      <c r="ED17" s="2483"/>
      <c r="EE17" s="2479" t="s">
        <v>814</v>
      </c>
      <c r="EF17" s="2480"/>
      <c r="EG17" s="2480"/>
      <c r="EH17" s="2480"/>
      <c r="EI17" s="2480"/>
      <c r="EJ17" s="2481"/>
      <c r="EK17" s="2481"/>
      <c r="EL17" s="2482" t="s">
        <v>815</v>
      </c>
      <c r="EM17" s="2480"/>
      <c r="EN17" s="2480"/>
      <c r="EO17" s="2480"/>
      <c r="EP17" s="2480"/>
      <c r="EQ17" s="2481"/>
      <c r="ER17" s="2483"/>
      <c r="ES17" s="2479" t="s">
        <v>814</v>
      </c>
      <c r="ET17" s="2480"/>
      <c r="EU17" s="2480"/>
      <c r="EV17" s="2480"/>
      <c r="EW17" s="2480"/>
      <c r="EX17" s="2481"/>
      <c r="EY17" s="2481"/>
      <c r="EZ17" s="2482" t="s">
        <v>815</v>
      </c>
      <c r="FA17" s="2480"/>
      <c r="FB17" s="2480"/>
      <c r="FC17" s="2480"/>
      <c r="FD17" s="2480"/>
      <c r="FE17" s="2481"/>
      <c r="FF17" s="2483"/>
      <c r="FG17" s="2479" t="s">
        <v>814</v>
      </c>
      <c r="FH17" s="2480"/>
      <c r="FI17" s="2480"/>
      <c r="FJ17" s="2480"/>
      <c r="FK17" s="2480"/>
      <c r="FL17" s="2481"/>
      <c r="FM17" s="2481"/>
      <c r="FN17" s="2482" t="s">
        <v>815</v>
      </c>
      <c r="FO17" s="2480"/>
      <c r="FP17" s="2480"/>
      <c r="FQ17" s="2480"/>
      <c r="FR17" s="2480"/>
      <c r="FS17" s="2481"/>
      <c r="FT17" s="2483"/>
    </row>
    <row r="18" spans="1:176" x14ac:dyDescent="0.25">
      <c r="A18" s="735"/>
      <c r="B18" s="735"/>
      <c r="E18" s="2569" t="s">
        <v>670</v>
      </c>
      <c r="F18" s="2570"/>
      <c r="G18" s="2570"/>
      <c r="H18" s="2571"/>
      <c r="I18" s="2568" t="e">
        <f>#REF!</f>
        <v>#REF!</v>
      </c>
      <c r="J18" s="2525"/>
      <c r="K18" s="2525"/>
      <c r="L18" s="2525"/>
      <c r="M18" s="2525"/>
      <c r="N18" s="2526"/>
      <c r="O18" s="2526"/>
      <c r="P18" s="2524">
        <f>'F-LSCD-012'!A34</f>
        <v>25000</v>
      </c>
      <c r="Q18" s="2525"/>
      <c r="R18" s="2525"/>
      <c r="S18" s="2525"/>
      <c r="T18" s="2525"/>
      <c r="U18" s="2526"/>
      <c r="V18" s="2527"/>
      <c r="W18" s="2575" t="e">
        <f>#REF!</f>
        <v>#REF!</v>
      </c>
      <c r="X18" s="2533"/>
      <c r="Y18" s="2533"/>
      <c r="Z18" s="2533"/>
      <c r="AA18" s="2533"/>
      <c r="AB18" s="2533"/>
      <c r="AC18" s="2533"/>
      <c r="AD18" s="2532" t="str">
        <f>'F-LSCD-012'!A36</f>
        <v>-</v>
      </c>
      <c r="AE18" s="2533"/>
      <c r="AF18" s="2533"/>
      <c r="AG18" s="2533"/>
      <c r="AH18" s="2533"/>
      <c r="AI18" s="2533"/>
      <c r="AJ18" s="2534"/>
      <c r="AK18" s="2484" t="e">
        <f>#REF!</f>
        <v>#REF!</v>
      </c>
      <c r="AL18" s="2485"/>
      <c r="AM18" s="2485"/>
      <c r="AN18" s="2485"/>
      <c r="AO18" s="2485"/>
      <c r="AP18" s="2486"/>
      <c r="AQ18" s="2486"/>
      <c r="AR18" s="2487" t="str">
        <f>'F-LSCD-012'!A38</f>
        <v>-</v>
      </c>
      <c r="AS18" s="2485"/>
      <c r="AT18" s="2485"/>
      <c r="AU18" s="2485"/>
      <c r="AV18" s="2485"/>
      <c r="AW18" s="2486"/>
      <c r="AX18" s="2488"/>
      <c r="AY18" s="2484" t="str">
        <f>'F-LSCD-012'!A40</f>
        <v>-</v>
      </c>
      <c r="AZ18" s="2485"/>
      <c r="BA18" s="2485"/>
      <c r="BB18" s="2485"/>
      <c r="BC18" s="2485"/>
      <c r="BD18" s="2486"/>
      <c r="BE18" s="2486"/>
      <c r="BF18" s="2487" t="str">
        <f>'F-LSCD-012'!A40</f>
        <v>-</v>
      </c>
      <c r="BG18" s="2485"/>
      <c r="BH18" s="2485"/>
      <c r="BI18" s="2485"/>
      <c r="BJ18" s="2485"/>
      <c r="BK18" s="2486"/>
      <c r="BL18" s="2488"/>
      <c r="BM18" s="2484" t="str">
        <f>'F-LSCD-012'!A42</f>
        <v>-</v>
      </c>
      <c r="BN18" s="2485"/>
      <c r="BO18" s="2485"/>
      <c r="BP18" s="2485"/>
      <c r="BQ18" s="2485"/>
      <c r="BR18" s="2486"/>
      <c r="BS18" s="2486"/>
      <c r="BT18" s="2511" t="str">
        <f>'F-LSCD-012'!A42</f>
        <v>-</v>
      </c>
      <c r="BU18" s="2512"/>
      <c r="BV18" s="2512"/>
      <c r="BW18" s="2512"/>
      <c r="BX18" s="2512"/>
      <c r="BY18" s="2512"/>
      <c r="BZ18" s="2513"/>
      <c r="CA18" s="2484" t="str">
        <f>'F-LSCD-012'!A44</f>
        <v>-</v>
      </c>
      <c r="CB18" s="2485"/>
      <c r="CC18" s="2485"/>
      <c r="CD18" s="2485"/>
      <c r="CE18" s="2485"/>
      <c r="CF18" s="2486"/>
      <c r="CG18" s="2486"/>
      <c r="CH18" s="2487" t="str">
        <f>'F-LSCD-012'!A44</f>
        <v>-</v>
      </c>
      <c r="CI18" s="2485"/>
      <c r="CJ18" s="2485"/>
      <c r="CK18" s="2485"/>
      <c r="CL18" s="2485"/>
      <c r="CM18" s="2486"/>
      <c r="CN18" s="2488"/>
      <c r="CO18" s="2484" t="str">
        <f>'F-LSCD-012'!A46</f>
        <v>-</v>
      </c>
      <c r="CP18" s="2485"/>
      <c r="CQ18" s="2485"/>
      <c r="CR18" s="2485"/>
      <c r="CS18" s="2485"/>
      <c r="CT18" s="2486"/>
      <c r="CU18" s="2486"/>
      <c r="CV18" s="2487" t="str">
        <f>'F-LSCD-012'!A46</f>
        <v>-</v>
      </c>
      <c r="CW18" s="2485"/>
      <c r="CX18" s="2485"/>
      <c r="CY18" s="2485"/>
      <c r="CZ18" s="2485"/>
      <c r="DA18" s="2486"/>
      <c r="DB18" s="2488"/>
      <c r="DC18" s="2484" t="str">
        <f>'F-LSCD-012'!A48</f>
        <v>-</v>
      </c>
      <c r="DD18" s="2485"/>
      <c r="DE18" s="2485"/>
      <c r="DF18" s="2485"/>
      <c r="DG18" s="2485"/>
      <c r="DH18" s="2486"/>
      <c r="DI18" s="2486"/>
      <c r="DJ18" s="2487" t="str">
        <f>'F-LSCD-012'!A48</f>
        <v>-</v>
      </c>
      <c r="DK18" s="2485"/>
      <c r="DL18" s="2485"/>
      <c r="DM18" s="2485"/>
      <c r="DN18" s="2485"/>
      <c r="DO18" s="2486"/>
      <c r="DP18" s="2488"/>
      <c r="DQ18" s="2484" t="str">
        <f>'F-LSCD-012'!A50</f>
        <v>-</v>
      </c>
      <c r="DR18" s="2485"/>
      <c r="DS18" s="2485"/>
      <c r="DT18" s="2485"/>
      <c r="DU18" s="2485"/>
      <c r="DV18" s="2486"/>
      <c r="DW18" s="2486"/>
      <c r="DX18" s="2487" t="str">
        <f>'F-LSCD-012'!A50</f>
        <v>-</v>
      </c>
      <c r="DY18" s="2485"/>
      <c r="DZ18" s="2485"/>
      <c r="EA18" s="2485"/>
      <c r="EB18" s="2485"/>
      <c r="EC18" s="2486"/>
      <c r="ED18" s="2488"/>
      <c r="EE18" s="2484" t="str">
        <f>'F-LSCD-012'!A52</f>
        <v>-</v>
      </c>
      <c r="EF18" s="2485"/>
      <c r="EG18" s="2485"/>
      <c r="EH18" s="2485"/>
      <c r="EI18" s="2485"/>
      <c r="EJ18" s="2486"/>
      <c r="EK18" s="2486"/>
      <c r="EL18" s="2487" t="str">
        <f>'F-LSCD-012'!A52</f>
        <v>-</v>
      </c>
      <c r="EM18" s="2485"/>
      <c r="EN18" s="2485"/>
      <c r="EO18" s="2485"/>
      <c r="EP18" s="2485"/>
      <c r="EQ18" s="2486"/>
      <c r="ER18" s="2488"/>
      <c r="ES18" s="2484" t="str">
        <f>'F-LSCD-012'!A54</f>
        <v>-</v>
      </c>
      <c r="ET18" s="2485"/>
      <c r="EU18" s="2485"/>
      <c r="EV18" s="2485"/>
      <c r="EW18" s="2485"/>
      <c r="EX18" s="2486"/>
      <c r="EY18" s="2486"/>
      <c r="EZ18" s="2487" t="str">
        <f>'F-LSCD-012'!A54</f>
        <v>-</v>
      </c>
      <c r="FA18" s="2485"/>
      <c r="FB18" s="2485"/>
      <c r="FC18" s="2485"/>
      <c r="FD18" s="2485"/>
      <c r="FE18" s="2486"/>
      <c r="FF18" s="2488"/>
      <c r="FG18" s="2484" t="str">
        <f>'F-LSCD-012'!A56</f>
        <v>-</v>
      </c>
      <c r="FH18" s="2485"/>
      <c r="FI18" s="2485"/>
      <c r="FJ18" s="2485"/>
      <c r="FK18" s="2485"/>
      <c r="FL18" s="2486"/>
      <c r="FM18" s="2486"/>
      <c r="FN18" s="2487" t="str">
        <f>'F-LSCD-012'!A56</f>
        <v>-</v>
      </c>
      <c r="FO18" s="2485"/>
      <c r="FP18" s="2485"/>
      <c r="FQ18" s="2485"/>
      <c r="FR18" s="2485"/>
      <c r="FS18" s="2486"/>
      <c r="FT18" s="2488"/>
    </row>
    <row r="19" spans="1:176" x14ac:dyDescent="0.25">
      <c r="A19" s="735"/>
      <c r="B19" s="735"/>
      <c r="E19" s="2388" t="s">
        <v>811</v>
      </c>
      <c r="F19" s="2572"/>
      <c r="G19" s="2572"/>
      <c r="H19" s="2573"/>
      <c r="I19" s="2567" t="e">
        <f>#REF!</f>
        <v>#REF!</v>
      </c>
      <c r="J19" s="2529"/>
      <c r="K19" s="2529"/>
      <c r="L19" s="2529"/>
      <c r="M19" s="2529"/>
      <c r="N19" s="2530"/>
      <c r="O19" s="2530"/>
      <c r="P19" s="2528" t="str">
        <f>'F-LSCD-012'!O35</f>
        <v>-</v>
      </c>
      <c r="Q19" s="2529"/>
      <c r="R19" s="2529"/>
      <c r="S19" s="2529"/>
      <c r="T19" s="2529"/>
      <c r="U19" s="2530"/>
      <c r="V19" s="2531"/>
      <c r="W19" s="2576" t="e">
        <f>#REF!</f>
        <v>#REF!</v>
      </c>
      <c r="X19" s="2577"/>
      <c r="Y19" s="2577"/>
      <c r="Z19" s="2577"/>
      <c r="AA19" s="2577"/>
      <c r="AB19" s="2577"/>
      <c r="AC19" s="2577"/>
      <c r="AD19" s="2521" t="str">
        <f>'F-LSCD-012'!O37</f>
        <v>-</v>
      </c>
      <c r="AE19" s="2509"/>
      <c r="AF19" s="2509"/>
      <c r="AG19" s="2509"/>
      <c r="AH19" s="2509"/>
      <c r="AI19" s="2509"/>
      <c r="AJ19" s="2510"/>
      <c r="AK19" s="2489" t="e">
        <f>#REF!</f>
        <v>#REF!</v>
      </c>
      <c r="AL19" s="2490"/>
      <c r="AM19" s="2490"/>
      <c r="AN19" s="2490"/>
      <c r="AO19" s="2490"/>
      <c r="AP19" s="2491"/>
      <c r="AQ19" s="2491"/>
      <c r="AR19" s="2498" t="str">
        <f>'F-LSCD-012'!O39</f>
        <v>-</v>
      </c>
      <c r="AS19" s="2490"/>
      <c r="AT19" s="2490"/>
      <c r="AU19" s="2490"/>
      <c r="AV19" s="2490"/>
      <c r="AW19" s="2491"/>
      <c r="AX19" s="2493"/>
      <c r="AY19" s="2489" t="str">
        <f>'F-LSCD-012'!O40</f>
        <v>-</v>
      </c>
      <c r="AZ19" s="2490"/>
      <c r="BA19" s="2490"/>
      <c r="BB19" s="2490"/>
      <c r="BC19" s="2490"/>
      <c r="BD19" s="2491"/>
      <c r="BE19" s="2491"/>
      <c r="BF19" s="2498" t="str">
        <f>'F-LSCD-012'!O41</f>
        <v>-</v>
      </c>
      <c r="BG19" s="2490"/>
      <c r="BH19" s="2490"/>
      <c r="BI19" s="2490"/>
      <c r="BJ19" s="2490"/>
      <c r="BK19" s="2491"/>
      <c r="BL19" s="2493"/>
      <c r="BM19" s="2489" t="str">
        <f>'F-LSCD-012'!O42</f>
        <v>-</v>
      </c>
      <c r="BN19" s="2490"/>
      <c r="BO19" s="2490"/>
      <c r="BP19" s="2490"/>
      <c r="BQ19" s="2490"/>
      <c r="BR19" s="2491"/>
      <c r="BS19" s="2491"/>
      <c r="BT19" s="2508" t="str">
        <f>'F-LSCD-012'!O43</f>
        <v>-</v>
      </c>
      <c r="BU19" s="2509"/>
      <c r="BV19" s="2509"/>
      <c r="BW19" s="2509"/>
      <c r="BX19" s="2509"/>
      <c r="BY19" s="2509"/>
      <c r="BZ19" s="2510"/>
      <c r="CA19" s="2489" t="str">
        <f>'F-LSCD-012'!O44</f>
        <v>-</v>
      </c>
      <c r="CB19" s="2490"/>
      <c r="CC19" s="2490"/>
      <c r="CD19" s="2490"/>
      <c r="CE19" s="2490"/>
      <c r="CF19" s="2491"/>
      <c r="CG19" s="2491"/>
      <c r="CH19" s="2498" t="str">
        <f>'F-LSCD-012'!O45</f>
        <v>-</v>
      </c>
      <c r="CI19" s="2490"/>
      <c r="CJ19" s="2490"/>
      <c r="CK19" s="2490"/>
      <c r="CL19" s="2490"/>
      <c r="CM19" s="2491"/>
      <c r="CN19" s="2493"/>
      <c r="CO19" s="2489" t="str">
        <f>'F-LSCD-012'!O46</f>
        <v>-</v>
      </c>
      <c r="CP19" s="2490"/>
      <c r="CQ19" s="2490"/>
      <c r="CR19" s="2490"/>
      <c r="CS19" s="2490"/>
      <c r="CT19" s="2491"/>
      <c r="CU19" s="2491"/>
      <c r="CV19" s="2498" t="str">
        <f>'F-LSCD-012'!O47</f>
        <v>-</v>
      </c>
      <c r="CW19" s="2490"/>
      <c r="CX19" s="2490"/>
      <c r="CY19" s="2490"/>
      <c r="CZ19" s="2490"/>
      <c r="DA19" s="2491"/>
      <c r="DB19" s="2493"/>
      <c r="DC19" s="2489" t="str">
        <f>'F-LSCD-012'!O48</f>
        <v>-</v>
      </c>
      <c r="DD19" s="2490"/>
      <c r="DE19" s="2490"/>
      <c r="DF19" s="2490"/>
      <c r="DG19" s="2490"/>
      <c r="DH19" s="2491"/>
      <c r="DI19" s="2491"/>
      <c r="DJ19" s="2498" t="str">
        <f>'F-LSCD-012'!O49</f>
        <v>-</v>
      </c>
      <c r="DK19" s="2490"/>
      <c r="DL19" s="2490"/>
      <c r="DM19" s="2490"/>
      <c r="DN19" s="2490"/>
      <c r="DO19" s="2491"/>
      <c r="DP19" s="2493"/>
      <c r="DQ19" s="2489" t="str">
        <f>'F-LSCD-012'!O50</f>
        <v>-</v>
      </c>
      <c r="DR19" s="2490"/>
      <c r="DS19" s="2490"/>
      <c r="DT19" s="2490"/>
      <c r="DU19" s="2490"/>
      <c r="DV19" s="2491"/>
      <c r="DW19" s="2491"/>
      <c r="DX19" s="2498" t="str">
        <f>'F-LSCD-012'!O51</f>
        <v>-</v>
      </c>
      <c r="DY19" s="2490"/>
      <c r="DZ19" s="2490"/>
      <c r="EA19" s="2490"/>
      <c r="EB19" s="2490"/>
      <c r="EC19" s="2491"/>
      <c r="ED19" s="2493"/>
      <c r="EE19" s="2489" t="str">
        <f>'F-LSCD-012'!O52</f>
        <v>-</v>
      </c>
      <c r="EF19" s="2490"/>
      <c r="EG19" s="2490"/>
      <c r="EH19" s="2490"/>
      <c r="EI19" s="2490"/>
      <c r="EJ19" s="2491"/>
      <c r="EK19" s="2491"/>
      <c r="EL19" s="2492" t="str">
        <f>'F-LSCD-012'!O53</f>
        <v>-</v>
      </c>
      <c r="EM19" s="2490"/>
      <c r="EN19" s="2490"/>
      <c r="EO19" s="2490"/>
      <c r="EP19" s="2490"/>
      <c r="EQ19" s="2491"/>
      <c r="ER19" s="2493"/>
      <c r="ES19" s="2489" t="str">
        <f>'F-LSCD-012'!O54</f>
        <v>-</v>
      </c>
      <c r="ET19" s="2490"/>
      <c r="EU19" s="2490"/>
      <c r="EV19" s="2490"/>
      <c r="EW19" s="2490"/>
      <c r="EX19" s="2491"/>
      <c r="EY19" s="2491"/>
      <c r="EZ19" s="2492" t="str">
        <f>'F-LSCD-012'!O55</f>
        <v>-</v>
      </c>
      <c r="FA19" s="2490"/>
      <c r="FB19" s="2490"/>
      <c r="FC19" s="2490"/>
      <c r="FD19" s="2490"/>
      <c r="FE19" s="2491"/>
      <c r="FF19" s="2493"/>
      <c r="FG19" s="2489" t="str">
        <f>'F-LSCD-012'!O56</f>
        <v>-</v>
      </c>
      <c r="FH19" s="2490"/>
      <c r="FI19" s="2490"/>
      <c r="FJ19" s="2490"/>
      <c r="FK19" s="2490"/>
      <c r="FL19" s="2491"/>
      <c r="FM19" s="2491"/>
      <c r="FN19" s="2492" t="str">
        <f>'F-LSCD-012'!O57</f>
        <v>-</v>
      </c>
      <c r="FO19" s="2490"/>
      <c r="FP19" s="2490"/>
      <c r="FQ19" s="2490"/>
      <c r="FR19" s="2490"/>
      <c r="FS19" s="2491"/>
      <c r="FT19" s="2493"/>
    </row>
    <row r="20" spans="1:176" x14ac:dyDescent="0.25">
      <c r="A20" s="735"/>
      <c r="B20" s="735"/>
      <c r="E20" s="2574" t="s">
        <v>685</v>
      </c>
      <c r="F20" s="2572"/>
      <c r="G20" s="2572"/>
      <c r="H20" s="2573"/>
      <c r="I20" s="2566" t="e">
        <f>#REF!</f>
        <v>#REF!</v>
      </c>
      <c r="J20" s="2494"/>
      <c r="K20" s="2494"/>
      <c r="L20" s="2494"/>
      <c r="M20" s="2494"/>
      <c r="N20" s="2495"/>
      <c r="O20" s="2495"/>
      <c r="P20" s="2492" t="str">
        <f>'F-LSCD-012'!P35</f>
        <v>-</v>
      </c>
      <c r="Q20" s="2494"/>
      <c r="R20" s="2494"/>
      <c r="S20" s="2494"/>
      <c r="T20" s="2494"/>
      <c r="U20" s="2495"/>
      <c r="V20" s="2496"/>
      <c r="W20" s="2578" t="e">
        <f>#REF!</f>
        <v>#REF!</v>
      </c>
      <c r="X20" s="2522"/>
      <c r="Y20" s="2522"/>
      <c r="Z20" s="2522"/>
      <c r="AA20" s="2522"/>
      <c r="AB20" s="2522"/>
      <c r="AC20" s="2522"/>
      <c r="AD20" s="2521" t="str">
        <f>'F-LSCD-012'!P37</f>
        <v>-</v>
      </c>
      <c r="AE20" s="2522"/>
      <c r="AF20" s="2522"/>
      <c r="AG20" s="2522"/>
      <c r="AH20" s="2522"/>
      <c r="AI20" s="2522"/>
      <c r="AJ20" s="2523"/>
      <c r="AK20" s="2489" t="e">
        <f>#REF!</f>
        <v>#REF!</v>
      </c>
      <c r="AL20" s="2494"/>
      <c r="AM20" s="2494"/>
      <c r="AN20" s="2494"/>
      <c r="AO20" s="2494"/>
      <c r="AP20" s="2495"/>
      <c r="AQ20" s="2495"/>
      <c r="AR20" s="2492" t="str">
        <f>'F-LSCD-012'!P39</f>
        <v>-</v>
      </c>
      <c r="AS20" s="2494"/>
      <c r="AT20" s="2494"/>
      <c r="AU20" s="2494"/>
      <c r="AV20" s="2494"/>
      <c r="AW20" s="2495"/>
      <c r="AX20" s="2496"/>
      <c r="AY20" s="2489" t="str">
        <f>'F-LSCD-012'!P40</f>
        <v>-</v>
      </c>
      <c r="AZ20" s="2494"/>
      <c r="BA20" s="2494"/>
      <c r="BB20" s="2494"/>
      <c r="BC20" s="2494"/>
      <c r="BD20" s="2495"/>
      <c r="BE20" s="2495"/>
      <c r="BF20" s="2492" t="str">
        <f>'F-LSCD-012'!P41</f>
        <v>-</v>
      </c>
      <c r="BG20" s="2494"/>
      <c r="BH20" s="2494"/>
      <c r="BI20" s="2494"/>
      <c r="BJ20" s="2494"/>
      <c r="BK20" s="2495"/>
      <c r="BL20" s="2496"/>
      <c r="BM20" s="2489" t="str">
        <f>'F-LSCD-012'!P42</f>
        <v>-</v>
      </c>
      <c r="BN20" s="2494"/>
      <c r="BO20" s="2494"/>
      <c r="BP20" s="2494"/>
      <c r="BQ20" s="2494"/>
      <c r="BR20" s="2495"/>
      <c r="BS20" s="2495"/>
      <c r="BT20" s="2521" t="str">
        <f>'F-LSCD-012'!P43</f>
        <v>-</v>
      </c>
      <c r="BU20" s="2522"/>
      <c r="BV20" s="2522"/>
      <c r="BW20" s="2522"/>
      <c r="BX20" s="2522"/>
      <c r="BY20" s="2522"/>
      <c r="BZ20" s="2523"/>
      <c r="CA20" s="2489" t="str">
        <f>'F-LSCD-012'!P44</f>
        <v>-</v>
      </c>
      <c r="CB20" s="2494"/>
      <c r="CC20" s="2494"/>
      <c r="CD20" s="2494"/>
      <c r="CE20" s="2494"/>
      <c r="CF20" s="2495"/>
      <c r="CG20" s="2495"/>
      <c r="CH20" s="2492" t="str">
        <f>'F-LSCD-012'!P45</f>
        <v>-</v>
      </c>
      <c r="CI20" s="2494"/>
      <c r="CJ20" s="2494"/>
      <c r="CK20" s="2494"/>
      <c r="CL20" s="2494"/>
      <c r="CM20" s="2495"/>
      <c r="CN20" s="2496"/>
      <c r="CO20" s="2489" t="str">
        <f>'F-LSCD-012'!P46</f>
        <v>-</v>
      </c>
      <c r="CP20" s="2494"/>
      <c r="CQ20" s="2494"/>
      <c r="CR20" s="2494"/>
      <c r="CS20" s="2494"/>
      <c r="CT20" s="2495"/>
      <c r="CU20" s="2495"/>
      <c r="CV20" s="2492" t="str">
        <f>'F-LSCD-012'!P47</f>
        <v>-</v>
      </c>
      <c r="CW20" s="2494"/>
      <c r="CX20" s="2494"/>
      <c r="CY20" s="2494"/>
      <c r="CZ20" s="2494"/>
      <c r="DA20" s="2495"/>
      <c r="DB20" s="2496"/>
      <c r="DC20" s="2489" t="str">
        <f>'F-LSCD-012'!P48</f>
        <v>-</v>
      </c>
      <c r="DD20" s="2494"/>
      <c r="DE20" s="2494"/>
      <c r="DF20" s="2494"/>
      <c r="DG20" s="2494"/>
      <c r="DH20" s="2495"/>
      <c r="DI20" s="2495"/>
      <c r="DJ20" s="2492" t="str">
        <f>'F-LSCD-012'!P49</f>
        <v>-</v>
      </c>
      <c r="DK20" s="2494"/>
      <c r="DL20" s="2494"/>
      <c r="DM20" s="2494"/>
      <c r="DN20" s="2494"/>
      <c r="DO20" s="2495"/>
      <c r="DP20" s="2496"/>
      <c r="DQ20" s="2489" t="str">
        <f>'F-LSCD-012'!P50</f>
        <v>-</v>
      </c>
      <c r="DR20" s="2494"/>
      <c r="DS20" s="2494"/>
      <c r="DT20" s="2494"/>
      <c r="DU20" s="2494"/>
      <c r="DV20" s="2495"/>
      <c r="DW20" s="2495"/>
      <c r="DX20" s="2492" t="str">
        <f>'F-LSCD-012'!P51</f>
        <v>-</v>
      </c>
      <c r="DY20" s="2494"/>
      <c r="DZ20" s="2494"/>
      <c r="EA20" s="2494"/>
      <c r="EB20" s="2494"/>
      <c r="EC20" s="2495"/>
      <c r="ED20" s="2496"/>
      <c r="EE20" s="2489" t="str">
        <f>'F-LSCD-012'!P52</f>
        <v>-</v>
      </c>
      <c r="EF20" s="2494"/>
      <c r="EG20" s="2494"/>
      <c r="EH20" s="2494"/>
      <c r="EI20" s="2494"/>
      <c r="EJ20" s="2495"/>
      <c r="EK20" s="2495"/>
      <c r="EL20" s="2492" t="str">
        <f>'F-LSCD-012'!P53</f>
        <v>-</v>
      </c>
      <c r="EM20" s="2494"/>
      <c r="EN20" s="2494"/>
      <c r="EO20" s="2494"/>
      <c r="EP20" s="2494"/>
      <c r="EQ20" s="2495"/>
      <c r="ER20" s="2496"/>
      <c r="ES20" s="2489" t="str">
        <f>'F-LSCD-012'!P54</f>
        <v>-</v>
      </c>
      <c r="ET20" s="2494"/>
      <c r="EU20" s="2494"/>
      <c r="EV20" s="2494"/>
      <c r="EW20" s="2494"/>
      <c r="EX20" s="2495"/>
      <c r="EY20" s="2495"/>
      <c r="EZ20" s="2492" t="str">
        <f>'F-LSCD-012'!P55</f>
        <v>-</v>
      </c>
      <c r="FA20" s="2494"/>
      <c r="FB20" s="2494"/>
      <c r="FC20" s="2494"/>
      <c r="FD20" s="2494"/>
      <c r="FE20" s="2495"/>
      <c r="FF20" s="2496"/>
      <c r="FG20" s="2489" t="str">
        <f>'F-LSCD-012'!P56</f>
        <v>-</v>
      </c>
      <c r="FH20" s="2494"/>
      <c r="FI20" s="2494"/>
      <c r="FJ20" s="2494"/>
      <c r="FK20" s="2494"/>
      <c r="FL20" s="2495"/>
      <c r="FM20" s="2495"/>
      <c r="FN20" s="2492" t="str">
        <f>'F-LSCD-012'!P57</f>
        <v>-</v>
      </c>
      <c r="FO20" s="2494"/>
      <c r="FP20" s="2494"/>
      <c r="FQ20" s="2494"/>
      <c r="FR20" s="2494"/>
      <c r="FS20" s="2495"/>
      <c r="FT20" s="2496"/>
    </row>
    <row r="21" spans="1:176" x14ac:dyDescent="0.25">
      <c r="A21" s="735"/>
      <c r="B21" s="735"/>
      <c r="E21" s="2574" t="s">
        <v>671</v>
      </c>
      <c r="F21" s="2572"/>
      <c r="G21" s="2572"/>
      <c r="H21" s="2573"/>
      <c r="I21" s="2566" t="e">
        <f>#REF!</f>
        <v>#REF!</v>
      </c>
      <c r="J21" s="2494"/>
      <c r="K21" s="2494"/>
      <c r="L21" s="2494"/>
      <c r="M21" s="2494"/>
      <c r="N21" s="2495"/>
      <c r="O21" s="2495"/>
      <c r="P21" s="2492" t="str">
        <f>'F-LSCD-012'!M35</f>
        <v>-</v>
      </c>
      <c r="Q21" s="2494"/>
      <c r="R21" s="2494"/>
      <c r="S21" s="2494"/>
      <c r="T21" s="2494"/>
      <c r="U21" s="2495"/>
      <c r="V21" s="2496"/>
      <c r="W21" s="2579" t="e">
        <f>#REF!</f>
        <v>#REF!</v>
      </c>
      <c r="X21" s="2536"/>
      <c r="Y21" s="2536"/>
      <c r="Z21" s="2536"/>
      <c r="AA21" s="2536"/>
      <c r="AB21" s="2536"/>
      <c r="AC21" s="2536"/>
      <c r="AD21" s="2535" t="str">
        <f>'F-LSCD-012'!M37</f>
        <v>-</v>
      </c>
      <c r="AE21" s="2536"/>
      <c r="AF21" s="2536"/>
      <c r="AG21" s="2536"/>
      <c r="AH21" s="2536"/>
      <c r="AI21" s="2536"/>
      <c r="AJ21" s="2537"/>
      <c r="AK21" s="2489" t="e">
        <f>#REF!</f>
        <v>#REF!</v>
      </c>
      <c r="AL21" s="2494"/>
      <c r="AM21" s="2494"/>
      <c r="AN21" s="2494"/>
      <c r="AO21" s="2494"/>
      <c r="AP21" s="2495"/>
      <c r="AQ21" s="2495"/>
      <c r="AR21" s="2492" t="str">
        <f>'F-LSCD-012'!M39</f>
        <v>-</v>
      </c>
      <c r="AS21" s="2494"/>
      <c r="AT21" s="2494"/>
      <c r="AU21" s="2494"/>
      <c r="AV21" s="2494"/>
      <c r="AW21" s="2495"/>
      <c r="AX21" s="2496"/>
      <c r="AY21" s="2489" t="str">
        <f>'F-LSCD-012'!M40</f>
        <v>-</v>
      </c>
      <c r="AZ21" s="2494"/>
      <c r="BA21" s="2494"/>
      <c r="BB21" s="2494"/>
      <c r="BC21" s="2494"/>
      <c r="BD21" s="2495"/>
      <c r="BE21" s="2495"/>
      <c r="BF21" s="2492" t="str">
        <f>'F-LSCD-012'!M41</f>
        <v>-</v>
      </c>
      <c r="BG21" s="2494"/>
      <c r="BH21" s="2494"/>
      <c r="BI21" s="2494"/>
      <c r="BJ21" s="2494"/>
      <c r="BK21" s="2495"/>
      <c r="BL21" s="2496"/>
      <c r="BM21" s="2489" t="str">
        <f>'F-LSCD-012'!M42</f>
        <v>-</v>
      </c>
      <c r="BN21" s="2494"/>
      <c r="BO21" s="2494"/>
      <c r="BP21" s="2494"/>
      <c r="BQ21" s="2494"/>
      <c r="BR21" s="2495"/>
      <c r="BS21" s="2495"/>
      <c r="BT21" s="2521" t="str">
        <f>'F-LSCD-012'!M43</f>
        <v>-</v>
      </c>
      <c r="BU21" s="2522"/>
      <c r="BV21" s="2522"/>
      <c r="BW21" s="2522"/>
      <c r="BX21" s="2522"/>
      <c r="BY21" s="2522"/>
      <c r="BZ21" s="2523"/>
      <c r="CA21" s="2489" t="str">
        <f>'F-LSCD-012'!M44</f>
        <v>-</v>
      </c>
      <c r="CB21" s="2494"/>
      <c r="CC21" s="2494"/>
      <c r="CD21" s="2494"/>
      <c r="CE21" s="2494"/>
      <c r="CF21" s="2495"/>
      <c r="CG21" s="2495"/>
      <c r="CH21" s="2492" t="str">
        <f>'F-LSCD-012'!M45</f>
        <v>-</v>
      </c>
      <c r="CI21" s="2494"/>
      <c r="CJ21" s="2494"/>
      <c r="CK21" s="2494"/>
      <c r="CL21" s="2494"/>
      <c r="CM21" s="2495"/>
      <c r="CN21" s="2496"/>
      <c r="CO21" s="2489" t="str">
        <f>'F-LSCD-012'!M46</f>
        <v>-</v>
      </c>
      <c r="CP21" s="2494"/>
      <c r="CQ21" s="2494"/>
      <c r="CR21" s="2494"/>
      <c r="CS21" s="2494"/>
      <c r="CT21" s="2495"/>
      <c r="CU21" s="2495"/>
      <c r="CV21" s="2492" t="str">
        <f>'F-LSCD-012'!M47</f>
        <v>-</v>
      </c>
      <c r="CW21" s="2494"/>
      <c r="CX21" s="2494"/>
      <c r="CY21" s="2494"/>
      <c r="CZ21" s="2494"/>
      <c r="DA21" s="2495"/>
      <c r="DB21" s="2496"/>
      <c r="DC21" s="2489" t="str">
        <f>'F-LSCD-012'!M48</f>
        <v>-</v>
      </c>
      <c r="DD21" s="2494"/>
      <c r="DE21" s="2494"/>
      <c r="DF21" s="2494"/>
      <c r="DG21" s="2494"/>
      <c r="DH21" s="2495"/>
      <c r="DI21" s="2495"/>
      <c r="DJ21" s="2492" t="str">
        <f>'F-LSCD-012'!M49</f>
        <v>-</v>
      </c>
      <c r="DK21" s="2494"/>
      <c r="DL21" s="2494"/>
      <c r="DM21" s="2494"/>
      <c r="DN21" s="2494"/>
      <c r="DO21" s="2495"/>
      <c r="DP21" s="2496"/>
      <c r="DQ21" s="2489" t="str">
        <f>'F-LSCD-012'!M50</f>
        <v>-</v>
      </c>
      <c r="DR21" s="2494"/>
      <c r="DS21" s="2494"/>
      <c r="DT21" s="2494"/>
      <c r="DU21" s="2494"/>
      <c r="DV21" s="2495"/>
      <c r="DW21" s="2495"/>
      <c r="DX21" s="2492" t="str">
        <f>'F-LSCD-012'!M51</f>
        <v>-</v>
      </c>
      <c r="DY21" s="2494"/>
      <c r="DZ21" s="2494"/>
      <c r="EA21" s="2494"/>
      <c r="EB21" s="2494"/>
      <c r="EC21" s="2495"/>
      <c r="ED21" s="2496"/>
      <c r="EE21" s="2489" t="str">
        <f>'F-LSCD-012'!M52</f>
        <v>-</v>
      </c>
      <c r="EF21" s="2494"/>
      <c r="EG21" s="2494"/>
      <c r="EH21" s="2494"/>
      <c r="EI21" s="2494"/>
      <c r="EJ21" s="2495"/>
      <c r="EK21" s="2495"/>
      <c r="EL21" s="2492" t="str">
        <f>'F-LSCD-012'!M53</f>
        <v>-</v>
      </c>
      <c r="EM21" s="2494"/>
      <c r="EN21" s="2494"/>
      <c r="EO21" s="2494"/>
      <c r="EP21" s="2494"/>
      <c r="EQ21" s="2495"/>
      <c r="ER21" s="2496"/>
      <c r="ES21" s="2489" t="str">
        <f>'F-LSCD-012'!M54</f>
        <v>-</v>
      </c>
      <c r="ET21" s="2494"/>
      <c r="EU21" s="2494"/>
      <c r="EV21" s="2494"/>
      <c r="EW21" s="2494"/>
      <c r="EX21" s="2495"/>
      <c r="EY21" s="2495"/>
      <c r="EZ21" s="2492" t="str">
        <f>'F-LSCD-012'!M55</f>
        <v>-</v>
      </c>
      <c r="FA21" s="2494"/>
      <c r="FB21" s="2494"/>
      <c r="FC21" s="2494"/>
      <c r="FD21" s="2494"/>
      <c r="FE21" s="2495"/>
      <c r="FF21" s="2496"/>
      <c r="FG21" s="2489" t="str">
        <f>'F-LSCD-012'!M56</f>
        <v>-</v>
      </c>
      <c r="FH21" s="2494"/>
      <c r="FI21" s="2494"/>
      <c r="FJ21" s="2494"/>
      <c r="FK21" s="2494"/>
      <c r="FL21" s="2495"/>
      <c r="FM21" s="2495"/>
      <c r="FN21" s="2492" t="str">
        <f>'F-LSCD-012'!M57</f>
        <v>-</v>
      </c>
      <c r="FO21" s="2494"/>
      <c r="FP21" s="2494"/>
      <c r="FQ21" s="2494"/>
      <c r="FR21" s="2494"/>
      <c r="FS21" s="2495"/>
      <c r="FT21" s="2496"/>
    </row>
    <row r="22" spans="1:176" x14ac:dyDescent="0.25">
      <c r="A22" s="735"/>
      <c r="B22" s="735"/>
      <c r="E22" s="2574" t="s">
        <v>686</v>
      </c>
      <c r="F22" s="2572"/>
      <c r="G22" s="2572"/>
      <c r="H22" s="2573"/>
      <c r="I22" s="2565">
        <f>COUNT(#REF!)</f>
        <v>0</v>
      </c>
      <c r="J22" s="2490"/>
      <c r="K22" s="2490"/>
      <c r="L22" s="2490"/>
      <c r="M22" s="2490"/>
      <c r="N22" s="2491"/>
      <c r="O22" s="2491"/>
      <c r="P22" s="2498">
        <f>COUNT('F-LSCD-012'!C35:L35)</f>
        <v>0</v>
      </c>
      <c r="Q22" s="2490"/>
      <c r="R22" s="2490"/>
      <c r="S22" s="2490"/>
      <c r="T22" s="2490"/>
      <c r="U22" s="2491"/>
      <c r="V22" s="2493"/>
      <c r="W22" s="2580">
        <f>COUNT(#REF!)</f>
        <v>0</v>
      </c>
      <c r="X22" s="2509"/>
      <c r="Y22" s="2509"/>
      <c r="Z22" s="2509"/>
      <c r="AA22" s="2509"/>
      <c r="AB22" s="2509"/>
      <c r="AC22" s="2509"/>
      <c r="AD22" s="2508">
        <f>COUNT('F-LSCD-012'!C37:L37)</f>
        <v>0</v>
      </c>
      <c r="AE22" s="2509"/>
      <c r="AF22" s="2509"/>
      <c r="AG22" s="2509"/>
      <c r="AH22" s="2509"/>
      <c r="AI22" s="2509"/>
      <c r="AJ22" s="2510"/>
      <c r="AK22" s="2497">
        <f>COUNT(#REF!)</f>
        <v>0</v>
      </c>
      <c r="AL22" s="2490"/>
      <c r="AM22" s="2490"/>
      <c r="AN22" s="2490"/>
      <c r="AO22" s="2490"/>
      <c r="AP22" s="2491"/>
      <c r="AQ22" s="2491"/>
      <c r="AR22" s="2498">
        <f>COUNT('F-LSCD-012'!C39:L39)</f>
        <v>0</v>
      </c>
      <c r="AS22" s="2490"/>
      <c r="AT22" s="2490"/>
      <c r="AU22" s="2490"/>
      <c r="AV22" s="2490"/>
      <c r="AW22" s="2491"/>
      <c r="AX22" s="2493"/>
      <c r="AY22" s="2497">
        <f>COUNT('F-LSCD-012'!C40:L40)</f>
        <v>0</v>
      </c>
      <c r="AZ22" s="2490"/>
      <c r="BA22" s="2490"/>
      <c r="BB22" s="2490"/>
      <c r="BC22" s="2490"/>
      <c r="BD22" s="2491"/>
      <c r="BE22" s="2491"/>
      <c r="BF22" s="2498">
        <f>COUNT('F-LSCD-012'!C41:L41)</f>
        <v>0</v>
      </c>
      <c r="BG22" s="2490"/>
      <c r="BH22" s="2490"/>
      <c r="BI22" s="2490"/>
      <c r="BJ22" s="2490"/>
      <c r="BK22" s="2491"/>
      <c r="BL22" s="2493"/>
      <c r="BM22" s="2497">
        <f>COUNT('F-LSCD-012'!C42:L42)</f>
        <v>0</v>
      </c>
      <c r="BN22" s="2490"/>
      <c r="BO22" s="2490"/>
      <c r="BP22" s="2490"/>
      <c r="BQ22" s="2490"/>
      <c r="BR22" s="2491"/>
      <c r="BS22" s="2491"/>
      <c r="BT22" s="2508">
        <f>COUNT('F-LSCD-012'!C43:L43)</f>
        <v>0</v>
      </c>
      <c r="BU22" s="2509"/>
      <c r="BV22" s="2509"/>
      <c r="BW22" s="2509"/>
      <c r="BX22" s="2509"/>
      <c r="BY22" s="2509"/>
      <c r="BZ22" s="2510"/>
      <c r="CA22" s="2497">
        <f>COUNT('F-LSCD-012'!C44:L44)</f>
        <v>0</v>
      </c>
      <c r="CB22" s="2490"/>
      <c r="CC22" s="2490"/>
      <c r="CD22" s="2490"/>
      <c r="CE22" s="2490"/>
      <c r="CF22" s="2491"/>
      <c r="CG22" s="2491"/>
      <c r="CH22" s="2498">
        <f>COUNT('F-LSCD-012'!C45:L45)</f>
        <v>0</v>
      </c>
      <c r="CI22" s="2490"/>
      <c r="CJ22" s="2490"/>
      <c r="CK22" s="2490"/>
      <c r="CL22" s="2490"/>
      <c r="CM22" s="2491"/>
      <c r="CN22" s="2493"/>
      <c r="CO22" s="2497">
        <f>COUNT('F-LSCD-012'!C46:L46)</f>
        <v>0</v>
      </c>
      <c r="CP22" s="2490"/>
      <c r="CQ22" s="2490"/>
      <c r="CR22" s="2490"/>
      <c r="CS22" s="2490"/>
      <c r="CT22" s="2491"/>
      <c r="CU22" s="2491"/>
      <c r="CV22" s="2498">
        <f>COUNT('F-LSCD-012'!C47:L47)</f>
        <v>0</v>
      </c>
      <c r="CW22" s="2490"/>
      <c r="CX22" s="2490"/>
      <c r="CY22" s="2490"/>
      <c r="CZ22" s="2490"/>
      <c r="DA22" s="2491"/>
      <c r="DB22" s="2493"/>
      <c r="DC22" s="2497">
        <f>COUNT('F-LSCD-012'!C48:L48)</f>
        <v>0</v>
      </c>
      <c r="DD22" s="2490"/>
      <c r="DE22" s="2490"/>
      <c r="DF22" s="2490"/>
      <c r="DG22" s="2490"/>
      <c r="DH22" s="2491"/>
      <c r="DI22" s="2491"/>
      <c r="DJ22" s="2498">
        <f>COUNT('F-LSCD-012'!C49:L49)</f>
        <v>0</v>
      </c>
      <c r="DK22" s="2490"/>
      <c r="DL22" s="2490"/>
      <c r="DM22" s="2490"/>
      <c r="DN22" s="2490"/>
      <c r="DO22" s="2491"/>
      <c r="DP22" s="2493"/>
      <c r="DQ22" s="2497">
        <f>COUNT('F-LSCD-012'!C50:L50)</f>
        <v>0</v>
      </c>
      <c r="DR22" s="2490"/>
      <c r="DS22" s="2490"/>
      <c r="DT22" s="2490"/>
      <c r="DU22" s="2490"/>
      <c r="DV22" s="2491"/>
      <c r="DW22" s="2491"/>
      <c r="DX22" s="2498">
        <f>COUNT('F-LSCD-012'!C51:L51)</f>
        <v>0</v>
      </c>
      <c r="DY22" s="2490"/>
      <c r="DZ22" s="2490"/>
      <c r="EA22" s="2490"/>
      <c r="EB22" s="2490"/>
      <c r="EC22" s="2491"/>
      <c r="ED22" s="2493"/>
      <c r="EE22" s="2497">
        <f>COUNT('F-LSCD-012'!C52:L52)</f>
        <v>0</v>
      </c>
      <c r="EF22" s="2490"/>
      <c r="EG22" s="2490"/>
      <c r="EH22" s="2490"/>
      <c r="EI22" s="2490"/>
      <c r="EJ22" s="2491"/>
      <c r="EK22" s="2491"/>
      <c r="EL22" s="2498">
        <f>COUNT('F-LSCD-012'!C53:L53)</f>
        <v>0</v>
      </c>
      <c r="EM22" s="2490"/>
      <c r="EN22" s="2490"/>
      <c r="EO22" s="2490"/>
      <c r="EP22" s="2490"/>
      <c r="EQ22" s="2491"/>
      <c r="ER22" s="2493"/>
      <c r="ES22" s="2497">
        <f>COUNT('F-LSCD-012'!C54:L54)</f>
        <v>0</v>
      </c>
      <c r="ET22" s="2490"/>
      <c r="EU22" s="2490"/>
      <c r="EV22" s="2490"/>
      <c r="EW22" s="2490"/>
      <c r="EX22" s="2491"/>
      <c r="EY22" s="2491"/>
      <c r="EZ22" s="2498">
        <f>COUNT('F-LSCD-012'!C55:L55)</f>
        <v>0</v>
      </c>
      <c r="FA22" s="2490"/>
      <c r="FB22" s="2490"/>
      <c r="FC22" s="2490"/>
      <c r="FD22" s="2490"/>
      <c r="FE22" s="2491"/>
      <c r="FF22" s="2493"/>
      <c r="FG22" s="2497">
        <f>COUNT('F-LSCD-012'!C56:L56)</f>
        <v>0</v>
      </c>
      <c r="FH22" s="2490"/>
      <c r="FI22" s="2490"/>
      <c r="FJ22" s="2490"/>
      <c r="FK22" s="2490"/>
      <c r="FL22" s="2491"/>
      <c r="FM22" s="2491"/>
      <c r="FN22" s="2498">
        <f>COUNT('F-LSCD-012'!C57:L57)</f>
        <v>0</v>
      </c>
      <c r="FO22" s="2490"/>
      <c r="FP22" s="2490"/>
      <c r="FQ22" s="2490"/>
      <c r="FR22" s="2490"/>
      <c r="FS22" s="2491"/>
      <c r="FT22" s="2493"/>
    </row>
    <row r="23" spans="1:176" ht="15.75" thickBot="1" x14ac:dyDescent="0.3">
      <c r="A23" s="735"/>
      <c r="B23" s="735"/>
      <c r="E23" s="2562" t="s">
        <v>687</v>
      </c>
      <c r="F23" s="2563"/>
      <c r="G23" s="2563"/>
      <c r="H23" s="2564"/>
      <c r="I23" s="2538">
        <f>'F-LSCD-003'!N17</f>
        <v>1.2240005996093581</v>
      </c>
      <c r="J23" s="2519"/>
      <c r="K23" s="2519"/>
      <c r="L23" s="2519"/>
      <c r="M23" s="2519"/>
      <c r="N23" s="2519"/>
      <c r="O23" s="2561"/>
      <c r="P23" s="2502">
        <f>'F-LSCD-003'!N17</f>
        <v>1.2240005996093581</v>
      </c>
      <c r="Q23" s="2500"/>
      <c r="R23" s="2500"/>
      <c r="S23" s="2500"/>
      <c r="T23" s="2500"/>
      <c r="U23" s="2501"/>
      <c r="V23" s="2503"/>
      <c r="W23" s="2538" t="str">
        <f>'F-LSCD-003'!N18</f>
        <v>Tasa de dosis fuera de rango</v>
      </c>
      <c r="X23" s="2519"/>
      <c r="Y23" s="2519"/>
      <c r="Z23" s="2519"/>
      <c r="AA23" s="2519"/>
      <c r="AB23" s="2519"/>
      <c r="AC23" s="2519"/>
      <c r="AD23" s="2518" t="str">
        <f>'F-LSCD-003'!N18</f>
        <v>Tasa de dosis fuera de rango</v>
      </c>
      <c r="AE23" s="2519"/>
      <c r="AF23" s="2519"/>
      <c r="AG23" s="2519"/>
      <c r="AH23" s="2519"/>
      <c r="AI23" s="2519"/>
      <c r="AJ23" s="2520"/>
      <c r="AK23" s="2499" t="str">
        <f>'F-LSCD-003'!N19</f>
        <v>Tasa de dosis fuera de rango</v>
      </c>
      <c r="AL23" s="2500"/>
      <c r="AM23" s="2500"/>
      <c r="AN23" s="2500"/>
      <c r="AO23" s="2500"/>
      <c r="AP23" s="2501"/>
      <c r="AQ23" s="2501"/>
      <c r="AR23" s="2502" t="str">
        <f>'F-LSCD-003'!N19</f>
        <v>Tasa de dosis fuera de rango</v>
      </c>
      <c r="AS23" s="2500"/>
      <c r="AT23" s="2500"/>
      <c r="AU23" s="2500"/>
      <c r="AV23" s="2500"/>
      <c r="AW23" s="2501"/>
      <c r="AX23" s="2503"/>
      <c r="AY23" s="2499" t="str">
        <f>'F-LSCD-003'!N20</f>
        <v>Tasa de dosis fuera de rango</v>
      </c>
      <c r="AZ23" s="2500"/>
      <c r="BA23" s="2500"/>
      <c r="BB23" s="2500"/>
      <c r="BC23" s="2500"/>
      <c r="BD23" s="2501"/>
      <c r="BE23" s="2501"/>
      <c r="BF23" s="2502" t="str">
        <f>'F-LSCD-003'!N20</f>
        <v>Tasa de dosis fuera de rango</v>
      </c>
      <c r="BG23" s="2500"/>
      <c r="BH23" s="2500"/>
      <c r="BI23" s="2500"/>
      <c r="BJ23" s="2500"/>
      <c r="BK23" s="2501"/>
      <c r="BL23" s="2503"/>
      <c r="BM23" s="2499" t="str">
        <f>'F-LSCD-003'!N21</f>
        <v>Tasa de dosis fuera de rango</v>
      </c>
      <c r="BN23" s="2500"/>
      <c r="BO23" s="2500"/>
      <c r="BP23" s="2500"/>
      <c r="BQ23" s="2500"/>
      <c r="BR23" s="2501"/>
      <c r="BS23" s="2501"/>
      <c r="BT23" s="2518" t="str">
        <f>'F-LSCD-003'!N21</f>
        <v>Tasa de dosis fuera de rango</v>
      </c>
      <c r="BU23" s="2519"/>
      <c r="BV23" s="2519"/>
      <c r="BW23" s="2519"/>
      <c r="BX23" s="2519"/>
      <c r="BY23" s="2519"/>
      <c r="BZ23" s="2520"/>
      <c r="CA23" s="2499" t="str">
        <f>'F-LSCD-003'!N22</f>
        <v>Tasa de dosis fuera de rango</v>
      </c>
      <c r="CB23" s="2500"/>
      <c r="CC23" s="2500"/>
      <c r="CD23" s="2500"/>
      <c r="CE23" s="2500"/>
      <c r="CF23" s="2501"/>
      <c r="CG23" s="2501"/>
      <c r="CH23" s="2502" t="str">
        <f>'F-LSCD-003'!N22</f>
        <v>Tasa de dosis fuera de rango</v>
      </c>
      <c r="CI23" s="2500"/>
      <c r="CJ23" s="2500"/>
      <c r="CK23" s="2500"/>
      <c r="CL23" s="2500"/>
      <c r="CM23" s="2501"/>
      <c r="CN23" s="2503"/>
      <c r="CO23" s="2499" t="str">
        <f>'F-LSCD-003'!N23</f>
        <v>Tasa de dosis fuera de rango</v>
      </c>
      <c r="CP23" s="2500"/>
      <c r="CQ23" s="2500"/>
      <c r="CR23" s="2500"/>
      <c r="CS23" s="2500"/>
      <c r="CT23" s="2501"/>
      <c r="CU23" s="2501"/>
      <c r="CV23" s="2502" t="str">
        <f>'F-LSCD-003'!N23</f>
        <v>Tasa de dosis fuera de rango</v>
      </c>
      <c r="CW23" s="2500"/>
      <c r="CX23" s="2500"/>
      <c r="CY23" s="2500"/>
      <c r="CZ23" s="2500"/>
      <c r="DA23" s="2501"/>
      <c r="DB23" s="2503"/>
      <c r="DC23" s="2499" t="str">
        <f>'F-LSCD-003'!N24</f>
        <v>Tasa de dosis fuera de rango</v>
      </c>
      <c r="DD23" s="2500"/>
      <c r="DE23" s="2500"/>
      <c r="DF23" s="2500"/>
      <c r="DG23" s="2500"/>
      <c r="DH23" s="2501"/>
      <c r="DI23" s="2501"/>
      <c r="DJ23" s="2502" t="str">
        <f>'F-LSCD-003'!N24</f>
        <v>Tasa de dosis fuera de rango</v>
      </c>
      <c r="DK23" s="2500"/>
      <c r="DL23" s="2500"/>
      <c r="DM23" s="2500"/>
      <c r="DN23" s="2500"/>
      <c r="DO23" s="2501"/>
      <c r="DP23" s="2503"/>
      <c r="DQ23" s="2499" t="str">
        <f>'F-LSCD-003'!N25</f>
        <v>Tasa de dosis fuera de rango</v>
      </c>
      <c r="DR23" s="2500"/>
      <c r="DS23" s="2500"/>
      <c r="DT23" s="2500"/>
      <c r="DU23" s="2500"/>
      <c r="DV23" s="2501"/>
      <c r="DW23" s="2501"/>
      <c r="DX23" s="2502" t="str">
        <f>'F-LSCD-003'!N25</f>
        <v>Tasa de dosis fuera de rango</v>
      </c>
      <c r="DY23" s="2500"/>
      <c r="DZ23" s="2500"/>
      <c r="EA23" s="2500"/>
      <c r="EB23" s="2500"/>
      <c r="EC23" s="2501"/>
      <c r="ED23" s="2503"/>
      <c r="EE23" s="2499" t="str">
        <f>'F-LSCD-003'!N26</f>
        <v>Tasa de dosis fuera de rango</v>
      </c>
      <c r="EF23" s="2500"/>
      <c r="EG23" s="2500"/>
      <c r="EH23" s="2500"/>
      <c r="EI23" s="2500"/>
      <c r="EJ23" s="2501"/>
      <c r="EK23" s="2501"/>
      <c r="EL23" s="2502" t="str">
        <f>'F-LSCD-003'!N26</f>
        <v>Tasa de dosis fuera de rango</v>
      </c>
      <c r="EM23" s="2500"/>
      <c r="EN23" s="2500"/>
      <c r="EO23" s="2500"/>
      <c r="EP23" s="2500"/>
      <c r="EQ23" s="2501"/>
      <c r="ER23" s="2503"/>
      <c r="ES23" s="2499" t="str">
        <f>'F-LSCD-003'!N27</f>
        <v>Tasa de dosis fuera de rango</v>
      </c>
      <c r="ET23" s="2500"/>
      <c r="EU23" s="2500"/>
      <c r="EV23" s="2500"/>
      <c r="EW23" s="2500"/>
      <c r="EX23" s="2501"/>
      <c r="EY23" s="2501"/>
      <c r="EZ23" s="2502" t="str">
        <f>'F-LSCD-003'!N27</f>
        <v>Tasa de dosis fuera de rango</v>
      </c>
      <c r="FA23" s="2500"/>
      <c r="FB23" s="2500"/>
      <c r="FC23" s="2500"/>
      <c r="FD23" s="2500"/>
      <c r="FE23" s="2501"/>
      <c r="FF23" s="2503"/>
      <c r="FG23" s="2499" t="str">
        <f>'F-LSCD-003'!N28</f>
        <v>Tasa de dosis fuera de rango</v>
      </c>
      <c r="FH23" s="2500"/>
      <c r="FI23" s="2500"/>
      <c r="FJ23" s="2500"/>
      <c r="FK23" s="2500"/>
      <c r="FL23" s="2501"/>
      <c r="FM23" s="2501"/>
      <c r="FN23" s="2502" t="str">
        <f>'F-LSCD-003'!N28</f>
        <v>Tasa de dosis fuera de rango</v>
      </c>
      <c r="FO23" s="2500"/>
      <c r="FP23" s="2500"/>
      <c r="FQ23" s="2500"/>
      <c r="FR23" s="2500"/>
      <c r="FS23" s="2501"/>
      <c r="FT23" s="2503"/>
    </row>
    <row r="24" spans="1:176" ht="45.75" thickBot="1" x14ac:dyDescent="0.3">
      <c r="A24" s="738" t="s">
        <v>708</v>
      </c>
      <c r="B24" s="2477" t="s">
        <v>688</v>
      </c>
      <c r="C24" s="2477"/>
      <c r="D24" s="2477"/>
      <c r="E24" s="2585"/>
      <c r="F24" s="2586"/>
      <c r="G24" s="778" t="s">
        <v>525</v>
      </c>
      <c r="H24" s="802" t="s">
        <v>560</v>
      </c>
      <c r="I24" s="739" t="s">
        <v>526</v>
      </c>
      <c r="J24" s="799" t="s">
        <v>117</v>
      </c>
      <c r="K24" s="800" t="s">
        <v>347</v>
      </c>
      <c r="L24" s="800" t="s">
        <v>546</v>
      </c>
      <c r="M24" s="800" t="s">
        <v>690</v>
      </c>
      <c r="N24" s="740" t="s">
        <v>716</v>
      </c>
      <c r="O24" s="740" t="s">
        <v>689</v>
      </c>
      <c r="P24" s="1174" t="s">
        <v>526</v>
      </c>
      <c r="Q24" s="799" t="s">
        <v>117</v>
      </c>
      <c r="R24" s="800" t="s">
        <v>347</v>
      </c>
      <c r="S24" s="800" t="s">
        <v>546</v>
      </c>
      <c r="T24" s="800" t="s">
        <v>690</v>
      </c>
      <c r="U24" s="740" t="s">
        <v>716</v>
      </c>
      <c r="V24" s="801" t="s">
        <v>689</v>
      </c>
      <c r="W24" s="739" t="s">
        <v>526</v>
      </c>
      <c r="X24" s="799" t="s">
        <v>117</v>
      </c>
      <c r="Y24" s="800" t="s">
        <v>347</v>
      </c>
      <c r="Z24" s="800" t="s">
        <v>546</v>
      </c>
      <c r="AA24" s="800" t="s">
        <v>690</v>
      </c>
      <c r="AB24" s="740" t="s">
        <v>716</v>
      </c>
      <c r="AC24" s="740" t="s">
        <v>689</v>
      </c>
      <c r="AD24" s="1174" t="s">
        <v>526</v>
      </c>
      <c r="AE24" s="799" t="s">
        <v>117</v>
      </c>
      <c r="AF24" s="800" t="s">
        <v>347</v>
      </c>
      <c r="AG24" s="800" t="s">
        <v>546</v>
      </c>
      <c r="AH24" s="800" t="s">
        <v>690</v>
      </c>
      <c r="AI24" s="740" t="s">
        <v>716</v>
      </c>
      <c r="AJ24" s="801" t="s">
        <v>689</v>
      </c>
      <c r="AK24" s="826" t="s">
        <v>526</v>
      </c>
      <c r="AL24" s="827" t="s">
        <v>117</v>
      </c>
      <c r="AM24" s="828" t="s">
        <v>347</v>
      </c>
      <c r="AN24" s="828" t="s">
        <v>546</v>
      </c>
      <c r="AO24" s="828" t="s">
        <v>690</v>
      </c>
      <c r="AP24" s="825" t="s">
        <v>716</v>
      </c>
      <c r="AQ24" s="825" t="s">
        <v>689</v>
      </c>
      <c r="AR24" s="1183" t="s">
        <v>526</v>
      </c>
      <c r="AS24" s="827" t="s">
        <v>117</v>
      </c>
      <c r="AT24" s="828" t="s">
        <v>347</v>
      </c>
      <c r="AU24" s="828" t="s">
        <v>546</v>
      </c>
      <c r="AV24" s="828" t="s">
        <v>690</v>
      </c>
      <c r="AW24" s="825" t="s">
        <v>716</v>
      </c>
      <c r="AX24" s="829" t="s">
        <v>689</v>
      </c>
      <c r="AY24" s="739" t="s">
        <v>526</v>
      </c>
      <c r="AZ24" s="799" t="s">
        <v>117</v>
      </c>
      <c r="BA24" s="800" t="s">
        <v>347</v>
      </c>
      <c r="BB24" s="800" t="s">
        <v>546</v>
      </c>
      <c r="BC24" s="800" t="s">
        <v>690</v>
      </c>
      <c r="BD24" s="740" t="s">
        <v>716</v>
      </c>
      <c r="BE24" s="740" t="s">
        <v>689</v>
      </c>
      <c r="BF24" s="1174" t="s">
        <v>526</v>
      </c>
      <c r="BG24" s="799" t="s">
        <v>117</v>
      </c>
      <c r="BH24" s="800" t="s">
        <v>347</v>
      </c>
      <c r="BI24" s="800" t="s">
        <v>546</v>
      </c>
      <c r="BJ24" s="800" t="s">
        <v>690</v>
      </c>
      <c r="BK24" s="740" t="s">
        <v>716</v>
      </c>
      <c r="BL24" s="801" t="s">
        <v>689</v>
      </c>
      <c r="BM24" s="739" t="s">
        <v>526</v>
      </c>
      <c r="BN24" s="799" t="s">
        <v>117</v>
      </c>
      <c r="BO24" s="800" t="s">
        <v>347</v>
      </c>
      <c r="BP24" s="800" t="s">
        <v>546</v>
      </c>
      <c r="BQ24" s="800" t="s">
        <v>690</v>
      </c>
      <c r="BR24" s="740" t="s">
        <v>716</v>
      </c>
      <c r="BS24" s="740" t="s">
        <v>689</v>
      </c>
      <c r="BT24" s="1174" t="s">
        <v>526</v>
      </c>
      <c r="BU24" s="799" t="s">
        <v>117</v>
      </c>
      <c r="BV24" s="800" t="s">
        <v>347</v>
      </c>
      <c r="BW24" s="800" t="s">
        <v>546</v>
      </c>
      <c r="BX24" s="800" t="s">
        <v>690</v>
      </c>
      <c r="BY24" s="740" t="s">
        <v>716</v>
      </c>
      <c r="BZ24" s="801" t="s">
        <v>689</v>
      </c>
      <c r="CA24" s="739" t="s">
        <v>526</v>
      </c>
      <c r="CB24" s="799" t="s">
        <v>117</v>
      </c>
      <c r="CC24" s="800" t="s">
        <v>347</v>
      </c>
      <c r="CD24" s="800" t="s">
        <v>546</v>
      </c>
      <c r="CE24" s="800" t="s">
        <v>690</v>
      </c>
      <c r="CF24" s="740" t="s">
        <v>716</v>
      </c>
      <c r="CG24" s="740" t="s">
        <v>689</v>
      </c>
      <c r="CH24" s="1174" t="s">
        <v>526</v>
      </c>
      <c r="CI24" s="799" t="s">
        <v>117</v>
      </c>
      <c r="CJ24" s="800" t="s">
        <v>347</v>
      </c>
      <c r="CK24" s="800" t="s">
        <v>546</v>
      </c>
      <c r="CL24" s="800" t="s">
        <v>690</v>
      </c>
      <c r="CM24" s="740" t="s">
        <v>716</v>
      </c>
      <c r="CN24" s="801" t="s">
        <v>689</v>
      </c>
      <c r="CO24" s="739" t="s">
        <v>526</v>
      </c>
      <c r="CP24" s="799" t="s">
        <v>117</v>
      </c>
      <c r="CQ24" s="800" t="s">
        <v>347</v>
      </c>
      <c r="CR24" s="800" t="s">
        <v>546</v>
      </c>
      <c r="CS24" s="800" t="s">
        <v>690</v>
      </c>
      <c r="CT24" s="740" t="s">
        <v>716</v>
      </c>
      <c r="CU24" s="740" t="s">
        <v>689</v>
      </c>
      <c r="CV24" s="1174" t="s">
        <v>526</v>
      </c>
      <c r="CW24" s="799" t="s">
        <v>117</v>
      </c>
      <c r="CX24" s="800" t="s">
        <v>347</v>
      </c>
      <c r="CY24" s="800" t="s">
        <v>546</v>
      </c>
      <c r="CZ24" s="800" t="s">
        <v>690</v>
      </c>
      <c r="DA24" s="740" t="s">
        <v>716</v>
      </c>
      <c r="DB24" s="801" t="s">
        <v>689</v>
      </c>
      <c r="DC24" s="739" t="s">
        <v>526</v>
      </c>
      <c r="DD24" s="799" t="s">
        <v>117</v>
      </c>
      <c r="DE24" s="800" t="s">
        <v>347</v>
      </c>
      <c r="DF24" s="800" t="s">
        <v>546</v>
      </c>
      <c r="DG24" s="800" t="s">
        <v>690</v>
      </c>
      <c r="DH24" s="740" t="s">
        <v>716</v>
      </c>
      <c r="DI24" s="740" t="s">
        <v>689</v>
      </c>
      <c r="DJ24" s="1174" t="s">
        <v>526</v>
      </c>
      <c r="DK24" s="799" t="s">
        <v>117</v>
      </c>
      <c r="DL24" s="800" t="s">
        <v>347</v>
      </c>
      <c r="DM24" s="800" t="s">
        <v>546</v>
      </c>
      <c r="DN24" s="800" t="s">
        <v>690</v>
      </c>
      <c r="DO24" s="740" t="s">
        <v>716</v>
      </c>
      <c r="DP24" s="801" t="s">
        <v>689</v>
      </c>
      <c r="DQ24" s="739" t="s">
        <v>526</v>
      </c>
      <c r="DR24" s="799" t="s">
        <v>117</v>
      </c>
      <c r="DS24" s="800" t="s">
        <v>347</v>
      </c>
      <c r="DT24" s="800" t="s">
        <v>546</v>
      </c>
      <c r="DU24" s="800" t="s">
        <v>690</v>
      </c>
      <c r="DV24" s="740" t="s">
        <v>716</v>
      </c>
      <c r="DW24" s="740" t="s">
        <v>689</v>
      </c>
      <c r="DX24" s="1174" t="s">
        <v>526</v>
      </c>
      <c r="DY24" s="799" t="s">
        <v>117</v>
      </c>
      <c r="DZ24" s="800" t="s">
        <v>347</v>
      </c>
      <c r="EA24" s="800" t="s">
        <v>546</v>
      </c>
      <c r="EB24" s="800" t="s">
        <v>690</v>
      </c>
      <c r="EC24" s="740" t="s">
        <v>716</v>
      </c>
      <c r="ED24" s="801" t="s">
        <v>689</v>
      </c>
      <c r="EE24" s="739" t="s">
        <v>526</v>
      </c>
      <c r="EF24" s="799" t="s">
        <v>117</v>
      </c>
      <c r="EG24" s="800" t="s">
        <v>347</v>
      </c>
      <c r="EH24" s="800" t="s">
        <v>546</v>
      </c>
      <c r="EI24" s="800" t="s">
        <v>690</v>
      </c>
      <c r="EJ24" s="740" t="s">
        <v>716</v>
      </c>
      <c r="EK24" s="740" t="s">
        <v>689</v>
      </c>
      <c r="EL24" s="1174" t="s">
        <v>526</v>
      </c>
      <c r="EM24" s="799" t="s">
        <v>117</v>
      </c>
      <c r="EN24" s="800" t="s">
        <v>347</v>
      </c>
      <c r="EO24" s="800" t="s">
        <v>546</v>
      </c>
      <c r="EP24" s="800" t="s">
        <v>690</v>
      </c>
      <c r="EQ24" s="740" t="s">
        <v>716</v>
      </c>
      <c r="ER24" s="801" t="s">
        <v>689</v>
      </c>
      <c r="ES24" s="739" t="s">
        <v>526</v>
      </c>
      <c r="ET24" s="799" t="s">
        <v>117</v>
      </c>
      <c r="EU24" s="800" t="s">
        <v>347</v>
      </c>
      <c r="EV24" s="800" t="s">
        <v>546</v>
      </c>
      <c r="EW24" s="800" t="s">
        <v>690</v>
      </c>
      <c r="EX24" s="740" t="s">
        <v>716</v>
      </c>
      <c r="EY24" s="740" t="s">
        <v>689</v>
      </c>
      <c r="EZ24" s="1174" t="s">
        <v>526</v>
      </c>
      <c r="FA24" s="799" t="s">
        <v>117</v>
      </c>
      <c r="FB24" s="800" t="s">
        <v>347</v>
      </c>
      <c r="FC24" s="800" t="s">
        <v>546</v>
      </c>
      <c r="FD24" s="800" t="s">
        <v>690</v>
      </c>
      <c r="FE24" s="740" t="s">
        <v>716</v>
      </c>
      <c r="FF24" s="801" t="s">
        <v>689</v>
      </c>
      <c r="FG24" s="739" t="s">
        <v>526</v>
      </c>
      <c r="FH24" s="799" t="s">
        <v>117</v>
      </c>
      <c r="FI24" s="800" t="s">
        <v>347</v>
      </c>
      <c r="FJ24" s="800" t="s">
        <v>546</v>
      </c>
      <c r="FK24" s="800" t="s">
        <v>690</v>
      </c>
      <c r="FL24" s="740" t="s">
        <v>716</v>
      </c>
      <c r="FM24" s="740" t="s">
        <v>689</v>
      </c>
      <c r="FN24" s="1174" t="s">
        <v>526</v>
      </c>
      <c r="FO24" s="799" t="s">
        <v>117</v>
      </c>
      <c r="FP24" s="800" t="s">
        <v>347</v>
      </c>
      <c r="FQ24" s="800" t="s">
        <v>546</v>
      </c>
      <c r="FR24" s="800" t="s">
        <v>690</v>
      </c>
      <c r="FS24" s="740" t="s">
        <v>716</v>
      </c>
      <c r="FT24" s="801" t="s">
        <v>689</v>
      </c>
    </row>
    <row r="25" spans="1:176" ht="18" x14ac:dyDescent="0.25">
      <c r="A25" s="816">
        <v>1</v>
      </c>
      <c r="B25" s="2552" t="s">
        <v>576</v>
      </c>
      <c r="C25" s="2553"/>
      <c r="D25" s="2553"/>
      <c r="E25" s="2553"/>
      <c r="F25" s="2554"/>
      <c r="G25" s="792" t="s">
        <v>682</v>
      </c>
      <c r="H25" s="780" t="s">
        <v>451</v>
      </c>
      <c r="I25" s="820">
        <f>$C$72</f>
        <v>1.7935633855332079E-2</v>
      </c>
      <c r="J25" s="821" t="s">
        <v>93</v>
      </c>
      <c r="K25" s="821" t="s">
        <v>373</v>
      </c>
      <c r="L25" s="822">
        <f>IF(K25="normal (k=1)",1,IF(K25="normal (k=2)",2,IF(K25="normal (k=3)",3,IF(K25="rectangular",SQRT(3),IF(K25="triangular",SQRT(6),IF(K25="Prob. U",SQRT(2),"no definido"))))))</f>
        <v>2</v>
      </c>
      <c r="M25" s="823" t="e">
        <f>CHOOSE(#REF!,I25/L25*I19,I25/L25*I19*1000,I25/L25*I19*1000000,I25/L25*I19*'Datos varios'!$E$119,I25/L25*I19*'Datos varios'!$E$120,I25/L25*I19*'Datos varios'!$E$121,I25/L25*I19*'Datos varios'!$E$122,I25/L25*I19*'Datos varios'!$E$123,"-")</f>
        <v>#REF!</v>
      </c>
      <c r="N25" s="832" t="e">
        <f>M25^2/$M$34^2</f>
        <v>#REF!</v>
      </c>
      <c r="O25" s="1171" t="s">
        <v>325</v>
      </c>
      <c r="P25" s="1175">
        <f>$C$72</f>
        <v>1.7935633855332079E-2</v>
      </c>
      <c r="Q25" s="821" t="s">
        <v>93</v>
      </c>
      <c r="R25" s="821" t="s">
        <v>373</v>
      </c>
      <c r="S25" s="822">
        <f>IF(R25="normal (k=1)",1,IF(R25="normal (k=2)",2,IF(R25="normal (k=3)",3,IF(R25="rectangular",SQRT(3),IF(R25="triangular",SQRT(6),IF(R25="Prob. U",SQRT(2),"no definido"))))))</f>
        <v>2</v>
      </c>
      <c r="T25" s="823" t="str">
        <f>CHOOSE('F-LSCD-012'!V35,P25/S25*P19,P25/S25*P19*1000,P25/S25*P19*1000000,P25/S25*P19*'Datos varios'!$E$119,P25/S25*P19*'Datos varios'!$E$120,P25/S25*P19*'Datos varios'!$E$121,P25/S25*P19*'Datos varios'!$E$122,P25/S25*P19*'Datos varios'!$E$123,"-")</f>
        <v>-</v>
      </c>
      <c r="U25" s="832" t="e">
        <f>T25^2/$T$34^2</f>
        <v>#VALUE!</v>
      </c>
      <c r="V25" s="824" t="s">
        <v>325</v>
      </c>
      <c r="W25" s="820">
        <f>$C$72</f>
        <v>1.7935633855332079E-2</v>
      </c>
      <c r="X25" s="821" t="s">
        <v>93</v>
      </c>
      <c r="Y25" s="821" t="s">
        <v>373</v>
      </c>
      <c r="Z25" s="822">
        <f>IF(Y25="normal (k=1)",1,IF(Y25="normal (k=2)",2,IF(Y25="normal (k=3)",3,IF(Y25="rectangular",SQRT(3),IF(Y25="triangular",SQRT(6),IF(Y25="Prob. U",SQRT(2),"no definido"))))))</f>
        <v>2</v>
      </c>
      <c r="AA25" s="823" t="e">
        <f>CHOOSE(#REF!,W25/Z25*W19,W25/Z25*W19*1000,W25/Z25*W19*1000000,W25/Z25*W19*'Datos varios'!$E$119,W25/Z25*W19*'Datos varios'!$E$120,W25/Z25*W19*'Datos varios'!$E$121,W25/Z25*W19*'Datos varios'!$E$122,W25/Z25*W19*'Datos varios'!$E$123,"-")</f>
        <v>#REF!</v>
      </c>
      <c r="AB25" s="836" t="e">
        <f>AA25^2/$AA$34^2</f>
        <v>#REF!</v>
      </c>
      <c r="AC25" s="1171" t="s">
        <v>325</v>
      </c>
      <c r="AD25" s="1175">
        <f>$C$72</f>
        <v>1.7935633855332079E-2</v>
      </c>
      <c r="AE25" s="821" t="s">
        <v>93</v>
      </c>
      <c r="AF25" s="821" t="s">
        <v>373</v>
      </c>
      <c r="AG25" s="822">
        <f>IF(AF25="normal (k=1)",1,IF(AF25="normal (k=2)",2,IF(AF25="normal (k=3)",3,IF(AF25="rectangular",SQRT(3),IF(AF25="triangular",SQRT(6),IF(AF25="Prob. U",SQRT(2),"no definido"))))))</f>
        <v>2</v>
      </c>
      <c r="AH25" s="823" t="str">
        <f>CHOOSE('F-LSCD-012'!V37,AD25/AG25*AD19,AD25/AG25*AD19*1000,AD25/AG25*AD19*1000000,AD25/AG25*AD19*'Datos varios'!$E$119,AD25/AG25*AD19*'Datos varios'!$E$120,AD25/AG25*AD19*'Datos varios'!$E$121,AD25/AG25*AD19*'Datos varios'!$E$122,AD25/AG25*AD19*'Datos varios'!$E$123,"-")</f>
        <v>-</v>
      </c>
      <c r="AI25" s="836" t="e">
        <f>AH25^2/$AH$34^2</f>
        <v>#VALUE!</v>
      </c>
      <c r="AJ25" s="824" t="s">
        <v>325</v>
      </c>
      <c r="AK25" s="820">
        <f>$C$72</f>
        <v>1.7935633855332079E-2</v>
      </c>
      <c r="AL25" s="821" t="s">
        <v>93</v>
      </c>
      <c r="AM25" s="821" t="s">
        <v>373</v>
      </c>
      <c r="AN25" s="822">
        <f>IF(AM25="normal (k=1)",1,IF(AM25="normal (k=2)",2,IF(AM25="normal (k=3)",3,IF(AM25="rectangular",SQRT(3),IF(AM25="triangular",SQRT(6),IF(AM25="Prob. U",SQRT(2),"no definido"))))))</f>
        <v>2</v>
      </c>
      <c r="AO25" s="823" t="e">
        <f>CHOOSE(#REF!,AK25/AN25*AK19,AK25/AN25*AK19*1000,AK25/AN25*AK19*1000000,AK25/AN25*AK19*'Datos varios'!$E$119,AK25/AN25*AK19*'Datos varios'!$E$120,AK25/AN25*AK19*'Datos varios'!$E$121,AK25/AN25*AK19*'Datos varios'!$E$122,AK25/AN25*AK19*'Datos varios'!$E$123,"-")</f>
        <v>#REF!</v>
      </c>
      <c r="AP25" s="838" t="e">
        <f>AO25^2/$AO$34^2</f>
        <v>#REF!</v>
      </c>
      <c r="AQ25" s="1171" t="s">
        <v>325</v>
      </c>
      <c r="AR25" s="1175">
        <f>$C$72</f>
        <v>1.7935633855332079E-2</v>
      </c>
      <c r="AS25" s="821" t="s">
        <v>93</v>
      </c>
      <c r="AT25" s="821" t="s">
        <v>373</v>
      </c>
      <c r="AU25" s="822">
        <f>IF(AT25="normal (k=1)",1,IF(AT25="normal (k=2)",2,IF(AT25="normal (k=3)",3,IF(AT25="rectangular",SQRT(3),IF(AT25="triangular",SQRT(6),IF(AT25="Prob. U",SQRT(2),"no definido"))))))</f>
        <v>2</v>
      </c>
      <c r="AV25" s="823" t="str">
        <f>CHOOSE('F-LSCD-012'!V39,AR25/AU25*AR19,AR25/AU25*AR19*1000,AR25/AU25*AR19*1000000,AR25/AU25*AR19*'Datos varios'!$E$119,AR25/AU25*AR19*'Datos varios'!$E$120,AR25/AU25*AR19*'Datos varios'!$E$121,AR25/AU25*AR19*'Datos varios'!$E$122,AR25/AU25*AR19*'Datos varios'!$E$123,"-")</f>
        <v>-</v>
      </c>
      <c r="AW25" s="838" t="e">
        <f>AV25^2/$AV$34^2</f>
        <v>#VALUE!</v>
      </c>
      <c r="AX25" s="824" t="s">
        <v>325</v>
      </c>
      <c r="AY25" s="820">
        <f>$C$72</f>
        <v>1.7935633855332079E-2</v>
      </c>
      <c r="AZ25" s="821" t="s">
        <v>93</v>
      </c>
      <c r="BA25" s="821" t="s">
        <v>373</v>
      </c>
      <c r="BB25" s="822">
        <f>IF(BA25="normal (k=1)",1,IF(BA25="normal (k=2)",2,IF(BA25="normal (k=3)",3,IF(BA25="rectangular",SQRT(3),IF(BA25="triangular",SQRT(6),IF(BA25="Prob. U",SQRT(2),"no definido"))))))</f>
        <v>2</v>
      </c>
      <c r="BC25" s="823" t="str">
        <f>CHOOSE('F-LSCD-012'!V40,AY25/BB25*AY19,AY25/BB25*AY19*1000,AY25/BB25*AY19*1000000,AY25/BB25*AY19*'Datos varios'!$E$119,AY25/BB25*AY19*'Datos varios'!$E$120,AY25/BB25*AY19*'Datos varios'!$E$121,AY25/BB25*AY19*'Datos varios'!$E$122,AY25/BB25*AY19*'Datos varios'!$E$123,"-")</f>
        <v>-</v>
      </c>
      <c r="BD25" s="838" t="e">
        <f>BC25^2/$BC$34^2</f>
        <v>#VALUE!</v>
      </c>
      <c r="BE25" s="1167" t="s">
        <v>325</v>
      </c>
      <c r="BF25" s="1175">
        <f>$C$72</f>
        <v>1.7935633855332079E-2</v>
      </c>
      <c r="BG25" s="821" t="s">
        <v>93</v>
      </c>
      <c r="BH25" s="821" t="s">
        <v>373</v>
      </c>
      <c r="BI25" s="822">
        <f>IF(BH25="normal (k=1)",1,IF(BH25="normal (k=2)",2,IF(BH25="normal (k=3)",3,IF(BH25="rectangular",SQRT(3),IF(BH25="triangular",SQRT(6),IF(BH25="Prob. U",SQRT(2),"no definido"))))))</f>
        <v>2</v>
      </c>
      <c r="BJ25" s="823" t="str">
        <f>CHOOSE('F-LSCD-012'!V41,BF25/BI25*BF19,BF25/BI25*BF19*1000,BF25/BI25*BF19*1000000,BF25/BI25*BF19*'Datos varios'!$E$119,BF25/BI25*BF19*'Datos varios'!$E$120,BF25/BI25*BF19*'Datos varios'!$E$121,BF25/BI25*BF19*'Datos varios'!$E$122,BF25/BI25*BF19*'Datos varios'!$E$123,"-")</f>
        <v>-</v>
      </c>
      <c r="BK25" s="838" t="e">
        <f>BJ25^2/$BJ$34^2</f>
        <v>#VALUE!</v>
      </c>
      <c r="BL25" s="842" t="s">
        <v>325</v>
      </c>
      <c r="BM25" s="820">
        <f>$C$72</f>
        <v>1.7935633855332079E-2</v>
      </c>
      <c r="BN25" s="821" t="s">
        <v>93</v>
      </c>
      <c r="BO25" s="821" t="s">
        <v>373</v>
      </c>
      <c r="BP25" s="822">
        <f>IF(BO25="normal (k=1)",1,IF(BO25="normal (k=2)",2,IF(BO25="normal (k=3)",3,IF(BO25="rectangular",SQRT(3),IF(BO25="triangular",SQRT(6),IF(BO25="Prob. U",SQRT(2),"no definido"))))))</f>
        <v>2</v>
      </c>
      <c r="BQ25" s="823" t="str">
        <f>CHOOSE('F-LSCD-012'!V42,BM25/BP25*BM19,BM25/BP25*BM19*1000,BM25/BP25*BM19*1000000,BM25/BP25*BM19*'Datos varios'!$E$119,BM25/BP25*BM19*'Datos varios'!$E$120,BM25/BP25*BM19*'Datos varios'!$E$121,BM25/BP25*BM19*'Datos varios'!$E$122,BM25/BP25*BM19*'Datos varios'!$E$123,"-")</f>
        <v>-</v>
      </c>
      <c r="BR25" s="838" t="e">
        <f>BQ25^2/$BQ$34^2</f>
        <v>#VALUE!</v>
      </c>
      <c r="BS25" s="1171" t="s">
        <v>325</v>
      </c>
      <c r="BT25" s="1175">
        <f>$C$72</f>
        <v>1.7935633855332079E-2</v>
      </c>
      <c r="BU25" s="821" t="s">
        <v>93</v>
      </c>
      <c r="BV25" s="821" t="s">
        <v>373</v>
      </c>
      <c r="BW25" s="822">
        <f>IF(BV25="normal (k=1)",1,IF(BV25="normal (k=2)",2,IF(BV25="normal (k=3)",3,IF(BV25="rectangular",SQRT(3),IF(BV25="triangular",SQRT(6),IF(BV25="Prob. U",SQRT(2),"no definido"))))))</f>
        <v>2</v>
      </c>
      <c r="BX25" s="823" t="str">
        <f>CHOOSE('F-LSCD-012'!V43,BT25/BW25*BT19,BT25/BW25*BT19*1000,BT25/BW25*BT19*1000000,BT25/BW25*BT19*'Datos varios'!$E$119,BT25/BW25*BT19*'Datos varios'!$E$120,BT25/BW25*BT19*'Datos varios'!$E$121,BT25/BW25*BT19*'Datos varios'!$E$122,BT25/BW25*BT19*'Datos varios'!$E$123,"-")</f>
        <v>-</v>
      </c>
      <c r="BY25" s="838" t="e">
        <f>BX25^2/$BX$34^2</f>
        <v>#VALUE!</v>
      </c>
      <c r="BZ25" s="824" t="s">
        <v>325</v>
      </c>
      <c r="CA25" s="820">
        <f>$C$72</f>
        <v>1.7935633855332079E-2</v>
      </c>
      <c r="CB25" s="821" t="s">
        <v>93</v>
      </c>
      <c r="CC25" s="821" t="s">
        <v>373</v>
      </c>
      <c r="CD25" s="822">
        <f>IF(CC25="normal (k=1)",1,IF(CC25="normal (k=2)",2,IF(CC25="normal (k=3)",3,IF(CC25="rectangular",SQRT(3),IF(CC25="triangular",SQRT(6),IF(CC25="Prob. U",SQRT(2),"no definido"))))))</f>
        <v>2</v>
      </c>
      <c r="CE25" s="823" t="str">
        <f>CHOOSE('F-LSCD-012'!V44,CA25/CD25*CA19,CA25/CD25*CA19*1000,CA25/CD25*CA19*1000000,CA25/CD25*CA19*'Datos varios'!$E$119,CA25/CD25*CA19*'Datos varios'!$E$120,CA25/CD25*CA19*'Datos varios'!$E$121,CA25/CD25*CA19*'Datos varios'!$E$122,CA25/CD25*CA19*'Datos varios'!$E$123,"-")</f>
        <v>-</v>
      </c>
      <c r="CF25" s="844" t="e">
        <f t="shared" ref="CF25:CF32" si="0">CE25^2/$CE$34^2</f>
        <v>#VALUE!</v>
      </c>
      <c r="CG25" s="1171" t="s">
        <v>325</v>
      </c>
      <c r="CH25" s="1175">
        <f>$C$72</f>
        <v>1.7935633855332079E-2</v>
      </c>
      <c r="CI25" s="821" t="s">
        <v>93</v>
      </c>
      <c r="CJ25" s="821" t="s">
        <v>373</v>
      </c>
      <c r="CK25" s="822">
        <f>IF(CJ25="normal (k=1)",1,IF(CJ25="normal (k=2)",2,IF(CJ25="normal (k=3)",3,IF(CJ25="rectangular",SQRT(3),IF(CJ25="triangular",SQRT(6),IF(CJ25="Prob. U",SQRT(2),"no definido"))))))</f>
        <v>2</v>
      </c>
      <c r="CL25" s="823" t="str">
        <f>CHOOSE('F-LSCD-012'!V45,CH25/CK25*CH19,CH25/CK25*CH19*1000,CH25/CK25*CH19*1000000,CH25/CK25*CH19*'Datos varios'!$E$119,CH25/CK25*CH19*'Datos varios'!$E$120,CH25/CK25*CH19*'Datos varios'!$E$121,CH25/CK25*CH19*'Datos varios'!$E$122,CH25/CK25*CH19*'Datos varios'!$E$123,"-")</f>
        <v>-</v>
      </c>
      <c r="CM25" s="844" t="e">
        <f>CL25^2/$CL$34^2</f>
        <v>#VALUE!</v>
      </c>
      <c r="CN25" s="824" t="s">
        <v>325</v>
      </c>
      <c r="CO25" s="820">
        <f>$C$72</f>
        <v>1.7935633855332079E-2</v>
      </c>
      <c r="CP25" s="821" t="s">
        <v>373</v>
      </c>
      <c r="CQ25" s="821" t="s">
        <v>373</v>
      </c>
      <c r="CR25" s="822">
        <f t="shared" ref="CR25:CR33" si="1">IF(CQ25="normal (k=1)",1,IF(CQ25="normal (k=2)",2,IF(CQ25="normal (k=3)",3,IF(CQ25="rectangular",SQRT(3),IF(CQ25="triangular",SQRT(6),IF(CQ25="Prob. U",SQRT(2),"no definido"))))))</f>
        <v>2</v>
      </c>
      <c r="CS25" s="823" t="str">
        <f>CHOOSE('F-LSCD-012'!V46,CO25/CR25*CO19,CO25/CR25*CO19*1000,CO25/CR25*CO19*1000000,CO25/CR25*CO19*'Datos varios'!$E$119,CO25/CR25*CO19*'Datos varios'!$E$120,CO25/CR25*CO19*'Datos varios'!$E$121,CO25/CR25*CO19*'Datos varios'!$E$122,CO25/CR25*CO19*'Datos varios'!$E$123,"-")</f>
        <v>-</v>
      </c>
      <c r="CT25" s="844" t="e">
        <f t="shared" ref="CT25:CT33" si="2">CS25^2/$CS$34^2</f>
        <v>#VALUE!</v>
      </c>
      <c r="CU25" s="1171" t="s">
        <v>325</v>
      </c>
      <c r="CV25" s="1175">
        <f>$C$72</f>
        <v>1.7935633855332079E-2</v>
      </c>
      <c r="CW25" s="821" t="s">
        <v>373</v>
      </c>
      <c r="CX25" s="821" t="s">
        <v>373</v>
      </c>
      <c r="CY25" s="822">
        <f>IF(CX25="normal (k=1)",1,IF(CX25="normal (k=2)",2,IF(CX25="normal (k=3)",3,IF(CX25="rectangular",SQRT(3),IF(CX25="triangular",SQRT(6),IF(CX25="Prob. U",SQRT(2),"no definido"))))))</f>
        <v>2</v>
      </c>
      <c r="CZ25" s="823" t="str">
        <f>CHOOSE('F-LSCD-012'!V47,CV25/CY25*CV19,CV25/CY25*CV19*1000,CV25/CY25*CV19*1000000,CV25/CY25*CV19*'Datos varios'!$E$119,CV25/CY25*CV19*'Datos varios'!$E$120,CV25/CY25*CV19*'Datos varios'!$E$121,CV25/CY25*CV19*'Datos varios'!$E$122,CV25/CY25*CV19*'Datos varios'!$E$123,"-")</f>
        <v>-</v>
      </c>
      <c r="DA25" s="844" t="e">
        <f>CZ25^2/$CZ$34^2</f>
        <v>#VALUE!</v>
      </c>
      <c r="DB25" s="824" t="s">
        <v>325</v>
      </c>
      <c r="DC25" s="820">
        <f>$C$72</f>
        <v>1.7935633855332079E-2</v>
      </c>
      <c r="DD25" s="821" t="s">
        <v>93</v>
      </c>
      <c r="DE25" s="821" t="s">
        <v>373</v>
      </c>
      <c r="DF25" s="822">
        <f>IF(DE25="normal (k=1)",1,IF(DE25="normal (k=2)",2,IF(DE25="normal (k=3)",3,IF(DE25="rectangular",SQRT(3),IF(DE25="triangular",SQRT(6),IF(DE25="Prob. U",SQRT(2),"no definido"))))))</f>
        <v>2</v>
      </c>
      <c r="DG25" s="823" t="str">
        <f>CHOOSE('F-LSCD-012'!V48,DC25/DF25*DC19,DC25/DF25*DC19*1000,DC25/DF25*DC19*1000000,DC25/DF25*DC19*'Datos varios'!$E$119,DC25/DF25*DC19*'Datos varios'!$E$120,DC25/DF25*DC19*'Datos varios'!$E$121,DC25/DF25*DC19*'Datos varios'!$E$122,DC25/DF25*DC19*'Datos varios'!$E$123,"-")</f>
        <v>-</v>
      </c>
      <c r="DH25" s="838" t="e">
        <f>DG25^2/$DG$34^2</f>
        <v>#VALUE!</v>
      </c>
      <c r="DI25" s="1171" t="s">
        <v>325</v>
      </c>
      <c r="DJ25" s="1175">
        <f>$C$72</f>
        <v>1.7935633855332079E-2</v>
      </c>
      <c r="DK25" s="821" t="s">
        <v>93</v>
      </c>
      <c r="DL25" s="821" t="s">
        <v>373</v>
      </c>
      <c r="DM25" s="822">
        <f>IF(DL25="normal (k=1)",1,IF(DL25="normal (k=2)",2,IF(DL25="normal (k=3)",3,IF(DL25="rectangular",SQRT(3),IF(DL25="triangular",SQRT(6),IF(DL25="Prob. U",SQRT(2),"no definido"))))))</f>
        <v>2</v>
      </c>
      <c r="DN25" s="823" t="str">
        <f>CHOOSE('F-LSCD-012'!V49,DJ25/DM25*DJ19,DJ25/DM25*DJ19*1000,DJ25/DM25*DJ19*1000000,DJ25/DM25*DJ19*'Datos varios'!$E$119,DJ25/DM25*DJ19*'Datos varios'!$E$120,DJ25/DM25*DJ19*'Datos varios'!$E$121,DJ25/DM25*DJ19*'Datos varios'!$E$122,DJ25/DM25*DJ19*'Datos varios'!$E$123,"-")</f>
        <v>-</v>
      </c>
      <c r="DO25" s="838" t="e">
        <f>DN25^2/$DN$34^2</f>
        <v>#VALUE!</v>
      </c>
      <c r="DP25" s="824" t="s">
        <v>325</v>
      </c>
      <c r="DQ25" s="820">
        <f>$C$72</f>
        <v>1.7935633855332079E-2</v>
      </c>
      <c r="DR25" s="821" t="s">
        <v>93</v>
      </c>
      <c r="DS25" s="821" t="s">
        <v>373</v>
      </c>
      <c r="DT25" s="822">
        <f>IF(DS25="normal (k=1)",1,IF(DS25="normal (k=2)",2,IF(DS25="normal (k=3)",3,IF(DS25="rectangular",SQRT(3),IF(DS25="triangular",SQRT(6),IF(DS25="Prob. U",SQRT(2),"no definido"))))))</f>
        <v>2</v>
      </c>
      <c r="DU25" s="823" t="str">
        <f>CHOOSE('F-LSCD-012'!V50,DQ25/DT25*DQ19,DQ25/DT25*DQ19*1000,DQ25/DT25*DQ19*1000000,DQ25/DT25*DQ19*'Datos varios'!$E$119,DQ25/DT25*DQ19*'Datos varios'!$E$120,DQ25/DT25*DQ19*'Datos varios'!$E$121,DQ25/DT25*DQ19*'Datos varios'!$E$122,DQ25/DT25*DQ19*'Datos varios'!$E$123,"-")</f>
        <v>-</v>
      </c>
      <c r="DV25" s="838" t="e">
        <f t="shared" ref="DV25:DV32" si="3">DU25^2/$DU$34^2</f>
        <v>#VALUE!</v>
      </c>
      <c r="DW25" s="1171" t="s">
        <v>325</v>
      </c>
      <c r="DX25" s="1175">
        <f>$C$72</f>
        <v>1.7935633855332079E-2</v>
      </c>
      <c r="DY25" s="821" t="s">
        <v>93</v>
      </c>
      <c r="DZ25" s="821" t="s">
        <v>373</v>
      </c>
      <c r="EA25" s="822">
        <f>IF(DZ25="normal (k=1)",1,IF(DZ25="normal (k=2)",2,IF(DZ25="normal (k=3)",3,IF(DZ25="rectangular",SQRT(3),IF(DZ25="triangular",SQRT(6),IF(DZ25="Prob. U",SQRT(2),"no definido"))))))</f>
        <v>2</v>
      </c>
      <c r="EB25" s="823" t="str">
        <f>CHOOSE('F-LSCD-012'!V51,DX25/EA25*DX19,DX25/EA25*DX19*1000,DX25/EA25*DX19*1000000,DX25/EA25*DX19*'Datos varios'!$E$119,DX25/EA25*DX19*'Datos varios'!$E$120,DX25/EA25*DX19*'Datos varios'!$E$121,DX25/EA25*DX19*'Datos varios'!$E$122,DX25/EA25*DX19*'Datos varios'!$E$123,"-")</f>
        <v>-</v>
      </c>
      <c r="EC25" s="838" t="e">
        <f>EB25^2/$EB$34^2</f>
        <v>#VALUE!</v>
      </c>
      <c r="ED25" s="824" t="s">
        <v>325</v>
      </c>
      <c r="EE25" s="820">
        <f>$C$72</f>
        <v>1.7935633855332079E-2</v>
      </c>
      <c r="EF25" s="821" t="s">
        <v>93</v>
      </c>
      <c r="EG25" s="821" t="s">
        <v>373</v>
      </c>
      <c r="EH25" s="822">
        <f>IF(EG25="normal (k=1)",1,IF(EG25="normal (k=2)",2,IF(EG25="normal (k=3)",3,IF(EG25="rectangular",SQRT(3),IF(EG25="triangular",SQRT(6),IF(EG25="Prob. U",SQRT(2),"no definido"))))))</f>
        <v>2</v>
      </c>
      <c r="EI25" s="823" t="str">
        <f>CHOOSE('F-LSCD-012'!V52,EE25/EH25*EE19,EE25/EH25*EE19*1000,EE25/EH25*EE19*1000000,EE25/EH25*EE19*'Datos varios'!$E$119,EE25/EH25*EE19*'Datos varios'!$E$120,EE25/EH25*EE19*'Datos varios'!$E$121,EE25/EH25*EE19*'Datos varios'!$E$122,EE25/EH25*EE19*'Datos varios'!$E$123,"-")</f>
        <v>-</v>
      </c>
      <c r="EJ25" s="838" t="e">
        <f>EI25^2/$EI$34^2</f>
        <v>#VALUE!</v>
      </c>
      <c r="EK25" s="1171" t="s">
        <v>325</v>
      </c>
      <c r="EL25" s="1175">
        <f>$C$72</f>
        <v>1.7935633855332079E-2</v>
      </c>
      <c r="EM25" s="821" t="s">
        <v>93</v>
      </c>
      <c r="EN25" s="821" t="s">
        <v>373</v>
      </c>
      <c r="EO25" s="822">
        <f>IF(EN25="normal (k=1)",1,IF(EN25="normal (k=2)",2,IF(EN25="normal (k=3)",3,IF(EN25="rectangular",SQRT(3),IF(EN25="triangular",SQRT(6),IF(EN25="Prob. U",SQRT(2),"no definido"))))))</f>
        <v>2</v>
      </c>
      <c r="EP25" s="823" t="str">
        <f>CHOOSE('F-LSCD-012'!V53,EL25/EO25*EL19,EL25/EO25*EL19*1000,EL25/EO25*EL19*1000000,EL25/EO25*EL19*'Datos varios'!$E$119,EL25/EO25*EL19*'Datos varios'!$E$120,EL25/EO25*EL19*'Datos varios'!$E$121,EL25/EO25*EL19*'Datos varios'!$E$122,EL25/EO25*EL19*'Datos varios'!$E$123,"-")</f>
        <v>-</v>
      </c>
      <c r="EQ25" s="838" t="e">
        <f>EP25^2/$EP$34^2</f>
        <v>#VALUE!</v>
      </c>
      <c r="ER25" s="824" t="s">
        <v>325</v>
      </c>
      <c r="ES25" s="820">
        <f>$C$72</f>
        <v>1.7935633855332079E-2</v>
      </c>
      <c r="ET25" s="821" t="s">
        <v>93</v>
      </c>
      <c r="EU25" s="821" t="s">
        <v>373</v>
      </c>
      <c r="EV25" s="822">
        <f>IF(EU25="normal (k=1)",1,IF(EU25="normal (k=2)",2,IF(EU25="normal (k=3)",3,IF(EU25="rectangular",SQRT(3),IF(EU25="triangular",SQRT(6),IF(EU25="Prob. U",SQRT(2),"no definido"))))))</f>
        <v>2</v>
      </c>
      <c r="EW25" s="823" t="str">
        <f>CHOOSE('F-LSCD-012'!V54,ES25/EV25*ES19,ES25/EV25*ES19*1000,ES25/EV25*ES19*1000000,ES25/EV25*ES19*'Datos varios'!$E$119,ES25/EV25*ES19*'Datos varios'!$E$120,ES25/EV25*ES19*'Datos varios'!$E$121,ES25/EV25*ES19*'Datos varios'!$E$122,ES25/EV25*ES19*'Datos varios'!$E$123,"-")</f>
        <v>-</v>
      </c>
      <c r="EX25" s="838" t="e">
        <f>EW25^2/$EW$34^2</f>
        <v>#VALUE!</v>
      </c>
      <c r="EY25" s="1171" t="s">
        <v>325</v>
      </c>
      <c r="EZ25" s="1175">
        <f>$C$72</f>
        <v>1.7935633855332079E-2</v>
      </c>
      <c r="FA25" s="821" t="s">
        <v>93</v>
      </c>
      <c r="FB25" s="821" t="s">
        <v>373</v>
      </c>
      <c r="FC25" s="822">
        <f>IF(FB25="normal (k=1)",1,IF(FB25="normal (k=2)",2,IF(FB25="normal (k=3)",3,IF(FB25="rectangular",SQRT(3),IF(FB25="triangular",SQRT(6),IF(FB25="Prob. U",SQRT(2),"no definido"))))))</f>
        <v>2</v>
      </c>
      <c r="FD25" s="823" t="str">
        <f>CHOOSE('F-LSCD-012'!V55,EZ25/FC25*EZ19,EZ25/FC25*EZ19*1000,EZ25/FC25*EZ19*1000000,EZ25/FC25*EZ19*'Datos varios'!$E$119,EZ25/FC25*EZ19*'Datos varios'!$E$120,EZ25/FC25*EZ19*'Datos varios'!$E$121,EZ25/FC25*EZ19*'Datos varios'!$E$122,EZ25/FC25*EZ19*'Datos varios'!$E$123,"-")</f>
        <v>-</v>
      </c>
      <c r="FE25" s="838" t="e">
        <f>FD25^2/$FD$34^2</f>
        <v>#VALUE!</v>
      </c>
      <c r="FF25" s="824" t="s">
        <v>325</v>
      </c>
      <c r="FG25" s="820">
        <f>$C$72</f>
        <v>1.7935633855332079E-2</v>
      </c>
      <c r="FH25" s="821" t="s">
        <v>93</v>
      </c>
      <c r="FI25" s="821" t="s">
        <v>373</v>
      </c>
      <c r="FJ25" s="822">
        <f>IF(FI25="normal (k=1)",1,IF(FI25="normal (k=2)",2,IF(FI25="normal (k=3)",3,IF(FI25="rectangular",SQRT(3),IF(FI25="triangular",SQRT(6),IF(FI25="Prob. U",SQRT(2),"no definido"))))))</f>
        <v>2</v>
      </c>
      <c r="FK25" s="823" t="str">
        <f>CHOOSE('F-LSCD-012'!V56,FG25/FJ25*FG19,FG25/FJ25*FG19*1000,FG25/FJ25*FG19*1000000,FG25/FJ25*FG19*'Datos varios'!$E$119,FG25/FJ25*FG19*'Datos varios'!$E$120,FG25/FJ25*FG19*'Datos varios'!$E$121,FG25/FJ25*FG19*'Datos varios'!$E$122,FG25/FJ25*FG19*'Datos varios'!$E$123,"-")</f>
        <v>-</v>
      </c>
      <c r="FL25" s="838" t="e">
        <f>FK25^2/$FK$34^2</f>
        <v>#VALUE!</v>
      </c>
      <c r="FM25" s="1171" t="s">
        <v>325</v>
      </c>
      <c r="FN25" s="1175">
        <f>$C$72</f>
        <v>1.7935633855332079E-2</v>
      </c>
      <c r="FO25" s="821" t="s">
        <v>93</v>
      </c>
      <c r="FP25" s="821" t="s">
        <v>373</v>
      </c>
      <c r="FQ25" s="822">
        <f t="shared" ref="FQ25:FQ33" si="4">IF(FP25="normal (k=1)",1,IF(FP25="normal (k=2)",2,IF(FP25="normal (k=3)",3,IF(FP25="rectangular",SQRT(3),IF(FP25="triangular",SQRT(6),IF(FP25="Prob. U",SQRT(2),"no definido"))))))</f>
        <v>2</v>
      </c>
      <c r="FR25" s="823" t="str">
        <f>CHOOSE('F-LSCD-012'!V57,FN25/FQ25*FN19,FN25/FQ25*FN19*1000,FN25/FQ25*FN19*1000000,FN25/FQ25*FN19*'Datos varios'!$E$119,FN25/FQ25*FN19*'Datos varios'!$E$120,FN25/FQ25*FN19*'Datos varios'!$E$121,FN25/FQ25*FN19*'Datos varios'!$E$122,FN25/FQ25*FN19*'Datos varios'!$E$123,"-")</f>
        <v>-</v>
      </c>
      <c r="FS25" s="838" t="e">
        <f>FR25^2/$FR$34^2</f>
        <v>#VALUE!</v>
      </c>
      <c r="FT25" s="824" t="s">
        <v>325</v>
      </c>
    </row>
    <row r="26" spans="1:176" ht="18" x14ac:dyDescent="0.25">
      <c r="A26" s="741">
        <v>2</v>
      </c>
      <c r="B26" s="2555" t="s">
        <v>341</v>
      </c>
      <c r="C26" s="2556"/>
      <c r="D26" s="2556"/>
      <c r="E26" s="2556"/>
      <c r="F26" s="2557"/>
      <c r="G26" s="793" t="s">
        <v>618</v>
      </c>
      <c r="H26" s="781" t="s">
        <v>451</v>
      </c>
      <c r="I26" s="803">
        <f>$C$86</f>
        <v>6.8804228560584869E-4</v>
      </c>
      <c r="J26" s="804" t="s">
        <v>93</v>
      </c>
      <c r="K26" s="804" t="s">
        <v>370</v>
      </c>
      <c r="L26" s="805">
        <f>IF(K26="normal (k=1)",1,IF(K26="normal (k=2)",2,IF(K26="normal (k=3)",3,IF(K26="rectangular",SQRT(3),IF(K26="triangular",SQRT(6),IF(K26="Prob. U",SQRT(2),"no definido"))))))</f>
        <v>1.7320508075688772</v>
      </c>
      <c r="M26" s="814" t="e">
        <f>CHOOSE(#REF!,I26/L26*I19,I26/L26*I19*1000,I26/L26*I19*1000000,I26/L26*I19*'Datos varios'!$E$119,I26/L26*I19*'Datos varios'!$E$120,I26/L26*I19*'Datos varios'!$E$121,I26/L26*I19*'Datos varios'!$E$122,I26/L26*I19*'Datos varios'!$E$123,"-")</f>
        <v>#REF!</v>
      </c>
      <c r="N26" s="833" t="e">
        <f>M26^2/$M$34^2</f>
        <v>#REF!</v>
      </c>
      <c r="O26" s="1172" t="s">
        <v>325</v>
      </c>
      <c r="P26" s="1176">
        <f>$C$86</f>
        <v>6.8804228560584869E-4</v>
      </c>
      <c r="Q26" s="804" t="s">
        <v>93</v>
      </c>
      <c r="R26" s="804" t="s">
        <v>370</v>
      </c>
      <c r="S26" s="805">
        <f>IF(R26="normal (k=1)",1,IF(R26="normal (k=2)",2,IF(R26="normal (k=3)",3,IF(R26="rectangular",SQRT(3),IF(R26="triangular",SQRT(6),IF(R26="Prob. U",SQRT(2),"no definido"))))))</f>
        <v>1.7320508075688772</v>
      </c>
      <c r="T26" s="814" t="str">
        <f>CHOOSE('F-LSCD-012'!V35,P26/S26*P19,P26/S26*P19*1000,P26/S26*P19*1000000,P26/S26*P19*'Datos varios'!$E$119,P26/S26*P19*'Datos varios'!$E$120,P26/S26*P19*'Datos varios'!$E$121,P26/S26*P19*'Datos varios'!$E$122,P26/S26*P19*'Datos varios'!$E$123,"-")</f>
        <v>-</v>
      </c>
      <c r="U26" s="833" t="e">
        <f>T26^2/$T$34^2</f>
        <v>#VALUE!</v>
      </c>
      <c r="V26" s="812" t="s">
        <v>325</v>
      </c>
      <c r="W26" s="803">
        <f>$C$86</f>
        <v>6.8804228560584869E-4</v>
      </c>
      <c r="X26" s="804" t="s">
        <v>93</v>
      </c>
      <c r="Y26" s="804" t="s">
        <v>370</v>
      </c>
      <c r="Z26" s="805">
        <f>IF(Y26="normal (k=1)",1,IF(Y26="normal (k=2)",2,IF(Y26="normal (k=3)",3,IF(Y26="rectangular",SQRT(3),IF(Y26="triangular",SQRT(6),IF(Y26="Prob. U",SQRT(2),"no definido"))))))</f>
        <v>1.7320508075688772</v>
      </c>
      <c r="AA26" s="814" t="e">
        <f>CHOOSE(#REF!,W26/Z26*W19,W26/Z26*W19*1000,W26/Z26*W19*1000000,W26/Z26*W19*'Datos varios'!$E$119,W26/Z26*W19*'Datos varios'!$E$120,W26/Z26*W19*'Datos varios'!$E$121,W26/Z26*W19*'Datos varios'!$E$122,W26/Z26*W19*'Datos varios'!$E$123,"-")</f>
        <v>#REF!</v>
      </c>
      <c r="AB26" s="835" t="e">
        <f t="shared" ref="AB26:AB32" si="5">AA26^2/$AA$34^2</f>
        <v>#REF!</v>
      </c>
      <c r="AC26" s="1172" t="s">
        <v>325</v>
      </c>
      <c r="AD26" s="1176">
        <f>$C$86</f>
        <v>6.8804228560584869E-4</v>
      </c>
      <c r="AE26" s="804" t="s">
        <v>93</v>
      </c>
      <c r="AF26" s="804" t="s">
        <v>370</v>
      </c>
      <c r="AG26" s="805">
        <f>IF(AF26="normal (k=1)",1,IF(AF26="normal (k=2)",2,IF(AF26="normal (k=3)",3,IF(AF26="rectangular",SQRT(3),IF(AF26="triangular",SQRT(6),IF(AF26="Prob. U",SQRT(2),"no definido"))))))</f>
        <v>1.7320508075688772</v>
      </c>
      <c r="AH26" s="814" t="str">
        <f>CHOOSE('F-LSCD-012'!V37,AD26/AG26*AD19,AD26/AG26*AD19*1000,AD26/AG26*AD19*1000000,AD26/AG26*AD19*'Datos varios'!$E$119,AD26/AG26*AD19*'Datos varios'!$E$120,AD26/AG26*AD19*'Datos varios'!$E$121,AD26/AG26*AD19*'Datos varios'!$E$122,AD26/AG26*AD19*'Datos varios'!$E$123,"-")</f>
        <v>-</v>
      </c>
      <c r="AI26" s="835" t="e">
        <f>AH26^2/$AH$34^2</f>
        <v>#VALUE!</v>
      </c>
      <c r="AJ26" s="812" t="s">
        <v>325</v>
      </c>
      <c r="AK26" s="803">
        <f>$C$86</f>
        <v>6.8804228560584869E-4</v>
      </c>
      <c r="AL26" s="804" t="s">
        <v>93</v>
      </c>
      <c r="AM26" s="804" t="s">
        <v>370</v>
      </c>
      <c r="AN26" s="805">
        <f>IF(AM26="normal (k=1)",1,IF(AM26="normal (k=2)",2,IF(AM26="normal (k=3)",3,IF(AM26="rectangular",SQRT(3),IF(AM26="triangular",SQRT(6),IF(AM26="Prob. U",SQRT(2),"no definido"))))))</f>
        <v>1.7320508075688772</v>
      </c>
      <c r="AO26" s="814" t="e">
        <f>CHOOSE(#REF!,AK26/AN26*AK19,AK26/AN26*AK19*1000,AK26/AN26*AK19*1000000,AK26/AN26*AK19*'Datos varios'!$E$119,AK26/AN26*AK19*'Datos varios'!$E$120,AK26/AN26*AK19*'Datos varios'!$E$121,AK26/AN26*AK19*'Datos varios'!$E$122,AK26/AN26*AK19*'Datos varios'!$E$123,"-")</f>
        <v>#REF!</v>
      </c>
      <c r="AP26" s="839" t="e">
        <f t="shared" ref="AP26:AP33" si="6">AO26^2/$AO$34^2</f>
        <v>#REF!</v>
      </c>
      <c r="AQ26" s="1172" t="s">
        <v>325</v>
      </c>
      <c r="AR26" s="1176">
        <f>$C$86</f>
        <v>6.8804228560584869E-4</v>
      </c>
      <c r="AS26" s="804" t="s">
        <v>93</v>
      </c>
      <c r="AT26" s="804" t="s">
        <v>370</v>
      </c>
      <c r="AU26" s="805">
        <f>IF(AT26="normal (k=1)",1,IF(AT26="normal (k=2)",2,IF(AT26="normal (k=3)",3,IF(AT26="rectangular",SQRT(3),IF(AT26="triangular",SQRT(6),IF(AT26="Prob. U",SQRT(2),"no definido"))))))</f>
        <v>1.7320508075688772</v>
      </c>
      <c r="AV26" s="814" t="str">
        <f>CHOOSE('F-LSCD-012'!V39,AR26/AU26*AR19,AR26/AU26*AR19*1000,AR26/AU26*AR19*1000000,AR26/AU26*AR19*'Datos varios'!$E$119,AR26/AU26*AR19*'Datos varios'!$E$120,AR26/AU26*AR19*'Datos varios'!$E$121,AR26/AU26*AR19*'Datos varios'!$E$122,AR26/AU26*AR19*'Datos varios'!$E$123,"-")</f>
        <v>-</v>
      </c>
      <c r="AW26" s="839" t="e">
        <f>AV26^2/$AV$34^2</f>
        <v>#VALUE!</v>
      </c>
      <c r="AX26" s="812" t="s">
        <v>325</v>
      </c>
      <c r="AY26" s="803">
        <f>$C$86</f>
        <v>6.8804228560584869E-4</v>
      </c>
      <c r="AZ26" s="804" t="s">
        <v>93</v>
      </c>
      <c r="BA26" s="804" t="s">
        <v>370</v>
      </c>
      <c r="BB26" s="805">
        <f>IF(BA26="normal (k=1)",1,IF(BA26="normal (k=2)",2,IF(BA26="normal (k=3)",3,IF(BA26="rectangular",SQRT(3),IF(BA26="triangular",SQRT(6),IF(BA26="Prob. U",SQRT(2),"no definido"))))))</f>
        <v>1.7320508075688772</v>
      </c>
      <c r="BC26" s="814" t="str">
        <f>CHOOSE('F-LSCD-012'!V40,AY26/BB26*AY19,AY26/BB26*AY19*1000,AY26/BB26*AY19*1000000,AY26/BB26*AY19*'Datos varios'!$E$119,AY26/BB26*AY19*'Datos varios'!$E$120,AY26/BB26*AY19*'Datos varios'!$E$121,AY26/BB26*AY19*'Datos varios'!$E$122,AY26/BB26*AY19*'Datos varios'!$E$123,"-")</f>
        <v>-</v>
      </c>
      <c r="BD26" s="839" t="e">
        <f t="shared" ref="BD26:BD33" si="7">BC26^2/$BC$34^2</f>
        <v>#VALUE!</v>
      </c>
      <c r="BE26" s="1168" t="s">
        <v>325</v>
      </c>
      <c r="BF26" s="1176">
        <f>$C$86</f>
        <v>6.8804228560584869E-4</v>
      </c>
      <c r="BG26" s="804" t="s">
        <v>93</v>
      </c>
      <c r="BH26" s="804" t="s">
        <v>370</v>
      </c>
      <c r="BI26" s="805">
        <f>IF(BH26="normal (k=1)",1,IF(BH26="normal (k=2)",2,IF(BH26="normal (k=3)",3,IF(BH26="rectangular",SQRT(3),IF(BH26="triangular",SQRT(6),IF(BH26="Prob. U",SQRT(2),"no definido"))))))</f>
        <v>1.7320508075688772</v>
      </c>
      <c r="BJ26" s="814" t="str">
        <f>CHOOSE('F-LSCD-012'!V41,BF26/BI26*BF19,BF26/BI26*BF19*1000,BF26/BI26*BF19*1000000,BF26/BI26*BF19*'Datos varios'!$E$119,BF26/BI26*BF19*'Datos varios'!$E$120,BF26/BI26*BF19*'Datos varios'!$E$121,BF26/BI26*BF19*'Datos varios'!$E$122,BF26/BI26*BF19*'Datos varios'!$E$123,"-")</f>
        <v>-</v>
      </c>
      <c r="BK26" s="839" t="e">
        <f>BJ26^2/$BJ$34^2</f>
        <v>#VALUE!</v>
      </c>
      <c r="BL26" s="830" t="s">
        <v>325</v>
      </c>
      <c r="BM26" s="803">
        <f>$C$86</f>
        <v>6.8804228560584869E-4</v>
      </c>
      <c r="BN26" s="804" t="s">
        <v>93</v>
      </c>
      <c r="BO26" s="804" t="s">
        <v>370</v>
      </c>
      <c r="BP26" s="805">
        <f>IF(BO26="normal (k=1)",1,IF(BO26="normal (k=2)",2,IF(BO26="normal (k=3)",3,IF(BO26="rectangular",SQRT(3),IF(BO26="triangular",SQRT(6),IF(BO26="Prob. U",SQRT(2),"no definido"))))))</f>
        <v>1.7320508075688772</v>
      </c>
      <c r="BQ26" s="814" t="str">
        <f>CHOOSE('F-LSCD-012'!V42,BM26/BP26*BM19,BM26/BP26*BM19*1000,BM26/BP26*BM19*1000000,BM26/BP26*BM19*'Datos varios'!$E$119,BM26/BP26*BM19*'Datos varios'!$E$120,BM26/BP26*BM19*'Datos varios'!$E$121,BM26/BP26*BM19*'Datos varios'!$E$122,BM26/BP26*BM19*'Datos varios'!$E$123,"-")</f>
        <v>-</v>
      </c>
      <c r="BR26" s="841" t="e">
        <f t="shared" ref="BR26:BR32" si="8">BQ26^2/$BQ$34^2</f>
        <v>#VALUE!</v>
      </c>
      <c r="BS26" s="1172" t="s">
        <v>325</v>
      </c>
      <c r="BT26" s="1176">
        <f>$C$86</f>
        <v>6.8804228560584869E-4</v>
      </c>
      <c r="BU26" s="804" t="s">
        <v>93</v>
      </c>
      <c r="BV26" s="804" t="s">
        <v>370</v>
      </c>
      <c r="BW26" s="805">
        <f>IF(BV26="normal (k=1)",1,IF(BV26="normal (k=2)",2,IF(BV26="normal (k=3)",3,IF(BV26="rectangular",SQRT(3),IF(BV26="triangular",SQRT(6),IF(BV26="Prob. U",SQRT(2),"no definido"))))))</f>
        <v>1.7320508075688772</v>
      </c>
      <c r="BX26" s="814" t="str">
        <f>CHOOSE('F-LSCD-012'!V43,BT26/BW26*BT19,BT26/BW26*BT19*1000,BT26/BW26*BT19*1000000,BT26/BW26*BT19*'Datos varios'!$E$119,BT26/BW26*BT19*'Datos varios'!$E$120,BT26/BW26*BT19*'Datos varios'!$E$121,BT26/BW26*BT19*'Datos varios'!$E$122,BT26/BW26*BT19*'Datos varios'!$E$123,"-")</f>
        <v>-</v>
      </c>
      <c r="BY26" s="841" t="e">
        <f>BX26^2/$BX$34^2</f>
        <v>#VALUE!</v>
      </c>
      <c r="BZ26" s="812" t="s">
        <v>325</v>
      </c>
      <c r="CA26" s="803">
        <f>$C$86</f>
        <v>6.8804228560584869E-4</v>
      </c>
      <c r="CB26" s="804" t="s">
        <v>93</v>
      </c>
      <c r="CC26" s="804" t="s">
        <v>370</v>
      </c>
      <c r="CD26" s="805">
        <f>IF(CC26="normal (k=1)",1,IF(CC26="normal (k=2)",2,IF(CC26="normal (k=3)",3,IF(CC26="rectangular",SQRT(3),IF(CC26="triangular",SQRT(6),IF(CC26="Prob. U",SQRT(2),"no definido"))))))</f>
        <v>1.7320508075688772</v>
      </c>
      <c r="CE26" s="814" t="str">
        <f>CHOOSE('F-LSCD-012'!V44,CA26/CD26*CA19,CA26/CD26*CA19*1000,CA26/CD26*CA19*1000000,CA26/CD26*CA19*'Datos varios'!$E$119,CA26/CD26*CA19*'Datos varios'!$E$120,CA26/CD26*CA19*'Datos varios'!$E$121,CA26/CD26*CA19*'Datos varios'!$E$122,CA26/CD26*CA19*'Datos varios'!$E$123,"-")</f>
        <v>-</v>
      </c>
      <c r="CF26" s="845" t="e">
        <f t="shared" si="0"/>
        <v>#VALUE!</v>
      </c>
      <c r="CG26" s="1172" t="s">
        <v>325</v>
      </c>
      <c r="CH26" s="1176">
        <f>$C$86</f>
        <v>6.8804228560584869E-4</v>
      </c>
      <c r="CI26" s="804" t="s">
        <v>93</v>
      </c>
      <c r="CJ26" s="804" t="s">
        <v>370</v>
      </c>
      <c r="CK26" s="805">
        <f>IF(CJ26="normal (k=1)",1,IF(CJ26="normal (k=2)",2,IF(CJ26="normal (k=3)",3,IF(CJ26="rectangular",SQRT(3),IF(CJ26="triangular",SQRT(6),IF(CJ26="Prob. U",SQRT(2),"no definido"))))))</f>
        <v>1.7320508075688772</v>
      </c>
      <c r="CL26" s="814" t="str">
        <f>CHOOSE('F-LSCD-012'!V45,CH26/CK26*CH19,CH26/CK26*CH19*1000,CH26/CK26*CH19*1000000,CH26/CK26*CH19*'Datos varios'!$E$119,CH26/CK26*CH19*'Datos varios'!$E$120,CH26/CK26*CH19*'Datos varios'!$E$121,CH26/CK26*CH19*'Datos varios'!$E$122,CH26/CK26*CH19*'Datos varios'!$E$123,"-")</f>
        <v>-</v>
      </c>
      <c r="CM26" s="845" t="e">
        <f>CL26^2/$CL$34^2</f>
        <v>#VALUE!</v>
      </c>
      <c r="CN26" s="812" t="s">
        <v>325</v>
      </c>
      <c r="CO26" s="803">
        <f>$C$86</f>
        <v>6.8804228560584869E-4</v>
      </c>
      <c r="CP26" s="804" t="s">
        <v>370</v>
      </c>
      <c r="CQ26" s="804" t="s">
        <v>370</v>
      </c>
      <c r="CR26" s="805">
        <f t="shared" si="1"/>
        <v>1.7320508075688772</v>
      </c>
      <c r="CS26" s="814" t="str">
        <f>CHOOSE('F-LSCD-012'!V46,CO26/CR26*CO19,CO26/CR26*CO19*1000,CO26/CR26*CO19*1000000,CO26/CR26*CO19*'Datos varios'!$E$119,CO26/CR26*CO19*'Datos varios'!$E$120,CO26/CR26*CO19*'Datos varios'!$E$121,CO26/CR26*CO19*'Datos varios'!$E$122,CO26/CR26*CO19*'Datos varios'!$E$123,"-")</f>
        <v>-</v>
      </c>
      <c r="CT26" s="845" t="e">
        <f t="shared" si="2"/>
        <v>#VALUE!</v>
      </c>
      <c r="CU26" s="1172" t="s">
        <v>325</v>
      </c>
      <c r="CV26" s="1176">
        <f>$C$86</f>
        <v>6.8804228560584869E-4</v>
      </c>
      <c r="CW26" s="804" t="s">
        <v>370</v>
      </c>
      <c r="CX26" s="804" t="s">
        <v>370</v>
      </c>
      <c r="CY26" s="805">
        <f>IF(CX26="normal (k=1)",1,IF(CX26="normal (k=2)",2,IF(CX26="normal (k=3)",3,IF(CX26="rectangular",SQRT(3),IF(CX26="triangular",SQRT(6),IF(CX26="Prob. U",SQRT(2),"no definido"))))))</f>
        <v>1.7320508075688772</v>
      </c>
      <c r="CZ26" s="814" t="str">
        <f>CHOOSE('F-LSCD-012'!V47,CV26/CY26*CV19,CV26/CY26*CV19*1000,CV26/CY26*CV19*1000000,CV26/CY26*CV19*'Datos varios'!$E$119,CV26/CY26*CV19*'Datos varios'!$E$120,CV26/CY26*CV19*'Datos varios'!$E$121,CV26/CY26*CV19*'Datos varios'!$E$122,CV26/CY26*CV19*'Datos varios'!$E$123,"-")</f>
        <v>-</v>
      </c>
      <c r="DA26" s="845" t="e">
        <f>CZ26^2/$CZ$34^2</f>
        <v>#VALUE!</v>
      </c>
      <c r="DB26" s="812" t="s">
        <v>325</v>
      </c>
      <c r="DC26" s="803">
        <f>$C$86</f>
        <v>6.8804228560584869E-4</v>
      </c>
      <c r="DD26" s="804" t="s">
        <v>93</v>
      </c>
      <c r="DE26" s="804" t="s">
        <v>370</v>
      </c>
      <c r="DF26" s="805">
        <f>IF(DE26="normal (k=1)",1,IF(DE26="normal (k=2)",2,IF(DE26="normal (k=3)",3,IF(DE26="rectangular",SQRT(3),IF(DE26="triangular",SQRT(6),IF(DE26="Prob. U",SQRT(2),"no definido"))))))</f>
        <v>1.7320508075688772</v>
      </c>
      <c r="DG26" s="814" t="str">
        <f>CHOOSE('F-LSCD-012'!V48,DC26/DF26*DC19,DC26/DF26*DC19*1000,DC26/DF26*DC19*1000000,DC26/DF26*DC19*'Datos varios'!$E$119,DC26/DF26*DC19*'Datos varios'!$E$120,DC26/DF26*DC19*'Datos varios'!$E$121,DC26/DF26*DC19*'Datos varios'!$E$122,DC26/DF26*DC19*'Datos varios'!$E$123,"-")</f>
        <v>-</v>
      </c>
      <c r="DH26" s="839" t="e">
        <f t="shared" ref="DH26:DH32" si="9">DG26^2/$DG$34^2</f>
        <v>#VALUE!</v>
      </c>
      <c r="DI26" s="1172" t="s">
        <v>325</v>
      </c>
      <c r="DJ26" s="1176">
        <f>$C$86</f>
        <v>6.8804228560584869E-4</v>
      </c>
      <c r="DK26" s="804" t="s">
        <v>93</v>
      </c>
      <c r="DL26" s="804" t="s">
        <v>370</v>
      </c>
      <c r="DM26" s="805">
        <f>IF(DL26="normal (k=1)",1,IF(DL26="normal (k=2)",2,IF(DL26="normal (k=3)",3,IF(DL26="rectangular",SQRT(3),IF(DL26="triangular",SQRT(6),IF(DL26="Prob. U",SQRT(2),"no definido"))))))</f>
        <v>1.7320508075688772</v>
      </c>
      <c r="DN26" s="814" t="str">
        <f>CHOOSE('F-LSCD-012'!V49,DJ26/DM26*DJ19,DJ26/DM26*DJ19*1000,DJ26/DM26*DJ19*1000000,DJ26/DM26*DJ19*'Datos varios'!$E$119,DJ26/DM26*DJ19*'Datos varios'!$E$120,DJ26/DM26*DJ19*'Datos varios'!$E$121,DJ26/DM26*DJ19*'Datos varios'!$E$122,DJ26/DM26*DJ19*'Datos varios'!$E$123,"-")</f>
        <v>-</v>
      </c>
      <c r="DO26" s="839" t="e">
        <f>DN26^2/$DN$34^2</f>
        <v>#VALUE!</v>
      </c>
      <c r="DP26" s="812" t="s">
        <v>325</v>
      </c>
      <c r="DQ26" s="803">
        <f>$C$86</f>
        <v>6.8804228560584869E-4</v>
      </c>
      <c r="DR26" s="804" t="s">
        <v>93</v>
      </c>
      <c r="DS26" s="804" t="s">
        <v>370</v>
      </c>
      <c r="DT26" s="805">
        <f>IF(DS26="normal (k=1)",1,IF(DS26="normal (k=2)",2,IF(DS26="normal (k=3)",3,IF(DS26="rectangular",SQRT(3),IF(DS26="triangular",SQRT(6),IF(DS26="Prob. U",SQRT(2),"no definido"))))))</f>
        <v>1.7320508075688772</v>
      </c>
      <c r="DU26" s="814" t="str">
        <f>CHOOSE('F-LSCD-012'!V50,DQ26/DT26*DQ19,DQ26/DT26*DQ19*1000,DQ26/DT26*DQ19*1000000,DQ26/DT26*DQ19*'Datos varios'!$E$119,DQ26/DT26*DQ19*'Datos varios'!$E$120,DQ26/DT26*DQ19*'Datos varios'!$E$121,DQ26/DT26*DQ19*'Datos varios'!$E$122,DQ26/DT26*DQ19*'Datos varios'!$E$123,"-")</f>
        <v>-</v>
      </c>
      <c r="DV26" s="839" t="e">
        <f t="shared" si="3"/>
        <v>#VALUE!</v>
      </c>
      <c r="DW26" s="1172" t="s">
        <v>325</v>
      </c>
      <c r="DX26" s="1176">
        <f>$C$86</f>
        <v>6.8804228560584869E-4</v>
      </c>
      <c r="DY26" s="804" t="s">
        <v>93</v>
      </c>
      <c r="DZ26" s="804" t="s">
        <v>370</v>
      </c>
      <c r="EA26" s="805">
        <f>IF(DZ26="normal (k=1)",1,IF(DZ26="normal (k=2)",2,IF(DZ26="normal (k=3)",3,IF(DZ26="rectangular",SQRT(3),IF(DZ26="triangular",SQRT(6),IF(DZ26="Prob. U",SQRT(2),"no definido"))))))</f>
        <v>1.7320508075688772</v>
      </c>
      <c r="EB26" s="814" t="str">
        <f>CHOOSE('F-LSCD-012'!V51,DX26/EA26*DX19,DX26/EA26*DX19*1000,DX26/EA26*DX19*1000000,DX26/EA26*DX19*'Datos varios'!$E$119,DX26/EA26*DX19*'Datos varios'!$E$120,DX26/EA26*DX19*'Datos varios'!$E$121,DX26/EA26*DX19*'Datos varios'!$E$122,DX26/EA26*DX19*'Datos varios'!$E$123,"-")</f>
        <v>-</v>
      </c>
      <c r="EC26" s="839" t="e">
        <f>EB26^2/$EB$34^2</f>
        <v>#VALUE!</v>
      </c>
      <c r="ED26" s="812" t="s">
        <v>325</v>
      </c>
      <c r="EE26" s="803">
        <f>$C$86</f>
        <v>6.8804228560584869E-4</v>
      </c>
      <c r="EF26" s="804" t="s">
        <v>93</v>
      </c>
      <c r="EG26" s="804" t="s">
        <v>370</v>
      </c>
      <c r="EH26" s="805">
        <f>IF(EG26="normal (k=1)",1,IF(EG26="normal (k=2)",2,IF(EG26="normal (k=3)",3,IF(EG26="rectangular",SQRT(3),IF(EG26="triangular",SQRT(6),IF(EG26="Prob. U",SQRT(2),"no definido"))))))</f>
        <v>1.7320508075688772</v>
      </c>
      <c r="EI26" s="814" t="str">
        <f>CHOOSE('F-LSCD-012'!V52,EE26/EH26*EE19,EE26/EH26*EE19*1000,EE26/EH26*EE19*1000000,EE26/EH26*EE19*'Datos varios'!$E$119,EE26/EH26*EE19*'Datos varios'!$E$120,EE26/EH26*EE19*'Datos varios'!$E$121,EE26/EH26*EE19*'Datos varios'!$E$122,EE26/EH26*EE19*'Datos varios'!$E$123,"-")</f>
        <v>-</v>
      </c>
      <c r="EJ26" s="839" t="e">
        <f>EI26^2/$EI$34^2</f>
        <v>#VALUE!</v>
      </c>
      <c r="EK26" s="1172" t="s">
        <v>325</v>
      </c>
      <c r="EL26" s="1176">
        <f>$C$86</f>
        <v>6.8804228560584869E-4</v>
      </c>
      <c r="EM26" s="804" t="s">
        <v>93</v>
      </c>
      <c r="EN26" s="804" t="s">
        <v>370</v>
      </c>
      <c r="EO26" s="805">
        <f>IF(EN26="normal (k=1)",1,IF(EN26="normal (k=2)",2,IF(EN26="normal (k=3)",3,IF(EN26="rectangular",SQRT(3),IF(EN26="triangular",SQRT(6),IF(EN26="Prob. U",SQRT(2),"no definido"))))))</f>
        <v>1.7320508075688772</v>
      </c>
      <c r="EP26" s="814" t="str">
        <f>CHOOSE('F-LSCD-012'!V53,EL26/EO26*EL19,EL26/EO26*EL19*1000,EL26/EO26*EL19*1000000,EL26/EO26*EL19*'Datos varios'!$E$119,EL26/EO26*EL19*'Datos varios'!$E$120,EL26/EO26*EL19*'Datos varios'!$E$121,EL26/EO26*EL19*'Datos varios'!$E$122,EL26/EO26*EL19*'Datos varios'!$E$123,"-")</f>
        <v>-</v>
      </c>
      <c r="EQ26" s="839" t="e">
        <f>EP26^2/$EP$34^2</f>
        <v>#VALUE!</v>
      </c>
      <c r="ER26" s="812" t="s">
        <v>325</v>
      </c>
      <c r="ES26" s="803">
        <f>$C$86</f>
        <v>6.8804228560584869E-4</v>
      </c>
      <c r="ET26" s="804" t="s">
        <v>93</v>
      </c>
      <c r="EU26" s="804" t="s">
        <v>370</v>
      </c>
      <c r="EV26" s="805">
        <f>IF(EU26="normal (k=1)",1,IF(EU26="normal (k=2)",2,IF(EU26="normal (k=3)",3,IF(EU26="rectangular",SQRT(3),IF(EU26="triangular",SQRT(6),IF(EU26="Prob. U",SQRT(2),"no definido"))))))</f>
        <v>1.7320508075688772</v>
      </c>
      <c r="EW26" s="814" t="str">
        <f>CHOOSE('F-LSCD-012'!V54,ES26/EV26*ES19,ES26/EV26*ES19*1000,ES26/EV26*ES19*1000000,ES26/EV26*ES19*'Datos varios'!$E$119,ES26/EV26*ES19*'Datos varios'!$E$120,ES26/EV26*ES19*'Datos varios'!$E$121,ES26/EV26*ES19*'Datos varios'!$E$122,ES26/EV26*ES19*'Datos varios'!$E$123,"-")</f>
        <v>-</v>
      </c>
      <c r="EX26" s="839" t="e">
        <f>EW26^2/$EW$34^2</f>
        <v>#VALUE!</v>
      </c>
      <c r="EY26" s="1172" t="s">
        <v>325</v>
      </c>
      <c r="EZ26" s="1176">
        <f>$C$86</f>
        <v>6.8804228560584869E-4</v>
      </c>
      <c r="FA26" s="804" t="s">
        <v>93</v>
      </c>
      <c r="FB26" s="804" t="s">
        <v>370</v>
      </c>
      <c r="FC26" s="805">
        <f>IF(FB26="normal (k=1)",1,IF(FB26="normal (k=2)",2,IF(FB26="normal (k=3)",3,IF(FB26="rectangular",SQRT(3),IF(FB26="triangular",SQRT(6),IF(FB26="Prob. U",SQRT(2),"no definido"))))))</f>
        <v>1.7320508075688772</v>
      </c>
      <c r="FD26" s="814" t="str">
        <f>CHOOSE('F-LSCD-012'!V55,EZ26/FC26*EZ19,EZ26/FC26*EZ19*1000,EZ26/FC26*EZ19*1000000,EZ26/FC26*EZ19*'Datos varios'!$E$119,EZ26/FC26*EZ19*'Datos varios'!$E$120,EZ26/FC26*EZ19*'Datos varios'!$E$121,EZ26/FC26*EZ19*'Datos varios'!$E$122,EZ26/FC26*EZ19*'Datos varios'!$E$123,"-")</f>
        <v>-</v>
      </c>
      <c r="FE26" s="839" t="e">
        <f>FD26^2/$FD$34^2</f>
        <v>#VALUE!</v>
      </c>
      <c r="FF26" s="812" t="s">
        <v>325</v>
      </c>
      <c r="FG26" s="803">
        <f>$C$86</f>
        <v>6.8804228560584869E-4</v>
      </c>
      <c r="FH26" s="804" t="s">
        <v>93</v>
      </c>
      <c r="FI26" s="804" t="s">
        <v>370</v>
      </c>
      <c r="FJ26" s="805">
        <f>IF(FI26="normal (k=1)",1,IF(FI26="normal (k=2)",2,IF(FI26="normal (k=3)",3,IF(FI26="rectangular",SQRT(3),IF(FI26="triangular",SQRT(6),IF(FI26="Prob. U",SQRT(2),"no definido"))))))</f>
        <v>1.7320508075688772</v>
      </c>
      <c r="FK26" s="814" t="str">
        <f>CHOOSE('F-LSCD-012'!V56,FG26/FJ26*FG19,FG26/FJ26*FG19*1000,FG26/FJ26*FG19*1000000,FG26/FJ26*FG19*'Datos varios'!$E$119,FG26/FJ26*FG19*'Datos varios'!$E$120,FG26/FJ26*FG19*'Datos varios'!$E$121,FG26/FJ26*FG19*'Datos varios'!$E$122,FG26/FJ26*FG19*'Datos varios'!$E$123,"-")</f>
        <v>-</v>
      </c>
      <c r="FL26" s="839" t="e">
        <f>FK26^2/$FK$34^2</f>
        <v>#VALUE!</v>
      </c>
      <c r="FM26" s="1172" t="s">
        <v>325</v>
      </c>
      <c r="FN26" s="1176">
        <f>$C$86</f>
        <v>6.8804228560584869E-4</v>
      </c>
      <c r="FO26" s="804" t="s">
        <v>93</v>
      </c>
      <c r="FP26" s="804" t="s">
        <v>370</v>
      </c>
      <c r="FQ26" s="805">
        <f t="shared" si="4"/>
        <v>1.7320508075688772</v>
      </c>
      <c r="FR26" s="814" t="str">
        <f>CHOOSE('F-LSCD-012'!V57,FN26/FQ26*FN19,FN26/FQ26*FN19*1000,FN26/FQ26*FN19*1000000,FN26/FQ26*FN19*'Datos varios'!$E$119,FN26/FQ26*FN19*'Datos varios'!$E$120,FN26/FQ26*FN19*'Datos varios'!$E$121,FN26/FQ26*FN19*'Datos varios'!$E$122,FN26/FQ26*FN19*'Datos varios'!$E$123,"-")</f>
        <v>-</v>
      </c>
      <c r="FS26" s="839" t="e">
        <f>FR26^2/$FR$34^2</f>
        <v>#VALUE!</v>
      </c>
      <c r="FT26" s="812" t="s">
        <v>325</v>
      </c>
    </row>
    <row r="27" spans="1:176" ht="18" x14ac:dyDescent="0.25">
      <c r="A27" s="741">
        <v>3</v>
      </c>
      <c r="B27" s="2555" t="s">
        <v>342</v>
      </c>
      <c r="C27" s="2556"/>
      <c r="D27" s="2556"/>
      <c r="E27" s="2556"/>
      <c r="F27" s="2557"/>
      <c r="G27" s="793" t="s">
        <v>619</v>
      </c>
      <c r="H27" s="781" t="s">
        <v>450</v>
      </c>
      <c r="I27" s="806" t="e">
        <f>CHOOSE(#REF!,I20/SQRT(I22),I20/SQRT(I22)*1000,I20/SQRT(I22)*1000000,I20/SQRT(I22)*'Datos varios'!$E$119,I20/SQRT(I22)*'Datos varios'!$E$120,I20/SQRT(I22)*'Datos varios'!$E$121,I20/SQRT(I22)*'Datos varios'!$E$122,I20/SQRT(I22)*'Datos varios'!$E$123,"-")</f>
        <v>#REF!</v>
      </c>
      <c r="J27" s="1166" t="s">
        <v>325</v>
      </c>
      <c r="K27" s="804" t="s">
        <v>372</v>
      </c>
      <c r="L27" s="805">
        <f t="shared" ref="L27:L33" si="10">IF(K27="normal (k=1)",1,IF(K27="normal (k=2)",2,IF(K27="normal (k=3)",3,IF(K27="rectangular",SQRT(3),IF(K27="triangular",SQRT(6),IF(K27="Prob. U",SQRT(2),"no definido"))))))</f>
        <v>1</v>
      </c>
      <c r="M27" s="807" t="e">
        <f>I27/L27</f>
        <v>#REF!</v>
      </c>
      <c r="N27" s="833" t="e">
        <f t="shared" ref="N27:N33" si="11">M27^2/$M$34^2</f>
        <v>#REF!</v>
      </c>
      <c r="O27" s="1172" t="s">
        <v>325</v>
      </c>
      <c r="P27" s="1177" t="str">
        <f>CHOOSE('F-LSCD-012'!V35,P20/SQRT(P22),P20/SQRT(P22)*1000,P20/SQRT(P22)*1000000,P20/SQRT(P22)*'Datos varios'!$E$119,P20/SQRT(P22)*'Datos varios'!$E$120,P20/SQRT(P22)*'Datos varios'!$E$121,P20/SQRT(P22)*'Datos varios'!$E$122,P20/SQRT(P22)*'Datos varios'!$E$123,"-")</f>
        <v>-</v>
      </c>
      <c r="Q27" s="1166" t="s">
        <v>325</v>
      </c>
      <c r="R27" s="804" t="s">
        <v>372</v>
      </c>
      <c r="S27" s="805">
        <f t="shared" ref="S27:S33" si="12">IF(R27="normal (k=1)",1,IF(R27="normal (k=2)",2,IF(R27="normal (k=3)",3,IF(R27="rectangular",SQRT(3),IF(R27="triangular",SQRT(6),IF(R27="Prob. U",SQRT(2),"no definido"))))))</f>
        <v>1</v>
      </c>
      <c r="T27" s="807" t="e">
        <f>P27/S27</f>
        <v>#VALUE!</v>
      </c>
      <c r="U27" s="833" t="e">
        <f t="shared" ref="U27:U32" si="13">T27^2/$T$34^2</f>
        <v>#VALUE!</v>
      </c>
      <c r="V27" s="812" t="s">
        <v>325</v>
      </c>
      <c r="W27" s="806" t="e">
        <f>CHOOSE(#REF!,W20/SQRT(W22),W20/SQRT(W22)*1000,W20/SQRT(W22)*1000000,W20/SQRT(W22)*'Datos varios'!$E$119,W20/SQRT(W22)*'Datos varios'!$E$120,W20/SQRT(W22)*'Datos varios'!$E$121,W20/SQRT(W22)*'Datos varios'!$E$122,W20/SQRT(W22)*'Datos varios'!$E$123,"-")</f>
        <v>#REF!</v>
      </c>
      <c r="X27" s="804" t="s">
        <v>325</v>
      </c>
      <c r="Y27" s="804" t="s">
        <v>372</v>
      </c>
      <c r="Z27" s="805">
        <f t="shared" ref="Z27:Z33" si="14">IF(Y27="normal (k=1)",1,IF(Y27="normal (k=2)",2,IF(Y27="normal (k=3)",3,IF(Y27="rectangular",SQRT(3),IF(Y27="triangular",SQRT(6),IF(Y27="Prob. U",SQRT(2),"no definido"))))))</f>
        <v>1</v>
      </c>
      <c r="AA27" s="807" t="e">
        <f>W27/Z27</f>
        <v>#REF!</v>
      </c>
      <c r="AB27" s="835" t="e">
        <f t="shared" si="5"/>
        <v>#REF!</v>
      </c>
      <c r="AC27" s="1172" t="s">
        <v>325</v>
      </c>
      <c r="AD27" s="1177" t="str">
        <f>CHOOSE('F-LSCD-012'!V37,AD20/SQRT(AD22),AD20/SQRT(AD22)*1000,AD20/SQRT(AD22)*1000000,AD20/SQRT(AD22)*'Datos varios'!$E$119,AD20/SQRT(AD22)*'Datos varios'!$E$120,AD20/SQRT(AD22)*'Datos varios'!$E$121,AD20/SQRT(AD22)*'Datos varios'!$E$122,AD20/SQRT(AD22)*'Datos varios'!$E$123,"-")</f>
        <v>-</v>
      </c>
      <c r="AE27" s="804" t="s">
        <v>325</v>
      </c>
      <c r="AF27" s="804" t="s">
        <v>372</v>
      </c>
      <c r="AG27" s="805">
        <f t="shared" ref="AG27:AG33" si="15">IF(AF27="normal (k=1)",1,IF(AF27="normal (k=2)",2,IF(AF27="normal (k=3)",3,IF(AF27="rectangular",SQRT(3),IF(AF27="triangular",SQRT(6),IF(AF27="Prob. U",SQRT(2),"no definido"))))))</f>
        <v>1</v>
      </c>
      <c r="AH27" s="807" t="e">
        <f>AD27/AG27</f>
        <v>#VALUE!</v>
      </c>
      <c r="AI27" s="835" t="e">
        <f t="shared" ref="AI27:AI32" si="16">AH27^2/$AH$34^2</f>
        <v>#VALUE!</v>
      </c>
      <c r="AJ27" s="812" t="s">
        <v>325</v>
      </c>
      <c r="AK27" s="806" t="e">
        <f>CHOOSE(#REF!,AK20/SQRT(AK22),AK20/SQRT(AK22)*1000,AK20/SQRT(AK22)*1000000,AK20/SQRT(AK22)*'Datos varios'!$E$119,AK20/SQRT(AK22)*'Datos varios'!$E$120,AK20/SQRT(AK22)*'Datos varios'!$E$121,AK20/SQRT(AK22)*'Datos varios'!$E$122,AK20/SQRT(AK22)*'Datos varios'!$E$123,"-")</f>
        <v>#REF!</v>
      </c>
      <c r="AL27" s="804" t="s">
        <v>325</v>
      </c>
      <c r="AM27" s="804" t="s">
        <v>372</v>
      </c>
      <c r="AN27" s="805">
        <f t="shared" ref="AN27:AN33" si="17">IF(AM27="normal (k=1)",1,IF(AM27="normal (k=2)",2,IF(AM27="normal (k=3)",3,IF(AM27="rectangular",SQRT(3),IF(AM27="triangular",SQRT(6),IF(AM27="Prob. U",SQRT(2),"no definido"))))))</f>
        <v>1</v>
      </c>
      <c r="AO27" s="807" t="e">
        <f>AK27/AN27</f>
        <v>#REF!</v>
      </c>
      <c r="AP27" s="839" t="e">
        <f t="shared" si="6"/>
        <v>#REF!</v>
      </c>
      <c r="AQ27" s="1172" t="s">
        <v>325</v>
      </c>
      <c r="AR27" s="1177" t="str">
        <f>CHOOSE('F-LSCD-012'!V39,AR20/SQRT(AR22),AR20/SQRT(AR22)*1000,AR20/SQRT(AR22)*1000000,AR20/SQRT(AR22)*'Datos varios'!$E$119,AR20/SQRT(AR22)*'Datos varios'!$E$120,AR20/SQRT(AR22)*'Datos varios'!$E$121,AR20/SQRT(AR22)*'Datos varios'!$E$122,AR20/SQRT(AR22)*'Datos varios'!$E$123,"-")</f>
        <v>-</v>
      </c>
      <c r="AS27" s="804" t="s">
        <v>325</v>
      </c>
      <c r="AT27" s="804" t="s">
        <v>372</v>
      </c>
      <c r="AU27" s="805">
        <f t="shared" ref="AU27:AU33" si="18">IF(AT27="normal (k=1)",1,IF(AT27="normal (k=2)",2,IF(AT27="normal (k=3)",3,IF(AT27="rectangular",SQRT(3),IF(AT27="triangular",SQRT(6),IF(AT27="Prob. U",SQRT(2),"no definido"))))))</f>
        <v>1</v>
      </c>
      <c r="AV27" s="807" t="e">
        <f>AR27/AU27</f>
        <v>#VALUE!</v>
      </c>
      <c r="AW27" s="839" t="e">
        <f t="shared" ref="AW27:AW32" si="19">AV27^2/$AV$34^2</f>
        <v>#VALUE!</v>
      </c>
      <c r="AX27" s="812" t="s">
        <v>325</v>
      </c>
      <c r="AY27" s="806" t="str">
        <f>CHOOSE('F-LSCD-012'!V40,AY20/SQRT(AY22),AY20/SQRT(AY22)*1000,AY20/SQRT(AY22)*1000000,AY20/SQRT(AY22)*'Datos varios'!$E$119,AY20/SQRT(AY22)*'Datos varios'!$E$120,AY20/SQRT(AY22)*'Datos varios'!$E$121,AY20/SQRT(AY22)*'Datos varios'!$E$122,AY20/SQRT(AY22)*'Datos varios'!$E$123,"-")</f>
        <v>-</v>
      </c>
      <c r="AZ27" s="804" t="s">
        <v>325</v>
      </c>
      <c r="BA27" s="804" t="s">
        <v>372</v>
      </c>
      <c r="BB27" s="805">
        <f t="shared" ref="BB27:BB33" si="20">IF(BA27="normal (k=1)",1,IF(BA27="normal (k=2)",2,IF(BA27="normal (k=3)",3,IF(BA27="rectangular",SQRT(3),IF(BA27="triangular",SQRT(6),IF(BA27="Prob. U",SQRT(2),"no definido"))))))</f>
        <v>1</v>
      </c>
      <c r="BC27" s="818" t="e">
        <f>AY27/BB27</f>
        <v>#VALUE!</v>
      </c>
      <c r="BD27" s="839" t="e">
        <f t="shared" si="7"/>
        <v>#VALUE!</v>
      </c>
      <c r="BE27" s="1168" t="s">
        <v>325</v>
      </c>
      <c r="BF27" s="1177" t="str">
        <f>CHOOSE('F-LSCD-012'!V41,BF20/SQRT(BF22),BF20/SQRT(BF22)*1000,BF20/SQRT(BF22)*1000000,BF20/SQRT(BF22)*'Datos varios'!$E$119,BF20/SQRT(BF22)*'Datos varios'!$E$120,BF20/SQRT(BF22)*'Datos varios'!$E$121,BF20/SQRT(BF22)*'Datos varios'!$E$122,BF20/SQRT(BF22)*'Datos varios'!$E$123,"-")</f>
        <v>-</v>
      </c>
      <c r="BG27" s="804" t="s">
        <v>325</v>
      </c>
      <c r="BH27" s="804" t="s">
        <v>372</v>
      </c>
      <c r="BI27" s="805">
        <f t="shared" ref="BI27:BI33" si="21">IF(BH27="normal (k=1)",1,IF(BH27="normal (k=2)",2,IF(BH27="normal (k=3)",3,IF(BH27="rectangular",SQRT(3),IF(BH27="triangular",SQRT(6),IF(BH27="Prob. U",SQRT(2),"no definido"))))))</f>
        <v>1</v>
      </c>
      <c r="BJ27" s="818" t="e">
        <f>BF27/BI27</f>
        <v>#VALUE!</v>
      </c>
      <c r="BK27" s="839" t="e">
        <f t="shared" ref="BK27:BK32" si="22">BJ27^2/$BJ$34^2</f>
        <v>#VALUE!</v>
      </c>
      <c r="BL27" s="830" t="s">
        <v>325</v>
      </c>
      <c r="BM27" s="806" t="str">
        <f>CHOOSE('F-LSCD-012'!V42,BM20/SQRT(BM22),BM20/SQRT(BM22)*1000,BM20/SQRT(BM22)*1000000,BM20/SQRT(BM22)*'Datos varios'!$E$119,BM20/SQRT(BM22)*'Datos varios'!$E$120,BM20/SQRT(BM22)*'Datos varios'!$E$121,BM20/SQRT(BM22)*'Datos varios'!$E$122,BM20/SQRT(BM22)*'Datos varios'!$E$123,"-")</f>
        <v>-</v>
      </c>
      <c r="BN27" s="804" t="s">
        <v>325</v>
      </c>
      <c r="BO27" s="804" t="s">
        <v>372</v>
      </c>
      <c r="BP27" s="805">
        <f t="shared" ref="BP27:BP33" si="23">IF(BO27="normal (k=1)",1,IF(BO27="normal (k=2)",2,IF(BO27="normal (k=3)",3,IF(BO27="rectangular",SQRT(3),IF(BO27="triangular",SQRT(6),IF(BO27="Prob. U",SQRT(2),"no definido"))))))</f>
        <v>1</v>
      </c>
      <c r="BQ27" s="807" t="e">
        <f>BM27/BP27</f>
        <v>#VALUE!</v>
      </c>
      <c r="BR27" s="841" t="e">
        <f t="shared" si="8"/>
        <v>#VALUE!</v>
      </c>
      <c r="BS27" s="1172" t="s">
        <v>325</v>
      </c>
      <c r="BT27" s="1177" t="str">
        <f>CHOOSE('F-LSCD-012'!V43,BT20/SQRT(BT22),BT20/SQRT(BT22)*1000,BT20/SQRT(BT22)*1000000,BT20/SQRT(BT22)*'Datos varios'!$E$119,BT20/SQRT(BT22)*'Datos varios'!$E$120,BT20/SQRT(BT22)*'Datos varios'!$E$121,BT20/SQRT(BT22)*'Datos varios'!$E$122,BT20/SQRT(BT22)*'Datos varios'!$E$123,"-")</f>
        <v>-</v>
      </c>
      <c r="BU27" s="804" t="s">
        <v>325</v>
      </c>
      <c r="BV27" s="804" t="s">
        <v>372</v>
      </c>
      <c r="BW27" s="805">
        <f t="shared" ref="BW27:BW33" si="24">IF(BV27="normal (k=1)",1,IF(BV27="normal (k=2)",2,IF(BV27="normal (k=3)",3,IF(BV27="rectangular",SQRT(3),IF(BV27="triangular",SQRT(6),IF(BV27="Prob. U",SQRT(2),"no definido"))))))</f>
        <v>1</v>
      </c>
      <c r="BX27" s="807" t="e">
        <f>BT27/BW27</f>
        <v>#VALUE!</v>
      </c>
      <c r="BY27" s="841" t="e">
        <f t="shared" ref="BY27:BY32" si="25">BX27^2/$BX$34^2</f>
        <v>#VALUE!</v>
      </c>
      <c r="BZ27" s="812" t="s">
        <v>325</v>
      </c>
      <c r="CA27" s="806" t="str">
        <f>CHOOSE('F-LSCD-012'!V44,CA20/SQRT(CA22),CA20/SQRT(CA22)*1000,CA20/SQRT(CA22)*1000000,CA20/SQRT(CA22)*'Datos varios'!$E$119,CA20/SQRT(CA22)*'Datos varios'!$E$120,CA20/SQRT(CA22)*'Datos varios'!$E$121,CA20/SQRT(CA22)*'Datos varios'!$E$122,CA20/SQRT(CA22)*'Datos varios'!$E$123,"-")</f>
        <v>-</v>
      </c>
      <c r="CB27" s="804" t="s">
        <v>325</v>
      </c>
      <c r="CC27" s="804" t="s">
        <v>372</v>
      </c>
      <c r="CD27" s="805">
        <f t="shared" ref="CD27:CD33" si="26">IF(CC27="normal (k=1)",1,IF(CC27="normal (k=2)",2,IF(CC27="normal (k=3)",3,IF(CC27="rectangular",SQRT(3),IF(CC27="triangular",SQRT(6),IF(CC27="Prob. U",SQRT(2),"no definido"))))))</f>
        <v>1</v>
      </c>
      <c r="CE27" s="807" t="e">
        <f>CA27/CD27</f>
        <v>#VALUE!</v>
      </c>
      <c r="CF27" s="845" t="e">
        <f t="shared" si="0"/>
        <v>#VALUE!</v>
      </c>
      <c r="CG27" s="1172" t="s">
        <v>325</v>
      </c>
      <c r="CH27" s="1177" t="str">
        <f>CHOOSE('F-LSCD-012'!V45,CH20/SQRT(CH22),CH20/SQRT(CH22)*1000,CH20/SQRT(CH22)*1000000,CH20/SQRT(CH22)*'Datos varios'!$E$119,CH20/SQRT(CH22)*'Datos varios'!$E$120,CH20/SQRT(CH22)*'Datos varios'!$E$121,CH20/SQRT(CH22)*'Datos varios'!$E$122,CH20/SQRT(CH22)*'Datos varios'!$E$123,"-")</f>
        <v>-</v>
      </c>
      <c r="CI27" s="804" t="s">
        <v>325</v>
      </c>
      <c r="CJ27" s="804" t="s">
        <v>372</v>
      </c>
      <c r="CK27" s="805">
        <f t="shared" ref="CK27:CK33" si="27">IF(CJ27="normal (k=1)",1,IF(CJ27="normal (k=2)",2,IF(CJ27="normal (k=3)",3,IF(CJ27="rectangular",SQRT(3),IF(CJ27="triangular",SQRT(6),IF(CJ27="Prob. U",SQRT(2),"no definido"))))))</f>
        <v>1</v>
      </c>
      <c r="CL27" s="807" t="e">
        <f>CH27/CK27</f>
        <v>#VALUE!</v>
      </c>
      <c r="CM27" s="845" t="e">
        <f t="shared" ref="CM27:CM32" si="28">CL27^2/$CL$34^2</f>
        <v>#VALUE!</v>
      </c>
      <c r="CN27" s="812" t="s">
        <v>325</v>
      </c>
      <c r="CO27" s="806" t="str">
        <f>CHOOSE('F-LSCD-012'!V46,CO20/SQRT(CO22),CO20/SQRT(CO22)*1000,CO20/SQRT(CO22)*1000000,CO20/SQRT(CO22)*'Datos varios'!$E$119,CO20/SQRT(CO22)*'Datos varios'!$E$120,CO20/SQRT(CO22)*'Datos varios'!$E$121,CO20/SQRT(CO22)*'Datos varios'!$E$122,CO20/SQRT(CO22)*'Datos varios'!$E$123,"-")</f>
        <v>-</v>
      </c>
      <c r="CP27" s="804" t="s">
        <v>372</v>
      </c>
      <c r="CQ27" s="804" t="s">
        <v>372</v>
      </c>
      <c r="CR27" s="805">
        <f t="shared" si="1"/>
        <v>1</v>
      </c>
      <c r="CS27" s="807" t="e">
        <f>CO27/CR27</f>
        <v>#VALUE!</v>
      </c>
      <c r="CT27" s="845" t="e">
        <f t="shared" si="2"/>
        <v>#VALUE!</v>
      </c>
      <c r="CU27" s="1172" t="s">
        <v>325</v>
      </c>
      <c r="CV27" s="1177" t="str">
        <f>CHOOSE('F-LSCD-012'!V47,CV20/SQRT(CV22),CV20/SQRT(CV22)*1000,CV20/SQRT(CV22)*1000000,CV20/SQRT(CV22)*'Datos varios'!$E$119,CV20/SQRT(CV22)*'Datos varios'!$E$120,CV20/SQRT(CV22)*'Datos varios'!$E$121,CV20/SQRT(CV22)*'Datos varios'!$E$122,CV20/SQRT(CV22)*'Datos varios'!$E$123,"-")</f>
        <v>-</v>
      </c>
      <c r="CW27" s="804" t="s">
        <v>372</v>
      </c>
      <c r="CX27" s="804" t="s">
        <v>372</v>
      </c>
      <c r="CY27" s="805">
        <f t="shared" ref="CY27:CY33" si="29">IF(CX27="normal (k=1)",1,IF(CX27="normal (k=2)",2,IF(CX27="normal (k=3)",3,IF(CX27="rectangular",SQRT(3),IF(CX27="triangular",SQRT(6),IF(CX27="Prob. U",SQRT(2),"no definido"))))))</f>
        <v>1</v>
      </c>
      <c r="CZ27" s="807" t="e">
        <f>CV27/CY27</f>
        <v>#VALUE!</v>
      </c>
      <c r="DA27" s="845" t="e">
        <f t="shared" ref="DA27:DA32" si="30">CZ27^2/$CZ$34^2</f>
        <v>#VALUE!</v>
      </c>
      <c r="DB27" s="812" t="s">
        <v>325</v>
      </c>
      <c r="DC27" s="806" t="str">
        <f>CHOOSE('F-LSCD-012'!V48,DC20/SQRT(DC22),DC20/SQRT(DC22)*1000,DC20/SQRT(DC22)*1000000,DC20/SQRT(DC22)*'Datos varios'!$E$119,DC20/SQRT(DC22)*'Datos varios'!$E$120,DC20/SQRT(DC22)*'Datos varios'!$E$121,DC20/SQRT(DC22)*'Datos varios'!$E$122,DC20/SQRT(DC22)*'Datos varios'!$E$123,"-")</f>
        <v>-</v>
      </c>
      <c r="DD27" s="804" t="s">
        <v>325</v>
      </c>
      <c r="DE27" s="804" t="s">
        <v>372</v>
      </c>
      <c r="DF27" s="805">
        <f t="shared" ref="DF27:DF33" si="31">IF(DE27="normal (k=1)",1,IF(DE27="normal (k=2)",2,IF(DE27="normal (k=3)",3,IF(DE27="rectangular",SQRT(3),IF(DE27="triangular",SQRT(6),IF(DE27="Prob. U",SQRT(2),"no definido"))))))</f>
        <v>1</v>
      </c>
      <c r="DG27" s="807" t="e">
        <f>DC27/DF27</f>
        <v>#VALUE!</v>
      </c>
      <c r="DH27" s="839" t="e">
        <f t="shared" si="9"/>
        <v>#VALUE!</v>
      </c>
      <c r="DI27" s="1172" t="s">
        <v>325</v>
      </c>
      <c r="DJ27" s="1177" t="str">
        <f>CHOOSE('F-LSCD-012'!V49,DJ20/SQRT(DJ22),DJ20/SQRT(DJ22)*1000,DJ20/SQRT(DJ22)*1000000,DJ20/SQRT(DJ22)*'Datos varios'!$E$119,DJ20/SQRT(DJ22)*'Datos varios'!$E$120,DJ20/SQRT(DJ22)*'Datos varios'!$E$121,DJ20/SQRT(DJ22)*'Datos varios'!$E$122,DJ20/SQRT(DJ22)*'Datos varios'!$E$123,"-")</f>
        <v>-</v>
      </c>
      <c r="DK27" s="804" t="s">
        <v>325</v>
      </c>
      <c r="DL27" s="804" t="s">
        <v>372</v>
      </c>
      <c r="DM27" s="805">
        <f t="shared" ref="DM27:DM33" si="32">IF(DL27="normal (k=1)",1,IF(DL27="normal (k=2)",2,IF(DL27="normal (k=3)",3,IF(DL27="rectangular",SQRT(3),IF(DL27="triangular",SQRT(6),IF(DL27="Prob. U",SQRT(2),"no definido"))))))</f>
        <v>1</v>
      </c>
      <c r="DN27" s="807" t="e">
        <f>DJ27/DM27</f>
        <v>#VALUE!</v>
      </c>
      <c r="DO27" s="839" t="e">
        <f t="shared" ref="DO27:DO32" si="33">DN27^2/$DN$34^2</f>
        <v>#VALUE!</v>
      </c>
      <c r="DP27" s="812" t="s">
        <v>325</v>
      </c>
      <c r="DQ27" s="806" t="str">
        <f>CHOOSE('F-LSCD-012'!V50,DQ20/SQRT(DQ22),DQ20/SQRT(DQ22)*1000,DQ20/SQRT(DQ22)*1000000,DQ20/SQRT(DQ22)*'Datos varios'!$E$119,DQ20/SQRT(DQ22)*'Datos varios'!$E$120,DQ20/SQRT(DQ22)*'Datos varios'!$E$121,DQ20/SQRT(DQ22)*'Datos varios'!$E$122,DQ20/SQRT(DQ22)*'Datos varios'!$E$123,"-")</f>
        <v>-</v>
      </c>
      <c r="DR27" s="804" t="s">
        <v>325</v>
      </c>
      <c r="DS27" s="804" t="s">
        <v>372</v>
      </c>
      <c r="DT27" s="805">
        <f t="shared" ref="DT27:DT33" si="34">IF(DS27="normal (k=1)",1,IF(DS27="normal (k=2)",2,IF(DS27="normal (k=3)",3,IF(DS27="rectangular",SQRT(3),IF(DS27="triangular",SQRT(6),IF(DS27="Prob. U",SQRT(2),"no definido"))))))</f>
        <v>1</v>
      </c>
      <c r="DU27" s="807" t="e">
        <f>DQ27/DT27</f>
        <v>#VALUE!</v>
      </c>
      <c r="DV27" s="839" t="e">
        <f t="shared" si="3"/>
        <v>#VALUE!</v>
      </c>
      <c r="DW27" s="1172" t="s">
        <v>325</v>
      </c>
      <c r="DX27" s="1177" t="str">
        <f>CHOOSE('F-LSCD-012'!V51,DX20/SQRT(DX22),DX20/SQRT(DX22)*1000,DX20/SQRT(DX22)*1000000,DX20/SQRT(DX22)*'Datos varios'!$E$119,DX20/SQRT(DX22)*'Datos varios'!$E$120,DX20/SQRT(DX22)*'Datos varios'!$E$121,DX20/SQRT(DX22)*'Datos varios'!$E$122,DX20/SQRT(DX22)*'Datos varios'!$E$123,"-")</f>
        <v>-</v>
      </c>
      <c r="DY27" s="804" t="s">
        <v>325</v>
      </c>
      <c r="DZ27" s="804" t="s">
        <v>372</v>
      </c>
      <c r="EA27" s="805">
        <f t="shared" ref="EA27:EA33" si="35">IF(DZ27="normal (k=1)",1,IF(DZ27="normal (k=2)",2,IF(DZ27="normal (k=3)",3,IF(DZ27="rectangular",SQRT(3),IF(DZ27="triangular",SQRT(6),IF(DZ27="Prob. U",SQRT(2),"no definido"))))))</f>
        <v>1</v>
      </c>
      <c r="EB27" s="807" t="e">
        <f>DX27/EA27</f>
        <v>#VALUE!</v>
      </c>
      <c r="EC27" s="839" t="e">
        <f t="shared" ref="EC27:EC32" si="36">EB27^2/$EB$34^2</f>
        <v>#VALUE!</v>
      </c>
      <c r="ED27" s="812" t="s">
        <v>325</v>
      </c>
      <c r="EE27" s="806" t="str">
        <f>CHOOSE('F-LSCD-012'!V52,EE20/SQRT(EE22),EE20/SQRT(EE22)*1000,EE20/SQRT(EE22)*1000000,EE20/SQRT(EE22)*'Datos varios'!$E$119,EE20/SQRT(EE22)*'Datos varios'!$E$120,EE20/SQRT(EE22)*'Datos varios'!$E$121,EE20/SQRT(EE22)*'Datos varios'!$E$122,EE20/SQRT(EE22)*'Datos varios'!$E$123,"-")</f>
        <v>-</v>
      </c>
      <c r="EF27" s="804" t="s">
        <v>325</v>
      </c>
      <c r="EG27" s="804" t="s">
        <v>372</v>
      </c>
      <c r="EH27" s="805">
        <f t="shared" ref="EH27:EH33" si="37">IF(EG27="normal (k=1)",1,IF(EG27="normal (k=2)",2,IF(EG27="normal (k=3)",3,IF(EG27="rectangular",SQRT(3),IF(EG27="triangular",SQRT(6),IF(EG27="Prob. U",SQRT(2),"no definido"))))))</f>
        <v>1</v>
      </c>
      <c r="EI27" s="807" t="e">
        <f>EE27/EH27</f>
        <v>#VALUE!</v>
      </c>
      <c r="EJ27" s="839" t="e">
        <f t="shared" ref="EJ27:EJ32" si="38">EI27^2/$EI$34^2</f>
        <v>#VALUE!</v>
      </c>
      <c r="EK27" s="1172" t="s">
        <v>325</v>
      </c>
      <c r="EL27" s="1177" t="str">
        <f>CHOOSE('F-LSCD-012'!V53,EL20/SQRT(EL22),EL20/SQRT(EL22)*1000,EL20/SQRT(EL22)*1000000,EL20/SQRT(EL22)*'Datos varios'!$E$119,EL20/SQRT(EL22)*'Datos varios'!$E$120,EL20/SQRT(EL22)*'Datos varios'!$E$121,EL20/SQRT(EL22)*'Datos varios'!$E$122,EL20/SQRT(EL22)*'Datos varios'!$E$123,"-")</f>
        <v>-</v>
      </c>
      <c r="EM27" s="804" t="s">
        <v>325</v>
      </c>
      <c r="EN27" s="804" t="s">
        <v>372</v>
      </c>
      <c r="EO27" s="805">
        <f t="shared" ref="EO27:EO33" si="39">IF(EN27="normal (k=1)",1,IF(EN27="normal (k=2)",2,IF(EN27="normal (k=3)",3,IF(EN27="rectangular",SQRT(3),IF(EN27="triangular",SQRT(6),IF(EN27="Prob. U",SQRT(2),"no definido"))))))</f>
        <v>1</v>
      </c>
      <c r="EP27" s="807" t="e">
        <f>EL27/EO27</f>
        <v>#VALUE!</v>
      </c>
      <c r="EQ27" s="839" t="e">
        <f t="shared" ref="EQ27:EQ32" si="40">EP27^2/$EP$34^2</f>
        <v>#VALUE!</v>
      </c>
      <c r="ER27" s="812" t="s">
        <v>325</v>
      </c>
      <c r="ES27" s="806" t="str">
        <f>CHOOSE('F-LSCD-012'!V54,ES20/SQRT(ES22),ES20/SQRT(ES22)*1000,ES20/SQRT(ES22)*1000000,ES20/SQRT(ES22)*'Datos varios'!$E$119,ES20/SQRT(ES22)*'Datos varios'!$E$120,ES20/SQRT(ES22)*'Datos varios'!$E$121,ES20/SQRT(ES22)*'Datos varios'!$E$122,ES20/SQRT(ES22)*'Datos varios'!$E$123,"-")</f>
        <v>-</v>
      </c>
      <c r="ET27" s="804" t="s">
        <v>325</v>
      </c>
      <c r="EU27" s="804" t="s">
        <v>372</v>
      </c>
      <c r="EV27" s="805">
        <f t="shared" ref="EV27:EV33" si="41">IF(EU27="normal (k=1)",1,IF(EU27="normal (k=2)",2,IF(EU27="normal (k=3)",3,IF(EU27="rectangular",SQRT(3),IF(EU27="triangular",SQRT(6),IF(EU27="Prob. U",SQRT(2),"no definido"))))))</f>
        <v>1</v>
      </c>
      <c r="EW27" s="807" t="e">
        <f>ES27/EV27</f>
        <v>#VALUE!</v>
      </c>
      <c r="EX27" s="839" t="e">
        <f t="shared" ref="EX27:EX32" si="42">EW27^2/$EW$34^2</f>
        <v>#VALUE!</v>
      </c>
      <c r="EY27" s="1172" t="s">
        <v>325</v>
      </c>
      <c r="EZ27" s="1177" t="str">
        <f>CHOOSE('F-LSCD-012'!V55,EZ20/SQRT(EZ22),EZ20/SQRT(EZ22)*1000,EZ20/SQRT(EZ22)*1000000,EZ20/SQRT(EZ22)*'Datos varios'!$E$119,EZ20/SQRT(EZ22)*'Datos varios'!$E$120,EZ20/SQRT(EZ22)*'Datos varios'!$E$121,EZ20/SQRT(EZ22)*'Datos varios'!$E$122,EZ20/SQRT(EZ22)*'Datos varios'!$E$123,"-")</f>
        <v>-</v>
      </c>
      <c r="FA27" s="804" t="s">
        <v>325</v>
      </c>
      <c r="FB27" s="804" t="s">
        <v>372</v>
      </c>
      <c r="FC27" s="805">
        <f t="shared" ref="FC27:FC33" si="43">IF(FB27="normal (k=1)",1,IF(FB27="normal (k=2)",2,IF(FB27="normal (k=3)",3,IF(FB27="rectangular",SQRT(3),IF(FB27="triangular",SQRT(6),IF(FB27="Prob. U",SQRT(2),"no definido"))))))</f>
        <v>1</v>
      </c>
      <c r="FD27" s="807" t="e">
        <f>EZ27/FC27</f>
        <v>#VALUE!</v>
      </c>
      <c r="FE27" s="839" t="e">
        <f t="shared" ref="FE27:FE32" si="44">FD27^2/$FD$34^2</f>
        <v>#VALUE!</v>
      </c>
      <c r="FF27" s="812" t="s">
        <v>325</v>
      </c>
      <c r="FG27" s="806" t="str">
        <f>CHOOSE('F-LSCD-012'!V56,FG20/SQRT(FG22),FG20/SQRT(FG22)*1000,FG20/SQRT(FG22)*1000000,FG20/SQRT(FG22)*'Datos varios'!$E$119,FG20/SQRT(FG22)*'Datos varios'!$E$120,FG20/SQRT(FG22)*'Datos varios'!$E$121,FG20/SQRT(FG22)*'Datos varios'!$E$122,FG20/SQRT(FG22)*'Datos varios'!$E$123,"-")</f>
        <v>-</v>
      </c>
      <c r="FH27" s="804" t="s">
        <v>325</v>
      </c>
      <c r="FI27" s="804" t="s">
        <v>372</v>
      </c>
      <c r="FJ27" s="805">
        <f t="shared" ref="FJ27:FJ33" si="45">IF(FI27="normal (k=1)",1,IF(FI27="normal (k=2)",2,IF(FI27="normal (k=3)",3,IF(FI27="rectangular",SQRT(3),IF(FI27="triangular",SQRT(6),IF(FI27="Prob. U",SQRT(2),"no definido"))))))</f>
        <v>1</v>
      </c>
      <c r="FK27" s="807" t="e">
        <f>FG27/FJ27</f>
        <v>#VALUE!</v>
      </c>
      <c r="FL27" s="839" t="e">
        <f t="shared" ref="FL27:FL32" si="46">FK27^2/$FK$34^2</f>
        <v>#VALUE!</v>
      </c>
      <c r="FM27" s="1172" t="s">
        <v>325</v>
      </c>
      <c r="FN27" s="1177" t="str">
        <f>CHOOSE('F-LSCD-012'!V57,FN20/SQRT(FN22),FN20/SQRT(FN22)*1000,FN20/SQRT(FN22)*1000000,FN20/SQRT(FN22)*'Datos varios'!$E$119,FN20/SQRT(FN22)*'Datos varios'!$E$120,FN20/SQRT(FN22)*'Datos varios'!$E$121,FN20/SQRT(FN22)*'Datos varios'!$E$122,FN20/SQRT(FN22)*'Datos varios'!$E$123,"-")</f>
        <v>-</v>
      </c>
      <c r="FO27" s="804" t="s">
        <v>325</v>
      </c>
      <c r="FP27" s="804" t="s">
        <v>372</v>
      </c>
      <c r="FQ27" s="805">
        <f t="shared" si="4"/>
        <v>1</v>
      </c>
      <c r="FR27" s="807" t="e">
        <f>FN27/FQ27</f>
        <v>#VALUE!</v>
      </c>
      <c r="FS27" s="839" t="e">
        <f t="shared" ref="FS27:FS32" si="47">FR27^2/$FR$34^2</f>
        <v>#VALUE!</v>
      </c>
      <c r="FT27" s="812" t="s">
        <v>325</v>
      </c>
    </row>
    <row r="28" spans="1:176" ht="18" x14ac:dyDescent="0.25">
      <c r="A28" s="741">
        <v>4</v>
      </c>
      <c r="B28" s="2555" t="s">
        <v>340</v>
      </c>
      <c r="C28" s="2556"/>
      <c r="D28" s="2556"/>
      <c r="E28" s="2556"/>
      <c r="F28" s="2557"/>
      <c r="G28" s="793" t="s">
        <v>620</v>
      </c>
      <c r="H28" s="781" t="s">
        <v>451</v>
      </c>
      <c r="I28" s="806">
        <f>$C$122</f>
        <v>122.09988002791218</v>
      </c>
      <c r="J28" s="804" t="s">
        <v>325</v>
      </c>
      <c r="K28" s="804" t="s">
        <v>370</v>
      </c>
      <c r="L28" s="805">
        <f t="shared" si="10"/>
        <v>1.7320508075688772</v>
      </c>
      <c r="M28" s="807">
        <f>I28/L28</f>
        <v>70.494398602136116</v>
      </c>
      <c r="N28" s="833" t="e">
        <f t="shared" si="11"/>
        <v>#REF!</v>
      </c>
      <c r="O28" s="1172" t="s">
        <v>325</v>
      </c>
      <c r="P28" s="1177">
        <f>$C$122</f>
        <v>122.09988002791218</v>
      </c>
      <c r="Q28" s="804" t="s">
        <v>325</v>
      </c>
      <c r="R28" s="804" t="s">
        <v>370</v>
      </c>
      <c r="S28" s="805">
        <f t="shared" si="12"/>
        <v>1.7320508075688772</v>
      </c>
      <c r="T28" s="807">
        <f>P28/S28</f>
        <v>70.494398602136116</v>
      </c>
      <c r="U28" s="833" t="e">
        <f t="shared" si="13"/>
        <v>#VALUE!</v>
      </c>
      <c r="V28" s="812" t="s">
        <v>325</v>
      </c>
      <c r="W28" s="806">
        <f>$C$122</f>
        <v>122.09988002791218</v>
      </c>
      <c r="X28" s="804" t="s">
        <v>325</v>
      </c>
      <c r="Y28" s="804" t="s">
        <v>370</v>
      </c>
      <c r="Z28" s="805">
        <f t="shared" si="14"/>
        <v>1.7320508075688772</v>
      </c>
      <c r="AA28" s="807">
        <f>W28/Z28</f>
        <v>70.494398602136116</v>
      </c>
      <c r="AB28" s="835" t="e">
        <f t="shared" si="5"/>
        <v>#REF!</v>
      </c>
      <c r="AC28" s="1172" t="s">
        <v>325</v>
      </c>
      <c r="AD28" s="1177">
        <f>$C$122</f>
        <v>122.09988002791218</v>
      </c>
      <c r="AE28" s="804" t="s">
        <v>325</v>
      </c>
      <c r="AF28" s="804" t="s">
        <v>370</v>
      </c>
      <c r="AG28" s="805">
        <f t="shared" si="15"/>
        <v>1.7320508075688772</v>
      </c>
      <c r="AH28" s="807">
        <f>AD28/AG28</f>
        <v>70.494398602136116</v>
      </c>
      <c r="AI28" s="835" t="e">
        <f t="shared" si="16"/>
        <v>#VALUE!</v>
      </c>
      <c r="AJ28" s="812" t="s">
        <v>325</v>
      </c>
      <c r="AK28" s="806">
        <f>$C$122</f>
        <v>122.09988002791218</v>
      </c>
      <c r="AL28" s="804" t="s">
        <v>325</v>
      </c>
      <c r="AM28" s="804" t="s">
        <v>370</v>
      </c>
      <c r="AN28" s="805">
        <f t="shared" si="17"/>
        <v>1.7320508075688772</v>
      </c>
      <c r="AO28" s="807">
        <f>AK28/AN28</f>
        <v>70.494398602136116</v>
      </c>
      <c r="AP28" s="839" t="e">
        <f t="shared" si="6"/>
        <v>#REF!</v>
      </c>
      <c r="AQ28" s="1172" t="s">
        <v>325</v>
      </c>
      <c r="AR28" s="1177">
        <f>$C$122</f>
        <v>122.09988002791218</v>
      </c>
      <c r="AS28" s="804" t="s">
        <v>325</v>
      </c>
      <c r="AT28" s="804" t="s">
        <v>370</v>
      </c>
      <c r="AU28" s="805">
        <f t="shared" si="18"/>
        <v>1.7320508075688772</v>
      </c>
      <c r="AV28" s="807">
        <f>AR28/AU28</f>
        <v>70.494398602136116</v>
      </c>
      <c r="AW28" s="839" t="e">
        <f t="shared" si="19"/>
        <v>#VALUE!</v>
      </c>
      <c r="AX28" s="812" t="s">
        <v>325</v>
      </c>
      <c r="AY28" s="806">
        <f>$C$122</f>
        <v>122.09988002791218</v>
      </c>
      <c r="AZ28" s="804" t="s">
        <v>325</v>
      </c>
      <c r="BA28" s="804" t="s">
        <v>370</v>
      </c>
      <c r="BB28" s="805">
        <f t="shared" si="20"/>
        <v>1.7320508075688772</v>
      </c>
      <c r="BC28" s="818">
        <f>AY28/BB28</f>
        <v>70.494398602136116</v>
      </c>
      <c r="BD28" s="839" t="e">
        <f t="shared" si="7"/>
        <v>#VALUE!</v>
      </c>
      <c r="BE28" s="1168" t="s">
        <v>325</v>
      </c>
      <c r="BF28" s="1177">
        <f>$C$122</f>
        <v>122.09988002791218</v>
      </c>
      <c r="BG28" s="804" t="s">
        <v>325</v>
      </c>
      <c r="BH28" s="804" t="s">
        <v>370</v>
      </c>
      <c r="BI28" s="805">
        <f t="shared" si="21"/>
        <v>1.7320508075688772</v>
      </c>
      <c r="BJ28" s="818">
        <f>BF28/BI28</f>
        <v>70.494398602136116</v>
      </c>
      <c r="BK28" s="839" t="e">
        <f t="shared" si="22"/>
        <v>#VALUE!</v>
      </c>
      <c r="BL28" s="830" t="s">
        <v>325</v>
      </c>
      <c r="BM28" s="806">
        <f>$C$122</f>
        <v>122.09988002791218</v>
      </c>
      <c r="BN28" s="804" t="s">
        <v>325</v>
      </c>
      <c r="BO28" s="804" t="s">
        <v>370</v>
      </c>
      <c r="BP28" s="805">
        <f t="shared" si="23"/>
        <v>1.7320508075688772</v>
      </c>
      <c r="BQ28" s="807">
        <f>BM28/BP28</f>
        <v>70.494398602136116</v>
      </c>
      <c r="BR28" s="841" t="e">
        <f t="shared" si="8"/>
        <v>#VALUE!</v>
      </c>
      <c r="BS28" s="1172" t="s">
        <v>325</v>
      </c>
      <c r="BT28" s="1177">
        <f>$C$122</f>
        <v>122.09988002791218</v>
      </c>
      <c r="BU28" s="804" t="s">
        <v>325</v>
      </c>
      <c r="BV28" s="804" t="s">
        <v>370</v>
      </c>
      <c r="BW28" s="805">
        <f t="shared" si="24"/>
        <v>1.7320508075688772</v>
      </c>
      <c r="BX28" s="807">
        <f>BT28/BW28</f>
        <v>70.494398602136116</v>
      </c>
      <c r="BY28" s="841" t="e">
        <f t="shared" si="25"/>
        <v>#VALUE!</v>
      </c>
      <c r="BZ28" s="812" t="s">
        <v>325</v>
      </c>
      <c r="CA28" s="806">
        <f>$C$122</f>
        <v>122.09988002791218</v>
      </c>
      <c r="CB28" s="804" t="s">
        <v>325</v>
      </c>
      <c r="CC28" s="804" t="s">
        <v>370</v>
      </c>
      <c r="CD28" s="805">
        <f t="shared" si="26"/>
        <v>1.7320508075688772</v>
      </c>
      <c r="CE28" s="807">
        <f>CA28/CD28</f>
        <v>70.494398602136116</v>
      </c>
      <c r="CF28" s="845" t="e">
        <f t="shared" si="0"/>
        <v>#VALUE!</v>
      </c>
      <c r="CG28" s="1172" t="s">
        <v>325</v>
      </c>
      <c r="CH28" s="1177">
        <f>$C$122</f>
        <v>122.09988002791218</v>
      </c>
      <c r="CI28" s="804" t="s">
        <v>325</v>
      </c>
      <c r="CJ28" s="804" t="s">
        <v>370</v>
      </c>
      <c r="CK28" s="805">
        <f t="shared" si="27"/>
        <v>1.7320508075688772</v>
      </c>
      <c r="CL28" s="807">
        <f>CH28/CK28</f>
        <v>70.494398602136116</v>
      </c>
      <c r="CM28" s="845" t="e">
        <f t="shared" si="28"/>
        <v>#VALUE!</v>
      </c>
      <c r="CN28" s="812" t="s">
        <v>325</v>
      </c>
      <c r="CO28" s="806">
        <f>$C$122</f>
        <v>122.09988002791218</v>
      </c>
      <c r="CP28" s="804" t="s">
        <v>370</v>
      </c>
      <c r="CQ28" s="804" t="s">
        <v>370</v>
      </c>
      <c r="CR28" s="805">
        <f t="shared" si="1"/>
        <v>1.7320508075688772</v>
      </c>
      <c r="CS28" s="807">
        <f>CO28/CR28</f>
        <v>70.494398602136116</v>
      </c>
      <c r="CT28" s="845" t="e">
        <f t="shared" si="2"/>
        <v>#VALUE!</v>
      </c>
      <c r="CU28" s="1172" t="s">
        <v>325</v>
      </c>
      <c r="CV28" s="1177">
        <f>$C$122</f>
        <v>122.09988002791218</v>
      </c>
      <c r="CW28" s="804" t="s">
        <v>370</v>
      </c>
      <c r="CX28" s="804" t="s">
        <v>370</v>
      </c>
      <c r="CY28" s="805">
        <f t="shared" si="29"/>
        <v>1.7320508075688772</v>
      </c>
      <c r="CZ28" s="807">
        <f>CV28/CY28</f>
        <v>70.494398602136116</v>
      </c>
      <c r="DA28" s="845" t="e">
        <f t="shared" si="30"/>
        <v>#VALUE!</v>
      </c>
      <c r="DB28" s="812" t="s">
        <v>325</v>
      </c>
      <c r="DC28" s="806">
        <f>$C$122</f>
        <v>122.09988002791218</v>
      </c>
      <c r="DD28" s="804" t="s">
        <v>325</v>
      </c>
      <c r="DE28" s="804" t="s">
        <v>370</v>
      </c>
      <c r="DF28" s="805">
        <f t="shared" si="31"/>
        <v>1.7320508075688772</v>
      </c>
      <c r="DG28" s="807">
        <f>DC28/DF28</f>
        <v>70.494398602136116</v>
      </c>
      <c r="DH28" s="839" t="e">
        <f t="shared" si="9"/>
        <v>#VALUE!</v>
      </c>
      <c r="DI28" s="1172" t="s">
        <v>325</v>
      </c>
      <c r="DJ28" s="1177">
        <f>$C$122</f>
        <v>122.09988002791218</v>
      </c>
      <c r="DK28" s="804" t="s">
        <v>325</v>
      </c>
      <c r="DL28" s="804" t="s">
        <v>370</v>
      </c>
      <c r="DM28" s="805">
        <f t="shared" si="32"/>
        <v>1.7320508075688772</v>
      </c>
      <c r="DN28" s="807">
        <f>DJ28/DM28</f>
        <v>70.494398602136116</v>
      </c>
      <c r="DO28" s="839" t="e">
        <f t="shared" si="33"/>
        <v>#VALUE!</v>
      </c>
      <c r="DP28" s="812" t="s">
        <v>325</v>
      </c>
      <c r="DQ28" s="806">
        <f>$C$122</f>
        <v>122.09988002791218</v>
      </c>
      <c r="DR28" s="804" t="s">
        <v>325</v>
      </c>
      <c r="DS28" s="804" t="s">
        <v>370</v>
      </c>
      <c r="DT28" s="805">
        <f t="shared" si="34"/>
        <v>1.7320508075688772</v>
      </c>
      <c r="DU28" s="807">
        <f>DQ28/DT28</f>
        <v>70.494398602136116</v>
      </c>
      <c r="DV28" s="839" t="e">
        <f t="shared" si="3"/>
        <v>#VALUE!</v>
      </c>
      <c r="DW28" s="1172" t="s">
        <v>325</v>
      </c>
      <c r="DX28" s="1177">
        <f>$C$122</f>
        <v>122.09988002791218</v>
      </c>
      <c r="DY28" s="804" t="s">
        <v>325</v>
      </c>
      <c r="DZ28" s="804" t="s">
        <v>370</v>
      </c>
      <c r="EA28" s="805">
        <f t="shared" si="35"/>
        <v>1.7320508075688772</v>
      </c>
      <c r="EB28" s="807">
        <f>DX28/EA28</f>
        <v>70.494398602136116</v>
      </c>
      <c r="EC28" s="839" t="e">
        <f t="shared" si="36"/>
        <v>#VALUE!</v>
      </c>
      <c r="ED28" s="812" t="s">
        <v>325</v>
      </c>
      <c r="EE28" s="806">
        <f>$C$122</f>
        <v>122.09988002791218</v>
      </c>
      <c r="EF28" s="804" t="s">
        <v>325</v>
      </c>
      <c r="EG28" s="804" t="s">
        <v>370</v>
      </c>
      <c r="EH28" s="805">
        <f t="shared" si="37"/>
        <v>1.7320508075688772</v>
      </c>
      <c r="EI28" s="807">
        <f>EE28/EH28</f>
        <v>70.494398602136116</v>
      </c>
      <c r="EJ28" s="839" t="e">
        <f t="shared" si="38"/>
        <v>#VALUE!</v>
      </c>
      <c r="EK28" s="1172" t="s">
        <v>325</v>
      </c>
      <c r="EL28" s="1177">
        <f>$C$122</f>
        <v>122.09988002791218</v>
      </c>
      <c r="EM28" s="804" t="s">
        <v>325</v>
      </c>
      <c r="EN28" s="804" t="s">
        <v>370</v>
      </c>
      <c r="EO28" s="805">
        <f t="shared" si="39"/>
        <v>1.7320508075688772</v>
      </c>
      <c r="EP28" s="807">
        <f>EL28/EO28</f>
        <v>70.494398602136116</v>
      </c>
      <c r="EQ28" s="839" t="e">
        <f t="shared" si="40"/>
        <v>#VALUE!</v>
      </c>
      <c r="ER28" s="812" t="s">
        <v>325</v>
      </c>
      <c r="ES28" s="806">
        <f>$C$122</f>
        <v>122.09988002791218</v>
      </c>
      <c r="ET28" s="804" t="s">
        <v>325</v>
      </c>
      <c r="EU28" s="804" t="s">
        <v>370</v>
      </c>
      <c r="EV28" s="805">
        <f t="shared" si="41"/>
        <v>1.7320508075688772</v>
      </c>
      <c r="EW28" s="807">
        <f>ES28/EV28</f>
        <v>70.494398602136116</v>
      </c>
      <c r="EX28" s="839" t="e">
        <f t="shared" si="42"/>
        <v>#VALUE!</v>
      </c>
      <c r="EY28" s="1172" t="s">
        <v>325</v>
      </c>
      <c r="EZ28" s="1177">
        <f>$C$122</f>
        <v>122.09988002791218</v>
      </c>
      <c r="FA28" s="804" t="s">
        <v>325</v>
      </c>
      <c r="FB28" s="804" t="s">
        <v>370</v>
      </c>
      <c r="FC28" s="805">
        <f t="shared" si="43"/>
        <v>1.7320508075688772</v>
      </c>
      <c r="FD28" s="807">
        <f>EZ28/FC28</f>
        <v>70.494398602136116</v>
      </c>
      <c r="FE28" s="839" t="e">
        <f t="shared" si="44"/>
        <v>#VALUE!</v>
      </c>
      <c r="FF28" s="812" t="s">
        <v>325</v>
      </c>
      <c r="FG28" s="806">
        <f>$C$122</f>
        <v>122.09988002791218</v>
      </c>
      <c r="FH28" s="804" t="s">
        <v>325</v>
      </c>
      <c r="FI28" s="804" t="s">
        <v>370</v>
      </c>
      <c r="FJ28" s="805">
        <f t="shared" si="45"/>
        <v>1.7320508075688772</v>
      </c>
      <c r="FK28" s="807">
        <f>FG28/FJ28</f>
        <v>70.494398602136116</v>
      </c>
      <c r="FL28" s="839" t="e">
        <f t="shared" si="46"/>
        <v>#VALUE!</v>
      </c>
      <c r="FM28" s="1172" t="s">
        <v>325</v>
      </c>
      <c r="FN28" s="1177">
        <f>$C$122</f>
        <v>122.09988002791218</v>
      </c>
      <c r="FO28" s="804" t="s">
        <v>325</v>
      </c>
      <c r="FP28" s="804" t="s">
        <v>370</v>
      </c>
      <c r="FQ28" s="805">
        <f t="shared" si="4"/>
        <v>1.7320508075688772</v>
      </c>
      <c r="FR28" s="807">
        <f>FN28/FQ28</f>
        <v>70.494398602136116</v>
      </c>
      <c r="FS28" s="839" t="e">
        <f t="shared" si="47"/>
        <v>#VALUE!</v>
      </c>
      <c r="FT28" s="812" t="s">
        <v>325</v>
      </c>
    </row>
    <row r="29" spans="1:176" ht="18" x14ac:dyDescent="0.25">
      <c r="A29" s="741">
        <v>5</v>
      </c>
      <c r="B29" s="2555" t="s">
        <v>429</v>
      </c>
      <c r="C29" s="2556"/>
      <c r="D29" s="2556"/>
      <c r="E29" s="2556"/>
      <c r="F29" s="2557"/>
      <c r="G29" s="793" t="s">
        <v>621</v>
      </c>
      <c r="H29" s="781" t="s">
        <v>451</v>
      </c>
      <c r="I29" s="803">
        <f>$C$136</f>
        <v>1.9915985219840348E-3</v>
      </c>
      <c r="J29" s="804" t="s">
        <v>93</v>
      </c>
      <c r="K29" s="804" t="s">
        <v>370</v>
      </c>
      <c r="L29" s="805">
        <f t="shared" si="10"/>
        <v>1.7320508075688772</v>
      </c>
      <c r="M29" s="814" t="e">
        <f>CHOOSE(#REF!,I29/L29*I19,I29/L29*I19*1000,I29/L29*I19*1000000,I29/L29*I19*'Datos varios'!$E$119,I29/L29*I19*'Datos varios'!$E$120,I29/L29*I19*'Datos varios'!$E$121,I29/L29*I19*'Datos varios'!$E$122,I29/L29*I19*'Datos varios'!$E$123,"-")</f>
        <v>#REF!</v>
      </c>
      <c r="N29" s="833" t="e">
        <f t="shared" si="11"/>
        <v>#REF!</v>
      </c>
      <c r="O29" s="1172" t="s">
        <v>325</v>
      </c>
      <c r="P29" s="1176">
        <f>$C$136</f>
        <v>1.9915985219840348E-3</v>
      </c>
      <c r="Q29" s="804" t="s">
        <v>93</v>
      </c>
      <c r="R29" s="804" t="s">
        <v>370</v>
      </c>
      <c r="S29" s="805">
        <f t="shared" si="12"/>
        <v>1.7320508075688772</v>
      </c>
      <c r="T29" s="814" t="str">
        <f>CHOOSE('F-LSCD-012'!V35,P29/S29*P19,P29/S29*P19*1000,P29/S29*P19*1000000,P29/S29*P19*'Datos varios'!$E$119,P29/S29*P19*'Datos varios'!$E$120,P29/S29*P19*'Datos varios'!$E$121,P29/S29*P19*'Datos varios'!$E$122,P29/S29*P19*'Datos varios'!$E$123,"-")</f>
        <v>-</v>
      </c>
      <c r="U29" s="833" t="e">
        <f t="shared" si="13"/>
        <v>#VALUE!</v>
      </c>
      <c r="V29" s="812" t="s">
        <v>325</v>
      </c>
      <c r="W29" s="803">
        <f>$C$136</f>
        <v>1.9915985219840348E-3</v>
      </c>
      <c r="X29" s="804" t="s">
        <v>93</v>
      </c>
      <c r="Y29" s="804" t="s">
        <v>370</v>
      </c>
      <c r="Z29" s="805">
        <f t="shared" si="14"/>
        <v>1.7320508075688772</v>
      </c>
      <c r="AA29" s="814" t="e">
        <f>CHOOSE(#REF!,W29/Z29*W19,W29/Z29*W19*1000,W29/Z29*W19*1000000,W29/Z29*W19*'Datos varios'!$E$119,W29/Z29*W19*'Datos varios'!$E$120,W29/Z29*W19*'Datos varios'!$E$121,W29/Z29*W19*'Datos varios'!$E$122,W29/Z29*W19*'Datos varios'!$E$123,"-")</f>
        <v>#REF!</v>
      </c>
      <c r="AB29" s="835" t="e">
        <f t="shared" si="5"/>
        <v>#REF!</v>
      </c>
      <c r="AC29" s="1172" t="s">
        <v>325</v>
      </c>
      <c r="AD29" s="1176">
        <f>$C$136</f>
        <v>1.9915985219840348E-3</v>
      </c>
      <c r="AE29" s="804" t="s">
        <v>93</v>
      </c>
      <c r="AF29" s="804" t="s">
        <v>370</v>
      </c>
      <c r="AG29" s="805">
        <f t="shared" si="15"/>
        <v>1.7320508075688772</v>
      </c>
      <c r="AH29" s="814" t="str">
        <f>CHOOSE('F-LSCD-012'!V37,AD29/AG29*AD19,AD29/AG29*AD19*1000,AD29/AG29*AD19*1000000,AD29/AG29*AD19*'Datos varios'!$E$119,AD29/AG29*AD19*'Datos varios'!$E$120,AD29/AG29*AD19*'Datos varios'!$E$121,AD29/AG29*AD19*'Datos varios'!$E$122,AD29/AG29*AD19*'Datos varios'!$E$123,"-")</f>
        <v>-</v>
      </c>
      <c r="AI29" s="835" t="e">
        <f t="shared" si="16"/>
        <v>#VALUE!</v>
      </c>
      <c r="AJ29" s="812" t="s">
        <v>325</v>
      </c>
      <c r="AK29" s="803">
        <f>$C$136</f>
        <v>1.9915985219840348E-3</v>
      </c>
      <c r="AL29" s="804" t="s">
        <v>93</v>
      </c>
      <c r="AM29" s="804" t="s">
        <v>370</v>
      </c>
      <c r="AN29" s="805">
        <f t="shared" si="17"/>
        <v>1.7320508075688772</v>
      </c>
      <c r="AO29" s="814" t="e">
        <f>CHOOSE(#REF!,AK29/AN29*AK19,AK29/AN29*AK19*1000,AK29/AN29*AK19*1000000,AK29/AN29*AK19*'Datos varios'!$E$119,AK29/AN29*AK19*'Datos varios'!$E$120,AK29/AN29*AK19*'Datos varios'!$E$121,AK29/AN29*AK19*'Datos varios'!$E$122,AK29/AN29*AK19*'Datos varios'!$E$123,"-")</f>
        <v>#REF!</v>
      </c>
      <c r="AP29" s="839" t="e">
        <f t="shared" si="6"/>
        <v>#REF!</v>
      </c>
      <c r="AQ29" s="1172" t="s">
        <v>325</v>
      </c>
      <c r="AR29" s="1176">
        <f>$C$136</f>
        <v>1.9915985219840348E-3</v>
      </c>
      <c r="AS29" s="804" t="s">
        <v>93</v>
      </c>
      <c r="AT29" s="804" t="s">
        <v>370</v>
      </c>
      <c r="AU29" s="805">
        <f t="shared" si="18"/>
        <v>1.7320508075688772</v>
      </c>
      <c r="AV29" s="814" t="str">
        <f>CHOOSE('F-LSCD-012'!V39,AR29/AU29*AR19,AR29/AU29*AR19*1000,AR29/AU29*AR19*1000000,AR29/AU29*AR19*'Datos varios'!$E$119,AR29/AU29*AR19*'Datos varios'!$E$120,AR29/AU29*AR19*'Datos varios'!$E$121,AR29/AU29*AR19*'Datos varios'!$E$122,AR29/AU29*AR19*'Datos varios'!$E$123,"-")</f>
        <v>-</v>
      </c>
      <c r="AW29" s="839" t="e">
        <f t="shared" si="19"/>
        <v>#VALUE!</v>
      </c>
      <c r="AX29" s="812" t="s">
        <v>325</v>
      </c>
      <c r="AY29" s="803">
        <f>$C$136</f>
        <v>1.9915985219840348E-3</v>
      </c>
      <c r="AZ29" s="804" t="s">
        <v>93</v>
      </c>
      <c r="BA29" s="804" t="s">
        <v>370</v>
      </c>
      <c r="BB29" s="805">
        <f t="shared" si="20"/>
        <v>1.7320508075688772</v>
      </c>
      <c r="BC29" s="814" t="str">
        <f>CHOOSE('F-LSCD-012'!V40,AY29/BB29*AY19,AY29/BB29*AY19*1000,AY29/BB29*AY19*1000000,AY29/BB29*AY19*'Datos varios'!$E$119,AY29/BB29*AY19*'Datos varios'!$E$120,AY29/BB29*AY19*'Datos varios'!$E$121,AY29/BB29*AY19*'Datos varios'!$E$122,AY29/BB29*AY19*'Datos varios'!$E$123,"-")</f>
        <v>-</v>
      </c>
      <c r="BD29" s="839" t="e">
        <f t="shared" si="7"/>
        <v>#VALUE!</v>
      </c>
      <c r="BE29" s="1168" t="s">
        <v>325</v>
      </c>
      <c r="BF29" s="1176">
        <f>$C$136</f>
        <v>1.9915985219840348E-3</v>
      </c>
      <c r="BG29" s="804" t="s">
        <v>93</v>
      </c>
      <c r="BH29" s="804" t="s">
        <v>370</v>
      </c>
      <c r="BI29" s="805">
        <f t="shared" si="21"/>
        <v>1.7320508075688772</v>
      </c>
      <c r="BJ29" s="814" t="str">
        <f>CHOOSE('F-LSCD-012'!V41,BF29/BI29*BF19,BF29/BI29*BF19*1000,BF29/BI29*BF19*1000000,BF29/BI29*BF19*'Datos varios'!$E$119,BF29/BI29*BF19*'Datos varios'!$E$120,BF29/BI29*BF19*'Datos varios'!$E$121,BF29/BI29*BF19*'Datos varios'!$E$122,BF29/BI29*BF19*'Datos varios'!$E$123,"-")</f>
        <v>-</v>
      </c>
      <c r="BK29" s="839" t="e">
        <f t="shared" si="22"/>
        <v>#VALUE!</v>
      </c>
      <c r="BL29" s="830" t="s">
        <v>325</v>
      </c>
      <c r="BM29" s="803">
        <f>$C$136</f>
        <v>1.9915985219840348E-3</v>
      </c>
      <c r="BN29" s="804" t="s">
        <v>93</v>
      </c>
      <c r="BO29" s="804" t="s">
        <v>370</v>
      </c>
      <c r="BP29" s="805">
        <f t="shared" si="23"/>
        <v>1.7320508075688772</v>
      </c>
      <c r="BQ29" s="814" t="str">
        <f>CHOOSE('F-LSCD-012'!V42,BM29/BP29*BM19,BM29/BP29*BM19*1000,BM29/BP29*BM19*1000000,BM29/BP29*BM19*'Datos varios'!$E$119,BM29/BP29*BM19*'Datos varios'!$E$120,BM29/BP29*BM19*'Datos varios'!$E$121,BM29/BP29*BM19*'Datos varios'!$E$122,BM29/BP29*BM19*'Datos varios'!$E$123,"-")</f>
        <v>-</v>
      </c>
      <c r="BR29" s="841" t="e">
        <f t="shared" si="8"/>
        <v>#VALUE!</v>
      </c>
      <c r="BS29" s="1172" t="s">
        <v>325</v>
      </c>
      <c r="BT29" s="1176">
        <f>$C$136</f>
        <v>1.9915985219840348E-3</v>
      </c>
      <c r="BU29" s="804" t="s">
        <v>93</v>
      </c>
      <c r="BV29" s="804" t="s">
        <v>370</v>
      </c>
      <c r="BW29" s="805">
        <f t="shared" si="24"/>
        <v>1.7320508075688772</v>
      </c>
      <c r="BX29" s="814" t="str">
        <f>CHOOSE('F-LSCD-012'!V43,BT29/BW29*BT19,BT29/BW29*BT19*1000,BT29/BW29*BT19*1000000,BT29/BW29*BT19*'Datos varios'!$E$119,BT29/BW29*BT19*'Datos varios'!$E$120,BT29/BW29*BT19*'Datos varios'!$E$121,BT29/BW29*BT19*'Datos varios'!$E$122,BT29/BW29*BT19*'Datos varios'!$E$123,"-")</f>
        <v>-</v>
      </c>
      <c r="BY29" s="841" t="e">
        <f t="shared" si="25"/>
        <v>#VALUE!</v>
      </c>
      <c r="BZ29" s="812" t="s">
        <v>325</v>
      </c>
      <c r="CA29" s="803">
        <f>$C$136</f>
        <v>1.9915985219840348E-3</v>
      </c>
      <c r="CB29" s="804" t="s">
        <v>93</v>
      </c>
      <c r="CC29" s="804" t="s">
        <v>370</v>
      </c>
      <c r="CD29" s="805">
        <f t="shared" si="26"/>
        <v>1.7320508075688772</v>
      </c>
      <c r="CE29" s="814" t="str">
        <f>CHOOSE('F-LSCD-012'!V44,CA29/CD29*CA19,CA29/CD29*CA19*1000,CA29/CD29*CA19*1000000,CA29/CD29*CA19*'Datos varios'!$E$119,CA29/CD29*CA19*'Datos varios'!$E$120,CA29/CD29*CA19*'Datos varios'!$E$121,CA29/CD29*CA19*'Datos varios'!$E$122,CA29/CD29*CA19*'Datos varios'!$E$123,"-")</f>
        <v>-</v>
      </c>
      <c r="CF29" s="845" t="e">
        <f t="shared" si="0"/>
        <v>#VALUE!</v>
      </c>
      <c r="CG29" s="1172" t="s">
        <v>325</v>
      </c>
      <c r="CH29" s="1176">
        <f>$C$136</f>
        <v>1.9915985219840348E-3</v>
      </c>
      <c r="CI29" s="804" t="s">
        <v>93</v>
      </c>
      <c r="CJ29" s="804" t="s">
        <v>370</v>
      </c>
      <c r="CK29" s="805">
        <f t="shared" si="27"/>
        <v>1.7320508075688772</v>
      </c>
      <c r="CL29" s="814" t="str">
        <f>CHOOSE('F-LSCD-012'!V45,CH29/CK29*CH19,CH29/CK29*CH19*1000,CH29/CK29*CH19*1000000,CH29/CK29*CH19*'Datos varios'!$E$119,CH29/CK29*CH19*'Datos varios'!$E$120,CH29/CK29*CH19*'Datos varios'!$E$121,CH29/CK29*CH19*'Datos varios'!$E$122,CH29/CK29*CH19*'Datos varios'!$E$123,"-")</f>
        <v>-</v>
      </c>
      <c r="CM29" s="845" t="e">
        <f t="shared" si="28"/>
        <v>#VALUE!</v>
      </c>
      <c r="CN29" s="812" t="s">
        <v>325</v>
      </c>
      <c r="CO29" s="803">
        <f>$C$136</f>
        <v>1.9915985219840348E-3</v>
      </c>
      <c r="CP29" s="804" t="s">
        <v>370</v>
      </c>
      <c r="CQ29" s="804" t="s">
        <v>370</v>
      </c>
      <c r="CR29" s="805">
        <f t="shared" si="1"/>
        <v>1.7320508075688772</v>
      </c>
      <c r="CS29" s="814" t="str">
        <f>CHOOSE('F-LSCD-012'!V46,CO29/CR29*CO19,CO29/CR29*CO19*1000,CO29/CR29*CO19*1000000,CO29/CR29*CO19*'Datos varios'!$E$119,CO29/CR29*CO19*'Datos varios'!$E$120,CO29/CR29*CO19*'Datos varios'!$E$121,CO29/CR29*CO19*'Datos varios'!$E$122,CO29/CR29*CO19*'Datos varios'!$E$123,"-")</f>
        <v>-</v>
      </c>
      <c r="CT29" s="845" t="e">
        <f t="shared" si="2"/>
        <v>#VALUE!</v>
      </c>
      <c r="CU29" s="1172" t="s">
        <v>325</v>
      </c>
      <c r="CV29" s="1176">
        <f>$C$136</f>
        <v>1.9915985219840348E-3</v>
      </c>
      <c r="CW29" s="804" t="s">
        <v>370</v>
      </c>
      <c r="CX29" s="804" t="s">
        <v>370</v>
      </c>
      <c r="CY29" s="805">
        <f t="shared" si="29"/>
        <v>1.7320508075688772</v>
      </c>
      <c r="CZ29" s="814" t="str">
        <f>CHOOSE('F-LSCD-012'!V47,CV29/CY29*CV19,CV29/CY29*CV19*1000,CV29/CY29*CV19*1000000,CV29/CY29*CV19*'Datos varios'!$E$119,CV29/CY29*CV19*'Datos varios'!$E$120,CV29/CY29*CV19*'Datos varios'!$E$121,CV29/CY29*CV19*'Datos varios'!$E$122,CV29/CY29*CV19*'Datos varios'!$E$123,"-")</f>
        <v>-</v>
      </c>
      <c r="DA29" s="845" t="e">
        <f t="shared" si="30"/>
        <v>#VALUE!</v>
      </c>
      <c r="DB29" s="812" t="s">
        <v>325</v>
      </c>
      <c r="DC29" s="803">
        <f>$C$136</f>
        <v>1.9915985219840348E-3</v>
      </c>
      <c r="DD29" s="804" t="s">
        <v>93</v>
      </c>
      <c r="DE29" s="804" t="s">
        <v>370</v>
      </c>
      <c r="DF29" s="805">
        <f t="shared" si="31"/>
        <v>1.7320508075688772</v>
      </c>
      <c r="DG29" s="814" t="str">
        <f>CHOOSE('F-LSCD-012'!V48,DC29/DF29*DC19,DC29/DF29*DC19*1000,DC29/DF29*DC19*1000000,DC29/DF29*DC19*'Datos varios'!$E$119,DC29/DF29*DC19*'Datos varios'!$E$120,DC29/DF29*DC19*'Datos varios'!$E$121,DC29/DF29*DC19*'Datos varios'!$E$122,DC29/DF29*DC19*'Datos varios'!$E$123,"-")</f>
        <v>-</v>
      </c>
      <c r="DH29" s="839" t="e">
        <f t="shared" si="9"/>
        <v>#VALUE!</v>
      </c>
      <c r="DI29" s="1172" t="s">
        <v>325</v>
      </c>
      <c r="DJ29" s="1176">
        <f>$C$136</f>
        <v>1.9915985219840348E-3</v>
      </c>
      <c r="DK29" s="804" t="s">
        <v>93</v>
      </c>
      <c r="DL29" s="804" t="s">
        <v>370</v>
      </c>
      <c r="DM29" s="805">
        <f t="shared" si="32"/>
        <v>1.7320508075688772</v>
      </c>
      <c r="DN29" s="814" t="str">
        <f>CHOOSE('F-LSCD-012'!V49,DJ29/DM29*DJ19,DJ29/DM29*DJ19*1000,DJ29/DM29*DJ19*1000000,DJ29/DM29*DJ19*'Datos varios'!$E$119,DJ29/DM29*DJ19*'Datos varios'!$E$120,DJ29/DM29*DJ19*'Datos varios'!$E$121,DJ29/DM29*DJ19*'Datos varios'!$E$122,DJ29/DM29*DJ19*'Datos varios'!$E$123,"-")</f>
        <v>-</v>
      </c>
      <c r="DO29" s="839" t="e">
        <f t="shared" si="33"/>
        <v>#VALUE!</v>
      </c>
      <c r="DP29" s="812" t="s">
        <v>325</v>
      </c>
      <c r="DQ29" s="803">
        <f>$C$136</f>
        <v>1.9915985219840348E-3</v>
      </c>
      <c r="DR29" s="804" t="s">
        <v>93</v>
      </c>
      <c r="DS29" s="804" t="s">
        <v>370</v>
      </c>
      <c r="DT29" s="805">
        <f t="shared" si="34"/>
        <v>1.7320508075688772</v>
      </c>
      <c r="DU29" s="814" t="str">
        <f>CHOOSE('F-LSCD-012'!V50,DQ29/DT29*DQ19,DQ29/DT29*DQ19*1000,DQ29/DT29*DQ19*1000000,DQ29/DT29*DQ19*'Datos varios'!$E$119,DQ29/DT29*DQ19*'Datos varios'!$E$120,DQ29/DT29*DQ19*'Datos varios'!$E$121,DQ29/DT29*DQ19*'Datos varios'!$E$122,DQ29/DT29*DQ19*'Datos varios'!$E$123,"-")</f>
        <v>-</v>
      </c>
      <c r="DV29" s="839" t="e">
        <f t="shared" si="3"/>
        <v>#VALUE!</v>
      </c>
      <c r="DW29" s="1172" t="s">
        <v>325</v>
      </c>
      <c r="DX29" s="1176">
        <f>$C$136</f>
        <v>1.9915985219840348E-3</v>
      </c>
      <c r="DY29" s="804" t="s">
        <v>93</v>
      </c>
      <c r="DZ29" s="804" t="s">
        <v>370</v>
      </c>
      <c r="EA29" s="805">
        <f t="shared" si="35"/>
        <v>1.7320508075688772</v>
      </c>
      <c r="EB29" s="814" t="str">
        <f>CHOOSE('F-LSCD-012'!V51,DX29/EA29*DX19,DX29/EA29*DX19*1000,DX29/EA29*DX19*1000000,DX29/EA29*DX19*'Datos varios'!$E$119,DX29/EA29*DX19*'Datos varios'!$E$120,DX29/EA29*DX19*'Datos varios'!$E$121,DX29/EA29*DX19*'Datos varios'!$E$122,DX29/EA29*DX19*'Datos varios'!$E$123,"-")</f>
        <v>-</v>
      </c>
      <c r="EC29" s="839" t="e">
        <f t="shared" si="36"/>
        <v>#VALUE!</v>
      </c>
      <c r="ED29" s="812" t="s">
        <v>325</v>
      </c>
      <c r="EE29" s="803">
        <f>$C$136</f>
        <v>1.9915985219840348E-3</v>
      </c>
      <c r="EF29" s="804" t="s">
        <v>93</v>
      </c>
      <c r="EG29" s="804" t="s">
        <v>370</v>
      </c>
      <c r="EH29" s="805">
        <f t="shared" si="37"/>
        <v>1.7320508075688772</v>
      </c>
      <c r="EI29" s="814" t="str">
        <f>CHOOSE('F-LSCD-012'!V52,EE29/EH29*EE19,EE29/EH29*EE19*1000,EE29/EH29*EE19*1000000,EE29/EH29*EE19*'Datos varios'!$E$119,EE29/EH29*EE19*'Datos varios'!$E$120,EE29/EH29*EE19*'Datos varios'!$E$121,EE29/EH29*EE19*'Datos varios'!$E$122,EE29/EH29*EE19*'Datos varios'!$E$123,"-")</f>
        <v>-</v>
      </c>
      <c r="EJ29" s="839" t="e">
        <f t="shared" si="38"/>
        <v>#VALUE!</v>
      </c>
      <c r="EK29" s="1172" t="s">
        <v>325</v>
      </c>
      <c r="EL29" s="1176">
        <f>$C$136</f>
        <v>1.9915985219840348E-3</v>
      </c>
      <c r="EM29" s="804" t="s">
        <v>93</v>
      </c>
      <c r="EN29" s="804" t="s">
        <v>370</v>
      </c>
      <c r="EO29" s="805">
        <f t="shared" si="39"/>
        <v>1.7320508075688772</v>
      </c>
      <c r="EP29" s="814" t="str">
        <f>CHOOSE('F-LSCD-012'!V53,EL29/EO29*EL19,EL29/EO29*EL19*1000,EL29/EO29*EL19*1000000,EL29/EO29*EL19*'Datos varios'!$E$119,EL29/EO29*EL19*'Datos varios'!$E$120,EL29/EO29*EL19*'Datos varios'!$E$121,EL29/EO29*EL19*'Datos varios'!$E$122,EL29/EO29*EL19*'Datos varios'!$E$123,"-")</f>
        <v>-</v>
      </c>
      <c r="EQ29" s="839" t="e">
        <f t="shared" si="40"/>
        <v>#VALUE!</v>
      </c>
      <c r="ER29" s="812" t="s">
        <v>325</v>
      </c>
      <c r="ES29" s="803">
        <f>$C$136</f>
        <v>1.9915985219840348E-3</v>
      </c>
      <c r="ET29" s="804" t="s">
        <v>93</v>
      </c>
      <c r="EU29" s="804" t="s">
        <v>370</v>
      </c>
      <c r="EV29" s="805">
        <f t="shared" si="41"/>
        <v>1.7320508075688772</v>
      </c>
      <c r="EW29" s="814" t="str">
        <f>CHOOSE('F-LSCD-012'!V54,ES29/EV29*ES19,ES29/EV29*ES19*1000,ES29/EV29*ES19*1000000,ES29/EV29*ES19*'Datos varios'!$E$119,ES29/EV29*ES19*'Datos varios'!$E$120,ES29/EV29*ES19*'Datos varios'!$E$121,ES29/EV29*ES19*'Datos varios'!$E$122,ES29/EV29*ES19*'Datos varios'!$E$123,"-")</f>
        <v>-</v>
      </c>
      <c r="EX29" s="839" t="e">
        <f t="shared" si="42"/>
        <v>#VALUE!</v>
      </c>
      <c r="EY29" s="1172" t="s">
        <v>325</v>
      </c>
      <c r="EZ29" s="1176">
        <f>$C$136</f>
        <v>1.9915985219840348E-3</v>
      </c>
      <c r="FA29" s="804" t="s">
        <v>93</v>
      </c>
      <c r="FB29" s="804" t="s">
        <v>370</v>
      </c>
      <c r="FC29" s="805">
        <f t="shared" si="43"/>
        <v>1.7320508075688772</v>
      </c>
      <c r="FD29" s="814" t="str">
        <f>CHOOSE('F-LSCD-012'!V55,EZ29/FC29*EZ19,EZ29/FC29*EZ19*1000,EZ29/FC29*EZ19*1000000,EZ29/FC29*EZ19*'Datos varios'!$E$119,EZ29/FC29*EZ19*'Datos varios'!$E$120,EZ29/FC29*EZ19*'Datos varios'!$E$121,EZ29/FC29*EZ19*'Datos varios'!$E$122,EZ29/FC29*EZ19*'Datos varios'!$E$123,"-")</f>
        <v>-</v>
      </c>
      <c r="FE29" s="839" t="e">
        <f>FD29^2/$FD$34^2</f>
        <v>#VALUE!</v>
      </c>
      <c r="FF29" s="812" t="s">
        <v>325</v>
      </c>
      <c r="FG29" s="803">
        <f>$C$136</f>
        <v>1.9915985219840348E-3</v>
      </c>
      <c r="FH29" s="804" t="s">
        <v>93</v>
      </c>
      <c r="FI29" s="804" t="s">
        <v>370</v>
      </c>
      <c r="FJ29" s="805">
        <f t="shared" si="45"/>
        <v>1.7320508075688772</v>
      </c>
      <c r="FK29" s="814" t="str">
        <f>CHOOSE('F-LSCD-012'!V56,FG29/FJ29*FG19,FG29/FJ29*FG19*1000,FG29/FJ29*FG19*1000000,FG29/FJ29*FG19*'Datos varios'!$E$119,FG29/FJ29*FG19*'Datos varios'!$E$120,FG29/FJ29*FG19*'Datos varios'!$E$121,FG29/FJ29*FG19*'Datos varios'!$E$122,FG29/FJ29*FG19*'Datos varios'!$E$123,"-")</f>
        <v>-</v>
      </c>
      <c r="FL29" s="839" t="e">
        <f t="shared" si="46"/>
        <v>#VALUE!</v>
      </c>
      <c r="FM29" s="1172" t="s">
        <v>325</v>
      </c>
      <c r="FN29" s="1176">
        <f>$C$136</f>
        <v>1.9915985219840348E-3</v>
      </c>
      <c r="FO29" s="804" t="s">
        <v>93</v>
      </c>
      <c r="FP29" s="804" t="s">
        <v>370</v>
      </c>
      <c r="FQ29" s="805">
        <f t="shared" si="4"/>
        <v>1.7320508075688772</v>
      </c>
      <c r="FR29" s="814" t="str">
        <f>CHOOSE('F-LSCD-012'!V57,FN29/FQ29*FN19,FN29/FQ29*FN19*1000,FN29/FQ29*FN19*1000000,FN29/FQ29*FN19*'Datos varios'!$E$119,FN29/FQ29*FN19*'Datos varios'!$E$120,FN29/FQ29*FN19*'Datos varios'!$E$121,FN29/FQ29*FN19*'Datos varios'!$E$122,FN29/FQ29*FN19*'Datos varios'!$E$123,"-")</f>
        <v>-</v>
      </c>
      <c r="FS29" s="839" t="e">
        <f t="shared" si="47"/>
        <v>#VALUE!</v>
      </c>
      <c r="FT29" s="812" t="s">
        <v>325</v>
      </c>
    </row>
    <row r="30" spans="1:176" ht="18" x14ac:dyDescent="0.25">
      <c r="A30" s="741">
        <v>6</v>
      </c>
      <c r="B30" s="2555" t="s">
        <v>452</v>
      </c>
      <c r="C30" s="2556"/>
      <c r="D30" s="2556"/>
      <c r="E30" s="2556"/>
      <c r="F30" s="2557"/>
      <c r="G30" s="793" t="s">
        <v>622</v>
      </c>
      <c r="H30" s="781" t="s">
        <v>451</v>
      </c>
      <c r="I30" s="806">
        <f>$C$170</f>
        <v>44.87411741348896</v>
      </c>
      <c r="J30" s="804" t="s">
        <v>325</v>
      </c>
      <c r="K30" s="804" t="s">
        <v>373</v>
      </c>
      <c r="L30" s="805">
        <f t="shared" si="10"/>
        <v>2</v>
      </c>
      <c r="M30" s="807">
        <f>I30/L30</f>
        <v>22.43705870674448</v>
      </c>
      <c r="N30" s="833" t="e">
        <f t="shared" si="11"/>
        <v>#REF!</v>
      </c>
      <c r="O30" s="1172" t="s">
        <v>325</v>
      </c>
      <c r="P30" s="1177">
        <f>$C$170</f>
        <v>44.87411741348896</v>
      </c>
      <c r="Q30" s="804" t="s">
        <v>325</v>
      </c>
      <c r="R30" s="804" t="s">
        <v>373</v>
      </c>
      <c r="S30" s="805">
        <f t="shared" si="12"/>
        <v>2</v>
      </c>
      <c r="T30" s="807">
        <f>P30/S30</f>
        <v>22.43705870674448</v>
      </c>
      <c r="U30" s="833" t="e">
        <f t="shared" si="13"/>
        <v>#VALUE!</v>
      </c>
      <c r="V30" s="812" t="s">
        <v>325</v>
      </c>
      <c r="W30" s="806">
        <f>$C$170</f>
        <v>44.87411741348896</v>
      </c>
      <c r="X30" s="804" t="s">
        <v>325</v>
      </c>
      <c r="Y30" s="804" t="s">
        <v>373</v>
      </c>
      <c r="Z30" s="805">
        <f t="shared" si="14"/>
        <v>2</v>
      </c>
      <c r="AA30" s="807">
        <f>W30/Z30</f>
        <v>22.43705870674448</v>
      </c>
      <c r="AB30" s="835" t="e">
        <f t="shared" si="5"/>
        <v>#REF!</v>
      </c>
      <c r="AC30" s="1172" t="s">
        <v>325</v>
      </c>
      <c r="AD30" s="1177">
        <f>$C$170</f>
        <v>44.87411741348896</v>
      </c>
      <c r="AE30" s="804" t="s">
        <v>325</v>
      </c>
      <c r="AF30" s="804" t="s">
        <v>373</v>
      </c>
      <c r="AG30" s="805">
        <f t="shared" si="15"/>
        <v>2</v>
      </c>
      <c r="AH30" s="807">
        <f>AD30/AG30</f>
        <v>22.43705870674448</v>
      </c>
      <c r="AI30" s="835" t="e">
        <f t="shared" si="16"/>
        <v>#VALUE!</v>
      </c>
      <c r="AJ30" s="812" t="s">
        <v>325</v>
      </c>
      <c r="AK30" s="806">
        <f>$C$170</f>
        <v>44.87411741348896</v>
      </c>
      <c r="AL30" s="804" t="s">
        <v>325</v>
      </c>
      <c r="AM30" s="804" t="s">
        <v>373</v>
      </c>
      <c r="AN30" s="805">
        <f t="shared" si="17"/>
        <v>2</v>
      </c>
      <c r="AO30" s="807">
        <f>AK30/AN30</f>
        <v>22.43705870674448</v>
      </c>
      <c r="AP30" s="839" t="e">
        <f t="shared" si="6"/>
        <v>#REF!</v>
      </c>
      <c r="AQ30" s="1172" t="s">
        <v>325</v>
      </c>
      <c r="AR30" s="1177">
        <f>$C$170</f>
        <v>44.87411741348896</v>
      </c>
      <c r="AS30" s="804" t="s">
        <v>325</v>
      </c>
      <c r="AT30" s="804" t="s">
        <v>373</v>
      </c>
      <c r="AU30" s="805">
        <f t="shared" si="18"/>
        <v>2</v>
      </c>
      <c r="AV30" s="807">
        <f>AR30/AU30</f>
        <v>22.43705870674448</v>
      </c>
      <c r="AW30" s="839" t="e">
        <f t="shared" si="19"/>
        <v>#VALUE!</v>
      </c>
      <c r="AX30" s="812" t="s">
        <v>325</v>
      </c>
      <c r="AY30" s="806">
        <f>$C$170</f>
        <v>44.87411741348896</v>
      </c>
      <c r="AZ30" s="804" t="s">
        <v>325</v>
      </c>
      <c r="BA30" s="804" t="s">
        <v>373</v>
      </c>
      <c r="BB30" s="805">
        <f t="shared" si="20"/>
        <v>2</v>
      </c>
      <c r="BC30" s="818">
        <f>AY30/BB30</f>
        <v>22.43705870674448</v>
      </c>
      <c r="BD30" s="839" t="e">
        <f t="shared" si="7"/>
        <v>#VALUE!</v>
      </c>
      <c r="BE30" s="1168" t="s">
        <v>325</v>
      </c>
      <c r="BF30" s="1177">
        <f>$C$170</f>
        <v>44.87411741348896</v>
      </c>
      <c r="BG30" s="804" t="s">
        <v>325</v>
      </c>
      <c r="BH30" s="804" t="s">
        <v>373</v>
      </c>
      <c r="BI30" s="805">
        <f t="shared" si="21"/>
        <v>2</v>
      </c>
      <c r="BJ30" s="818">
        <f>BF30/BI30</f>
        <v>22.43705870674448</v>
      </c>
      <c r="BK30" s="839" t="e">
        <f t="shared" si="22"/>
        <v>#VALUE!</v>
      </c>
      <c r="BL30" s="830" t="s">
        <v>325</v>
      </c>
      <c r="BM30" s="806">
        <f>$C$170</f>
        <v>44.87411741348896</v>
      </c>
      <c r="BN30" s="804" t="s">
        <v>325</v>
      </c>
      <c r="BO30" s="804" t="s">
        <v>373</v>
      </c>
      <c r="BP30" s="805">
        <f t="shared" si="23"/>
        <v>2</v>
      </c>
      <c r="BQ30" s="807">
        <f>BM30/BP30</f>
        <v>22.43705870674448</v>
      </c>
      <c r="BR30" s="841" t="e">
        <f t="shared" si="8"/>
        <v>#VALUE!</v>
      </c>
      <c r="BS30" s="1172" t="s">
        <v>325</v>
      </c>
      <c r="BT30" s="1177">
        <f>$C$170</f>
        <v>44.87411741348896</v>
      </c>
      <c r="BU30" s="804" t="s">
        <v>325</v>
      </c>
      <c r="BV30" s="804" t="s">
        <v>373</v>
      </c>
      <c r="BW30" s="805">
        <f t="shared" si="24"/>
        <v>2</v>
      </c>
      <c r="BX30" s="807">
        <f>BT30/BW30</f>
        <v>22.43705870674448</v>
      </c>
      <c r="BY30" s="841" t="e">
        <f t="shared" si="25"/>
        <v>#VALUE!</v>
      </c>
      <c r="BZ30" s="812" t="s">
        <v>325</v>
      </c>
      <c r="CA30" s="806">
        <f>$C$170</f>
        <v>44.87411741348896</v>
      </c>
      <c r="CB30" s="804" t="s">
        <v>325</v>
      </c>
      <c r="CC30" s="804" t="s">
        <v>373</v>
      </c>
      <c r="CD30" s="805">
        <f t="shared" si="26"/>
        <v>2</v>
      </c>
      <c r="CE30" s="807">
        <f>CA30/CD30</f>
        <v>22.43705870674448</v>
      </c>
      <c r="CF30" s="845" t="e">
        <f t="shared" si="0"/>
        <v>#VALUE!</v>
      </c>
      <c r="CG30" s="1172" t="s">
        <v>325</v>
      </c>
      <c r="CH30" s="1177">
        <f>$C$170</f>
        <v>44.87411741348896</v>
      </c>
      <c r="CI30" s="804" t="s">
        <v>325</v>
      </c>
      <c r="CJ30" s="804" t="s">
        <v>373</v>
      </c>
      <c r="CK30" s="805">
        <f t="shared" si="27"/>
        <v>2</v>
      </c>
      <c r="CL30" s="807">
        <f>CH30/CK30</f>
        <v>22.43705870674448</v>
      </c>
      <c r="CM30" s="845" t="e">
        <f t="shared" si="28"/>
        <v>#VALUE!</v>
      </c>
      <c r="CN30" s="812" t="s">
        <v>325</v>
      </c>
      <c r="CO30" s="806">
        <f>$C$170</f>
        <v>44.87411741348896</v>
      </c>
      <c r="CP30" s="804" t="s">
        <v>373</v>
      </c>
      <c r="CQ30" s="804" t="s">
        <v>373</v>
      </c>
      <c r="CR30" s="805">
        <f t="shared" si="1"/>
        <v>2</v>
      </c>
      <c r="CS30" s="807">
        <f>CO30/CR30</f>
        <v>22.43705870674448</v>
      </c>
      <c r="CT30" s="845" t="e">
        <f t="shared" si="2"/>
        <v>#VALUE!</v>
      </c>
      <c r="CU30" s="1172" t="s">
        <v>325</v>
      </c>
      <c r="CV30" s="1177">
        <f>$C$170</f>
        <v>44.87411741348896</v>
      </c>
      <c r="CW30" s="804" t="s">
        <v>373</v>
      </c>
      <c r="CX30" s="804" t="s">
        <v>373</v>
      </c>
      <c r="CY30" s="805">
        <f t="shared" si="29"/>
        <v>2</v>
      </c>
      <c r="CZ30" s="807">
        <f>CV30/CY30</f>
        <v>22.43705870674448</v>
      </c>
      <c r="DA30" s="845" t="e">
        <f t="shared" si="30"/>
        <v>#VALUE!</v>
      </c>
      <c r="DB30" s="812" t="s">
        <v>325</v>
      </c>
      <c r="DC30" s="806">
        <f>$C$170</f>
        <v>44.87411741348896</v>
      </c>
      <c r="DD30" s="804" t="s">
        <v>325</v>
      </c>
      <c r="DE30" s="804" t="s">
        <v>373</v>
      </c>
      <c r="DF30" s="805">
        <f t="shared" si="31"/>
        <v>2</v>
      </c>
      <c r="DG30" s="807">
        <f>DC30/DF30</f>
        <v>22.43705870674448</v>
      </c>
      <c r="DH30" s="839" t="e">
        <f t="shared" si="9"/>
        <v>#VALUE!</v>
      </c>
      <c r="DI30" s="1172" t="s">
        <v>325</v>
      </c>
      <c r="DJ30" s="1177">
        <f>$C$170</f>
        <v>44.87411741348896</v>
      </c>
      <c r="DK30" s="804" t="s">
        <v>325</v>
      </c>
      <c r="DL30" s="804" t="s">
        <v>373</v>
      </c>
      <c r="DM30" s="805">
        <f t="shared" si="32"/>
        <v>2</v>
      </c>
      <c r="DN30" s="807">
        <f>DJ30/DM30</f>
        <v>22.43705870674448</v>
      </c>
      <c r="DO30" s="839" t="e">
        <f t="shared" si="33"/>
        <v>#VALUE!</v>
      </c>
      <c r="DP30" s="812" t="s">
        <v>325</v>
      </c>
      <c r="DQ30" s="806">
        <f>$C$170</f>
        <v>44.87411741348896</v>
      </c>
      <c r="DR30" s="804" t="s">
        <v>325</v>
      </c>
      <c r="DS30" s="804" t="s">
        <v>373</v>
      </c>
      <c r="DT30" s="805">
        <f t="shared" si="34"/>
        <v>2</v>
      </c>
      <c r="DU30" s="807">
        <f>DQ30/DT30</f>
        <v>22.43705870674448</v>
      </c>
      <c r="DV30" s="839" t="e">
        <f t="shared" si="3"/>
        <v>#VALUE!</v>
      </c>
      <c r="DW30" s="1172" t="s">
        <v>325</v>
      </c>
      <c r="DX30" s="1177">
        <f>$C$170</f>
        <v>44.87411741348896</v>
      </c>
      <c r="DY30" s="804" t="s">
        <v>325</v>
      </c>
      <c r="DZ30" s="804" t="s">
        <v>373</v>
      </c>
      <c r="EA30" s="805">
        <f t="shared" si="35"/>
        <v>2</v>
      </c>
      <c r="EB30" s="807">
        <f>DX30/EA30</f>
        <v>22.43705870674448</v>
      </c>
      <c r="EC30" s="839" t="e">
        <f t="shared" si="36"/>
        <v>#VALUE!</v>
      </c>
      <c r="ED30" s="812" t="s">
        <v>325</v>
      </c>
      <c r="EE30" s="806">
        <f>$C$170</f>
        <v>44.87411741348896</v>
      </c>
      <c r="EF30" s="804" t="s">
        <v>325</v>
      </c>
      <c r="EG30" s="804" t="s">
        <v>373</v>
      </c>
      <c r="EH30" s="805">
        <f t="shared" si="37"/>
        <v>2</v>
      </c>
      <c r="EI30" s="807">
        <f>EE30/EH30</f>
        <v>22.43705870674448</v>
      </c>
      <c r="EJ30" s="839" t="e">
        <f t="shared" si="38"/>
        <v>#VALUE!</v>
      </c>
      <c r="EK30" s="1172" t="s">
        <v>325</v>
      </c>
      <c r="EL30" s="1177">
        <f>$C$170</f>
        <v>44.87411741348896</v>
      </c>
      <c r="EM30" s="804" t="s">
        <v>325</v>
      </c>
      <c r="EN30" s="804" t="s">
        <v>373</v>
      </c>
      <c r="EO30" s="805">
        <f t="shared" si="39"/>
        <v>2</v>
      </c>
      <c r="EP30" s="807">
        <f>EL30/EO30</f>
        <v>22.43705870674448</v>
      </c>
      <c r="EQ30" s="839" t="e">
        <f t="shared" si="40"/>
        <v>#VALUE!</v>
      </c>
      <c r="ER30" s="812" t="s">
        <v>325</v>
      </c>
      <c r="ES30" s="806">
        <f>$C$170</f>
        <v>44.87411741348896</v>
      </c>
      <c r="ET30" s="804" t="s">
        <v>325</v>
      </c>
      <c r="EU30" s="804" t="s">
        <v>373</v>
      </c>
      <c r="EV30" s="805">
        <f t="shared" si="41"/>
        <v>2</v>
      </c>
      <c r="EW30" s="807">
        <f>ES30/EV30</f>
        <v>22.43705870674448</v>
      </c>
      <c r="EX30" s="839" t="e">
        <f t="shared" si="42"/>
        <v>#VALUE!</v>
      </c>
      <c r="EY30" s="1172" t="s">
        <v>325</v>
      </c>
      <c r="EZ30" s="1177">
        <f>$C$170</f>
        <v>44.87411741348896</v>
      </c>
      <c r="FA30" s="804" t="s">
        <v>325</v>
      </c>
      <c r="FB30" s="804" t="s">
        <v>373</v>
      </c>
      <c r="FC30" s="805">
        <f t="shared" si="43"/>
        <v>2</v>
      </c>
      <c r="FD30" s="807">
        <f>EZ30/FC30</f>
        <v>22.43705870674448</v>
      </c>
      <c r="FE30" s="839" t="e">
        <f t="shared" si="44"/>
        <v>#VALUE!</v>
      </c>
      <c r="FF30" s="812" t="s">
        <v>325</v>
      </c>
      <c r="FG30" s="806">
        <f>$C$170</f>
        <v>44.87411741348896</v>
      </c>
      <c r="FH30" s="804" t="s">
        <v>325</v>
      </c>
      <c r="FI30" s="804" t="s">
        <v>373</v>
      </c>
      <c r="FJ30" s="805">
        <f t="shared" si="45"/>
        <v>2</v>
      </c>
      <c r="FK30" s="807">
        <f>FG30/FJ30</f>
        <v>22.43705870674448</v>
      </c>
      <c r="FL30" s="839" t="e">
        <f t="shared" si="46"/>
        <v>#VALUE!</v>
      </c>
      <c r="FM30" s="1172" t="s">
        <v>325</v>
      </c>
      <c r="FN30" s="1177">
        <f>$C$170</f>
        <v>44.87411741348896</v>
      </c>
      <c r="FO30" s="804" t="s">
        <v>325</v>
      </c>
      <c r="FP30" s="804" t="s">
        <v>373</v>
      </c>
      <c r="FQ30" s="805">
        <f t="shared" si="4"/>
        <v>2</v>
      </c>
      <c r="FR30" s="807">
        <f>FN30/FQ30</f>
        <v>22.43705870674448</v>
      </c>
      <c r="FS30" s="839" t="e">
        <f t="shared" si="47"/>
        <v>#VALUE!</v>
      </c>
      <c r="FT30" s="812" t="s">
        <v>325</v>
      </c>
    </row>
    <row r="31" spans="1:176" ht="18" x14ac:dyDescent="0.25">
      <c r="A31" s="741">
        <v>7</v>
      </c>
      <c r="B31" s="2555" t="s">
        <v>511</v>
      </c>
      <c r="C31" s="2556"/>
      <c r="D31" s="2556"/>
      <c r="E31" s="2556"/>
      <c r="F31" s="2557"/>
      <c r="G31" s="793" t="s">
        <v>623</v>
      </c>
      <c r="H31" s="781" t="s">
        <v>451</v>
      </c>
      <c r="I31" s="806">
        <f>$C$186</f>
        <v>20.399823421579992</v>
      </c>
      <c r="J31" s="804" t="s">
        <v>325</v>
      </c>
      <c r="K31" s="804" t="s">
        <v>370</v>
      </c>
      <c r="L31" s="805">
        <f t="shared" si="10"/>
        <v>1.7320508075688772</v>
      </c>
      <c r="M31" s="807">
        <f>I31/L31</f>
        <v>11.777843543870041</v>
      </c>
      <c r="N31" s="833" t="e">
        <f t="shared" si="11"/>
        <v>#REF!</v>
      </c>
      <c r="O31" s="1172" t="s">
        <v>325</v>
      </c>
      <c r="P31" s="1177">
        <f>$C$186</f>
        <v>20.399823421579992</v>
      </c>
      <c r="Q31" s="804" t="s">
        <v>325</v>
      </c>
      <c r="R31" s="804" t="s">
        <v>370</v>
      </c>
      <c r="S31" s="805">
        <f t="shared" si="12"/>
        <v>1.7320508075688772</v>
      </c>
      <c r="T31" s="807">
        <f>P31/S31</f>
        <v>11.777843543870041</v>
      </c>
      <c r="U31" s="833" t="e">
        <f t="shared" si="13"/>
        <v>#VALUE!</v>
      </c>
      <c r="V31" s="812" t="s">
        <v>325</v>
      </c>
      <c r="W31" s="806">
        <f>$C$186</f>
        <v>20.399823421579992</v>
      </c>
      <c r="X31" s="804" t="s">
        <v>325</v>
      </c>
      <c r="Y31" s="804" t="s">
        <v>370</v>
      </c>
      <c r="Z31" s="805">
        <f t="shared" si="14"/>
        <v>1.7320508075688772</v>
      </c>
      <c r="AA31" s="807">
        <f>W31/Z31</f>
        <v>11.777843543870041</v>
      </c>
      <c r="AB31" s="835" t="e">
        <f t="shared" si="5"/>
        <v>#REF!</v>
      </c>
      <c r="AC31" s="1172" t="s">
        <v>325</v>
      </c>
      <c r="AD31" s="1177">
        <f>$C$186</f>
        <v>20.399823421579992</v>
      </c>
      <c r="AE31" s="804" t="s">
        <v>325</v>
      </c>
      <c r="AF31" s="804" t="s">
        <v>370</v>
      </c>
      <c r="AG31" s="805">
        <f t="shared" si="15"/>
        <v>1.7320508075688772</v>
      </c>
      <c r="AH31" s="807">
        <f>AD31/AG31</f>
        <v>11.777843543870041</v>
      </c>
      <c r="AI31" s="835" t="e">
        <f t="shared" si="16"/>
        <v>#VALUE!</v>
      </c>
      <c r="AJ31" s="812" t="s">
        <v>325</v>
      </c>
      <c r="AK31" s="806">
        <f>$C$186</f>
        <v>20.399823421579992</v>
      </c>
      <c r="AL31" s="804" t="s">
        <v>325</v>
      </c>
      <c r="AM31" s="804" t="s">
        <v>370</v>
      </c>
      <c r="AN31" s="805">
        <f t="shared" si="17"/>
        <v>1.7320508075688772</v>
      </c>
      <c r="AO31" s="807">
        <f>AK31/AN31</f>
        <v>11.777843543870041</v>
      </c>
      <c r="AP31" s="839" t="e">
        <f t="shared" si="6"/>
        <v>#REF!</v>
      </c>
      <c r="AQ31" s="1172" t="s">
        <v>325</v>
      </c>
      <c r="AR31" s="1177">
        <f>$C$186</f>
        <v>20.399823421579992</v>
      </c>
      <c r="AS31" s="804" t="s">
        <v>325</v>
      </c>
      <c r="AT31" s="804" t="s">
        <v>370</v>
      </c>
      <c r="AU31" s="805">
        <f t="shared" si="18"/>
        <v>1.7320508075688772</v>
      </c>
      <c r="AV31" s="807">
        <f>AR31/AU31</f>
        <v>11.777843543870041</v>
      </c>
      <c r="AW31" s="839" t="e">
        <f t="shared" si="19"/>
        <v>#VALUE!</v>
      </c>
      <c r="AX31" s="812" t="s">
        <v>325</v>
      </c>
      <c r="AY31" s="806">
        <f>$C$186</f>
        <v>20.399823421579992</v>
      </c>
      <c r="AZ31" s="804" t="s">
        <v>325</v>
      </c>
      <c r="BA31" s="804" t="s">
        <v>370</v>
      </c>
      <c r="BB31" s="805">
        <f t="shared" si="20"/>
        <v>1.7320508075688772</v>
      </c>
      <c r="BC31" s="818">
        <f>AY31/BB31</f>
        <v>11.777843543870041</v>
      </c>
      <c r="BD31" s="839" t="e">
        <f t="shared" si="7"/>
        <v>#VALUE!</v>
      </c>
      <c r="BE31" s="1168" t="s">
        <v>325</v>
      </c>
      <c r="BF31" s="1177">
        <f>$C$186</f>
        <v>20.399823421579992</v>
      </c>
      <c r="BG31" s="804" t="s">
        <v>325</v>
      </c>
      <c r="BH31" s="804" t="s">
        <v>370</v>
      </c>
      <c r="BI31" s="805">
        <f t="shared" si="21"/>
        <v>1.7320508075688772</v>
      </c>
      <c r="BJ31" s="818">
        <f>BF31/BI31</f>
        <v>11.777843543870041</v>
      </c>
      <c r="BK31" s="839" t="e">
        <f t="shared" si="22"/>
        <v>#VALUE!</v>
      </c>
      <c r="BL31" s="830" t="s">
        <v>325</v>
      </c>
      <c r="BM31" s="806">
        <f>$C$186</f>
        <v>20.399823421579992</v>
      </c>
      <c r="BN31" s="804" t="s">
        <v>325</v>
      </c>
      <c r="BO31" s="804" t="s">
        <v>370</v>
      </c>
      <c r="BP31" s="805">
        <f t="shared" si="23"/>
        <v>1.7320508075688772</v>
      </c>
      <c r="BQ31" s="807">
        <f>BM31/BP31</f>
        <v>11.777843543870041</v>
      </c>
      <c r="BR31" s="841" t="e">
        <f t="shared" si="8"/>
        <v>#VALUE!</v>
      </c>
      <c r="BS31" s="1172" t="s">
        <v>325</v>
      </c>
      <c r="BT31" s="1177">
        <f>$C$186</f>
        <v>20.399823421579992</v>
      </c>
      <c r="BU31" s="804" t="s">
        <v>325</v>
      </c>
      <c r="BV31" s="804" t="s">
        <v>370</v>
      </c>
      <c r="BW31" s="805">
        <f t="shared" si="24"/>
        <v>1.7320508075688772</v>
      </c>
      <c r="BX31" s="807">
        <f>BT31/BW31</f>
        <v>11.777843543870041</v>
      </c>
      <c r="BY31" s="841" t="e">
        <f t="shared" si="25"/>
        <v>#VALUE!</v>
      </c>
      <c r="BZ31" s="812" t="s">
        <v>325</v>
      </c>
      <c r="CA31" s="806">
        <f>$C$186</f>
        <v>20.399823421579992</v>
      </c>
      <c r="CB31" s="804" t="s">
        <v>325</v>
      </c>
      <c r="CC31" s="804" t="s">
        <v>370</v>
      </c>
      <c r="CD31" s="805">
        <f t="shared" si="26"/>
        <v>1.7320508075688772</v>
      </c>
      <c r="CE31" s="807">
        <f>CA31/CD31</f>
        <v>11.777843543870041</v>
      </c>
      <c r="CF31" s="845" t="e">
        <f t="shared" si="0"/>
        <v>#VALUE!</v>
      </c>
      <c r="CG31" s="1172" t="s">
        <v>325</v>
      </c>
      <c r="CH31" s="1177">
        <f>$C$186</f>
        <v>20.399823421579992</v>
      </c>
      <c r="CI31" s="804" t="s">
        <v>325</v>
      </c>
      <c r="CJ31" s="804" t="s">
        <v>370</v>
      </c>
      <c r="CK31" s="805">
        <f t="shared" si="27"/>
        <v>1.7320508075688772</v>
      </c>
      <c r="CL31" s="807">
        <f>CH31/CK31</f>
        <v>11.777843543870041</v>
      </c>
      <c r="CM31" s="845" t="e">
        <f t="shared" si="28"/>
        <v>#VALUE!</v>
      </c>
      <c r="CN31" s="812" t="s">
        <v>325</v>
      </c>
      <c r="CO31" s="806">
        <f>$C$186</f>
        <v>20.399823421579992</v>
      </c>
      <c r="CP31" s="804" t="s">
        <v>370</v>
      </c>
      <c r="CQ31" s="804" t="s">
        <v>370</v>
      </c>
      <c r="CR31" s="805">
        <f t="shared" si="1"/>
        <v>1.7320508075688772</v>
      </c>
      <c r="CS31" s="807">
        <f>CO31/CR31</f>
        <v>11.777843543870041</v>
      </c>
      <c r="CT31" s="845" t="e">
        <f t="shared" si="2"/>
        <v>#VALUE!</v>
      </c>
      <c r="CU31" s="1172" t="s">
        <v>325</v>
      </c>
      <c r="CV31" s="1177">
        <f>$C$186</f>
        <v>20.399823421579992</v>
      </c>
      <c r="CW31" s="804" t="s">
        <v>370</v>
      </c>
      <c r="CX31" s="804" t="s">
        <v>370</v>
      </c>
      <c r="CY31" s="805">
        <f t="shared" si="29"/>
        <v>1.7320508075688772</v>
      </c>
      <c r="CZ31" s="807">
        <f>CV31/CY31</f>
        <v>11.777843543870041</v>
      </c>
      <c r="DA31" s="845" t="e">
        <f t="shared" si="30"/>
        <v>#VALUE!</v>
      </c>
      <c r="DB31" s="812" t="s">
        <v>325</v>
      </c>
      <c r="DC31" s="806">
        <f>$C$186</f>
        <v>20.399823421579992</v>
      </c>
      <c r="DD31" s="804" t="s">
        <v>325</v>
      </c>
      <c r="DE31" s="804" t="s">
        <v>370</v>
      </c>
      <c r="DF31" s="805">
        <f t="shared" si="31"/>
        <v>1.7320508075688772</v>
      </c>
      <c r="DG31" s="807">
        <f>DC31/DF31</f>
        <v>11.777843543870041</v>
      </c>
      <c r="DH31" s="839" t="e">
        <f t="shared" si="9"/>
        <v>#VALUE!</v>
      </c>
      <c r="DI31" s="1172" t="s">
        <v>325</v>
      </c>
      <c r="DJ31" s="1177">
        <f>$C$186</f>
        <v>20.399823421579992</v>
      </c>
      <c r="DK31" s="804" t="s">
        <v>325</v>
      </c>
      <c r="DL31" s="804" t="s">
        <v>370</v>
      </c>
      <c r="DM31" s="805">
        <f t="shared" si="32"/>
        <v>1.7320508075688772</v>
      </c>
      <c r="DN31" s="807">
        <f>DJ31/DM31</f>
        <v>11.777843543870041</v>
      </c>
      <c r="DO31" s="839" t="e">
        <f t="shared" si="33"/>
        <v>#VALUE!</v>
      </c>
      <c r="DP31" s="812" t="s">
        <v>325</v>
      </c>
      <c r="DQ31" s="806">
        <f>$C$186</f>
        <v>20.399823421579992</v>
      </c>
      <c r="DR31" s="804" t="s">
        <v>325</v>
      </c>
      <c r="DS31" s="804" t="s">
        <v>370</v>
      </c>
      <c r="DT31" s="805">
        <f t="shared" si="34"/>
        <v>1.7320508075688772</v>
      </c>
      <c r="DU31" s="807">
        <f>DQ31/DT31</f>
        <v>11.777843543870041</v>
      </c>
      <c r="DV31" s="839" t="e">
        <f t="shared" si="3"/>
        <v>#VALUE!</v>
      </c>
      <c r="DW31" s="1172" t="s">
        <v>325</v>
      </c>
      <c r="DX31" s="1177">
        <f>$C$186</f>
        <v>20.399823421579992</v>
      </c>
      <c r="DY31" s="804" t="s">
        <v>325</v>
      </c>
      <c r="DZ31" s="804" t="s">
        <v>370</v>
      </c>
      <c r="EA31" s="805">
        <f t="shared" si="35"/>
        <v>1.7320508075688772</v>
      </c>
      <c r="EB31" s="807">
        <f>DX31/EA31</f>
        <v>11.777843543870041</v>
      </c>
      <c r="EC31" s="839" t="e">
        <f t="shared" si="36"/>
        <v>#VALUE!</v>
      </c>
      <c r="ED31" s="812" t="s">
        <v>325</v>
      </c>
      <c r="EE31" s="806">
        <f>$C$186</f>
        <v>20.399823421579992</v>
      </c>
      <c r="EF31" s="804" t="s">
        <v>325</v>
      </c>
      <c r="EG31" s="804" t="s">
        <v>370</v>
      </c>
      <c r="EH31" s="805">
        <f t="shared" si="37"/>
        <v>1.7320508075688772</v>
      </c>
      <c r="EI31" s="807">
        <f>EE31/EH31</f>
        <v>11.777843543870041</v>
      </c>
      <c r="EJ31" s="839" t="e">
        <f t="shared" si="38"/>
        <v>#VALUE!</v>
      </c>
      <c r="EK31" s="1172" t="s">
        <v>325</v>
      </c>
      <c r="EL31" s="1177">
        <f>$C$186</f>
        <v>20.399823421579992</v>
      </c>
      <c r="EM31" s="804" t="s">
        <v>325</v>
      </c>
      <c r="EN31" s="804" t="s">
        <v>370</v>
      </c>
      <c r="EO31" s="805">
        <f t="shared" si="39"/>
        <v>1.7320508075688772</v>
      </c>
      <c r="EP31" s="807">
        <f>EL31/EO31</f>
        <v>11.777843543870041</v>
      </c>
      <c r="EQ31" s="839" t="e">
        <f t="shared" si="40"/>
        <v>#VALUE!</v>
      </c>
      <c r="ER31" s="812" t="s">
        <v>325</v>
      </c>
      <c r="ES31" s="806">
        <f>$C$186</f>
        <v>20.399823421579992</v>
      </c>
      <c r="ET31" s="804" t="s">
        <v>325</v>
      </c>
      <c r="EU31" s="804" t="s">
        <v>370</v>
      </c>
      <c r="EV31" s="805">
        <f t="shared" si="41"/>
        <v>1.7320508075688772</v>
      </c>
      <c r="EW31" s="807">
        <f>ES31/EV31</f>
        <v>11.777843543870041</v>
      </c>
      <c r="EX31" s="839" t="e">
        <f t="shared" si="42"/>
        <v>#VALUE!</v>
      </c>
      <c r="EY31" s="1172" t="s">
        <v>325</v>
      </c>
      <c r="EZ31" s="1177">
        <f>$C$186</f>
        <v>20.399823421579992</v>
      </c>
      <c r="FA31" s="804" t="s">
        <v>325</v>
      </c>
      <c r="FB31" s="804" t="s">
        <v>370</v>
      </c>
      <c r="FC31" s="805">
        <f t="shared" si="43"/>
        <v>1.7320508075688772</v>
      </c>
      <c r="FD31" s="807">
        <f>EZ31/FC31</f>
        <v>11.777843543870041</v>
      </c>
      <c r="FE31" s="839" t="e">
        <f t="shared" si="44"/>
        <v>#VALUE!</v>
      </c>
      <c r="FF31" s="812" t="s">
        <v>325</v>
      </c>
      <c r="FG31" s="806">
        <f>$C$186</f>
        <v>20.399823421579992</v>
      </c>
      <c r="FH31" s="804" t="s">
        <v>325</v>
      </c>
      <c r="FI31" s="804" t="s">
        <v>370</v>
      </c>
      <c r="FJ31" s="805">
        <f t="shared" si="45"/>
        <v>1.7320508075688772</v>
      </c>
      <c r="FK31" s="807">
        <f>FG31/FJ31</f>
        <v>11.777843543870041</v>
      </c>
      <c r="FL31" s="839" t="e">
        <f t="shared" si="46"/>
        <v>#VALUE!</v>
      </c>
      <c r="FM31" s="1172" t="s">
        <v>325</v>
      </c>
      <c r="FN31" s="1177">
        <f>$C$186</f>
        <v>20.399823421579992</v>
      </c>
      <c r="FO31" s="804" t="s">
        <v>325</v>
      </c>
      <c r="FP31" s="804" t="s">
        <v>370</v>
      </c>
      <c r="FQ31" s="805">
        <f t="shared" si="4"/>
        <v>1.7320508075688772</v>
      </c>
      <c r="FR31" s="807">
        <f>FN31/FQ31</f>
        <v>11.777843543870041</v>
      </c>
      <c r="FS31" s="839" t="e">
        <f t="shared" si="47"/>
        <v>#VALUE!</v>
      </c>
      <c r="FT31" s="812" t="s">
        <v>325</v>
      </c>
    </row>
    <row r="32" spans="1:176" ht="18" x14ac:dyDescent="0.25">
      <c r="A32" s="741">
        <v>8</v>
      </c>
      <c r="B32" s="2555" t="s">
        <v>669</v>
      </c>
      <c r="C32" s="2556"/>
      <c r="D32" s="2556"/>
      <c r="E32" s="2556"/>
      <c r="F32" s="2557"/>
      <c r="G32" s="793" t="s">
        <v>683</v>
      </c>
      <c r="H32" s="781" t="s">
        <v>451</v>
      </c>
      <c r="I32" s="808" t="e">
        <f>CHOOSE(#REF!,I21/2,I21/2*1000,I21/2*1000000,I21/2*'Datos varios'!$E$119,I21/2*'Datos varios'!$E$120,I21/2*'Datos varios'!$E$121,I21/2*'Datos varios'!$E$122,I21/2*'Datos varios'!$E$123,"-")</f>
        <v>#REF!</v>
      </c>
      <c r="J32" s="804" t="s">
        <v>325</v>
      </c>
      <c r="K32" s="804" t="s">
        <v>370</v>
      </c>
      <c r="L32" s="805">
        <f t="shared" si="10"/>
        <v>1.7320508075688772</v>
      </c>
      <c r="M32" s="814" t="e">
        <f>I32/L32</f>
        <v>#REF!</v>
      </c>
      <c r="N32" s="833" t="e">
        <f t="shared" si="11"/>
        <v>#REF!</v>
      </c>
      <c r="O32" s="1172" t="s">
        <v>325</v>
      </c>
      <c r="P32" s="1178" t="str">
        <f>CHOOSE('F-LSCD-012'!V35,P21/2,P21/2*1000,P21/2*1000000,P21/2*'Datos varios'!$E$119,P21/2*'Datos varios'!$E$120,P21/2*'Datos varios'!$E$121,P21/2*'Datos varios'!$E$122,P21/2*'Datos varios'!$E$123,"-")</f>
        <v>-</v>
      </c>
      <c r="Q32" s="804" t="s">
        <v>325</v>
      </c>
      <c r="R32" s="804" t="s">
        <v>370</v>
      </c>
      <c r="S32" s="805">
        <f t="shared" si="12"/>
        <v>1.7320508075688772</v>
      </c>
      <c r="T32" s="814" t="e">
        <f>P32/S32</f>
        <v>#VALUE!</v>
      </c>
      <c r="U32" s="833" t="e">
        <f t="shared" si="13"/>
        <v>#VALUE!</v>
      </c>
      <c r="V32" s="812" t="s">
        <v>325</v>
      </c>
      <c r="W32" s="808" t="e">
        <f>CHOOSE(#REF!,W21/2,W21/2*1000,W21/2*1000000,W21/2*'Datos varios'!$E$119,W21/2*'Datos varios'!$E$120,W21/2*'Datos varios'!$E$121,W21/2*'Datos varios'!$E$122,W21/2*'Datos varios'!$E$123,"-")</f>
        <v>#REF!</v>
      </c>
      <c r="X32" s="804" t="s">
        <v>325</v>
      </c>
      <c r="Y32" s="804" t="s">
        <v>370</v>
      </c>
      <c r="Z32" s="805">
        <f t="shared" si="14"/>
        <v>1.7320508075688772</v>
      </c>
      <c r="AA32" s="814" t="e">
        <f>W32/Z32</f>
        <v>#REF!</v>
      </c>
      <c r="AB32" s="835" t="e">
        <f t="shared" si="5"/>
        <v>#REF!</v>
      </c>
      <c r="AC32" s="1172" t="s">
        <v>325</v>
      </c>
      <c r="AD32" s="1178" t="str">
        <f>CHOOSE('F-LSCD-012'!V37,AD21/2,AD21/2*1000,AD21/2*1000000,AD21/2*'Datos varios'!$E$119,AD21/2*'Datos varios'!$E$120,AD21/2*'Datos varios'!$E$121,AD21/2*'Datos varios'!$E$122,AD21/2*'Datos varios'!$E$123,"-")</f>
        <v>-</v>
      </c>
      <c r="AE32" s="804" t="s">
        <v>325</v>
      </c>
      <c r="AF32" s="804" t="s">
        <v>370</v>
      </c>
      <c r="AG32" s="805">
        <f t="shared" si="15"/>
        <v>1.7320508075688772</v>
      </c>
      <c r="AH32" s="814" t="e">
        <f>AD32/AG32</f>
        <v>#VALUE!</v>
      </c>
      <c r="AI32" s="835" t="e">
        <f t="shared" si="16"/>
        <v>#VALUE!</v>
      </c>
      <c r="AJ32" s="812" t="s">
        <v>325</v>
      </c>
      <c r="AK32" s="808" t="e">
        <f>CHOOSE(#REF!,AK21/2,AK21/2*1000,AK21/2*1000000,AK21/2*'Datos varios'!$E$119,AK21/2*'Datos varios'!$E$120,AK21/2*'Datos varios'!$E$121,AK21/2*'Datos varios'!$E$122,AK21/2*'Datos varios'!$E$123,"-")</f>
        <v>#REF!</v>
      </c>
      <c r="AL32" s="804" t="s">
        <v>325</v>
      </c>
      <c r="AM32" s="804" t="s">
        <v>370</v>
      </c>
      <c r="AN32" s="805">
        <f t="shared" si="17"/>
        <v>1.7320508075688772</v>
      </c>
      <c r="AO32" s="814" t="e">
        <f>AK32/AN32</f>
        <v>#REF!</v>
      </c>
      <c r="AP32" s="839" t="e">
        <f t="shared" si="6"/>
        <v>#REF!</v>
      </c>
      <c r="AQ32" s="1172" t="s">
        <v>325</v>
      </c>
      <c r="AR32" s="1178" t="str">
        <f>CHOOSE('F-LSCD-012'!V39,AR21/2,AR21/2*1000,AR21/2*1000000,AR21/2*'Datos varios'!$E$119,AR21/2*'Datos varios'!$E$120,AR21/2*'Datos varios'!$E$121,AR21/2*'Datos varios'!$E$122,AR21/2*'Datos varios'!$E$123,"-")</f>
        <v>-</v>
      </c>
      <c r="AS32" s="804" t="s">
        <v>325</v>
      </c>
      <c r="AT32" s="804" t="s">
        <v>370</v>
      </c>
      <c r="AU32" s="805">
        <f t="shared" si="18"/>
        <v>1.7320508075688772</v>
      </c>
      <c r="AV32" s="814" t="e">
        <f>AR32/AU32</f>
        <v>#VALUE!</v>
      </c>
      <c r="AW32" s="839" t="e">
        <f t="shared" si="19"/>
        <v>#VALUE!</v>
      </c>
      <c r="AX32" s="812" t="s">
        <v>325</v>
      </c>
      <c r="AY32" s="808" t="str">
        <f>CHOOSE('F-LSCD-012'!V40,AY21/2,AY21/2*1000,AY21/2*1000000,AY21/2*'Datos varios'!$E$119,AY21/2*'Datos varios'!$E$120,AY21/2*'Datos varios'!$E$121,AY21/2*'Datos varios'!$E$122,AY21/2*'Datos varios'!$E$123,"-")</f>
        <v>-</v>
      </c>
      <c r="AZ32" s="804" t="s">
        <v>325</v>
      </c>
      <c r="BA32" s="804" t="s">
        <v>370</v>
      </c>
      <c r="BB32" s="805">
        <f t="shared" si="20"/>
        <v>1.7320508075688772</v>
      </c>
      <c r="BC32" s="817" t="e">
        <f>AY32/BB32</f>
        <v>#VALUE!</v>
      </c>
      <c r="BD32" s="839" t="e">
        <f>BC32^2/$BC$34^2</f>
        <v>#VALUE!</v>
      </c>
      <c r="BE32" s="1168" t="s">
        <v>325</v>
      </c>
      <c r="BF32" s="1178" t="str">
        <f>CHOOSE('F-LSCD-012'!V41,BF21/2,BF21/2*1000,BF21/2*1000000,BF21/2*'Datos varios'!$E$119,BF21/2*'Datos varios'!$E$120,BF21/2*'Datos varios'!$E$121,BF21/2*'Datos varios'!$E$122,BF21/2*'Datos varios'!$E$123,"-")</f>
        <v>-</v>
      </c>
      <c r="BG32" s="804" t="s">
        <v>325</v>
      </c>
      <c r="BH32" s="804" t="s">
        <v>370</v>
      </c>
      <c r="BI32" s="805">
        <f t="shared" si="21"/>
        <v>1.7320508075688772</v>
      </c>
      <c r="BJ32" s="817" t="e">
        <f>BF32/BI32</f>
        <v>#VALUE!</v>
      </c>
      <c r="BK32" s="839" t="e">
        <f t="shared" si="22"/>
        <v>#VALUE!</v>
      </c>
      <c r="BL32" s="830" t="s">
        <v>325</v>
      </c>
      <c r="BM32" s="808" t="str">
        <f>CHOOSE('F-LSCD-012'!V42,BM21/2,BM21/2*1000,BM21/2*1000000,BM21/2*'Datos varios'!$E$119,BM21/2*'Datos varios'!$E$120,BM21/2*'Datos varios'!$E$121,BM21/2*'Datos varios'!$E$122,BM21/2*'Datos varios'!$E$123,"-")</f>
        <v>-</v>
      </c>
      <c r="BN32" s="804" t="s">
        <v>325</v>
      </c>
      <c r="BO32" s="804" t="s">
        <v>370</v>
      </c>
      <c r="BP32" s="805">
        <f t="shared" si="23"/>
        <v>1.7320508075688772</v>
      </c>
      <c r="BQ32" s="814" t="e">
        <f>BM32/BP32</f>
        <v>#VALUE!</v>
      </c>
      <c r="BR32" s="841" t="e">
        <f t="shared" si="8"/>
        <v>#VALUE!</v>
      </c>
      <c r="BS32" s="1172" t="s">
        <v>325</v>
      </c>
      <c r="BT32" s="1178" t="str">
        <f>CHOOSE('F-LSCD-012'!V43,BT21/2,BT21/2*1000,BT21/2*1000000,BT21/2*'Datos varios'!$E$119,BT21/2*'Datos varios'!$E$120,BT21/2*'Datos varios'!$E$121,BT21/2*'Datos varios'!$E$122,BT21/2*'Datos varios'!$E$123,"-")</f>
        <v>-</v>
      </c>
      <c r="BU32" s="804" t="s">
        <v>325</v>
      </c>
      <c r="BV32" s="804" t="s">
        <v>370</v>
      </c>
      <c r="BW32" s="805">
        <f t="shared" si="24"/>
        <v>1.7320508075688772</v>
      </c>
      <c r="BX32" s="814" t="e">
        <f>BT32/BW32</f>
        <v>#VALUE!</v>
      </c>
      <c r="BY32" s="841" t="e">
        <f t="shared" si="25"/>
        <v>#VALUE!</v>
      </c>
      <c r="BZ32" s="812" t="s">
        <v>325</v>
      </c>
      <c r="CA32" s="808" t="str">
        <f>CHOOSE('F-LSCD-012'!V44,CA21/2,CA21/2*1000,CA21/2*1000000,CA21/2*'Datos varios'!$E$119,CA21/2*'Datos varios'!$E$120,CA21/2*'Datos varios'!$E$121,CA21/2*'Datos varios'!$E$122,CA21/2*'Datos varios'!$E$123,"-")</f>
        <v>-</v>
      </c>
      <c r="CB32" s="804" t="s">
        <v>325</v>
      </c>
      <c r="CC32" s="804" t="s">
        <v>370</v>
      </c>
      <c r="CD32" s="805">
        <f t="shared" si="26"/>
        <v>1.7320508075688772</v>
      </c>
      <c r="CE32" s="814" t="e">
        <f>CA32/CD32</f>
        <v>#VALUE!</v>
      </c>
      <c r="CF32" s="845" t="e">
        <f t="shared" si="0"/>
        <v>#VALUE!</v>
      </c>
      <c r="CG32" s="1172" t="s">
        <v>325</v>
      </c>
      <c r="CH32" s="1178" t="str">
        <f>CHOOSE('F-LSCD-012'!V45,CH21/2,CH21/2*1000,CH21/2*1000000,CH21/2*'Datos varios'!$E$119,CH21/2*'Datos varios'!$E$120,CH21/2*'Datos varios'!$E$121,CH21/2*'Datos varios'!$E$122,CH21/2*'Datos varios'!$E$123,"-")</f>
        <v>-</v>
      </c>
      <c r="CI32" s="804" t="s">
        <v>325</v>
      </c>
      <c r="CJ32" s="804" t="s">
        <v>370</v>
      </c>
      <c r="CK32" s="805">
        <f t="shared" si="27"/>
        <v>1.7320508075688772</v>
      </c>
      <c r="CL32" s="814" t="e">
        <f>CH32/CK32</f>
        <v>#VALUE!</v>
      </c>
      <c r="CM32" s="845" t="e">
        <f t="shared" si="28"/>
        <v>#VALUE!</v>
      </c>
      <c r="CN32" s="812" t="s">
        <v>325</v>
      </c>
      <c r="CO32" s="808" t="str">
        <f>CHOOSE('F-LSCD-012'!V46,CO21/2,CO21/2*1000,CO21/2*1000000,CO21/2*'Datos varios'!$E$119,CO21/2*'Datos varios'!$E$120,CO21/2*'Datos varios'!$E$121,CO21/2*'Datos varios'!$E$122,CO21/2*'Datos varios'!$E$123,"-")</f>
        <v>-</v>
      </c>
      <c r="CP32" s="804" t="s">
        <v>370</v>
      </c>
      <c r="CQ32" s="804" t="s">
        <v>370</v>
      </c>
      <c r="CR32" s="805">
        <f t="shared" si="1"/>
        <v>1.7320508075688772</v>
      </c>
      <c r="CS32" s="814" t="e">
        <f>CO32/CR32</f>
        <v>#VALUE!</v>
      </c>
      <c r="CT32" s="845" t="e">
        <f t="shared" si="2"/>
        <v>#VALUE!</v>
      </c>
      <c r="CU32" s="1172" t="s">
        <v>325</v>
      </c>
      <c r="CV32" s="1178" t="str">
        <f>CHOOSE('F-LSCD-012'!V47,CV21/2,CV21/2*1000,CV21/2*1000000,CV21/2*'Datos varios'!$E$119,CV21/2*'Datos varios'!$E$120,CV21/2*'Datos varios'!$E$121,CV21/2*'Datos varios'!$E$122,CV21/2*'Datos varios'!$E$123,"-")</f>
        <v>-</v>
      </c>
      <c r="CW32" s="804" t="s">
        <v>370</v>
      </c>
      <c r="CX32" s="804" t="s">
        <v>370</v>
      </c>
      <c r="CY32" s="805">
        <f t="shared" si="29"/>
        <v>1.7320508075688772</v>
      </c>
      <c r="CZ32" s="814" t="e">
        <f>CV32/CY32</f>
        <v>#VALUE!</v>
      </c>
      <c r="DA32" s="845" t="e">
        <f t="shared" si="30"/>
        <v>#VALUE!</v>
      </c>
      <c r="DB32" s="812" t="s">
        <v>325</v>
      </c>
      <c r="DC32" s="808" t="str">
        <f>CHOOSE('F-LSCD-012'!V48,DC21/2,DC21/2*1000,DC21/2*1000000,DC21/2*'Datos varios'!$E$119,DC21/2*'Datos varios'!$E$120,DC21/2*'Datos varios'!$E$121,DC21/2*'Datos varios'!$E$122,DC21/2*'Datos varios'!$E$123,"-")</f>
        <v>-</v>
      </c>
      <c r="DD32" s="804" t="s">
        <v>325</v>
      </c>
      <c r="DE32" s="804" t="s">
        <v>370</v>
      </c>
      <c r="DF32" s="805">
        <f t="shared" si="31"/>
        <v>1.7320508075688772</v>
      </c>
      <c r="DG32" s="814" t="e">
        <f>DC32/DF32</f>
        <v>#VALUE!</v>
      </c>
      <c r="DH32" s="839" t="e">
        <f t="shared" si="9"/>
        <v>#VALUE!</v>
      </c>
      <c r="DI32" s="1172" t="s">
        <v>325</v>
      </c>
      <c r="DJ32" s="1178" t="str">
        <f>CHOOSE('F-LSCD-012'!V49,DJ21/2,DJ21/2*1000,DJ21/2*1000000,DJ21/2*'Datos varios'!$E$119,DJ21/2*'Datos varios'!$E$120,DJ21/2*'Datos varios'!$E$121,DJ21/2*'Datos varios'!$E$122,DJ21/2*'Datos varios'!$E$123,"-")</f>
        <v>-</v>
      </c>
      <c r="DK32" s="804" t="s">
        <v>325</v>
      </c>
      <c r="DL32" s="804" t="s">
        <v>370</v>
      </c>
      <c r="DM32" s="805">
        <f t="shared" si="32"/>
        <v>1.7320508075688772</v>
      </c>
      <c r="DN32" s="814" t="e">
        <f>DJ32/DM32</f>
        <v>#VALUE!</v>
      </c>
      <c r="DO32" s="839" t="e">
        <f t="shared" si="33"/>
        <v>#VALUE!</v>
      </c>
      <c r="DP32" s="812" t="s">
        <v>325</v>
      </c>
      <c r="DQ32" s="808" t="str">
        <f>CHOOSE('F-LSCD-012'!V50,DQ21/2,DQ21/2*1000,DQ21/2*1000000,DQ21/2*'Datos varios'!$E$119,DQ21/2*'Datos varios'!$E$120,DQ21/2*'Datos varios'!$E$121,DQ21/2*'Datos varios'!$E$122,DQ21/2*'Datos varios'!$E$123,"-")</f>
        <v>-</v>
      </c>
      <c r="DR32" s="804" t="s">
        <v>325</v>
      </c>
      <c r="DS32" s="804" t="s">
        <v>370</v>
      </c>
      <c r="DT32" s="805">
        <f t="shared" si="34"/>
        <v>1.7320508075688772</v>
      </c>
      <c r="DU32" s="814" t="e">
        <f>DQ32/DT32</f>
        <v>#VALUE!</v>
      </c>
      <c r="DV32" s="839" t="e">
        <f t="shared" si="3"/>
        <v>#VALUE!</v>
      </c>
      <c r="DW32" s="1172" t="s">
        <v>325</v>
      </c>
      <c r="DX32" s="1178" t="str">
        <f>CHOOSE('F-LSCD-012'!V51,DX21/2,DX21/2*1000,DX21/2*1000000,DX21/2*'Datos varios'!$E$119,DX21/2*'Datos varios'!$E$120,DX21/2*'Datos varios'!$E$121,DX21/2*'Datos varios'!$E$122,DX21/2*'Datos varios'!$E$123,"-")</f>
        <v>-</v>
      </c>
      <c r="DY32" s="804" t="s">
        <v>325</v>
      </c>
      <c r="DZ32" s="804" t="s">
        <v>370</v>
      </c>
      <c r="EA32" s="805">
        <f t="shared" si="35"/>
        <v>1.7320508075688772</v>
      </c>
      <c r="EB32" s="814" t="e">
        <f>DX32/EA32</f>
        <v>#VALUE!</v>
      </c>
      <c r="EC32" s="839" t="e">
        <f t="shared" si="36"/>
        <v>#VALUE!</v>
      </c>
      <c r="ED32" s="812" t="s">
        <v>325</v>
      </c>
      <c r="EE32" s="808" t="str">
        <f>CHOOSE('F-LSCD-012'!V52,EE21/2,EE21/2*1000,EE21/2*1000000,EE21/2*'Datos varios'!$E$119,EE21/2*'Datos varios'!$E$120,EE21/2*'Datos varios'!$E$121,EE21/2*'Datos varios'!$E$122,EE21/2*'Datos varios'!$E$123,"-")</f>
        <v>-</v>
      </c>
      <c r="EF32" s="804" t="s">
        <v>325</v>
      </c>
      <c r="EG32" s="804" t="s">
        <v>370</v>
      </c>
      <c r="EH32" s="805">
        <f t="shared" si="37"/>
        <v>1.7320508075688772</v>
      </c>
      <c r="EI32" s="814" t="e">
        <f>EE32/EH32</f>
        <v>#VALUE!</v>
      </c>
      <c r="EJ32" s="839" t="e">
        <f t="shared" si="38"/>
        <v>#VALUE!</v>
      </c>
      <c r="EK32" s="1172" t="s">
        <v>325</v>
      </c>
      <c r="EL32" s="1178" t="str">
        <f>CHOOSE('F-LSCD-012'!V53,EL21/2,EL21/2*1000,EL21/2*1000000,EL21/2*'Datos varios'!$E$119,EL21/2*'Datos varios'!$E$120,EL21/2*'Datos varios'!$E$121,EL21/2*'Datos varios'!$E$122,EL21/2*'Datos varios'!$E$123,"-")</f>
        <v>-</v>
      </c>
      <c r="EM32" s="804" t="s">
        <v>325</v>
      </c>
      <c r="EN32" s="804" t="s">
        <v>370</v>
      </c>
      <c r="EO32" s="805">
        <f t="shared" si="39"/>
        <v>1.7320508075688772</v>
      </c>
      <c r="EP32" s="814" t="e">
        <f>EL32/EO32</f>
        <v>#VALUE!</v>
      </c>
      <c r="EQ32" s="839" t="e">
        <f t="shared" si="40"/>
        <v>#VALUE!</v>
      </c>
      <c r="ER32" s="812" t="s">
        <v>325</v>
      </c>
      <c r="ES32" s="808" t="str">
        <f>CHOOSE('F-LSCD-012'!V54,ES21/2,ES21/2*1000,ES21/2*1000000,ES21/2*'Datos varios'!$E$119,ES21/2*'Datos varios'!$E$120,ES21/2*'Datos varios'!$E$121,ES21/2*'Datos varios'!$E$122,ES21/2*'Datos varios'!$E$123,"-")</f>
        <v>-</v>
      </c>
      <c r="ET32" s="804" t="s">
        <v>325</v>
      </c>
      <c r="EU32" s="804" t="s">
        <v>370</v>
      </c>
      <c r="EV32" s="805">
        <f t="shared" si="41"/>
        <v>1.7320508075688772</v>
      </c>
      <c r="EW32" s="814" t="e">
        <f>ES32/EV32</f>
        <v>#VALUE!</v>
      </c>
      <c r="EX32" s="839" t="e">
        <f t="shared" si="42"/>
        <v>#VALUE!</v>
      </c>
      <c r="EY32" s="1172" t="s">
        <v>325</v>
      </c>
      <c r="EZ32" s="1178" t="str">
        <f>CHOOSE('F-LSCD-012'!V55,EZ21/2,EZ21/2*1000,EZ21/2*1000000,EZ21/2*'Datos varios'!$E$119,EZ21/2*'Datos varios'!$E$120,EZ21/2*'Datos varios'!$E$121,EZ21/2*'Datos varios'!$E$122,EZ21/2*'Datos varios'!$E$123,"-")</f>
        <v>-</v>
      </c>
      <c r="FA32" s="804" t="s">
        <v>325</v>
      </c>
      <c r="FB32" s="804" t="s">
        <v>370</v>
      </c>
      <c r="FC32" s="805">
        <f t="shared" si="43"/>
        <v>1.7320508075688772</v>
      </c>
      <c r="FD32" s="814" t="e">
        <f>EZ32/FC32</f>
        <v>#VALUE!</v>
      </c>
      <c r="FE32" s="839" t="e">
        <f t="shared" si="44"/>
        <v>#VALUE!</v>
      </c>
      <c r="FF32" s="812" t="s">
        <v>325</v>
      </c>
      <c r="FG32" s="808" t="str">
        <f>CHOOSE('F-LSCD-012'!V56,FG21/2,FG21/2*1000,FG21/2*1000000,FG21/2*'Datos varios'!$E$119,FG21/2*'Datos varios'!$E$120,FG21/2*'Datos varios'!$E$121,FG21/2*'Datos varios'!$E$122,FG21/2*'Datos varios'!$E$123,"-")</f>
        <v>-</v>
      </c>
      <c r="FH32" s="804" t="s">
        <v>325</v>
      </c>
      <c r="FI32" s="804" t="s">
        <v>370</v>
      </c>
      <c r="FJ32" s="805">
        <f t="shared" si="45"/>
        <v>1.7320508075688772</v>
      </c>
      <c r="FK32" s="814" t="e">
        <f>FG32/FJ32</f>
        <v>#VALUE!</v>
      </c>
      <c r="FL32" s="839" t="e">
        <f t="shared" si="46"/>
        <v>#VALUE!</v>
      </c>
      <c r="FM32" s="1172" t="s">
        <v>325</v>
      </c>
      <c r="FN32" s="1178" t="str">
        <f>CHOOSE('F-LSCD-012'!V57,FN21/2,FN21/2*1000,FN21/2*1000000,FN21/2*'Datos varios'!$E$119,FN21/2*'Datos varios'!$E$120,FN21/2*'Datos varios'!$E$121,FN21/2*'Datos varios'!$E$122,FN21/2*'Datos varios'!$E$123,"-")</f>
        <v>-</v>
      </c>
      <c r="FO32" s="804" t="s">
        <v>325</v>
      </c>
      <c r="FP32" s="804" t="s">
        <v>370</v>
      </c>
      <c r="FQ32" s="805">
        <f t="shared" si="4"/>
        <v>1.7320508075688772</v>
      </c>
      <c r="FR32" s="814" t="e">
        <f>FN32/FQ32</f>
        <v>#VALUE!</v>
      </c>
      <c r="FS32" s="839" t="e">
        <f t="shared" si="47"/>
        <v>#VALUE!</v>
      </c>
      <c r="FT32" s="812" t="s">
        <v>325</v>
      </c>
    </row>
    <row r="33" spans="1:176" ht="18.75" thickBot="1" x14ac:dyDescent="0.3">
      <c r="A33" s="795">
        <v>9</v>
      </c>
      <c r="B33" s="2590" t="s">
        <v>662</v>
      </c>
      <c r="C33" s="2590"/>
      <c r="D33" s="2590"/>
      <c r="E33" s="2590"/>
      <c r="F33" s="2591"/>
      <c r="G33" s="794" t="s">
        <v>684</v>
      </c>
      <c r="H33" s="797" t="s">
        <v>451</v>
      </c>
      <c r="I33" s="809">
        <f>$C$210</f>
        <v>0.02</v>
      </c>
      <c r="J33" s="810" t="s">
        <v>93</v>
      </c>
      <c r="K33" s="810" t="s">
        <v>372</v>
      </c>
      <c r="L33" s="811">
        <f t="shared" si="10"/>
        <v>1</v>
      </c>
      <c r="M33" s="815" t="e">
        <f>CHOOSE(#REF!,I33/L33*I19,I33/L33*I19*1000,I33/L33*I19*1000000,I33/L33*I19*'Datos varios'!$E$119,I33/L33*I19*'Datos varios'!$E$120,I33/L33*I19*'Datos varios'!$E$121,I33/L33*I19*'Datos varios'!$E$122,I33/L33*I19*'Datos varios'!$E$123,"-")</f>
        <v>#REF!</v>
      </c>
      <c r="N33" s="834" t="e">
        <f t="shared" si="11"/>
        <v>#REF!</v>
      </c>
      <c r="O33" s="1173" t="s">
        <v>325</v>
      </c>
      <c r="P33" s="1179">
        <f>$C$210</f>
        <v>0.02</v>
      </c>
      <c r="Q33" s="810" t="s">
        <v>93</v>
      </c>
      <c r="R33" s="810" t="s">
        <v>372</v>
      </c>
      <c r="S33" s="811">
        <f t="shared" si="12"/>
        <v>1</v>
      </c>
      <c r="T33" s="815" t="str">
        <f>CHOOSE('F-LSCD-012'!V35,P33/S33*P19,P33/S33*P19*1000,P33/S33*P19*1000000,P33/S33*P19*'Datos varios'!$E$119,P33/S33*P19*'Datos varios'!$E$120,P33/S33*P19*'Datos varios'!$E$121,P33/S33*P19*'Datos varios'!$E$122,P33/S33*P19*'Datos varios'!$E$123,"-")</f>
        <v>-</v>
      </c>
      <c r="U33" s="834" t="e">
        <f>T33^2/$T$34^2</f>
        <v>#VALUE!</v>
      </c>
      <c r="V33" s="813" t="s">
        <v>325</v>
      </c>
      <c r="W33" s="809">
        <f>$C$210</f>
        <v>0.02</v>
      </c>
      <c r="X33" s="810" t="s">
        <v>93</v>
      </c>
      <c r="Y33" s="810" t="s">
        <v>372</v>
      </c>
      <c r="Z33" s="811">
        <f t="shared" si="14"/>
        <v>1</v>
      </c>
      <c r="AA33" s="815" t="e">
        <f>CHOOSE(#REF!,W33/Z33*W19,W33/Z33*W19*1000,W33/Z33*W19*1000000,W33/Z33*W19*'Datos varios'!$E$119,W33/Z33*W19*'Datos varios'!$E$120,W33/Z33*W19*'Datos varios'!$E$121,W33/Z33*W19*'Datos varios'!$E$122,W33/Z33*W19*'Datos varios'!$E$123,"-")</f>
        <v>#REF!</v>
      </c>
      <c r="AB33" s="837" t="e">
        <f>AA33^2/$AA$34^2</f>
        <v>#REF!</v>
      </c>
      <c r="AC33" s="1173" t="s">
        <v>325</v>
      </c>
      <c r="AD33" s="1179">
        <f>$C$210</f>
        <v>0.02</v>
      </c>
      <c r="AE33" s="810" t="s">
        <v>93</v>
      </c>
      <c r="AF33" s="810" t="s">
        <v>372</v>
      </c>
      <c r="AG33" s="811">
        <f t="shared" si="15"/>
        <v>1</v>
      </c>
      <c r="AH33" s="815" t="str">
        <f>CHOOSE('F-LSCD-012'!V37,AD33/AG33*AD19,AD33/AG33*AD19*1000,AD33/AG33*AD19*1000000,AD33/AG33*AD19*'Datos varios'!$E$119,AD33/AG33*AD19*'Datos varios'!$E$120,AD33/AG33*AD19*'Datos varios'!$E$121,AD33/AG33*AD19*'Datos varios'!$E$122,AD33/AG33*AD19*'Datos varios'!$E$123,"-")</f>
        <v>-</v>
      </c>
      <c r="AI33" s="837" t="e">
        <f>AH33^2/$AH$34^2</f>
        <v>#VALUE!</v>
      </c>
      <c r="AJ33" s="813" t="s">
        <v>325</v>
      </c>
      <c r="AK33" s="809">
        <f>$C$210</f>
        <v>0.02</v>
      </c>
      <c r="AL33" s="810" t="s">
        <v>93</v>
      </c>
      <c r="AM33" s="810" t="s">
        <v>372</v>
      </c>
      <c r="AN33" s="811">
        <f t="shared" si="17"/>
        <v>1</v>
      </c>
      <c r="AO33" s="815" t="e">
        <f>CHOOSE(#REF!,AK33/AN33*AK19,AK33/AN33*AK19*1000,AK33/AN33*AK19*1000000,AK33/AN33*AK19*'Datos varios'!$E$119,AK33/AN33*AK19*'Datos varios'!$E$120,AK33/AN33*AK19*'Datos varios'!$E$121,AK33/AN33*AK19*'Datos varios'!$E$122,AK33/AN33*AK19*'Datos varios'!$E$123,"-")</f>
        <v>#REF!</v>
      </c>
      <c r="AP33" s="840" t="e">
        <f t="shared" si="6"/>
        <v>#REF!</v>
      </c>
      <c r="AQ33" s="1173" t="s">
        <v>325</v>
      </c>
      <c r="AR33" s="1179">
        <f>$C$210</f>
        <v>0.02</v>
      </c>
      <c r="AS33" s="810" t="s">
        <v>93</v>
      </c>
      <c r="AT33" s="810" t="s">
        <v>372</v>
      </c>
      <c r="AU33" s="811">
        <f t="shared" si="18"/>
        <v>1</v>
      </c>
      <c r="AV33" s="815" t="str">
        <f>CHOOSE('F-LSCD-012'!V39,AR33/AU33*AR19,AR33/AU33*AR19*1000,AR33/AU33*AR19*1000000,AR33/AU33*AR19*'Datos varios'!$E$119,AR33/AU33*AR19*'Datos varios'!$E$120,AR33/AU33*AR19*'Datos varios'!$E$121,AR33/AU33*AR19*'Datos varios'!$E$122,AR33/AU33*AR19*'Datos varios'!$E$123,"-")</f>
        <v>-</v>
      </c>
      <c r="AW33" s="840" t="e">
        <f>AV33^2/$AV$34^2</f>
        <v>#VALUE!</v>
      </c>
      <c r="AX33" s="813" t="s">
        <v>325</v>
      </c>
      <c r="AY33" s="809">
        <f>$C$210</f>
        <v>0.02</v>
      </c>
      <c r="AZ33" s="810" t="s">
        <v>93</v>
      </c>
      <c r="BA33" s="810" t="s">
        <v>372</v>
      </c>
      <c r="BB33" s="811">
        <f t="shared" si="20"/>
        <v>1</v>
      </c>
      <c r="BC33" s="815" t="str">
        <f>CHOOSE('F-LSCD-012'!V40,AY33/BB33*AY19,AY33/BB33*AY19*1000,AY33/BB33*AY19*1000000,AY33/BB33*AY19*'Datos varios'!$E$119,AY33/BB33*AY19*'Datos varios'!$E$120,AY33/BB33*AY19*'Datos varios'!$E$121,AY33/BB33*AY19*'Datos varios'!$E$122,AY33/BB33*AY19*'Datos varios'!$E$123,"-")</f>
        <v>-</v>
      </c>
      <c r="BD33" s="840" t="e">
        <f t="shared" si="7"/>
        <v>#VALUE!</v>
      </c>
      <c r="BE33" s="1169" t="s">
        <v>325</v>
      </c>
      <c r="BF33" s="1179">
        <f>$C$210</f>
        <v>0.02</v>
      </c>
      <c r="BG33" s="810" t="s">
        <v>93</v>
      </c>
      <c r="BH33" s="810" t="s">
        <v>372</v>
      </c>
      <c r="BI33" s="811">
        <f t="shared" si="21"/>
        <v>1</v>
      </c>
      <c r="BJ33" s="815" t="str">
        <f>CHOOSE('F-LSCD-012'!V41,BF33/BI33*BF19,BF33/BI33*BF19*1000,BF33/BI33*BF19*1000000,BF33/BI33*BF19*'Datos varios'!$E$119,BF33/BI33*BF19*'Datos varios'!$E$120,BF33/BI33*BF19*'Datos varios'!$E$121,BF33/BI33*BF19*'Datos varios'!$E$122,BF33/BI33*BF19*'Datos varios'!$E$123,"-")</f>
        <v>-</v>
      </c>
      <c r="BK33" s="840" t="e">
        <f>BJ33^2/$BJ$34^2</f>
        <v>#VALUE!</v>
      </c>
      <c r="BL33" s="831" t="s">
        <v>325</v>
      </c>
      <c r="BM33" s="809">
        <f>$C$210</f>
        <v>0.02</v>
      </c>
      <c r="BN33" s="810" t="s">
        <v>93</v>
      </c>
      <c r="BO33" s="810" t="s">
        <v>372</v>
      </c>
      <c r="BP33" s="811">
        <f t="shared" si="23"/>
        <v>1</v>
      </c>
      <c r="BQ33" s="815" t="str">
        <f>CHOOSE('F-LSCD-012'!V42,BM33/BP33*BM19,BM33/BP33*BM19*1000,BM33/BP33*BM19*1000000,BM33/BP33*BM19*'Datos varios'!$E$119,BM33/BP33*BM19*'Datos varios'!$E$120,BM33/BP33*BM19*'Datos varios'!$E$121,BM33/BP33*BM19*'Datos varios'!$E$122,BM33/BP33*BM19*'Datos varios'!$E$123,"-")</f>
        <v>-</v>
      </c>
      <c r="BR33" s="843" t="e">
        <f>BQ33^2/$BQ$34^2</f>
        <v>#VALUE!</v>
      </c>
      <c r="BS33" s="1173" t="s">
        <v>325</v>
      </c>
      <c r="BT33" s="1179">
        <f>$C$210</f>
        <v>0.02</v>
      </c>
      <c r="BU33" s="810" t="s">
        <v>93</v>
      </c>
      <c r="BV33" s="810" t="s">
        <v>372</v>
      </c>
      <c r="BW33" s="811">
        <f t="shared" si="24"/>
        <v>1</v>
      </c>
      <c r="BX33" s="815" t="str">
        <f>CHOOSE('F-LSCD-012'!V43,BT33/BW33*BT19,BT33/BW33*BT19*1000,BT33/BW33*BT19*1000000,BT33/BW33*BT19*'Datos varios'!$E$119,BT33/BW33*BT19*'Datos varios'!$E$120,BT33/BW33*BT19*'Datos varios'!$E$121,BT33/BW33*BT19*'Datos varios'!$E$122,BT33/BW33*BT19*'Datos varios'!$E$123,"-")</f>
        <v>-</v>
      </c>
      <c r="BY33" s="843" t="e">
        <f>BX33^2/$BX$34^2</f>
        <v>#VALUE!</v>
      </c>
      <c r="BZ33" s="813" t="s">
        <v>325</v>
      </c>
      <c r="CA33" s="809">
        <f>$C$210</f>
        <v>0.02</v>
      </c>
      <c r="CB33" s="810" t="s">
        <v>93</v>
      </c>
      <c r="CC33" s="810" t="s">
        <v>372</v>
      </c>
      <c r="CD33" s="811">
        <f t="shared" si="26"/>
        <v>1</v>
      </c>
      <c r="CE33" s="815" t="str">
        <f>CHOOSE('F-LSCD-012'!V44,CA33/CD33*CA19,CA33/CD33*CA19*1000,CA33/CD33*CA19*1000000,CA33/CD33*CA19*'Datos varios'!$E$119,CA33/CD33*CA19*'Datos varios'!$E$120,CA33/CD33*CA19*'Datos varios'!$E$121,CA33/CD33*CA19*'Datos varios'!$E$122,CA33/CD33*CA19*'Datos varios'!$E$123,"-")</f>
        <v>-</v>
      </c>
      <c r="CF33" s="846" t="e">
        <f>CE33^2/$CE$34^2</f>
        <v>#VALUE!</v>
      </c>
      <c r="CG33" s="1173" t="s">
        <v>325</v>
      </c>
      <c r="CH33" s="1179">
        <f>$C$210</f>
        <v>0.02</v>
      </c>
      <c r="CI33" s="810" t="s">
        <v>93</v>
      </c>
      <c r="CJ33" s="810" t="s">
        <v>372</v>
      </c>
      <c r="CK33" s="811">
        <f t="shared" si="27"/>
        <v>1</v>
      </c>
      <c r="CL33" s="815" t="str">
        <f>CHOOSE('F-LSCD-012'!V45,CH33/CK33*CH19,CH33/CK33*CH19*1000,CH33/CK33*CH19*1000000,CH33/CK33*CH19*'Datos varios'!$E$119,CH33/CK33*CH19*'Datos varios'!$E$120,CH33/CK33*CH19*'Datos varios'!$E$121,CH33/CK33*CH19*'Datos varios'!$E$122,CH33/CK33*CH19*'Datos varios'!$E$123,"-")</f>
        <v>-</v>
      </c>
      <c r="CM33" s="846" t="e">
        <f>CL33^2/$CL$34^2</f>
        <v>#VALUE!</v>
      </c>
      <c r="CN33" s="813" t="s">
        <v>325</v>
      </c>
      <c r="CO33" s="809">
        <f>$C$210</f>
        <v>0.02</v>
      </c>
      <c r="CP33" s="810" t="s">
        <v>372</v>
      </c>
      <c r="CQ33" s="810" t="s">
        <v>373</v>
      </c>
      <c r="CR33" s="811">
        <f t="shared" si="1"/>
        <v>2</v>
      </c>
      <c r="CS33" s="815" t="str">
        <f>CHOOSE('F-LSCD-012'!V46,CO33/CR33*CO19,CO33/CR33*CO19*1000,CO33/CR33*CO19*1000000,CO33/CR33*CO19*'Datos varios'!$E$119,CO33/CR33*CO19*'Datos varios'!$E$120,CO33/CR33*CO19*'Datos varios'!$E$121,CO33/CR33*CO19*'Datos varios'!$E$122,CO33/CR33*CO19*'Datos varios'!$E$123,"-")</f>
        <v>-</v>
      </c>
      <c r="CT33" s="846" t="e">
        <f t="shared" si="2"/>
        <v>#VALUE!</v>
      </c>
      <c r="CU33" s="1173" t="s">
        <v>325</v>
      </c>
      <c r="CV33" s="1179">
        <f>$C$210</f>
        <v>0.02</v>
      </c>
      <c r="CW33" s="810" t="s">
        <v>372</v>
      </c>
      <c r="CX33" s="810" t="s">
        <v>373</v>
      </c>
      <c r="CY33" s="811">
        <f t="shared" si="29"/>
        <v>2</v>
      </c>
      <c r="CZ33" s="815" t="str">
        <f>CHOOSE('F-LSCD-012'!V47,CV33/CY33*CV19,CV33/CY33*CV19*1000,CV33/CY33*CV19*1000000,CV33/CY33*CV19*'Datos varios'!$E$119,CV33/CY33*CV19*'Datos varios'!$E$120,CV33/CY33*CV19*'Datos varios'!$E$121,CV33/CY33*CV19*'Datos varios'!$E$122,CV33/CY33*CV19*'Datos varios'!$E$123,"-")</f>
        <v>-</v>
      </c>
      <c r="DA33" s="846" t="e">
        <f>CZ33^2/$CZ$34^2</f>
        <v>#VALUE!</v>
      </c>
      <c r="DB33" s="813" t="s">
        <v>325</v>
      </c>
      <c r="DC33" s="809">
        <f>$C$210</f>
        <v>0.02</v>
      </c>
      <c r="DD33" s="810" t="s">
        <v>93</v>
      </c>
      <c r="DE33" s="810" t="s">
        <v>372</v>
      </c>
      <c r="DF33" s="811">
        <f t="shared" si="31"/>
        <v>1</v>
      </c>
      <c r="DG33" s="815" t="str">
        <f>CHOOSE('F-LSCD-012'!V48,DC33/DF33*DC19,DC33/DF33*DC19*1000,DC33/DF33*DC19*1000000,DC33/DF33*DC19*'Datos varios'!$E$119,DC33/DF33*DC19*'Datos varios'!$E$120,DC33/DF33*DC19*'Datos varios'!$E$121,DC33/DF33*DC19*'Datos varios'!$E$122,DC33/DF33*DC19*'Datos varios'!$E$123,"-")</f>
        <v>-</v>
      </c>
      <c r="DH33" s="840" t="e">
        <f>DG33^2/$DG$34^2</f>
        <v>#VALUE!</v>
      </c>
      <c r="DI33" s="1173" t="s">
        <v>325</v>
      </c>
      <c r="DJ33" s="1179">
        <f>$C$210</f>
        <v>0.02</v>
      </c>
      <c r="DK33" s="810" t="s">
        <v>93</v>
      </c>
      <c r="DL33" s="810" t="s">
        <v>372</v>
      </c>
      <c r="DM33" s="811">
        <f t="shared" si="32"/>
        <v>1</v>
      </c>
      <c r="DN33" s="815" t="str">
        <f>CHOOSE('F-LSCD-012'!V49,DJ33/DM33*DJ19,DJ33/DM33*DJ19*1000,DJ33/DM33*DJ19*1000000,DJ33/DM33*DJ19*'Datos varios'!$E$119,DJ33/DM33*DJ19*'Datos varios'!$E$120,DJ33/DM33*DJ19*'Datos varios'!$E$121,DJ33/DM33*DJ19*'Datos varios'!$E$122,DJ33/DM33*DJ19*'Datos varios'!$E$123,"-")</f>
        <v>-</v>
      </c>
      <c r="DO33" s="840" t="e">
        <f>DN33^2/$DN$34^2</f>
        <v>#VALUE!</v>
      </c>
      <c r="DP33" s="813" t="s">
        <v>325</v>
      </c>
      <c r="DQ33" s="809">
        <f>$C$210</f>
        <v>0.02</v>
      </c>
      <c r="DR33" s="810" t="s">
        <v>93</v>
      </c>
      <c r="DS33" s="810" t="s">
        <v>372</v>
      </c>
      <c r="DT33" s="811">
        <f t="shared" si="34"/>
        <v>1</v>
      </c>
      <c r="DU33" s="815" t="str">
        <f>CHOOSE('F-LSCD-012'!V50,DQ33/DT33*DQ19,DQ33/DT33*DQ19*1000,DQ33/DT33*DQ19*1000000,DQ33/DT33*DQ19*'Datos varios'!$E$119,DQ33/DT33*DQ19*'Datos varios'!$E$120,DQ33/DT33*DQ19*'Datos varios'!$E$121,DQ33/DT33*DQ19*'Datos varios'!$E$122,DQ33/DT33*DQ19*'Datos varios'!$E$123,"-")</f>
        <v>-</v>
      </c>
      <c r="DV33" s="840" t="e">
        <f>DU33^2/$DU$34^2</f>
        <v>#VALUE!</v>
      </c>
      <c r="DW33" s="1173" t="s">
        <v>325</v>
      </c>
      <c r="DX33" s="1179">
        <f>$C$210</f>
        <v>0.02</v>
      </c>
      <c r="DY33" s="810" t="s">
        <v>93</v>
      </c>
      <c r="DZ33" s="810" t="s">
        <v>372</v>
      </c>
      <c r="EA33" s="811">
        <f t="shared" si="35"/>
        <v>1</v>
      </c>
      <c r="EB33" s="815" t="str">
        <f>CHOOSE('F-LSCD-012'!V51,DX33/EA33*DX19,DX33/EA33*DX19*1000,DX33/EA33*DX19*1000000,DX33/EA33*DX19*'Datos varios'!$E$119,DX33/EA33*DX19*'Datos varios'!$E$120,DX33/EA33*DX19*'Datos varios'!$E$121,DX33/EA33*DX19*'Datos varios'!$E$122,DX33/EA33*DX19*'Datos varios'!$E$123,"-")</f>
        <v>-</v>
      </c>
      <c r="EC33" s="840" t="e">
        <f>EB33^2/$EB$34^2</f>
        <v>#VALUE!</v>
      </c>
      <c r="ED33" s="813" t="s">
        <v>325</v>
      </c>
      <c r="EE33" s="809">
        <f>$C$210</f>
        <v>0.02</v>
      </c>
      <c r="EF33" s="810" t="s">
        <v>93</v>
      </c>
      <c r="EG33" s="810" t="s">
        <v>372</v>
      </c>
      <c r="EH33" s="811">
        <f t="shared" si="37"/>
        <v>1</v>
      </c>
      <c r="EI33" s="815" t="str">
        <f>CHOOSE('F-LSCD-012'!V52,EE33/EH33*EE19,EE33/EH33*EE19*1000,EE33/EH33*EE19*1000000,EE33/EH33*EE19*'Datos varios'!$E$119,EE33/EH33*EE19*'Datos varios'!$E$120,EE33/EH33*EE19*'Datos varios'!$E$121,EE33/EH33*EE19*'Datos varios'!$E$122,EE33/EH33*EE19*'Datos varios'!$E$123,"-")</f>
        <v>-</v>
      </c>
      <c r="EJ33" s="840" t="e">
        <f>EI33^2/$EI$34^2</f>
        <v>#VALUE!</v>
      </c>
      <c r="EK33" s="1173" t="s">
        <v>325</v>
      </c>
      <c r="EL33" s="1179">
        <f>$C$210</f>
        <v>0.02</v>
      </c>
      <c r="EM33" s="810" t="s">
        <v>93</v>
      </c>
      <c r="EN33" s="810" t="s">
        <v>372</v>
      </c>
      <c r="EO33" s="811">
        <f t="shared" si="39"/>
        <v>1</v>
      </c>
      <c r="EP33" s="815" t="str">
        <f>CHOOSE('F-LSCD-012'!V53,EL33/EO33*EL19,EL33/EO33*EL19*1000,EL33/EO33*EL19*1000000,EL33/EO33*EL19*'Datos varios'!$E$119,EL33/EO33*EL19*'Datos varios'!$E$120,EL33/EO33*EL19*'Datos varios'!$E$121,EL33/EO33*EL19*'Datos varios'!$E$122,EL33/EO33*EL19*'Datos varios'!$E$123,"-")</f>
        <v>-</v>
      </c>
      <c r="EQ33" s="840" t="e">
        <f>EP33^2/$EP$34^2</f>
        <v>#VALUE!</v>
      </c>
      <c r="ER33" s="813" t="s">
        <v>325</v>
      </c>
      <c r="ES33" s="809">
        <f>$C$210</f>
        <v>0.02</v>
      </c>
      <c r="ET33" s="810" t="s">
        <v>93</v>
      </c>
      <c r="EU33" s="810" t="s">
        <v>372</v>
      </c>
      <c r="EV33" s="811">
        <f t="shared" si="41"/>
        <v>1</v>
      </c>
      <c r="EW33" s="815" t="str">
        <f>CHOOSE('F-LSCD-012'!V54,ES33/EV33*ES19,ES33/EV33*ES19*1000,ES33/EV33*ES19*1000000,ES33/EV33*ES19*'Datos varios'!$E$119,ES33/EV33*ES19*'Datos varios'!$E$120,ES33/EV33*ES19*'Datos varios'!$E$121,ES33/EV33*ES19*'Datos varios'!$E$122,ES33/EV33*ES19*'Datos varios'!$E$123,"-")</f>
        <v>-</v>
      </c>
      <c r="EX33" s="840" t="e">
        <f>EW33^2/$EW$34^2</f>
        <v>#VALUE!</v>
      </c>
      <c r="EY33" s="1173" t="s">
        <v>325</v>
      </c>
      <c r="EZ33" s="1179">
        <f>$C$210</f>
        <v>0.02</v>
      </c>
      <c r="FA33" s="810" t="s">
        <v>93</v>
      </c>
      <c r="FB33" s="810" t="s">
        <v>372</v>
      </c>
      <c r="FC33" s="811">
        <f t="shared" si="43"/>
        <v>1</v>
      </c>
      <c r="FD33" s="815" t="str">
        <f>CHOOSE('F-LSCD-012'!V55,EZ33/FC33*EZ19,EZ33/FC33*EZ19*1000,EZ33/FC33*EZ19*1000000,EZ33/FC33*EZ19*'Datos varios'!$E$119,EZ33/FC33*EZ19*'Datos varios'!$E$120,EZ33/FC33*EZ19*'Datos varios'!$E$121,EZ33/FC33*EZ19*'Datos varios'!$E$122,EZ33/FC33*EZ19*'Datos varios'!$E$123,"-")</f>
        <v>-</v>
      </c>
      <c r="FE33" s="840" t="e">
        <f>FD33^2/$FD$34^2</f>
        <v>#VALUE!</v>
      </c>
      <c r="FF33" s="813" t="s">
        <v>325</v>
      </c>
      <c r="FG33" s="809">
        <f>$C$210</f>
        <v>0.02</v>
      </c>
      <c r="FH33" s="810" t="s">
        <v>93</v>
      </c>
      <c r="FI33" s="810" t="s">
        <v>372</v>
      </c>
      <c r="FJ33" s="811">
        <f t="shared" si="45"/>
        <v>1</v>
      </c>
      <c r="FK33" s="815" t="str">
        <f>CHOOSE('F-LSCD-012'!V56,FG33/FJ33*FG19,FG33/FJ33*FG19*1000,FG33/FJ33*FG19*1000000,FG33/FJ33*FG19*'Datos varios'!$E$119,FG33/FJ33*FG19*'Datos varios'!$E$120,FG33/FJ33*FG19*'Datos varios'!$E$121,FG33/FJ33*FG19*'Datos varios'!$E$122,FG33/FJ33*FG19*'Datos varios'!$E$123,"-")</f>
        <v>-</v>
      </c>
      <c r="FL33" s="840" t="e">
        <f>FK33^2/$FK$34^2</f>
        <v>#VALUE!</v>
      </c>
      <c r="FM33" s="1173" t="s">
        <v>325</v>
      </c>
      <c r="FN33" s="1179">
        <f>$C$210</f>
        <v>0.02</v>
      </c>
      <c r="FO33" s="810" t="s">
        <v>93</v>
      </c>
      <c r="FP33" s="810" t="s">
        <v>372</v>
      </c>
      <c r="FQ33" s="811">
        <f t="shared" si="4"/>
        <v>1</v>
      </c>
      <c r="FR33" s="815" t="str">
        <f>CHOOSE('F-LSCD-012'!V57,FN33/FQ33*FN19,FN33/FQ33*FN19*1000,FN33/FQ33*FN19*1000000,FN33/FQ33*FN19*'Datos varios'!$E$119,FN33/FQ33*FN19*'Datos varios'!$E$120,FN33/FQ33*FN19*'Datos varios'!$E$121,FN33/FQ33*FN19*'Datos varios'!$E$122,FN33/FQ33*FN19*'Datos varios'!$E$123,"-")</f>
        <v>-</v>
      </c>
      <c r="FS33" s="840" t="e">
        <f>FR33^2/$FR$34^2</f>
        <v>#VALUE!</v>
      </c>
      <c r="FT33" s="813" t="s">
        <v>325</v>
      </c>
    </row>
    <row r="34" spans="1:176" x14ac:dyDescent="0.25">
      <c r="A34" s="735"/>
      <c r="I34" s="2504" t="s">
        <v>543</v>
      </c>
      <c r="J34" s="2505"/>
      <c r="K34" s="2505"/>
      <c r="L34" s="2506"/>
      <c r="M34" s="798" t="e">
        <f>SQRT(SUMSQ(M25:M33))</f>
        <v>#REF!</v>
      </c>
      <c r="N34" s="819"/>
      <c r="O34" s="819" t="s">
        <v>325</v>
      </c>
      <c r="P34" s="2507" t="s">
        <v>543</v>
      </c>
      <c r="Q34" s="2505"/>
      <c r="R34" s="2505"/>
      <c r="S34" s="2506"/>
      <c r="T34" s="798" t="e">
        <f>SQRT(SUMSQ(T25:T33))</f>
        <v>#VALUE!</v>
      </c>
      <c r="U34" s="819"/>
      <c r="V34" s="796" t="s">
        <v>325</v>
      </c>
      <c r="W34" s="2592" t="s">
        <v>543</v>
      </c>
      <c r="X34" s="2588"/>
      <c r="Y34" s="2588"/>
      <c r="Z34" s="2589"/>
      <c r="AA34" s="798" t="e">
        <f>SQRT(SUMSQ(AA25:AA33))</f>
        <v>#REF!</v>
      </c>
      <c r="AB34" s="819"/>
      <c r="AC34" s="819" t="s">
        <v>325</v>
      </c>
      <c r="AD34" s="2587" t="s">
        <v>543</v>
      </c>
      <c r="AE34" s="2588"/>
      <c r="AF34" s="2588"/>
      <c r="AG34" s="2589"/>
      <c r="AH34" s="798" t="e">
        <f>SQRT(SUMSQ(AH25:AH33))</f>
        <v>#VALUE!</v>
      </c>
      <c r="AI34" s="819"/>
      <c r="AJ34" s="796" t="s">
        <v>325</v>
      </c>
      <c r="AK34" s="2504" t="s">
        <v>543</v>
      </c>
      <c r="AL34" s="2505"/>
      <c r="AM34" s="2505"/>
      <c r="AN34" s="2506"/>
      <c r="AO34" s="798" t="e">
        <f>SQRT(SUMSQ(AO25:AO33))</f>
        <v>#REF!</v>
      </c>
      <c r="AP34" s="819"/>
      <c r="AQ34" s="819" t="s">
        <v>325</v>
      </c>
      <c r="AR34" s="2507" t="s">
        <v>543</v>
      </c>
      <c r="AS34" s="2505"/>
      <c r="AT34" s="2505"/>
      <c r="AU34" s="2506"/>
      <c r="AV34" s="798" t="e">
        <f>SQRT(SUMSQ(AV25:AV33))</f>
        <v>#VALUE!</v>
      </c>
      <c r="AW34" s="819"/>
      <c r="AX34" s="796" t="s">
        <v>325</v>
      </c>
      <c r="AY34" s="2504" t="s">
        <v>543</v>
      </c>
      <c r="AZ34" s="2505"/>
      <c r="BA34" s="2505"/>
      <c r="BB34" s="2506"/>
      <c r="BC34" s="798" t="e">
        <f>SQRT(SUMSQ(BC25:BC33))</f>
        <v>#VALUE!</v>
      </c>
      <c r="BD34" s="819"/>
      <c r="BE34" s="819" t="s">
        <v>325</v>
      </c>
      <c r="BF34" s="2507" t="s">
        <v>543</v>
      </c>
      <c r="BG34" s="2505"/>
      <c r="BH34" s="2505"/>
      <c r="BI34" s="2506"/>
      <c r="BJ34" s="798" t="e">
        <f>SQRT(SUMSQ(BJ25:BJ33))</f>
        <v>#VALUE!</v>
      </c>
      <c r="BK34" s="819"/>
      <c r="BL34" s="796" t="s">
        <v>325</v>
      </c>
      <c r="BM34" s="2504" t="s">
        <v>543</v>
      </c>
      <c r="BN34" s="2505"/>
      <c r="BO34" s="2505"/>
      <c r="BP34" s="2506"/>
      <c r="BQ34" s="798" t="e">
        <f>SQRT(SUMSQ(BQ25:BQ33))</f>
        <v>#VALUE!</v>
      </c>
      <c r="BR34" s="819"/>
      <c r="BS34" s="819" t="s">
        <v>325</v>
      </c>
      <c r="BT34" s="2587" t="s">
        <v>543</v>
      </c>
      <c r="BU34" s="2588"/>
      <c r="BV34" s="2588"/>
      <c r="BW34" s="2589"/>
      <c r="BX34" s="798" t="e">
        <f>SQRT(SUMSQ(BX25:BX33))</f>
        <v>#VALUE!</v>
      </c>
      <c r="BY34" s="819"/>
      <c r="BZ34" s="796" t="s">
        <v>325</v>
      </c>
      <c r="CA34" s="2504" t="s">
        <v>543</v>
      </c>
      <c r="CB34" s="2505"/>
      <c r="CC34" s="2505"/>
      <c r="CD34" s="2506"/>
      <c r="CE34" s="798" t="e">
        <f>SQRT(SUMSQ(CE25:CE33))</f>
        <v>#VALUE!</v>
      </c>
      <c r="CF34" s="819"/>
      <c r="CG34" s="819" t="s">
        <v>325</v>
      </c>
      <c r="CH34" s="2507" t="s">
        <v>543</v>
      </c>
      <c r="CI34" s="2505"/>
      <c r="CJ34" s="2505"/>
      <c r="CK34" s="2506"/>
      <c r="CL34" s="798" t="e">
        <f>SQRT(SUMSQ(CL25:CL33))</f>
        <v>#VALUE!</v>
      </c>
      <c r="CM34" s="819"/>
      <c r="CN34" s="796" t="s">
        <v>325</v>
      </c>
      <c r="CO34" s="2504" t="s">
        <v>543</v>
      </c>
      <c r="CP34" s="2505"/>
      <c r="CQ34" s="2505"/>
      <c r="CR34" s="2506"/>
      <c r="CS34" s="798" t="e">
        <f>SQRT(SUMSQ(CS25:CS33))</f>
        <v>#VALUE!</v>
      </c>
      <c r="CT34" s="819"/>
      <c r="CU34" s="819" t="s">
        <v>325</v>
      </c>
      <c r="CV34" s="2507" t="s">
        <v>543</v>
      </c>
      <c r="CW34" s="2505"/>
      <c r="CX34" s="2505"/>
      <c r="CY34" s="2506"/>
      <c r="CZ34" s="798" t="e">
        <f>SQRT(SUMSQ(CZ25:CZ33))</f>
        <v>#VALUE!</v>
      </c>
      <c r="DA34" s="819"/>
      <c r="DB34" s="796" t="s">
        <v>325</v>
      </c>
      <c r="DC34" s="2504" t="s">
        <v>543</v>
      </c>
      <c r="DD34" s="2505"/>
      <c r="DE34" s="2505"/>
      <c r="DF34" s="2506"/>
      <c r="DG34" s="798" t="e">
        <f>SQRT(SUMSQ(DG25:DG33))</f>
        <v>#VALUE!</v>
      </c>
      <c r="DH34" s="819"/>
      <c r="DI34" s="819" t="s">
        <v>325</v>
      </c>
      <c r="DJ34" s="2507" t="s">
        <v>543</v>
      </c>
      <c r="DK34" s="2505"/>
      <c r="DL34" s="2505"/>
      <c r="DM34" s="2506"/>
      <c r="DN34" s="798" t="e">
        <f>SQRT(SUMSQ(DN25:DN33))</f>
        <v>#VALUE!</v>
      </c>
      <c r="DO34" s="819"/>
      <c r="DP34" s="796" t="s">
        <v>325</v>
      </c>
      <c r="DQ34" s="2504" t="s">
        <v>543</v>
      </c>
      <c r="DR34" s="2505"/>
      <c r="DS34" s="2505"/>
      <c r="DT34" s="2506"/>
      <c r="DU34" s="798" t="e">
        <f>SQRT(SUMSQ(DU25:DU33))</f>
        <v>#VALUE!</v>
      </c>
      <c r="DV34" s="819"/>
      <c r="DW34" s="819" t="s">
        <v>325</v>
      </c>
      <c r="DX34" s="2507" t="s">
        <v>543</v>
      </c>
      <c r="DY34" s="2505"/>
      <c r="DZ34" s="2505"/>
      <c r="EA34" s="2506"/>
      <c r="EB34" s="798" t="e">
        <f>SQRT(SUMSQ(EB25:EB33))</f>
        <v>#VALUE!</v>
      </c>
      <c r="EC34" s="819"/>
      <c r="ED34" s="796" t="s">
        <v>325</v>
      </c>
      <c r="EE34" s="2504" t="s">
        <v>543</v>
      </c>
      <c r="EF34" s="2505"/>
      <c r="EG34" s="2505"/>
      <c r="EH34" s="2506"/>
      <c r="EI34" s="798" t="e">
        <f>SQRT(SUMSQ(EI25:EI33))</f>
        <v>#VALUE!</v>
      </c>
      <c r="EJ34" s="819"/>
      <c r="EK34" s="819" t="s">
        <v>325</v>
      </c>
      <c r="EL34" s="2507" t="s">
        <v>543</v>
      </c>
      <c r="EM34" s="2505"/>
      <c r="EN34" s="2505"/>
      <c r="EO34" s="2506"/>
      <c r="EP34" s="798" t="e">
        <f>SQRT(SUMSQ(EP25:EP33))</f>
        <v>#VALUE!</v>
      </c>
      <c r="EQ34" s="819"/>
      <c r="ER34" s="796" t="s">
        <v>325</v>
      </c>
      <c r="ES34" s="2504" t="s">
        <v>543</v>
      </c>
      <c r="ET34" s="2505"/>
      <c r="EU34" s="2505"/>
      <c r="EV34" s="2506"/>
      <c r="EW34" s="798" t="e">
        <f>SQRT(SUMSQ(EW25:EW33))</f>
        <v>#VALUE!</v>
      </c>
      <c r="EX34" s="819"/>
      <c r="EY34" s="819" t="s">
        <v>325</v>
      </c>
      <c r="EZ34" s="2507" t="s">
        <v>543</v>
      </c>
      <c r="FA34" s="2505"/>
      <c r="FB34" s="2505"/>
      <c r="FC34" s="2506"/>
      <c r="FD34" s="798" t="e">
        <f>SQRT(SUMSQ(FD25:FD33))</f>
        <v>#VALUE!</v>
      </c>
      <c r="FE34" s="819"/>
      <c r="FF34" s="796" t="s">
        <v>325</v>
      </c>
      <c r="FG34" s="2504" t="s">
        <v>543</v>
      </c>
      <c r="FH34" s="2505"/>
      <c r="FI34" s="2505"/>
      <c r="FJ34" s="2506"/>
      <c r="FK34" s="798" t="e">
        <f>SQRT(SUMSQ(FK25:FK33))</f>
        <v>#VALUE!</v>
      </c>
      <c r="FL34" s="819"/>
      <c r="FM34" s="819" t="s">
        <v>325</v>
      </c>
      <c r="FN34" s="2507" t="s">
        <v>543</v>
      </c>
      <c r="FO34" s="2505"/>
      <c r="FP34" s="2505"/>
      <c r="FQ34" s="2506"/>
      <c r="FR34" s="798" t="e">
        <f>SQRT(SUMSQ(FR25:FR33))</f>
        <v>#VALUE!</v>
      </c>
      <c r="FS34" s="819"/>
      <c r="FT34" s="796" t="s">
        <v>325</v>
      </c>
    </row>
    <row r="35" spans="1:176" x14ac:dyDescent="0.25">
      <c r="A35" s="735"/>
      <c r="I35" s="2468" t="s">
        <v>544</v>
      </c>
      <c r="J35" s="2469"/>
      <c r="K35" s="2469"/>
      <c r="L35" s="2470"/>
      <c r="M35" s="786" t="s">
        <v>373</v>
      </c>
      <c r="N35" s="743"/>
      <c r="O35" s="743"/>
      <c r="P35" s="2471" t="s">
        <v>544</v>
      </c>
      <c r="Q35" s="2469"/>
      <c r="R35" s="2469"/>
      <c r="S35" s="2470"/>
      <c r="T35" s="786" t="s">
        <v>373</v>
      </c>
      <c r="U35" s="743"/>
      <c r="V35" s="782"/>
      <c r="W35" s="2468" t="s">
        <v>544</v>
      </c>
      <c r="X35" s="2469"/>
      <c r="Y35" s="2469"/>
      <c r="Z35" s="2470"/>
      <c r="AA35" s="786" t="s">
        <v>373</v>
      </c>
      <c r="AB35" s="743"/>
      <c r="AC35" s="743"/>
      <c r="AD35" s="2471" t="s">
        <v>544</v>
      </c>
      <c r="AE35" s="2469"/>
      <c r="AF35" s="2469"/>
      <c r="AG35" s="2470"/>
      <c r="AH35" s="786" t="s">
        <v>373</v>
      </c>
      <c r="AI35" s="743"/>
      <c r="AJ35" s="782"/>
      <c r="AK35" s="2468" t="s">
        <v>544</v>
      </c>
      <c r="AL35" s="2469"/>
      <c r="AM35" s="2469"/>
      <c r="AN35" s="2470"/>
      <c r="AO35" s="786" t="s">
        <v>373</v>
      </c>
      <c r="AP35" s="743"/>
      <c r="AQ35" s="743"/>
      <c r="AR35" s="2471" t="s">
        <v>544</v>
      </c>
      <c r="AS35" s="2469"/>
      <c r="AT35" s="2469"/>
      <c r="AU35" s="2470"/>
      <c r="AV35" s="786" t="s">
        <v>373</v>
      </c>
      <c r="AW35" s="743"/>
      <c r="AX35" s="782"/>
      <c r="AY35" s="2468" t="s">
        <v>544</v>
      </c>
      <c r="AZ35" s="2469"/>
      <c r="BA35" s="2469"/>
      <c r="BB35" s="2470"/>
      <c r="BC35" s="786" t="s">
        <v>373</v>
      </c>
      <c r="BD35" s="743"/>
      <c r="BE35" s="743"/>
      <c r="BF35" s="2471" t="s">
        <v>544</v>
      </c>
      <c r="BG35" s="2469"/>
      <c r="BH35" s="2469"/>
      <c r="BI35" s="2470"/>
      <c r="BJ35" s="786" t="s">
        <v>373</v>
      </c>
      <c r="BK35" s="743"/>
      <c r="BL35" s="782"/>
      <c r="BM35" s="2468" t="s">
        <v>544</v>
      </c>
      <c r="BN35" s="2469"/>
      <c r="BO35" s="2469"/>
      <c r="BP35" s="2470"/>
      <c r="BQ35" s="786" t="s">
        <v>373</v>
      </c>
      <c r="BR35" s="743"/>
      <c r="BS35" s="743"/>
      <c r="BT35" s="2471" t="s">
        <v>544</v>
      </c>
      <c r="BU35" s="2469"/>
      <c r="BV35" s="2469"/>
      <c r="BW35" s="2470"/>
      <c r="BX35" s="786" t="s">
        <v>373</v>
      </c>
      <c r="BY35" s="743"/>
      <c r="BZ35" s="782"/>
      <c r="CA35" s="2468" t="s">
        <v>544</v>
      </c>
      <c r="CB35" s="2469"/>
      <c r="CC35" s="2469"/>
      <c r="CD35" s="2470"/>
      <c r="CE35" s="786" t="s">
        <v>373</v>
      </c>
      <c r="CF35" s="743"/>
      <c r="CG35" s="743"/>
      <c r="CH35" s="2471" t="s">
        <v>544</v>
      </c>
      <c r="CI35" s="2469"/>
      <c r="CJ35" s="2469"/>
      <c r="CK35" s="2470"/>
      <c r="CL35" s="786" t="s">
        <v>373</v>
      </c>
      <c r="CM35" s="743"/>
      <c r="CN35" s="782"/>
      <c r="CO35" s="2468" t="s">
        <v>544</v>
      </c>
      <c r="CP35" s="2469"/>
      <c r="CQ35" s="2469"/>
      <c r="CR35" s="2470"/>
      <c r="CS35" s="786" t="s">
        <v>373</v>
      </c>
      <c r="CT35" s="743"/>
      <c r="CU35" s="743"/>
      <c r="CV35" s="2471" t="s">
        <v>544</v>
      </c>
      <c r="CW35" s="2469"/>
      <c r="CX35" s="2469"/>
      <c r="CY35" s="2470"/>
      <c r="CZ35" s="786" t="s">
        <v>373</v>
      </c>
      <c r="DA35" s="743"/>
      <c r="DB35" s="782"/>
      <c r="DC35" s="2468" t="s">
        <v>544</v>
      </c>
      <c r="DD35" s="2469"/>
      <c r="DE35" s="2469"/>
      <c r="DF35" s="2470"/>
      <c r="DG35" s="786" t="s">
        <v>373</v>
      </c>
      <c r="DH35" s="743"/>
      <c r="DI35" s="743"/>
      <c r="DJ35" s="2471" t="s">
        <v>544</v>
      </c>
      <c r="DK35" s="2469"/>
      <c r="DL35" s="2469"/>
      <c r="DM35" s="2470"/>
      <c r="DN35" s="786" t="s">
        <v>373</v>
      </c>
      <c r="DO35" s="743"/>
      <c r="DP35" s="782"/>
      <c r="DQ35" s="2468" t="s">
        <v>544</v>
      </c>
      <c r="DR35" s="2469"/>
      <c r="DS35" s="2469"/>
      <c r="DT35" s="2470"/>
      <c r="DU35" s="786" t="s">
        <v>373</v>
      </c>
      <c r="DV35" s="743"/>
      <c r="DW35" s="743"/>
      <c r="DX35" s="2471" t="s">
        <v>544</v>
      </c>
      <c r="DY35" s="2469"/>
      <c r="DZ35" s="2469"/>
      <c r="EA35" s="2470"/>
      <c r="EB35" s="786" t="s">
        <v>373</v>
      </c>
      <c r="EC35" s="743"/>
      <c r="ED35" s="782"/>
      <c r="EE35" s="2468" t="s">
        <v>544</v>
      </c>
      <c r="EF35" s="2469"/>
      <c r="EG35" s="2469"/>
      <c r="EH35" s="2470"/>
      <c r="EI35" s="786" t="s">
        <v>373</v>
      </c>
      <c r="EJ35" s="743"/>
      <c r="EK35" s="743"/>
      <c r="EL35" s="2471" t="s">
        <v>544</v>
      </c>
      <c r="EM35" s="2469"/>
      <c r="EN35" s="2469"/>
      <c r="EO35" s="2470"/>
      <c r="EP35" s="786" t="s">
        <v>373</v>
      </c>
      <c r="EQ35" s="743"/>
      <c r="ER35" s="782"/>
      <c r="ES35" s="2468" t="s">
        <v>544</v>
      </c>
      <c r="ET35" s="2469"/>
      <c r="EU35" s="2469"/>
      <c r="EV35" s="2470"/>
      <c r="EW35" s="786" t="s">
        <v>373</v>
      </c>
      <c r="EX35" s="743"/>
      <c r="EY35" s="743"/>
      <c r="EZ35" s="2471" t="s">
        <v>544</v>
      </c>
      <c r="FA35" s="2469"/>
      <c r="FB35" s="2469"/>
      <c r="FC35" s="2470"/>
      <c r="FD35" s="786" t="s">
        <v>373</v>
      </c>
      <c r="FE35" s="743"/>
      <c r="FF35" s="782"/>
      <c r="FG35" s="2468" t="s">
        <v>544</v>
      </c>
      <c r="FH35" s="2469"/>
      <c r="FI35" s="2469"/>
      <c r="FJ35" s="2470"/>
      <c r="FK35" s="786" t="s">
        <v>373</v>
      </c>
      <c r="FL35" s="743"/>
      <c r="FM35" s="743"/>
      <c r="FN35" s="2471" t="s">
        <v>544</v>
      </c>
      <c r="FO35" s="2469"/>
      <c r="FP35" s="2469"/>
      <c r="FQ35" s="2470"/>
      <c r="FR35" s="786" t="s">
        <v>373</v>
      </c>
      <c r="FS35" s="743"/>
      <c r="FT35" s="782"/>
    </row>
    <row r="36" spans="1:176" x14ac:dyDescent="0.25">
      <c r="A36" s="735"/>
      <c r="I36" s="2468" t="s">
        <v>561</v>
      </c>
      <c r="J36" s="2469"/>
      <c r="K36" s="2469"/>
      <c r="L36" s="2470"/>
      <c r="M36" s="787">
        <f>IF(M35="normal (k=1)",1,IF(M35="normal (k=2)",2,IF(M35="normal (k=3)",3,IF(M35="rectangular",SQRT(3),IF(M35="triangular",SQRT(6),IF(M35="Prob. U",SQRT(2),"no definido"))))))</f>
        <v>2</v>
      </c>
      <c r="N36" s="744"/>
      <c r="O36" s="743"/>
      <c r="P36" s="2471" t="s">
        <v>561</v>
      </c>
      <c r="Q36" s="2469"/>
      <c r="R36" s="2469"/>
      <c r="S36" s="2470"/>
      <c r="T36" s="787">
        <f>IF(T35="normal (k=1)",1,IF(T35="normal (k=2)",2,IF(T35="normal (k=3)",3,IF(T35="rectangular",SQRT(3),IF(T35="triangular",SQRT(6),IF(T35="Prob. U",SQRT(2),"no definido"))))))</f>
        <v>2</v>
      </c>
      <c r="U36" s="744"/>
      <c r="V36" s="782"/>
      <c r="W36" s="2468" t="s">
        <v>561</v>
      </c>
      <c r="X36" s="2469"/>
      <c r="Y36" s="2469"/>
      <c r="Z36" s="2470"/>
      <c r="AA36" s="787">
        <f>IF(AA35="normal (k=1)",1,IF(AA35="normal (k=2)",2,IF(AA35="normal (k=3)",3,IF(AA35="rectangular",SQRT(3),IF(AA35="triangular",SQRT(6),IF(AA35="Prob. U",SQRT(2),"no definido"))))))</f>
        <v>2</v>
      </c>
      <c r="AB36" s="744"/>
      <c r="AC36" s="743"/>
      <c r="AD36" s="2471" t="s">
        <v>561</v>
      </c>
      <c r="AE36" s="2469"/>
      <c r="AF36" s="2469"/>
      <c r="AG36" s="2470"/>
      <c r="AH36" s="787">
        <f>IF(AH35="normal (k=1)",1,IF(AH35="normal (k=2)",2,IF(AH35="normal (k=3)",3,IF(AH35="rectangular",SQRT(3),IF(AH35="triangular",SQRT(6),IF(AH35="Prob. U",SQRT(2),"no definido"))))))</f>
        <v>2</v>
      </c>
      <c r="AI36" s="744"/>
      <c r="AJ36" s="782"/>
      <c r="AK36" s="2468" t="s">
        <v>561</v>
      </c>
      <c r="AL36" s="2469"/>
      <c r="AM36" s="2469"/>
      <c r="AN36" s="2470"/>
      <c r="AO36" s="787">
        <f>IF(AO35="normal (k=1)",1,IF(AO35="normal (k=2)",2,IF(AO35="normal (k=3)",3,IF(AO35="rectangular",SQRT(3),IF(AO35="triangular",SQRT(6),IF(AO35="Prob. U",SQRT(2),"no definido"))))))</f>
        <v>2</v>
      </c>
      <c r="AP36" s="744"/>
      <c r="AQ36" s="743"/>
      <c r="AR36" s="2471" t="s">
        <v>561</v>
      </c>
      <c r="AS36" s="2469"/>
      <c r="AT36" s="2469"/>
      <c r="AU36" s="2470"/>
      <c r="AV36" s="787">
        <f>IF(AV35="normal (k=1)",1,IF(AV35="normal (k=2)",2,IF(AV35="normal (k=3)",3,IF(AV35="rectangular",SQRT(3),IF(AV35="triangular",SQRT(6),IF(AV35="Prob. U",SQRT(2),"no definido"))))))</f>
        <v>2</v>
      </c>
      <c r="AW36" s="744"/>
      <c r="AX36" s="782"/>
      <c r="AY36" s="2468" t="s">
        <v>561</v>
      </c>
      <c r="AZ36" s="2469"/>
      <c r="BA36" s="2469"/>
      <c r="BB36" s="2470"/>
      <c r="BC36" s="787">
        <f>IF(BC35="normal (k=1)",1,IF(BC35="normal (k=2)",2,IF(BC35="normal (k=3)",3,IF(BC35="rectangular",SQRT(3),IF(BC35="triangular",SQRT(6),IF(BC35="Prob. U",SQRT(2),"no definido"))))))</f>
        <v>2</v>
      </c>
      <c r="BD36" s="744"/>
      <c r="BE36" s="743"/>
      <c r="BF36" s="2471" t="s">
        <v>561</v>
      </c>
      <c r="BG36" s="2469"/>
      <c r="BH36" s="2469"/>
      <c r="BI36" s="2470"/>
      <c r="BJ36" s="787">
        <f>IF(BJ35="normal (k=1)",1,IF(BJ35="normal (k=2)",2,IF(BJ35="normal (k=3)",3,IF(BJ35="rectangular",SQRT(3),IF(BJ35="triangular",SQRT(6),IF(BJ35="Prob. U",SQRT(2),"no definido"))))))</f>
        <v>2</v>
      </c>
      <c r="BK36" s="744"/>
      <c r="BL36" s="782"/>
      <c r="BM36" s="2468" t="s">
        <v>561</v>
      </c>
      <c r="BN36" s="2469"/>
      <c r="BO36" s="2469"/>
      <c r="BP36" s="2470"/>
      <c r="BQ36" s="787">
        <f>IF(BQ35="normal (k=1)",1,IF(BQ35="normal (k=2)",2,IF(BQ35="normal (k=3)",3,IF(BQ35="rectangular",SQRT(3),IF(BQ35="triangular",SQRT(6),IF(BQ35="Prob. U",SQRT(2),"no definido"))))))</f>
        <v>2</v>
      </c>
      <c r="BR36" s="744"/>
      <c r="BS36" s="743"/>
      <c r="BT36" s="2471" t="s">
        <v>561</v>
      </c>
      <c r="BU36" s="2469"/>
      <c r="BV36" s="2469"/>
      <c r="BW36" s="2470"/>
      <c r="BX36" s="787">
        <f>IF(BX35="normal (k=1)",1,IF(BX35="normal (k=2)",2,IF(BX35="normal (k=3)",3,IF(BX35="rectangular",SQRT(3),IF(BX35="triangular",SQRT(6),IF(BX35="Prob. U",SQRT(2),"no definido"))))))</f>
        <v>2</v>
      </c>
      <c r="BY36" s="744"/>
      <c r="BZ36" s="782"/>
      <c r="CA36" s="2468" t="s">
        <v>561</v>
      </c>
      <c r="CB36" s="2469"/>
      <c r="CC36" s="2469"/>
      <c r="CD36" s="2470"/>
      <c r="CE36" s="787">
        <f>IF(CE35="normal (k=1)",1,IF(CE35="normal (k=2)",2,IF(CE35="normal (k=3)",3,IF(CE35="rectangular",SQRT(3),IF(CE35="triangular",SQRT(6),IF(CE35="Prob. U",SQRT(2),"no definido"))))))</f>
        <v>2</v>
      </c>
      <c r="CF36" s="744"/>
      <c r="CG36" s="743"/>
      <c r="CH36" s="2471" t="s">
        <v>561</v>
      </c>
      <c r="CI36" s="2469"/>
      <c r="CJ36" s="2469"/>
      <c r="CK36" s="2470"/>
      <c r="CL36" s="787">
        <f>IF(CL35="normal (k=1)",1,IF(CL35="normal (k=2)",2,IF(CL35="normal (k=3)",3,IF(CL35="rectangular",SQRT(3),IF(CL35="triangular",SQRT(6),IF(CL35="Prob. U",SQRT(2),"no definido"))))))</f>
        <v>2</v>
      </c>
      <c r="CM36" s="744"/>
      <c r="CN36" s="782"/>
      <c r="CO36" s="2468" t="s">
        <v>561</v>
      </c>
      <c r="CP36" s="2469"/>
      <c r="CQ36" s="2469"/>
      <c r="CR36" s="2470"/>
      <c r="CS36" s="787">
        <f>IF(CS35="normal (k=1)",1,IF(CS35="normal (k=2)",2,IF(CS35="normal (k=3)",3,IF(CS35="rectangular",SQRT(3),IF(CS35="triangular",SQRT(6),IF(CS35="Prob. U",SQRT(2),"no definido"))))))</f>
        <v>2</v>
      </c>
      <c r="CT36" s="744"/>
      <c r="CU36" s="743"/>
      <c r="CV36" s="2471" t="s">
        <v>561</v>
      </c>
      <c r="CW36" s="2469"/>
      <c r="CX36" s="2469"/>
      <c r="CY36" s="2470"/>
      <c r="CZ36" s="787">
        <f>IF(CZ35="normal (k=1)",1,IF(CZ35="normal (k=2)",2,IF(CZ35="normal (k=3)",3,IF(CZ35="rectangular",SQRT(3),IF(CZ35="triangular",SQRT(6),IF(CZ35="Prob. U",SQRT(2),"no definido"))))))</f>
        <v>2</v>
      </c>
      <c r="DA36" s="744"/>
      <c r="DB36" s="782"/>
      <c r="DC36" s="2468" t="s">
        <v>561</v>
      </c>
      <c r="DD36" s="2469"/>
      <c r="DE36" s="2469"/>
      <c r="DF36" s="2470"/>
      <c r="DG36" s="787">
        <f>IF(DG35="normal (k=1)",1,IF(DG35="normal (k=2)",2,IF(DG35="normal (k=3)",3,IF(DG35="rectangular",SQRT(3),IF(DG35="triangular",SQRT(6),IF(DG35="Prob. U",SQRT(2),"no definido"))))))</f>
        <v>2</v>
      </c>
      <c r="DH36" s="744"/>
      <c r="DI36" s="743"/>
      <c r="DJ36" s="2471" t="s">
        <v>561</v>
      </c>
      <c r="DK36" s="2469"/>
      <c r="DL36" s="2469"/>
      <c r="DM36" s="2470"/>
      <c r="DN36" s="787">
        <f>IF(DN35="normal (k=1)",1,IF(DN35="normal (k=2)",2,IF(DN35="normal (k=3)",3,IF(DN35="rectangular",SQRT(3),IF(DN35="triangular",SQRT(6),IF(DN35="Prob. U",SQRT(2),"no definido"))))))</f>
        <v>2</v>
      </c>
      <c r="DO36" s="744"/>
      <c r="DP36" s="782"/>
      <c r="DQ36" s="2468" t="s">
        <v>561</v>
      </c>
      <c r="DR36" s="2469"/>
      <c r="DS36" s="2469"/>
      <c r="DT36" s="2470"/>
      <c r="DU36" s="787">
        <f>IF(DU35="normal (k=1)",1,IF(DU35="normal (k=2)",2,IF(DU35="normal (k=3)",3,IF(DU35="rectangular",SQRT(3),IF(DU35="triangular",SQRT(6),IF(DU35="Prob. U",SQRT(2),"no definido"))))))</f>
        <v>2</v>
      </c>
      <c r="DV36" s="744"/>
      <c r="DW36" s="743"/>
      <c r="DX36" s="2471" t="s">
        <v>561</v>
      </c>
      <c r="DY36" s="2469"/>
      <c r="DZ36" s="2469"/>
      <c r="EA36" s="2470"/>
      <c r="EB36" s="787">
        <f>IF(EB35="normal (k=1)",1,IF(EB35="normal (k=2)",2,IF(EB35="normal (k=3)",3,IF(EB35="rectangular",SQRT(3),IF(EB35="triangular",SQRT(6),IF(EB35="Prob. U",SQRT(2),"no definido"))))))</f>
        <v>2</v>
      </c>
      <c r="EC36" s="744"/>
      <c r="ED36" s="782"/>
      <c r="EE36" s="2468" t="s">
        <v>561</v>
      </c>
      <c r="EF36" s="2469"/>
      <c r="EG36" s="2469"/>
      <c r="EH36" s="2470"/>
      <c r="EI36" s="787">
        <f>IF(EI35="normal (k=1)",1,IF(EI35="normal (k=2)",2,IF(EI35="normal (k=3)",3,IF(EI35="rectangular",SQRT(3),IF(EI35="triangular",SQRT(6),IF(EI35="Prob. U",SQRT(2),"no definido"))))))</f>
        <v>2</v>
      </c>
      <c r="EJ36" s="744"/>
      <c r="EK36" s="743"/>
      <c r="EL36" s="2471" t="s">
        <v>561</v>
      </c>
      <c r="EM36" s="2469"/>
      <c r="EN36" s="2469"/>
      <c r="EO36" s="2470"/>
      <c r="EP36" s="787">
        <f>IF(EP35="normal (k=1)",1,IF(EP35="normal (k=2)",2,IF(EP35="normal (k=3)",3,IF(EP35="rectangular",SQRT(3),IF(EP35="triangular",SQRT(6),IF(EP35="Prob. U",SQRT(2),"no definido"))))))</f>
        <v>2</v>
      </c>
      <c r="EQ36" s="744"/>
      <c r="ER36" s="782"/>
      <c r="ES36" s="2468" t="s">
        <v>561</v>
      </c>
      <c r="ET36" s="2469"/>
      <c r="EU36" s="2469"/>
      <c r="EV36" s="2470"/>
      <c r="EW36" s="787">
        <f>IF(EW35="normal (k=1)",1,IF(EW35="normal (k=2)",2,IF(EW35="normal (k=3)",3,IF(EW35="rectangular",SQRT(3),IF(EW35="triangular",SQRT(6),IF(EW35="Prob. U",SQRT(2),"no definido"))))))</f>
        <v>2</v>
      </c>
      <c r="EX36" s="744"/>
      <c r="EY36" s="743"/>
      <c r="EZ36" s="2471" t="s">
        <v>561</v>
      </c>
      <c r="FA36" s="2469"/>
      <c r="FB36" s="2469"/>
      <c r="FC36" s="2470"/>
      <c r="FD36" s="787">
        <f>IF(FD35="normal (k=1)",1,IF(FD35="normal (k=2)",2,IF(FD35="normal (k=3)",3,IF(FD35="rectangular",SQRT(3),IF(FD35="triangular",SQRT(6),IF(FD35="Prob. U",SQRT(2),"no definido"))))))</f>
        <v>2</v>
      </c>
      <c r="FE36" s="744"/>
      <c r="FF36" s="782"/>
      <c r="FG36" s="2468" t="s">
        <v>561</v>
      </c>
      <c r="FH36" s="2469"/>
      <c r="FI36" s="2469"/>
      <c r="FJ36" s="2470"/>
      <c r="FK36" s="787">
        <f>IF(FK35="normal (k=1)",1,IF(FK35="normal (k=2)",2,IF(FK35="normal (k=3)",3,IF(FK35="rectangular",SQRT(3),IF(FK35="triangular",SQRT(6),IF(FK35="Prob. U",SQRT(2),"no definido"))))))</f>
        <v>2</v>
      </c>
      <c r="FL36" s="744"/>
      <c r="FM36" s="743"/>
      <c r="FN36" s="2471" t="s">
        <v>561</v>
      </c>
      <c r="FO36" s="2469"/>
      <c r="FP36" s="2469"/>
      <c r="FQ36" s="2470"/>
      <c r="FR36" s="787">
        <f>IF(FR35="normal (k=1)",1,IF(FR35="normal (k=2)",2,IF(FR35="normal (k=3)",3,IF(FR35="rectangular",SQRT(3),IF(FR35="triangular",SQRT(6),IF(FR35="Prob. U",SQRT(2),"no definido"))))))</f>
        <v>2</v>
      </c>
      <c r="FS36" s="744"/>
      <c r="FT36" s="782"/>
    </row>
    <row r="37" spans="1:176" ht="18" x14ac:dyDescent="0.25">
      <c r="A37" s="735"/>
      <c r="I37" s="2392" t="s">
        <v>796</v>
      </c>
      <c r="J37" s="2469"/>
      <c r="K37" s="2469"/>
      <c r="L37" s="2470"/>
      <c r="M37" s="788" t="e">
        <f>M34*M36</f>
        <v>#REF!</v>
      </c>
      <c r="N37" s="742"/>
      <c r="O37" s="743" t="s">
        <v>325</v>
      </c>
      <c r="P37" s="2472" t="s">
        <v>796</v>
      </c>
      <c r="Q37" s="2469"/>
      <c r="R37" s="2469"/>
      <c r="S37" s="2470"/>
      <c r="T37" s="788" t="e">
        <f>T34*T36</f>
        <v>#VALUE!</v>
      </c>
      <c r="U37" s="742"/>
      <c r="V37" s="782" t="s">
        <v>325</v>
      </c>
      <c r="W37" s="2392" t="s">
        <v>796</v>
      </c>
      <c r="X37" s="2517"/>
      <c r="Y37" s="2517"/>
      <c r="Z37" s="2393"/>
      <c r="AA37" s="788" t="e">
        <f>AA34*AA36</f>
        <v>#REF!</v>
      </c>
      <c r="AB37" s="742"/>
      <c r="AC37" s="743" t="s">
        <v>325</v>
      </c>
      <c r="AD37" s="2472" t="s">
        <v>796</v>
      </c>
      <c r="AE37" s="2517"/>
      <c r="AF37" s="2517"/>
      <c r="AG37" s="2393"/>
      <c r="AH37" s="788" t="e">
        <f>AH34*AH36</f>
        <v>#VALUE!</v>
      </c>
      <c r="AI37" s="742"/>
      <c r="AJ37" s="782" t="s">
        <v>325</v>
      </c>
      <c r="AK37" s="2392" t="s">
        <v>796</v>
      </c>
      <c r="AL37" s="2469"/>
      <c r="AM37" s="2469"/>
      <c r="AN37" s="2470"/>
      <c r="AO37" s="788" t="e">
        <f>AO34*AO36</f>
        <v>#REF!</v>
      </c>
      <c r="AP37" s="742"/>
      <c r="AQ37" s="743" t="s">
        <v>325</v>
      </c>
      <c r="AR37" s="2472" t="s">
        <v>796</v>
      </c>
      <c r="AS37" s="2469"/>
      <c r="AT37" s="2469"/>
      <c r="AU37" s="2470"/>
      <c r="AV37" s="788" t="e">
        <f>AV34*AV36</f>
        <v>#VALUE!</v>
      </c>
      <c r="AW37" s="742"/>
      <c r="AX37" s="782" t="s">
        <v>325</v>
      </c>
      <c r="AY37" s="2392" t="s">
        <v>796</v>
      </c>
      <c r="AZ37" s="2469"/>
      <c r="BA37" s="2469"/>
      <c r="BB37" s="2470"/>
      <c r="BC37" s="788" t="e">
        <f>BC34*BC36</f>
        <v>#VALUE!</v>
      </c>
      <c r="BD37" s="742"/>
      <c r="BE37" s="743" t="s">
        <v>325</v>
      </c>
      <c r="BF37" s="2472" t="s">
        <v>796</v>
      </c>
      <c r="BG37" s="2469"/>
      <c r="BH37" s="2469"/>
      <c r="BI37" s="2470"/>
      <c r="BJ37" s="788" t="e">
        <f>BJ34*BJ36</f>
        <v>#VALUE!</v>
      </c>
      <c r="BK37" s="742"/>
      <c r="BL37" s="782" t="s">
        <v>325</v>
      </c>
      <c r="BM37" s="2392" t="s">
        <v>796</v>
      </c>
      <c r="BN37" s="2469"/>
      <c r="BO37" s="2469"/>
      <c r="BP37" s="2470"/>
      <c r="BQ37" s="788" t="e">
        <f>BQ34*BQ36</f>
        <v>#VALUE!</v>
      </c>
      <c r="BR37" s="742"/>
      <c r="BS37" s="743" t="s">
        <v>325</v>
      </c>
      <c r="BT37" s="2472" t="s">
        <v>796</v>
      </c>
      <c r="BU37" s="2517"/>
      <c r="BV37" s="2517"/>
      <c r="BW37" s="2393"/>
      <c r="BX37" s="788" t="e">
        <f>BX34*BX36</f>
        <v>#VALUE!</v>
      </c>
      <c r="BY37" s="742"/>
      <c r="BZ37" s="782" t="s">
        <v>325</v>
      </c>
      <c r="CA37" s="2392" t="s">
        <v>796</v>
      </c>
      <c r="CB37" s="2469"/>
      <c r="CC37" s="2469"/>
      <c r="CD37" s="2470"/>
      <c r="CE37" s="788" t="e">
        <f>CE34*CE36</f>
        <v>#VALUE!</v>
      </c>
      <c r="CF37" s="742"/>
      <c r="CG37" s="743" t="s">
        <v>325</v>
      </c>
      <c r="CH37" s="2472" t="s">
        <v>796</v>
      </c>
      <c r="CI37" s="2469"/>
      <c r="CJ37" s="2469"/>
      <c r="CK37" s="2470"/>
      <c r="CL37" s="788" t="e">
        <f>CL34*CL36</f>
        <v>#VALUE!</v>
      </c>
      <c r="CM37" s="742"/>
      <c r="CN37" s="782" t="s">
        <v>325</v>
      </c>
      <c r="CO37" s="2392" t="s">
        <v>796</v>
      </c>
      <c r="CP37" s="2469"/>
      <c r="CQ37" s="2469"/>
      <c r="CR37" s="2470"/>
      <c r="CS37" s="788" t="e">
        <f>CS34*CS36</f>
        <v>#VALUE!</v>
      </c>
      <c r="CT37" s="742"/>
      <c r="CU37" s="743" t="s">
        <v>325</v>
      </c>
      <c r="CV37" s="2472" t="s">
        <v>796</v>
      </c>
      <c r="CW37" s="2469"/>
      <c r="CX37" s="2469"/>
      <c r="CY37" s="2470"/>
      <c r="CZ37" s="788" t="e">
        <f>CZ34*CZ36</f>
        <v>#VALUE!</v>
      </c>
      <c r="DA37" s="742"/>
      <c r="DB37" s="782" t="s">
        <v>325</v>
      </c>
      <c r="DC37" s="2392" t="s">
        <v>796</v>
      </c>
      <c r="DD37" s="2469"/>
      <c r="DE37" s="2469"/>
      <c r="DF37" s="2470"/>
      <c r="DG37" s="788" t="e">
        <f>DG34*DG36</f>
        <v>#VALUE!</v>
      </c>
      <c r="DH37" s="742"/>
      <c r="DI37" s="743" t="s">
        <v>325</v>
      </c>
      <c r="DJ37" s="2472" t="s">
        <v>796</v>
      </c>
      <c r="DK37" s="2469"/>
      <c r="DL37" s="2469"/>
      <c r="DM37" s="2470"/>
      <c r="DN37" s="788" t="e">
        <f>DN34*DN36</f>
        <v>#VALUE!</v>
      </c>
      <c r="DO37" s="742"/>
      <c r="DP37" s="782" t="s">
        <v>325</v>
      </c>
      <c r="DQ37" s="2392" t="s">
        <v>796</v>
      </c>
      <c r="DR37" s="2469"/>
      <c r="DS37" s="2469"/>
      <c r="DT37" s="2470"/>
      <c r="DU37" s="788" t="e">
        <f>DU34*DU36</f>
        <v>#VALUE!</v>
      </c>
      <c r="DV37" s="742"/>
      <c r="DW37" s="743" t="s">
        <v>325</v>
      </c>
      <c r="DX37" s="2472" t="s">
        <v>796</v>
      </c>
      <c r="DY37" s="2469"/>
      <c r="DZ37" s="2469"/>
      <c r="EA37" s="2470"/>
      <c r="EB37" s="788" t="e">
        <f>EB34*EB36</f>
        <v>#VALUE!</v>
      </c>
      <c r="EC37" s="742"/>
      <c r="ED37" s="782" t="s">
        <v>325</v>
      </c>
      <c r="EE37" s="2392" t="s">
        <v>796</v>
      </c>
      <c r="EF37" s="2469"/>
      <c r="EG37" s="2469"/>
      <c r="EH37" s="2470"/>
      <c r="EI37" s="788" t="e">
        <f>EI34*EI36</f>
        <v>#VALUE!</v>
      </c>
      <c r="EJ37" s="742"/>
      <c r="EK37" s="743" t="s">
        <v>325</v>
      </c>
      <c r="EL37" s="2472" t="s">
        <v>796</v>
      </c>
      <c r="EM37" s="2469"/>
      <c r="EN37" s="2469"/>
      <c r="EO37" s="2470"/>
      <c r="EP37" s="788" t="e">
        <f>EP34*EP36</f>
        <v>#VALUE!</v>
      </c>
      <c r="EQ37" s="742"/>
      <c r="ER37" s="782" t="s">
        <v>325</v>
      </c>
      <c r="ES37" s="2392" t="s">
        <v>796</v>
      </c>
      <c r="ET37" s="2469"/>
      <c r="EU37" s="2469"/>
      <c r="EV37" s="2470"/>
      <c r="EW37" s="788" t="e">
        <f>EW34*EW36</f>
        <v>#VALUE!</v>
      </c>
      <c r="EX37" s="742"/>
      <c r="EY37" s="743" t="s">
        <v>325</v>
      </c>
      <c r="EZ37" s="2472" t="s">
        <v>796</v>
      </c>
      <c r="FA37" s="2469"/>
      <c r="FB37" s="2469"/>
      <c r="FC37" s="2470"/>
      <c r="FD37" s="788" t="e">
        <f>FD34*FD36</f>
        <v>#VALUE!</v>
      </c>
      <c r="FE37" s="742"/>
      <c r="FF37" s="782" t="s">
        <v>325</v>
      </c>
      <c r="FG37" s="2392" t="s">
        <v>796</v>
      </c>
      <c r="FH37" s="2469"/>
      <c r="FI37" s="2469"/>
      <c r="FJ37" s="2470"/>
      <c r="FK37" s="788" t="e">
        <f>FK34*FK36</f>
        <v>#VALUE!</v>
      </c>
      <c r="FL37" s="742"/>
      <c r="FM37" s="743" t="s">
        <v>325</v>
      </c>
      <c r="FN37" s="2472" t="s">
        <v>796</v>
      </c>
      <c r="FO37" s="2469"/>
      <c r="FP37" s="2469"/>
      <c r="FQ37" s="2470"/>
      <c r="FR37" s="788" t="e">
        <f>FR34*FR36</f>
        <v>#VALUE!</v>
      </c>
      <c r="FS37" s="742"/>
      <c r="FT37" s="782" t="s">
        <v>325</v>
      </c>
    </row>
    <row r="38" spans="1:176" ht="18.75" thickBot="1" x14ac:dyDescent="0.3">
      <c r="A38" s="735"/>
      <c r="I38" s="2473" t="s">
        <v>796</v>
      </c>
      <c r="J38" s="2474"/>
      <c r="K38" s="2474"/>
      <c r="L38" s="2474"/>
      <c r="M38" s="791" t="e">
        <f>M37/I18</f>
        <v>#REF!</v>
      </c>
      <c r="N38" s="789"/>
      <c r="O38" s="1170"/>
      <c r="P38" s="2475" t="s">
        <v>796</v>
      </c>
      <c r="Q38" s="2474"/>
      <c r="R38" s="2474"/>
      <c r="S38" s="2474"/>
      <c r="T38" s="791" t="e">
        <f>T37/P18</f>
        <v>#VALUE!</v>
      </c>
      <c r="U38" s="789"/>
      <c r="V38" s="790"/>
      <c r="W38" s="2581" t="s">
        <v>796</v>
      </c>
      <c r="X38" s="2515"/>
      <c r="Y38" s="2515"/>
      <c r="Z38" s="2516"/>
      <c r="AA38" s="791" t="e">
        <f>AA37/W18</f>
        <v>#REF!</v>
      </c>
      <c r="AB38" s="789"/>
      <c r="AC38" s="1170"/>
      <c r="AD38" s="2514" t="s">
        <v>796</v>
      </c>
      <c r="AE38" s="2515"/>
      <c r="AF38" s="2515"/>
      <c r="AG38" s="2516"/>
      <c r="AH38" s="791" t="e">
        <f>AH37/AD18</f>
        <v>#VALUE!</v>
      </c>
      <c r="AI38" s="789"/>
      <c r="AJ38" s="790"/>
      <c r="AK38" s="2473" t="s">
        <v>796</v>
      </c>
      <c r="AL38" s="2474"/>
      <c r="AM38" s="2474"/>
      <c r="AN38" s="2474"/>
      <c r="AO38" s="791" t="e">
        <f>AO37/AK18</f>
        <v>#REF!</v>
      </c>
      <c r="AP38" s="789"/>
      <c r="AQ38" s="1170"/>
      <c r="AR38" s="2475" t="s">
        <v>796</v>
      </c>
      <c r="AS38" s="2474"/>
      <c r="AT38" s="2474"/>
      <c r="AU38" s="2474"/>
      <c r="AV38" s="791" t="e">
        <f>AV37/AR18</f>
        <v>#VALUE!</v>
      </c>
      <c r="AW38" s="789"/>
      <c r="AX38" s="790"/>
      <c r="AY38" s="2473" t="s">
        <v>796</v>
      </c>
      <c r="AZ38" s="2474"/>
      <c r="BA38" s="2474"/>
      <c r="BB38" s="2474"/>
      <c r="BC38" s="791" t="e">
        <f>BC37/AY18</f>
        <v>#VALUE!</v>
      </c>
      <c r="BD38" s="789"/>
      <c r="BE38" s="1170"/>
      <c r="BF38" s="2475" t="s">
        <v>796</v>
      </c>
      <c r="BG38" s="2474"/>
      <c r="BH38" s="2474"/>
      <c r="BI38" s="2474"/>
      <c r="BJ38" s="791" t="e">
        <f>BJ37/BF18</f>
        <v>#VALUE!</v>
      </c>
      <c r="BK38" s="789"/>
      <c r="BL38" s="790"/>
      <c r="BM38" s="2473" t="s">
        <v>796</v>
      </c>
      <c r="BN38" s="2474"/>
      <c r="BO38" s="2474"/>
      <c r="BP38" s="2474"/>
      <c r="BQ38" s="791" t="e">
        <f>BQ37/BM18</f>
        <v>#VALUE!</v>
      </c>
      <c r="BR38" s="789"/>
      <c r="BS38" s="1170"/>
      <c r="BT38" s="2514" t="s">
        <v>796</v>
      </c>
      <c r="BU38" s="2515"/>
      <c r="BV38" s="2515"/>
      <c r="BW38" s="2516"/>
      <c r="BX38" s="791" t="e">
        <f>BX37/BT18</f>
        <v>#VALUE!</v>
      </c>
      <c r="BY38" s="789"/>
      <c r="BZ38" s="790"/>
      <c r="CA38" s="2473" t="s">
        <v>796</v>
      </c>
      <c r="CB38" s="2474"/>
      <c r="CC38" s="2474"/>
      <c r="CD38" s="2474"/>
      <c r="CE38" s="791" t="e">
        <f>CE37/CA18</f>
        <v>#VALUE!</v>
      </c>
      <c r="CF38" s="789"/>
      <c r="CG38" s="1170"/>
      <c r="CH38" s="2475" t="s">
        <v>796</v>
      </c>
      <c r="CI38" s="2474"/>
      <c r="CJ38" s="2474"/>
      <c r="CK38" s="2474"/>
      <c r="CL38" s="791" t="e">
        <f>CL37/CH18</f>
        <v>#VALUE!</v>
      </c>
      <c r="CM38" s="789"/>
      <c r="CN38" s="790"/>
      <c r="CO38" s="2473" t="s">
        <v>796</v>
      </c>
      <c r="CP38" s="2474"/>
      <c r="CQ38" s="2474"/>
      <c r="CR38" s="2474"/>
      <c r="CS38" s="791" t="e">
        <f>CS37/CO18</f>
        <v>#VALUE!</v>
      </c>
      <c r="CT38" s="789"/>
      <c r="CU38" s="1170"/>
      <c r="CV38" s="2475" t="s">
        <v>796</v>
      </c>
      <c r="CW38" s="2474"/>
      <c r="CX38" s="2474"/>
      <c r="CY38" s="2474"/>
      <c r="CZ38" s="791" t="e">
        <f>CZ37/CV18</f>
        <v>#VALUE!</v>
      </c>
      <c r="DA38" s="789"/>
      <c r="DB38" s="790"/>
      <c r="DC38" s="2473" t="s">
        <v>796</v>
      </c>
      <c r="DD38" s="2474"/>
      <c r="DE38" s="2474"/>
      <c r="DF38" s="2474"/>
      <c r="DG38" s="791" t="e">
        <f>DG37/DC18</f>
        <v>#VALUE!</v>
      </c>
      <c r="DH38" s="789"/>
      <c r="DI38" s="1170"/>
      <c r="DJ38" s="2475" t="s">
        <v>796</v>
      </c>
      <c r="DK38" s="2474"/>
      <c r="DL38" s="2474"/>
      <c r="DM38" s="2474"/>
      <c r="DN38" s="791" t="e">
        <f>DN37/DJ18</f>
        <v>#VALUE!</v>
      </c>
      <c r="DO38" s="789"/>
      <c r="DP38" s="790"/>
      <c r="DQ38" s="2473" t="s">
        <v>796</v>
      </c>
      <c r="DR38" s="2474"/>
      <c r="DS38" s="2474"/>
      <c r="DT38" s="2474"/>
      <c r="DU38" s="791" t="e">
        <f>DU37/DQ18</f>
        <v>#VALUE!</v>
      </c>
      <c r="DV38" s="789"/>
      <c r="DW38" s="1170"/>
      <c r="DX38" s="2475" t="s">
        <v>796</v>
      </c>
      <c r="DY38" s="2474"/>
      <c r="DZ38" s="2474"/>
      <c r="EA38" s="2474"/>
      <c r="EB38" s="791" t="e">
        <f>EB37/DX18</f>
        <v>#VALUE!</v>
      </c>
      <c r="EC38" s="789"/>
      <c r="ED38" s="790"/>
      <c r="EE38" s="2473" t="s">
        <v>796</v>
      </c>
      <c r="EF38" s="2474"/>
      <c r="EG38" s="2474"/>
      <c r="EH38" s="2474"/>
      <c r="EI38" s="791" t="e">
        <f>EI37/EE18</f>
        <v>#VALUE!</v>
      </c>
      <c r="EJ38" s="789"/>
      <c r="EK38" s="1170"/>
      <c r="EL38" s="2475" t="s">
        <v>796</v>
      </c>
      <c r="EM38" s="2474"/>
      <c r="EN38" s="2474"/>
      <c r="EO38" s="2474"/>
      <c r="EP38" s="791" t="e">
        <f>EP37/EL18</f>
        <v>#VALUE!</v>
      </c>
      <c r="EQ38" s="789"/>
      <c r="ER38" s="790"/>
      <c r="ES38" s="2473" t="s">
        <v>796</v>
      </c>
      <c r="ET38" s="2474"/>
      <c r="EU38" s="2474"/>
      <c r="EV38" s="2474"/>
      <c r="EW38" s="791" t="e">
        <f>EW37/ES18</f>
        <v>#VALUE!</v>
      </c>
      <c r="EX38" s="789"/>
      <c r="EY38" s="1170"/>
      <c r="EZ38" s="2475" t="s">
        <v>796</v>
      </c>
      <c r="FA38" s="2474"/>
      <c r="FB38" s="2474"/>
      <c r="FC38" s="2474"/>
      <c r="FD38" s="791" t="e">
        <f>FD37/EZ18</f>
        <v>#VALUE!</v>
      </c>
      <c r="FE38" s="789"/>
      <c r="FF38" s="790"/>
      <c r="FG38" s="2473" t="s">
        <v>796</v>
      </c>
      <c r="FH38" s="2474"/>
      <c r="FI38" s="2474"/>
      <c r="FJ38" s="2474"/>
      <c r="FK38" s="791" t="e">
        <f>FK37/FG18</f>
        <v>#VALUE!</v>
      </c>
      <c r="FL38" s="789"/>
      <c r="FM38" s="1170"/>
      <c r="FN38" s="2475" t="s">
        <v>796</v>
      </c>
      <c r="FO38" s="2474"/>
      <c r="FP38" s="2474"/>
      <c r="FQ38" s="2474"/>
      <c r="FR38" s="791" t="e">
        <f>FR37/FN18</f>
        <v>#VALUE!</v>
      </c>
      <c r="FS38" s="789"/>
      <c r="FT38" s="790"/>
    </row>
    <row r="39" spans="1:176" x14ac:dyDescent="0.25">
      <c r="A39" s="735"/>
      <c r="I39" s="847"/>
      <c r="J39" s="783"/>
      <c r="K39" s="783"/>
      <c r="L39" s="783"/>
      <c r="M39" s="783"/>
      <c r="N39" s="783"/>
      <c r="O39" s="783"/>
      <c r="P39" s="1180"/>
      <c r="Q39" s="783"/>
      <c r="R39" s="783"/>
      <c r="S39" s="783"/>
      <c r="T39" s="783"/>
      <c r="U39" s="783"/>
      <c r="V39" s="848"/>
      <c r="W39" s="847"/>
      <c r="X39" s="783"/>
      <c r="Y39" s="783"/>
      <c r="Z39" s="783"/>
      <c r="AA39" s="783"/>
      <c r="AB39" s="783"/>
      <c r="AC39" s="783"/>
      <c r="AD39" s="1180"/>
      <c r="AE39" s="783"/>
      <c r="AF39" s="783"/>
      <c r="AG39" s="783"/>
      <c r="AH39" s="783"/>
      <c r="AI39" s="783"/>
      <c r="AJ39" s="848"/>
      <c r="AK39" s="847"/>
      <c r="AL39" s="783"/>
      <c r="AM39" s="783"/>
      <c r="AN39" s="783"/>
      <c r="AO39" s="783"/>
      <c r="AP39" s="783"/>
      <c r="AQ39" s="783"/>
      <c r="AR39" s="1180"/>
      <c r="AS39" s="783"/>
      <c r="AT39" s="783"/>
      <c r="AU39" s="783"/>
      <c r="AV39" s="783"/>
      <c r="AW39" s="783"/>
      <c r="AX39" s="848"/>
      <c r="AY39" s="1007"/>
      <c r="AZ39" s="783"/>
      <c r="BA39" s="783"/>
      <c r="BB39" s="783"/>
      <c r="BC39" s="783"/>
      <c r="BD39" s="783"/>
      <c r="BE39" s="783"/>
      <c r="BF39" s="1184"/>
      <c r="BG39" s="783"/>
      <c r="BH39" s="783"/>
      <c r="BI39" s="783"/>
      <c r="BJ39" s="783"/>
      <c r="BK39" s="783"/>
      <c r="BL39" s="848"/>
      <c r="BM39" s="847"/>
      <c r="BN39" s="783"/>
      <c r="BO39" s="783"/>
      <c r="BP39" s="783"/>
      <c r="BQ39" s="783"/>
      <c r="BR39" s="783"/>
      <c r="BS39" s="783"/>
      <c r="BT39" s="1180"/>
      <c r="BU39" s="783"/>
      <c r="BV39" s="783"/>
      <c r="BW39" s="783"/>
      <c r="BX39" s="783"/>
      <c r="BY39" s="783"/>
      <c r="BZ39" s="848"/>
      <c r="CA39" s="847"/>
      <c r="CB39" s="783"/>
      <c r="CC39" s="783"/>
      <c r="CD39" s="783"/>
      <c r="CE39" s="783"/>
      <c r="CF39" s="783"/>
      <c r="CG39" s="783"/>
      <c r="CH39" s="1180"/>
      <c r="CI39" s="783"/>
      <c r="CJ39" s="783"/>
      <c r="CK39" s="783"/>
      <c r="CL39" s="783"/>
      <c r="CM39" s="783"/>
      <c r="CN39" s="848"/>
      <c r="CO39" s="847"/>
      <c r="CP39" s="783"/>
      <c r="CQ39" s="783"/>
      <c r="CR39" s="783"/>
      <c r="CS39" s="783"/>
      <c r="CT39" s="783"/>
      <c r="CU39" s="783"/>
      <c r="CV39" s="1180"/>
      <c r="CW39" s="783"/>
      <c r="CX39" s="783"/>
      <c r="CY39" s="783"/>
      <c r="CZ39" s="783"/>
      <c r="DA39" s="783"/>
      <c r="DB39" s="848"/>
      <c r="DC39" s="847"/>
      <c r="DD39" s="783"/>
      <c r="DE39" s="783"/>
      <c r="DF39" s="783"/>
      <c r="DG39" s="783"/>
      <c r="DH39" s="783"/>
      <c r="DI39" s="783"/>
      <c r="DJ39" s="1180"/>
      <c r="DK39" s="783"/>
      <c r="DL39" s="783"/>
      <c r="DM39" s="783"/>
      <c r="DN39" s="783"/>
      <c r="DO39" s="783"/>
      <c r="DP39" s="848"/>
      <c r="DQ39" s="847"/>
      <c r="DR39" s="783"/>
      <c r="DS39" s="783"/>
      <c r="DT39" s="783"/>
      <c r="DU39" s="783"/>
      <c r="DV39" s="783"/>
      <c r="DW39" s="783"/>
      <c r="DX39" s="1180"/>
      <c r="DY39" s="783"/>
      <c r="DZ39" s="783"/>
      <c r="EA39" s="783"/>
      <c r="EB39" s="783"/>
      <c r="EC39" s="783"/>
      <c r="ED39" s="848"/>
      <c r="EE39" s="847"/>
      <c r="EF39" s="783"/>
      <c r="EG39" s="783"/>
      <c r="EH39" s="783"/>
      <c r="EI39" s="783"/>
      <c r="EJ39" s="783"/>
      <c r="EK39" s="783"/>
      <c r="EL39" s="1180"/>
      <c r="EM39" s="783"/>
      <c r="EN39" s="783"/>
      <c r="EO39" s="783"/>
      <c r="EP39" s="783"/>
      <c r="EQ39" s="783"/>
      <c r="ER39" s="848"/>
      <c r="ES39" s="847"/>
      <c r="ET39" s="783"/>
      <c r="EU39" s="783"/>
      <c r="EV39" s="783"/>
      <c r="EW39" s="783"/>
      <c r="EX39" s="783"/>
      <c r="EY39" s="783"/>
      <c r="EZ39" s="1180"/>
      <c r="FA39" s="783"/>
      <c r="FB39" s="783"/>
      <c r="FC39" s="783"/>
      <c r="FD39" s="783"/>
      <c r="FE39" s="783"/>
      <c r="FF39" s="848"/>
      <c r="FG39" s="847"/>
      <c r="FH39" s="783"/>
      <c r="FI39" s="783"/>
      <c r="FJ39" s="783"/>
      <c r="FK39" s="783"/>
      <c r="FL39" s="783"/>
      <c r="FM39" s="783"/>
      <c r="FN39" s="1180"/>
      <c r="FO39" s="783"/>
      <c r="FP39" s="783"/>
      <c r="FQ39" s="783"/>
      <c r="FR39" s="783"/>
      <c r="FS39" s="783"/>
      <c r="FT39" s="848"/>
    </row>
    <row r="40" spans="1:176" x14ac:dyDescent="0.25">
      <c r="A40" s="735"/>
      <c r="I40" s="777"/>
      <c r="P40" s="1181"/>
      <c r="V40" s="784"/>
      <c r="W40" s="777"/>
      <c r="AD40" s="1181"/>
      <c r="AJ40" s="784"/>
      <c r="AK40" s="777"/>
      <c r="AR40" s="1181"/>
      <c r="AX40" s="784"/>
      <c r="AY40" s="777"/>
      <c r="BF40" s="1181"/>
      <c r="BL40" s="784"/>
      <c r="BM40" s="777"/>
      <c r="BT40" s="1181"/>
      <c r="BZ40" s="784"/>
      <c r="CA40" s="777"/>
      <c r="CH40" s="1181"/>
      <c r="CN40" s="784"/>
      <c r="CO40" s="777"/>
      <c r="CV40" s="1181"/>
      <c r="DB40" s="784"/>
      <c r="DC40" s="777"/>
      <c r="DJ40" s="1181"/>
      <c r="DP40" s="784"/>
      <c r="DQ40" s="777"/>
      <c r="DX40" s="1181"/>
      <c r="ED40" s="784"/>
      <c r="EE40" s="777"/>
      <c r="EL40" s="1181"/>
      <c r="ER40" s="784"/>
      <c r="ES40" s="777"/>
      <c r="EZ40" s="1181"/>
      <c r="FF40" s="784"/>
      <c r="FG40" s="777"/>
      <c r="FN40" s="1181"/>
      <c r="FT40" s="784"/>
    </row>
    <row r="41" spans="1:176" x14ac:dyDescent="0.25">
      <c r="A41" s="735"/>
      <c r="I41" s="777"/>
      <c r="N41" s="779"/>
      <c r="P41" s="1181"/>
      <c r="U41" s="779"/>
      <c r="V41" s="784"/>
      <c r="W41" s="777"/>
      <c r="AB41" s="779"/>
      <c r="AD41" s="1181"/>
      <c r="AI41" s="779"/>
      <c r="AJ41" s="784"/>
      <c r="AK41" s="777"/>
      <c r="AP41" s="779"/>
      <c r="AR41" s="1181"/>
      <c r="AW41" s="779"/>
      <c r="AX41" s="784"/>
      <c r="AY41" s="777"/>
      <c r="BD41" s="779"/>
      <c r="BF41" s="1181"/>
      <c r="BK41" s="779"/>
      <c r="BL41" s="784"/>
      <c r="BM41" s="777"/>
      <c r="BR41" s="779"/>
      <c r="BT41" s="1181"/>
      <c r="BY41" s="779"/>
      <c r="BZ41" s="784"/>
      <c r="CA41" s="777"/>
      <c r="CF41" s="779"/>
      <c r="CH41" s="1181"/>
      <c r="CM41" s="779"/>
      <c r="CN41" s="784"/>
      <c r="CO41" s="777"/>
      <c r="CT41" s="779"/>
      <c r="CV41" s="1181"/>
      <c r="DA41" s="779"/>
      <c r="DB41" s="784"/>
      <c r="DC41" s="777"/>
      <c r="DH41" s="779"/>
      <c r="DJ41" s="1181"/>
      <c r="DO41" s="779"/>
      <c r="DP41" s="784"/>
      <c r="DQ41" s="777"/>
      <c r="DV41" s="779"/>
      <c r="DX41" s="1181"/>
      <c r="EC41" s="779"/>
      <c r="ED41" s="784"/>
      <c r="EE41" s="777"/>
      <c r="EJ41" s="779"/>
      <c r="EL41" s="1181"/>
      <c r="EQ41" s="779"/>
      <c r="ER41" s="784"/>
      <c r="ES41" s="777"/>
      <c r="EX41" s="779"/>
      <c r="EZ41" s="1181"/>
      <c r="FE41" s="779"/>
      <c r="FF41" s="784"/>
      <c r="FG41" s="777"/>
      <c r="FL41" s="779"/>
      <c r="FN41" s="1181"/>
      <c r="FS41" s="779"/>
      <c r="FT41" s="784"/>
    </row>
    <row r="42" spans="1:176" x14ac:dyDescent="0.25">
      <c r="A42" s="735"/>
      <c r="I42" s="777"/>
      <c r="P42" s="1181"/>
      <c r="V42" s="784"/>
      <c r="W42" s="777"/>
      <c r="AD42" s="1181"/>
      <c r="AJ42" s="784"/>
      <c r="AK42" s="777"/>
      <c r="AR42" s="1181"/>
      <c r="AX42" s="784"/>
      <c r="AY42" s="777"/>
      <c r="BF42" s="1181"/>
      <c r="BL42" s="784"/>
      <c r="BM42" s="777"/>
      <c r="BT42" s="1181"/>
      <c r="BZ42" s="784"/>
      <c r="CA42" s="777"/>
      <c r="CH42" s="1181"/>
      <c r="CN42" s="784"/>
      <c r="CO42" s="777"/>
      <c r="CV42" s="1181"/>
      <c r="DB42" s="784"/>
      <c r="DC42" s="777"/>
      <c r="DJ42" s="1181"/>
      <c r="DP42" s="784"/>
      <c r="DQ42" s="777"/>
      <c r="DX42" s="1181"/>
      <c r="ED42" s="784"/>
      <c r="EE42" s="777"/>
      <c r="EL42" s="1181"/>
      <c r="ER42" s="784"/>
      <c r="ES42" s="777"/>
      <c r="EZ42" s="1181"/>
      <c r="FF42" s="784"/>
      <c r="FG42" s="777"/>
      <c r="FN42" s="1181"/>
      <c r="FT42" s="784"/>
    </row>
    <row r="43" spans="1:176" x14ac:dyDescent="0.25">
      <c r="A43" s="735"/>
      <c r="I43" s="777"/>
      <c r="P43" s="1181"/>
      <c r="V43" s="784"/>
      <c r="W43" s="777"/>
      <c r="AD43" s="1181"/>
      <c r="AJ43" s="784"/>
      <c r="AK43" s="777"/>
      <c r="AR43" s="1181"/>
      <c r="AX43" s="784"/>
      <c r="AY43" s="777"/>
      <c r="BF43" s="1181"/>
      <c r="BL43" s="784"/>
      <c r="BM43" s="777"/>
      <c r="BT43" s="1181"/>
      <c r="BZ43" s="784"/>
      <c r="CA43" s="777"/>
      <c r="CH43" s="1181"/>
      <c r="CN43" s="784"/>
      <c r="CO43" s="777"/>
      <c r="CV43" s="1181"/>
      <c r="DB43" s="784"/>
      <c r="DC43" s="777"/>
      <c r="DJ43" s="1181"/>
      <c r="DP43" s="784"/>
      <c r="DQ43" s="777"/>
      <c r="DX43" s="1181"/>
      <c r="ED43" s="784"/>
      <c r="EE43" s="777"/>
      <c r="EL43" s="1181"/>
      <c r="ER43" s="784"/>
      <c r="ES43" s="777"/>
      <c r="EZ43" s="1181"/>
      <c r="FF43" s="784"/>
      <c r="FG43" s="777"/>
      <c r="FN43" s="1181"/>
      <c r="FT43" s="784"/>
    </row>
    <row r="44" spans="1:176" x14ac:dyDescent="0.25">
      <c r="A44" s="735"/>
      <c r="I44" s="777"/>
      <c r="P44" s="1181"/>
      <c r="V44" s="784"/>
      <c r="W44" s="777"/>
      <c r="AD44" s="1181"/>
      <c r="AJ44" s="784"/>
      <c r="AK44" s="777"/>
      <c r="AR44" s="1181"/>
      <c r="AX44" s="784"/>
      <c r="AY44" s="777"/>
      <c r="BF44" s="1181"/>
      <c r="BL44" s="784"/>
      <c r="BM44" s="777"/>
      <c r="BT44" s="1181"/>
      <c r="BZ44" s="784"/>
      <c r="CA44" s="777"/>
      <c r="CH44" s="1181"/>
      <c r="CN44" s="784"/>
      <c r="CO44" s="777"/>
      <c r="CV44" s="1181"/>
      <c r="DB44" s="784"/>
      <c r="DC44" s="777"/>
      <c r="DJ44" s="1181"/>
      <c r="DP44" s="784"/>
      <c r="DQ44" s="777"/>
      <c r="DX44" s="1181"/>
      <c r="ED44" s="784"/>
      <c r="EE44" s="777"/>
      <c r="EL44" s="1181"/>
      <c r="ER44" s="784"/>
      <c r="ES44" s="777"/>
      <c r="EZ44" s="1181"/>
      <c r="FF44" s="784"/>
      <c r="FG44" s="777"/>
      <c r="FN44" s="1181"/>
      <c r="FT44" s="784"/>
    </row>
    <row r="45" spans="1:176" x14ac:dyDescent="0.25">
      <c r="A45" s="735"/>
      <c r="I45" s="777"/>
      <c r="P45" s="1181"/>
      <c r="V45" s="784"/>
      <c r="W45" s="777"/>
      <c r="AD45" s="1181"/>
      <c r="AJ45" s="784"/>
      <c r="AK45" s="777"/>
      <c r="AR45" s="1181"/>
      <c r="AX45" s="784"/>
      <c r="AY45" s="777"/>
      <c r="BF45" s="1181"/>
      <c r="BL45" s="784"/>
      <c r="BM45" s="777"/>
      <c r="BT45" s="1181"/>
      <c r="BZ45" s="784"/>
      <c r="CA45" s="777"/>
      <c r="CH45" s="1181"/>
      <c r="CN45" s="784"/>
      <c r="CO45" s="777"/>
      <c r="CV45" s="1181"/>
      <c r="DB45" s="784"/>
      <c r="DC45" s="777"/>
      <c r="DJ45" s="1181"/>
      <c r="DP45" s="784"/>
      <c r="DQ45" s="777"/>
      <c r="DX45" s="1181"/>
      <c r="ED45" s="784"/>
      <c r="EE45" s="777"/>
      <c r="EL45" s="1181"/>
      <c r="ER45" s="784"/>
      <c r="ES45" s="777"/>
      <c r="EZ45" s="1181"/>
      <c r="FF45" s="784"/>
      <c r="FG45" s="777"/>
      <c r="FN45" s="1181"/>
      <c r="FT45" s="784"/>
    </row>
    <row r="46" spans="1:176" x14ac:dyDescent="0.25">
      <c r="A46" s="735"/>
      <c r="I46" s="777"/>
      <c r="P46" s="1181"/>
      <c r="V46" s="784"/>
      <c r="W46" s="777"/>
      <c r="AD46" s="1181"/>
      <c r="AJ46" s="784"/>
      <c r="AK46" s="777"/>
      <c r="AR46" s="1181"/>
      <c r="AX46" s="784"/>
      <c r="AY46" s="777"/>
      <c r="BF46" s="1181"/>
      <c r="BL46" s="784"/>
      <c r="BM46" s="777"/>
      <c r="BT46" s="1181"/>
      <c r="BZ46" s="784"/>
      <c r="CA46" s="777"/>
      <c r="CH46" s="1181"/>
      <c r="CN46" s="784"/>
      <c r="CO46" s="777"/>
      <c r="CV46" s="1181"/>
      <c r="DB46" s="784"/>
      <c r="DC46" s="777"/>
      <c r="DJ46" s="1181"/>
      <c r="DP46" s="784"/>
      <c r="DQ46" s="777"/>
      <c r="DX46" s="1181"/>
      <c r="ED46" s="784"/>
      <c r="EE46" s="777"/>
      <c r="EL46" s="1181"/>
      <c r="ER46" s="784"/>
      <c r="ES46" s="777"/>
      <c r="EZ46" s="1181"/>
      <c r="FF46" s="784"/>
      <c r="FG46" s="777"/>
      <c r="FN46" s="1181"/>
      <c r="FT46" s="784"/>
    </row>
    <row r="47" spans="1:176" x14ac:dyDescent="0.25">
      <c r="A47" s="735"/>
      <c r="I47" s="777"/>
      <c r="P47" s="1181"/>
      <c r="V47" s="784"/>
      <c r="W47" s="777"/>
      <c r="AD47" s="1181"/>
      <c r="AJ47" s="784"/>
      <c r="AK47" s="777"/>
      <c r="AR47" s="1181"/>
      <c r="AX47" s="784"/>
      <c r="AY47" s="777"/>
      <c r="BF47" s="1181"/>
      <c r="BL47" s="784"/>
      <c r="BM47" s="777"/>
      <c r="BT47" s="1181"/>
      <c r="BZ47" s="784"/>
      <c r="CA47" s="777"/>
      <c r="CH47" s="1181"/>
      <c r="CN47" s="784"/>
      <c r="CO47" s="777"/>
      <c r="CV47" s="1181"/>
      <c r="DB47" s="784"/>
      <c r="DC47" s="777"/>
      <c r="DJ47" s="1181"/>
      <c r="DP47" s="784"/>
      <c r="DQ47" s="777"/>
      <c r="DX47" s="1181"/>
      <c r="ED47" s="784"/>
      <c r="EE47" s="777"/>
      <c r="EL47" s="1181"/>
      <c r="ER47" s="784"/>
      <c r="ES47" s="777"/>
      <c r="EZ47" s="1181"/>
      <c r="FF47" s="784"/>
      <c r="FG47" s="777"/>
      <c r="FN47" s="1181"/>
      <c r="FT47" s="784"/>
    </row>
    <row r="48" spans="1:176" x14ac:dyDescent="0.25">
      <c r="A48" s="735"/>
      <c r="I48" s="777"/>
      <c r="P48" s="1181"/>
      <c r="V48" s="784"/>
      <c r="W48" s="777"/>
      <c r="AD48" s="1181"/>
      <c r="AJ48" s="784"/>
      <c r="AK48" s="777"/>
      <c r="AR48" s="1181"/>
      <c r="AX48" s="784"/>
      <c r="AY48" s="777"/>
      <c r="BF48" s="1181"/>
      <c r="BL48" s="784"/>
      <c r="BM48" s="777"/>
      <c r="BT48" s="1181"/>
      <c r="BZ48" s="784"/>
      <c r="CA48" s="777"/>
      <c r="CH48" s="1181"/>
      <c r="CN48" s="784"/>
      <c r="CO48" s="777"/>
      <c r="CV48" s="1181"/>
      <c r="DB48" s="784"/>
      <c r="DC48" s="777"/>
      <c r="DJ48" s="1181"/>
      <c r="DP48" s="784"/>
      <c r="DQ48" s="777"/>
      <c r="DX48" s="1181"/>
      <c r="ED48" s="784"/>
      <c r="EE48" s="777"/>
      <c r="EL48" s="1181"/>
      <c r="ER48" s="784"/>
      <c r="ES48" s="777"/>
      <c r="EZ48" s="1181"/>
      <c r="FF48" s="784"/>
      <c r="FG48" s="777"/>
      <c r="FN48" s="1181"/>
      <c r="FT48" s="784"/>
    </row>
    <row r="49" spans="1:176" x14ac:dyDescent="0.25">
      <c r="A49" s="735"/>
      <c r="I49" s="777"/>
      <c r="P49" s="1181"/>
      <c r="V49" s="784"/>
      <c r="W49" s="777"/>
      <c r="AD49" s="1181"/>
      <c r="AJ49" s="784"/>
      <c r="AK49" s="777"/>
      <c r="AR49" s="1181"/>
      <c r="AX49" s="784"/>
      <c r="AY49" s="777"/>
      <c r="BF49" s="1181"/>
      <c r="BL49" s="784"/>
      <c r="BM49" s="777"/>
      <c r="BT49" s="1181"/>
      <c r="BZ49" s="784"/>
      <c r="CA49" s="777"/>
      <c r="CH49" s="1181"/>
      <c r="CN49" s="784"/>
      <c r="CO49" s="777"/>
      <c r="CV49" s="1181"/>
      <c r="DB49" s="784"/>
      <c r="DC49" s="777"/>
      <c r="DJ49" s="1181"/>
      <c r="DP49" s="784"/>
      <c r="DQ49" s="777"/>
      <c r="DX49" s="1181"/>
      <c r="ED49" s="784"/>
      <c r="EE49" s="777"/>
      <c r="EL49" s="1181"/>
      <c r="ER49" s="784"/>
      <c r="ES49" s="777"/>
      <c r="EZ49" s="1181"/>
      <c r="FF49" s="784"/>
      <c r="FG49" s="777"/>
      <c r="FN49" s="1181"/>
      <c r="FT49" s="784"/>
    </row>
    <row r="50" spans="1:176" x14ac:dyDescent="0.25">
      <c r="A50" s="735"/>
      <c r="I50" s="777"/>
      <c r="P50" s="1181"/>
      <c r="V50" s="784"/>
      <c r="W50" s="777"/>
      <c r="AD50" s="1181"/>
      <c r="AJ50" s="784"/>
      <c r="AK50" s="777"/>
      <c r="AR50" s="1181"/>
      <c r="AX50" s="784"/>
      <c r="AY50" s="777"/>
      <c r="BF50" s="1181"/>
      <c r="BL50" s="784"/>
      <c r="BM50" s="777"/>
      <c r="BT50" s="1181"/>
      <c r="BZ50" s="784"/>
      <c r="CA50" s="777"/>
      <c r="CH50" s="1181"/>
      <c r="CN50" s="784"/>
      <c r="CO50" s="777"/>
      <c r="CV50" s="1181"/>
      <c r="DB50" s="784"/>
      <c r="DC50" s="777"/>
      <c r="DJ50" s="1181"/>
      <c r="DP50" s="784"/>
      <c r="DQ50" s="777"/>
      <c r="DX50" s="1181"/>
      <c r="ED50" s="784"/>
      <c r="EE50" s="777"/>
      <c r="EL50" s="1181"/>
      <c r="ER50" s="784"/>
      <c r="ES50" s="777"/>
      <c r="EZ50" s="1181"/>
      <c r="FF50" s="784"/>
      <c r="FG50" s="777"/>
      <c r="FN50" s="1181"/>
      <c r="FT50" s="784"/>
    </row>
    <row r="51" spans="1:176" x14ac:dyDescent="0.25">
      <c r="A51" s="735"/>
      <c r="I51" s="777"/>
      <c r="P51" s="1181"/>
      <c r="V51" s="784"/>
      <c r="W51" s="777"/>
      <c r="AD51" s="1181"/>
      <c r="AJ51" s="784"/>
      <c r="AK51" s="777"/>
      <c r="AR51" s="1181"/>
      <c r="AX51" s="784"/>
      <c r="AY51" s="777"/>
      <c r="BF51" s="1181"/>
      <c r="BL51" s="784"/>
      <c r="BM51" s="777"/>
      <c r="BT51" s="1181"/>
      <c r="BZ51" s="784"/>
      <c r="CA51" s="777"/>
      <c r="CH51" s="1181"/>
      <c r="CN51" s="784"/>
      <c r="CO51" s="777"/>
      <c r="CV51" s="1181"/>
      <c r="DB51" s="784"/>
      <c r="DC51" s="777"/>
      <c r="DJ51" s="1181"/>
      <c r="DP51" s="784"/>
      <c r="DQ51" s="777"/>
      <c r="DX51" s="1181"/>
      <c r="ED51" s="784"/>
      <c r="EE51" s="777"/>
      <c r="EL51" s="1181"/>
      <c r="ER51" s="784"/>
      <c r="ES51" s="777"/>
      <c r="EZ51" s="1181"/>
      <c r="FF51" s="784"/>
      <c r="FG51" s="777"/>
      <c r="FN51" s="1181"/>
      <c r="FT51" s="784"/>
    </row>
    <row r="52" spans="1:176" x14ac:dyDescent="0.25">
      <c r="A52" s="735"/>
      <c r="I52" s="777"/>
      <c r="P52" s="1181"/>
      <c r="V52" s="784"/>
      <c r="W52" s="777"/>
      <c r="AD52" s="1181"/>
      <c r="AJ52" s="784"/>
      <c r="AK52" s="777"/>
      <c r="AR52" s="1181"/>
      <c r="AX52" s="784"/>
      <c r="AY52" s="777"/>
      <c r="BF52" s="1181"/>
      <c r="BL52" s="784"/>
      <c r="BM52" s="777"/>
      <c r="BT52" s="1181"/>
      <c r="BZ52" s="784"/>
      <c r="CA52" s="777"/>
      <c r="CH52" s="1181"/>
      <c r="CN52" s="784"/>
      <c r="CO52" s="777"/>
      <c r="CV52" s="1181"/>
      <c r="DB52" s="784"/>
      <c r="DC52" s="777"/>
      <c r="DJ52" s="1181"/>
      <c r="DP52" s="784"/>
      <c r="DQ52" s="777"/>
      <c r="DX52" s="1181"/>
      <c r="ED52" s="784"/>
      <c r="EE52" s="777"/>
      <c r="EL52" s="1181"/>
      <c r="ER52" s="784"/>
      <c r="ES52" s="777"/>
      <c r="EZ52" s="1181"/>
      <c r="FF52" s="784"/>
      <c r="FG52" s="777"/>
      <c r="FN52" s="1181"/>
      <c r="FT52" s="784"/>
    </row>
    <row r="53" spans="1:176" x14ac:dyDescent="0.25">
      <c r="A53" s="735"/>
      <c r="I53" s="777"/>
      <c r="P53" s="1181"/>
      <c r="V53" s="784"/>
      <c r="W53" s="777"/>
      <c r="AD53" s="1181"/>
      <c r="AJ53" s="784"/>
      <c r="AK53" s="777"/>
      <c r="AR53" s="1181"/>
      <c r="AX53" s="784"/>
      <c r="AY53" s="777"/>
      <c r="BF53" s="1181"/>
      <c r="BL53" s="784"/>
      <c r="BM53" s="777"/>
      <c r="BT53" s="1181"/>
      <c r="BZ53" s="784"/>
      <c r="CA53" s="777"/>
      <c r="CH53" s="1181"/>
      <c r="CN53" s="784"/>
      <c r="CO53" s="777"/>
      <c r="CV53" s="1181"/>
      <c r="DB53" s="784"/>
      <c r="DC53" s="777"/>
      <c r="DJ53" s="1181"/>
      <c r="DP53" s="784"/>
      <c r="DQ53" s="777"/>
      <c r="DX53" s="1181"/>
      <c r="ED53" s="784"/>
      <c r="EE53" s="777"/>
      <c r="EL53" s="1181"/>
      <c r="ER53" s="784"/>
      <c r="ES53" s="777"/>
      <c r="EZ53" s="1181"/>
      <c r="FF53" s="784"/>
      <c r="FG53" s="777"/>
      <c r="FN53" s="1181"/>
      <c r="FT53" s="784"/>
    </row>
    <row r="54" spans="1:176" x14ac:dyDescent="0.25">
      <c r="I54" s="777"/>
      <c r="P54" s="1181"/>
      <c r="V54" s="784"/>
      <c r="W54" s="777"/>
      <c r="AD54" s="1181"/>
      <c r="AJ54" s="784"/>
      <c r="AK54" s="777"/>
      <c r="AR54" s="1181"/>
      <c r="AX54" s="784"/>
      <c r="AY54" s="777"/>
      <c r="BF54" s="1181"/>
      <c r="BL54" s="784"/>
      <c r="BM54" s="777"/>
      <c r="BT54" s="1181"/>
      <c r="BZ54" s="784"/>
      <c r="CA54" s="777"/>
      <c r="CH54" s="1181"/>
      <c r="CN54" s="784"/>
      <c r="CO54" s="777"/>
      <c r="CV54" s="1181"/>
      <c r="DB54" s="784"/>
      <c r="DC54" s="777"/>
      <c r="DJ54" s="1181"/>
      <c r="DP54" s="784"/>
      <c r="DQ54" s="777"/>
      <c r="DX54" s="1181"/>
      <c r="ED54" s="784"/>
      <c r="EE54" s="777"/>
      <c r="EL54" s="1181"/>
      <c r="ER54" s="784"/>
      <c r="ES54" s="777"/>
      <c r="EZ54" s="1181"/>
      <c r="FF54" s="784"/>
      <c r="FG54" s="777"/>
      <c r="FN54" s="1181"/>
      <c r="FT54" s="784"/>
    </row>
    <row r="55" spans="1:176" x14ac:dyDescent="0.25">
      <c r="A55" s="735"/>
      <c r="I55" s="777"/>
      <c r="P55" s="1181"/>
      <c r="V55" s="784"/>
      <c r="W55" s="777"/>
      <c r="AD55" s="1181"/>
      <c r="AJ55" s="784"/>
      <c r="AK55" s="777"/>
      <c r="AR55" s="1181"/>
      <c r="AX55" s="784"/>
      <c r="AY55" s="777"/>
      <c r="BF55" s="1181"/>
      <c r="BL55" s="784"/>
      <c r="BM55" s="777"/>
      <c r="BT55" s="1181"/>
      <c r="BZ55" s="784"/>
      <c r="CA55" s="777"/>
      <c r="CH55" s="1181"/>
      <c r="CN55" s="784"/>
      <c r="CO55" s="777"/>
      <c r="CV55" s="1181"/>
      <c r="DB55" s="784"/>
      <c r="DC55" s="777"/>
      <c r="DJ55" s="1181"/>
      <c r="DP55" s="784"/>
      <c r="DQ55" s="777"/>
      <c r="DX55" s="1181"/>
      <c r="ED55" s="784"/>
      <c r="EE55" s="777"/>
      <c r="EL55" s="1181"/>
      <c r="ER55" s="784"/>
      <c r="ES55" s="777"/>
      <c r="EZ55" s="1181"/>
      <c r="FF55" s="784"/>
      <c r="FG55" s="777"/>
      <c r="FN55" s="1181"/>
      <c r="FT55" s="784"/>
    </row>
    <row r="56" spans="1:176" x14ac:dyDescent="0.25">
      <c r="C56" s="734"/>
      <c r="I56" s="777"/>
      <c r="P56" s="1181"/>
      <c r="V56" s="784"/>
      <c r="W56" s="777"/>
      <c r="AD56" s="1181"/>
      <c r="AJ56" s="784"/>
      <c r="AK56" s="777"/>
      <c r="AR56" s="1181"/>
      <c r="AX56" s="784"/>
      <c r="AY56" s="777"/>
      <c r="BF56" s="1181"/>
      <c r="BL56" s="784"/>
      <c r="BM56" s="777"/>
      <c r="BT56" s="1181"/>
      <c r="BZ56" s="784"/>
      <c r="CA56" s="777"/>
      <c r="CH56" s="1181"/>
      <c r="CN56" s="784"/>
      <c r="CO56" s="777"/>
      <c r="CV56" s="1181"/>
      <c r="DB56" s="784"/>
      <c r="DC56" s="777"/>
      <c r="DJ56" s="1181"/>
      <c r="DP56" s="784"/>
      <c r="DQ56" s="777"/>
      <c r="DX56" s="1181"/>
      <c r="ED56" s="784"/>
      <c r="EE56" s="777"/>
      <c r="EL56" s="1181"/>
      <c r="ER56" s="784"/>
      <c r="ES56" s="777"/>
      <c r="EZ56" s="1181"/>
      <c r="FF56" s="784"/>
      <c r="FG56" s="777"/>
      <c r="FN56" s="1181"/>
      <c r="FT56" s="784"/>
    </row>
    <row r="57" spans="1:176" x14ac:dyDescent="0.25">
      <c r="B57" s="734"/>
      <c r="I57" s="777"/>
      <c r="P57" s="1181"/>
      <c r="V57" s="784"/>
      <c r="W57" s="777"/>
      <c r="AD57" s="1181"/>
      <c r="AJ57" s="784"/>
      <c r="AK57" s="777"/>
      <c r="AR57" s="1181"/>
      <c r="AX57" s="784"/>
      <c r="AY57" s="777"/>
      <c r="BF57" s="1181"/>
      <c r="BL57" s="784"/>
      <c r="BM57" s="777"/>
      <c r="BT57" s="1181"/>
      <c r="BZ57" s="784"/>
      <c r="CA57" s="777"/>
      <c r="CH57" s="1181"/>
      <c r="CN57" s="784"/>
      <c r="CO57" s="777"/>
      <c r="CV57" s="1181"/>
      <c r="DB57" s="784"/>
      <c r="DC57" s="777"/>
      <c r="DJ57" s="1181"/>
      <c r="DP57" s="784"/>
      <c r="DQ57" s="777"/>
      <c r="DX57" s="1181"/>
      <c r="ED57" s="784"/>
      <c r="EE57" s="777"/>
      <c r="EL57" s="1181"/>
      <c r="ER57" s="784"/>
      <c r="ES57" s="777"/>
      <c r="EZ57" s="1181"/>
      <c r="FF57" s="784"/>
      <c r="FG57" s="777"/>
      <c r="FN57" s="1181"/>
      <c r="FT57" s="784"/>
    </row>
    <row r="58" spans="1:176" x14ac:dyDescent="0.25">
      <c r="I58" s="777"/>
      <c r="P58" s="1181"/>
      <c r="V58" s="784"/>
      <c r="W58" s="777"/>
      <c r="AD58" s="1181"/>
      <c r="AJ58" s="784"/>
      <c r="AK58" s="777"/>
      <c r="AR58" s="1181"/>
      <c r="AX58" s="784"/>
      <c r="AY58" s="777"/>
      <c r="BF58" s="1181"/>
      <c r="BL58" s="784"/>
      <c r="BM58" s="777"/>
      <c r="BT58" s="1181"/>
      <c r="BZ58" s="784"/>
      <c r="CA58" s="777"/>
      <c r="CH58" s="1181"/>
      <c r="CN58" s="784"/>
      <c r="CO58" s="777"/>
      <c r="CV58" s="1181"/>
      <c r="DB58" s="784"/>
      <c r="DC58" s="777"/>
      <c r="DJ58" s="1181"/>
      <c r="DP58" s="784"/>
      <c r="DQ58" s="777"/>
      <c r="DX58" s="1181"/>
      <c r="ED58" s="784"/>
      <c r="EE58" s="777"/>
      <c r="EL58" s="1181"/>
      <c r="ER58" s="784"/>
      <c r="ES58" s="777"/>
      <c r="EZ58" s="1181"/>
      <c r="FF58" s="784"/>
      <c r="FG58" s="777"/>
      <c r="FN58" s="1181"/>
      <c r="FT58" s="784"/>
    </row>
    <row r="59" spans="1:176" x14ac:dyDescent="0.25">
      <c r="I59" s="777"/>
      <c r="P59" s="1181"/>
      <c r="V59" s="784"/>
      <c r="W59" s="777"/>
      <c r="AD59" s="1181"/>
      <c r="AJ59" s="784"/>
      <c r="AK59" s="777"/>
      <c r="AR59" s="1181"/>
      <c r="AX59" s="784"/>
      <c r="AY59" s="777"/>
      <c r="BF59" s="1181"/>
      <c r="BL59" s="784"/>
      <c r="BM59" s="777"/>
      <c r="BT59" s="1181"/>
      <c r="BZ59" s="784"/>
      <c r="CA59" s="777"/>
      <c r="CH59" s="1181"/>
      <c r="CN59" s="784"/>
      <c r="CO59" s="777"/>
      <c r="CV59" s="1181"/>
      <c r="DB59" s="784"/>
      <c r="DC59" s="777"/>
      <c r="DJ59" s="1181"/>
      <c r="DP59" s="784"/>
      <c r="DQ59" s="777"/>
      <c r="DX59" s="1181"/>
      <c r="ED59" s="784"/>
      <c r="EE59" s="777"/>
      <c r="EL59" s="1181"/>
      <c r="ER59" s="784"/>
      <c r="ES59" s="777"/>
      <c r="EZ59" s="1181"/>
      <c r="FF59" s="784"/>
      <c r="FG59" s="777"/>
      <c r="FN59" s="1181"/>
      <c r="FT59" s="784"/>
    </row>
    <row r="60" spans="1:176" x14ac:dyDescent="0.25">
      <c r="I60" s="777"/>
      <c r="P60" s="1181"/>
      <c r="V60" s="784"/>
      <c r="W60" s="777"/>
      <c r="AD60" s="1181"/>
      <c r="AJ60" s="784"/>
      <c r="AK60" s="777"/>
      <c r="AR60" s="1181"/>
      <c r="AX60" s="784"/>
      <c r="AY60" s="777"/>
      <c r="BF60" s="1181"/>
      <c r="BL60" s="784"/>
      <c r="BM60" s="777"/>
      <c r="BT60" s="1181"/>
      <c r="BZ60" s="784"/>
      <c r="CA60" s="777"/>
      <c r="CH60" s="1181"/>
      <c r="CN60" s="784"/>
      <c r="CO60" s="777"/>
      <c r="CV60" s="1181"/>
      <c r="DB60" s="784"/>
      <c r="DC60" s="777"/>
      <c r="DJ60" s="1181"/>
      <c r="DP60" s="784"/>
      <c r="DQ60" s="777"/>
      <c r="DX60" s="1181"/>
      <c r="ED60" s="784"/>
      <c r="EE60" s="777"/>
      <c r="EL60" s="1181"/>
      <c r="ER60" s="784"/>
      <c r="ES60" s="777"/>
      <c r="EZ60" s="1181"/>
      <c r="FF60" s="784"/>
      <c r="FG60" s="777"/>
      <c r="FN60" s="1181"/>
      <c r="FT60" s="784"/>
    </row>
    <row r="61" spans="1:176" ht="15.75" thickBot="1" x14ac:dyDescent="0.3">
      <c r="I61" s="849"/>
      <c r="J61" s="850"/>
      <c r="K61" s="850"/>
      <c r="L61" s="850"/>
      <c r="M61" s="850"/>
      <c r="N61" s="850"/>
      <c r="O61" s="850"/>
      <c r="P61" s="1182"/>
      <c r="Q61" s="850"/>
      <c r="R61" s="850"/>
      <c r="S61" s="850"/>
      <c r="T61" s="850"/>
      <c r="U61" s="850"/>
      <c r="V61" s="785"/>
      <c r="W61" s="849"/>
      <c r="X61" s="850"/>
      <c r="Y61" s="850"/>
      <c r="Z61" s="850"/>
      <c r="AA61" s="850"/>
      <c r="AB61" s="850"/>
      <c r="AC61" s="850"/>
      <c r="AD61" s="1182"/>
      <c r="AE61" s="850"/>
      <c r="AF61" s="850"/>
      <c r="AG61" s="850"/>
      <c r="AH61" s="850"/>
      <c r="AI61" s="850"/>
      <c r="AJ61" s="785"/>
      <c r="AK61" s="849"/>
      <c r="AL61" s="850"/>
      <c r="AM61" s="850"/>
      <c r="AN61" s="850"/>
      <c r="AO61" s="850"/>
      <c r="AP61" s="850"/>
      <c r="AQ61" s="850"/>
      <c r="AR61" s="1182"/>
      <c r="AS61" s="850"/>
      <c r="AT61" s="850"/>
      <c r="AU61" s="850"/>
      <c r="AV61" s="850"/>
      <c r="AW61" s="850"/>
      <c r="AX61" s="785"/>
      <c r="AY61" s="849"/>
      <c r="AZ61" s="850"/>
      <c r="BA61" s="850"/>
      <c r="BB61" s="850"/>
      <c r="BC61" s="850"/>
      <c r="BD61" s="850"/>
      <c r="BE61" s="850"/>
      <c r="BF61" s="1182"/>
      <c r="BG61" s="850"/>
      <c r="BH61" s="850"/>
      <c r="BI61" s="850"/>
      <c r="BJ61" s="850"/>
      <c r="BK61" s="850"/>
      <c r="BL61" s="785"/>
      <c r="BM61" s="849"/>
      <c r="BN61" s="850"/>
      <c r="BO61" s="850"/>
      <c r="BP61" s="850"/>
      <c r="BQ61" s="850"/>
      <c r="BR61" s="850"/>
      <c r="BS61" s="850"/>
      <c r="BT61" s="1182"/>
      <c r="BU61" s="850"/>
      <c r="BV61" s="850"/>
      <c r="BW61" s="850"/>
      <c r="BX61" s="850"/>
      <c r="BY61" s="850"/>
      <c r="BZ61" s="785"/>
      <c r="CA61" s="849"/>
      <c r="CB61" s="850"/>
      <c r="CC61" s="850"/>
      <c r="CD61" s="850"/>
      <c r="CE61" s="850"/>
      <c r="CF61" s="850"/>
      <c r="CG61" s="850"/>
      <c r="CH61" s="1182"/>
      <c r="CI61" s="850"/>
      <c r="CJ61" s="850"/>
      <c r="CK61" s="850"/>
      <c r="CL61" s="850"/>
      <c r="CM61" s="850"/>
      <c r="CN61" s="785"/>
      <c r="CO61" s="849"/>
      <c r="CP61" s="850"/>
      <c r="CQ61" s="850"/>
      <c r="CR61" s="850"/>
      <c r="CS61" s="850"/>
      <c r="CT61" s="850"/>
      <c r="CU61" s="850"/>
      <c r="CV61" s="1182"/>
      <c r="CW61" s="850"/>
      <c r="CX61" s="850"/>
      <c r="CY61" s="850"/>
      <c r="CZ61" s="850"/>
      <c r="DA61" s="850"/>
      <c r="DB61" s="785"/>
      <c r="DC61" s="849"/>
      <c r="DD61" s="850"/>
      <c r="DE61" s="850"/>
      <c r="DF61" s="850"/>
      <c r="DG61" s="850"/>
      <c r="DH61" s="850"/>
      <c r="DI61" s="850"/>
      <c r="DJ61" s="1182"/>
      <c r="DK61" s="850"/>
      <c r="DL61" s="850"/>
      <c r="DM61" s="850"/>
      <c r="DN61" s="850"/>
      <c r="DO61" s="850"/>
      <c r="DP61" s="785"/>
      <c r="DQ61" s="849"/>
      <c r="DR61" s="850"/>
      <c r="DS61" s="850"/>
      <c r="DT61" s="850"/>
      <c r="DU61" s="850"/>
      <c r="DV61" s="850"/>
      <c r="DW61" s="850"/>
      <c r="DX61" s="1182"/>
      <c r="DY61" s="850"/>
      <c r="DZ61" s="850"/>
      <c r="EA61" s="850"/>
      <c r="EB61" s="850"/>
      <c r="EC61" s="850"/>
      <c r="ED61" s="785"/>
      <c r="EE61" s="849"/>
      <c r="EF61" s="850"/>
      <c r="EG61" s="850"/>
      <c r="EH61" s="850"/>
      <c r="EI61" s="850"/>
      <c r="EJ61" s="850"/>
      <c r="EK61" s="850"/>
      <c r="EL61" s="1182"/>
      <c r="EM61" s="850"/>
      <c r="EN61" s="850"/>
      <c r="EO61" s="850"/>
      <c r="EP61" s="850"/>
      <c r="EQ61" s="850"/>
      <c r="ER61" s="785"/>
      <c r="ES61" s="849"/>
      <c r="ET61" s="850"/>
      <c r="EU61" s="850"/>
      <c r="EV61" s="850"/>
      <c r="EW61" s="850"/>
      <c r="EX61" s="850"/>
      <c r="EY61" s="850"/>
      <c r="EZ61" s="1182"/>
      <c r="FA61" s="850"/>
      <c r="FB61" s="850"/>
      <c r="FC61" s="850"/>
      <c r="FD61" s="850"/>
      <c r="FE61" s="850"/>
      <c r="FF61" s="785"/>
      <c r="FG61" s="849"/>
      <c r="FH61" s="850"/>
      <c r="FI61" s="850"/>
      <c r="FJ61" s="850"/>
      <c r="FK61" s="850"/>
      <c r="FL61" s="850"/>
      <c r="FM61" s="850"/>
      <c r="FN61" s="1182"/>
      <c r="FO61" s="850"/>
      <c r="FP61" s="850"/>
      <c r="FQ61" s="850"/>
      <c r="FR61" s="850"/>
      <c r="FS61" s="850"/>
      <c r="FT61" s="785"/>
    </row>
    <row r="62" spans="1:176" ht="15.75" thickBot="1" x14ac:dyDescent="0.3">
      <c r="P62" s="746"/>
      <c r="Q62" s="746"/>
      <c r="R62" s="746"/>
      <c r="V62" s="746"/>
      <c r="W62" s="746"/>
      <c r="X62" s="746"/>
    </row>
    <row r="63" spans="1:176" ht="15.75" thickBot="1" x14ac:dyDescent="0.3">
      <c r="A63" s="2549" t="s">
        <v>463</v>
      </c>
      <c r="B63" s="2550"/>
      <c r="C63" s="2550"/>
      <c r="D63" s="2550"/>
      <c r="E63" s="2550"/>
      <c r="F63" s="2550"/>
      <c r="G63" s="2550"/>
      <c r="H63" s="2550"/>
      <c r="I63" s="2550"/>
      <c r="J63" s="2550"/>
      <c r="K63" s="2550"/>
      <c r="L63" s="2550"/>
      <c r="M63" s="2550"/>
      <c r="N63" s="2550"/>
      <c r="O63" s="2551"/>
      <c r="P63" s="746"/>
      <c r="Q63" s="746"/>
      <c r="R63" s="746"/>
      <c r="V63" s="746"/>
      <c r="W63" s="746"/>
      <c r="X63" s="746"/>
    </row>
    <row r="64" spans="1:176" ht="15.75" thickBot="1" x14ac:dyDescent="0.3">
      <c r="P64" s="746"/>
      <c r="Q64" s="746"/>
      <c r="R64" s="746"/>
      <c r="V64" s="746"/>
      <c r="W64" s="746"/>
      <c r="X64" s="746"/>
    </row>
    <row r="65" spans="1:24" x14ac:dyDescent="0.25">
      <c r="A65" s="747"/>
      <c r="B65" s="748"/>
      <c r="C65" s="748"/>
      <c r="D65" s="748"/>
      <c r="E65" s="748"/>
      <c r="F65" s="748"/>
      <c r="G65" s="748"/>
      <c r="H65" s="748"/>
      <c r="I65" s="748"/>
      <c r="J65" s="748"/>
      <c r="K65" s="748"/>
      <c r="L65" s="748"/>
      <c r="M65" s="748"/>
      <c r="N65" s="748"/>
      <c r="O65" s="749"/>
      <c r="P65" s="746"/>
      <c r="Q65" s="746"/>
      <c r="R65" s="746"/>
      <c r="S65" s="746"/>
      <c r="T65" s="746"/>
      <c r="U65" s="746"/>
      <c r="V65" s="746"/>
      <c r="W65" s="746"/>
      <c r="X65" s="746"/>
    </row>
    <row r="66" spans="1:24" x14ac:dyDescent="0.25">
      <c r="A66" s="750" t="s">
        <v>575</v>
      </c>
      <c r="B66" s="751"/>
      <c r="C66" s="751"/>
      <c r="D66" s="751"/>
      <c r="E66" s="751"/>
      <c r="F66" s="751"/>
      <c r="G66" s="751"/>
      <c r="H66" s="751"/>
      <c r="I66" s="751"/>
      <c r="J66" s="751"/>
      <c r="K66" s="751"/>
      <c r="L66" s="751"/>
      <c r="M66" s="751"/>
      <c r="N66" s="751"/>
      <c r="O66" s="752"/>
    </row>
    <row r="67" spans="1:24" x14ac:dyDescent="0.25">
      <c r="A67" s="753"/>
      <c r="B67" s="751"/>
      <c r="C67" s="751"/>
      <c r="D67" s="751"/>
      <c r="E67" s="751"/>
      <c r="F67" s="751"/>
      <c r="G67" s="751"/>
      <c r="H67" s="751"/>
      <c r="I67" s="751"/>
      <c r="J67" s="751"/>
      <c r="K67" s="751"/>
      <c r="L67" s="751"/>
      <c r="M67" s="751"/>
      <c r="N67" s="751"/>
      <c r="O67" s="752"/>
    </row>
    <row r="68" spans="1:24" x14ac:dyDescent="0.25">
      <c r="A68" s="750" t="s">
        <v>475</v>
      </c>
      <c r="B68" s="751"/>
      <c r="C68" s="751"/>
      <c r="D68" s="751"/>
      <c r="E68" s="751"/>
      <c r="F68" s="751"/>
      <c r="G68" s="751"/>
      <c r="H68" s="751"/>
      <c r="I68" s="751"/>
      <c r="J68" s="751"/>
      <c r="K68" s="751"/>
      <c r="L68" s="751"/>
      <c r="M68" s="751"/>
      <c r="N68" s="751"/>
      <c r="O68" s="752"/>
    </row>
    <row r="69" spans="1:24" x14ac:dyDescent="0.25">
      <c r="A69" s="753"/>
      <c r="B69" s="751"/>
      <c r="C69" s="751"/>
      <c r="D69" s="751"/>
      <c r="E69" s="751"/>
      <c r="F69" s="751"/>
      <c r="G69" s="751"/>
      <c r="H69" s="751"/>
      <c r="I69" s="751"/>
      <c r="J69" s="751"/>
      <c r="K69" s="751"/>
      <c r="L69" s="751"/>
      <c r="M69" s="751"/>
      <c r="N69" s="751"/>
      <c r="O69" s="752"/>
    </row>
    <row r="70" spans="1:24" x14ac:dyDescent="0.25">
      <c r="A70" s="753"/>
      <c r="B70" s="751" t="s">
        <v>464</v>
      </c>
      <c r="C70" s="754" t="s">
        <v>602</v>
      </c>
      <c r="D70" s="751"/>
      <c r="E70" s="751"/>
      <c r="F70" s="751"/>
      <c r="G70" s="751"/>
      <c r="H70" s="751"/>
      <c r="I70" s="751"/>
      <c r="J70" s="751"/>
      <c r="K70" s="751"/>
      <c r="L70" s="751"/>
      <c r="M70" s="751"/>
      <c r="N70" s="751"/>
      <c r="O70" s="752"/>
    </row>
    <row r="71" spans="1:24" x14ac:dyDescent="0.25">
      <c r="A71" s="753"/>
      <c r="B71" s="751"/>
      <c r="C71" s="751"/>
      <c r="D71" s="751"/>
      <c r="E71" s="751"/>
      <c r="F71" s="751"/>
      <c r="G71" s="751"/>
      <c r="H71" s="751"/>
      <c r="I71" s="751"/>
      <c r="J71" s="751"/>
      <c r="K71" s="751"/>
      <c r="L71" s="751"/>
      <c r="M71" s="751"/>
      <c r="N71" s="751"/>
      <c r="O71" s="752"/>
    </row>
    <row r="72" spans="1:24" x14ac:dyDescent="0.25">
      <c r="A72" s="753"/>
      <c r="B72" s="751" t="s">
        <v>464</v>
      </c>
      <c r="C72" s="755">
        <f>'Incert. Dos.'!O40</f>
        <v>1.7935633855332079E-2</v>
      </c>
      <c r="D72" s="754"/>
      <c r="E72" s="751"/>
      <c r="F72" s="751"/>
      <c r="G72" s="751"/>
      <c r="H72" s="751"/>
      <c r="I72" s="751"/>
      <c r="J72" s="751"/>
      <c r="K72" s="751"/>
      <c r="L72" s="751"/>
      <c r="M72" s="751"/>
      <c r="N72" s="751"/>
      <c r="O72" s="752"/>
    </row>
    <row r="73" spans="1:24" x14ac:dyDescent="0.25">
      <c r="A73" s="753"/>
      <c r="B73" s="751"/>
      <c r="C73" s="755"/>
      <c r="D73" s="754"/>
      <c r="E73" s="751"/>
      <c r="F73" s="751"/>
      <c r="G73" s="751"/>
      <c r="H73" s="751"/>
      <c r="I73" s="751"/>
      <c r="J73" s="751"/>
      <c r="K73" s="751"/>
      <c r="L73" s="751"/>
      <c r="M73" s="751"/>
      <c r="N73" s="751"/>
      <c r="O73" s="752"/>
    </row>
    <row r="74" spans="1:24" x14ac:dyDescent="0.25">
      <c r="A74" s="750" t="s">
        <v>706</v>
      </c>
      <c r="B74" s="751"/>
      <c r="C74" s="755"/>
      <c r="D74" s="754"/>
      <c r="E74" s="751"/>
      <c r="F74" s="751"/>
      <c r="G74" s="751"/>
      <c r="H74" s="751"/>
      <c r="I74" s="751"/>
      <c r="J74" s="751"/>
      <c r="K74" s="751"/>
      <c r="L74" s="751"/>
      <c r="M74" s="751"/>
      <c r="N74" s="751"/>
      <c r="O74" s="752"/>
    </row>
    <row r="75" spans="1:24" x14ac:dyDescent="0.25">
      <c r="A75" s="750"/>
      <c r="B75" s="751"/>
      <c r="C75" s="755"/>
      <c r="D75" s="754"/>
      <c r="E75" s="751"/>
      <c r="F75" s="751"/>
      <c r="G75" s="751"/>
      <c r="H75" s="751"/>
      <c r="I75" s="751"/>
      <c r="J75" s="751"/>
      <c r="K75" s="751"/>
      <c r="L75" s="751"/>
      <c r="M75" s="751"/>
      <c r="N75" s="751"/>
      <c r="O75" s="752"/>
    </row>
    <row r="76" spans="1:24" x14ac:dyDescent="0.25">
      <c r="A76" s="750"/>
      <c r="B76" s="751"/>
      <c r="C76" s="755"/>
      <c r="D76" s="754"/>
      <c r="E76" s="751"/>
      <c r="F76" s="751"/>
      <c r="G76" s="751"/>
      <c r="H76" s="751"/>
      <c r="I76" s="751"/>
      <c r="J76" s="751"/>
      <c r="K76" s="751"/>
      <c r="L76" s="751"/>
      <c r="M76" s="751"/>
      <c r="N76" s="751"/>
      <c r="O76" s="752"/>
    </row>
    <row r="77" spans="1:24" x14ac:dyDescent="0.25">
      <c r="A77" s="750"/>
      <c r="B77" s="751"/>
      <c r="C77" s="755"/>
      <c r="D77" s="754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2"/>
    </row>
    <row r="78" spans="1:24" ht="15.75" thickBot="1" x14ac:dyDescent="0.3">
      <c r="A78" s="756"/>
      <c r="B78" s="757"/>
      <c r="C78" s="757"/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8"/>
    </row>
    <row r="79" spans="1:24" x14ac:dyDescent="0.25">
      <c r="A79" s="747"/>
      <c r="B79" s="748"/>
      <c r="C79" s="748"/>
      <c r="D79" s="748"/>
      <c r="E79" s="748"/>
      <c r="F79" s="748"/>
      <c r="G79" s="748"/>
      <c r="H79" s="748"/>
      <c r="I79" s="748"/>
      <c r="J79" s="748"/>
      <c r="K79" s="748"/>
      <c r="L79" s="748"/>
      <c r="M79" s="748"/>
      <c r="N79" s="748"/>
      <c r="O79" s="749"/>
    </row>
    <row r="80" spans="1:24" x14ac:dyDescent="0.25">
      <c r="A80" s="750" t="s">
        <v>604</v>
      </c>
      <c r="B80" s="751"/>
      <c r="C80" s="751"/>
      <c r="D80" s="751"/>
      <c r="E80" s="751"/>
      <c r="F80" s="751"/>
      <c r="G80" s="751"/>
      <c r="H80" s="751"/>
      <c r="I80" s="751"/>
      <c r="J80" s="751"/>
      <c r="K80" s="751"/>
      <c r="L80" s="751"/>
      <c r="M80" s="751"/>
      <c r="N80" s="751"/>
      <c r="O80" s="752"/>
    </row>
    <row r="81" spans="1:15" x14ac:dyDescent="0.25">
      <c r="A81" s="750"/>
      <c r="B81" s="751"/>
      <c r="C81" s="751"/>
      <c r="D81" s="751"/>
      <c r="E81" s="751"/>
      <c r="F81" s="751"/>
      <c r="G81" s="751"/>
      <c r="H81" s="751"/>
      <c r="I81" s="751"/>
      <c r="J81" s="751"/>
      <c r="K81" s="751"/>
      <c r="L81" s="751"/>
      <c r="M81" s="751"/>
      <c r="N81" s="751"/>
      <c r="O81" s="752"/>
    </row>
    <row r="82" spans="1:15" x14ac:dyDescent="0.25">
      <c r="A82" s="750" t="s">
        <v>477</v>
      </c>
      <c r="B82" s="751"/>
      <c r="C82" s="751"/>
      <c r="D82" s="751"/>
      <c r="E82" s="751"/>
      <c r="F82" s="751"/>
      <c r="G82" s="751"/>
      <c r="H82" s="751"/>
      <c r="I82" s="751"/>
      <c r="J82" s="751"/>
      <c r="K82" s="751"/>
      <c r="L82" s="751"/>
      <c r="M82" s="751"/>
      <c r="N82" s="751"/>
      <c r="O82" s="752"/>
    </row>
    <row r="83" spans="1:15" x14ac:dyDescent="0.25">
      <c r="A83" s="753"/>
      <c r="B83" s="751"/>
      <c r="C83" s="751"/>
      <c r="D83" s="751"/>
      <c r="E83" s="751"/>
      <c r="F83" s="751"/>
      <c r="G83" s="751"/>
      <c r="H83" s="751"/>
      <c r="I83" s="751"/>
      <c r="J83" s="751"/>
      <c r="K83" s="751"/>
      <c r="L83" s="751"/>
      <c r="M83" s="751"/>
      <c r="N83" s="751"/>
      <c r="O83" s="752"/>
    </row>
    <row r="84" spans="1:15" x14ac:dyDescent="0.25">
      <c r="A84" s="753"/>
      <c r="B84" s="751" t="s">
        <v>464</v>
      </c>
      <c r="C84" s="754" t="s">
        <v>603</v>
      </c>
      <c r="D84" s="751"/>
      <c r="E84" s="751"/>
      <c r="F84" s="751"/>
      <c r="G84" s="751"/>
      <c r="H84" s="751"/>
      <c r="I84" s="751"/>
      <c r="J84" s="751"/>
      <c r="K84" s="751"/>
      <c r="L84" s="751"/>
      <c r="M84" s="751"/>
      <c r="N84" s="751"/>
      <c r="O84" s="752"/>
    </row>
    <row r="85" spans="1:15" x14ac:dyDescent="0.25">
      <c r="A85" s="753"/>
      <c r="B85" s="751"/>
      <c r="C85" s="751"/>
      <c r="D85" s="751"/>
      <c r="E85" s="751"/>
      <c r="F85" s="751"/>
      <c r="G85" s="751"/>
      <c r="H85" s="751"/>
      <c r="I85" s="751"/>
      <c r="J85" s="751"/>
      <c r="K85" s="751"/>
      <c r="L85" s="751"/>
      <c r="M85" s="751"/>
      <c r="N85" s="751"/>
      <c r="O85" s="752"/>
    </row>
    <row r="86" spans="1:15" x14ac:dyDescent="0.25">
      <c r="A86" s="753"/>
      <c r="B86" s="751" t="s">
        <v>464</v>
      </c>
      <c r="C86" s="759">
        <f>'F-LSCD-002 (homogeneidad C.I.)'!AH69/2</f>
        <v>6.8804228560584869E-4</v>
      </c>
      <c r="D86" s="754"/>
      <c r="E86" s="751"/>
      <c r="F86" s="751"/>
      <c r="G86" s="751"/>
      <c r="H86" s="751"/>
      <c r="I86" s="751"/>
      <c r="J86" s="751"/>
      <c r="K86" s="751"/>
      <c r="L86" s="751"/>
      <c r="M86" s="751"/>
      <c r="N86" s="751"/>
      <c r="O86" s="752"/>
    </row>
    <row r="87" spans="1:15" x14ac:dyDescent="0.25">
      <c r="A87" s="753"/>
      <c r="B87" s="751"/>
      <c r="C87" s="751"/>
      <c r="D87" s="751"/>
      <c r="E87" s="751"/>
      <c r="F87" s="751"/>
      <c r="G87" s="751"/>
      <c r="H87" s="751"/>
      <c r="I87" s="751"/>
      <c r="J87" s="751"/>
      <c r="K87" s="751"/>
      <c r="L87" s="751"/>
      <c r="M87" s="751"/>
      <c r="N87" s="751"/>
      <c r="O87" s="752"/>
    </row>
    <row r="88" spans="1:15" x14ac:dyDescent="0.25">
      <c r="A88" s="753"/>
      <c r="B88" s="754" t="s">
        <v>397</v>
      </c>
      <c r="C88" s="751"/>
      <c r="D88" s="751"/>
      <c r="E88" s="751"/>
      <c r="F88" s="751"/>
      <c r="G88" s="751"/>
      <c r="H88" s="751"/>
      <c r="I88" s="751"/>
      <c r="J88" s="751"/>
      <c r="K88" s="751"/>
      <c r="L88" s="751"/>
      <c r="M88" s="751"/>
      <c r="N88" s="751"/>
      <c r="O88" s="752"/>
    </row>
    <row r="89" spans="1:15" x14ac:dyDescent="0.25">
      <c r="A89" s="753"/>
      <c r="B89" s="754" t="s">
        <v>416</v>
      </c>
      <c r="C89" s="751"/>
      <c r="D89" s="751"/>
      <c r="E89" s="751"/>
      <c r="F89" s="751"/>
      <c r="G89" s="751"/>
      <c r="H89" s="751"/>
      <c r="I89" s="751"/>
      <c r="J89" s="751"/>
      <c r="K89" s="751"/>
      <c r="L89" s="751"/>
      <c r="M89" s="751"/>
      <c r="N89" s="751"/>
      <c r="O89" s="752"/>
    </row>
    <row r="90" spans="1:15" x14ac:dyDescent="0.25">
      <c r="A90" s="753"/>
      <c r="B90" s="751"/>
      <c r="C90" s="755"/>
      <c r="D90" s="754"/>
      <c r="E90" s="751"/>
      <c r="F90" s="751"/>
      <c r="G90" s="751"/>
      <c r="H90" s="751"/>
      <c r="I90" s="751"/>
      <c r="J90" s="751"/>
      <c r="K90" s="751"/>
      <c r="L90" s="751"/>
      <c r="M90" s="751"/>
      <c r="N90" s="751"/>
      <c r="O90" s="752"/>
    </row>
    <row r="91" spans="1:15" x14ac:dyDescent="0.25">
      <c r="A91" s="750" t="s">
        <v>705</v>
      </c>
      <c r="B91" s="751"/>
      <c r="C91" s="755"/>
      <c r="D91" s="754"/>
      <c r="E91" s="751"/>
      <c r="F91" s="751"/>
      <c r="G91" s="751"/>
      <c r="H91" s="751"/>
      <c r="I91" s="751"/>
      <c r="J91" s="751"/>
      <c r="K91" s="751"/>
      <c r="L91" s="751"/>
      <c r="M91" s="751"/>
      <c r="N91" s="751"/>
      <c r="O91" s="752"/>
    </row>
    <row r="92" spans="1:15" x14ac:dyDescent="0.25">
      <c r="A92" s="750"/>
      <c r="B92" s="751"/>
      <c r="C92" s="755"/>
      <c r="D92" s="754"/>
      <c r="E92" s="751"/>
      <c r="F92" s="751"/>
      <c r="G92" s="751"/>
      <c r="H92" s="751"/>
      <c r="I92" s="751"/>
      <c r="J92" s="751"/>
      <c r="K92" s="751"/>
      <c r="L92" s="751"/>
      <c r="M92" s="751"/>
      <c r="N92" s="751"/>
      <c r="O92" s="752"/>
    </row>
    <row r="93" spans="1:15" x14ac:dyDescent="0.25">
      <c r="A93" s="750"/>
      <c r="B93" s="751"/>
      <c r="C93" s="755"/>
      <c r="D93" s="754"/>
      <c r="E93" s="751"/>
      <c r="F93" s="751"/>
      <c r="G93" s="751"/>
      <c r="H93" s="751"/>
      <c r="I93" s="751"/>
      <c r="J93" s="751"/>
      <c r="K93" s="751"/>
      <c r="L93" s="751"/>
      <c r="M93" s="751"/>
      <c r="N93" s="751"/>
      <c r="O93" s="752"/>
    </row>
    <row r="94" spans="1:15" x14ac:dyDescent="0.25">
      <c r="A94" s="750"/>
      <c r="B94" s="751"/>
      <c r="C94" s="755"/>
      <c r="D94" s="754"/>
      <c r="E94" s="751"/>
      <c r="F94" s="751"/>
      <c r="G94" s="751"/>
      <c r="H94" s="751"/>
      <c r="I94" s="751"/>
      <c r="J94" s="751"/>
      <c r="K94" s="751"/>
      <c r="L94" s="751"/>
      <c r="M94" s="751"/>
      <c r="N94" s="751"/>
      <c r="O94" s="752"/>
    </row>
    <row r="95" spans="1:15" ht="15.75" thickBot="1" x14ac:dyDescent="0.3">
      <c r="A95" s="756"/>
      <c r="B95" s="757"/>
      <c r="C95" s="757"/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8"/>
    </row>
    <row r="96" spans="1:15" x14ac:dyDescent="0.25">
      <c r="A96" s="747"/>
      <c r="B96" s="748"/>
      <c r="C96" s="748"/>
      <c r="D96" s="748"/>
      <c r="E96" s="748"/>
      <c r="F96" s="748"/>
      <c r="G96" s="748"/>
      <c r="H96" s="748"/>
      <c r="I96" s="748"/>
      <c r="J96" s="748"/>
      <c r="K96" s="748"/>
      <c r="L96" s="748"/>
      <c r="M96" s="748"/>
      <c r="N96" s="748"/>
      <c r="O96" s="749"/>
    </row>
    <row r="97" spans="1:15" x14ac:dyDescent="0.25">
      <c r="A97" s="750" t="s">
        <v>606</v>
      </c>
      <c r="B97" s="751"/>
      <c r="C97" s="751"/>
      <c r="D97" s="751"/>
      <c r="E97" s="751"/>
      <c r="F97" s="751"/>
      <c r="G97" s="751"/>
      <c r="H97" s="751"/>
      <c r="I97" s="751"/>
      <c r="J97" s="751"/>
      <c r="K97" s="751"/>
      <c r="L97" s="751"/>
      <c r="M97" s="751"/>
      <c r="N97" s="751"/>
      <c r="O97" s="752"/>
    </row>
    <row r="98" spans="1:15" x14ac:dyDescent="0.25">
      <c r="A98" s="753"/>
      <c r="B98" s="751"/>
      <c r="C98" s="751"/>
      <c r="D98" s="751"/>
      <c r="E98" s="751"/>
      <c r="F98" s="751"/>
      <c r="G98" s="751"/>
      <c r="H98" s="751"/>
      <c r="I98" s="751"/>
      <c r="J98" s="751"/>
      <c r="K98" s="751"/>
      <c r="L98" s="751"/>
      <c r="M98" s="751"/>
      <c r="N98" s="751"/>
      <c r="O98" s="752"/>
    </row>
    <row r="99" spans="1:15" x14ac:dyDescent="0.25">
      <c r="A99" s="750" t="s">
        <v>480</v>
      </c>
      <c r="B99" s="751"/>
      <c r="C99" s="751"/>
      <c r="D99" s="751"/>
      <c r="E99" s="751"/>
      <c r="F99" s="751"/>
      <c r="G99" s="751"/>
      <c r="H99" s="751"/>
      <c r="I99" s="751"/>
      <c r="J99" s="751"/>
      <c r="K99" s="751"/>
      <c r="L99" s="751"/>
      <c r="M99" s="751"/>
      <c r="N99" s="751"/>
      <c r="O99" s="752"/>
    </row>
    <row r="100" spans="1:15" x14ac:dyDescent="0.25">
      <c r="A100" s="753"/>
      <c r="B100" s="751"/>
      <c r="C100" s="751"/>
      <c r="D100" s="751"/>
      <c r="E100" s="751"/>
      <c r="F100" s="751"/>
      <c r="G100" s="751"/>
      <c r="H100" s="751"/>
      <c r="I100" s="751"/>
      <c r="J100" s="751"/>
      <c r="K100" s="751"/>
      <c r="L100" s="751"/>
      <c r="M100" s="751"/>
      <c r="N100" s="751"/>
      <c r="O100" s="752"/>
    </row>
    <row r="101" spans="1:15" x14ac:dyDescent="0.25">
      <c r="A101" s="753"/>
      <c r="B101" s="751" t="s">
        <v>464</v>
      </c>
      <c r="C101" s="754" t="s">
        <v>491</v>
      </c>
      <c r="D101" s="751"/>
      <c r="E101" s="751"/>
      <c r="F101" s="751"/>
      <c r="G101" s="751"/>
      <c r="H101" s="751"/>
      <c r="I101" s="751"/>
      <c r="J101" s="751"/>
      <c r="K101" s="751"/>
      <c r="L101" s="751"/>
      <c r="M101" s="751"/>
      <c r="N101" s="751"/>
      <c r="O101" s="752"/>
    </row>
    <row r="102" spans="1:15" x14ac:dyDescent="0.25">
      <c r="A102" s="753"/>
      <c r="B102" s="751"/>
      <c r="C102" s="754"/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2"/>
    </row>
    <row r="103" spans="1:15" x14ac:dyDescent="0.25">
      <c r="A103" s="753"/>
      <c r="B103" s="754" t="s">
        <v>397</v>
      </c>
      <c r="C103" s="751"/>
      <c r="D103" s="751"/>
      <c r="E103" s="751"/>
      <c r="F103" s="751"/>
      <c r="G103" s="751"/>
      <c r="H103" s="751"/>
      <c r="I103" s="751"/>
      <c r="J103" s="751"/>
      <c r="K103" s="751"/>
      <c r="L103" s="751"/>
      <c r="M103" s="751"/>
      <c r="N103" s="751"/>
      <c r="O103" s="752"/>
    </row>
    <row r="104" spans="1:15" x14ac:dyDescent="0.25">
      <c r="A104" s="753"/>
      <c r="B104" s="754" t="s">
        <v>605</v>
      </c>
      <c r="C104" s="751"/>
      <c r="D104" s="751"/>
      <c r="E104" s="751"/>
      <c r="F104" s="751"/>
      <c r="G104" s="751"/>
      <c r="H104" s="751"/>
      <c r="I104" s="751"/>
      <c r="J104" s="751"/>
      <c r="K104" s="751"/>
      <c r="L104" s="751"/>
      <c r="M104" s="751"/>
      <c r="N104" s="751"/>
      <c r="O104" s="752"/>
    </row>
    <row r="105" spans="1:15" x14ac:dyDescent="0.25">
      <c r="A105" s="753"/>
      <c r="B105" s="751"/>
      <c r="C105" s="755"/>
      <c r="D105" s="754"/>
      <c r="E105" s="751"/>
      <c r="F105" s="751"/>
      <c r="G105" s="751"/>
      <c r="H105" s="751"/>
      <c r="I105" s="751"/>
      <c r="J105" s="751"/>
      <c r="K105" s="751"/>
      <c r="L105" s="751"/>
      <c r="M105" s="751"/>
      <c r="N105" s="751"/>
      <c r="O105" s="752"/>
    </row>
    <row r="106" spans="1:15" x14ac:dyDescent="0.25">
      <c r="A106" s="750" t="s">
        <v>707</v>
      </c>
      <c r="B106" s="751"/>
      <c r="C106" s="755"/>
      <c r="D106" s="754"/>
      <c r="E106" s="751"/>
      <c r="F106" s="751"/>
      <c r="G106" s="751"/>
      <c r="H106" s="751"/>
      <c r="I106" s="751"/>
      <c r="J106" s="751"/>
      <c r="K106" s="751"/>
      <c r="L106" s="751"/>
      <c r="M106" s="751"/>
      <c r="N106" s="751"/>
      <c r="O106" s="752"/>
    </row>
    <row r="107" spans="1:15" x14ac:dyDescent="0.25">
      <c r="A107" s="750"/>
      <c r="B107" s="751"/>
      <c r="C107" s="755"/>
      <c r="D107" s="754"/>
      <c r="E107" s="751"/>
      <c r="F107" s="751"/>
      <c r="G107" s="751"/>
      <c r="H107" s="751"/>
      <c r="I107" s="751"/>
      <c r="J107" s="751"/>
      <c r="K107" s="751"/>
      <c r="L107" s="751"/>
      <c r="M107" s="751"/>
      <c r="N107" s="751"/>
      <c r="O107" s="752"/>
    </row>
    <row r="108" spans="1:15" x14ac:dyDescent="0.25">
      <c r="A108" s="750"/>
      <c r="B108" s="751"/>
      <c r="C108" s="755"/>
      <c r="D108" s="754"/>
      <c r="E108" s="751"/>
      <c r="F108" s="751"/>
      <c r="G108" s="751"/>
      <c r="H108" s="751"/>
      <c r="I108" s="751"/>
      <c r="J108" s="751"/>
      <c r="K108" s="751"/>
      <c r="L108" s="751"/>
      <c r="M108" s="751"/>
      <c r="N108" s="751"/>
      <c r="O108" s="752"/>
    </row>
    <row r="109" spans="1:15" x14ac:dyDescent="0.25">
      <c r="A109" s="750"/>
      <c r="B109" s="751"/>
      <c r="C109" s="755"/>
      <c r="D109" s="754"/>
      <c r="E109" s="751"/>
      <c r="F109" s="751"/>
      <c r="G109" s="751"/>
      <c r="H109" s="751"/>
      <c r="I109" s="751"/>
      <c r="J109" s="751"/>
      <c r="K109" s="751"/>
      <c r="L109" s="751"/>
      <c r="M109" s="751"/>
      <c r="N109" s="751"/>
      <c r="O109" s="752"/>
    </row>
    <row r="110" spans="1:15" ht="15.75" thickBot="1" x14ac:dyDescent="0.3">
      <c r="A110" s="756"/>
      <c r="B110" s="757"/>
      <c r="C110" s="757"/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8"/>
    </row>
    <row r="111" spans="1:15" x14ac:dyDescent="0.25">
      <c r="A111" s="747"/>
      <c r="B111" s="748"/>
      <c r="C111" s="748"/>
      <c r="D111" s="748"/>
      <c r="E111" s="748"/>
      <c r="F111" s="748"/>
      <c r="G111" s="748"/>
      <c r="H111" s="748"/>
      <c r="I111" s="748"/>
      <c r="J111" s="748"/>
      <c r="K111" s="748"/>
      <c r="L111" s="748"/>
      <c r="M111" s="748"/>
      <c r="N111" s="748"/>
      <c r="O111" s="749"/>
    </row>
    <row r="112" spans="1:15" x14ac:dyDescent="0.25">
      <c r="A112" s="750" t="s">
        <v>607</v>
      </c>
      <c r="B112" s="751"/>
      <c r="C112" s="751"/>
      <c r="D112" s="751"/>
      <c r="E112" s="751"/>
      <c r="F112" s="751"/>
      <c r="G112" s="751"/>
      <c r="H112" s="751"/>
      <c r="I112" s="751"/>
      <c r="J112" s="751"/>
      <c r="K112" s="751"/>
      <c r="L112" s="751"/>
      <c r="M112" s="751"/>
      <c r="N112" s="751"/>
      <c r="O112" s="752"/>
    </row>
    <row r="113" spans="1:15" x14ac:dyDescent="0.25">
      <c r="A113" s="750"/>
      <c r="B113" s="751"/>
      <c r="C113" s="751"/>
      <c r="D113" s="751"/>
      <c r="E113" s="751"/>
      <c r="F113" s="751"/>
      <c r="G113" s="751"/>
      <c r="H113" s="751"/>
      <c r="I113" s="751"/>
      <c r="J113" s="751"/>
      <c r="K113" s="751"/>
      <c r="L113" s="751"/>
      <c r="M113" s="751"/>
      <c r="N113" s="751"/>
      <c r="O113" s="752"/>
    </row>
    <row r="114" spans="1:15" x14ac:dyDescent="0.25">
      <c r="A114" s="750" t="s">
        <v>482</v>
      </c>
      <c r="B114" s="751"/>
      <c r="C114" s="751"/>
      <c r="D114" s="751"/>
      <c r="E114" s="751"/>
      <c r="F114" s="751"/>
      <c r="G114" s="751"/>
      <c r="H114" s="751"/>
      <c r="I114" s="751"/>
      <c r="J114" s="751"/>
      <c r="K114" s="751"/>
      <c r="L114" s="751"/>
      <c r="M114" s="751"/>
      <c r="N114" s="751"/>
      <c r="O114" s="752"/>
    </row>
    <row r="115" spans="1:15" x14ac:dyDescent="0.25">
      <c r="A115" s="750"/>
      <c r="B115" s="751"/>
      <c r="C115" s="751"/>
      <c r="D115" s="751"/>
      <c r="E115" s="751"/>
      <c r="F115" s="751"/>
      <c r="G115" s="751"/>
      <c r="H115" s="751"/>
      <c r="I115" s="751"/>
      <c r="J115" s="751"/>
      <c r="K115" s="751"/>
      <c r="L115" s="751"/>
      <c r="M115" s="751"/>
      <c r="N115" s="751"/>
      <c r="O115" s="752"/>
    </row>
    <row r="116" spans="1:15" x14ac:dyDescent="0.25">
      <c r="A116" s="753"/>
      <c r="B116" s="754" t="s">
        <v>667</v>
      </c>
      <c r="C116" s="751"/>
      <c r="D116" s="751"/>
      <c r="E116" s="751"/>
      <c r="F116" s="751"/>
      <c r="G116" s="751"/>
      <c r="H116" s="751"/>
      <c r="I116" s="751">
        <v>3</v>
      </c>
      <c r="J116" s="754" t="s">
        <v>449</v>
      </c>
      <c r="K116" s="751"/>
      <c r="L116" s="751"/>
      <c r="M116" s="751"/>
      <c r="N116" s="751"/>
      <c r="O116" s="752"/>
    </row>
    <row r="117" spans="1:15" x14ac:dyDescent="0.25">
      <c r="A117" s="753"/>
      <c r="B117" s="751"/>
      <c r="C117" s="751"/>
      <c r="D117" s="751"/>
      <c r="E117" s="751"/>
      <c r="F117" s="751"/>
      <c r="G117" s="751"/>
      <c r="H117" s="751"/>
      <c r="I117" s="751"/>
      <c r="J117" s="751"/>
      <c r="K117" s="751"/>
      <c r="L117" s="751"/>
      <c r="M117" s="751"/>
      <c r="N117" s="751"/>
      <c r="O117" s="752"/>
    </row>
    <row r="118" spans="1:15" x14ac:dyDescent="0.25">
      <c r="A118" s="753"/>
      <c r="B118" s="751" t="s">
        <v>464</v>
      </c>
      <c r="C118" s="754" t="str">
        <f>"(VCV de la Tasa de dosis equivalente ambiental real a "&amp;'Incert. Dos.'!C94&amp;" m - Tasa de dosis equivalente ambiental errado teóricamente a "&amp;'Incert. Dos.'!C94+I116/1000&amp;" m)"</f>
        <v>(VCV de la Tasa de dosis equivalente ambiental real a 2 m - Tasa de dosis equivalente ambiental errado teóricamente a 2.003 m)</v>
      </c>
      <c r="D118" s="751"/>
      <c r="E118" s="751"/>
      <c r="F118" s="751"/>
      <c r="G118" s="751"/>
      <c r="H118" s="751"/>
      <c r="I118" s="751"/>
      <c r="J118" s="751"/>
      <c r="K118" s="751"/>
      <c r="L118" s="751"/>
      <c r="M118" s="751"/>
      <c r="N118" s="751"/>
      <c r="O118" s="752"/>
    </row>
    <row r="119" spans="1:15" x14ac:dyDescent="0.25">
      <c r="A119" s="753"/>
      <c r="B119" s="751"/>
      <c r="C119" s="751"/>
      <c r="D119" s="751"/>
      <c r="E119" s="751"/>
      <c r="F119" s="751"/>
      <c r="G119" s="751"/>
      <c r="H119" s="751"/>
      <c r="I119" s="751"/>
      <c r="J119" s="751"/>
      <c r="K119" s="751"/>
      <c r="L119" s="751"/>
      <c r="M119" s="751"/>
      <c r="N119" s="751"/>
      <c r="O119" s="752"/>
    </row>
    <row r="120" spans="1:15" x14ac:dyDescent="0.25">
      <c r="A120" s="753"/>
      <c r="B120" s="754" t="s">
        <v>419</v>
      </c>
      <c r="C120" s="751"/>
      <c r="D120" s="751"/>
      <c r="E120" s="751"/>
      <c r="F120" s="751"/>
      <c r="G120" s="751"/>
      <c r="H120" s="751"/>
      <c r="I120" s="751"/>
      <c r="J120" s="751"/>
      <c r="K120" s="751"/>
      <c r="L120" s="751"/>
      <c r="M120" s="751"/>
      <c r="N120" s="751"/>
      <c r="O120" s="752"/>
    </row>
    <row r="121" spans="1:15" x14ac:dyDescent="0.25">
      <c r="A121" s="753"/>
      <c r="B121" s="751"/>
      <c r="C121" s="751"/>
      <c r="D121" s="751"/>
      <c r="E121" s="751"/>
      <c r="F121" s="760"/>
      <c r="G121" s="751"/>
      <c r="H121" s="751"/>
      <c r="I121" s="751"/>
      <c r="J121" s="751"/>
      <c r="K121" s="751"/>
      <c r="L121" s="751"/>
      <c r="M121" s="751"/>
      <c r="N121" s="751"/>
      <c r="O121" s="752"/>
    </row>
    <row r="122" spans="1:15" x14ac:dyDescent="0.25">
      <c r="A122" s="753"/>
      <c r="B122" s="751" t="s">
        <v>464</v>
      </c>
      <c r="C122" s="760">
        <f>('F-LSCD-003'!D17-('F-LSCD-003'!D17*('F-LSCD-003'!N17)^2/('F-LSCD-003'!N17+I116/1000)^2))/(0.000001)</f>
        <v>122.09988002791218</v>
      </c>
      <c r="D122" s="754" t="s">
        <v>325</v>
      </c>
      <c r="E122" s="751"/>
      <c r="F122" s="751"/>
      <c r="G122" s="762"/>
      <c r="H122" s="751"/>
      <c r="I122" s="751"/>
      <c r="J122" s="751"/>
      <c r="K122" s="751"/>
      <c r="L122" s="751"/>
      <c r="M122" s="751"/>
      <c r="N122" s="751"/>
      <c r="O122" s="752"/>
    </row>
    <row r="123" spans="1:15" x14ac:dyDescent="0.25">
      <c r="A123" s="753"/>
      <c r="B123" s="751"/>
      <c r="C123" s="755"/>
      <c r="D123" s="754"/>
      <c r="E123" s="751"/>
      <c r="F123" s="751"/>
      <c r="G123" s="751"/>
      <c r="H123" s="751"/>
      <c r="I123" s="751"/>
      <c r="J123" s="751"/>
      <c r="K123" s="751"/>
      <c r="L123" s="751"/>
      <c r="M123" s="751"/>
      <c r="N123" s="751"/>
      <c r="O123" s="752"/>
    </row>
    <row r="124" spans="1:15" x14ac:dyDescent="0.25">
      <c r="A124" s="750" t="s">
        <v>709</v>
      </c>
      <c r="B124" s="751"/>
      <c r="C124" s="755"/>
      <c r="D124" s="754"/>
      <c r="E124" s="751"/>
      <c r="F124" s="751"/>
      <c r="G124" s="751"/>
      <c r="H124" s="751"/>
      <c r="I124" s="751"/>
      <c r="J124" s="751"/>
      <c r="K124" s="751"/>
      <c r="L124" s="751"/>
      <c r="M124" s="751"/>
      <c r="N124" s="751"/>
      <c r="O124" s="752"/>
    </row>
    <row r="125" spans="1:15" x14ac:dyDescent="0.25">
      <c r="A125" s="750"/>
      <c r="B125" s="751"/>
      <c r="C125" s="755"/>
      <c r="D125" s="754"/>
      <c r="E125" s="751"/>
      <c r="F125" s="751"/>
      <c r="G125" s="751"/>
      <c r="H125" s="751"/>
      <c r="I125" s="751"/>
      <c r="J125" s="751"/>
      <c r="K125" s="751"/>
      <c r="L125" s="751"/>
      <c r="M125" s="751"/>
      <c r="N125" s="751"/>
      <c r="O125" s="752"/>
    </row>
    <row r="126" spans="1:15" x14ac:dyDescent="0.25">
      <c r="A126" s="750"/>
      <c r="B126" s="751"/>
      <c r="C126" s="755"/>
      <c r="D126" s="754"/>
      <c r="E126" s="751"/>
      <c r="F126" s="751"/>
      <c r="G126" s="751"/>
      <c r="H126" s="751"/>
      <c r="I126" s="751"/>
      <c r="J126" s="751"/>
      <c r="K126" s="751"/>
      <c r="L126" s="751"/>
      <c r="M126" s="751"/>
      <c r="N126" s="751"/>
      <c r="O126" s="752"/>
    </row>
    <row r="127" spans="1:15" x14ac:dyDescent="0.25">
      <c r="A127" s="750"/>
      <c r="B127" s="751"/>
      <c r="C127" s="755"/>
      <c r="D127" s="754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2"/>
    </row>
    <row r="128" spans="1:15" ht="15.75" thickBot="1" x14ac:dyDescent="0.3">
      <c r="A128" s="756"/>
      <c r="B128" s="763"/>
      <c r="C128" s="757"/>
      <c r="D128" s="757"/>
      <c r="E128" s="757"/>
      <c r="F128" s="757"/>
      <c r="G128" s="764"/>
      <c r="H128" s="757"/>
      <c r="I128" s="757"/>
      <c r="J128" s="757"/>
      <c r="K128" s="757"/>
      <c r="L128" s="757"/>
      <c r="M128" s="757"/>
      <c r="N128" s="757"/>
      <c r="O128" s="758"/>
    </row>
    <row r="129" spans="1:15" x14ac:dyDescent="0.25">
      <c r="A129" s="747"/>
      <c r="B129" s="748"/>
      <c r="C129" s="748"/>
      <c r="D129" s="748"/>
      <c r="E129" s="748"/>
      <c r="F129" s="748"/>
      <c r="G129" s="765"/>
      <c r="H129" s="748"/>
      <c r="I129" s="748"/>
      <c r="J129" s="748"/>
      <c r="K129" s="748"/>
      <c r="L129" s="748"/>
      <c r="M129" s="748"/>
      <c r="N129" s="748"/>
      <c r="O129" s="749"/>
    </row>
    <row r="130" spans="1:15" x14ac:dyDescent="0.25">
      <c r="A130" s="750" t="s">
        <v>608</v>
      </c>
      <c r="B130" s="751"/>
      <c r="C130" s="751"/>
      <c r="D130" s="751"/>
      <c r="E130" s="751"/>
      <c r="F130" s="751"/>
      <c r="G130" s="766"/>
      <c r="H130" s="751"/>
      <c r="I130" s="751"/>
      <c r="J130" s="751"/>
      <c r="K130" s="751"/>
      <c r="L130" s="751"/>
      <c r="M130" s="751"/>
      <c r="N130" s="751"/>
      <c r="O130" s="752"/>
    </row>
    <row r="131" spans="1:15" x14ac:dyDescent="0.25">
      <c r="A131" s="750"/>
      <c r="B131" s="751"/>
      <c r="C131" s="751"/>
      <c r="D131" s="751"/>
      <c r="E131" s="751"/>
      <c r="F131" s="751"/>
      <c r="G131" s="766"/>
      <c r="H131" s="751"/>
      <c r="I131" s="751"/>
      <c r="J131" s="751"/>
      <c r="K131" s="751"/>
      <c r="L131" s="751"/>
      <c r="M131" s="751"/>
      <c r="N131" s="751"/>
      <c r="O131" s="752"/>
    </row>
    <row r="132" spans="1:15" x14ac:dyDescent="0.25">
      <c r="A132" s="750" t="s">
        <v>485</v>
      </c>
      <c r="B132" s="751"/>
      <c r="C132" s="751"/>
      <c r="D132" s="751"/>
      <c r="E132" s="751"/>
      <c r="F132" s="751"/>
      <c r="G132" s="766"/>
      <c r="H132" s="751"/>
      <c r="I132" s="751"/>
      <c r="J132" s="751"/>
      <c r="K132" s="751"/>
      <c r="L132" s="751"/>
      <c r="M132" s="751"/>
      <c r="N132" s="751"/>
      <c r="O132" s="752"/>
    </row>
    <row r="133" spans="1:15" x14ac:dyDescent="0.25">
      <c r="A133" s="753"/>
      <c r="B133" s="751"/>
      <c r="C133" s="751"/>
      <c r="D133" s="751"/>
      <c r="E133" s="751"/>
      <c r="F133" s="751"/>
      <c r="G133" s="766"/>
      <c r="H133" s="751"/>
      <c r="I133" s="751"/>
      <c r="J133" s="751"/>
      <c r="K133" s="751"/>
      <c r="L133" s="751"/>
      <c r="M133" s="751"/>
      <c r="N133" s="751"/>
      <c r="O133" s="752"/>
    </row>
    <row r="134" spans="1:15" x14ac:dyDescent="0.25">
      <c r="A134" s="753"/>
      <c r="B134" s="751" t="s">
        <v>464</v>
      </c>
      <c r="C134" s="754" t="s">
        <v>609</v>
      </c>
      <c r="D134" s="751"/>
      <c r="E134" s="751"/>
      <c r="F134" s="751"/>
      <c r="G134" s="766"/>
      <c r="H134" s="751"/>
      <c r="I134" s="751"/>
      <c r="J134" s="751"/>
      <c r="K134" s="751"/>
      <c r="L134" s="751"/>
      <c r="M134" s="751"/>
      <c r="N134" s="751"/>
      <c r="O134" s="752"/>
    </row>
    <row r="135" spans="1:15" x14ac:dyDescent="0.25">
      <c r="A135" s="753"/>
      <c r="B135" s="751"/>
      <c r="C135" s="751"/>
      <c r="D135" s="751"/>
      <c r="E135" s="751"/>
      <c r="F135" s="751"/>
      <c r="G135" s="766"/>
      <c r="H135" s="751"/>
      <c r="I135" s="751"/>
      <c r="J135" s="751"/>
      <c r="K135" s="751"/>
      <c r="L135" s="751"/>
      <c r="M135" s="751"/>
      <c r="N135" s="751"/>
      <c r="O135" s="752"/>
    </row>
    <row r="136" spans="1:15" x14ac:dyDescent="0.25">
      <c r="A136" s="753"/>
      <c r="B136" s="751" t="s">
        <v>464</v>
      </c>
      <c r="C136" s="759">
        <f>'F-LSCD-002 (Pos. fuente)'!AH69/2</f>
        <v>1.9915985219840348E-3</v>
      </c>
      <c r="D136" s="754"/>
      <c r="E136" s="751"/>
      <c r="F136" s="751"/>
      <c r="G136" s="766"/>
      <c r="H136" s="751"/>
      <c r="I136" s="751"/>
      <c r="J136" s="751"/>
      <c r="K136" s="751"/>
      <c r="L136" s="751"/>
      <c r="M136" s="751"/>
      <c r="N136" s="751"/>
      <c r="O136" s="752"/>
    </row>
    <row r="137" spans="1:15" x14ac:dyDescent="0.25">
      <c r="A137" s="753"/>
      <c r="B137" s="751"/>
      <c r="C137" s="760"/>
      <c r="D137" s="754"/>
      <c r="E137" s="751"/>
      <c r="F137" s="751"/>
      <c r="G137" s="766"/>
      <c r="H137" s="751"/>
      <c r="I137" s="751"/>
      <c r="J137" s="751"/>
      <c r="K137" s="751"/>
      <c r="L137" s="751"/>
      <c r="M137" s="751"/>
      <c r="N137" s="751"/>
      <c r="O137" s="752"/>
    </row>
    <row r="138" spans="1:15" x14ac:dyDescent="0.25">
      <c r="A138" s="753"/>
      <c r="B138" s="754" t="s">
        <v>397</v>
      </c>
      <c r="C138" s="751"/>
      <c r="D138" s="751"/>
      <c r="E138" s="751"/>
      <c r="F138" s="751"/>
      <c r="G138" s="751"/>
      <c r="H138" s="751"/>
      <c r="I138" s="751"/>
      <c r="J138" s="751"/>
      <c r="K138" s="751"/>
      <c r="L138" s="751"/>
      <c r="M138" s="751"/>
      <c r="N138" s="751"/>
      <c r="O138" s="752"/>
    </row>
    <row r="139" spans="1:15" x14ac:dyDescent="0.25">
      <c r="A139" s="753"/>
      <c r="B139" s="754" t="s">
        <v>416</v>
      </c>
      <c r="C139" s="751"/>
      <c r="D139" s="751"/>
      <c r="E139" s="751"/>
      <c r="F139" s="751"/>
      <c r="G139" s="751"/>
      <c r="H139" s="751"/>
      <c r="I139" s="751"/>
      <c r="J139" s="751"/>
      <c r="K139" s="751"/>
      <c r="L139" s="751"/>
      <c r="M139" s="751"/>
      <c r="N139" s="751"/>
      <c r="O139" s="752"/>
    </row>
    <row r="140" spans="1:15" x14ac:dyDescent="0.25">
      <c r="A140" s="753"/>
      <c r="B140" s="751"/>
      <c r="C140" s="755"/>
      <c r="D140" s="754"/>
      <c r="E140" s="751"/>
      <c r="F140" s="751"/>
      <c r="G140" s="751"/>
      <c r="H140" s="751"/>
      <c r="I140" s="751"/>
      <c r="J140" s="751"/>
      <c r="K140" s="751"/>
      <c r="L140" s="751"/>
      <c r="M140" s="751"/>
      <c r="N140" s="751"/>
      <c r="O140" s="752"/>
    </row>
    <row r="141" spans="1:15" x14ac:dyDescent="0.25">
      <c r="A141" s="750" t="s">
        <v>710</v>
      </c>
      <c r="B141" s="751"/>
      <c r="C141" s="755"/>
      <c r="D141" s="754"/>
      <c r="E141" s="751"/>
      <c r="F141" s="751"/>
      <c r="G141" s="751"/>
      <c r="H141" s="751"/>
      <c r="I141" s="751"/>
      <c r="J141" s="751"/>
      <c r="K141" s="751"/>
      <c r="L141" s="751"/>
      <c r="M141" s="751"/>
      <c r="N141" s="751"/>
      <c r="O141" s="752"/>
    </row>
    <row r="142" spans="1:15" x14ac:dyDescent="0.25">
      <c r="A142" s="750"/>
      <c r="B142" s="751"/>
      <c r="C142" s="755"/>
      <c r="D142" s="754"/>
      <c r="E142" s="751"/>
      <c r="F142" s="751"/>
      <c r="G142" s="751"/>
      <c r="H142" s="751"/>
      <c r="I142" s="751"/>
      <c r="J142" s="751"/>
      <c r="K142" s="751"/>
      <c r="L142" s="751"/>
      <c r="M142" s="751"/>
      <c r="N142" s="751"/>
      <c r="O142" s="752"/>
    </row>
    <row r="143" spans="1:15" x14ac:dyDescent="0.25">
      <c r="A143" s="750"/>
      <c r="B143" s="751"/>
      <c r="C143" s="755"/>
      <c r="D143" s="754"/>
      <c r="E143" s="751"/>
      <c r="F143" s="751"/>
      <c r="G143" s="751"/>
      <c r="H143" s="751"/>
      <c r="I143" s="751"/>
      <c r="J143" s="751"/>
      <c r="K143" s="751"/>
      <c r="L143" s="751"/>
      <c r="M143" s="751"/>
      <c r="N143" s="751"/>
      <c r="O143" s="752"/>
    </row>
    <row r="144" spans="1:15" x14ac:dyDescent="0.25">
      <c r="A144" s="750"/>
      <c r="B144" s="751"/>
      <c r="C144" s="755"/>
      <c r="D144" s="754"/>
      <c r="E144" s="751"/>
      <c r="F144" s="751"/>
      <c r="G144" s="751"/>
      <c r="H144" s="751"/>
      <c r="I144" s="751"/>
      <c r="J144" s="751"/>
      <c r="K144" s="751"/>
      <c r="L144" s="751"/>
      <c r="M144" s="751"/>
      <c r="N144" s="751"/>
      <c r="O144" s="752"/>
    </row>
    <row r="145" spans="1:15" ht="15.75" thickBot="1" x14ac:dyDescent="0.3">
      <c r="A145" s="756"/>
      <c r="B145" s="763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8"/>
    </row>
    <row r="146" spans="1:15" x14ac:dyDescent="0.25">
      <c r="A146" s="747"/>
      <c r="B146" s="767"/>
      <c r="C146" s="748"/>
      <c r="D146" s="748"/>
      <c r="E146" s="748"/>
      <c r="F146" s="748"/>
      <c r="G146" s="748"/>
      <c r="H146" s="748"/>
      <c r="I146" s="748"/>
      <c r="J146" s="748"/>
      <c r="K146" s="748"/>
      <c r="L146" s="748"/>
      <c r="M146" s="748"/>
      <c r="N146" s="748"/>
      <c r="O146" s="749"/>
    </row>
    <row r="147" spans="1:15" x14ac:dyDescent="0.25">
      <c r="A147" s="750" t="s">
        <v>677</v>
      </c>
      <c r="B147" s="754"/>
      <c r="C147" s="751"/>
      <c r="D147" s="751"/>
      <c r="E147" s="751"/>
      <c r="F147" s="751"/>
      <c r="G147" s="751"/>
      <c r="H147" s="751"/>
      <c r="I147" s="751"/>
      <c r="J147" s="751"/>
      <c r="K147" s="751"/>
      <c r="L147" s="751"/>
      <c r="M147" s="751"/>
      <c r="N147" s="751"/>
      <c r="O147" s="752"/>
    </row>
    <row r="148" spans="1:15" x14ac:dyDescent="0.25">
      <c r="A148" s="750"/>
      <c r="B148" s="754"/>
      <c r="C148" s="751"/>
      <c r="D148" s="751"/>
      <c r="E148" s="751"/>
      <c r="F148" s="751"/>
      <c r="G148" s="751"/>
      <c r="H148" s="751"/>
      <c r="I148" s="751"/>
      <c r="J148" s="751"/>
      <c r="K148" s="751"/>
      <c r="L148" s="751"/>
      <c r="M148" s="751"/>
      <c r="N148" s="751"/>
      <c r="O148" s="752"/>
    </row>
    <row r="149" spans="1:15" x14ac:dyDescent="0.25">
      <c r="A149" s="750" t="s">
        <v>494</v>
      </c>
      <c r="B149" s="754"/>
      <c r="C149" s="751"/>
      <c r="D149" s="751"/>
      <c r="E149" s="751"/>
      <c r="F149" s="751"/>
      <c r="G149" s="751"/>
      <c r="H149" s="751"/>
      <c r="I149" s="751"/>
      <c r="J149" s="751"/>
      <c r="K149" s="751"/>
      <c r="L149" s="751"/>
      <c r="M149" s="751"/>
      <c r="N149" s="751"/>
      <c r="O149" s="752"/>
    </row>
    <row r="150" spans="1:15" x14ac:dyDescent="0.25">
      <c r="A150" s="750"/>
      <c r="B150" s="754"/>
      <c r="C150" s="751"/>
      <c r="D150" s="751"/>
      <c r="E150" s="751"/>
      <c r="F150" s="751"/>
      <c r="G150" s="751"/>
      <c r="H150" s="751"/>
      <c r="I150" s="751"/>
      <c r="J150" s="751"/>
      <c r="K150" s="751"/>
      <c r="L150" s="751"/>
      <c r="M150" s="751"/>
      <c r="N150" s="751"/>
      <c r="O150" s="752"/>
    </row>
    <row r="151" spans="1:15" x14ac:dyDescent="0.25">
      <c r="A151" s="750"/>
      <c r="B151" s="754" t="s">
        <v>453</v>
      </c>
      <c r="C151" s="751"/>
      <c r="D151" s="751"/>
      <c r="E151" s="751"/>
      <c r="F151" s="751">
        <v>1.1000000000000001</v>
      </c>
      <c r="G151" s="754" t="s">
        <v>449</v>
      </c>
      <c r="H151" s="751"/>
      <c r="I151" s="751"/>
      <c r="J151" s="751"/>
      <c r="K151" s="751"/>
      <c r="L151" s="751"/>
      <c r="M151" s="751"/>
      <c r="N151" s="751"/>
      <c r="O151" s="752"/>
    </row>
    <row r="152" spans="1:15" x14ac:dyDescent="0.25">
      <c r="A152" s="750"/>
      <c r="B152" s="754"/>
      <c r="C152" s="751"/>
      <c r="D152" s="751"/>
      <c r="E152" s="751"/>
      <c r="F152" s="751"/>
      <c r="G152" s="754"/>
      <c r="H152" s="751"/>
      <c r="I152" s="751"/>
      <c r="J152" s="751"/>
      <c r="K152" s="751"/>
      <c r="L152" s="751"/>
      <c r="M152" s="751"/>
      <c r="N152" s="751"/>
      <c r="O152" s="752"/>
    </row>
    <row r="153" spans="1:15" x14ac:dyDescent="0.25">
      <c r="A153" s="750"/>
      <c r="B153" s="754" t="s">
        <v>610</v>
      </c>
      <c r="C153" s="751"/>
      <c r="D153" s="751"/>
      <c r="E153" s="751"/>
      <c r="F153" s="751"/>
      <c r="G153" s="754"/>
      <c r="H153" s="751"/>
      <c r="I153" s="751"/>
      <c r="J153" s="751"/>
      <c r="K153" s="751"/>
      <c r="L153" s="751"/>
      <c r="M153" s="751"/>
      <c r="N153" s="751"/>
      <c r="O153" s="752"/>
    </row>
    <row r="154" spans="1:15" x14ac:dyDescent="0.25">
      <c r="A154" s="750"/>
      <c r="B154" s="754"/>
      <c r="C154" s="751"/>
      <c r="D154" s="751"/>
      <c r="E154" s="751"/>
      <c r="F154" s="751"/>
      <c r="G154" s="754"/>
      <c r="H154" s="751"/>
      <c r="I154" s="751"/>
      <c r="J154" s="751"/>
      <c r="K154" s="751"/>
      <c r="L154" s="751"/>
      <c r="M154" s="751"/>
      <c r="N154" s="751"/>
      <c r="O154" s="752"/>
    </row>
    <row r="155" spans="1:15" x14ac:dyDescent="0.25">
      <c r="A155" s="750"/>
      <c r="B155" s="754"/>
      <c r="C155" s="751" t="s">
        <v>612</v>
      </c>
      <c r="D155" s="751" t="s">
        <v>611</v>
      </c>
      <c r="E155" s="751"/>
      <c r="F155" s="751"/>
      <c r="G155" s="754"/>
      <c r="H155" s="751"/>
      <c r="I155" s="751"/>
      <c r="J155" s="751"/>
      <c r="K155" s="751"/>
      <c r="L155" s="751"/>
      <c r="M155" s="751"/>
      <c r="N155" s="751"/>
      <c r="O155" s="752"/>
    </row>
    <row r="156" spans="1:15" x14ac:dyDescent="0.25">
      <c r="A156" s="750"/>
      <c r="B156" s="754"/>
      <c r="C156" s="751">
        <v>100</v>
      </c>
      <c r="D156" s="768">
        <f t="shared" ref="D156:D166" si="48">$F$151/C156*100</f>
        <v>1.1000000000000001</v>
      </c>
      <c r="E156" s="751"/>
      <c r="F156" s="751"/>
      <c r="G156" s="754"/>
      <c r="H156" s="751"/>
      <c r="I156" s="751"/>
      <c r="J156" s="751"/>
      <c r="K156" s="751"/>
      <c r="L156" s="751"/>
      <c r="M156" s="751"/>
      <c r="N156" s="751"/>
      <c r="O156" s="752"/>
    </row>
    <row r="157" spans="1:15" x14ac:dyDescent="0.25">
      <c r="A157" s="750"/>
      <c r="B157" s="754"/>
      <c r="C157" s="751">
        <v>500</v>
      </c>
      <c r="D157" s="768">
        <f t="shared" si="48"/>
        <v>0.22</v>
      </c>
      <c r="E157" s="751"/>
      <c r="F157" s="751"/>
      <c r="G157" s="754"/>
      <c r="H157" s="751"/>
      <c r="I157" s="751"/>
      <c r="J157" s="751"/>
      <c r="K157" s="751"/>
      <c r="L157" s="751"/>
      <c r="M157" s="751"/>
      <c r="N157" s="751"/>
      <c r="O157" s="752"/>
    </row>
    <row r="158" spans="1:15" x14ac:dyDescent="0.25">
      <c r="A158" s="750"/>
      <c r="B158" s="754"/>
      <c r="C158" s="751">
        <v>1000</v>
      </c>
      <c r="D158" s="768">
        <f t="shared" si="48"/>
        <v>0.11</v>
      </c>
      <c r="E158" s="751"/>
      <c r="F158" s="751"/>
      <c r="G158" s="754"/>
      <c r="H158" s="751"/>
      <c r="I158" s="751"/>
      <c r="J158" s="751"/>
      <c r="K158" s="751"/>
      <c r="L158" s="751"/>
      <c r="M158" s="751"/>
      <c r="N158" s="751"/>
      <c r="O158" s="752"/>
    </row>
    <row r="159" spans="1:15" x14ac:dyDescent="0.25">
      <c r="A159" s="750"/>
      <c r="B159" s="754"/>
      <c r="C159" s="751">
        <v>1500</v>
      </c>
      <c r="D159" s="768">
        <f t="shared" si="48"/>
        <v>7.3333333333333334E-2</v>
      </c>
      <c r="E159" s="751"/>
      <c r="F159" s="751"/>
      <c r="G159" s="754"/>
      <c r="H159" s="751"/>
      <c r="I159" s="751"/>
      <c r="J159" s="751"/>
      <c r="K159" s="751"/>
      <c r="L159" s="751"/>
      <c r="M159" s="751"/>
      <c r="N159" s="751"/>
      <c r="O159" s="752"/>
    </row>
    <row r="160" spans="1:15" x14ac:dyDescent="0.25">
      <c r="A160" s="750"/>
      <c r="B160" s="754"/>
      <c r="C160" s="751">
        <v>2000</v>
      </c>
      <c r="D160" s="768">
        <f t="shared" si="48"/>
        <v>5.5E-2</v>
      </c>
      <c r="E160" s="751"/>
      <c r="F160" s="751"/>
      <c r="G160" s="754"/>
      <c r="H160" s="751"/>
      <c r="I160" s="751"/>
      <c r="J160" s="751"/>
      <c r="K160" s="751"/>
      <c r="L160" s="751"/>
      <c r="M160" s="751"/>
      <c r="N160" s="751"/>
      <c r="O160" s="752"/>
    </row>
    <row r="161" spans="1:15" x14ac:dyDescent="0.25">
      <c r="A161" s="750"/>
      <c r="B161" s="754"/>
      <c r="C161" s="751">
        <v>2500</v>
      </c>
      <c r="D161" s="768">
        <f t="shared" si="48"/>
        <v>4.4000000000000004E-2</v>
      </c>
      <c r="E161" s="751"/>
      <c r="F161" s="751"/>
      <c r="G161" s="754"/>
      <c r="H161" s="751"/>
      <c r="I161" s="751"/>
      <c r="J161" s="751"/>
      <c r="K161" s="751"/>
      <c r="L161" s="751"/>
      <c r="M161" s="751"/>
      <c r="N161" s="751"/>
      <c r="O161" s="752"/>
    </row>
    <row r="162" spans="1:15" x14ac:dyDescent="0.25">
      <c r="A162" s="750"/>
      <c r="B162" s="754"/>
      <c r="C162" s="751">
        <v>3000</v>
      </c>
      <c r="D162" s="768">
        <f t="shared" si="48"/>
        <v>3.6666666666666667E-2</v>
      </c>
      <c r="E162" s="751"/>
      <c r="F162" s="751"/>
      <c r="G162" s="754"/>
      <c r="H162" s="751"/>
      <c r="I162" s="751"/>
      <c r="J162" s="751"/>
      <c r="K162" s="751"/>
      <c r="L162" s="751"/>
      <c r="M162" s="751"/>
      <c r="N162" s="751"/>
      <c r="O162" s="752"/>
    </row>
    <row r="163" spans="1:15" x14ac:dyDescent="0.25">
      <c r="A163" s="750"/>
      <c r="B163" s="754"/>
      <c r="C163" s="751">
        <v>3500</v>
      </c>
      <c r="D163" s="768">
        <f t="shared" si="48"/>
        <v>3.1428571428571431E-2</v>
      </c>
      <c r="E163" s="751"/>
      <c r="F163" s="751"/>
      <c r="G163" s="754"/>
      <c r="H163" s="751"/>
      <c r="I163" s="751"/>
      <c r="J163" s="751"/>
      <c r="K163" s="751"/>
      <c r="L163" s="751"/>
      <c r="M163" s="751"/>
      <c r="N163" s="751"/>
      <c r="O163" s="752"/>
    </row>
    <row r="164" spans="1:15" x14ac:dyDescent="0.25">
      <c r="A164" s="750"/>
      <c r="B164" s="754"/>
      <c r="C164" s="751">
        <v>4000</v>
      </c>
      <c r="D164" s="768">
        <f t="shared" si="48"/>
        <v>2.75E-2</v>
      </c>
      <c r="E164" s="751"/>
      <c r="F164" s="751"/>
      <c r="G164" s="754"/>
      <c r="H164" s="751"/>
      <c r="I164" s="751"/>
      <c r="J164" s="751"/>
      <c r="K164" s="751"/>
      <c r="L164" s="751"/>
      <c r="M164" s="751"/>
      <c r="N164" s="751"/>
      <c r="O164" s="752"/>
    </row>
    <row r="165" spans="1:15" x14ac:dyDescent="0.25">
      <c r="A165" s="750"/>
      <c r="B165" s="754"/>
      <c r="C165" s="751">
        <v>4500</v>
      </c>
      <c r="D165" s="768">
        <f t="shared" si="48"/>
        <v>2.4444444444444449E-2</v>
      </c>
      <c r="E165" s="751"/>
      <c r="F165" s="751"/>
      <c r="G165" s="754"/>
      <c r="H165" s="751"/>
      <c r="I165" s="751"/>
      <c r="J165" s="751"/>
      <c r="K165" s="751"/>
      <c r="L165" s="751"/>
      <c r="M165" s="751"/>
      <c r="N165" s="751"/>
      <c r="O165" s="752"/>
    </row>
    <row r="166" spans="1:15" x14ac:dyDescent="0.25">
      <c r="A166" s="750"/>
      <c r="B166" s="754"/>
      <c r="C166" s="751">
        <v>5000</v>
      </c>
      <c r="D166" s="768">
        <f t="shared" si="48"/>
        <v>2.2000000000000002E-2</v>
      </c>
      <c r="E166" s="751"/>
      <c r="F166" s="751"/>
      <c r="G166" s="754"/>
      <c r="H166" s="751"/>
      <c r="I166" s="751"/>
      <c r="J166" s="751"/>
      <c r="K166" s="751"/>
      <c r="L166" s="751"/>
      <c r="M166" s="751"/>
      <c r="N166" s="751"/>
      <c r="O166" s="752"/>
    </row>
    <row r="167" spans="1:15" x14ac:dyDescent="0.25">
      <c r="A167" s="750"/>
      <c r="B167" s="754"/>
      <c r="C167" s="751"/>
      <c r="D167" s="751"/>
      <c r="E167" s="751"/>
      <c r="F167" s="751"/>
      <c r="G167" s="751"/>
      <c r="H167" s="751"/>
      <c r="I167" s="751"/>
      <c r="J167" s="751"/>
      <c r="K167" s="751"/>
      <c r="L167" s="751"/>
      <c r="M167" s="751"/>
      <c r="N167" s="751"/>
      <c r="O167" s="752"/>
    </row>
    <row r="168" spans="1:15" x14ac:dyDescent="0.25">
      <c r="A168" s="750"/>
      <c r="B168" s="751" t="s">
        <v>464</v>
      </c>
      <c r="C168" s="754" t="str">
        <f>"(Tasa de Kerma en aire medido a "&amp;'Incert. Dos.'!C94&amp;" m - Tasa de Kerma en aire teórico a "&amp;'Incert. Dos.'!C94+F151/1000&amp;" m)/2"</f>
        <v>(Tasa de Kerma en aire medido a 2 m - Tasa de Kerma en aire teórico a 2.0011 m)/2</v>
      </c>
      <c r="D168" s="751"/>
      <c r="E168" s="751"/>
      <c r="F168" s="751"/>
      <c r="G168" s="751"/>
      <c r="H168" s="751"/>
      <c r="I168" s="751"/>
      <c r="J168" s="751"/>
      <c r="K168" s="751"/>
      <c r="L168" s="751"/>
      <c r="M168" s="751"/>
      <c r="N168" s="751"/>
      <c r="O168" s="752"/>
    </row>
    <row r="169" spans="1:15" x14ac:dyDescent="0.25">
      <c r="A169" s="750"/>
      <c r="B169" s="751"/>
      <c r="C169" s="754"/>
      <c r="D169" s="751"/>
      <c r="E169" s="751"/>
      <c r="F169" s="751"/>
      <c r="G169" s="751"/>
      <c r="H169" s="751"/>
      <c r="I169" s="751"/>
      <c r="J169" s="751"/>
      <c r="K169" s="751"/>
      <c r="L169" s="751"/>
      <c r="M169" s="751"/>
      <c r="N169" s="751"/>
      <c r="O169" s="752"/>
    </row>
    <row r="170" spans="1:15" x14ac:dyDescent="0.25">
      <c r="A170" s="750"/>
      <c r="B170" s="751" t="s">
        <v>464</v>
      </c>
      <c r="C170" s="760">
        <f>('F-LSCD-003'!D17-('F-LSCD-003'!D17*'F-LSCD-003'!N17^2/('F-LSCD-003'!N17+F151/1000)^2))/0.000001</f>
        <v>44.87411741348896</v>
      </c>
      <c r="D170" s="754" t="s">
        <v>325</v>
      </c>
      <c r="E170" s="751"/>
      <c r="F170" s="751"/>
      <c r="G170" s="751"/>
      <c r="H170" s="751"/>
      <c r="I170" s="751"/>
      <c r="J170" s="751"/>
      <c r="K170" s="751"/>
      <c r="L170" s="751"/>
      <c r="M170" s="751"/>
      <c r="N170" s="751"/>
      <c r="O170" s="752"/>
    </row>
    <row r="171" spans="1:15" x14ac:dyDescent="0.25">
      <c r="A171" s="753"/>
      <c r="B171" s="751"/>
      <c r="C171" s="755"/>
      <c r="D171" s="754"/>
      <c r="E171" s="751"/>
      <c r="F171" s="751"/>
      <c r="G171" s="751"/>
      <c r="H171" s="751"/>
      <c r="I171" s="751"/>
      <c r="J171" s="751"/>
      <c r="K171" s="751"/>
      <c r="L171" s="751"/>
      <c r="M171" s="751"/>
      <c r="N171" s="751"/>
      <c r="O171" s="752"/>
    </row>
    <row r="172" spans="1:15" x14ac:dyDescent="0.25">
      <c r="A172" s="750" t="s">
        <v>711</v>
      </c>
      <c r="B172" s="751"/>
      <c r="C172" s="755"/>
      <c r="D172" s="754"/>
      <c r="E172" s="751"/>
      <c r="F172" s="751"/>
      <c r="G172" s="751"/>
      <c r="H172" s="751"/>
      <c r="I172" s="751"/>
      <c r="J172" s="751"/>
      <c r="K172" s="751"/>
      <c r="L172" s="751"/>
      <c r="M172" s="751"/>
      <c r="N172" s="751"/>
      <c r="O172" s="752"/>
    </row>
    <row r="173" spans="1:15" x14ac:dyDescent="0.25">
      <c r="A173" s="750"/>
      <c r="B173" s="751"/>
      <c r="C173" s="755"/>
      <c r="D173" s="754"/>
      <c r="E173" s="751"/>
      <c r="F173" s="751"/>
      <c r="G173" s="751"/>
      <c r="H173" s="751"/>
      <c r="I173" s="751"/>
      <c r="J173" s="751"/>
      <c r="K173" s="751"/>
      <c r="L173" s="751"/>
      <c r="M173" s="751"/>
      <c r="N173" s="751"/>
      <c r="O173" s="752"/>
    </row>
    <row r="174" spans="1:15" x14ac:dyDescent="0.25">
      <c r="A174" s="750"/>
      <c r="B174" s="751"/>
      <c r="C174" s="755"/>
      <c r="D174" s="754"/>
      <c r="E174" s="751"/>
      <c r="F174" s="751"/>
      <c r="G174" s="751"/>
      <c r="H174" s="751"/>
      <c r="I174" s="751"/>
      <c r="J174" s="751"/>
      <c r="K174" s="751"/>
      <c r="L174" s="751"/>
      <c r="M174" s="751"/>
      <c r="N174" s="751"/>
      <c r="O174" s="752"/>
    </row>
    <row r="175" spans="1:15" x14ac:dyDescent="0.25">
      <c r="A175" s="750"/>
      <c r="B175" s="751"/>
      <c r="C175" s="755"/>
      <c r="D175" s="754"/>
      <c r="E175" s="751"/>
      <c r="F175" s="751"/>
      <c r="G175" s="751"/>
      <c r="H175" s="751"/>
      <c r="I175" s="751"/>
      <c r="J175" s="751"/>
      <c r="K175" s="751"/>
      <c r="L175" s="751"/>
      <c r="M175" s="751"/>
      <c r="N175" s="751"/>
      <c r="O175" s="752"/>
    </row>
    <row r="176" spans="1:15" ht="15.75" thickBot="1" x14ac:dyDescent="0.3">
      <c r="A176" s="769"/>
      <c r="B176" s="757"/>
      <c r="C176" s="770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8"/>
    </row>
    <row r="177" spans="1:15" x14ac:dyDescent="0.25">
      <c r="A177" s="771"/>
      <c r="B177" s="748"/>
      <c r="C177" s="767"/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9"/>
    </row>
    <row r="178" spans="1:15" x14ac:dyDescent="0.25">
      <c r="A178" s="750" t="s">
        <v>678</v>
      </c>
      <c r="B178" s="754"/>
      <c r="C178" s="751"/>
      <c r="D178" s="751"/>
      <c r="E178" s="751"/>
      <c r="F178" s="751"/>
      <c r="G178" s="751"/>
      <c r="H178" s="751"/>
      <c r="I178" s="751"/>
      <c r="J178" s="751"/>
      <c r="K178" s="751"/>
      <c r="L178" s="751"/>
      <c r="M178" s="751"/>
      <c r="N178" s="751"/>
      <c r="O178" s="752"/>
    </row>
    <row r="179" spans="1:15" x14ac:dyDescent="0.25">
      <c r="A179" s="750"/>
      <c r="B179" s="754"/>
      <c r="C179" s="751"/>
      <c r="D179" s="751"/>
      <c r="E179" s="751"/>
      <c r="F179" s="751"/>
      <c r="G179" s="751"/>
      <c r="H179" s="751"/>
      <c r="I179" s="751"/>
      <c r="J179" s="751"/>
      <c r="K179" s="751"/>
      <c r="L179" s="751"/>
      <c r="M179" s="751"/>
      <c r="N179" s="751"/>
      <c r="O179" s="752"/>
    </row>
    <row r="180" spans="1:15" x14ac:dyDescent="0.25">
      <c r="A180" s="750" t="s">
        <v>498</v>
      </c>
      <c r="B180" s="754"/>
      <c r="C180" s="751"/>
      <c r="D180" s="751"/>
      <c r="E180" s="751"/>
      <c r="F180" s="751"/>
      <c r="G180" s="751"/>
      <c r="H180" s="751"/>
      <c r="I180" s="751"/>
      <c r="J180" s="751"/>
      <c r="K180" s="751"/>
      <c r="L180" s="751"/>
      <c r="M180" s="751"/>
      <c r="N180" s="751"/>
      <c r="O180" s="752"/>
    </row>
    <row r="181" spans="1:15" x14ac:dyDescent="0.25">
      <c r="A181" s="750"/>
      <c r="B181" s="754"/>
      <c r="C181" s="751"/>
      <c r="D181" s="751"/>
      <c r="E181" s="751"/>
      <c r="F181" s="751"/>
      <c r="G181" s="751"/>
      <c r="H181" s="751"/>
      <c r="I181" s="751"/>
      <c r="J181" s="751"/>
      <c r="K181" s="751"/>
      <c r="L181" s="751"/>
      <c r="M181" s="751"/>
      <c r="N181" s="751"/>
      <c r="O181" s="752"/>
    </row>
    <row r="182" spans="1:15" x14ac:dyDescent="0.25">
      <c r="A182" s="750"/>
      <c r="B182" s="754" t="s">
        <v>454</v>
      </c>
      <c r="C182" s="751"/>
      <c r="D182" s="751"/>
      <c r="E182" s="751"/>
      <c r="F182" s="751">
        <f>'F-LSCD-002 (Dosimetría)'!D66</f>
        <v>1</v>
      </c>
      <c r="G182" s="751" t="s">
        <v>449</v>
      </c>
      <c r="H182" s="751"/>
      <c r="I182" s="751"/>
      <c r="J182" s="751"/>
      <c r="K182" s="751"/>
      <c r="L182" s="751"/>
      <c r="M182" s="751"/>
      <c r="N182" s="751"/>
      <c r="O182" s="752"/>
    </row>
    <row r="183" spans="1:15" x14ac:dyDescent="0.25">
      <c r="A183" s="750"/>
      <c r="B183" s="754"/>
      <c r="C183" s="751"/>
      <c r="D183" s="751"/>
      <c r="E183" s="751"/>
      <c r="F183" s="751"/>
      <c r="G183" s="751"/>
      <c r="H183" s="751"/>
      <c r="I183" s="751"/>
      <c r="J183" s="751"/>
      <c r="K183" s="751"/>
      <c r="L183" s="751"/>
      <c r="M183" s="751"/>
      <c r="N183" s="751"/>
      <c r="O183" s="752"/>
    </row>
    <row r="184" spans="1:15" x14ac:dyDescent="0.25">
      <c r="A184" s="750"/>
      <c r="B184" s="751" t="s">
        <v>464</v>
      </c>
      <c r="C184" s="754" t="str">
        <f>"(Tasa de Kerma en aire medido a "&amp;'Incert. Dos.'!C94&amp;" m - Tasa de Kerma en aire teórico a "&amp;'Incert. Dos.'!C94+F182/1000&amp;" m)/2"</f>
        <v>(Tasa de Kerma en aire medido a 2 m - Tasa de Kerma en aire teórico a 2.001 m)/2</v>
      </c>
      <c r="D184" s="751"/>
      <c r="E184" s="751"/>
      <c r="F184" s="751"/>
      <c r="G184" s="751"/>
      <c r="H184" s="751"/>
      <c r="I184" s="751"/>
      <c r="J184" s="751"/>
      <c r="K184" s="751"/>
      <c r="L184" s="751"/>
      <c r="M184" s="751"/>
      <c r="N184" s="751"/>
      <c r="O184" s="752"/>
    </row>
    <row r="185" spans="1:15" x14ac:dyDescent="0.25">
      <c r="A185" s="750"/>
      <c r="B185" s="754"/>
      <c r="C185" s="751"/>
      <c r="D185" s="751"/>
      <c r="E185" s="751"/>
      <c r="F185" s="751"/>
      <c r="G185" s="751"/>
      <c r="H185" s="751"/>
      <c r="I185" s="751"/>
      <c r="J185" s="751"/>
      <c r="K185" s="751"/>
      <c r="L185" s="751"/>
      <c r="M185" s="751"/>
      <c r="N185" s="751"/>
      <c r="O185" s="752"/>
    </row>
    <row r="186" spans="1:15" x14ac:dyDescent="0.25">
      <c r="A186" s="750"/>
      <c r="B186" s="751" t="s">
        <v>464</v>
      </c>
      <c r="C186" s="760">
        <f>('F-LSCD-003'!D17-('F-LSCD-003'!D17*'F-LSCD-003'!N17^2/('F-LSCD-003'!N17+F182/1000)^2))/0.000001/2</f>
        <v>20.399823421579992</v>
      </c>
      <c r="D186" s="754" t="s">
        <v>325</v>
      </c>
      <c r="E186" s="751"/>
      <c r="F186" s="751"/>
      <c r="G186" s="751"/>
      <c r="H186" s="751"/>
      <c r="I186" s="751"/>
      <c r="J186" s="751"/>
      <c r="K186" s="751"/>
      <c r="L186" s="751"/>
      <c r="M186" s="751"/>
      <c r="N186" s="751"/>
      <c r="O186" s="752"/>
    </row>
    <row r="187" spans="1:15" x14ac:dyDescent="0.25">
      <c r="A187" s="753"/>
      <c r="B187" s="751"/>
      <c r="C187" s="755"/>
      <c r="D187" s="754"/>
      <c r="E187" s="751"/>
      <c r="F187" s="751"/>
      <c r="G187" s="751"/>
      <c r="H187" s="751"/>
      <c r="I187" s="751"/>
      <c r="J187" s="751"/>
      <c r="K187" s="751"/>
      <c r="L187" s="751"/>
      <c r="M187" s="751"/>
      <c r="N187" s="751"/>
      <c r="O187" s="752"/>
    </row>
    <row r="188" spans="1:15" x14ac:dyDescent="0.25">
      <c r="A188" s="750" t="s">
        <v>712</v>
      </c>
      <c r="B188" s="751"/>
      <c r="C188" s="755"/>
      <c r="D188" s="754"/>
      <c r="E188" s="751"/>
      <c r="F188" s="751"/>
      <c r="G188" s="751"/>
      <c r="H188" s="751"/>
      <c r="I188" s="751"/>
      <c r="J188" s="751"/>
      <c r="K188" s="751"/>
      <c r="L188" s="751"/>
      <c r="M188" s="751"/>
      <c r="N188" s="751"/>
      <c r="O188" s="752"/>
    </row>
    <row r="189" spans="1:15" x14ac:dyDescent="0.25">
      <c r="A189" s="750"/>
      <c r="B189" s="751"/>
      <c r="C189" s="755"/>
      <c r="D189" s="754"/>
      <c r="E189" s="751"/>
      <c r="F189" s="751"/>
      <c r="G189" s="751"/>
      <c r="H189" s="751"/>
      <c r="I189" s="751"/>
      <c r="J189" s="751"/>
      <c r="K189" s="751"/>
      <c r="L189" s="751"/>
      <c r="M189" s="751"/>
      <c r="N189" s="751"/>
      <c r="O189" s="752"/>
    </row>
    <row r="190" spans="1:15" x14ac:dyDescent="0.25">
      <c r="A190" s="750"/>
      <c r="B190" s="751"/>
      <c r="C190" s="755"/>
      <c r="D190" s="754"/>
      <c r="E190" s="751"/>
      <c r="F190" s="751"/>
      <c r="G190" s="751"/>
      <c r="H190" s="751"/>
      <c r="I190" s="751"/>
      <c r="J190" s="751"/>
      <c r="K190" s="751"/>
      <c r="L190" s="751"/>
      <c r="M190" s="751"/>
      <c r="N190" s="751"/>
      <c r="O190" s="752"/>
    </row>
    <row r="191" spans="1:15" x14ac:dyDescent="0.25">
      <c r="A191" s="750"/>
      <c r="B191" s="751"/>
      <c r="C191" s="755"/>
      <c r="D191" s="754"/>
      <c r="E191" s="751"/>
      <c r="F191" s="751"/>
      <c r="G191" s="751"/>
      <c r="H191" s="751"/>
      <c r="I191" s="751"/>
      <c r="J191" s="751"/>
      <c r="K191" s="751"/>
      <c r="L191" s="751"/>
      <c r="M191" s="751"/>
      <c r="N191" s="751"/>
      <c r="O191" s="752"/>
    </row>
    <row r="192" spans="1:15" ht="15.75" thickBot="1" x14ac:dyDescent="0.3">
      <c r="A192" s="769"/>
      <c r="B192" s="757"/>
      <c r="C192" s="772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8"/>
    </row>
    <row r="193" spans="1:15" x14ac:dyDescent="0.25">
      <c r="A193" s="747"/>
      <c r="B193" s="773"/>
      <c r="C193" s="748"/>
      <c r="D193" s="748"/>
      <c r="E193" s="748"/>
      <c r="F193" s="748"/>
      <c r="G193" s="748"/>
      <c r="H193" s="748"/>
      <c r="I193" s="748"/>
      <c r="J193" s="748"/>
      <c r="K193" s="748"/>
      <c r="L193" s="748"/>
      <c r="M193" s="748"/>
      <c r="N193" s="748"/>
      <c r="O193" s="749"/>
    </row>
    <row r="194" spans="1:15" x14ac:dyDescent="0.25">
      <c r="A194" s="754" t="s">
        <v>679</v>
      </c>
      <c r="B194" s="754"/>
      <c r="C194" s="751"/>
      <c r="D194" s="751"/>
      <c r="E194" s="751"/>
      <c r="F194" s="751"/>
      <c r="G194" s="751"/>
      <c r="H194" s="751"/>
      <c r="I194" s="751"/>
      <c r="J194" s="751"/>
      <c r="K194" s="751"/>
      <c r="L194" s="751"/>
      <c r="M194" s="751"/>
      <c r="N194" s="751"/>
      <c r="O194" s="752"/>
    </row>
    <row r="195" spans="1:15" x14ac:dyDescent="0.25">
      <c r="A195" s="750"/>
      <c r="B195" s="754"/>
      <c r="C195" s="751"/>
      <c r="D195" s="751"/>
      <c r="E195" s="751"/>
      <c r="F195" s="751"/>
      <c r="G195" s="751"/>
      <c r="H195" s="751"/>
      <c r="I195" s="751"/>
      <c r="J195" s="751"/>
      <c r="K195" s="751"/>
      <c r="L195" s="751"/>
      <c r="M195" s="751"/>
      <c r="N195" s="751"/>
      <c r="O195" s="752"/>
    </row>
    <row r="196" spans="1:15" x14ac:dyDescent="0.25">
      <c r="A196" s="750" t="s">
        <v>502</v>
      </c>
      <c r="B196" s="754"/>
      <c r="C196" s="751"/>
      <c r="D196" s="751"/>
      <c r="E196" s="751"/>
      <c r="F196" s="751"/>
      <c r="G196" s="751"/>
      <c r="H196" s="751"/>
      <c r="I196" s="751"/>
      <c r="J196" s="751"/>
      <c r="K196" s="751"/>
      <c r="L196" s="751"/>
      <c r="M196" s="751"/>
      <c r="N196" s="751"/>
      <c r="O196" s="752"/>
    </row>
    <row r="197" spans="1:15" x14ac:dyDescent="0.25">
      <c r="A197" s="750"/>
      <c r="B197" s="754"/>
      <c r="C197" s="751"/>
      <c r="D197" s="751"/>
      <c r="E197" s="751"/>
      <c r="F197" s="751"/>
      <c r="G197" s="751"/>
      <c r="H197" s="751"/>
      <c r="I197" s="751"/>
      <c r="J197" s="751"/>
      <c r="K197" s="751"/>
      <c r="L197" s="751"/>
      <c r="M197" s="751"/>
      <c r="N197" s="751"/>
      <c r="O197" s="752"/>
    </row>
    <row r="198" spans="1:15" x14ac:dyDescent="0.25">
      <c r="A198" s="750"/>
      <c r="B198" s="751" t="s">
        <v>464</v>
      </c>
      <c r="C198" s="754" t="s">
        <v>399</v>
      </c>
      <c r="D198" s="751"/>
      <c r="E198" s="751"/>
      <c r="F198" s="751"/>
      <c r="G198" s="751"/>
      <c r="H198" s="751"/>
      <c r="I198" s="751"/>
      <c r="J198" s="751"/>
      <c r="K198" s="751"/>
      <c r="L198" s="751"/>
      <c r="M198" s="751"/>
      <c r="N198" s="751"/>
      <c r="O198" s="752"/>
    </row>
    <row r="199" spans="1:15" x14ac:dyDescent="0.25">
      <c r="A199" s="750"/>
      <c r="B199" s="754"/>
      <c r="C199" s="751"/>
      <c r="D199" s="751"/>
      <c r="E199" s="751"/>
      <c r="F199" s="751"/>
      <c r="G199" s="751"/>
      <c r="H199" s="751"/>
      <c r="I199" s="751"/>
      <c r="J199" s="751"/>
      <c r="K199" s="751"/>
      <c r="L199" s="751"/>
      <c r="M199" s="751"/>
      <c r="N199" s="751"/>
      <c r="O199" s="752"/>
    </row>
    <row r="200" spans="1:15" x14ac:dyDescent="0.25">
      <c r="A200" s="750" t="s">
        <v>713</v>
      </c>
      <c r="B200" s="751"/>
      <c r="C200" s="755"/>
      <c r="D200" s="754"/>
      <c r="E200" s="751"/>
      <c r="F200" s="751"/>
      <c r="G200" s="751"/>
      <c r="H200" s="751"/>
      <c r="I200" s="751"/>
      <c r="J200" s="751"/>
      <c r="K200" s="751"/>
      <c r="L200" s="751"/>
      <c r="M200" s="751"/>
      <c r="N200" s="751"/>
      <c r="O200" s="752"/>
    </row>
    <row r="201" spans="1:15" x14ac:dyDescent="0.25">
      <c r="A201" s="750"/>
      <c r="B201" s="751"/>
      <c r="C201" s="755"/>
      <c r="D201" s="754"/>
      <c r="E201" s="751"/>
      <c r="F201" s="751"/>
      <c r="G201" s="751"/>
      <c r="H201" s="751"/>
      <c r="I201" s="751"/>
      <c r="J201" s="751"/>
      <c r="K201" s="751"/>
      <c r="L201" s="751"/>
      <c r="M201" s="751"/>
      <c r="N201" s="751"/>
      <c r="O201" s="752"/>
    </row>
    <row r="202" spans="1:15" x14ac:dyDescent="0.25">
      <c r="A202" s="750"/>
      <c r="B202" s="751"/>
      <c r="C202" s="755"/>
      <c r="D202" s="754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2"/>
    </row>
    <row r="203" spans="1:15" x14ac:dyDescent="0.25">
      <c r="A203" s="750"/>
      <c r="B203" s="751"/>
      <c r="C203" s="755"/>
      <c r="D203" s="754"/>
      <c r="E203" s="751"/>
      <c r="F203" s="751"/>
      <c r="G203" s="751"/>
      <c r="H203" s="751"/>
      <c r="I203" s="751"/>
      <c r="J203" s="751"/>
      <c r="K203" s="751"/>
      <c r="L203" s="751"/>
      <c r="M203" s="751"/>
      <c r="N203" s="751"/>
      <c r="O203" s="752"/>
    </row>
    <row r="204" spans="1:15" ht="15.75" thickBot="1" x14ac:dyDescent="0.3">
      <c r="A204" s="756"/>
      <c r="B204" s="757"/>
      <c r="C204" s="757"/>
      <c r="D204" s="757"/>
      <c r="E204" s="757"/>
      <c r="F204" s="757"/>
      <c r="G204" s="757"/>
      <c r="H204" s="757"/>
      <c r="I204" s="757"/>
      <c r="J204" s="757"/>
      <c r="K204" s="757"/>
      <c r="L204" s="757"/>
      <c r="M204" s="757"/>
      <c r="N204" s="757"/>
      <c r="O204" s="758"/>
    </row>
    <row r="205" spans="1:15" x14ac:dyDescent="0.25">
      <c r="A205" s="751"/>
      <c r="B205" s="748"/>
      <c r="C205" s="748"/>
      <c r="D205" s="748"/>
      <c r="E205" s="748"/>
      <c r="F205" s="751"/>
      <c r="G205" s="748"/>
      <c r="H205" s="748"/>
      <c r="I205" s="748"/>
      <c r="J205" s="748"/>
      <c r="K205" s="748"/>
      <c r="L205" s="748"/>
      <c r="M205" s="748"/>
      <c r="N205" s="748"/>
      <c r="O205" s="749"/>
    </row>
    <row r="206" spans="1:15" x14ac:dyDescent="0.25">
      <c r="A206" s="754" t="s">
        <v>680</v>
      </c>
      <c r="B206" s="751"/>
      <c r="C206" s="751"/>
      <c r="D206" s="751"/>
      <c r="E206" s="751"/>
      <c r="F206" s="751"/>
      <c r="G206" s="751"/>
      <c r="H206" s="751"/>
      <c r="I206" s="751"/>
      <c r="J206" s="751"/>
      <c r="K206" s="751"/>
      <c r="L206" s="751"/>
      <c r="M206" s="751"/>
      <c r="N206" s="751"/>
      <c r="O206" s="752"/>
    </row>
    <row r="207" spans="1:15" x14ac:dyDescent="0.25">
      <c r="A207" s="750"/>
      <c r="B207" s="751"/>
      <c r="C207" s="751"/>
      <c r="D207" s="751"/>
      <c r="E207" s="751"/>
      <c r="F207" s="751"/>
      <c r="G207" s="751"/>
      <c r="H207" s="751"/>
      <c r="I207" s="751"/>
      <c r="J207" s="751"/>
      <c r="K207" s="751"/>
      <c r="L207" s="751"/>
      <c r="M207" s="751"/>
      <c r="N207" s="751"/>
      <c r="O207" s="752"/>
    </row>
    <row r="208" spans="1:15" x14ac:dyDescent="0.25">
      <c r="A208" s="750" t="s">
        <v>504</v>
      </c>
      <c r="B208" s="751"/>
      <c r="C208" s="751"/>
      <c r="D208" s="751"/>
      <c r="E208" s="751"/>
      <c r="F208" s="751"/>
      <c r="G208" s="751"/>
      <c r="H208" s="751"/>
      <c r="I208" s="751"/>
      <c r="J208" s="751"/>
      <c r="K208" s="751"/>
      <c r="L208" s="751"/>
      <c r="M208" s="751"/>
      <c r="N208" s="751"/>
      <c r="O208" s="752"/>
    </row>
    <row r="209" spans="1:15" x14ac:dyDescent="0.25">
      <c r="A209" s="750"/>
      <c r="B209" s="751"/>
      <c r="C209" s="751"/>
      <c r="D209" s="751"/>
      <c r="E209" s="751"/>
      <c r="F209" s="751"/>
      <c r="G209" s="751"/>
      <c r="H209" s="751"/>
      <c r="I209" s="751"/>
      <c r="J209" s="751"/>
      <c r="K209" s="751"/>
      <c r="L209" s="751"/>
      <c r="M209" s="751"/>
      <c r="N209" s="751"/>
      <c r="O209" s="752"/>
    </row>
    <row r="210" spans="1:15" x14ac:dyDescent="0.25">
      <c r="A210" s="753"/>
      <c r="B210" s="751" t="s">
        <v>464</v>
      </c>
      <c r="C210" s="774">
        <v>0.02</v>
      </c>
      <c r="D210" s="754"/>
      <c r="E210" s="751"/>
      <c r="F210" s="751"/>
      <c r="G210" s="751"/>
      <c r="H210" s="751"/>
      <c r="I210" s="751"/>
      <c r="J210" s="751"/>
      <c r="K210" s="751"/>
      <c r="L210" s="751"/>
      <c r="M210" s="751"/>
      <c r="N210" s="751"/>
      <c r="O210" s="752"/>
    </row>
    <row r="211" spans="1:15" x14ac:dyDescent="0.25">
      <c r="A211" s="753"/>
      <c r="B211" s="751"/>
      <c r="C211" s="751"/>
      <c r="D211" s="751"/>
      <c r="E211" s="751"/>
      <c r="F211" s="751"/>
      <c r="G211" s="751"/>
      <c r="H211" s="751"/>
      <c r="I211" s="751"/>
      <c r="J211" s="751"/>
      <c r="K211" s="751"/>
      <c r="L211" s="751"/>
      <c r="M211" s="751"/>
      <c r="N211" s="751"/>
      <c r="O211" s="752"/>
    </row>
    <row r="212" spans="1:15" x14ac:dyDescent="0.25">
      <c r="A212" s="753"/>
      <c r="B212" s="754" t="s">
        <v>397</v>
      </c>
      <c r="C212" s="751"/>
      <c r="D212" s="751"/>
      <c r="E212" s="751"/>
      <c r="F212" s="751"/>
      <c r="G212" s="751"/>
      <c r="H212" s="751"/>
      <c r="I212" s="751"/>
      <c r="J212" s="751"/>
      <c r="K212" s="751"/>
      <c r="L212" s="751"/>
      <c r="M212" s="751"/>
      <c r="N212" s="751"/>
      <c r="O212" s="752"/>
    </row>
    <row r="213" spans="1:15" x14ac:dyDescent="0.25">
      <c r="A213" s="753"/>
      <c r="B213" s="754" t="s">
        <v>663</v>
      </c>
      <c r="C213" s="751"/>
      <c r="D213" s="751"/>
      <c r="E213" s="751"/>
      <c r="F213" s="751"/>
      <c r="G213" s="751"/>
      <c r="H213" s="751"/>
      <c r="I213" s="751"/>
      <c r="J213" s="751"/>
      <c r="K213" s="751"/>
      <c r="L213" s="751"/>
      <c r="M213" s="751"/>
      <c r="N213" s="751"/>
      <c r="O213" s="752"/>
    </row>
    <row r="214" spans="1:15" x14ac:dyDescent="0.25">
      <c r="A214" s="753"/>
      <c r="B214" s="751"/>
      <c r="C214" s="755"/>
      <c r="D214" s="754"/>
      <c r="E214" s="751"/>
      <c r="F214" s="751"/>
      <c r="G214" s="751"/>
      <c r="H214" s="751"/>
      <c r="I214" s="751"/>
      <c r="J214" s="751"/>
      <c r="K214" s="751"/>
      <c r="L214" s="751"/>
      <c r="M214" s="751"/>
      <c r="N214" s="751"/>
      <c r="O214" s="752"/>
    </row>
    <row r="215" spans="1:15" x14ac:dyDescent="0.25">
      <c r="A215" s="750" t="s">
        <v>714</v>
      </c>
      <c r="B215" s="751"/>
      <c r="C215" s="755"/>
      <c r="D215" s="754"/>
      <c r="E215" s="751"/>
      <c r="F215" s="751"/>
      <c r="G215" s="751"/>
      <c r="H215" s="751"/>
      <c r="I215" s="751"/>
      <c r="J215" s="751"/>
      <c r="K215" s="751"/>
      <c r="L215" s="751"/>
      <c r="M215" s="751"/>
      <c r="N215" s="751"/>
      <c r="O215" s="752"/>
    </row>
    <row r="216" spans="1:15" x14ac:dyDescent="0.25">
      <c r="A216" s="750"/>
      <c r="B216" s="751"/>
      <c r="C216" s="755"/>
      <c r="D216" s="754"/>
      <c r="E216" s="751"/>
      <c r="F216" s="751"/>
      <c r="G216" s="751"/>
      <c r="H216" s="751"/>
      <c r="I216" s="751"/>
      <c r="J216" s="751"/>
      <c r="K216" s="751"/>
      <c r="L216" s="751"/>
      <c r="M216" s="751"/>
      <c r="N216" s="751"/>
      <c r="O216" s="752"/>
    </row>
    <row r="217" spans="1:15" x14ac:dyDescent="0.25">
      <c r="A217" s="750"/>
      <c r="B217" s="751"/>
      <c r="C217" s="755"/>
      <c r="D217" s="754"/>
      <c r="E217" s="751"/>
      <c r="F217" s="751"/>
      <c r="G217" s="751"/>
      <c r="H217" s="751"/>
      <c r="I217" s="751"/>
      <c r="J217" s="751"/>
      <c r="K217" s="751"/>
      <c r="L217" s="751"/>
      <c r="M217" s="751"/>
      <c r="N217" s="751"/>
      <c r="O217" s="752"/>
    </row>
    <row r="218" spans="1:15" x14ac:dyDescent="0.25">
      <c r="A218" s="750"/>
      <c r="B218" s="751"/>
      <c r="C218" s="755"/>
      <c r="D218" s="754"/>
      <c r="E218" s="751"/>
      <c r="F218" s="751"/>
      <c r="G218" s="751"/>
      <c r="H218" s="751"/>
      <c r="I218" s="751"/>
      <c r="J218" s="751"/>
      <c r="K218" s="751"/>
      <c r="L218" s="751"/>
      <c r="M218" s="751"/>
      <c r="N218" s="751"/>
      <c r="O218" s="752"/>
    </row>
    <row r="219" spans="1:15" ht="15.75" thickBot="1" x14ac:dyDescent="0.3">
      <c r="A219" s="756"/>
      <c r="B219" s="775"/>
      <c r="C219" s="757"/>
      <c r="D219" s="757"/>
      <c r="E219" s="757"/>
      <c r="F219" s="757"/>
      <c r="G219" s="757"/>
      <c r="H219" s="757"/>
      <c r="I219" s="757"/>
      <c r="J219" s="757"/>
      <c r="K219" s="757"/>
      <c r="L219" s="757"/>
      <c r="M219" s="757"/>
      <c r="N219" s="757"/>
      <c r="O219" s="758"/>
    </row>
    <row r="220" spans="1:15" hidden="1" x14ac:dyDescent="0.25">
      <c r="A220" s="747"/>
      <c r="B220" s="773"/>
      <c r="C220" s="748"/>
      <c r="D220" s="748"/>
      <c r="E220" s="748"/>
      <c r="F220" s="748"/>
      <c r="G220" s="748"/>
      <c r="H220" s="748"/>
      <c r="I220" s="748"/>
      <c r="J220" s="748"/>
      <c r="K220" s="748"/>
      <c r="L220" s="748"/>
      <c r="M220" s="748"/>
      <c r="N220" s="748"/>
      <c r="O220" s="749"/>
    </row>
    <row r="221" spans="1:15" hidden="1" x14ac:dyDescent="0.25">
      <c r="A221" s="750" t="s">
        <v>681</v>
      </c>
      <c r="B221" s="754"/>
      <c r="C221" s="751"/>
      <c r="D221" s="751"/>
      <c r="E221" s="751"/>
      <c r="F221" s="751"/>
      <c r="G221" s="751"/>
      <c r="H221" s="751"/>
      <c r="I221" s="751"/>
      <c r="J221" s="751"/>
      <c r="K221" s="751"/>
      <c r="L221" s="751"/>
      <c r="M221" s="751"/>
      <c r="N221" s="751"/>
      <c r="O221" s="752"/>
    </row>
    <row r="222" spans="1:15" hidden="1" x14ac:dyDescent="0.25">
      <c r="A222" s="750"/>
      <c r="B222" s="754"/>
      <c r="C222" s="751"/>
      <c r="D222" s="751"/>
      <c r="E222" s="751"/>
      <c r="F222" s="751"/>
      <c r="G222" s="751"/>
      <c r="H222" s="751"/>
      <c r="I222" s="751"/>
      <c r="J222" s="751"/>
      <c r="K222" s="751"/>
      <c r="L222" s="751"/>
      <c r="M222" s="751"/>
      <c r="N222" s="751"/>
      <c r="O222" s="752"/>
    </row>
    <row r="223" spans="1:15" hidden="1" x14ac:dyDescent="0.25">
      <c r="A223" s="750" t="s">
        <v>508</v>
      </c>
      <c r="B223" s="754"/>
      <c r="C223" s="751"/>
      <c r="D223" s="751"/>
      <c r="E223" s="751"/>
      <c r="F223" s="751"/>
      <c r="G223" s="751"/>
      <c r="H223" s="751"/>
      <c r="I223" s="751"/>
      <c r="J223" s="751"/>
      <c r="K223" s="751"/>
      <c r="L223" s="751"/>
      <c r="M223" s="751"/>
      <c r="N223" s="751"/>
      <c r="O223" s="752"/>
    </row>
    <row r="224" spans="1:15" hidden="1" x14ac:dyDescent="0.25">
      <c r="A224" s="750"/>
      <c r="B224" s="754"/>
      <c r="C224" s="751"/>
      <c r="D224" s="751"/>
      <c r="E224" s="751"/>
      <c r="F224" s="751"/>
      <c r="G224" s="751"/>
      <c r="H224" s="751"/>
      <c r="I224" s="751"/>
      <c r="J224" s="751"/>
      <c r="K224" s="751"/>
      <c r="L224" s="751"/>
      <c r="M224" s="751"/>
      <c r="N224" s="751"/>
      <c r="O224" s="752"/>
    </row>
    <row r="225" spans="1:15" hidden="1" x14ac:dyDescent="0.25">
      <c r="A225" s="750"/>
      <c r="B225" s="754" t="s">
        <v>673</v>
      </c>
      <c r="C225" s="751"/>
      <c r="D225" s="751"/>
      <c r="E225" s="751"/>
      <c r="F225" s="751"/>
      <c r="G225" s="751"/>
      <c r="H225" s="751"/>
      <c r="I225" s="751"/>
      <c r="J225" s="751"/>
      <c r="K225" s="751"/>
      <c r="L225" s="751"/>
      <c r="M225" s="751"/>
      <c r="N225" s="751"/>
      <c r="O225" s="752"/>
    </row>
    <row r="226" spans="1:15" hidden="1" x14ac:dyDescent="0.25">
      <c r="A226" s="750"/>
      <c r="B226" s="754"/>
      <c r="C226" s="751"/>
      <c r="D226" s="751"/>
      <c r="E226" s="751"/>
      <c r="F226" s="751"/>
      <c r="G226" s="751"/>
      <c r="H226" s="751"/>
      <c r="I226" s="751"/>
      <c r="J226" s="751"/>
      <c r="K226" s="751"/>
      <c r="L226" s="751"/>
      <c r="M226" s="751"/>
      <c r="N226" s="751"/>
      <c r="O226" s="752"/>
    </row>
    <row r="227" spans="1:15" hidden="1" x14ac:dyDescent="0.25">
      <c r="A227" s="750"/>
      <c r="B227" s="751"/>
      <c r="C227" s="751"/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2"/>
    </row>
    <row r="228" spans="1:15" hidden="1" x14ac:dyDescent="0.25">
      <c r="A228" s="750"/>
      <c r="B228" s="754"/>
      <c r="C228" s="751"/>
      <c r="D228" s="751"/>
      <c r="E228" s="751"/>
      <c r="F228" s="751"/>
      <c r="G228" s="751"/>
      <c r="H228" s="751"/>
      <c r="I228" s="751"/>
      <c r="J228" s="751"/>
      <c r="K228" s="751"/>
      <c r="L228" s="751"/>
      <c r="M228" s="751"/>
      <c r="N228" s="751"/>
      <c r="O228" s="752"/>
    </row>
    <row r="229" spans="1:15" hidden="1" x14ac:dyDescent="0.25">
      <c r="A229" s="750"/>
      <c r="B229" s="754"/>
      <c r="C229" s="751"/>
      <c r="D229" s="751"/>
      <c r="E229" s="751"/>
      <c r="F229" s="751"/>
      <c r="G229" s="751"/>
      <c r="H229" s="751"/>
      <c r="I229" s="751"/>
      <c r="J229" s="751"/>
      <c r="K229" s="751"/>
      <c r="L229" s="751"/>
      <c r="M229" s="751"/>
      <c r="N229" s="751"/>
      <c r="O229" s="752"/>
    </row>
    <row r="230" spans="1:15" hidden="1" x14ac:dyDescent="0.25">
      <c r="A230" s="750"/>
      <c r="B230" s="754" t="s">
        <v>675</v>
      </c>
      <c r="C230" s="751"/>
      <c r="D230" s="751"/>
      <c r="E230" s="751"/>
      <c r="F230" s="751"/>
      <c r="G230" s="751"/>
      <c r="H230" s="751"/>
      <c r="I230" s="751"/>
      <c r="J230" s="751"/>
      <c r="K230" s="751"/>
      <c r="L230" s="751"/>
      <c r="M230" s="751"/>
      <c r="N230" s="751"/>
      <c r="O230" s="752"/>
    </row>
    <row r="231" spans="1:15" hidden="1" x14ac:dyDescent="0.25">
      <c r="A231" s="750"/>
      <c r="B231" s="754" t="s">
        <v>674</v>
      </c>
      <c r="C231" s="751"/>
      <c r="D231" s="751"/>
      <c r="E231" s="751"/>
      <c r="F231" s="751"/>
      <c r="G231" s="751"/>
      <c r="H231" s="751"/>
      <c r="I231" s="751"/>
      <c r="J231" s="751"/>
      <c r="K231" s="751"/>
      <c r="L231" s="751"/>
      <c r="M231" s="751"/>
      <c r="N231" s="751"/>
      <c r="O231" s="752"/>
    </row>
    <row r="232" spans="1:15" hidden="1" x14ac:dyDescent="0.25">
      <c r="A232" s="750"/>
      <c r="B232" s="754" t="s">
        <v>672</v>
      </c>
      <c r="C232" s="751"/>
      <c r="D232" s="751"/>
      <c r="E232" s="751"/>
      <c r="F232" s="751"/>
      <c r="G232" s="751"/>
      <c r="H232" s="751"/>
      <c r="I232" s="751"/>
      <c r="J232" s="751"/>
      <c r="K232" s="751"/>
      <c r="L232" s="751"/>
      <c r="M232" s="751"/>
      <c r="N232" s="751"/>
      <c r="O232" s="752"/>
    </row>
    <row r="233" spans="1:15" hidden="1" x14ac:dyDescent="0.25">
      <c r="A233" s="750"/>
      <c r="B233" s="754"/>
      <c r="C233" s="751"/>
      <c r="D233" s="751"/>
      <c r="E233" s="751"/>
      <c r="F233" s="751"/>
      <c r="G233" s="751"/>
      <c r="H233" s="751"/>
      <c r="I233" s="751"/>
      <c r="J233" s="751"/>
      <c r="K233" s="751"/>
      <c r="L233" s="751"/>
      <c r="M233" s="751"/>
      <c r="N233" s="751"/>
      <c r="O233" s="752"/>
    </row>
    <row r="234" spans="1:15" hidden="1" x14ac:dyDescent="0.25">
      <c r="A234" s="750"/>
      <c r="B234" s="754"/>
      <c r="C234" s="751"/>
      <c r="D234" s="751"/>
      <c r="E234" s="751"/>
      <c r="F234" s="751"/>
      <c r="G234" s="751"/>
      <c r="H234" s="751"/>
      <c r="I234" s="751"/>
      <c r="J234" s="751"/>
      <c r="K234" s="751"/>
      <c r="L234" s="751"/>
      <c r="M234" s="751"/>
      <c r="N234" s="751"/>
      <c r="O234" s="752"/>
    </row>
    <row r="235" spans="1:15" hidden="1" x14ac:dyDescent="0.25">
      <c r="A235" s="750"/>
      <c r="B235" s="751" t="s">
        <v>464</v>
      </c>
      <c r="C235" s="754" t="s">
        <v>676</v>
      </c>
      <c r="D235" s="751"/>
      <c r="E235" s="751"/>
      <c r="F235" s="751"/>
      <c r="G235" s="751"/>
      <c r="H235" s="751"/>
      <c r="I235" s="751"/>
      <c r="J235" s="751"/>
      <c r="K235" s="751"/>
      <c r="L235" s="751"/>
      <c r="M235" s="751"/>
      <c r="N235" s="751"/>
      <c r="O235" s="752"/>
    </row>
    <row r="236" spans="1:15" hidden="1" x14ac:dyDescent="0.25">
      <c r="A236" s="750"/>
      <c r="B236" s="754"/>
      <c r="C236" s="751"/>
      <c r="D236" s="751"/>
      <c r="E236" s="751"/>
      <c r="F236" s="751"/>
      <c r="G236" s="751"/>
      <c r="H236" s="751"/>
      <c r="I236" s="751"/>
      <c r="J236" s="751"/>
      <c r="K236" s="751"/>
      <c r="L236" s="751"/>
      <c r="M236" s="751"/>
      <c r="N236" s="751"/>
      <c r="O236" s="752"/>
    </row>
    <row r="237" spans="1:15" hidden="1" x14ac:dyDescent="0.25">
      <c r="A237" s="750"/>
      <c r="B237" s="754"/>
      <c r="C237" s="751"/>
      <c r="D237" s="751"/>
      <c r="E237" s="751"/>
      <c r="F237" s="751"/>
      <c r="G237" s="751"/>
      <c r="H237" s="751"/>
      <c r="I237" s="751"/>
      <c r="J237" s="751"/>
      <c r="K237" s="751"/>
      <c r="L237" s="751"/>
      <c r="M237" s="751"/>
      <c r="N237" s="751"/>
      <c r="O237" s="752"/>
    </row>
    <row r="238" spans="1:15" hidden="1" x14ac:dyDescent="0.25">
      <c r="A238" s="750"/>
      <c r="B238" s="754"/>
      <c r="C238" s="751"/>
      <c r="D238" s="751"/>
      <c r="E238" s="751"/>
      <c r="F238" s="751"/>
      <c r="G238" s="751"/>
      <c r="H238" s="751"/>
      <c r="I238" s="751"/>
      <c r="J238" s="751"/>
      <c r="K238" s="751"/>
      <c r="L238" s="751"/>
      <c r="M238" s="751"/>
      <c r="N238" s="751"/>
      <c r="O238" s="752"/>
    </row>
    <row r="239" spans="1:15" hidden="1" x14ac:dyDescent="0.25">
      <c r="A239" s="750"/>
      <c r="B239" s="751"/>
      <c r="C239" s="754"/>
      <c r="D239" s="751"/>
      <c r="E239" s="751"/>
      <c r="F239" s="751"/>
      <c r="G239" s="751"/>
      <c r="H239" s="751"/>
      <c r="I239" s="751"/>
      <c r="J239" s="751"/>
      <c r="K239" s="751"/>
      <c r="L239" s="751"/>
      <c r="M239" s="751"/>
      <c r="N239" s="751"/>
      <c r="O239" s="752"/>
    </row>
    <row r="240" spans="1:15" hidden="1" x14ac:dyDescent="0.25">
      <c r="A240" s="750"/>
      <c r="B240" s="751"/>
      <c r="C240" s="354" t="s">
        <v>692</v>
      </c>
      <c r="D240" s="751"/>
      <c r="E240" s="751"/>
      <c r="F240" s="751"/>
      <c r="G240" s="751"/>
      <c r="H240" s="751"/>
      <c r="I240" s="751">
        <v>1.148E-4</v>
      </c>
      <c r="J240" s="751" t="s">
        <v>325</v>
      </c>
      <c r="K240" s="751"/>
      <c r="L240" s="751"/>
      <c r="M240" s="751"/>
      <c r="N240" s="751"/>
      <c r="O240" s="752"/>
    </row>
    <row r="241" spans="1:15" hidden="1" x14ac:dyDescent="0.25">
      <c r="A241" s="750"/>
      <c r="B241" s="754"/>
      <c r="C241" s="354" t="s">
        <v>691</v>
      </c>
      <c r="D241" s="751"/>
      <c r="E241" s="751"/>
      <c r="F241" s="751"/>
      <c r="G241" s="751"/>
      <c r="H241" s="751"/>
      <c r="I241" s="751"/>
      <c r="J241" s="751">
        <v>1.1000000000000001</v>
      </c>
      <c r="K241" s="754" t="s">
        <v>449</v>
      </c>
      <c r="L241" s="751"/>
      <c r="M241" s="751"/>
      <c r="N241" s="751"/>
      <c r="O241" s="752"/>
    </row>
    <row r="242" spans="1:15" hidden="1" x14ac:dyDescent="0.25">
      <c r="A242" s="750"/>
      <c r="B242" s="754"/>
      <c r="C242" s="776"/>
      <c r="D242" s="751"/>
      <c r="E242" s="751"/>
      <c r="F242" s="751"/>
      <c r="G242" s="751"/>
      <c r="H242" s="751"/>
      <c r="I242" s="751"/>
      <c r="J242" s="751"/>
      <c r="K242" s="754"/>
      <c r="L242" s="751"/>
      <c r="M242" s="751"/>
      <c r="N242" s="751"/>
      <c r="O242" s="752"/>
    </row>
    <row r="243" spans="1:15" hidden="1" x14ac:dyDescent="0.25">
      <c r="A243" s="753"/>
      <c r="B243" s="751" t="s">
        <v>464</v>
      </c>
      <c r="C243" s="760"/>
      <c r="D243" s="754" t="s">
        <v>93</v>
      </c>
      <c r="E243" s="751"/>
      <c r="F243" s="751"/>
      <c r="G243" s="751"/>
      <c r="H243" s="751"/>
      <c r="I243" s="751"/>
      <c r="J243" s="751"/>
      <c r="K243" s="751"/>
      <c r="L243" s="751"/>
      <c r="M243" s="751"/>
      <c r="N243" s="751"/>
      <c r="O243" s="752"/>
    </row>
    <row r="244" spans="1:15" ht="15.75" hidden="1" thickBot="1" x14ac:dyDescent="0.3">
      <c r="A244" s="756"/>
      <c r="B244" s="757"/>
      <c r="C244" s="757"/>
      <c r="D244" s="757"/>
      <c r="E244" s="757"/>
      <c r="F244" s="757"/>
      <c r="G244" s="757"/>
      <c r="H244" s="757"/>
      <c r="I244" s="757"/>
      <c r="J244" s="757"/>
      <c r="K244" s="757"/>
      <c r="L244" s="757"/>
      <c r="M244" s="757"/>
      <c r="N244" s="757"/>
      <c r="O244" s="758"/>
    </row>
  </sheetData>
  <sheetProtection password="D8A8"/>
  <mergeCells count="319">
    <mergeCell ref="A63:O63"/>
    <mergeCell ref="EE38:EH38"/>
    <mergeCell ref="EL38:EO38"/>
    <mergeCell ref="ES38:EV38"/>
    <mergeCell ref="EZ38:FC38"/>
    <mergeCell ref="FG38:FJ38"/>
    <mergeCell ref="FN38:FQ38"/>
    <mergeCell ref="CO38:CR38"/>
    <mergeCell ref="CV38:CY38"/>
    <mergeCell ref="DC38:DF38"/>
    <mergeCell ref="DJ38:DM38"/>
    <mergeCell ref="DQ38:DT38"/>
    <mergeCell ref="DX38:EA38"/>
    <mergeCell ref="AY38:BB38"/>
    <mergeCell ref="BF38:BI38"/>
    <mergeCell ref="BM38:BP38"/>
    <mergeCell ref="BT38:BW38"/>
    <mergeCell ref="CA38:CD38"/>
    <mergeCell ref="CH38:CK38"/>
    <mergeCell ref="I38:L38"/>
    <mergeCell ref="P38:S38"/>
    <mergeCell ref="W38:Z38"/>
    <mergeCell ref="AD38:AG38"/>
    <mergeCell ref="AK38:AN38"/>
    <mergeCell ref="AR38:AU38"/>
    <mergeCell ref="EE37:EH37"/>
    <mergeCell ref="EL37:EO37"/>
    <mergeCell ref="ES37:EV37"/>
    <mergeCell ref="EZ37:FC37"/>
    <mergeCell ref="FG37:FJ37"/>
    <mergeCell ref="FN37:FQ37"/>
    <mergeCell ref="CO37:CR37"/>
    <mergeCell ref="CV37:CY37"/>
    <mergeCell ref="DC37:DF37"/>
    <mergeCell ref="DJ37:DM37"/>
    <mergeCell ref="DQ37:DT37"/>
    <mergeCell ref="DX37:EA37"/>
    <mergeCell ref="AY37:BB37"/>
    <mergeCell ref="BF37:BI37"/>
    <mergeCell ref="BM37:BP37"/>
    <mergeCell ref="BT37:BW37"/>
    <mergeCell ref="CA37:CD37"/>
    <mergeCell ref="CH37:CK37"/>
    <mergeCell ref="FN36:FQ36"/>
    <mergeCell ref="CO36:CR36"/>
    <mergeCell ref="CV36:CY36"/>
    <mergeCell ref="DC36:DF36"/>
    <mergeCell ref="DJ36:DM36"/>
    <mergeCell ref="DQ36:DT36"/>
    <mergeCell ref="DX36:EA36"/>
    <mergeCell ref="I37:L37"/>
    <mergeCell ref="P37:S37"/>
    <mergeCell ref="W37:Z37"/>
    <mergeCell ref="AD37:AG37"/>
    <mergeCell ref="AK37:AN37"/>
    <mergeCell ref="AR37:AU37"/>
    <mergeCell ref="EE36:EH36"/>
    <mergeCell ref="EL36:EO36"/>
    <mergeCell ref="ES36:EV36"/>
    <mergeCell ref="AY36:BB36"/>
    <mergeCell ref="BF36:BI36"/>
    <mergeCell ref="BM36:BP36"/>
    <mergeCell ref="BT36:BW36"/>
    <mergeCell ref="CA36:CD36"/>
    <mergeCell ref="CH36:CK36"/>
    <mergeCell ref="ES35:EV35"/>
    <mergeCell ref="EZ35:FC35"/>
    <mergeCell ref="FG35:FJ35"/>
    <mergeCell ref="FN35:FQ35"/>
    <mergeCell ref="I36:L36"/>
    <mergeCell ref="P36:S36"/>
    <mergeCell ref="W36:Z36"/>
    <mergeCell ref="AD36:AG36"/>
    <mergeCell ref="AK36:AN36"/>
    <mergeCell ref="AR36:AU36"/>
    <mergeCell ref="DC35:DF35"/>
    <mergeCell ref="DJ35:DM35"/>
    <mergeCell ref="DQ35:DT35"/>
    <mergeCell ref="DX35:EA35"/>
    <mergeCell ref="EE35:EH35"/>
    <mergeCell ref="EL35:EO35"/>
    <mergeCell ref="BM35:BP35"/>
    <mergeCell ref="BT35:BW35"/>
    <mergeCell ref="CA35:CD35"/>
    <mergeCell ref="CH35:CK35"/>
    <mergeCell ref="CO35:CR35"/>
    <mergeCell ref="CV35:CY35"/>
    <mergeCell ref="EZ36:FC36"/>
    <mergeCell ref="FG36:FJ36"/>
    <mergeCell ref="FG34:FJ34"/>
    <mergeCell ref="FN34:FQ34"/>
    <mergeCell ref="I35:L35"/>
    <mergeCell ref="P35:S35"/>
    <mergeCell ref="W35:Z35"/>
    <mergeCell ref="AD35:AG35"/>
    <mergeCell ref="AK35:AN35"/>
    <mergeCell ref="AR35:AU35"/>
    <mergeCell ref="AY35:BB35"/>
    <mergeCell ref="BF35:BI35"/>
    <mergeCell ref="DQ34:DT34"/>
    <mergeCell ref="DX34:EA34"/>
    <mergeCell ref="EE34:EH34"/>
    <mergeCell ref="EL34:EO34"/>
    <mergeCell ref="ES34:EV34"/>
    <mergeCell ref="EZ34:FC34"/>
    <mergeCell ref="CA34:CD34"/>
    <mergeCell ref="CH34:CK34"/>
    <mergeCell ref="CO34:CR34"/>
    <mergeCell ref="CV34:CY34"/>
    <mergeCell ref="DC34:DF34"/>
    <mergeCell ref="DJ34:DM34"/>
    <mergeCell ref="AK34:AN34"/>
    <mergeCell ref="AR34:AU34"/>
    <mergeCell ref="AY34:BB34"/>
    <mergeCell ref="BF34:BI34"/>
    <mergeCell ref="BM34:BP34"/>
    <mergeCell ref="BT34:BW34"/>
    <mergeCell ref="B32:F32"/>
    <mergeCell ref="B33:F33"/>
    <mergeCell ref="I34:L34"/>
    <mergeCell ref="P34:S34"/>
    <mergeCell ref="W34:Z34"/>
    <mergeCell ref="AD34:AG34"/>
    <mergeCell ref="B26:F26"/>
    <mergeCell ref="B27:F27"/>
    <mergeCell ref="B28:F28"/>
    <mergeCell ref="B29:F29"/>
    <mergeCell ref="B30:F30"/>
    <mergeCell ref="B31:F31"/>
    <mergeCell ref="ES23:EY23"/>
    <mergeCell ref="EZ23:FF23"/>
    <mergeCell ref="FG23:FM23"/>
    <mergeCell ref="FN23:FT23"/>
    <mergeCell ref="B24:F24"/>
    <mergeCell ref="B25:F25"/>
    <mergeCell ref="DC23:DI23"/>
    <mergeCell ref="DJ23:DP23"/>
    <mergeCell ref="DQ23:DW23"/>
    <mergeCell ref="DX23:ED23"/>
    <mergeCell ref="EE23:EK23"/>
    <mergeCell ref="EL23:ER23"/>
    <mergeCell ref="BM23:BS23"/>
    <mergeCell ref="BT23:BZ23"/>
    <mergeCell ref="CA23:CG23"/>
    <mergeCell ref="CH23:CN23"/>
    <mergeCell ref="CO23:CU23"/>
    <mergeCell ref="CV23:DB23"/>
    <mergeCell ref="E23:H23"/>
    <mergeCell ref="I23:O23"/>
    <mergeCell ref="P23:V23"/>
    <mergeCell ref="W23:AC23"/>
    <mergeCell ref="AD23:AJ23"/>
    <mergeCell ref="AK23:AQ23"/>
    <mergeCell ref="AR23:AX23"/>
    <mergeCell ref="AY23:BE23"/>
    <mergeCell ref="BF23:BL23"/>
    <mergeCell ref="E22:H22"/>
    <mergeCell ref="I22:O22"/>
    <mergeCell ref="P22:V22"/>
    <mergeCell ref="W22:AC22"/>
    <mergeCell ref="AD22:AJ22"/>
    <mergeCell ref="AK22:AQ22"/>
    <mergeCell ref="DC21:DI21"/>
    <mergeCell ref="DJ21:DP21"/>
    <mergeCell ref="DQ21:DW21"/>
    <mergeCell ref="BM21:BS21"/>
    <mergeCell ref="BT21:BZ21"/>
    <mergeCell ref="CA21:CG21"/>
    <mergeCell ref="CH21:CN21"/>
    <mergeCell ref="CH22:CN22"/>
    <mergeCell ref="CO22:CU22"/>
    <mergeCell ref="CV22:DB22"/>
    <mergeCell ref="DC22:DI22"/>
    <mergeCell ref="DJ22:DP22"/>
    <mergeCell ref="DQ22:DW22"/>
    <mergeCell ref="AR22:AX22"/>
    <mergeCell ref="AY22:BE22"/>
    <mergeCell ref="BF22:BL22"/>
    <mergeCell ref="BM22:BS22"/>
    <mergeCell ref="BT22:BZ22"/>
    <mergeCell ref="CA22:CG22"/>
    <mergeCell ref="ES21:EY21"/>
    <mergeCell ref="CA20:CG20"/>
    <mergeCell ref="EZ21:FF21"/>
    <mergeCell ref="FG21:FM21"/>
    <mergeCell ref="FN21:FT21"/>
    <mergeCell ref="DX21:ED21"/>
    <mergeCell ref="EE21:EK21"/>
    <mergeCell ref="EL21:ER21"/>
    <mergeCell ref="FN22:FT22"/>
    <mergeCell ref="DX22:ED22"/>
    <mergeCell ref="EE22:EK22"/>
    <mergeCell ref="EL22:ER22"/>
    <mergeCell ref="ES22:EY22"/>
    <mergeCell ref="EZ22:FF22"/>
    <mergeCell ref="FG22:FM22"/>
    <mergeCell ref="ES19:EY19"/>
    <mergeCell ref="EZ19:FF19"/>
    <mergeCell ref="FG19:FM19"/>
    <mergeCell ref="CO21:CU21"/>
    <mergeCell ref="CV21:DB21"/>
    <mergeCell ref="FN20:FT20"/>
    <mergeCell ref="E21:H21"/>
    <mergeCell ref="I21:O21"/>
    <mergeCell ref="P21:V21"/>
    <mergeCell ref="W21:AC21"/>
    <mergeCell ref="AD21:AJ21"/>
    <mergeCell ref="AK21:AQ21"/>
    <mergeCell ref="AR21:AX21"/>
    <mergeCell ref="AY21:BE21"/>
    <mergeCell ref="BF21:BL21"/>
    <mergeCell ref="DX20:ED20"/>
    <mergeCell ref="EE20:EK20"/>
    <mergeCell ref="EL20:ER20"/>
    <mergeCell ref="ES20:EY20"/>
    <mergeCell ref="EZ20:FF20"/>
    <mergeCell ref="FG20:FM20"/>
    <mergeCell ref="CH20:CN20"/>
    <mergeCell ref="CO20:CU20"/>
    <mergeCell ref="FN19:FT19"/>
    <mergeCell ref="E20:H20"/>
    <mergeCell ref="I20:O20"/>
    <mergeCell ref="P20:V20"/>
    <mergeCell ref="W20:AC20"/>
    <mergeCell ref="AD20:AJ20"/>
    <mergeCell ref="AK20:AQ20"/>
    <mergeCell ref="DC19:DI19"/>
    <mergeCell ref="DJ19:DP19"/>
    <mergeCell ref="DQ19:DW19"/>
    <mergeCell ref="AR20:AX20"/>
    <mergeCell ref="AY20:BE20"/>
    <mergeCell ref="BF20:BL20"/>
    <mergeCell ref="BM20:BS20"/>
    <mergeCell ref="BT20:BZ20"/>
    <mergeCell ref="CV20:DB20"/>
    <mergeCell ref="DC20:DI20"/>
    <mergeCell ref="DJ20:DP20"/>
    <mergeCell ref="DQ20:DW20"/>
    <mergeCell ref="DX19:ED19"/>
    <mergeCell ref="EE19:EK19"/>
    <mergeCell ref="EL19:ER19"/>
    <mergeCell ref="BM19:BS19"/>
    <mergeCell ref="BT19:BZ19"/>
    <mergeCell ref="CA19:CG19"/>
    <mergeCell ref="CH19:CN19"/>
    <mergeCell ref="CO19:CU19"/>
    <mergeCell ref="CV19:DB19"/>
    <mergeCell ref="FN18:FT18"/>
    <mergeCell ref="E19:H19"/>
    <mergeCell ref="I19:O19"/>
    <mergeCell ref="P19:V19"/>
    <mergeCell ref="W19:AC19"/>
    <mergeCell ref="AD19:AJ19"/>
    <mergeCell ref="AK19:AQ19"/>
    <mergeCell ref="AR19:AX19"/>
    <mergeCell ref="AY19:BE19"/>
    <mergeCell ref="BF19:BL19"/>
    <mergeCell ref="DX18:ED18"/>
    <mergeCell ref="EE18:EK18"/>
    <mergeCell ref="EL18:ER18"/>
    <mergeCell ref="ES18:EY18"/>
    <mergeCell ref="EZ18:FF18"/>
    <mergeCell ref="FG18:FM18"/>
    <mergeCell ref="CH18:CN18"/>
    <mergeCell ref="CO18:CU18"/>
    <mergeCell ref="CV18:DB18"/>
    <mergeCell ref="DC18:DI18"/>
    <mergeCell ref="DJ18:DP18"/>
    <mergeCell ref="DQ18:DW18"/>
    <mergeCell ref="AR18:AX18"/>
    <mergeCell ref="AY18:BE18"/>
    <mergeCell ref="BF18:BL18"/>
    <mergeCell ref="BM18:BS18"/>
    <mergeCell ref="BT18:BZ18"/>
    <mergeCell ref="CA18:CG18"/>
    <mergeCell ref="ES17:EY17"/>
    <mergeCell ref="EZ17:FF17"/>
    <mergeCell ref="FG17:FM17"/>
    <mergeCell ref="FN17:FT17"/>
    <mergeCell ref="E18:H18"/>
    <mergeCell ref="I18:O18"/>
    <mergeCell ref="P18:V18"/>
    <mergeCell ref="W18:AC18"/>
    <mergeCell ref="AD18:AJ18"/>
    <mergeCell ref="AK18:AQ18"/>
    <mergeCell ref="DC17:DI17"/>
    <mergeCell ref="DJ17:DP17"/>
    <mergeCell ref="DQ17:DW17"/>
    <mergeCell ref="DX17:ED17"/>
    <mergeCell ref="EE17:EK17"/>
    <mergeCell ref="EL17:ER17"/>
    <mergeCell ref="BM17:BS17"/>
    <mergeCell ref="BT17:BZ17"/>
    <mergeCell ref="CA17:CG17"/>
    <mergeCell ref="CH17:CN17"/>
    <mergeCell ref="FG16:FT16"/>
    <mergeCell ref="I17:O17"/>
    <mergeCell ref="P17:V17"/>
    <mergeCell ref="W17:AC17"/>
    <mergeCell ref="AD17:AJ17"/>
    <mergeCell ref="AK17:AQ17"/>
    <mergeCell ref="AR17:AX17"/>
    <mergeCell ref="AY17:BE17"/>
    <mergeCell ref="BF17:BL17"/>
    <mergeCell ref="BM16:BZ16"/>
    <mergeCell ref="CA16:CN16"/>
    <mergeCell ref="CO16:DB16"/>
    <mergeCell ref="DC16:DP16"/>
    <mergeCell ref="DQ16:ED16"/>
    <mergeCell ref="EE16:ER16"/>
    <mergeCell ref="D1:R4"/>
    <mergeCell ref="A7:R7"/>
    <mergeCell ref="I16:V16"/>
    <mergeCell ref="W16:AJ16"/>
    <mergeCell ref="AK16:AX16"/>
    <mergeCell ref="AY16:BL16"/>
    <mergeCell ref="CO17:CU17"/>
    <mergeCell ref="CV17:DB17"/>
    <mergeCell ref="ES16:FF16"/>
  </mergeCells>
  <dataValidations count="6">
    <dataValidation type="list" allowBlank="1" showInputMessage="1" showErrorMessage="1" sqref="R25:R33" xr:uid="{00000000-0002-0000-0400-000000000000}">
      <formula1>$B$32:$B$37</formula1>
    </dataValidation>
    <dataValidation type="list" allowBlank="1" showInputMessage="1" showErrorMessage="1" sqref="Q25:Q33" xr:uid="{00000000-0002-0000-0400-000001000000}">
      <formula1>$B$17:$B$29</formula1>
    </dataValidation>
    <dataValidation type="list" allowBlank="1" showInputMessage="1" showErrorMessage="1" sqref="Y25:Y33 DS25:DS33 DE25:DE33 CP25:CP33 CC25:CC33 BO25:BO33 BA25:BA33 AM25:AM33 AF25:AF33 AT25:AT33 BH25:BH33 BV25:BV33 CJ25:CJ33 CW25:CW33 DL25:DL33 DZ25:DZ33 EG25:EG33 EN25:EN33 EU25:EU33 FB25:FB33 FI25:FI33 FP25:FP33" xr:uid="{00000000-0002-0000-0400-000002000000}">
      <formula1>$B$30:$B$35</formula1>
    </dataValidation>
    <dataValidation type="list" allowBlank="1" showInputMessage="1" showErrorMessage="1" sqref="CQ25:CQ33 CX25:CX33" xr:uid="{00000000-0002-0000-0400-000003000000}">
      <formula1>$B$28:$B$33</formula1>
    </dataValidation>
    <dataValidation type="list" allowBlank="1" showInputMessage="1" showErrorMessage="1" sqref="DR25:DR33 DD25:DD33 X25:X33 CB25:CB33 BN25:BN33 AZ25:AZ33 AL25:AL33 O37 O25:O34 V37 V25:V34 AC25:AC34 AC37 AE25:AE33 AJ25:AJ34 AJ37 AQ25:AQ34 AQ37 AS25:AS33 AX25:AX34 AX37 BE25:BE34 BE37 BG25:BG33 BL25:BL34 BL37 BS25:BS34 BS37 BU25:BU33 BZ25:BZ34 BZ37 CG25:CG34 CG37 CI25:CI33 CN25:CN34 CN37 CU25:CU34 CU37 DB25:DB34 DB37 DI25:DI34 DI37 DK25:DK33 DP25:DP34 DP37 DW25:DW34 DW37 DY25:DY33 ED25:ED34 ED37 EF25:EF33 EK25:EK34 EK37 EM25:EM33 ER25:ER34 ER37 ET25:ET33 EY25:EY34 EY37 FA25:FA33 FF25:FF34 FF37 FH25:FH33 FM25:FM34 FM37 FO25:FO33 FT25:FT34 FT37" xr:uid="{00000000-0002-0000-0400-000004000000}">
      <formula1>$B$14:$B$25</formula1>
    </dataValidation>
    <dataValidation type="list" allowBlank="1" showInputMessage="1" showErrorMessage="1" sqref="M35:N35 BQ35:BR35 AO35:AP35 AA35:AB35 BC35:BD35 CE35:CF35 CS35:CT35 DG35:DH35 DU35:DV35 T35:U35 AH35:AI35 AV35:AW35 BJ35:BK35 BX35:BY35 CL35:CM35 CZ35:DA35 DN35:DO35 EB35:EC35 EI35:EJ35 EP35:EQ35 EW35:EX35 FD35:FE35 FK35:FL35 FR35:FS35" xr:uid="{00000000-0002-0000-0400-000005000000}">
      <formula1>#REF!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400-000006000000}">
          <x14:formula1>
            <xm:f>'Datos varios'!$B$35:$B$40</xm:f>
          </x14:formula1>
          <xm:sqref>K25:K33</xm:sqref>
        </x14:dataValidation>
        <x14:dataValidation type="list" allowBlank="1" showInputMessage="1" showErrorMessage="1" xr:uid="{00000000-0002-0000-0400-000007000000}">
          <x14:formula1>
            <xm:f>'Datos varios'!$B$19:$B$32</xm:f>
          </x14:formula1>
          <xm:sqref>J25:J33</xm:sqref>
        </x14:dataValidation>
        <x14:dataValidation type="list" allowBlank="1" showInputMessage="1" showErrorMessage="1" xr:uid="{00000000-0002-0000-0400-000008000000}">
          <x14:formula1>
            <xm:f>'Datos varios'!$B$43:$B$44</xm:f>
          </x14:formula1>
          <xm:sqref>H25:H33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34"/>
  <dimension ref="A1:FT244"/>
  <sheetViews>
    <sheetView topLeftCell="A10" zoomScale="90" zoomScaleNormal="90" workbookViewId="0">
      <selection activeCell="T3" sqref="T3"/>
    </sheetView>
  </sheetViews>
  <sheetFormatPr baseColWidth="10" defaultColWidth="11.42578125" defaultRowHeight="15" x14ac:dyDescent="0.25"/>
  <cols>
    <col min="1" max="2" width="11.42578125" style="730"/>
    <col min="3" max="6" width="12.7109375" style="730" bestFit="1" customWidth="1"/>
    <col min="7" max="7" width="11.42578125" style="730"/>
    <col min="8" max="9" width="12" style="730" bestFit="1" customWidth="1"/>
    <col min="10" max="10" width="11.42578125" style="730"/>
    <col min="11" max="12" width="12.7109375" style="730" bestFit="1" customWidth="1"/>
    <col min="13" max="14" width="12.7109375" style="730" customWidth="1"/>
    <col min="15" max="16" width="12.7109375" style="730" bestFit="1" customWidth="1"/>
    <col min="17" max="18" width="11.42578125" style="730"/>
    <col min="19" max="19" width="12.7109375" style="730" customWidth="1"/>
    <col min="20" max="20" width="12.7109375" style="730" bestFit="1" customWidth="1"/>
    <col min="21" max="21" width="12.7109375" style="730" customWidth="1"/>
    <col min="22" max="22" width="12.7109375" style="730" bestFit="1" customWidth="1"/>
    <col min="23" max="27" width="11.42578125" style="730"/>
    <col min="28" max="28" width="11.85546875" style="730" customWidth="1"/>
    <col min="29" max="34" width="11.42578125" style="730"/>
    <col min="35" max="35" width="12.28515625" style="730" customWidth="1"/>
    <col min="36" max="41" width="11.42578125" style="730"/>
    <col min="42" max="42" width="12.28515625" style="730" customWidth="1"/>
    <col min="43" max="48" width="11.42578125" style="730"/>
    <col min="49" max="49" width="12" style="730" customWidth="1"/>
    <col min="50" max="55" width="11.42578125" style="730"/>
    <col min="56" max="56" width="12" style="730" customWidth="1"/>
    <col min="57" max="62" width="11.42578125" style="730"/>
    <col min="63" max="63" width="12.140625" style="730" customWidth="1"/>
    <col min="64" max="69" width="11.42578125" style="730"/>
    <col min="70" max="70" width="12.42578125" style="730" customWidth="1"/>
    <col min="71" max="16384" width="11.42578125" style="730"/>
  </cols>
  <sheetData>
    <row r="1" spans="1:176" ht="15" customHeight="1" x14ac:dyDescent="0.25">
      <c r="A1" s="728"/>
      <c r="B1" s="729"/>
      <c r="C1" s="729"/>
      <c r="D1" s="2539" t="s">
        <v>555</v>
      </c>
      <c r="E1" s="2540"/>
      <c r="F1" s="2540"/>
      <c r="G1" s="2540"/>
      <c r="H1" s="2540"/>
      <c r="I1" s="2540"/>
      <c r="J1" s="2540"/>
      <c r="K1" s="2540"/>
      <c r="L1" s="2540"/>
      <c r="M1" s="2540"/>
      <c r="N1" s="2540"/>
      <c r="O1" s="2540"/>
      <c r="P1" s="2540"/>
      <c r="Q1" s="2540"/>
      <c r="R1" s="2541"/>
      <c r="S1" s="1258" t="s">
        <v>68</v>
      </c>
      <c r="T1" s="1044" t="s">
        <v>556</v>
      </c>
    </row>
    <row r="2" spans="1:176" ht="15" customHeight="1" x14ac:dyDescent="0.25">
      <c r="A2" s="731"/>
      <c r="D2" s="2542"/>
      <c r="E2" s="2543"/>
      <c r="F2" s="2543"/>
      <c r="G2" s="2543"/>
      <c r="H2" s="2543"/>
      <c r="I2" s="2543"/>
      <c r="J2" s="2543"/>
      <c r="K2" s="2543"/>
      <c r="L2" s="2543"/>
      <c r="M2" s="2543"/>
      <c r="N2" s="2543"/>
      <c r="O2" s="2543"/>
      <c r="P2" s="2543"/>
      <c r="Q2" s="2543"/>
      <c r="R2" s="2544"/>
      <c r="S2" s="1056" t="s">
        <v>69</v>
      </c>
      <c r="T2" s="1866" t="s">
        <v>1231</v>
      </c>
    </row>
    <row r="3" spans="1:176" ht="15" customHeight="1" x14ac:dyDescent="0.25">
      <c r="A3" s="731"/>
      <c r="D3" s="2542"/>
      <c r="E3" s="2543"/>
      <c r="F3" s="2543"/>
      <c r="G3" s="2543"/>
      <c r="H3" s="2543"/>
      <c r="I3" s="2543"/>
      <c r="J3" s="2543"/>
      <c r="K3" s="2543"/>
      <c r="L3" s="2543"/>
      <c r="M3" s="2543"/>
      <c r="N3" s="2543"/>
      <c r="O3" s="2543"/>
      <c r="P3" s="2543"/>
      <c r="Q3" s="2543"/>
      <c r="R3" s="2544"/>
      <c r="S3" s="1056" t="s">
        <v>70</v>
      </c>
      <c r="T3" s="1049" t="s">
        <v>72</v>
      </c>
    </row>
    <row r="4" spans="1:176" ht="15" customHeight="1" x14ac:dyDescent="0.25">
      <c r="A4" s="732"/>
      <c r="B4" s="733"/>
      <c r="C4" s="733"/>
      <c r="D4" s="2545"/>
      <c r="E4" s="2546"/>
      <c r="F4" s="2546"/>
      <c r="G4" s="2546"/>
      <c r="H4" s="2546"/>
      <c r="I4" s="2546"/>
      <c r="J4" s="2546"/>
      <c r="K4" s="2546"/>
      <c r="L4" s="2546"/>
      <c r="M4" s="2546"/>
      <c r="N4" s="2546"/>
      <c r="O4" s="2546"/>
      <c r="P4" s="2546"/>
      <c r="Q4" s="2546"/>
      <c r="R4" s="2547"/>
      <c r="S4" s="1259" t="s">
        <v>71</v>
      </c>
      <c r="T4" s="1054" t="s">
        <v>73</v>
      </c>
    </row>
    <row r="5" spans="1:176" s="734" customFormat="1" x14ac:dyDescent="0.25"/>
    <row r="7" spans="1:176" ht="20.25" x14ac:dyDescent="0.25">
      <c r="A7" s="2548" t="s">
        <v>715</v>
      </c>
      <c r="B7" s="2548"/>
      <c r="C7" s="2548"/>
      <c r="D7" s="2548"/>
      <c r="E7" s="2548"/>
      <c r="F7" s="2548"/>
      <c r="G7" s="2548"/>
      <c r="H7" s="2548"/>
      <c r="I7" s="2548"/>
      <c r="J7" s="2548"/>
      <c r="K7" s="2548"/>
      <c r="L7" s="2548"/>
      <c r="M7" s="2548"/>
      <c r="N7" s="2548"/>
      <c r="O7" s="2548"/>
      <c r="P7" s="2548"/>
      <c r="Q7" s="2548"/>
      <c r="R7" s="2548"/>
    </row>
    <row r="9" spans="1:176" x14ac:dyDescent="0.25">
      <c r="A9" s="735" t="s">
        <v>545</v>
      </c>
    </row>
    <row r="11" spans="1:176" x14ac:dyDescent="0.25">
      <c r="A11" s="736" t="s">
        <v>350</v>
      </c>
      <c r="B11" s="730" t="s">
        <v>353</v>
      </c>
    </row>
    <row r="12" spans="1:176" x14ac:dyDescent="0.25">
      <c r="A12" s="736" t="s">
        <v>351</v>
      </c>
      <c r="B12" s="730" t="s">
        <v>354</v>
      </c>
    </row>
    <row r="13" spans="1:176" x14ac:dyDescent="0.25">
      <c r="A13" s="736" t="s">
        <v>352</v>
      </c>
      <c r="B13" s="737" t="s">
        <v>355</v>
      </c>
    </row>
    <row r="14" spans="1:176" x14ac:dyDescent="0.25">
      <c r="A14" s="736" t="s">
        <v>547</v>
      </c>
      <c r="B14" s="737" t="s">
        <v>548</v>
      </c>
      <c r="J14" s="87"/>
    </row>
    <row r="15" spans="1:176" ht="15.75" thickBot="1" x14ac:dyDescent="0.3"/>
    <row r="16" spans="1:176" ht="15.75" thickBot="1" x14ac:dyDescent="0.3">
      <c r="A16" s="735"/>
      <c r="G16" s="218"/>
      <c r="I16" s="2476" t="s">
        <v>693</v>
      </c>
      <c r="J16" s="2477"/>
      <c r="K16" s="2477"/>
      <c r="L16" s="2477"/>
      <c r="M16" s="2477"/>
      <c r="N16" s="2477"/>
      <c r="O16" s="2477"/>
      <c r="P16" s="2477"/>
      <c r="Q16" s="2477"/>
      <c r="R16" s="2477"/>
      <c r="S16" s="2477"/>
      <c r="T16" s="2477"/>
      <c r="U16" s="2477"/>
      <c r="V16" s="2478"/>
      <c r="W16" s="2476" t="s">
        <v>694</v>
      </c>
      <c r="X16" s="2477"/>
      <c r="Y16" s="2477"/>
      <c r="Z16" s="2477"/>
      <c r="AA16" s="2477"/>
      <c r="AB16" s="2477"/>
      <c r="AC16" s="2477"/>
      <c r="AD16" s="2477"/>
      <c r="AE16" s="2477"/>
      <c r="AF16" s="2477"/>
      <c r="AG16" s="2477"/>
      <c r="AH16" s="2477"/>
      <c r="AI16" s="2477"/>
      <c r="AJ16" s="2478"/>
      <c r="AK16" s="2476" t="s">
        <v>695</v>
      </c>
      <c r="AL16" s="2477"/>
      <c r="AM16" s="2477"/>
      <c r="AN16" s="2477"/>
      <c r="AO16" s="2477"/>
      <c r="AP16" s="2477"/>
      <c r="AQ16" s="2477"/>
      <c r="AR16" s="2477"/>
      <c r="AS16" s="2477"/>
      <c r="AT16" s="2477"/>
      <c r="AU16" s="2477"/>
      <c r="AV16" s="2477"/>
      <c r="AW16" s="2477"/>
      <c r="AX16" s="2478"/>
      <c r="AY16" s="2476" t="s">
        <v>696</v>
      </c>
      <c r="AZ16" s="2477"/>
      <c r="BA16" s="2477"/>
      <c r="BB16" s="2477"/>
      <c r="BC16" s="2477"/>
      <c r="BD16" s="2477"/>
      <c r="BE16" s="2477"/>
      <c r="BF16" s="2477"/>
      <c r="BG16" s="2477"/>
      <c r="BH16" s="2477"/>
      <c r="BI16" s="2477"/>
      <c r="BJ16" s="2477"/>
      <c r="BK16" s="2477"/>
      <c r="BL16" s="2478"/>
      <c r="BM16" s="2476" t="s">
        <v>697</v>
      </c>
      <c r="BN16" s="2477"/>
      <c r="BO16" s="2477"/>
      <c r="BP16" s="2477"/>
      <c r="BQ16" s="2477"/>
      <c r="BR16" s="2477"/>
      <c r="BS16" s="2477"/>
      <c r="BT16" s="2477"/>
      <c r="BU16" s="2477"/>
      <c r="BV16" s="2477"/>
      <c r="BW16" s="2477"/>
      <c r="BX16" s="2477"/>
      <c r="BY16" s="2477"/>
      <c r="BZ16" s="2478"/>
      <c r="CA16" s="2476" t="s">
        <v>698</v>
      </c>
      <c r="CB16" s="2477"/>
      <c r="CC16" s="2477"/>
      <c r="CD16" s="2477"/>
      <c r="CE16" s="2477"/>
      <c r="CF16" s="2477"/>
      <c r="CG16" s="2477"/>
      <c r="CH16" s="2477"/>
      <c r="CI16" s="2477"/>
      <c r="CJ16" s="2477"/>
      <c r="CK16" s="2477"/>
      <c r="CL16" s="2477"/>
      <c r="CM16" s="2477"/>
      <c r="CN16" s="2478"/>
      <c r="CO16" s="2476" t="s">
        <v>699</v>
      </c>
      <c r="CP16" s="2477"/>
      <c r="CQ16" s="2477"/>
      <c r="CR16" s="2477"/>
      <c r="CS16" s="2477"/>
      <c r="CT16" s="2477"/>
      <c r="CU16" s="2477"/>
      <c r="CV16" s="2477"/>
      <c r="CW16" s="2477"/>
      <c r="CX16" s="2477"/>
      <c r="CY16" s="2477"/>
      <c r="CZ16" s="2477"/>
      <c r="DA16" s="2477"/>
      <c r="DB16" s="2478"/>
      <c r="DC16" s="2476" t="s">
        <v>700</v>
      </c>
      <c r="DD16" s="2477"/>
      <c r="DE16" s="2477"/>
      <c r="DF16" s="2477"/>
      <c r="DG16" s="2477"/>
      <c r="DH16" s="2477"/>
      <c r="DI16" s="2477"/>
      <c r="DJ16" s="2477"/>
      <c r="DK16" s="2477"/>
      <c r="DL16" s="2477"/>
      <c r="DM16" s="2477"/>
      <c r="DN16" s="2477"/>
      <c r="DO16" s="2477"/>
      <c r="DP16" s="2478"/>
      <c r="DQ16" s="2476" t="s">
        <v>704</v>
      </c>
      <c r="DR16" s="2477"/>
      <c r="DS16" s="2477"/>
      <c r="DT16" s="2477"/>
      <c r="DU16" s="2477"/>
      <c r="DV16" s="2477"/>
      <c r="DW16" s="2477"/>
      <c r="DX16" s="2477"/>
      <c r="DY16" s="2477"/>
      <c r="DZ16" s="2477"/>
      <c r="EA16" s="2477"/>
      <c r="EB16" s="2477"/>
      <c r="EC16" s="2477"/>
      <c r="ED16" s="2478"/>
      <c r="EE16" s="2476" t="s">
        <v>847</v>
      </c>
      <c r="EF16" s="2477"/>
      <c r="EG16" s="2477"/>
      <c r="EH16" s="2477"/>
      <c r="EI16" s="2477"/>
      <c r="EJ16" s="2477"/>
      <c r="EK16" s="2477"/>
      <c r="EL16" s="2477"/>
      <c r="EM16" s="2477"/>
      <c r="EN16" s="2477"/>
      <c r="EO16" s="2477"/>
      <c r="EP16" s="2477"/>
      <c r="EQ16" s="2477"/>
      <c r="ER16" s="2478"/>
      <c r="ES16" s="2476" t="s">
        <v>848</v>
      </c>
      <c r="ET16" s="2477"/>
      <c r="EU16" s="2477"/>
      <c r="EV16" s="2477"/>
      <c r="EW16" s="2477"/>
      <c r="EX16" s="2477"/>
      <c r="EY16" s="2477"/>
      <c r="EZ16" s="2477"/>
      <c r="FA16" s="2477"/>
      <c r="FB16" s="2477"/>
      <c r="FC16" s="2477"/>
      <c r="FD16" s="2477"/>
      <c r="FE16" s="2477"/>
      <c r="FF16" s="2478"/>
      <c r="FG16" s="2476" t="s">
        <v>849</v>
      </c>
      <c r="FH16" s="2477"/>
      <c r="FI16" s="2477"/>
      <c r="FJ16" s="2477"/>
      <c r="FK16" s="2477"/>
      <c r="FL16" s="2477"/>
      <c r="FM16" s="2477"/>
      <c r="FN16" s="2477"/>
      <c r="FO16" s="2477"/>
      <c r="FP16" s="2477"/>
      <c r="FQ16" s="2477"/>
      <c r="FR16" s="2477"/>
      <c r="FS16" s="2477"/>
      <c r="FT16" s="2478"/>
    </row>
    <row r="17" spans="1:176" ht="15.75" thickBot="1" x14ac:dyDescent="0.3">
      <c r="A17" s="735"/>
      <c r="I17" s="2479" t="s">
        <v>814</v>
      </c>
      <c r="J17" s="2480"/>
      <c r="K17" s="2480"/>
      <c r="L17" s="2480"/>
      <c r="M17" s="2480"/>
      <c r="N17" s="2481"/>
      <c r="O17" s="2481"/>
      <c r="P17" s="2482" t="s">
        <v>815</v>
      </c>
      <c r="Q17" s="2480"/>
      <c r="R17" s="2480"/>
      <c r="S17" s="2480"/>
      <c r="T17" s="2480"/>
      <c r="U17" s="2481"/>
      <c r="V17" s="2483"/>
      <c r="W17" s="2479" t="s">
        <v>814</v>
      </c>
      <c r="X17" s="2480"/>
      <c r="Y17" s="2480"/>
      <c r="Z17" s="2480"/>
      <c r="AA17" s="2480"/>
      <c r="AB17" s="2481"/>
      <c r="AC17" s="2481"/>
      <c r="AD17" s="2482" t="s">
        <v>815</v>
      </c>
      <c r="AE17" s="2480"/>
      <c r="AF17" s="2480"/>
      <c r="AG17" s="2480"/>
      <c r="AH17" s="2480"/>
      <c r="AI17" s="2481"/>
      <c r="AJ17" s="2483"/>
      <c r="AK17" s="2479" t="s">
        <v>814</v>
      </c>
      <c r="AL17" s="2480"/>
      <c r="AM17" s="2480"/>
      <c r="AN17" s="2480"/>
      <c r="AO17" s="2480"/>
      <c r="AP17" s="2481"/>
      <c r="AQ17" s="2481"/>
      <c r="AR17" s="2482" t="s">
        <v>815</v>
      </c>
      <c r="AS17" s="2480"/>
      <c r="AT17" s="2480"/>
      <c r="AU17" s="2480"/>
      <c r="AV17" s="2480"/>
      <c r="AW17" s="2481"/>
      <c r="AX17" s="2483"/>
      <c r="AY17" s="2479" t="s">
        <v>814</v>
      </c>
      <c r="AZ17" s="2480"/>
      <c r="BA17" s="2480"/>
      <c r="BB17" s="2480"/>
      <c r="BC17" s="2480"/>
      <c r="BD17" s="2481"/>
      <c r="BE17" s="2481"/>
      <c r="BF17" s="2482" t="s">
        <v>815</v>
      </c>
      <c r="BG17" s="2480"/>
      <c r="BH17" s="2480"/>
      <c r="BI17" s="2480"/>
      <c r="BJ17" s="2480"/>
      <c r="BK17" s="2481"/>
      <c r="BL17" s="2483"/>
      <c r="BM17" s="2479" t="s">
        <v>814</v>
      </c>
      <c r="BN17" s="2480"/>
      <c r="BO17" s="2480"/>
      <c r="BP17" s="2480"/>
      <c r="BQ17" s="2480"/>
      <c r="BR17" s="2481"/>
      <c r="BS17" s="2481"/>
      <c r="BT17" s="2482" t="s">
        <v>815</v>
      </c>
      <c r="BU17" s="2480"/>
      <c r="BV17" s="2480"/>
      <c r="BW17" s="2480"/>
      <c r="BX17" s="2480"/>
      <c r="BY17" s="2481"/>
      <c r="BZ17" s="2483"/>
      <c r="CA17" s="2479" t="s">
        <v>814</v>
      </c>
      <c r="CB17" s="2480"/>
      <c r="CC17" s="2480"/>
      <c r="CD17" s="2480"/>
      <c r="CE17" s="2480"/>
      <c r="CF17" s="2481"/>
      <c r="CG17" s="2481"/>
      <c r="CH17" s="2482" t="s">
        <v>815</v>
      </c>
      <c r="CI17" s="2480"/>
      <c r="CJ17" s="2480"/>
      <c r="CK17" s="2480"/>
      <c r="CL17" s="2480"/>
      <c r="CM17" s="2481"/>
      <c r="CN17" s="2483"/>
      <c r="CO17" s="2479" t="s">
        <v>814</v>
      </c>
      <c r="CP17" s="2480"/>
      <c r="CQ17" s="2480"/>
      <c r="CR17" s="2480"/>
      <c r="CS17" s="2480"/>
      <c r="CT17" s="2481"/>
      <c r="CU17" s="2481"/>
      <c r="CV17" s="2482" t="s">
        <v>815</v>
      </c>
      <c r="CW17" s="2480"/>
      <c r="CX17" s="2480"/>
      <c r="CY17" s="2480"/>
      <c r="CZ17" s="2480"/>
      <c r="DA17" s="2481"/>
      <c r="DB17" s="2483"/>
      <c r="DC17" s="2479" t="s">
        <v>814</v>
      </c>
      <c r="DD17" s="2480"/>
      <c r="DE17" s="2480"/>
      <c r="DF17" s="2480"/>
      <c r="DG17" s="2480"/>
      <c r="DH17" s="2481"/>
      <c r="DI17" s="2481"/>
      <c r="DJ17" s="2482" t="s">
        <v>815</v>
      </c>
      <c r="DK17" s="2480"/>
      <c r="DL17" s="2480"/>
      <c r="DM17" s="2480"/>
      <c r="DN17" s="2480"/>
      <c r="DO17" s="2481"/>
      <c r="DP17" s="2483"/>
      <c r="DQ17" s="2479" t="s">
        <v>814</v>
      </c>
      <c r="DR17" s="2480"/>
      <c r="DS17" s="2480"/>
      <c r="DT17" s="2480"/>
      <c r="DU17" s="2480"/>
      <c r="DV17" s="2481"/>
      <c r="DW17" s="2481"/>
      <c r="DX17" s="2482" t="s">
        <v>815</v>
      </c>
      <c r="DY17" s="2480"/>
      <c r="DZ17" s="2480"/>
      <c r="EA17" s="2480"/>
      <c r="EB17" s="2480"/>
      <c r="EC17" s="2481"/>
      <c r="ED17" s="2483"/>
      <c r="EE17" s="2479" t="s">
        <v>814</v>
      </c>
      <c r="EF17" s="2480"/>
      <c r="EG17" s="2480"/>
      <c r="EH17" s="2480"/>
      <c r="EI17" s="2480"/>
      <c r="EJ17" s="2481"/>
      <c r="EK17" s="2481"/>
      <c r="EL17" s="2482" t="s">
        <v>815</v>
      </c>
      <c r="EM17" s="2480"/>
      <c r="EN17" s="2480"/>
      <c r="EO17" s="2480"/>
      <c r="EP17" s="2480"/>
      <c r="EQ17" s="2481"/>
      <c r="ER17" s="2483"/>
      <c r="ES17" s="2479" t="s">
        <v>814</v>
      </c>
      <c r="ET17" s="2480"/>
      <c r="EU17" s="2480"/>
      <c r="EV17" s="2480"/>
      <c r="EW17" s="2480"/>
      <c r="EX17" s="2481"/>
      <c r="EY17" s="2481"/>
      <c r="EZ17" s="2482" t="s">
        <v>815</v>
      </c>
      <c r="FA17" s="2480"/>
      <c r="FB17" s="2480"/>
      <c r="FC17" s="2480"/>
      <c r="FD17" s="2480"/>
      <c r="FE17" s="2481"/>
      <c r="FF17" s="2483"/>
      <c r="FG17" s="2479" t="s">
        <v>814</v>
      </c>
      <c r="FH17" s="2480"/>
      <c r="FI17" s="2480"/>
      <c r="FJ17" s="2480"/>
      <c r="FK17" s="2480"/>
      <c r="FL17" s="2481"/>
      <c r="FM17" s="2481"/>
      <c r="FN17" s="2482" t="s">
        <v>815</v>
      </c>
      <c r="FO17" s="2480"/>
      <c r="FP17" s="2480"/>
      <c r="FQ17" s="2480"/>
      <c r="FR17" s="2480"/>
      <c r="FS17" s="2481"/>
      <c r="FT17" s="2483"/>
    </row>
    <row r="18" spans="1:176" x14ac:dyDescent="0.25">
      <c r="A18" s="735"/>
      <c r="B18" s="735"/>
      <c r="E18" s="2569" t="s">
        <v>670</v>
      </c>
      <c r="F18" s="2570"/>
      <c r="G18" s="2570"/>
      <c r="H18" s="2571"/>
      <c r="I18" s="2568">
        <f>'F-LSCD-012 (Pers. Hp(10))'!A34</f>
        <v>25000</v>
      </c>
      <c r="J18" s="2525"/>
      <c r="K18" s="2525"/>
      <c r="L18" s="2525"/>
      <c r="M18" s="2525"/>
      <c r="N18" s="2526"/>
      <c r="O18" s="2526"/>
      <c r="P18" s="2524">
        <f>'F-LSCD-012 (Pers. Hp(10))'!A34</f>
        <v>25000</v>
      </c>
      <c r="Q18" s="2525"/>
      <c r="R18" s="2525"/>
      <c r="S18" s="2525"/>
      <c r="T18" s="2525"/>
      <c r="U18" s="2526"/>
      <c r="V18" s="2527"/>
      <c r="W18" s="2575" t="str">
        <f>'F-LSCD-012'!A36</f>
        <v>-</v>
      </c>
      <c r="X18" s="2533"/>
      <c r="Y18" s="2533"/>
      <c r="Z18" s="2533"/>
      <c r="AA18" s="2533"/>
      <c r="AB18" s="2533"/>
      <c r="AC18" s="2533"/>
      <c r="AD18" s="2532" t="str">
        <f>'F-LSCD-012'!A36</f>
        <v>-</v>
      </c>
      <c r="AE18" s="2533"/>
      <c r="AF18" s="2533"/>
      <c r="AG18" s="2533"/>
      <c r="AH18" s="2533"/>
      <c r="AI18" s="2533"/>
      <c r="AJ18" s="2534"/>
      <c r="AK18" s="2484" t="str">
        <f>'F-LSCD-012'!A38</f>
        <v>-</v>
      </c>
      <c r="AL18" s="2485"/>
      <c r="AM18" s="2485"/>
      <c r="AN18" s="2485"/>
      <c r="AO18" s="2485"/>
      <c r="AP18" s="2486"/>
      <c r="AQ18" s="2486"/>
      <c r="AR18" s="2487" t="str">
        <f>'F-LSCD-012'!A38</f>
        <v>-</v>
      </c>
      <c r="AS18" s="2485"/>
      <c r="AT18" s="2485"/>
      <c r="AU18" s="2485"/>
      <c r="AV18" s="2485"/>
      <c r="AW18" s="2486"/>
      <c r="AX18" s="2488"/>
      <c r="AY18" s="2484" t="str">
        <f>'F-LSCD-012'!A40</f>
        <v>-</v>
      </c>
      <c r="AZ18" s="2485"/>
      <c r="BA18" s="2485"/>
      <c r="BB18" s="2485"/>
      <c r="BC18" s="2485"/>
      <c r="BD18" s="2486"/>
      <c r="BE18" s="2486"/>
      <c r="BF18" s="2487" t="str">
        <f>'F-LSCD-012'!A40</f>
        <v>-</v>
      </c>
      <c r="BG18" s="2485"/>
      <c r="BH18" s="2485"/>
      <c r="BI18" s="2485"/>
      <c r="BJ18" s="2485"/>
      <c r="BK18" s="2486"/>
      <c r="BL18" s="2488"/>
      <c r="BM18" s="2484" t="str">
        <f>'F-LSCD-012'!A42</f>
        <v>-</v>
      </c>
      <c r="BN18" s="2485"/>
      <c r="BO18" s="2485"/>
      <c r="BP18" s="2485"/>
      <c r="BQ18" s="2485"/>
      <c r="BR18" s="2486"/>
      <c r="BS18" s="2486"/>
      <c r="BT18" s="2511" t="str">
        <f>'F-LSCD-012'!A42</f>
        <v>-</v>
      </c>
      <c r="BU18" s="2512"/>
      <c r="BV18" s="2512"/>
      <c r="BW18" s="2512"/>
      <c r="BX18" s="2512"/>
      <c r="BY18" s="2512"/>
      <c r="BZ18" s="2513"/>
      <c r="CA18" s="2484" t="str">
        <f>'F-LSCD-012'!A44</f>
        <v>-</v>
      </c>
      <c r="CB18" s="2485"/>
      <c r="CC18" s="2485"/>
      <c r="CD18" s="2485"/>
      <c r="CE18" s="2485"/>
      <c r="CF18" s="2486"/>
      <c r="CG18" s="2486"/>
      <c r="CH18" s="2487" t="str">
        <f>'F-LSCD-012'!A44</f>
        <v>-</v>
      </c>
      <c r="CI18" s="2485"/>
      <c r="CJ18" s="2485"/>
      <c r="CK18" s="2485"/>
      <c r="CL18" s="2485"/>
      <c r="CM18" s="2486"/>
      <c r="CN18" s="2488"/>
      <c r="CO18" s="2484" t="str">
        <f>'F-LSCD-012'!A46</f>
        <v>-</v>
      </c>
      <c r="CP18" s="2485"/>
      <c r="CQ18" s="2485"/>
      <c r="CR18" s="2485"/>
      <c r="CS18" s="2485"/>
      <c r="CT18" s="2486"/>
      <c r="CU18" s="2486"/>
      <c r="CV18" s="2487" t="str">
        <f>'F-LSCD-012'!A46</f>
        <v>-</v>
      </c>
      <c r="CW18" s="2485"/>
      <c r="CX18" s="2485"/>
      <c r="CY18" s="2485"/>
      <c r="CZ18" s="2485"/>
      <c r="DA18" s="2486"/>
      <c r="DB18" s="2488"/>
      <c r="DC18" s="2484" t="str">
        <f>'F-LSCD-012'!A48</f>
        <v>-</v>
      </c>
      <c r="DD18" s="2485"/>
      <c r="DE18" s="2485"/>
      <c r="DF18" s="2485"/>
      <c r="DG18" s="2485"/>
      <c r="DH18" s="2486"/>
      <c r="DI18" s="2486"/>
      <c r="DJ18" s="2487" t="str">
        <f>'F-LSCD-012'!A48</f>
        <v>-</v>
      </c>
      <c r="DK18" s="2485"/>
      <c r="DL18" s="2485"/>
      <c r="DM18" s="2485"/>
      <c r="DN18" s="2485"/>
      <c r="DO18" s="2486"/>
      <c r="DP18" s="2488"/>
      <c r="DQ18" s="2484" t="str">
        <f>'F-LSCD-012'!A50</f>
        <v>-</v>
      </c>
      <c r="DR18" s="2485"/>
      <c r="DS18" s="2485"/>
      <c r="DT18" s="2485"/>
      <c r="DU18" s="2485"/>
      <c r="DV18" s="2486"/>
      <c r="DW18" s="2486"/>
      <c r="DX18" s="2487" t="str">
        <f>'F-LSCD-012'!A50</f>
        <v>-</v>
      </c>
      <c r="DY18" s="2485"/>
      <c r="DZ18" s="2485"/>
      <c r="EA18" s="2485"/>
      <c r="EB18" s="2485"/>
      <c r="EC18" s="2486"/>
      <c r="ED18" s="2488"/>
      <c r="EE18" s="2484" t="str">
        <f>'F-LSCD-012'!A52</f>
        <v>-</v>
      </c>
      <c r="EF18" s="2485"/>
      <c r="EG18" s="2485"/>
      <c r="EH18" s="2485"/>
      <c r="EI18" s="2485"/>
      <c r="EJ18" s="2486"/>
      <c r="EK18" s="2486"/>
      <c r="EL18" s="2487" t="str">
        <f>'F-LSCD-012'!A52</f>
        <v>-</v>
      </c>
      <c r="EM18" s="2485"/>
      <c r="EN18" s="2485"/>
      <c r="EO18" s="2485"/>
      <c r="EP18" s="2485"/>
      <c r="EQ18" s="2486"/>
      <c r="ER18" s="2488"/>
      <c r="ES18" s="2484" t="str">
        <f>'F-LSCD-012'!A54</f>
        <v>-</v>
      </c>
      <c r="ET18" s="2485"/>
      <c r="EU18" s="2485"/>
      <c r="EV18" s="2485"/>
      <c r="EW18" s="2485"/>
      <c r="EX18" s="2486"/>
      <c r="EY18" s="2486"/>
      <c r="EZ18" s="2487" t="str">
        <f>'F-LSCD-012'!A54</f>
        <v>-</v>
      </c>
      <c r="FA18" s="2485"/>
      <c r="FB18" s="2485"/>
      <c r="FC18" s="2485"/>
      <c r="FD18" s="2485"/>
      <c r="FE18" s="2486"/>
      <c r="FF18" s="2488"/>
      <c r="FG18" s="2484" t="str">
        <f>'F-LSCD-012'!A56</f>
        <v>-</v>
      </c>
      <c r="FH18" s="2485"/>
      <c r="FI18" s="2485"/>
      <c r="FJ18" s="2485"/>
      <c r="FK18" s="2485"/>
      <c r="FL18" s="2486"/>
      <c r="FM18" s="2486"/>
      <c r="FN18" s="2487" t="str">
        <f>'F-LSCD-012'!A56</f>
        <v>-</v>
      </c>
      <c r="FO18" s="2485"/>
      <c r="FP18" s="2485"/>
      <c r="FQ18" s="2485"/>
      <c r="FR18" s="2485"/>
      <c r="FS18" s="2486"/>
      <c r="FT18" s="2488"/>
    </row>
    <row r="19" spans="1:176" x14ac:dyDescent="0.25">
      <c r="A19" s="735"/>
      <c r="B19" s="735"/>
      <c r="E19" s="2388" t="s">
        <v>811</v>
      </c>
      <c r="F19" s="2572"/>
      <c r="G19" s="2572"/>
      <c r="H19" s="2573"/>
      <c r="I19" s="2567">
        <f>'F-LSCD-012 (Pers. Hp(10))'!O34</f>
        <v>60</v>
      </c>
      <c r="J19" s="2529"/>
      <c r="K19" s="2529"/>
      <c r="L19" s="2529"/>
      <c r="M19" s="2529"/>
      <c r="N19" s="2530"/>
      <c r="O19" s="2530"/>
      <c r="P19" s="2528">
        <f>'F-LSCD-012 (Pers. Hp(10))'!O35</f>
        <v>85.3</v>
      </c>
      <c r="Q19" s="2529"/>
      <c r="R19" s="2529"/>
      <c r="S19" s="2529"/>
      <c r="T19" s="2529"/>
      <c r="U19" s="2530"/>
      <c r="V19" s="2531"/>
      <c r="W19" s="2576" t="str">
        <f>'F-LSCD-012'!O36</f>
        <v>-</v>
      </c>
      <c r="X19" s="2577"/>
      <c r="Y19" s="2577"/>
      <c r="Z19" s="2577"/>
      <c r="AA19" s="2577"/>
      <c r="AB19" s="2577"/>
      <c r="AC19" s="2577"/>
      <c r="AD19" s="2521" t="str">
        <f>'F-LSCD-012'!O37</f>
        <v>-</v>
      </c>
      <c r="AE19" s="2509"/>
      <c r="AF19" s="2509"/>
      <c r="AG19" s="2509"/>
      <c r="AH19" s="2509"/>
      <c r="AI19" s="2509"/>
      <c r="AJ19" s="2510"/>
      <c r="AK19" s="2489" t="str">
        <f>'F-LSCD-012'!O38</f>
        <v>-</v>
      </c>
      <c r="AL19" s="2490"/>
      <c r="AM19" s="2490"/>
      <c r="AN19" s="2490"/>
      <c r="AO19" s="2490"/>
      <c r="AP19" s="2491"/>
      <c r="AQ19" s="2491"/>
      <c r="AR19" s="2498" t="str">
        <f>'F-LSCD-012'!O39</f>
        <v>-</v>
      </c>
      <c r="AS19" s="2490"/>
      <c r="AT19" s="2490"/>
      <c r="AU19" s="2490"/>
      <c r="AV19" s="2490"/>
      <c r="AW19" s="2491"/>
      <c r="AX19" s="2493"/>
      <c r="AY19" s="2489" t="str">
        <f>'F-LSCD-012'!O40</f>
        <v>-</v>
      </c>
      <c r="AZ19" s="2490"/>
      <c r="BA19" s="2490"/>
      <c r="BB19" s="2490"/>
      <c r="BC19" s="2490"/>
      <c r="BD19" s="2491"/>
      <c r="BE19" s="2491"/>
      <c r="BF19" s="2498" t="str">
        <f>'F-LSCD-012'!O41</f>
        <v>-</v>
      </c>
      <c r="BG19" s="2490"/>
      <c r="BH19" s="2490"/>
      <c r="BI19" s="2490"/>
      <c r="BJ19" s="2490"/>
      <c r="BK19" s="2491"/>
      <c r="BL19" s="2493"/>
      <c r="BM19" s="2489" t="str">
        <f>'F-LSCD-012'!O42</f>
        <v>-</v>
      </c>
      <c r="BN19" s="2490"/>
      <c r="BO19" s="2490"/>
      <c r="BP19" s="2490"/>
      <c r="BQ19" s="2490"/>
      <c r="BR19" s="2491"/>
      <c r="BS19" s="2491"/>
      <c r="BT19" s="2508" t="str">
        <f>'F-LSCD-012'!O43</f>
        <v>-</v>
      </c>
      <c r="BU19" s="2509"/>
      <c r="BV19" s="2509"/>
      <c r="BW19" s="2509"/>
      <c r="BX19" s="2509"/>
      <c r="BY19" s="2509"/>
      <c r="BZ19" s="2510"/>
      <c r="CA19" s="2489" t="str">
        <f>'F-LSCD-012'!O44</f>
        <v>-</v>
      </c>
      <c r="CB19" s="2490"/>
      <c r="CC19" s="2490"/>
      <c r="CD19" s="2490"/>
      <c r="CE19" s="2490"/>
      <c r="CF19" s="2491"/>
      <c r="CG19" s="2491"/>
      <c r="CH19" s="2498" t="str">
        <f>'F-LSCD-012'!O45</f>
        <v>-</v>
      </c>
      <c r="CI19" s="2490"/>
      <c r="CJ19" s="2490"/>
      <c r="CK19" s="2490"/>
      <c r="CL19" s="2490"/>
      <c r="CM19" s="2491"/>
      <c r="CN19" s="2493"/>
      <c r="CO19" s="2489" t="str">
        <f>'F-LSCD-012'!O46</f>
        <v>-</v>
      </c>
      <c r="CP19" s="2490"/>
      <c r="CQ19" s="2490"/>
      <c r="CR19" s="2490"/>
      <c r="CS19" s="2490"/>
      <c r="CT19" s="2491"/>
      <c r="CU19" s="2491"/>
      <c r="CV19" s="2498" t="str">
        <f>'F-LSCD-012'!O47</f>
        <v>-</v>
      </c>
      <c r="CW19" s="2490"/>
      <c r="CX19" s="2490"/>
      <c r="CY19" s="2490"/>
      <c r="CZ19" s="2490"/>
      <c r="DA19" s="2491"/>
      <c r="DB19" s="2493"/>
      <c r="DC19" s="2489" t="str">
        <f>'F-LSCD-012'!O48</f>
        <v>-</v>
      </c>
      <c r="DD19" s="2490"/>
      <c r="DE19" s="2490"/>
      <c r="DF19" s="2490"/>
      <c r="DG19" s="2490"/>
      <c r="DH19" s="2491"/>
      <c r="DI19" s="2491"/>
      <c r="DJ19" s="2498" t="str">
        <f>'F-LSCD-012'!O49</f>
        <v>-</v>
      </c>
      <c r="DK19" s="2490"/>
      <c r="DL19" s="2490"/>
      <c r="DM19" s="2490"/>
      <c r="DN19" s="2490"/>
      <c r="DO19" s="2491"/>
      <c r="DP19" s="2493"/>
      <c r="DQ19" s="2489" t="str">
        <f>'F-LSCD-012'!O50</f>
        <v>-</v>
      </c>
      <c r="DR19" s="2490"/>
      <c r="DS19" s="2490"/>
      <c r="DT19" s="2490"/>
      <c r="DU19" s="2490"/>
      <c r="DV19" s="2491"/>
      <c r="DW19" s="2491"/>
      <c r="DX19" s="2498" t="str">
        <f>'F-LSCD-012'!O51</f>
        <v>-</v>
      </c>
      <c r="DY19" s="2490"/>
      <c r="DZ19" s="2490"/>
      <c r="EA19" s="2490"/>
      <c r="EB19" s="2490"/>
      <c r="EC19" s="2491"/>
      <c r="ED19" s="2493"/>
      <c r="EE19" s="2489" t="str">
        <f>'F-LSCD-012'!O52</f>
        <v>-</v>
      </c>
      <c r="EF19" s="2490"/>
      <c r="EG19" s="2490"/>
      <c r="EH19" s="2490"/>
      <c r="EI19" s="2490"/>
      <c r="EJ19" s="2491"/>
      <c r="EK19" s="2491"/>
      <c r="EL19" s="2492" t="str">
        <f>'F-LSCD-012'!O53</f>
        <v>-</v>
      </c>
      <c r="EM19" s="2490"/>
      <c r="EN19" s="2490"/>
      <c r="EO19" s="2490"/>
      <c r="EP19" s="2490"/>
      <c r="EQ19" s="2491"/>
      <c r="ER19" s="2493"/>
      <c r="ES19" s="2489" t="str">
        <f>'F-LSCD-012'!O54</f>
        <v>-</v>
      </c>
      <c r="ET19" s="2490"/>
      <c r="EU19" s="2490"/>
      <c r="EV19" s="2490"/>
      <c r="EW19" s="2490"/>
      <c r="EX19" s="2491"/>
      <c r="EY19" s="2491"/>
      <c r="EZ19" s="2492" t="str">
        <f>'F-LSCD-012'!O55</f>
        <v>-</v>
      </c>
      <c r="FA19" s="2490"/>
      <c r="FB19" s="2490"/>
      <c r="FC19" s="2490"/>
      <c r="FD19" s="2490"/>
      <c r="FE19" s="2491"/>
      <c r="FF19" s="2493"/>
      <c r="FG19" s="2489" t="str">
        <f>'F-LSCD-012'!O56</f>
        <v>-</v>
      </c>
      <c r="FH19" s="2490"/>
      <c r="FI19" s="2490"/>
      <c r="FJ19" s="2490"/>
      <c r="FK19" s="2490"/>
      <c r="FL19" s="2491"/>
      <c r="FM19" s="2491"/>
      <c r="FN19" s="2492" t="str">
        <f>'F-LSCD-012'!O57</f>
        <v>-</v>
      </c>
      <c r="FO19" s="2490"/>
      <c r="FP19" s="2490"/>
      <c r="FQ19" s="2490"/>
      <c r="FR19" s="2490"/>
      <c r="FS19" s="2491"/>
      <c r="FT19" s="2493"/>
    </row>
    <row r="20" spans="1:176" x14ac:dyDescent="0.25">
      <c r="A20" s="735"/>
      <c r="B20" s="735"/>
      <c r="E20" s="2574" t="s">
        <v>685</v>
      </c>
      <c r="F20" s="2572"/>
      <c r="G20" s="2572"/>
      <c r="H20" s="2573"/>
      <c r="I20" s="2566">
        <f>'F-LSCD-012 (Pers. Hp(10))'!P34</f>
        <v>0</v>
      </c>
      <c r="J20" s="2494"/>
      <c r="K20" s="2494"/>
      <c r="L20" s="2494"/>
      <c r="M20" s="2494"/>
      <c r="N20" s="2495"/>
      <c r="O20" s="2495"/>
      <c r="P20" s="2492">
        <f>'F-LSCD-012 (Pers. Hp(10))'!P35</f>
        <v>3.2676869155073254</v>
      </c>
      <c r="Q20" s="2494"/>
      <c r="R20" s="2494"/>
      <c r="S20" s="2494"/>
      <c r="T20" s="2494"/>
      <c r="U20" s="2495"/>
      <c r="V20" s="2496"/>
      <c r="W20" s="2578" t="str">
        <f>'F-LSCD-012'!P36</f>
        <v>-</v>
      </c>
      <c r="X20" s="2522"/>
      <c r="Y20" s="2522"/>
      <c r="Z20" s="2522"/>
      <c r="AA20" s="2522"/>
      <c r="AB20" s="2522"/>
      <c r="AC20" s="2522"/>
      <c r="AD20" s="2521" t="str">
        <f>'F-LSCD-012'!P37</f>
        <v>-</v>
      </c>
      <c r="AE20" s="2522"/>
      <c r="AF20" s="2522"/>
      <c r="AG20" s="2522"/>
      <c r="AH20" s="2522"/>
      <c r="AI20" s="2522"/>
      <c r="AJ20" s="2523"/>
      <c r="AK20" s="2489" t="str">
        <f>'F-LSCD-012'!P38</f>
        <v>-</v>
      </c>
      <c r="AL20" s="2494"/>
      <c r="AM20" s="2494"/>
      <c r="AN20" s="2494"/>
      <c r="AO20" s="2494"/>
      <c r="AP20" s="2495"/>
      <c r="AQ20" s="2495"/>
      <c r="AR20" s="2492" t="str">
        <f>'F-LSCD-012'!P39</f>
        <v>-</v>
      </c>
      <c r="AS20" s="2494"/>
      <c r="AT20" s="2494"/>
      <c r="AU20" s="2494"/>
      <c r="AV20" s="2494"/>
      <c r="AW20" s="2495"/>
      <c r="AX20" s="2496"/>
      <c r="AY20" s="2489" t="str">
        <f>'F-LSCD-012'!P40</f>
        <v>-</v>
      </c>
      <c r="AZ20" s="2494"/>
      <c r="BA20" s="2494"/>
      <c r="BB20" s="2494"/>
      <c r="BC20" s="2494"/>
      <c r="BD20" s="2495"/>
      <c r="BE20" s="2495"/>
      <c r="BF20" s="2492" t="str">
        <f>'F-LSCD-012'!P41</f>
        <v>-</v>
      </c>
      <c r="BG20" s="2494"/>
      <c r="BH20" s="2494"/>
      <c r="BI20" s="2494"/>
      <c r="BJ20" s="2494"/>
      <c r="BK20" s="2495"/>
      <c r="BL20" s="2496"/>
      <c r="BM20" s="2489" t="str">
        <f>'F-LSCD-012'!P42</f>
        <v>-</v>
      </c>
      <c r="BN20" s="2494"/>
      <c r="BO20" s="2494"/>
      <c r="BP20" s="2494"/>
      <c r="BQ20" s="2494"/>
      <c r="BR20" s="2495"/>
      <c r="BS20" s="2495"/>
      <c r="BT20" s="2521" t="str">
        <f>'F-LSCD-012'!P43</f>
        <v>-</v>
      </c>
      <c r="BU20" s="2522"/>
      <c r="BV20" s="2522"/>
      <c r="BW20" s="2522"/>
      <c r="BX20" s="2522"/>
      <c r="BY20" s="2522"/>
      <c r="BZ20" s="2523"/>
      <c r="CA20" s="2489" t="str">
        <f>'F-LSCD-012'!P44</f>
        <v>-</v>
      </c>
      <c r="CB20" s="2494"/>
      <c r="CC20" s="2494"/>
      <c r="CD20" s="2494"/>
      <c r="CE20" s="2494"/>
      <c r="CF20" s="2495"/>
      <c r="CG20" s="2495"/>
      <c r="CH20" s="2492" t="str">
        <f>'F-LSCD-012'!P45</f>
        <v>-</v>
      </c>
      <c r="CI20" s="2494"/>
      <c r="CJ20" s="2494"/>
      <c r="CK20" s="2494"/>
      <c r="CL20" s="2494"/>
      <c r="CM20" s="2495"/>
      <c r="CN20" s="2496"/>
      <c r="CO20" s="2489" t="str">
        <f>'F-LSCD-012'!P46</f>
        <v>-</v>
      </c>
      <c r="CP20" s="2494"/>
      <c r="CQ20" s="2494"/>
      <c r="CR20" s="2494"/>
      <c r="CS20" s="2494"/>
      <c r="CT20" s="2495"/>
      <c r="CU20" s="2495"/>
      <c r="CV20" s="2492" t="str">
        <f>'F-LSCD-012'!P47</f>
        <v>-</v>
      </c>
      <c r="CW20" s="2494"/>
      <c r="CX20" s="2494"/>
      <c r="CY20" s="2494"/>
      <c r="CZ20" s="2494"/>
      <c r="DA20" s="2495"/>
      <c r="DB20" s="2496"/>
      <c r="DC20" s="2489" t="str">
        <f>'F-LSCD-012'!P48</f>
        <v>-</v>
      </c>
      <c r="DD20" s="2494"/>
      <c r="DE20" s="2494"/>
      <c r="DF20" s="2494"/>
      <c r="DG20" s="2494"/>
      <c r="DH20" s="2495"/>
      <c r="DI20" s="2495"/>
      <c r="DJ20" s="2492" t="str">
        <f>'F-LSCD-012'!P49</f>
        <v>-</v>
      </c>
      <c r="DK20" s="2494"/>
      <c r="DL20" s="2494"/>
      <c r="DM20" s="2494"/>
      <c r="DN20" s="2494"/>
      <c r="DO20" s="2495"/>
      <c r="DP20" s="2496"/>
      <c r="DQ20" s="2489" t="str">
        <f>'F-LSCD-012'!P50</f>
        <v>-</v>
      </c>
      <c r="DR20" s="2494"/>
      <c r="DS20" s="2494"/>
      <c r="DT20" s="2494"/>
      <c r="DU20" s="2494"/>
      <c r="DV20" s="2495"/>
      <c r="DW20" s="2495"/>
      <c r="DX20" s="2492" t="str">
        <f>'F-LSCD-012'!P51</f>
        <v>-</v>
      </c>
      <c r="DY20" s="2494"/>
      <c r="DZ20" s="2494"/>
      <c r="EA20" s="2494"/>
      <c r="EB20" s="2494"/>
      <c r="EC20" s="2495"/>
      <c r="ED20" s="2496"/>
      <c r="EE20" s="2489" t="str">
        <f>'F-LSCD-012'!P52</f>
        <v>-</v>
      </c>
      <c r="EF20" s="2494"/>
      <c r="EG20" s="2494"/>
      <c r="EH20" s="2494"/>
      <c r="EI20" s="2494"/>
      <c r="EJ20" s="2495"/>
      <c r="EK20" s="2495"/>
      <c r="EL20" s="2492" t="str">
        <f>'F-LSCD-012'!P53</f>
        <v>-</v>
      </c>
      <c r="EM20" s="2494"/>
      <c r="EN20" s="2494"/>
      <c r="EO20" s="2494"/>
      <c r="EP20" s="2494"/>
      <c r="EQ20" s="2495"/>
      <c r="ER20" s="2496"/>
      <c r="ES20" s="2489" t="str">
        <f>'F-LSCD-012'!P54</f>
        <v>-</v>
      </c>
      <c r="ET20" s="2494"/>
      <c r="EU20" s="2494"/>
      <c r="EV20" s="2494"/>
      <c r="EW20" s="2494"/>
      <c r="EX20" s="2495"/>
      <c r="EY20" s="2495"/>
      <c r="EZ20" s="2492" t="str">
        <f>'F-LSCD-012'!P55</f>
        <v>-</v>
      </c>
      <c r="FA20" s="2494"/>
      <c r="FB20" s="2494"/>
      <c r="FC20" s="2494"/>
      <c r="FD20" s="2494"/>
      <c r="FE20" s="2495"/>
      <c r="FF20" s="2496"/>
      <c r="FG20" s="2489" t="str">
        <f>'F-LSCD-012'!P56</f>
        <v>-</v>
      </c>
      <c r="FH20" s="2494"/>
      <c r="FI20" s="2494"/>
      <c r="FJ20" s="2494"/>
      <c r="FK20" s="2494"/>
      <c r="FL20" s="2495"/>
      <c r="FM20" s="2495"/>
      <c r="FN20" s="2492" t="str">
        <f>'F-LSCD-012'!P57</f>
        <v>-</v>
      </c>
      <c r="FO20" s="2494"/>
      <c r="FP20" s="2494"/>
      <c r="FQ20" s="2494"/>
      <c r="FR20" s="2494"/>
      <c r="FS20" s="2495"/>
      <c r="FT20" s="2496"/>
    </row>
    <row r="21" spans="1:176" x14ac:dyDescent="0.25">
      <c r="A21" s="735"/>
      <c r="B21" s="735"/>
      <c r="E21" s="2574" t="s">
        <v>671</v>
      </c>
      <c r="F21" s="2572"/>
      <c r="G21" s="2572"/>
      <c r="H21" s="2573"/>
      <c r="I21" s="2566">
        <f>'F-LSCD-012 (Pers. Hp(10))'!M34</f>
        <v>1</v>
      </c>
      <c r="J21" s="2494"/>
      <c r="K21" s="2494"/>
      <c r="L21" s="2494"/>
      <c r="M21" s="2494"/>
      <c r="N21" s="2495"/>
      <c r="O21" s="2495"/>
      <c r="P21" s="2492">
        <f>'F-LSCD-012 (Pers. Hp(10))'!M35</f>
        <v>1</v>
      </c>
      <c r="Q21" s="2494"/>
      <c r="R21" s="2494"/>
      <c r="S21" s="2494"/>
      <c r="T21" s="2494"/>
      <c r="U21" s="2495"/>
      <c r="V21" s="2496"/>
      <c r="W21" s="2579" t="str">
        <f>'F-LSCD-012'!M36</f>
        <v>-</v>
      </c>
      <c r="X21" s="2536"/>
      <c r="Y21" s="2536"/>
      <c r="Z21" s="2536"/>
      <c r="AA21" s="2536"/>
      <c r="AB21" s="2536"/>
      <c r="AC21" s="2536"/>
      <c r="AD21" s="2535" t="str">
        <f>'F-LSCD-012'!M37</f>
        <v>-</v>
      </c>
      <c r="AE21" s="2536"/>
      <c r="AF21" s="2536"/>
      <c r="AG21" s="2536"/>
      <c r="AH21" s="2536"/>
      <c r="AI21" s="2536"/>
      <c r="AJ21" s="2537"/>
      <c r="AK21" s="2489" t="str">
        <f>'F-LSCD-012'!M38</f>
        <v>-</v>
      </c>
      <c r="AL21" s="2494"/>
      <c r="AM21" s="2494"/>
      <c r="AN21" s="2494"/>
      <c r="AO21" s="2494"/>
      <c r="AP21" s="2495"/>
      <c r="AQ21" s="2495"/>
      <c r="AR21" s="2492" t="str">
        <f>'F-LSCD-012'!M39</f>
        <v>-</v>
      </c>
      <c r="AS21" s="2494"/>
      <c r="AT21" s="2494"/>
      <c r="AU21" s="2494"/>
      <c r="AV21" s="2494"/>
      <c r="AW21" s="2495"/>
      <c r="AX21" s="2496"/>
      <c r="AY21" s="2489" t="str">
        <f>'F-LSCD-012'!M40</f>
        <v>-</v>
      </c>
      <c r="AZ21" s="2494"/>
      <c r="BA21" s="2494"/>
      <c r="BB21" s="2494"/>
      <c r="BC21" s="2494"/>
      <c r="BD21" s="2495"/>
      <c r="BE21" s="2495"/>
      <c r="BF21" s="2492" t="str">
        <f>'F-LSCD-012'!M41</f>
        <v>-</v>
      </c>
      <c r="BG21" s="2494"/>
      <c r="BH21" s="2494"/>
      <c r="BI21" s="2494"/>
      <c r="BJ21" s="2494"/>
      <c r="BK21" s="2495"/>
      <c r="BL21" s="2496"/>
      <c r="BM21" s="2489" t="str">
        <f>'F-LSCD-012'!M42</f>
        <v>-</v>
      </c>
      <c r="BN21" s="2494"/>
      <c r="BO21" s="2494"/>
      <c r="BP21" s="2494"/>
      <c r="BQ21" s="2494"/>
      <c r="BR21" s="2495"/>
      <c r="BS21" s="2495"/>
      <c r="BT21" s="2521" t="str">
        <f>'F-LSCD-012'!M43</f>
        <v>-</v>
      </c>
      <c r="BU21" s="2522"/>
      <c r="BV21" s="2522"/>
      <c r="BW21" s="2522"/>
      <c r="BX21" s="2522"/>
      <c r="BY21" s="2522"/>
      <c r="BZ21" s="2523"/>
      <c r="CA21" s="2489" t="str">
        <f>'F-LSCD-012'!M44</f>
        <v>-</v>
      </c>
      <c r="CB21" s="2494"/>
      <c r="CC21" s="2494"/>
      <c r="CD21" s="2494"/>
      <c r="CE21" s="2494"/>
      <c r="CF21" s="2495"/>
      <c r="CG21" s="2495"/>
      <c r="CH21" s="2492" t="str">
        <f>'F-LSCD-012'!M45</f>
        <v>-</v>
      </c>
      <c r="CI21" s="2494"/>
      <c r="CJ21" s="2494"/>
      <c r="CK21" s="2494"/>
      <c r="CL21" s="2494"/>
      <c r="CM21" s="2495"/>
      <c r="CN21" s="2496"/>
      <c r="CO21" s="2489" t="str">
        <f>'F-LSCD-012'!M46</f>
        <v>-</v>
      </c>
      <c r="CP21" s="2494"/>
      <c r="CQ21" s="2494"/>
      <c r="CR21" s="2494"/>
      <c r="CS21" s="2494"/>
      <c r="CT21" s="2495"/>
      <c r="CU21" s="2495"/>
      <c r="CV21" s="2492" t="str">
        <f>'F-LSCD-012'!M47</f>
        <v>-</v>
      </c>
      <c r="CW21" s="2494"/>
      <c r="CX21" s="2494"/>
      <c r="CY21" s="2494"/>
      <c r="CZ21" s="2494"/>
      <c r="DA21" s="2495"/>
      <c r="DB21" s="2496"/>
      <c r="DC21" s="2489" t="str">
        <f>'F-LSCD-012'!M48</f>
        <v>-</v>
      </c>
      <c r="DD21" s="2494"/>
      <c r="DE21" s="2494"/>
      <c r="DF21" s="2494"/>
      <c r="DG21" s="2494"/>
      <c r="DH21" s="2495"/>
      <c r="DI21" s="2495"/>
      <c r="DJ21" s="2492" t="str">
        <f>'F-LSCD-012'!M49</f>
        <v>-</v>
      </c>
      <c r="DK21" s="2494"/>
      <c r="DL21" s="2494"/>
      <c r="DM21" s="2494"/>
      <c r="DN21" s="2494"/>
      <c r="DO21" s="2495"/>
      <c r="DP21" s="2496"/>
      <c r="DQ21" s="2489" t="str">
        <f>'F-LSCD-012'!M50</f>
        <v>-</v>
      </c>
      <c r="DR21" s="2494"/>
      <c r="DS21" s="2494"/>
      <c r="DT21" s="2494"/>
      <c r="DU21" s="2494"/>
      <c r="DV21" s="2495"/>
      <c r="DW21" s="2495"/>
      <c r="DX21" s="2492" t="str">
        <f>'F-LSCD-012'!M51</f>
        <v>-</v>
      </c>
      <c r="DY21" s="2494"/>
      <c r="DZ21" s="2494"/>
      <c r="EA21" s="2494"/>
      <c r="EB21" s="2494"/>
      <c r="EC21" s="2495"/>
      <c r="ED21" s="2496"/>
      <c r="EE21" s="2489" t="str">
        <f>'F-LSCD-012'!M52</f>
        <v>-</v>
      </c>
      <c r="EF21" s="2494"/>
      <c r="EG21" s="2494"/>
      <c r="EH21" s="2494"/>
      <c r="EI21" s="2494"/>
      <c r="EJ21" s="2495"/>
      <c r="EK21" s="2495"/>
      <c r="EL21" s="2492" t="str">
        <f>'F-LSCD-012'!M53</f>
        <v>-</v>
      </c>
      <c r="EM21" s="2494"/>
      <c r="EN21" s="2494"/>
      <c r="EO21" s="2494"/>
      <c r="EP21" s="2494"/>
      <c r="EQ21" s="2495"/>
      <c r="ER21" s="2496"/>
      <c r="ES21" s="2489" t="str">
        <f>'F-LSCD-012'!M54</f>
        <v>-</v>
      </c>
      <c r="ET21" s="2494"/>
      <c r="EU21" s="2494"/>
      <c r="EV21" s="2494"/>
      <c r="EW21" s="2494"/>
      <c r="EX21" s="2495"/>
      <c r="EY21" s="2495"/>
      <c r="EZ21" s="2492" t="str">
        <f>'F-LSCD-012'!M55</f>
        <v>-</v>
      </c>
      <c r="FA21" s="2494"/>
      <c r="FB21" s="2494"/>
      <c r="FC21" s="2494"/>
      <c r="FD21" s="2494"/>
      <c r="FE21" s="2495"/>
      <c r="FF21" s="2496"/>
      <c r="FG21" s="2489" t="str">
        <f>'F-LSCD-012'!M56</f>
        <v>-</v>
      </c>
      <c r="FH21" s="2494"/>
      <c r="FI21" s="2494"/>
      <c r="FJ21" s="2494"/>
      <c r="FK21" s="2494"/>
      <c r="FL21" s="2495"/>
      <c r="FM21" s="2495"/>
      <c r="FN21" s="2492" t="str">
        <f>'F-LSCD-012'!M57</f>
        <v>-</v>
      </c>
      <c r="FO21" s="2494"/>
      <c r="FP21" s="2494"/>
      <c r="FQ21" s="2494"/>
      <c r="FR21" s="2494"/>
      <c r="FS21" s="2495"/>
      <c r="FT21" s="2496"/>
    </row>
    <row r="22" spans="1:176" x14ac:dyDescent="0.25">
      <c r="A22" s="735"/>
      <c r="B22" s="735"/>
      <c r="E22" s="2574" t="s">
        <v>686</v>
      </c>
      <c r="F22" s="2572"/>
      <c r="G22" s="2572"/>
      <c r="H22" s="2573"/>
      <c r="I22" s="2565">
        <f>COUNT('F-LSCD-012 (Pers. Hp(10))'!C34:L34)</f>
        <v>10</v>
      </c>
      <c r="J22" s="2490"/>
      <c r="K22" s="2490"/>
      <c r="L22" s="2490"/>
      <c r="M22" s="2490"/>
      <c r="N22" s="2491"/>
      <c r="O22" s="2491"/>
      <c r="P22" s="2498">
        <f>COUNT('F-LSCD-012 (Pers. Hp(10))'!C35:L35)</f>
        <v>10</v>
      </c>
      <c r="Q22" s="2490"/>
      <c r="R22" s="2490"/>
      <c r="S22" s="2490"/>
      <c r="T22" s="2490"/>
      <c r="U22" s="2491"/>
      <c r="V22" s="2493"/>
      <c r="W22" s="2580">
        <f>COUNT('F-LSCD-012'!C36:L36)</f>
        <v>0</v>
      </c>
      <c r="X22" s="2509"/>
      <c r="Y22" s="2509"/>
      <c r="Z22" s="2509"/>
      <c r="AA22" s="2509"/>
      <c r="AB22" s="2509"/>
      <c r="AC22" s="2509"/>
      <c r="AD22" s="2508">
        <f>COUNT('F-LSCD-012'!C37:L37)</f>
        <v>0</v>
      </c>
      <c r="AE22" s="2509"/>
      <c r="AF22" s="2509"/>
      <c r="AG22" s="2509"/>
      <c r="AH22" s="2509"/>
      <c r="AI22" s="2509"/>
      <c r="AJ22" s="2510"/>
      <c r="AK22" s="2497">
        <f>COUNT('F-LSCD-012'!C38:L38)</f>
        <v>0</v>
      </c>
      <c r="AL22" s="2490"/>
      <c r="AM22" s="2490"/>
      <c r="AN22" s="2490"/>
      <c r="AO22" s="2490"/>
      <c r="AP22" s="2491"/>
      <c r="AQ22" s="2491"/>
      <c r="AR22" s="2498">
        <f>COUNT('F-LSCD-012'!C39:L39)</f>
        <v>0</v>
      </c>
      <c r="AS22" s="2490"/>
      <c r="AT22" s="2490"/>
      <c r="AU22" s="2490"/>
      <c r="AV22" s="2490"/>
      <c r="AW22" s="2491"/>
      <c r="AX22" s="2493"/>
      <c r="AY22" s="2497">
        <f>COUNT('F-LSCD-012'!C40:L40)</f>
        <v>0</v>
      </c>
      <c r="AZ22" s="2490"/>
      <c r="BA22" s="2490"/>
      <c r="BB22" s="2490"/>
      <c r="BC22" s="2490"/>
      <c r="BD22" s="2491"/>
      <c r="BE22" s="2491"/>
      <c r="BF22" s="2498">
        <f>COUNT('F-LSCD-012'!C41:L41)</f>
        <v>0</v>
      </c>
      <c r="BG22" s="2490"/>
      <c r="BH22" s="2490"/>
      <c r="BI22" s="2490"/>
      <c r="BJ22" s="2490"/>
      <c r="BK22" s="2491"/>
      <c r="BL22" s="2493"/>
      <c r="BM22" s="2497">
        <f>COUNT('F-LSCD-012'!C42:L42)</f>
        <v>0</v>
      </c>
      <c r="BN22" s="2490"/>
      <c r="BO22" s="2490"/>
      <c r="BP22" s="2490"/>
      <c r="BQ22" s="2490"/>
      <c r="BR22" s="2491"/>
      <c r="BS22" s="2491"/>
      <c r="BT22" s="2508">
        <f>COUNT('F-LSCD-012'!C43:L43)</f>
        <v>0</v>
      </c>
      <c r="BU22" s="2509"/>
      <c r="BV22" s="2509"/>
      <c r="BW22" s="2509"/>
      <c r="BX22" s="2509"/>
      <c r="BY22" s="2509"/>
      <c r="BZ22" s="2510"/>
      <c r="CA22" s="2497">
        <f>COUNT('F-LSCD-012'!C44:L44)</f>
        <v>0</v>
      </c>
      <c r="CB22" s="2490"/>
      <c r="CC22" s="2490"/>
      <c r="CD22" s="2490"/>
      <c r="CE22" s="2490"/>
      <c r="CF22" s="2491"/>
      <c r="CG22" s="2491"/>
      <c r="CH22" s="2498">
        <f>COUNT('F-LSCD-012'!C45:L45)</f>
        <v>0</v>
      </c>
      <c r="CI22" s="2490"/>
      <c r="CJ22" s="2490"/>
      <c r="CK22" s="2490"/>
      <c r="CL22" s="2490"/>
      <c r="CM22" s="2491"/>
      <c r="CN22" s="2493"/>
      <c r="CO22" s="2497">
        <f>COUNT('F-LSCD-012'!C46:L46)</f>
        <v>0</v>
      </c>
      <c r="CP22" s="2490"/>
      <c r="CQ22" s="2490"/>
      <c r="CR22" s="2490"/>
      <c r="CS22" s="2490"/>
      <c r="CT22" s="2491"/>
      <c r="CU22" s="2491"/>
      <c r="CV22" s="2498">
        <f>COUNT('F-LSCD-012'!C47:L47)</f>
        <v>0</v>
      </c>
      <c r="CW22" s="2490"/>
      <c r="CX22" s="2490"/>
      <c r="CY22" s="2490"/>
      <c r="CZ22" s="2490"/>
      <c r="DA22" s="2491"/>
      <c r="DB22" s="2493"/>
      <c r="DC22" s="2497">
        <f>COUNT('F-LSCD-012'!C48:L48)</f>
        <v>0</v>
      </c>
      <c r="DD22" s="2490"/>
      <c r="DE22" s="2490"/>
      <c r="DF22" s="2490"/>
      <c r="DG22" s="2490"/>
      <c r="DH22" s="2491"/>
      <c r="DI22" s="2491"/>
      <c r="DJ22" s="2498">
        <f>COUNT('F-LSCD-012'!C49:L49)</f>
        <v>0</v>
      </c>
      <c r="DK22" s="2490"/>
      <c r="DL22" s="2490"/>
      <c r="DM22" s="2490"/>
      <c r="DN22" s="2490"/>
      <c r="DO22" s="2491"/>
      <c r="DP22" s="2493"/>
      <c r="DQ22" s="2497">
        <f>COUNT('F-LSCD-012'!C50:L50)</f>
        <v>0</v>
      </c>
      <c r="DR22" s="2490"/>
      <c r="DS22" s="2490"/>
      <c r="DT22" s="2490"/>
      <c r="DU22" s="2490"/>
      <c r="DV22" s="2491"/>
      <c r="DW22" s="2491"/>
      <c r="DX22" s="2498">
        <f>COUNT('F-LSCD-012'!C51:L51)</f>
        <v>0</v>
      </c>
      <c r="DY22" s="2490"/>
      <c r="DZ22" s="2490"/>
      <c r="EA22" s="2490"/>
      <c r="EB22" s="2490"/>
      <c r="EC22" s="2491"/>
      <c r="ED22" s="2493"/>
      <c r="EE22" s="2497">
        <f>COUNT('F-LSCD-012'!C52:L52)</f>
        <v>0</v>
      </c>
      <c r="EF22" s="2490"/>
      <c r="EG22" s="2490"/>
      <c r="EH22" s="2490"/>
      <c r="EI22" s="2490"/>
      <c r="EJ22" s="2491"/>
      <c r="EK22" s="2491"/>
      <c r="EL22" s="2498">
        <f>COUNT('F-LSCD-012'!C53:L53)</f>
        <v>0</v>
      </c>
      <c r="EM22" s="2490"/>
      <c r="EN22" s="2490"/>
      <c r="EO22" s="2490"/>
      <c r="EP22" s="2490"/>
      <c r="EQ22" s="2491"/>
      <c r="ER22" s="2493"/>
      <c r="ES22" s="2497">
        <f>COUNT('F-LSCD-012'!C54:L54)</f>
        <v>0</v>
      </c>
      <c r="ET22" s="2490"/>
      <c r="EU22" s="2490"/>
      <c r="EV22" s="2490"/>
      <c r="EW22" s="2490"/>
      <c r="EX22" s="2491"/>
      <c r="EY22" s="2491"/>
      <c r="EZ22" s="2498">
        <f>COUNT('F-LSCD-012'!C55:L55)</f>
        <v>0</v>
      </c>
      <c r="FA22" s="2490"/>
      <c r="FB22" s="2490"/>
      <c r="FC22" s="2490"/>
      <c r="FD22" s="2490"/>
      <c r="FE22" s="2491"/>
      <c r="FF22" s="2493"/>
      <c r="FG22" s="2497">
        <f>COUNT('F-LSCD-012'!C56:L56)</f>
        <v>0</v>
      </c>
      <c r="FH22" s="2490"/>
      <c r="FI22" s="2490"/>
      <c r="FJ22" s="2490"/>
      <c r="FK22" s="2490"/>
      <c r="FL22" s="2491"/>
      <c r="FM22" s="2491"/>
      <c r="FN22" s="2498">
        <f>COUNT('F-LSCD-012'!C57:L57)</f>
        <v>0</v>
      </c>
      <c r="FO22" s="2490"/>
      <c r="FP22" s="2490"/>
      <c r="FQ22" s="2490"/>
      <c r="FR22" s="2490"/>
      <c r="FS22" s="2491"/>
      <c r="FT22" s="2493"/>
    </row>
    <row r="23" spans="1:176" ht="15.75" thickBot="1" x14ac:dyDescent="0.3">
      <c r="A23" s="735"/>
      <c r="B23" s="735"/>
      <c r="E23" s="2562" t="s">
        <v>687</v>
      </c>
      <c r="F23" s="2563"/>
      <c r="G23" s="2563"/>
      <c r="H23" s="2564"/>
      <c r="I23" s="2538">
        <f>'F-LSCD-003'!N17</f>
        <v>1.2240005996093581</v>
      </c>
      <c r="J23" s="2519"/>
      <c r="K23" s="2519"/>
      <c r="L23" s="2519"/>
      <c r="M23" s="2519"/>
      <c r="N23" s="2519"/>
      <c r="O23" s="2561"/>
      <c r="P23" s="2502">
        <f>'F-LSCD-003'!N17</f>
        <v>1.2240005996093581</v>
      </c>
      <c r="Q23" s="2500"/>
      <c r="R23" s="2500"/>
      <c r="S23" s="2500"/>
      <c r="T23" s="2500"/>
      <c r="U23" s="2501"/>
      <c r="V23" s="2503"/>
      <c r="W23" s="2538" t="str">
        <f>'F-LSCD-003'!N18</f>
        <v>Tasa de dosis fuera de rango</v>
      </c>
      <c r="X23" s="2519"/>
      <c r="Y23" s="2519"/>
      <c r="Z23" s="2519"/>
      <c r="AA23" s="2519"/>
      <c r="AB23" s="2519"/>
      <c r="AC23" s="2519"/>
      <c r="AD23" s="2518" t="str">
        <f>'F-LSCD-003'!N18</f>
        <v>Tasa de dosis fuera de rango</v>
      </c>
      <c r="AE23" s="2519"/>
      <c r="AF23" s="2519"/>
      <c r="AG23" s="2519"/>
      <c r="AH23" s="2519"/>
      <c r="AI23" s="2519"/>
      <c r="AJ23" s="2520"/>
      <c r="AK23" s="2499" t="str">
        <f>'F-LSCD-003'!N19</f>
        <v>Tasa de dosis fuera de rango</v>
      </c>
      <c r="AL23" s="2500"/>
      <c r="AM23" s="2500"/>
      <c r="AN23" s="2500"/>
      <c r="AO23" s="2500"/>
      <c r="AP23" s="2501"/>
      <c r="AQ23" s="2501"/>
      <c r="AR23" s="2502" t="str">
        <f>'F-LSCD-003'!N19</f>
        <v>Tasa de dosis fuera de rango</v>
      </c>
      <c r="AS23" s="2500"/>
      <c r="AT23" s="2500"/>
      <c r="AU23" s="2500"/>
      <c r="AV23" s="2500"/>
      <c r="AW23" s="2501"/>
      <c r="AX23" s="2503"/>
      <c r="AY23" s="2499" t="str">
        <f>'F-LSCD-003'!N20</f>
        <v>Tasa de dosis fuera de rango</v>
      </c>
      <c r="AZ23" s="2500"/>
      <c r="BA23" s="2500"/>
      <c r="BB23" s="2500"/>
      <c r="BC23" s="2500"/>
      <c r="BD23" s="2501"/>
      <c r="BE23" s="2501"/>
      <c r="BF23" s="2502" t="str">
        <f>'F-LSCD-003'!N20</f>
        <v>Tasa de dosis fuera de rango</v>
      </c>
      <c r="BG23" s="2500"/>
      <c r="BH23" s="2500"/>
      <c r="BI23" s="2500"/>
      <c r="BJ23" s="2500"/>
      <c r="BK23" s="2501"/>
      <c r="BL23" s="2503"/>
      <c r="BM23" s="2499" t="str">
        <f>'F-LSCD-003'!N21</f>
        <v>Tasa de dosis fuera de rango</v>
      </c>
      <c r="BN23" s="2500"/>
      <c r="BO23" s="2500"/>
      <c r="BP23" s="2500"/>
      <c r="BQ23" s="2500"/>
      <c r="BR23" s="2501"/>
      <c r="BS23" s="2501"/>
      <c r="BT23" s="2518" t="str">
        <f>'F-LSCD-003'!N21</f>
        <v>Tasa de dosis fuera de rango</v>
      </c>
      <c r="BU23" s="2519"/>
      <c r="BV23" s="2519"/>
      <c r="BW23" s="2519"/>
      <c r="BX23" s="2519"/>
      <c r="BY23" s="2519"/>
      <c r="BZ23" s="2520"/>
      <c r="CA23" s="2499" t="str">
        <f>'F-LSCD-003'!N22</f>
        <v>Tasa de dosis fuera de rango</v>
      </c>
      <c r="CB23" s="2500"/>
      <c r="CC23" s="2500"/>
      <c r="CD23" s="2500"/>
      <c r="CE23" s="2500"/>
      <c r="CF23" s="2501"/>
      <c r="CG23" s="2501"/>
      <c r="CH23" s="2502" t="str">
        <f>'F-LSCD-003'!N22</f>
        <v>Tasa de dosis fuera de rango</v>
      </c>
      <c r="CI23" s="2500"/>
      <c r="CJ23" s="2500"/>
      <c r="CK23" s="2500"/>
      <c r="CL23" s="2500"/>
      <c r="CM23" s="2501"/>
      <c r="CN23" s="2503"/>
      <c r="CO23" s="2499" t="str">
        <f>'F-LSCD-003'!N23</f>
        <v>Tasa de dosis fuera de rango</v>
      </c>
      <c r="CP23" s="2500"/>
      <c r="CQ23" s="2500"/>
      <c r="CR23" s="2500"/>
      <c r="CS23" s="2500"/>
      <c r="CT23" s="2501"/>
      <c r="CU23" s="2501"/>
      <c r="CV23" s="2502" t="str">
        <f>'F-LSCD-003'!N23</f>
        <v>Tasa de dosis fuera de rango</v>
      </c>
      <c r="CW23" s="2500"/>
      <c r="CX23" s="2500"/>
      <c r="CY23" s="2500"/>
      <c r="CZ23" s="2500"/>
      <c r="DA23" s="2501"/>
      <c r="DB23" s="2503"/>
      <c r="DC23" s="2499" t="str">
        <f>'F-LSCD-003'!N24</f>
        <v>Tasa de dosis fuera de rango</v>
      </c>
      <c r="DD23" s="2500"/>
      <c r="DE23" s="2500"/>
      <c r="DF23" s="2500"/>
      <c r="DG23" s="2500"/>
      <c r="DH23" s="2501"/>
      <c r="DI23" s="2501"/>
      <c r="DJ23" s="2502" t="str">
        <f>'F-LSCD-003'!N24</f>
        <v>Tasa de dosis fuera de rango</v>
      </c>
      <c r="DK23" s="2500"/>
      <c r="DL23" s="2500"/>
      <c r="DM23" s="2500"/>
      <c r="DN23" s="2500"/>
      <c r="DO23" s="2501"/>
      <c r="DP23" s="2503"/>
      <c r="DQ23" s="2499" t="str">
        <f>'F-LSCD-003'!N25</f>
        <v>Tasa de dosis fuera de rango</v>
      </c>
      <c r="DR23" s="2500"/>
      <c r="DS23" s="2500"/>
      <c r="DT23" s="2500"/>
      <c r="DU23" s="2500"/>
      <c r="DV23" s="2501"/>
      <c r="DW23" s="2501"/>
      <c r="DX23" s="2502" t="str">
        <f>'F-LSCD-003'!N25</f>
        <v>Tasa de dosis fuera de rango</v>
      </c>
      <c r="DY23" s="2500"/>
      <c r="DZ23" s="2500"/>
      <c r="EA23" s="2500"/>
      <c r="EB23" s="2500"/>
      <c r="EC23" s="2501"/>
      <c r="ED23" s="2503"/>
      <c r="EE23" s="2499" t="str">
        <f>'F-LSCD-003'!N26</f>
        <v>Tasa de dosis fuera de rango</v>
      </c>
      <c r="EF23" s="2500"/>
      <c r="EG23" s="2500"/>
      <c r="EH23" s="2500"/>
      <c r="EI23" s="2500"/>
      <c r="EJ23" s="2501"/>
      <c r="EK23" s="2501"/>
      <c r="EL23" s="2502" t="str">
        <f>'F-LSCD-003'!N26</f>
        <v>Tasa de dosis fuera de rango</v>
      </c>
      <c r="EM23" s="2500"/>
      <c r="EN23" s="2500"/>
      <c r="EO23" s="2500"/>
      <c r="EP23" s="2500"/>
      <c r="EQ23" s="2501"/>
      <c r="ER23" s="2503"/>
      <c r="ES23" s="2499" t="str">
        <f>'F-LSCD-003'!N27</f>
        <v>Tasa de dosis fuera de rango</v>
      </c>
      <c r="ET23" s="2500"/>
      <c r="EU23" s="2500"/>
      <c r="EV23" s="2500"/>
      <c r="EW23" s="2500"/>
      <c r="EX23" s="2501"/>
      <c r="EY23" s="2501"/>
      <c r="EZ23" s="2502" t="str">
        <f>'F-LSCD-003'!N27</f>
        <v>Tasa de dosis fuera de rango</v>
      </c>
      <c r="FA23" s="2500"/>
      <c r="FB23" s="2500"/>
      <c r="FC23" s="2500"/>
      <c r="FD23" s="2500"/>
      <c r="FE23" s="2501"/>
      <c r="FF23" s="2503"/>
      <c r="FG23" s="2499" t="str">
        <f>'F-LSCD-003'!N28</f>
        <v>Tasa de dosis fuera de rango</v>
      </c>
      <c r="FH23" s="2500"/>
      <c r="FI23" s="2500"/>
      <c r="FJ23" s="2500"/>
      <c r="FK23" s="2500"/>
      <c r="FL23" s="2501"/>
      <c r="FM23" s="2501"/>
      <c r="FN23" s="2502" t="str">
        <f>'F-LSCD-003'!N28</f>
        <v>Tasa de dosis fuera de rango</v>
      </c>
      <c r="FO23" s="2500"/>
      <c r="FP23" s="2500"/>
      <c r="FQ23" s="2500"/>
      <c r="FR23" s="2500"/>
      <c r="FS23" s="2501"/>
      <c r="FT23" s="2503"/>
    </row>
    <row r="24" spans="1:176" ht="45.75" thickBot="1" x14ac:dyDescent="0.3">
      <c r="A24" s="738" t="s">
        <v>708</v>
      </c>
      <c r="B24" s="2477" t="s">
        <v>688</v>
      </c>
      <c r="C24" s="2477"/>
      <c r="D24" s="2477"/>
      <c r="E24" s="2585"/>
      <c r="F24" s="2586"/>
      <c r="G24" s="778" t="s">
        <v>525</v>
      </c>
      <c r="H24" s="802" t="s">
        <v>560</v>
      </c>
      <c r="I24" s="739" t="s">
        <v>526</v>
      </c>
      <c r="J24" s="799" t="s">
        <v>117</v>
      </c>
      <c r="K24" s="800" t="s">
        <v>347</v>
      </c>
      <c r="L24" s="800" t="s">
        <v>546</v>
      </c>
      <c r="M24" s="800" t="s">
        <v>690</v>
      </c>
      <c r="N24" s="740" t="s">
        <v>716</v>
      </c>
      <c r="O24" s="740" t="s">
        <v>689</v>
      </c>
      <c r="P24" s="1174" t="s">
        <v>526</v>
      </c>
      <c r="Q24" s="799" t="s">
        <v>117</v>
      </c>
      <c r="R24" s="800" t="s">
        <v>347</v>
      </c>
      <c r="S24" s="800" t="s">
        <v>546</v>
      </c>
      <c r="T24" s="800" t="s">
        <v>690</v>
      </c>
      <c r="U24" s="740" t="s">
        <v>716</v>
      </c>
      <c r="V24" s="801" t="s">
        <v>689</v>
      </c>
      <c r="W24" s="739" t="s">
        <v>526</v>
      </c>
      <c r="X24" s="799" t="s">
        <v>117</v>
      </c>
      <c r="Y24" s="800" t="s">
        <v>347</v>
      </c>
      <c r="Z24" s="800" t="s">
        <v>546</v>
      </c>
      <c r="AA24" s="800" t="s">
        <v>690</v>
      </c>
      <c r="AB24" s="740" t="s">
        <v>716</v>
      </c>
      <c r="AC24" s="740" t="s">
        <v>689</v>
      </c>
      <c r="AD24" s="1174" t="s">
        <v>526</v>
      </c>
      <c r="AE24" s="799" t="s">
        <v>117</v>
      </c>
      <c r="AF24" s="800" t="s">
        <v>347</v>
      </c>
      <c r="AG24" s="800" t="s">
        <v>546</v>
      </c>
      <c r="AH24" s="800" t="s">
        <v>690</v>
      </c>
      <c r="AI24" s="740" t="s">
        <v>716</v>
      </c>
      <c r="AJ24" s="801" t="s">
        <v>689</v>
      </c>
      <c r="AK24" s="826" t="s">
        <v>526</v>
      </c>
      <c r="AL24" s="827" t="s">
        <v>117</v>
      </c>
      <c r="AM24" s="828" t="s">
        <v>347</v>
      </c>
      <c r="AN24" s="828" t="s">
        <v>546</v>
      </c>
      <c r="AO24" s="828" t="s">
        <v>690</v>
      </c>
      <c r="AP24" s="825" t="s">
        <v>716</v>
      </c>
      <c r="AQ24" s="825" t="s">
        <v>689</v>
      </c>
      <c r="AR24" s="1183" t="s">
        <v>526</v>
      </c>
      <c r="AS24" s="827" t="s">
        <v>117</v>
      </c>
      <c r="AT24" s="828" t="s">
        <v>347</v>
      </c>
      <c r="AU24" s="828" t="s">
        <v>546</v>
      </c>
      <c r="AV24" s="828" t="s">
        <v>690</v>
      </c>
      <c r="AW24" s="825" t="s">
        <v>716</v>
      </c>
      <c r="AX24" s="829" t="s">
        <v>689</v>
      </c>
      <c r="AY24" s="739" t="s">
        <v>526</v>
      </c>
      <c r="AZ24" s="799" t="s">
        <v>117</v>
      </c>
      <c r="BA24" s="800" t="s">
        <v>347</v>
      </c>
      <c r="BB24" s="800" t="s">
        <v>546</v>
      </c>
      <c r="BC24" s="800" t="s">
        <v>690</v>
      </c>
      <c r="BD24" s="740" t="s">
        <v>716</v>
      </c>
      <c r="BE24" s="740" t="s">
        <v>689</v>
      </c>
      <c r="BF24" s="1174" t="s">
        <v>526</v>
      </c>
      <c r="BG24" s="799" t="s">
        <v>117</v>
      </c>
      <c r="BH24" s="800" t="s">
        <v>347</v>
      </c>
      <c r="BI24" s="800" t="s">
        <v>546</v>
      </c>
      <c r="BJ24" s="800" t="s">
        <v>690</v>
      </c>
      <c r="BK24" s="740" t="s">
        <v>716</v>
      </c>
      <c r="BL24" s="801" t="s">
        <v>689</v>
      </c>
      <c r="BM24" s="739" t="s">
        <v>526</v>
      </c>
      <c r="BN24" s="799" t="s">
        <v>117</v>
      </c>
      <c r="BO24" s="800" t="s">
        <v>347</v>
      </c>
      <c r="BP24" s="800" t="s">
        <v>546</v>
      </c>
      <c r="BQ24" s="800" t="s">
        <v>690</v>
      </c>
      <c r="BR24" s="740" t="s">
        <v>716</v>
      </c>
      <c r="BS24" s="740" t="s">
        <v>689</v>
      </c>
      <c r="BT24" s="1174" t="s">
        <v>526</v>
      </c>
      <c r="BU24" s="799" t="s">
        <v>117</v>
      </c>
      <c r="BV24" s="800" t="s">
        <v>347</v>
      </c>
      <c r="BW24" s="800" t="s">
        <v>546</v>
      </c>
      <c r="BX24" s="800" t="s">
        <v>690</v>
      </c>
      <c r="BY24" s="740" t="s">
        <v>716</v>
      </c>
      <c r="BZ24" s="801" t="s">
        <v>689</v>
      </c>
      <c r="CA24" s="739" t="s">
        <v>526</v>
      </c>
      <c r="CB24" s="799" t="s">
        <v>117</v>
      </c>
      <c r="CC24" s="800" t="s">
        <v>347</v>
      </c>
      <c r="CD24" s="800" t="s">
        <v>546</v>
      </c>
      <c r="CE24" s="800" t="s">
        <v>690</v>
      </c>
      <c r="CF24" s="740" t="s">
        <v>716</v>
      </c>
      <c r="CG24" s="740" t="s">
        <v>689</v>
      </c>
      <c r="CH24" s="1174" t="s">
        <v>526</v>
      </c>
      <c r="CI24" s="799" t="s">
        <v>117</v>
      </c>
      <c r="CJ24" s="800" t="s">
        <v>347</v>
      </c>
      <c r="CK24" s="800" t="s">
        <v>546</v>
      </c>
      <c r="CL24" s="800" t="s">
        <v>690</v>
      </c>
      <c r="CM24" s="740" t="s">
        <v>716</v>
      </c>
      <c r="CN24" s="801" t="s">
        <v>689</v>
      </c>
      <c r="CO24" s="739" t="s">
        <v>526</v>
      </c>
      <c r="CP24" s="799" t="s">
        <v>117</v>
      </c>
      <c r="CQ24" s="800" t="s">
        <v>347</v>
      </c>
      <c r="CR24" s="800" t="s">
        <v>546</v>
      </c>
      <c r="CS24" s="800" t="s">
        <v>690</v>
      </c>
      <c r="CT24" s="740" t="s">
        <v>716</v>
      </c>
      <c r="CU24" s="740" t="s">
        <v>689</v>
      </c>
      <c r="CV24" s="1174" t="s">
        <v>526</v>
      </c>
      <c r="CW24" s="799" t="s">
        <v>117</v>
      </c>
      <c r="CX24" s="800" t="s">
        <v>347</v>
      </c>
      <c r="CY24" s="800" t="s">
        <v>546</v>
      </c>
      <c r="CZ24" s="800" t="s">
        <v>690</v>
      </c>
      <c r="DA24" s="740" t="s">
        <v>716</v>
      </c>
      <c r="DB24" s="801" t="s">
        <v>689</v>
      </c>
      <c r="DC24" s="739" t="s">
        <v>526</v>
      </c>
      <c r="DD24" s="799" t="s">
        <v>117</v>
      </c>
      <c r="DE24" s="800" t="s">
        <v>347</v>
      </c>
      <c r="DF24" s="800" t="s">
        <v>546</v>
      </c>
      <c r="DG24" s="800" t="s">
        <v>690</v>
      </c>
      <c r="DH24" s="740" t="s">
        <v>716</v>
      </c>
      <c r="DI24" s="740" t="s">
        <v>689</v>
      </c>
      <c r="DJ24" s="1174" t="s">
        <v>526</v>
      </c>
      <c r="DK24" s="799" t="s">
        <v>117</v>
      </c>
      <c r="DL24" s="800" t="s">
        <v>347</v>
      </c>
      <c r="DM24" s="800" t="s">
        <v>546</v>
      </c>
      <c r="DN24" s="800" t="s">
        <v>690</v>
      </c>
      <c r="DO24" s="740" t="s">
        <v>716</v>
      </c>
      <c r="DP24" s="801" t="s">
        <v>689</v>
      </c>
      <c r="DQ24" s="739" t="s">
        <v>526</v>
      </c>
      <c r="DR24" s="799" t="s">
        <v>117</v>
      </c>
      <c r="DS24" s="800" t="s">
        <v>347</v>
      </c>
      <c r="DT24" s="800" t="s">
        <v>546</v>
      </c>
      <c r="DU24" s="800" t="s">
        <v>690</v>
      </c>
      <c r="DV24" s="740" t="s">
        <v>716</v>
      </c>
      <c r="DW24" s="740" t="s">
        <v>689</v>
      </c>
      <c r="DX24" s="1174" t="s">
        <v>526</v>
      </c>
      <c r="DY24" s="799" t="s">
        <v>117</v>
      </c>
      <c r="DZ24" s="800" t="s">
        <v>347</v>
      </c>
      <c r="EA24" s="800" t="s">
        <v>546</v>
      </c>
      <c r="EB24" s="800" t="s">
        <v>690</v>
      </c>
      <c r="EC24" s="740" t="s">
        <v>716</v>
      </c>
      <c r="ED24" s="801" t="s">
        <v>689</v>
      </c>
      <c r="EE24" s="739" t="s">
        <v>526</v>
      </c>
      <c r="EF24" s="799" t="s">
        <v>117</v>
      </c>
      <c r="EG24" s="800" t="s">
        <v>347</v>
      </c>
      <c r="EH24" s="800" t="s">
        <v>546</v>
      </c>
      <c r="EI24" s="800" t="s">
        <v>690</v>
      </c>
      <c r="EJ24" s="740" t="s">
        <v>716</v>
      </c>
      <c r="EK24" s="740" t="s">
        <v>689</v>
      </c>
      <c r="EL24" s="1174" t="s">
        <v>526</v>
      </c>
      <c r="EM24" s="799" t="s">
        <v>117</v>
      </c>
      <c r="EN24" s="800" t="s">
        <v>347</v>
      </c>
      <c r="EO24" s="800" t="s">
        <v>546</v>
      </c>
      <c r="EP24" s="800" t="s">
        <v>690</v>
      </c>
      <c r="EQ24" s="740" t="s">
        <v>716</v>
      </c>
      <c r="ER24" s="801" t="s">
        <v>689</v>
      </c>
      <c r="ES24" s="739" t="s">
        <v>526</v>
      </c>
      <c r="ET24" s="799" t="s">
        <v>117</v>
      </c>
      <c r="EU24" s="800" t="s">
        <v>347</v>
      </c>
      <c r="EV24" s="800" t="s">
        <v>546</v>
      </c>
      <c r="EW24" s="800" t="s">
        <v>690</v>
      </c>
      <c r="EX24" s="740" t="s">
        <v>716</v>
      </c>
      <c r="EY24" s="740" t="s">
        <v>689</v>
      </c>
      <c r="EZ24" s="1174" t="s">
        <v>526</v>
      </c>
      <c r="FA24" s="799" t="s">
        <v>117</v>
      </c>
      <c r="FB24" s="800" t="s">
        <v>347</v>
      </c>
      <c r="FC24" s="800" t="s">
        <v>546</v>
      </c>
      <c r="FD24" s="800" t="s">
        <v>690</v>
      </c>
      <c r="FE24" s="740" t="s">
        <v>716</v>
      </c>
      <c r="FF24" s="801" t="s">
        <v>689</v>
      </c>
      <c r="FG24" s="739" t="s">
        <v>526</v>
      </c>
      <c r="FH24" s="799" t="s">
        <v>117</v>
      </c>
      <c r="FI24" s="800" t="s">
        <v>347</v>
      </c>
      <c r="FJ24" s="800" t="s">
        <v>546</v>
      </c>
      <c r="FK24" s="800" t="s">
        <v>690</v>
      </c>
      <c r="FL24" s="740" t="s">
        <v>716</v>
      </c>
      <c r="FM24" s="740" t="s">
        <v>689</v>
      </c>
      <c r="FN24" s="1174" t="s">
        <v>526</v>
      </c>
      <c r="FO24" s="799" t="s">
        <v>117</v>
      </c>
      <c r="FP24" s="800" t="s">
        <v>347</v>
      </c>
      <c r="FQ24" s="800" t="s">
        <v>546</v>
      </c>
      <c r="FR24" s="800" t="s">
        <v>690</v>
      </c>
      <c r="FS24" s="740" t="s">
        <v>716</v>
      </c>
      <c r="FT24" s="801" t="s">
        <v>689</v>
      </c>
    </row>
    <row r="25" spans="1:176" ht="18" x14ac:dyDescent="0.25">
      <c r="A25" s="816">
        <v>1</v>
      </c>
      <c r="B25" s="2552" t="s">
        <v>576</v>
      </c>
      <c r="C25" s="2553"/>
      <c r="D25" s="2553"/>
      <c r="E25" s="2553"/>
      <c r="F25" s="2554"/>
      <c r="G25" s="792" t="s">
        <v>682</v>
      </c>
      <c r="H25" s="780" t="s">
        <v>451</v>
      </c>
      <c r="I25" s="820">
        <f>$C$72</f>
        <v>1.7935633855332079E-2</v>
      </c>
      <c r="J25" s="821" t="s">
        <v>93</v>
      </c>
      <c r="K25" s="821" t="s">
        <v>373</v>
      </c>
      <c r="L25" s="822">
        <f>IF(K25="normal (k=1)",1,IF(K25="normal (k=2)",2,IF(K25="normal (k=3)",3,IF(K25="rectangular",SQRT(3),IF(K25="triangular",SQRT(6),IF(K25="Prob. U",SQRT(2),"no definido"))))))</f>
        <v>2</v>
      </c>
      <c r="M25" s="823">
        <f>CHOOSE('F-LSCD-012 (Pers. Hp(10))'!V34,I25/L25*I19,I25/L25*I19*1000,I25/L25*I19*1000000,I25/L25*I19*'Datos varios'!$E$119,I25/L25*I19*'Datos varios'!$E$120,I25/L25*I19*'Datos varios'!$E$121,I25/L25*I19*'Datos varios'!$E$122,I25/L25*I19*'Datos varios'!$E$123,I25/L25*I19,"-")</f>
        <v>0.53806901565996235</v>
      </c>
      <c r="N25" s="832">
        <f>M25^2/$M$34^2</f>
        <v>1.2728832554551505E-5</v>
      </c>
      <c r="O25" s="1171" t="s">
        <v>325</v>
      </c>
      <c r="P25" s="1175">
        <f>$C$72</f>
        <v>1.7935633855332079E-2</v>
      </c>
      <c r="Q25" s="821" t="s">
        <v>93</v>
      </c>
      <c r="R25" s="821" t="s">
        <v>373</v>
      </c>
      <c r="S25" s="822">
        <f>IF(R25="normal (k=1)",1,IF(R25="normal (k=2)",2,IF(R25="normal (k=3)",3,IF(R25="rectangular",SQRT(3),IF(R25="triangular",SQRT(6),IF(R25="Prob. U",SQRT(2),"no definido"))))))</f>
        <v>2</v>
      </c>
      <c r="T25" s="823">
        <f>CHOOSE('F-LSCD-012 (Pers. Hp(10))'!V35,P25/S25*P19,P25/S25*P19*1000,P25/S25*P19*1000000,P25/S25*P19*'Datos varios'!$E$119,P25/S25*P19*'Datos varios'!$E$120,P25/S25*P19*'Datos varios'!$E$121,P25/S25*P19*'Datos varios'!$E$122,P25/S25*P19*'Datos varios'!$E$123,P25/S25*P19,"-")</f>
        <v>0.76495478392991312</v>
      </c>
      <c r="U25" s="832">
        <f>T25^2/$T$34^2</f>
        <v>2.588632048498323E-5</v>
      </c>
      <c r="V25" s="824" t="s">
        <v>325</v>
      </c>
      <c r="W25" s="820">
        <f>$C$72</f>
        <v>1.7935633855332079E-2</v>
      </c>
      <c r="X25" s="821" t="s">
        <v>93</v>
      </c>
      <c r="Y25" s="821" t="s">
        <v>373</v>
      </c>
      <c r="Z25" s="822">
        <f>IF(Y25="normal (k=1)",1,IF(Y25="normal (k=2)",2,IF(Y25="normal (k=3)",3,IF(Y25="rectangular",SQRT(3),IF(Y25="triangular",SQRT(6),IF(Y25="Prob. U",SQRT(2),"no definido"))))))</f>
        <v>2</v>
      </c>
      <c r="AA25" s="823" t="str">
        <f>CHOOSE('F-LSCD-012'!V36,W25/Z25*W19,W25/Z25*W19*1000,W25/Z25*W19*1000000,W25/Z25*W19*'Datos varios'!$E$119,W25/Z25*W19*'Datos varios'!$E$120,W25/Z25*W19*'Datos varios'!$E$121,W25/Z25*W19*'Datos varios'!$E$122,W25/Z25*W19*'Datos varios'!$E$123,"-")</f>
        <v>-</v>
      </c>
      <c r="AB25" s="836" t="e">
        <f>AA25^2/$AA$34^2</f>
        <v>#VALUE!</v>
      </c>
      <c r="AC25" s="1171" t="s">
        <v>325</v>
      </c>
      <c r="AD25" s="1175">
        <f>$C$72</f>
        <v>1.7935633855332079E-2</v>
      </c>
      <c r="AE25" s="821" t="s">
        <v>93</v>
      </c>
      <c r="AF25" s="821" t="s">
        <v>373</v>
      </c>
      <c r="AG25" s="822">
        <f>IF(AF25="normal (k=1)",1,IF(AF25="normal (k=2)",2,IF(AF25="normal (k=3)",3,IF(AF25="rectangular",SQRT(3),IF(AF25="triangular",SQRT(6),IF(AF25="Prob. U",SQRT(2),"no definido"))))))</f>
        <v>2</v>
      </c>
      <c r="AH25" s="823" t="str">
        <f>CHOOSE('F-LSCD-012'!V37,AD25/AG25*AD19,AD25/AG25*AD19*1000,AD25/AG25*AD19*1000000,AD25/AG25*AD19*'Datos varios'!$E$119,AD25/AG25*AD19*'Datos varios'!$E$120,AD25/AG25*AD19*'Datos varios'!$E$121,AD25/AG25*AD19*'Datos varios'!$E$122,AD25/AG25*AD19*'Datos varios'!$E$123,"-")</f>
        <v>-</v>
      </c>
      <c r="AI25" s="836" t="e">
        <f>AH25^2/$AH$34^2</f>
        <v>#VALUE!</v>
      </c>
      <c r="AJ25" s="824" t="s">
        <v>325</v>
      </c>
      <c r="AK25" s="820">
        <f>$C$72</f>
        <v>1.7935633855332079E-2</v>
      </c>
      <c r="AL25" s="821" t="s">
        <v>93</v>
      </c>
      <c r="AM25" s="821" t="s">
        <v>373</v>
      </c>
      <c r="AN25" s="822">
        <f>IF(AM25="normal (k=1)",1,IF(AM25="normal (k=2)",2,IF(AM25="normal (k=3)",3,IF(AM25="rectangular",SQRT(3),IF(AM25="triangular",SQRT(6),IF(AM25="Prob. U",SQRT(2),"no definido"))))))</f>
        <v>2</v>
      </c>
      <c r="AO25" s="823" t="str">
        <f>CHOOSE('F-LSCD-012'!V38,AK25/AN25*AK19,AK25/AN25*AK19*1000,AK25/AN25*AK19*1000000,AK25/AN25*AK19*'Datos varios'!$E$119,AK25/AN25*AK19*'Datos varios'!$E$120,AK25/AN25*AK19*'Datos varios'!$E$121,AK25/AN25*AK19*'Datos varios'!$E$122,AK25/AN25*AK19*'Datos varios'!$E$123,"-")</f>
        <v>-</v>
      </c>
      <c r="AP25" s="838" t="e">
        <f>AO25^2/$AO$34^2</f>
        <v>#VALUE!</v>
      </c>
      <c r="AQ25" s="1171" t="s">
        <v>325</v>
      </c>
      <c r="AR25" s="1175">
        <f>$C$72</f>
        <v>1.7935633855332079E-2</v>
      </c>
      <c r="AS25" s="821" t="s">
        <v>93</v>
      </c>
      <c r="AT25" s="821" t="s">
        <v>373</v>
      </c>
      <c r="AU25" s="822">
        <f>IF(AT25="normal (k=1)",1,IF(AT25="normal (k=2)",2,IF(AT25="normal (k=3)",3,IF(AT25="rectangular",SQRT(3),IF(AT25="triangular",SQRT(6),IF(AT25="Prob. U",SQRT(2),"no definido"))))))</f>
        <v>2</v>
      </c>
      <c r="AV25" s="823" t="str">
        <f>CHOOSE('F-LSCD-012'!V39,AR25/AU25*AR19,AR25/AU25*AR19*1000,AR25/AU25*AR19*1000000,AR25/AU25*AR19*'Datos varios'!$E$119,AR25/AU25*AR19*'Datos varios'!$E$120,AR25/AU25*AR19*'Datos varios'!$E$121,AR25/AU25*AR19*'Datos varios'!$E$122,AR25/AU25*AR19*'Datos varios'!$E$123,"-")</f>
        <v>-</v>
      </c>
      <c r="AW25" s="838" t="e">
        <f>AV25^2/$AV$34^2</f>
        <v>#VALUE!</v>
      </c>
      <c r="AX25" s="824" t="s">
        <v>325</v>
      </c>
      <c r="AY25" s="820">
        <f>$C$72</f>
        <v>1.7935633855332079E-2</v>
      </c>
      <c r="AZ25" s="821" t="s">
        <v>93</v>
      </c>
      <c r="BA25" s="821" t="s">
        <v>373</v>
      </c>
      <c r="BB25" s="822">
        <f>IF(BA25="normal (k=1)",1,IF(BA25="normal (k=2)",2,IF(BA25="normal (k=3)",3,IF(BA25="rectangular",SQRT(3),IF(BA25="triangular",SQRT(6),IF(BA25="Prob. U",SQRT(2),"no definido"))))))</f>
        <v>2</v>
      </c>
      <c r="BC25" s="823" t="str">
        <f>CHOOSE('F-LSCD-012'!V40,AY25/BB25*AY19,AY25/BB25*AY19*1000,AY25/BB25*AY19*1000000,AY25/BB25*AY19*'Datos varios'!$E$119,AY25/BB25*AY19*'Datos varios'!$E$120,AY25/BB25*AY19*'Datos varios'!$E$121,AY25/BB25*AY19*'Datos varios'!$E$122,AY25/BB25*AY19*'Datos varios'!$E$123,"-")</f>
        <v>-</v>
      </c>
      <c r="BD25" s="838" t="e">
        <f>BC25^2/$BC$34^2</f>
        <v>#VALUE!</v>
      </c>
      <c r="BE25" s="1167" t="s">
        <v>325</v>
      </c>
      <c r="BF25" s="1175">
        <f>$C$72</f>
        <v>1.7935633855332079E-2</v>
      </c>
      <c r="BG25" s="821" t="s">
        <v>93</v>
      </c>
      <c r="BH25" s="821" t="s">
        <v>373</v>
      </c>
      <c r="BI25" s="822">
        <f>IF(BH25="normal (k=1)",1,IF(BH25="normal (k=2)",2,IF(BH25="normal (k=3)",3,IF(BH25="rectangular",SQRT(3),IF(BH25="triangular",SQRT(6),IF(BH25="Prob. U",SQRT(2),"no definido"))))))</f>
        <v>2</v>
      </c>
      <c r="BJ25" s="823" t="str">
        <f>CHOOSE('F-LSCD-012'!V41,BF25/BI25*BF19,BF25/BI25*BF19*1000,BF25/BI25*BF19*1000000,BF25/BI25*BF19*'Datos varios'!$E$119,BF25/BI25*BF19*'Datos varios'!$E$120,BF25/BI25*BF19*'Datos varios'!$E$121,BF25/BI25*BF19*'Datos varios'!$E$122,BF25/BI25*BF19*'Datos varios'!$E$123,"-")</f>
        <v>-</v>
      </c>
      <c r="BK25" s="838" t="e">
        <f>BJ25^2/$BJ$34^2</f>
        <v>#VALUE!</v>
      </c>
      <c r="BL25" s="842" t="s">
        <v>325</v>
      </c>
      <c r="BM25" s="820">
        <f>$C$72</f>
        <v>1.7935633855332079E-2</v>
      </c>
      <c r="BN25" s="821" t="s">
        <v>93</v>
      </c>
      <c r="BO25" s="821" t="s">
        <v>373</v>
      </c>
      <c r="BP25" s="822">
        <f>IF(BO25="normal (k=1)",1,IF(BO25="normal (k=2)",2,IF(BO25="normal (k=3)",3,IF(BO25="rectangular",SQRT(3),IF(BO25="triangular",SQRT(6),IF(BO25="Prob. U",SQRT(2),"no definido"))))))</f>
        <v>2</v>
      </c>
      <c r="BQ25" s="823" t="str">
        <f>CHOOSE('F-LSCD-012'!V42,BM25/BP25*BM19,BM25/BP25*BM19*1000,BM25/BP25*BM19*1000000,BM25/BP25*BM19*'Datos varios'!$E$119,BM25/BP25*BM19*'Datos varios'!$E$120,BM25/BP25*BM19*'Datos varios'!$E$121,BM25/BP25*BM19*'Datos varios'!$E$122,BM25/BP25*BM19*'Datos varios'!$E$123,"-")</f>
        <v>-</v>
      </c>
      <c r="BR25" s="838" t="e">
        <f>BQ25^2/$BQ$34^2</f>
        <v>#VALUE!</v>
      </c>
      <c r="BS25" s="1171" t="s">
        <v>325</v>
      </c>
      <c r="BT25" s="1175">
        <f>$C$72</f>
        <v>1.7935633855332079E-2</v>
      </c>
      <c r="BU25" s="821" t="s">
        <v>93</v>
      </c>
      <c r="BV25" s="821" t="s">
        <v>373</v>
      </c>
      <c r="BW25" s="822">
        <f>IF(BV25="normal (k=1)",1,IF(BV25="normal (k=2)",2,IF(BV25="normal (k=3)",3,IF(BV25="rectangular",SQRT(3),IF(BV25="triangular",SQRT(6),IF(BV25="Prob. U",SQRT(2),"no definido"))))))</f>
        <v>2</v>
      </c>
      <c r="BX25" s="823" t="str">
        <f>CHOOSE('F-LSCD-012'!V43,BT25/BW25*BT19,BT25/BW25*BT19*1000,BT25/BW25*BT19*1000000,BT25/BW25*BT19*'Datos varios'!$E$119,BT25/BW25*BT19*'Datos varios'!$E$120,BT25/BW25*BT19*'Datos varios'!$E$121,BT25/BW25*BT19*'Datos varios'!$E$122,BT25/BW25*BT19*'Datos varios'!$E$123,"-")</f>
        <v>-</v>
      </c>
      <c r="BY25" s="838" t="e">
        <f>BX25^2/$BX$34^2</f>
        <v>#VALUE!</v>
      </c>
      <c r="BZ25" s="824" t="s">
        <v>325</v>
      </c>
      <c r="CA25" s="820">
        <f>$C$72</f>
        <v>1.7935633855332079E-2</v>
      </c>
      <c r="CB25" s="821" t="s">
        <v>93</v>
      </c>
      <c r="CC25" s="821" t="s">
        <v>373</v>
      </c>
      <c r="CD25" s="822">
        <f>IF(CC25="normal (k=1)",1,IF(CC25="normal (k=2)",2,IF(CC25="normal (k=3)",3,IF(CC25="rectangular",SQRT(3),IF(CC25="triangular",SQRT(6),IF(CC25="Prob. U",SQRT(2),"no definido"))))))</f>
        <v>2</v>
      </c>
      <c r="CE25" s="823" t="str">
        <f>CHOOSE('F-LSCD-012'!V44,CA25/CD25*CA19,CA25/CD25*CA19*1000,CA25/CD25*CA19*1000000,CA25/CD25*CA19*'Datos varios'!$E$119,CA25/CD25*CA19*'Datos varios'!$E$120,CA25/CD25*CA19*'Datos varios'!$E$121,CA25/CD25*CA19*'Datos varios'!$E$122,CA25/CD25*CA19*'Datos varios'!$E$123,"-")</f>
        <v>-</v>
      </c>
      <c r="CF25" s="844" t="e">
        <f t="shared" ref="CF25:CF32" si="0">CE25^2/$CE$34^2</f>
        <v>#VALUE!</v>
      </c>
      <c r="CG25" s="1171" t="s">
        <v>325</v>
      </c>
      <c r="CH25" s="1175">
        <f>$C$72</f>
        <v>1.7935633855332079E-2</v>
      </c>
      <c r="CI25" s="821" t="s">
        <v>93</v>
      </c>
      <c r="CJ25" s="821" t="s">
        <v>373</v>
      </c>
      <c r="CK25" s="822">
        <f>IF(CJ25="normal (k=1)",1,IF(CJ25="normal (k=2)",2,IF(CJ25="normal (k=3)",3,IF(CJ25="rectangular",SQRT(3),IF(CJ25="triangular",SQRT(6),IF(CJ25="Prob. U",SQRT(2),"no definido"))))))</f>
        <v>2</v>
      </c>
      <c r="CL25" s="823" t="str">
        <f>CHOOSE('F-LSCD-012'!V45,CH25/CK25*CH19,CH25/CK25*CH19*1000,CH25/CK25*CH19*1000000,CH25/CK25*CH19*'Datos varios'!$E$119,CH25/CK25*CH19*'Datos varios'!$E$120,CH25/CK25*CH19*'Datos varios'!$E$121,CH25/CK25*CH19*'Datos varios'!$E$122,CH25/CK25*CH19*'Datos varios'!$E$123,"-")</f>
        <v>-</v>
      </c>
      <c r="CM25" s="844" t="e">
        <f>CL25^2/$CL$34^2</f>
        <v>#VALUE!</v>
      </c>
      <c r="CN25" s="824" t="s">
        <v>325</v>
      </c>
      <c r="CO25" s="820">
        <f>$C$72</f>
        <v>1.7935633855332079E-2</v>
      </c>
      <c r="CP25" s="821" t="s">
        <v>373</v>
      </c>
      <c r="CQ25" s="821" t="s">
        <v>373</v>
      </c>
      <c r="CR25" s="822">
        <f t="shared" ref="CR25:CR33" si="1">IF(CQ25="normal (k=1)",1,IF(CQ25="normal (k=2)",2,IF(CQ25="normal (k=3)",3,IF(CQ25="rectangular",SQRT(3),IF(CQ25="triangular",SQRT(6),IF(CQ25="Prob. U",SQRT(2),"no definido"))))))</f>
        <v>2</v>
      </c>
      <c r="CS25" s="823" t="str">
        <f>CHOOSE('F-LSCD-012'!V46,CO25/CR25*CO19,CO25/CR25*CO19*1000,CO25/CR25*CO19*1000000,CO25/CR25*CO19*'Datos varios'!$E$119,CO25/CR25*CO19*'Datos varios'!$E$120,CO25/CR25*CO19*'Datos varios'!$E$121,CO25/CR25*CO19*'Datos varios'!$E$122,CO25/CR25*CO19*'Datos varios'!$E$123,"-")</f>
        <v>-</v>
      </c>
      <c r="CT25" s="844" t="e">
        <f t="shared" ref="CT25:CT33" si="2">CS25^2/$CS$34^2</f>
        <v>#VALUE!</v>
      </c>
      <c r="CU25" s="1171" t="s">
        <v>325</v>
      </c>
      <c r="CV25" s="1175">
        <f>$C$72</f>
        <v>1.7935633855332079E-2</v>
      </c>
      <c r="CW25" s="821" t="s">
        <v>373</v>
      </c>
      <c r="CX25" s="821" t="s">
        <v>373</v>
      </c>
      <c r="CY25" s="822">
        <f>IF(CX25="normal (k=1)",1,IF(CX25="normal (k=2)",2,IF(CX25="normal (k=3)",3,IF(CX25="rectangular",SQRT(3),IF(CX25="triangular",SQRT(6),IF(CX25="Prob. U",SQRT(2),"no definido"))))))</f>
        <v>2</v>
      </c>
      <c r="CZ25" s="823" t="str">
        <f>CHOOSE('F-LSCD-012'!V47,CV25/CY25*CV19,CV25/CY25*CV19*1000,CV25/CY25*CV19*1000000,CV25/CY25*CV19*'Datos varios'!$E$119,CV25/CY25*CV19*'Datos varios'!$E$120,CV25/CY25*CV19*'Datos varios'!$E$121,CV25/CY25*CV19*'Datos varios'!$E$122,CV25/CY25*CV19*'Datos varios'!$E$123,"-")</f>
        <v>-</v>
      </c>
      <c r="DA25" s="844" t="e">
        <f>CZ25^2/$CZ$34^2</f>
        <v>#VALUE!</v>
      </c>
      <c r="DB25" s="824" t="s">
        <v>325</v>
      </c>
      <c r="DC25" s="820">
        <f>$C$72</f>
        <v>1.7935633855332079E-2</v>
      </c>
      <c r="DD25" s="821" t="s">
        <v>93</v>
      </c>
      <c r="DE25" s="821" t="s">
        <v>373</v>
      </c>
      <c r="DF25" s="822">
        <f>IF(DE25="normal (k=1)",1,IF(DE25="normal (k=2)",2,IF(DE25="normal (k=3)",3,IF(DE25="rectangular",SQRT(3),IF(DE25="triangular",SQRT(6),IF(DE25="Prob. U",SQRT(2),"no definido"))))))</f>
        <v>2</v>
      </c>
      <c r="DG25" s="823" t="str">
        <f>CHOOSE('F-LSCD-012'!V48,DC25/DF25*DC19,DC25/DF25*DC19*1000,DC25/DF25*DC19*1000000,DC25/DF25*DC19*'Datos varios'!$E$119,DC25/DF25*DC19*'Datos varios'!$E$120,DC25/DF25*DC19*'Datos varios'!$E$121,DC25/DF25*DC19*'Datos varios'!$E$122,DC25/DF25*DC19*'Datos varios'!$E$123,"-")</f>
        <v>-</v>
      </c>
      <c r="DH25" s="838" t="e">
        <f>DG25^2/$DG$34^2</f>
        <v>#VALUE!</v>
      </c>
      <c r="DI25" s="1171" t="s">
        <v>325</v>
      </c>
      <c r="DJ25" s="1175">
        <f>$C$72</f>
        <v>1.7935633855332079E-2</v>
      </c>
      <c r="DK25" s="821" t="s">
        <v>93</v>
      </c>
      <c r="DL25" s="821" t="s">
        <v>373</v>
      </c>
      <c r="DM25" s="822">
        <f>IF(DL25="normal (k=1)",1,IF(DL25="normal (k=2)",2,IF(DL25="normal (k=3)",3,IF(DL25="rectangular",SQRT(3),IF(DL25="triangular",SQRT(6),IF(DL25="Prob. U",SQRT(2),"no definido"))))))</f>
        <v>2</v>
      </c>
      <c r="DN25" s="823" t="str">
        <f>CHOOSE('F-LSCD-012'!V49,DJ25/DM25*DJ19,DJ25/DM25*DJ19*1000,DJ25/DM25*DJ19*1000000,DJ25/DM25*DJ19*'Datos varios'!$E$119,DJ25/DM25*DJ19*'Datos varios'!$E$120,DJ25/DM25*DJ19*'Datos varios'!$E$121,DJ25/DM25*DJ19*'Datos varios'!$E$122,DJ25/DM25*DJ19*'Datos varios'!$E$123,"-")</f>
        <v>-</v>
      </c>
      <c r="DO25" s="838" t="e">
        <f>DN25^2/$DN$34^2</f>
        <v>#VALUE!</v>
      </c>
      <c r="DP25" s="824" t="s">
        <v>325</v>
      </c>
      <c r="DQ25" s="820">
        <f>$C$72</f>
        <v>1.7935633855332079E-2</v>
      </c>
      <c r="DR25" s="821" t="s">
        <v>93</v>
      </c>
      <c r="DS25" s="821" t="s">
        <v>373</v>
      </c>
      <c r="DT25" s="822">
        <f>IF(DS25="normal (k=1)",1,IF(DS25="normal (k=2)",2,IF(DS25="normal (k=3)",3,IF(DS25="rectangular",SQRT(3),IF(DS25="triangular",SQRT(6),IF(DS25="Prob. U",SQRT(2),"no definido"))))))</f>
        <v>2</v>
      </c>
      <c r="DU25" s="823" t="str">
        <f>CHOOSE('F-LSCD-012'!V50,DQ25/DT25*DQ19,DQ25/DT25*DQ19*1000,DQ25/DT25*DQ19*1000000,DQ25/DT25*DQ19*'Datos varios'!$E$119,DQ25/DT25*DQ19*'Datos varios'!$E$120,DQ25/DT25*DQ19*'Datos varios'!$E$121,DQ25/DT25*DQ19*'Datos varios'!$E$122,DQ25/DT25*DQ19*'Datos varios'!$E$123,"-")</f>
        <v>-</v>
      </c>
      <c r="DV25" s="838" t="e">
        <f t="shared" ref="DV25:DV32" si="3">DU25^2/$DU$34^2</f>
        <v>#VALUE!</v>
      </c>
      <c r="DW25" s="1171" t="s">
        <v>325</v>
      </c>
      <c r="DX25" s="1175">
        <f>$C$72</f>
        <v>1.7935633855332079E-2</v>
      </c>
      <c r="DY25" s="821" t="s">
        <v>93</v>
      </c>
      <c r="DZ25" s="821" t="s">
        <v>373</v>
      </c>
      <c r="EA25" s="822">
        <f>IF(DZ25="normal (k=1)",1,IF(DZ25="normal (k=2)",2,IF(DZ25="normal (k=3)",3,IF(DZ25="rectangular",SQRT(3),IF(DZ25="triangular",SQRT(6),IF(DZ25="Prob. U",SQRT(2),"no definido"))))))</f>
        <v>2</v>
      </c>
      <c r="EB25" s="823" t="str">
        <f>CHOOSE('F-LSCD-012'!V51,DX25/EA25*DX19,DX25/EA25*DX19*1000,DX25/EA25*DX19*1000000,DX25/EA25*DX19*'Datos varios'!$E$119,DX25/EA25*DX19*'Datos varios'!$E$120,DX25/EA25*DX19*'Datos varios'!$E$121,DX25/EA25*DX19*'Datos varios'!$E$122,DX25/EA25*DX19*'Datos varios'!$E$123,"-")</f>
        <v>-</v>
      </c>
      <c r="EC25" s="838" t="e">
        <f>EB25^2/$EB$34^2</f>
        <v>#VALUE!</v>
      </c>
      <c r="ED25" s="824" t="s">
        <v>325</v>
      </c>
      <c r="EE25" s="820">
        <f>$C$72</f>
        <v>1.7935633855332079E-2</v>
      </c>
      <c r="EF25" s="821" t="s">
        <v>93</v>
      </c>
      <c r="EG25" s="821" t="s">
        <v>373</v>
      </c>
      <c r="EH25" s="822">
        <f>IF(EG25="normal (k=1)",1,IF(EG25="normal (k=2)",2,IF(EG25="normal (k=3)",3,IF(EG25="rectangular",SQRT(3),IF(EG25="triangular",SQRT(6),IF(EG25="Prob. U",SQRT(2),"no definido"))))))</f>
        <v>2</v>
      </c>
      <c r="EI25" s="823" t="str">
        <f>CHOOSE('F-LSCD-012'!V52,EE25/EH25*EE19,EE25/EH25*EE19*1000,EE25/EH25*EE19*1000000,EE25/EH25*EE19*'Datos varios'!$E$119,EE25/EH25*EE19*'Datos varios'!$E$120,EE25/EH25*EE19*'Datos varios'!$E$121,EE25/EH25*EE19*'Datos varios'!$E$122,EE25/EH25*EE19*'Datos varios'!$E$123,"-")</f>
        <v>-</v>
      </c>
      <c r="EJ25" s="838" t="e">
        <f>EI25^2/$EI$34^2</f>
        <v>#VALUE!</v>
      </c>
      <c r="EK25" s="1171" t="s">
        <v>325</v>
      </c>
      <c r="EL25" s="1175">
        <f>$C$72</f>
        <v>1.7935633855332079E-2</v>
      </c>
      <c r="EM25" s="821" t="s">
        <v>93</v>
      </c>
      <c r="EN25" s="821" t="s">
        <v>373</v>
      </c>
      <c r="EO25" s="822">
        <f>IF(EN25="normal (k=1)",1,IF(EN25="normal (k=2)",2,IF(EN25="normal (k=3)",3,IF(EN25="rectangular",SQRT(3),IF(EN25="triangular",SQRT(6),IF(EN25="Prob. U",SQRT(2),"no definido"))))))</f>
        <v>2</v>
      </c>
      <c r="EP25" s="823" t="str">
        <f>CHOOSE('F-LSCD-012'!V53,EL25/EO25*EL19,EL25/EO25*EL19*1000,EL25/EO25*EL19*1000000,EL25/EO25*EL19*'Datos varios'!$E$119,EL25/EO25*EL19*'Datos varios'!$E$120,EL25/EO25*EL19*'Datos varios'!$E$121,EL25/EO25*EL19*'Datos varios'!$E$122,EL25/EO25*EL19*'Datos varios'!$E$123,"-")</f>
        <v>-</v>
      </c>
      <c r="EQ25" s="838" t="e">
        <f>EP25^2/$EP$34^2</f>
        <v>#VALUE!</v>
      </c>
      <c r="ER25" s="824" t="s">
        <v>325</v>
      </c>
      <c r="ES25" s="820">
        <f>$C$72</f>
        <v>1.7935633855332079E-2</v>
      </c>
      <c r="ET25" s="821" t="s">
        <v>93</v>
      </c>
      <c r="EU25" s="821" t="s">
        <v>373</v>
      </c>
      <c r="EV25" s="822">
        <f>IF(EU25="normal (k=1)",1,IF(EU25="normal (k=2)",2,IF(EU25="normal (k=3)",3,IF(EU25="rectangular",SQRT(3),IF(EU25="triangular",SQRT(6),IF(EU25="Prob. U",SQRT(2),"no definido"))))))</f>
        <v>2</v>
      </c>
      <c r="EW25" s="823" t="str">
        <f>CHOOSE('F-LSCD-012'!V54,ES25/EV25*ES19,ES25/EV25*ES19*1000,ES25/EV25*ES19*1000000,ES25/EV25*ES19*'Datos varios'!$E$119,ES25/EV25*ES19*'Datos varios'!$E$120,ES25/EV25*ES19*'Datos varios'!$E$121,ES25/EV25*ES19*'Datos varios'!$E$122,ES25/EV25*ES19*'Datos varios'!$E$123,"-")</f>
        <v>-</v>
      </c>
      <c r="EX25" s="838" t="e">
        <f>EW25^2/$EW$34^2</f>
        <v>#VALUE!</v>
      </c>
      <c r="EY25" s="1171" t="s">
        <v>325</v>
      </c>
      <c r="EZ25" s="1175">
        <f>$C$72</f>
        <v>1.7935633855332079E-2</v>
      </c>
      <c r="FA25" s="821" t="s">
        <v>93</v>
      </c>
      <c r="FB25" s="821" t="s">
        <v>373</v>
      </c>
      <c r="FC25" s="822">
        <f>IF(FB25="normal (k=1)",1,IF(FB25="normal (k=2)",2,IF(FB25="normal (k=3)",3,IF(FB25="rectangular",SQRT(3),IF(FB25="triangular",SQRT(6),IF(FB25="Prob. U",SQRT(2),"no definido"))))))</f>
        <v>2</v>
      </c>
      <c r="FD25" s="823" t="str">
        <f>CHOOSE('F-LSCD-012'!V55,EZ25/FC25*EZ19,EZ25/FC25*EZ19*1000,EZ25/FC25*EZ19*1000000,EZ25/FC25*EZ19*'Datos varios'!$E$119,EZ25/FC25*EZ19*'Datos varios'!$E$120,EZ25/FC25*EZ19*'Datos varios'!$E$121,EZ25/FC25*EZ19*'Datos varios'!$E$122,EZ25/FC25*EZ19*'Datos varios'!$E$123,"-")</f>
        <v>-</v>
      </c>
      <c r="FE25" s="838" t="e">
        <f>FD25^2/$FD$34^2</f>
        <v>#VALUE!</v>
      </c>
      <c r="FF25" s="824" t="s">
        <v>325</v>
      </c>
      <c r="FG25" s="820">
        <f>$C$72</f>
        <v>1.7935633855332079E-2</v>
      </c>
      <c r="FH25" s="821" t="s">
        <v>93</v>
      </c>
      <c r="FI25" s="821" t="s">
        <v>373</v>
      </c>
      <c r="FJ25" s="822">
        <f>IF(FI25="normal (k=1)",1,IF(FI25="normal (k=2)",2,IF(FI25="normal (k=3)",3,IF(FI25="rectangular",SQRT(3),IF(FI25="triangular",SQRT(6),IF(FI25="Prob. U",SQRT(2),"no definido"))))))</f>
        <v>2</v>
      </c>
      <c r="FK25" s="823" t="str">
        <f>CHOOSE('F-LSCD-012'!V56,FG25/FJ25*FG19,FG25/FJ25*FG19*1000,FG25/FJ25*FG19*1000000,FG25/FJ25*FG19*'Datos varios'!$E$119,FG25/FJ25*FG19*'Datos varios'!$E$120,FG25/FJ25*FG19*'Datos varios'!$E$121,FG25/FJ25*FG19*'Datos varios'!$E$122,FG25/FJ25*FG19*'Datos varios'!$E$123,"-")</f>
        <v>-</v>
      </c>
      <c r="FL25" s="838" t="e">
        <f>FK25^2/$FK$34^2</f>
        <v>#VALUE!</v>
      </c>
      <c r="FM25" s="1171" t="s">
        <v>325</v>
      </c>
      <c r="FN25" s="1175">
        <f>$C$72</f>
        <v>1.7935633855332079E-2</v>
      </c>
      <c r="FO25" s="821" t="s">
        <v>93</v>
      </c>
      <c r="FP25" s="821" t="s">
        <v>373</v>
      </c>
      <c r="FQ25" s="822">
        <f t="shared" ref="FQ25:FQ33" si="4">IF(FP25="normal (k=1)",1,IF(FP25="normal (k=2)",2,IF(FP25="normal (k=3)",3,IF(FP25="rectangular",SQRT(3),IF(FP25="triangular",SQRT(6),IF(FP25="Prob. U",SQRT(2),"no definido"))))))</f>
        <v>2</v>
      </c>
      <c r="FR25" s="823" t="str">
        <f>CHOOSE('F-LSCD-012'!V57,FN25/FQ25*FN19,FN25/FQ25*FN19*1000,FN25/FQ25*FN19*1000000,FN25/FQ25*FN19*'Datos varios'!$E$119,FN25/FQ25*FN19*'Datos varios'!$E$120,FN25/FQ25*FN19*'Datos varios'!$E$121,FN25/FQ25*FN19*'Datos varios'!$E$122,FN25/FQ25*FN19*'Datos varios'!$E$123,"-")</f>
        <v>-</v>
      </c>
      <c r="FS25" s="838" t="e">
        <f>FR25^2/$FR$34^2</f>
        <v>#VALUE!</v>
      </c>
      <c r="FT25" s="824" t="s">
        <v>325</v>
      </c>
    </row>
    <row r="26" spans="1:176" ht="18" x14ac:dyDescent="0.25">
      <c r="A26" s="741">
        <v>2</v>
      </c>
      <c r="B26" s="2555" t="s">
        <v>341</v>
      </c>
      <c r="C26" s="2556"/>
      <c r="D26" s="2556"/>
      <c r="E26" s="2556"/>
      <c r="F26" s="2557"/>
      <c r="G26" s="793" t="s">
        <v>618</v>
      </c>
      <c r="H26" s="781" t="s">
        <v>451</v>
      </c>
      <c r="I26" s="803">
        <f>$C$86</f>
        <v>6.8804228560584869E-4</v>
      </c>
      <c r="J26" s="804" t="s">
        <v>93</v>
      </c>
      <c r="K26" s="804" t="s">
        <v>370</v>
      </c>
      <c r="L26" s="805">
        <f>IF(K26="normal (k=1)",1,IF(K26="normal (k=2)",2,IF(K26="normal (k=3)",3,IF(K26="rectangular",SQRT(3),IF(K26="triangular",SQRT(6),IF(K26="Prob. U",SQRT(2),"no definido"))))))</f>
        <v>1.7320508075688772</v>
      </c>
      <c r="M26" s="814">
        <f>CHOOSE('F-LSCD-012'!V34,I26/L26*I19,I26/L26*I19*1000,I26/L26*I19*1000000,I26/L26*I19*'Datos varios'!$E$119,I26/L26*I19*'Datos varios'!$E$120,I26/L26*I19*'Datos varios'!$E$121,I26/L26*I19*'Datos varios'!$E$122,I26/L26*I19*'Datos varios'!$E$123,I26/L26*I19,"-")</f>
        <v>0.23834483928502931</v>
      </c>
      <c r="N26" s="833">
        <f>M26^2/$M$34^2</f>
        <v>2.4976070454436776E-6</v>
      </c>
      <c r="O26" s="1172" t="s">
        <v>325</v>
      </c>
      <c r="P26" s="1176">
        <f>$C$86</f>
        <v>6.8804228560584869E-4</v>
      </c>
      <c r="Q26" s="804" t="s">
        <v>93</v>
      </c>
      <c r="R26" s="804" t="s">
        <v>370</v>
      </c>
      <c r="S26" s="805">
        <f>IF(R26="normal (k=1)",1,IF(R26="normal (k=2)",2,IF(R26="normal (k=3)",3,IF(R26="rectangular",SQRT(3),IF(R26="triangular",SQRT(6),IF(R26="Prob. U",SQRT(2),"no definido"))))))</f>
        <v>1.7320508075688772</v>
      </c>
      <c r="T26" s="814">
        <f>CHOOSE('F-LSCD-012 (Pers. Hp(10))'!V35,P26/S26*P19,P26/S26*P19*1000,P26/S26*P19*1000000,P26/S26*P19*'Datos varios'!$E$119,P26/S26*P19*'Datos varios'!$E$120,P26/S26*P19*'Datos varios'!$E$121,P26/S26*P19*'Datos varios'!$E$122,P26/S26*P19*'Datos varios'!$E$123,P26/S26*P19,"-")</f>
        <v>3.3884691318354997E-2</v>
      </c>
      <c r="U26" s="833">
        <f>T26^2/$T$34^2</f>
        <v>5.0793233508903796E-8</v>
      </c>
      <c r="V26" s="812" t="s">
        <v>325</v>
      </c>
      <c r="W26" s="803">
        <f>$C$86</f>
        <v>6.8804228560584869E-4</v>
      </c>
      <c r="X26" s="804" t="s">
        <v>93</v>
      </c>
      <c r="Y26" s="804" t="s">
        <v>370</v>
      </c>
      <c r="Z26" s="805">
        <f>IF(Y26="normal (k=1)",1,IF(Y26="normal (k=2)",2,IF(Y26="normal (k=3)",3,IF(Y26="rectangular",SQRT(3),IF(Y26="triangular",SQRT(6),IF(Y26="Prob. U",SQRT(2),"no definido"))))))</f>
        <v>1.7320508075688772</v>
      </c>
      <c r="AA26" s="814" t="str">
        <f>CHOOSE('F-LSCD-012'!V36,W26/Z26*W19,W26/Z26*W19*1000,W26/Z26*W19*1000000,W26/Z26*W19*'Datos varios'!$E$119,W26/Z26*W19*'Datos varios'!$E$120,W26/Z26*W19*'Datos varios'!$E$121,W26/Z26*W19*'Datos varios'!$E$122,W26/Z26*W19*'Datos varios'!$E$123,"-")</f>
        <v>-</v>
      </c>
      <c r="AB26" s="835" t="e">
        <f t="shared" ref="AB26:AB32" si="5">AA26^2/$AA$34^2</f>
        <v>#VALUE!</v>
      </c>
      <c r="AC26" s="1172" t="s">
        <v>325</v>
      </c>
      <c r="AD26" s="1176">
        <f>$C$86</f>
        <v>6.8804228560584869E-4</v>
      </c>
      <c r="AE26" s="804" t="s">
        <v>93</v>
      </c>
      <c r="AF26" s="804" t="s">
        <v>370</v>
      </c>
      <c r="AG26" s="805">
        <f>IF(AF26="normal (k=1)",1,IF(AF26="normal (k=2)",2,IF(AF26="normal (k=3)",3,IF(AF26="rectangular",SQRT(3),IF(AF26="triangular",SQRT(6),IF(AF26="Prob. U",SQRT(2),"no definido"))))))</f>
        <v>1.7320508075688772</v>
      </c>
      <c r="AH26" s="814" t="str">
        <f>CHOOSE('F-LSCD-012'!V37,AD26/AG26*AD19,AD26/AG26*AD19*1000,AD26/AG26*AD19*1000000,AD26/AG26*AD19*'Datos varios'!$E$119,AD26/AG26*AD19*'Datos varios'!$E$120,AD26/AG26*AD19*'Datos varios'!$E$121,AD26/AG26*AD19*'Datos varios'!$E$122,AD26/AG26*AD19*'Datos varios'!$E$123,"-")</f>
        <v>-</v>
      </c>
      <c r="AI26" s="835" t="e">
        <f>AH26^2/$AH$34^2</f>
        <v>#VALUE!</v>
      </c>
      <c r="AJ26" s="812" t="s">
        <v>325</v>
      </c>
      <c r="AK26" s="803">
        <f>$C$86</f>
        <v>6.8804228560584869E-4</v>
      </c>
      <c r="AL26" s="804" t="s">
        <v>93</v>
      </c>
      <c r="AM26" s="804" t="s">
        <v>370</v>
      </c>
      <c r="AN26" s="805">
        <f>IF(AM26="normal (k=1)",1,IF(AM26="normal (k=2)",2,IF(AM26="normal (k=3)",3,IF(AM26="rectangular",SQRT(3),IF(AM26="triangular",SQRT(6),IF(AM26="Prob. U",SQRT(2),"no definido"))))))</f>
        <v>1.7320508075688772</v>
      </c>
      <c r="AO26" s="814" t="str">
        <f>CHOOSE('F-LSCD-012'!V38,AK26/AN26*AK19,AK26/AN26*AK19*1000,AK26/AN26*AK19*1000000,AK26/AN26*AK19*'Datos varios'!$E$119,AK26/AN26*AK19*'Datos varios'!$E$120,AK26/AN26*AK19*'Datos varios'!$E$121,AK26/AN26*AK19*'Datos varios'!$E$122,AK26/AN26*AK19*'Datos varios'!$E$123,"-")</f>
        <v>-</v>
      </c>
      <c r="AP26" s="839" t="e">
        <f t="shared" ref="AP26:AP33" si="6">AO26^2/$AO$34^2</f>
        <v>#VALUE!</v>
      </c>
      <c r="AQ26" s="1172" t="s">
        <v>325</v>
      </c>
      <c r="AR26" s="1176">
        <f>$C$86</f>
        <v>6.8804228560584869E-4</v>
      </c>
      <c r="AS26" s="804" t="s">
        <v>93</v>
      </c>
      <c r="AT26" s="804" t="s">
        <v>370</v>
      </c>
      <c r="AU26" s="805">
        <f>IF(AT26="normal (k=1)",1,IF(AT26="normal (k=2)",2,IF(AT26="normal (k=3)",3,IF(AT26="rectangular",SQRT(3),IF(AT26="triangular",SQRT(6),IF(AT26="Prob. U",SQRT(2),"no definido"))))))</f>
        <v>1.7320508075688772</v>
      </c>
      <c r="AV26" s="814" t="str">
        <f>CHOOSE('F-LSCD-012'!V39,AR26/AU26*AR19,AR26/AU26*AR19*1000,AR26/AU26*AR19*1000000,AR26/AU26*AR19*'Datos varios'!$E$119,AR26/AU26*AR19*'Datos varios'!$E$120,AR26/AU26*AR19*'Datos varios'!$E$121,AR26/AU26*AR19*'Datos varios'!$E$122,AR26/AU26*AR19*'Datos varios'!$E$123,"-")</f>
        <v>-</v>
      </c>
      <c r="AW26" s="839" t="e">
        <f>AV26^2/$AV$34^2</f>
        <v>#VALUE!</v>
      </c>
      <c r="AX26" s="812" t="s">
        <v>325</v>
      </c>
      <c r="AY26" s="803">
        <f>$C$86</f>
        <v>6.8804228560584869E-4</v>
      </c>
      <c r="AZ26" s="804" t="s">
        <v>93</v>
      </c>
      <c r="BA26" s="804" t="s">
        <v>370</v>
      </c>
      <c r="BB26" s="805">
        <f>IF(BA26="normal (k=1)",1,IF(BA26="normal (k=2)",2,IF(BA26="normal (k=3)",3,IF(BA26="rectangular",SQRT(3),IF(BA26="triangular",SQRT(6),IF(BA26="Prob. U",SQRT(2),"no definido"))))))</f>
        <v>1.7320508075688772</v>
      </c>
      <c r="BC26" s="814" t="str">
        <f>CHOOSE('F-LSCD-012'!V40,AY26/BB26*AY19,AY26/BB26*AY19*1000,AY26/BB26*AY19*1000000,AY26/BB26*AY19*'Datos varios'!$E$119,AY26/BB26*AY19*'Datos varios'!$E$120,AY26/BB26*AY19*'Datos varios'!$E$121,AY26/BB26*AY19*'Datos varios'!$E$122,AY26/BB26*AY19*'Datos varios'!$E$123,"-")</f>
        <v>-</v>
      </c>
      <c r="BD26" s="839" t="e">
        <f t="shared" ref="BD26:BD33" si="7">BC26^2/$BC$34^2</f>
        <v>#VALUE!</v>
      </c>
      <c r="BE26" s="1168" t="s">
        <v>325</v>
      </c>
      <c r="BF26" s="1176">
        <f>$C$86</f>
        <v>6.8804228560584869E-4</v>
      </c>
      <c r="BG26" s="804" t="s">
        <v>93</v>
      </c>
      <c r="BH26" s="804" t="s">
        <v>370</v>
      </c>
      <c r="BI26" s="805">
        <f>IF(BH26="normal (k=1)",1,IF(BH26="normal (k=2)",2,IF(BH26="normal (k=3)",3,IF(BH26="rectangular",SQRT(3),IF(BH26="triangular",SQRT(6),IF(BH26="Prob. U",SQRT(2),"no definido"))))))</f>
        <v>1.7320508075688772</v>
      </c>
      <c r="BJ26" s="814" t="str">
        <f>CHOOSE('F-LSCD-012'!V41,BF26/BI26*BF19,BF26/BI26*BF19*1000,BF26/BI26*BF19*1000000,BF26/BI26*BF19*'Datos varios'!$E$119,BF26/BI26*BF19*'Datos varios'!$E$120,BF26/BI26*BF19*'Datos varios'!$E$121,BF26/BI26*BF19*'Datos varios'!$E$122,BF26/BI26*BF19*'Datos varios'!$E$123,"-")</f>
        <v>-</v>
      </c>
      <c r="BK26" s="839" t="e">
        <f>BJ26^2/$BJ$34^2</f>
        <v>#VALUE!</v>
      </c>
      <c r="BL26" s="830" t="s">
        <v>325</v>
      </c>
      <c r="BM26" s="803">
        <f>$C$86</f>
        <v>6.8804228560584869E-4</v>
      </c>
      <c r="BN26" s="804" t="s">
        <v>93</v>
      </c>
      <c r="BO26" s="804" t="s">
        <v>370</v>
      </c>
      <c r="BP26" s="805">
        <f>IF(BO26="normal (k=1)",1,IF(BO26="normal (k=2)",2,IF(BO26="normal (k=3)",3,IF(BO26="rectangular",SQRT(3),IF(BO26="triangular",SQRT(6),IF(BO26="Prob. U",SQRT(2),"no definido"))))))</f>
        <v>1.7320508075688772</v>
      </c>
      <c r="BQ26" s="814" t="str">
        <f>CHOOSE('F-LSCD-012'!V42,BM26/BP26*BM19,BM26/BP26*BM19*1000,BM26/BP26*BM19*1000000,BM26/BP26*BM19*'Datos varios'!$E$119,BM26/BP26*BM19*'Datos varios'!$E$120,BM26/BP26*BM19*'Datos varios'!$E$121,BM26/BP26*BM19*'Datos varios'!$E$122,BM26/BP26*BM19*'Datos varios'!$E$123,"-")</f>
        <v>-</v>
      </c>
      <c r="BR26" s="841" t="e">
        <f t="shared" ref="BR26:BR32" si="8">BQ26^2/$BQ$34^2</f>
        <v>#VALUE!</v>
      </c>
      <c r="BS26" s="1172" t="s">
        <v>325</v>
      </c>
      <c r="BT26" s="1176">
        <f>$C$86</f>
        <v>6.8804228560584869E-4</v>
      </c>
      <c r="BU26" s="804" t="s">
        <v>93</v>
      </c>
      <c r="BV26" s="804" t="s">
        <v>370</v>
      </c>
      <c r="BW26" s="805">
        <f>IF(BV26="normal (k=1)",1,IF(BV26="normal (k=2)",2,IF(BV26="normal (k=3)",3,IF(BV26="rectangular",SQRT(3),IF(BV26="triangular",SQRT(6),IF(BV26="Prob. U",SQRT(2),"no definido"))))))</f>
        <v>1.7320508075688772</v>
      </c>
      <c r="BX26" s="814" t="str">
        <f>CHOOSE('F-LSCD-012'!V43,BT26/BW26*BT19,BT26/BW26*BT19*1000,BT26/BW26*BT19*1000000,BT26/BW26*BT19*'Datos varios'!$E$119,BT26/BW26*BT19*'Datos varios'!$E$120,BT26/BW26*BT19*'Datos varios'!$E$121,BT26/BW26*BT19*'Datos varios'!$E$122,BT26/BW26*BT19*'Datos varios'!$E$123,"-")</f>
        <v>-</v>
      </c>
      <c r="BY26" s="841" t="e">
        <f>BX26^2/$BX$34^2</f>
        <v>#VALUE!</v>
      </c>
      <c r="BZ26" s="812" t="s">
        <v>325</v>
      </c>
      <c r="CA26" s="803">
        <f>$C$86</f>
        <v>6.8804228560584869E-4</v>
      </c>
      <c r="CB26" s="804" t="s">
        <v>93</v>
      </c>
      <c r="CC26" s="804" t="s">
        <v>370</v>
      </c>
      <c r="CD26" s="805">
        <f>IF(CC26="normal (k=1)",1,IF(CC26="normal (k=2)",2,IF(CC26="normal (k=3)",3,IF(CC26="rectangular",SQRT(3),IF(CC26="triangular",SQRT(6),IF(CC26="Prob. U",SQRT(2),"no definido"))))))</f>
        <v>1.7320508075688772</v>
      </c>
      <c r="CE26" s="814" t="str">
        <f>CHOOSE('F-LSCD-012'!V44,CA26/CD26*CA19,CA26/CD26*CA19*1000,CA26/CD26*CA19*1000000,CA26/CD26*CA19*'Datos varios'!$E$119,CA26/CD26*CA19*'Datos varios'!$E$120,CA26/CD26*CA19*'Datos varios'!$E$121,CA26/CD26*CA19*'Datos varios'!$E$122,CA26/CD26*CA19*'Datos varios'!$E$123,"-")</f>
        <v>-</v>
      </c>
      <c r="CF26" s="845" t="e">
        <f t="shared" si="0"/>
        <v>#VALUE!</v>
      </c>
      <c r="CG26" s="1172" t="s">
        <v>325</v>
      </c>
      <c r="CH26" s="1176">
        <f>$C$86</f>
        <v>6.8804228560584869E-4</v>
      </c>
      <c r="CI26" s="804" t="s">
        <v>93</v>
      </c>
      <c r="CJ26" s="804" t="s">
        <v>370</v>
      </c>
      <c r="CK26" s="805">
        <f>IF(CJ26="normal (k=1)",1,IF(CJ26="normal (k=2)",2,IF(CJ26="normal (k=3)",3,IF(CJ26="rectangular",SQRT(3),IF(CJ26="triangular",SQRT(6),IF(CJ26="Prob. U",SQRT(2),"no definido"))))))</f>
        <v>1.7320508075688772</v>
      </c>
      <c r="CL26" s="814" t="str">
        <f>CHOOSE('F-LSCD-012'!V45,CH26/CK26*CH19,CH26/CK26*CH19*1000,CH26/CK26*CH19*1000000,CH26/CK26*CH19*'Datos varios'!$E$119,CH26/CK26*CH19*'Datos varios'!$E$120,CH26/CK26*CH19*'Datos varios'!$E$121,CH26/CK26*CH19*'Datos varios'!$E$122,CH26/CK26*CH19*'Datos varios'!$E$123,"-")</f>
        <v>-</v>
      </c>
      <c r="CM26" s="845" t="e">
        <f>CL26^2/$CL$34^2</f>
        <v>#VALUE!</v>
      </c>
      <c r="CN26" s="812" t="s">
        <v>325</v>
      </c>
      <c r="CO26" s="803">
        <f>$C$86</f>
        <v>6.8804228560584869E-4</v>
      </c>
      <c r="CP26" s="804" t="s">
        <v>370</v>
      </c>
      <c r="CQ26" s="804" t="s">
        <v>370</v>
      </c>
      <c r="CR26" s="805">
        <f t="shared" si="1"/>
        <v>1.7320508075688772</v>
      </c>
      <c r="CS26" s="814" t="str">
        <f>CHOOSE('F-LSCD-012'!V46,CO26/CR26*CO19,CO26/CR26*CO19*1000,CO26/CR26*CO19*1000000,CO26/CR26*CO19*'Datos varios'!$E$119,CO26/CR26*CO19*'Datos varios'!$E$120,CO26/CR26*CO19*'Datos varios'!$E$121,CO26/CR26*CO19*'Datos varios'!$E$122,CO26/CR26*CO19*'Datos varios'!$E$123,"-")</f>
        <v>-</v>
      </c>
      <c r="CT26" s="845" t="e">
        <f t="shared" si="2"/>
        <v>#VALUE!</v>
      </c>
      <c r="CU26" s="1172" t="s">
        <v>325</v>
      </c>
      <c r="CV26" s="1176">
        <f>$C$86</f>
        <v>6.8804228560584869E-4</v>
      </c>
      <c r="CW26" s="804" t="s">
        <v>370</v>
      </c>
      <c r="CX26" s="804" t="s">
        <v>370</v>
      </c>
      <c r="CY26" s="805">
        <f>IF(CX26="normal (k=1)",1,IF(CX26="normal (k=2)",2,IF(CX26="normal (k=3)",3,IF(CX26="rectangular",SQRT(3),IF(CX26="triangular",SQRT(6),IF(CX26="Prob. U",SQRT(2),"no definido"))))))</f>
        <v>1.7320508075688772</v>
      </c>
      <c r="CZ26" s="814" t="str">
        <f>CHOOSE('F-LSCD-012'!V47,CV26/CY26*CV19,CV26/CY26*CV19*1000,CV26/CY26*CV19*1000000,CV26/CY26*CV19*'Datos varios'!$E$119,CV26/CY26*CV19*'Datos varios'!$E$120,CV26/CY26*CV19*'Datos varios'!$E$121,CV26/CY26*CV19*'Datos varios'!$E$122,CV26/CY26*CV19*'Datos varios'!$E$123,"-")</f>
        <v>-</v>
      </c>
      <c r="DA26" s="845" t="e">
        <f>CZ26^2/$CZ$34^2</f>
        <v>#VALUE!</v>
      </c>
      <c r="DB26" s="812" t="s">
        <v>325</v>
      </c>
      <c r="DC26" s="803">
        <f>$C$86</f>
        <v>6.8804228560584869E-4</v>
      </c>
      <c r="DD26" s="804" t="s">
        <v>93</v>
      </c>
      <c r="DE26" s="804" t="s">
        <v>370</v>
      </c>
      <c r="DF26" s="805">
        <f>IF(DE26="normal (k=1)",1,IF(DE26="normal (k=2)",2,IF(DE26="normal (k=3)",3,IF(DE26="rectangular",SQRT(3),IF(DE26="triangular",SQRT(6),IF(DE26="Prob. U",SQRT(2),"no definido"))))))</f>
        <v>1.7320508075688772</v>
      </c>
      <c r="DG26" s="814" t="str">
        <f>CHOOSE('F-LSCD-012'!V48,DC26/DF26*DC19,DC26/DF26*DC19*1000,DC26/DF26*DC19*1000000,DC26/DF26*DC19*'Datos varios'!$E$119,DC26/DF26*DC19*'Datos varios'!$E$120,DC26/DF26*DC19*'Datos varios'!$E$121,DC26/DF26*DC19*'Datos varios'!$E$122,DC26/DF26*DC19*'Datos varios'!$E$123,"-")</f>
        <v>-</v>
      </c>
      <c r="DH26" s="839" t="e">
        <f t="shared" ref="DH26:DH32" si="9">DG26^2/$DG$34^2</f>
        <v>#VALUE!</v>
      </c>
      <c r="DI26" s="1172" t="s">
        <v>325</v>
      </c>
      <c r="DJ26" s="1176">
        <f>$C$86</f>
        <v>6.8804228560584869E-4</v>
      </c>
      <c r="DK26" s="804" t="s">
        <v>93</v>
      </c>
      <c r="DL26" s="804" t="s">
        <v>370</v>
      </c>
      <c r="DM26" s="805">
        <f>IF(DL26="normal (k=1)",1,IF(DL26="normal (k=2)",2,IF(DL26="normal (k=3)",3,IF(DL26="rectangular",SQRT(3),IF(DL26="triangular",SQRT(6),IF(DL26="Prob. U",SQRT(2),"no definido"))))))</f>
        <v>1.7320508075688772</v>
      </c>
      <c r="DN26" s="814" t="str">
        <f>CHOOSE('F-LSCD-012'!V49,DJ26/DM26*DJ19,DJ26/DM26*DJ19*1000,DJ26/DM26*DJ19*1000000,DJ26/DM26*DJ19*'Datos varios'!$E$119,DJ26/DM26*DJ19*'Datos varios'!$E$120,DJ26/DM26*DJ19*'Datos varios'!$E$121,DJ26/DM26*DJ19*'Datos varios'!$E$122,DJ26/DM26*DJ19*'Datos varios'!$E$123,"-")</f>
        <v>-</v>
      </c>
      <c r="DO26" s="839" t="e">
        <f>DN26^2/$DN$34^2</f>
        <v>#VALUE!</v>
      </c>
      <c r="DP26" s="812" t="s">
        <v>325</v>
      </c>
      <c r="DQ26" s="803">
        <f>$C$86</f>
        <v>6.8804228560584869E-4</v>
      </c>
      <c r="DR26" s="804" t="s">
        <v>93</v>
      </c>
      <c r="DS26" s="804" t="s">
        <v>370</v>
      </c>
      <c r="DT26" s="805">
        <f>IF(DS26="normal (k=1)",1,IF(DS26="normal (k=2)",2,IF(DS26="normal (k=3)",3,IF(DS26="rectangular",SQRT(3),IF(DS26="triangular",SQRT(6),IF(DS26="Prob. U",SQRT(2),"no definido"))))))</f>
        <v>1.7320508075688772</v>
      </c>
      <c r="DU26" s="814" t="str">
        <f>CHOOSE('F-LSCD-012'!V50,DQ26/DT26*DQ19,DQ26/DT26*DQ19*1000,DQ26/DT26*DQ19*1000000,DQ26/DT26*DQ19*'Datos varios'!$E$119,DQ26/DT26*DQ19*'Datos varios'!$E$120,DQ26/DT26*DQ19*'Datos varios'!$E$121,DQ26/DT26*DQ19*'Datos varios'!$E$122,DQ26/DT26*DQ19*'Datos varios'!$E$123,"-")</f>
        <v>-</v>
      </c>
      <c r="DV26" s="839" t="e">
        <f t="shared" si="3"/>
        <v>#VALUE!</v>
      </c>
      <c r="DW26" s="1172" t="s">
        <v>325</v>
      </c>
      <c r="DX26" s="1176">
        <f>$C$86</f>
        <v>6.8804228560584869E-4</v>
      </c>
      <c r="DY26" s="804" t="s">
        <v>93</v>
      </c>
      <c r="DZ26" s="804" t="s">
        <v>370</v>
      </c>
      <c r="EA26" s="805">
        <f>IF(DZ26="normal (k=1)",1,IF(DZ26="normal (k=2)",2,IF(DZ26="normal (k=3)",3,IF(DZ26="rectangular",SQRT(3),IF(DZ26="triangular",SQRT(6),IF(DZ26="Prob. U",SQRT(2),"no definido"))))))</f>
        <v>1.7320508075688772</v>
      </c>
      <c r="EB26" s="814" t="str">
        <f>CHOOSE('F-LSCD-012'!V51,DX26/EA26*DX19,DX26/EA26*DX19*1000,DX26/EA26*DX19*1000000,DX26/EA26*DX19*'Datos varios'!$E$119,DX26/EA26*DX19*'Datos varios'!$E$120,DX26/EA26*DX19*'Datos varios'!$E$121,DX26/EA26*DX19*'Datos varios'!$E$122,DX26/EA26*DX19*'Datos varios'!$E$123,"-")</f>
        <v>-</v>
      </c>
      <c r="EC26" s="839" t="e">
        <f>EB26^2/$EB$34^2</f>
        <v>#VALUE!</v>
      </c>
      <c r="ED26" s="812" t="s">
        <v>325</v>
      </c>
      <c r="EE26" s="803">
        <f>$C$86</f>
        <v>6.8804228560584869E-4</v>
      </c>
      <c r="EF26" s="804" t="s">
        <v>93</v>
      </c>
      <c r="EG26" s="804" t="s">
        <v>370</v>
      </c>
      <c r="EH26" s="805">
        <f>IF(EG26="normal (k=1)",1,IF(EG26="normal (k=2)",2,IF(EG26="normal (k=3)",3,IF(EG26="rectangular",SQRT(3),IF(EG26="triangular",SQRT(6),IF(EG26="Prob. U",SQRT(2),"no definido"))))))</f>
        <v>1.7320508075688772</v>
      </c>
      <c r="EI26" s="814" t="str">
        <f>CHOOSE('F-LSCD-012'!V52,EE26/EH26*EE19,EE26/EH26*EE19*1000,EE26/EH26*EE19*1000000,EE26/EH26*EE19*'Datos varios'!$E$119,EE26/EH26*EE19*'Datos varios'!$E$120,EE26/EH26*EE19*'Datos varios'!$E$121,EE26/EH26*EE19*'Datos varios'!$E$122,EE26/EH26*EE19*'Datos varios'!$E$123,"-")</f>
        <v>-</v>
      </c>
      <c r="EJ26" s="839" t="e">
        <f>EI26^2/$EI$34^2</f>
        <v>#VALUE!</v>
      </c>
      <c r="EK26" s="1172" t="s">
        <v>325</v>
      </c>
      <c r="EL26" s="1176">
        <f>$C$86</f>
        <v>6.8804228560584869E-4</v>
      </c>
      <c r="EM26" s="804" t="s">
        <v>93</v>
      </c>
      <c r="EN26" s="804" t="s">
        <v>370</v>
      </c>
      <c r="EO26" s="805">
        <f>IF(EN26="normal (k=1)",1,IF(EN26="normal (k=2)",2,IF(EN26="normal (k=3)",3,IF(EN26="rectangular",SQRT(3),IF(EN26="triangular",SQRT(6),IF(EN26="Prob. U",SQRT(2),"no definido"))))))</f>
        <v>1.7320508075688772</v>
      </c>
      <c r="EP26" s="814" t="str">
        <f>CHOOSE('F-LSCD-012'!V53,EL26/EO26*EL19,EL26/EO26*EL19*1000,EL26/EO26*EL19*1000000,EL26/EO26*EL19*'Datos varios'!$E$119,EL26/EO26*EL19*'Datos varios'!$E$120,EL26/EO26*EL19*'Datos varios'!$E$121,EL26/EO26*EL19*'Datos varios'!$E$122,EL26/EO26*EL19*'Datos varios'!$E$123,"-")</f>
        <v>-</v>
      </c>
      <c r="EQ26" s="839" t="e">
        <f>EP26^2/$EP$34^2</f>
        <v>#VALUE!</v>
      </c>
      <c r="ER26" s="812" t="s">
        <v>325</v>
      </c>
      <c r="ES26" s="803">
        <f>$C$86</f>
        <v>6.8804228560584869E-4</v>
      </c>
      <c r="ET26" s="804" t="s">
        <v>93</v>
      </c>
      <c r="EU26" s="804" t="s">
        <v>370</v>
      </c>
      <c r="EV26" s="805">
        <f>IF(EU26="normal (k=1)",1,IF(EU26="normal (k=2)",2,IF(EU26="normal (k=3)",3,IF(EU26="rectangular",SQRT(3),IF(EU26="triangular",SQRT(6),IF(EU26="Prob. U",SQRT(2),"no definido"))))))</f>
        <v>1.7320508075688772</v>
      </c>
      <c r="EW26" s="814" t="str">
        <f>CHOOSE('F-LSCD-012'!V54,ES26/EV26*ES19,ES26/EV26*ES19*1000,ES26/EV26*ES19*1000000,ES26/EV26*ES19*'Datos varios'!$E$119,ES26/EV26*ES19*'Datos varios'!$E$120,ES26/EV26*ES19*'Datos varios'!$E$121,ES26/EV26*ES19*'Datos varios'!$E$122,ES26/EV26*ES19*'Datos varios'!$E$123,"-")</f>
        <v>-</v>
      </c>
      <c r="EX26" s="839" t="e">
        <f>EW26^2/$EW$34^2</f>
        <v>#VALUE!</v>
      </c>
      <c r="EY26" s="1172" t="s">
        <v>325</v>
      </c>
      <c r="EZ26" s="1176">
        <f>$C$86</f>
        <v>6.8804228560584869E-4</v>
      </c>
      <c r="FA26" s="804" t="s">
        <v>93</v>
      </c>
      <c r="FB26" s="804" t="s">
        <v>370</v>
      </c>
      <c r="FC26" s="805">
        <f>IF(FB26="normal (k=1)",1,IF(FB26="normal (k=2)",2,IF(FB26="normal (k=3)",3,IF(FB26="rectangular",SQRT(3),IF(FB26="triangular",SQRT(6),IF(FB26="Prob. U",SQRT(2),"no definido"))))))</f>
        <v>1.7320508075688772</v>
      </c>
      <c r="FD26" s="814" t="str">
        <f>CHOOSE('F-LSCD-012'!V55,EZ26/FC26*EZ19,EZ26/FC26*EZ19*1000,EZ26/FC26*EZ19*1000000,EZ26/FC26*EZ19*'Datos varios'!$E$119,EZ26/FC26*EZ19*'Datos varios'!$E$120,EZ26/FC26*EZ19*'Datos varios'!$E$121,EZ26/FC26*EZ19*'Datos varios'!$E$122,EZ26/FC26*EZ19*'Datos varios'!$E$123,"-")</f>
        <v>-</v>
      </c>
      <c r="FE26" s="839" t="e">
        <f>FD26^2/$FD$34^2</f>
        <v>#VALUE!</v>
      </c>
      <c r="FF26" s="812" t="s">
        <v>325</v>
      </c>
      <c r="FG26" s="803">
        <f>$C$86</f>
        <v>6.8804228560584869E-4</v>
      </c>
      <c r="FH26" s="804" t="s">
        <v>93</v>
      </c>
      <c r="FI26" s="804" t="s">
        <v>370</v>
      </c>
      <c r="FJ26" s="805">
        <f>IF(FI26="normal (k=1)",1,IF(FI26="normal (k=2)",2,IF(FI26="normal (k=3)",3,IF(FI26="rectangular",SQRT(3),IF(FI26="triangular",SQRT(6),IF(FI26="Prob. U",SQRT(2),"no definido"))))))</f>
        <v>1.7320508075688772</v>
      </c>
      <c r="FK26" s="814" t="str">
        <f>CHOOSE('F-LSCD-012'!V56,FG26/FJ26*FG19,FG26/FJ26*FG19*1000,FG26/FJ26*FG19*1000000,FG26/FJ26*FG19*'Datos varios'!$E$119,FG26/FJ26*FG19*'Datos varios'!$E$120,FG26/FJ26*FG19*'Datos varios'!$E$121,FG26/FJ26*FG19*'Datos varios'!$E$122,FG26/FJ26*FG19*'Datos varios'!$E$123,"-")</f>
        <v>-</v>
      </c>
      <c r="FL26" s="839" t="e">
        <f>FK26^2/$FK$34^2</f>
        <v>#VALUE!</v>
      </c>
      <c r="FM26" s="1172" t="s">
        <v>325</v>
      </c>
      <c r="FN26" s="1176">
        <f>$C$86</f>
        <v>6.8804228560584869E-4</v>
      </c>
      <c r="FO26" s="804" t="s">
        <v>93</v>
      </c>
      <c r="FP26" s="804" t="s">
        <v>370</v>
      </c>
      <c r="FQ26" s="805">
        <f t="shared" si="4"/>
        <v>1.7320508075688772</v>
      </c>
      <c r="FR26" s="814" t="str">
        <f>CHOOSE('F-LSCD-012'!V57,FN26/FQ26*FN19,FN26/FQ26*FN19*1000,FN26/FQ26*FN19*1000000,FN26/FQ26*FN19*'Datos varios'!$E$119,FN26/FQ26*FN19*'Datos varios'!$E$120,FN26/FQ26*FN19*'Datos varios'!$E$121,FN26/FQ26*FN19*'Datos varios'!$E$122,FN26/FQ26*FN19*'Datos varios'!$E$123,"-")</f>
        <v>-</v>
      </c>
      <c r="FS26" s="839" t="e">
        <f>FR26^2/$FR$34^2</f>
        <v>#VALUE!</v>
      </c>
      <c r="FT26" s="812" t="s">
        <v>325</v>
      </c>
    </row>
    <row r="27" spans="1:176" ht="18" x14ac:dyDescent="0.25">
      <c r="A27" s="741">
        <v>3</v>
      </c>
      <c r="B27" s="2555" t="s">
        <v>342</v>
      </c>
      <c r="C27" s="2556"/>
      <c r="D27" s="2556"/>
      <c r="E27" s="2556"/>
      <c r="F27" s="2557"/>
      <c r="G27" s="793" t="s">
        <v>619</v>
      </c>
      <c r="H27" s="781" t="s">
        <v>450</v>
      </c>
      <c r="I27" s="806">
        <f>CHOOSE('F-LSCD-012 (Pers. Hp(10))'!V34,I20/SQRT(I22),I20/SQRT(I22)*1000,I20/SQRT(I22)*1000000,I20/SQRT(I22)*'Datos varios'!$E$119,I20/SQRT(I22)*'Datos varios'!$E$120,I20/SQRT(I22)*'Datos varios'!$E$121,I20/SQRT(I22)*'Datos varios'!$E$122,I20/SQRT(I22)*'Datos varios'!$E$123,I20/SQRT(I22),"-")</f>
        <v>0</v>
      </c>
      <c r="J27" s="1166" t="s">
        <v>325</v>
      </c>
      <c r="K27" s="804" t="s">
        <v>372</v>
      </c>
      <c r="L27" s="805">
        <f t="shared" ref="L27:L33" si="10">IF(K27="normal (k=1)",1,IF(K27="normal (k=2)",2,IF(K27="normal (k=3)",3,IF(K27="rectangular",SQRT(3),IF(K27="triangular",SQRT(6),IF(K27="Prob. U",SQRT(2),"no definido"))))))</f>
        <v>1</v>
      </c>
      <c r="M27" s="807">
        <f>I27/L27</f>
        <v>0</v>
      </c>
      <c r="N27" s="833">
        <f t="shared" ref="N27:N33" si="11">M27^2/$M$34^2</f>
        <v>0</v>
      </c>
      <c r="O27" s="1172" t="s">
        <v>325</v>
      </c>
      <c r="P27" s="1177">
        <f>CHOOSE('F-LSCD-012 (Pers. Hp(10))'!V35,P20/SQRT(P22),P20/SQRT(P22)*1000,P20/SQRT(P22)*1000000,P20/SQRT(P22)*'Datos varios'!$E$119,P20/SQRT(P22)*'Datos varios'!$E$120,P20/SQRT(P22)*'Datos varios'!$E$121,P20/SQRT(P22)*'Datos varios'!$E$122,P20/SQRT(P22)*'Datos varios'!$E$123,P20/SQRT(P22),"-")</f>
        <v>1.0333333333333332</v>
      </c>
      <c r="Q27" s="1166" t="s">
        <v>325</v>
      </c>
      <c r="R27" s="804" t="s">
        <v>372</v>
      </c>
      <c r="S27" s="805">
        <f t="shared" ref="S27:S33" si="12">IF(R27="normal (k=1)",1,IF(R27="normal (k=2)",2,IF(R27="normal (k=3)",3,IF(R27="rectangular",SQRT(3),IF(R27="triangular",SQRT(6),IF(R27="Prob. U",SQRT(2),"no definido"))))))</f>
        <v>1</v>
      </c>
      <c r="T27" s="807">
        <f>P27/S27</f>
        <v>1.0333333333333332</v>
      </c>
      <c r="U27" s="833">
        <f t="shared" ref="U27:U32" si="13">T27^2/$T$34^2</f>
        <v>4.7236713279998779E-5</v>
      </c>
      <c r="V27" s="812" t="s">
        <v>325</v>
      </c>
      <c r="W27" s="806" t="str">
        <f>CHOOSE('F-LSCD-012'!V36,W20/SQRT(W22),W20/SQRT(W22)*1000,W20/SQRT(W22)*1000000,W20/SQRT(W22)*'Datos varios'!$E$119,W20/SQRT(W22)*'Datos varios'!$E$120,W20/SQRT(W22)*'Datos varios'!$E$121,W20/SQRT(W22)*'Datos varios'!$E$122,W20/SQRT(W22)*'Datos varios'!$E$123,"-")</f>
        <v>-</v>
      </c>
      <c r="X27" s="804" t="s">
        <v>325</v>
      </c>
      <c r="Y27" s="804" t="s">
        <v>372</v>
      </c>
      <c r="Z27" s="805">
        <f t="shared" ref="Z27:Z33" si="14">IF(Y27="normal (k=1)",1,IF(Y27="normal (k=2)",2,IF(Y27="normal (k=3)",3,IF(Y27="rectangular",SQRT(3),IF(Y27="triangular",SQRT(6),IF(Y27="Prob. U",SQRT(2),"no definido"))))))</f>
        <v>1</v>
      </c>
      <c r="AA27" s="807" t="e">
        <f>W27/Z27</f>
        <v>#VALUE!</v>
      </c>
      <c r="AB27" s="835" t="e">
        <f t="shared" si="5"/>
        <v>#VALUE!</v>
      </c>
      <c r="AC27" s="1172" t="s">
        <v>325</v>
      </c>
      <c r="AD27" s="1177" t="str">
        <f>CHOOSE('F-LSCD-012'!V37,AD20/SQRT(AD22),AD20/SQRT(AD22)*1000,AD20/SQRT(AD22)*1000000,AD20/SQRT(AD22)*'Datos varios'!$E$119,AD20/SQRT(AD22)*'Datos varios'!$E$120,AD20/SQRT(AD22)*'Datos varios'!$E$121,AD20/SQRT(AD22)*'Datos varios'!$E$122,AD20/SQRT(AD22)*'Datos varios'!$E$123,"-")</f>
        <v>-</v>
      </c>
      <c r="AE27" s="804" t="s">
        <v>325</v>
      </c>
      <c r="AF27" s="804" t="s">
        <v>372</v>
      </c>
      <c r="AG27" s="805">
        <f t="shared" ref="AG27:AG33" si="15">IF(AF27="normal (k=1)",1,IF(AF27="normal (k=2)",2,IF(AF27="normal (k=3)",3,IF(AF27="rectangular",SQRT(3),IF(AF27="triangular",SQRT(6),IF(AF27="Prob. U",SQRT(2),"no definido"))))))</f>
        <v>1</v>
      </c>
      <c r="AH27" s="807" t="e">
        <f>AD27/AG27</f>
        <v>#VALUE!</v>
      </c>
      <c r="AI27" s="835" t="e">
        <f t="shared" ref="AI27:AI32" si="16">AH27^2/$AH$34^2</f>
        <v>#VALUE!</v>
      </c>
      <c r="AJ27" s="812" t="s">
        <v>325</v>
      </c>
      <c r="AK27" s="806" t="str">
        <f>CHOOSE('F-LSCD-012'!V38,AK20/SQRT(AK22),AK20/SQRT(AK22)*1000,AK20/SQRT(AK22)*1000000,AK20/SQRT(AK22)*'Datos varios'!$E$119,AK20/SQRT(AK22)*'Datos varios'!$E$120,AK20/SQRT(AK22)*'Datos varios'!$E$121,AK20/SQRT(AK22)*'Datos varios'!$E$122,AK20/SQRT(AK22)*'Datos varios'!$E$123,"-")</f>
        <v>-</v>
      </c>
      <c r="AL27" s="804" t="s">
        <v>325</v>
      </c>
      <c r="AM27" s="804" t="s">
        <v>372</v>
      </c>
      <c r="AN27" s="805">
        <f t="shared" ref="AN27:AN33" si="17">IF(AM27="normal (k=1)",1,IF(AM27="normal (k=2)",2,IF(AM27="normal (k=3)",3,IF(AM27="rectangular",SQRT(3),IF(AM27="triangular",SQRT(6),IF(AM27="Prob. U",SQRT(2),"no definido"))))))</f>
        <v>1</v>
      </c>
      <c r="AO27" s="807" t="e">
        <f>AK27/AN27</f>
        <v>#VALUE!</v>
      </c>
      <c r="AP27" s="839" t="e">
        <f t="shared" si="6"/>
        <v>#VALUE!</v>
      </c>
      <c r="AQ27" s="1172" t="s">
        <v>325</v>
      </c>
      <c r="AR27" s="1177" t="str">
        <f>CHOOSE('F-LSCD-012'!V39,AR20/SQRT(AR22),AR20/SQRT(AR22)*1000,AR20/SQRT(AR22)*1000000,AR20/SQRT(AR22)*'Datos varios'!$E$119,AR20/SQRT(AR22)*'Datos varios'!$E$120,AR20/SQRT(AR22)*'Datos varios'!$E$121,AR20/SQRT(AR22)*'Datos varios'!$E$122,AR20/SQRT(AR22)*'Datos varios'!$E$123,"-")</f>
        <v>-</v>
      </c>
      <c r="AS27" s="804" t="s">
        <v>325</v>
      </c>
      <c r="AT27" s="804" t="s">
        <v>372</v>
      </c>
      <c r="AU27" s="805">
        <f t="shared" ref="AU27:AU33" si="18">IF(AT27="normal (k=1)",1,IF(AT27="normal (k=2)",2,IF(AT27="normal (k=3)",3,IF(AT27="rectangular",SQRT(3),IF(AT27="triangular",SQRT(6),IF(AT27="Prob. U",SQRT(2),"no definido"))))))</f>
        <v>1</v>
      </c>
      <c r="AV27" s="807" t="e">
        <f>AR27/AU27</f>
        <v>#VALUE!</v>
      </c>
      <c r="AW27" s="839" t="e">
        <f t="shared" ref="AW27:AW32" si="19">AV27^2/$AV$34^2</f>
        <v>#VALUE!</v>
      </c>
      <c r="AX27" s="812" t="s">
        <v>325</v>
      </c>
      <c r="AY27" s="806" t="str">
        <f>CHOOSE('F-LSCD-012'!V40,AY20/SQRT(AY22),AY20/SQRT(AY22)*1000,AY20/SQRT(AY22)*1000000,AY20/SQRT(AY22)*'Datos varios'!$E$119,AY20/SQRT(AY22)*'Datos varios'!$E$120,AY20/SQRT(AY22)*'Datos varios'!$E$121,AY20/SQRT(AY22)*'Datos varios'!$E$122,AY20/SQRT(AY22)*'Datos varios'!$E$123,"-")</f>
        <v>-</v>
      </c>
      <c r="AZ27" s="804" t="s">
        <v>325</v>
      </c>
      <c r="BA27" s="804" t="s">
        <v>372</v>
      </c>
      <c r="BB27" s="805">
        <f t="shared" ref="BB27:BB33" si="20">IF(BA27="normal (k=1)",1,IF(BA27="normal (k=2)",2,IF(BA27="normal (k=3)",3,IF(BA27="rectangular",SQRT(3),IF(BA27="triangular",SQRT(6),IF(BA27="Prob. U",SQRT(2),"no definido"))))))</f>
        <v>1</v>
      </c>
      <c r="BC27" s="818" t="e">
        <f>AY27/BB27</f>
        <v>#VALUE!</v>
      </c>
      <c r="BD27" s="839" t="e">
        <f t="shared" si="7"/>
        <v>#VALUE!</v>
      </c>
      <c r="BE27" s="1168" t="s">
        <v>325</v>
      </c>
      <c r="BF27" s="1177" t="str">
        <f>CHOOSE('F-LSCD-012'!V41,BF20/SQRT(BF22),BF20/SQRT(BF22)*1000,BF20/SQRT(BF22)*1000000,BF20/SQRT(BF22)*'Datos varios'!$E$119,BF20/SQRT(BF22)*'Datos varios'!$E$120,BF20/SQRT(BF22)*'Datos varios'!$E$121,BF20/SQRT(BF22)*'Datos varios'!$E$122,BF20/SQRT(BF22)*'Datos varios'!$E$123,"-")</f>
        <v>-</v>
      </c>
      <c r="BG27" s="804" t="s">
        <v>325</v>
      </c>
      <c r="BH27" s="804" t="s">
        <v>372</v>
      </c>
      <c r="BI27" s="805">
        <f t="shared" ref="BI27:BI33" si="21">IF(BH27="normal (k=1)",1,IF(BH27="normal (k=2)",2,IF(BH27="normal (k=3)",3,IF(BH27="rectangular",SQRT(3),IF(BH27="triangular",SQRT(6),IF(BH27="Prob. U",SQRT(2),"no definido"))))))</f>
        <v>1</v>
      </c>
      <c r="BJ27" s="818" t="e">
        <f>BF27/BI27</f>
        <v>#VALUE!</v>
      </c>
      <c r="BK27" s="839" t="e">
        <f t="shared" ref="BK27:BK32" si="22">BJ27^2/$BJ$34^2</f>
        <v>#VALUE!</v>
      </c>
      <c r="BL27" s="830" t="s">
        <v>325</v>
      </c>
      <c r="BM27" s="806" t="str">
        <f>CHOOSE('F-LSCD-012'!V42,BM20/SQRT(BM22),BM20/SQRT(BM22)*1000,BM20/SQRT(BM22)*1000000,BM20/SQRT(BM22)*'Datos varios'!$E$119,BM20/SQRT(BM22)*'Datos varios'!$E$120,BM20/SQRT(BM22)*'Datos varios'!$E$121,BM20/SQRT(BM22)*'Datos varios'!$E$122,BM20/SQRT(BM22)*'Datos varios'!$E$123,"-")</f>
        <v>-</v>
      </c>
      <c r="BN27" s="804" t="s">
        <v>325</v>
      </c>
      <c r="BO27" s="804" t="s">
        <v>372</v>
      </c>
      <c r="BP27" s="805">
        <f t="shared" ref="BP27:BP33" si="23">IF(BO27="normal (k=1)",1,IF(BO27="normal (k=2)",2,IF(BO27="normal (k=3)",3,IF(BO27="rectangular",SQRT(3),IF(BO27="triangular",SQRT(6),IF(BO27="Prob. U",SQRT(2),"no definido"))))))</f>
        <v>1</v>
      </c>
      <c r="BQ27" s="807" t="e">
        <f>BM27/BP27</f>
        <v>#VALUE!</v>
      </c>
      <c r="BR27" s="841" t="e">
        <f t="shared" si="8"/>
        <v>#VALUE!</v>
      </c>
      <c r="BS27" s="1172" t="s">
        <v>325</v>
      </c>
      <c r="BT27" s="1177" t="str">
        <f>CHOOSE('F-LSCD-012'!V43,BT20/SQRT(BT22),BT20/SQRT(BT22)*1000,BT20/SQRT(BT22)*1000000,BT20/SQRT(BT22)*'Datos varios'!$E$119,BT20/SQRT(BT22)*'Datos varios'!$E$120,BT20/SQRT(BT22)*'Datos varios'!$E$121,BT20/SQRT(BT22)*'Datos varios'!$E$122,BT20/SQRT(BT22)*'Datos varios'!$E$123,"-")</f>
        <v>-</v>
      </c>
      <c r="BU27" s="804" t="s">
        <v>325</v>
      </c>
      <c r="BV27" s="804" t="s">
        <v>372</v>
      </c>
      <c r="BW27" s="805">
        <f t="shared" ref="BW27:BW33" si="24">IF(BV27="normal (k=1)",1,IF(BV27="normal (k=2)",2,IF(BV27="normal (k=3)",3,IF(BV27="rectangular",SQRT(3),IF(BV27="triangular",SQRT(6),IF(BV27="Prob. U",SQRT(2),"no definido"))))))</f>
        <v>1</v>
      </c>
      <c r="BX27" s="807" t="e">
        <f>BT27/BW27</f>
        <v>#VALUE!</v>
      </c>
      <c r="BY27" s="841" t="e">
        <f t="shared" ref="BY27:BY32" si="25">BX27^2/$BX$34^2</f>
        <v>#VALUE!</v>
      </c>
      <c r="BZ27" s="812" t="s">
        <v>325</v>
      </c>
      <c r="CA27" s="806" t="str">
        <f>CHOOSE('F-LSCD-012'!V44,CA20/SQRT(CA22),CA20/SQRT(CA22)*1000,CA20/SQRT(CA22)*1000000,CA20/SQRT(CA22)*'Datos varios'!$E$119,CA20/SQRT(CA22)*'Datos varios'!$E$120,CA20/SQRT(CA22)*'Datos varios'!$E$121,CA20/SQRT(CA22)*'Datos varios'!$E$122,CA20/SQRT(CA22)*'Datos varios'!$E$123,"-")</f>
        <v>-</v>
      </c>
      <c r="CB27" s="804" t="s">
        <v>325</v>
      </c>
      <c r="CC27" s="804" t="s">
        <v>372</v>
      </c>
      <c r="CD27" s="805">
        <f t="shared" ref="CD27:CD33" si="26">IF(CC27="normal (k=1)",1,IF(CC27="normal (k=2)",2,IF(CC27="normal (k=3)",3,IF(CC27="rectangular",SQRT(3),IF(CC27="triangular",SQRT(6),IF(CC27="Prob. U",SQRT(2),"no definido"))))))</f>
        <v>1</v>
      </c>
      <c r="CE27" s="807" t="e">
        <f>CA27/CD27</f>
        <v>#VALUE!</v>
      </c>
      <c r="CF27" s="845" t="e">
        <f t="shared" si="0"/>
        <v>#VALUE!</v>
      </c>
      <c r="CG27" s="1172" t="s">
        <v>325</v>
      </c>
      <c r="CH27" s="1177" t="str">
        <f>CHOOSE('F-LSCD-012'!V45,CH20/SQRT(CH22),CH20/SQRT(CH22)*1000,CH20/SQRT(CH22)*1000000,CH20/SQRT(CH22)*'Datos varios'!$E$119,CH20/SQRT(CH22)*'Datos varios'!$E$120,CH20/SQRT(CH22)*'Datos varios'!$E$121,CH20/SQRT(CH22)*'Datos varios'!$E$122,CH20/SQRT(CH22)*'Datos varios'!$E$123,"-")</f>
        <v>-</v>
      </c>
      <c r="CI27" s="804" t="s">
        <v>325</v>
      </c>
      <c r="CJ27" s="804" t="s">
        <v>372</v>
      </c>
      <c r="CK27" s="805">
        <f t="shared" ref="CK27:CK33" si="27">IF(CJ27="normal (k=1)",1,IF(CJ27="normal (k=2)",2,IF(CJ27="normal (k=3)",3,IF(CJ27="rectangular",SQRT(3),IF(CJ27="triangular",SQRT(6),IF(CJ27="Prob. U",SQRT(2),"no definido"))))))</f>
        <v>1</v>
      </c>
      <c r="CL27" s="807" t="e">
        <f>CH27/CK27</f>
        <v>#VALUE!</v>
      </c>
      <c r="CM27" s="845" t="e">
        <f t="shared" ref="CM27:CM32" si="28">CL27^2/$CL$34^2</f>
        <v>#VALUE!</v>
      </c>
      <c r="CN27" s="812" t="s">
        <v>325</v>
      </c>
      <c r="CO27" s="806" t="str">
        <f>CHOOSE('F-LSCD-012'!V46,CO20/SQRT(CO22),CO20/SQRT(CO22)*1000,CO20/SQRT(CO22)*1000000,CO20/SQRT(CO22)*'Datos varios'!$E$119,CO20/SQRT(CO22)*'Datos varios'!$E$120,CO20/SQRT(CO22)*'Datos varios'!$E$121,CO20/SQRT(CO22)*'Datos varios'!$E$122,CO20/SQRT(CO22)*'Datos varios'!$E$123,"-")</f>
        <v>-</v>
      </c>
      <c r="CP27" s="804" t="s">
        <v>372</v>
      </c>
      <c r="CQ27" s="804" t="s">
        <v>372</v>
      </c>
      <c r="CR27" s="805">
        <f t="shared" si="1"/>
        <v>1</v>
      </c>
      <c r="CS27" s="807" t="e">
        <f>CO27/CR27</f>
        <v>#VALUE!</v>
      </c>
      <c r="CT27" s="845" t="e">
        <f t="shared" si="2"/>
        <v>#VALUE!</v>
      </c>
      <c r="CU27" s="1172" t="s">
        <v>325</v>
      </c>
      <c r="CV27" s="1177" t="str">
        <f>CHOOSE('F-LSCD-012'!V47,CV20/SQRT(CV22),CV20/SQRT(CV22)*1000,CV20/SQRT(CV22)*1000000,CV20/SQRT(CV22)*'Datos varios'!$E$119,CV20/SQRT(CV22)*'Datos varios'!$E$120,CV20/SQRT(CV22)*'Datos varios'!$E$121,CV20/SQRT(CV22)*'Datos varios'!$E$122,CV20/SQRT(CV22)*'Datos varios'!$E$123,"-")</f>
        <v>-</v>
      </c>
      <c r="CW27" s="804" t="s">
        <v>372</v>
      </c>
      <c r="CX27" s="804" t="s">
        <v>372</v>
      </c>
      <c r="CY27" s="805">
        <f t="shared" ref="CY27:CY33" si="29">IF(CX27="normal (k=1)",1,IF(CX27="normal (k=2)",2,IF(CX27="normal (k=3)",3,IF(CX27="rectangular",SQRT(3),IF(CX27="triangular",SQRT(6),IF(CX27="Prob. U",SQRT(2),"no definido"))))))</f>
        <v>1</v>
      </c>
      <c r="CZ27" s="807" t="e">
        <f>CV27/CY27</f>
        <v>#VALUE!</v>
      </c>
      <c r="DA27" s="845" t="e">
        <f t="shared" ref="DA27:DA32" si="30">CZ27^2/$CZ$34^2</f>
        <v>#VALUE!</v>
      </c>
      <c r="DB27" s="812" t="s">
        <v>325</v>
      </c>
      <c r="DC27" s="806" t="str">
        <f>CHOOSE('F-LSCD-012'!V48,DC20/SQRT(DC22),DC20/SQRT(DC22)*1000,DC20/SQRT(DC22)*1000000,DC20/SQRT(DC22)*'Datos varios'!$E$119,DC20/SQRT(DC22)*'Datos varios'!$E$120,DC20/SQRT(DC22)*'Datos varios'!$E$121,DC20/SQRT(DC22)*'Datos varios'!$E$122,DC20/SQRT(DC22)*'Datos varios'!$E$123,"-")</f>
        <v>-</v>
      </c>
      <c r="DD27" s="804" t="s">
        <v>325</v>
      </c>
      <c r="DE27" s="804" t="s">
        <v>372</v>
      </c>
      <c r="DF27" s="805">
        <f t="shared" ref="DF27:DF33" si="31">IF(DE27="normal (k=1)",1,IF(DE27="normal (k=2)",2,IF(DE27="normal (k=3)",3,IF(DE27="rectangular",SQRT(3),IF(DE27="triangular",SQRT(6),IF(DE27="Prob. U",SQRT(2),"no definido"))))))</f>
        <v>1</v>
      </c>
      <c r="DG27" s="807" t="e">
        <f>DC27/DF27</f>
        <v>#VALUE!</v>
      </c>
      <c r="DH27" s="839" t="e">
        <f t="shared" si="9"/>
        <v>#VALUE!</v>
      </c>
      <c r="DI27" s="1172" t="s">
        <v>325</v>
      </c>
      <c r="DJ27" s="1177" t="str">
        <f>CHOOSE('F-LSCD-012'!V49,DJ20/SQRT(DJ22),DJ20/SQRT(DJ22)*1000,DJ20/SQRT(DJ22)*1000000,DJ20/SQRT(DJ22)*'Datos varios'!$E$119,DJ20/SQRT(DJ22)*'Datos varios'!$E$120,DJ20/SQRT(DJ22)*'Datos varios'!$E$121,DJ20/SQRT(DJ22)*'Datos varios'!$E$122,DJ20/SQRT(DJ22)*'Datos varios'!$E$123,"-")</f>
        <v>-</v>
      </c>
      <c r="DK27" s="804" t="s">
        <v>325</v>
      </c>
      <c r="DL27" s="804" t="s">
        <v>372</v>
      </c>
      <c r="DM27" s="805">
        <f t="shared" ref="DM27:DM33" si="32">IF(DL27="normal (k=1)",1,IF(DL27="normal (k=2)",2,IF(DL27="normal (k=3)",3,IF(DL27="rectangular",SQRT(3),IF(DL27="triangular",SQRT(6),IF(DL27="Prob. U",SQRT(2),"no definido"))))))</f>
        <v>1</v>
      </c>
      <c r="DN27" s="807" t="e">
        <f>DJ27/DM27</f>
        <v>#VALUE!</v>
      </c>
      <c r="DO27" s="839" t="e">
        <f t="shared" ref="DO27:DO32" si="33">DN27^2/$DN$34^2</f>
        <v>#VALUE!</v>
      </c>
      <c r="DP27" s="812" t="s">
        <v>325</v>
      </c>
      <c r="DQ27" s="806" t="str">
        <f>CHOOSE('F-LSCD-012'!V50,DQ20/SQRT(DQ22),DQ20/SQRT(DQ22)*1000,DQ20/SQRT(DQ22)*1000000,DQ20/SQRT(DQ22)*'Datos varios'!$E$119,DQ20/SQRT(DQ22)*'Datos varios'!$E$120,DQ20/SQRT(DQ22)*'Datos varios'!$E$121,DQ20/SQRT(DQ22)*'Datos varios'!$E$122,DQ20/SQRT(DQ22)*'Datos varios'!$E$123,"-")</f>
        <v>-</v>
      </c>
      <c r="DR27" s="804" t="s">
        <v>325</v>
      </c>
      <c r="DS27" s="804" t="s">
        <v>372</v>
      </c>
      <c r="DT27" s="805">
        <f t="shared" ref="DT27:DT33" si="34">IF(DS27="normal (k=1)",1,IF(DS27="normal (k=2)",2,IF(DS27="normal (k=3)",3,IF(DS27="rectangular",SQRT(3),IF(DS27="triangular",SQRT(6),IF(DS27="Prob. U",SQRT(2),"no definido"))))))</f>
        <v>1</v>
      </c>
      <c r="DU27" s="807" t="e">
        <f>DQ27/DT27</f>
        <v>#VALUE!</v>
      </c>
      <c r="DV27" s="839" t="e">
        <f t="shared" si="3"/>
        <v>#VALUE!</v>
      </c>
      <c r="DW27" s="1172" t="s">
        <v>325</v>
      </c>
      <c r="DX27" s="1177" t="str">
        <f>CHOOSE('F-LSCD-012'!V51,DX20/SQRT(DX22),DX20/SQRT(DX22)*1000,DX20/SQRT(DX22)*1000000,DX20/SQRT(DX22)*'Datos varios'!$E$119,DX20/SQRT(DX22)*'Datos varios'!$E$120,DX20/SQRT(DX22)*'Datos varios'!$E$121,DX20/SQRT(DX22)*'Datos varios'!$E$122,DX20/SQRT(DX22)*'Datos varios'!$E$123,"-")</f>
        <v>-</v>
      </c>
      <c r="DY27" s="804" t="s">
        <v>325</v>
      </c>
      <c r="DZ27" s="804" t="s">
        <v>372</v>
      </c>
      <c r="EA27" s="805">
        <f t="shared" ref="EA27:EA33" si="35">IF(DZ27="normal (k=1)",1,IF(DZ27="normal (k=2)",2,IF(DZ27="normal (k=3)",3,IF(DZ27="rectangular",SQRT(3),IF(DZ27="triangular",SQRT(6),IF(DZ27="Prob. U",SQRT(2),"no definido"))))))</f>
        <v>1</v>
      </c>
      <c r="EB27" s="807" t="e">
        <f>DX27/EA27</f>
        <v>#VALUE!</v>
      </c>
      <c r="EC27" s="839" t="e">
        <f t="shared" ref="EC27:EC32" si="36">EB27^2/$EB$34^2</f>
        <v>#VALUE!</v>
      </c>
      <c r="ED27" s="812" t="s">
        <v>325</v>
      </c>
      <c r="EE27" s="806" t="str">
        <f>CHOOSE('F-LSCD-012'!V52,EE20/SQRT(EE22),EE20/SQRT(EE22)*1000,EE20/SQRT(EE22)*1000000,EE20/SQRT(EE22)*'Datos varios'!$E$119,EE20/SQRT(EE22)*'Datos varios'!$E$120,EE20/SQRT(EE22)*'Datos varios'!$E$121,EE20/SQRT(EE22)*'Datos varios'!$E$122,EE20/SQRT(EE22)*'Datos varios'!$E$123,"-")</f>
        <v>-</v>
      </c>
      <c r="EF27" s="804" t="s">
        <v>325</v>
      </c>
      <c r="EG27" s="804" t="s">
        <v>372</v>
      </c>
      <c r="EH27" s="805">
        <f t="shared" ref="EH27:EH33" si="37">IF(EG27="normal (k=1)",1,IF(EG27="normal (k=2)",2,IF(EG27="normal (k=3)",3,IF(EG27="rectangular",SQRT(3),IF(EG27="triangular",SQRT(6),IF(EG27="Prob. U",SQRT(2),"no definido"))))))</f>
        <v>1</v>
      </c>
      <c r="EI27" s="807" t="e">
        <f>EE27/EH27</f>
        <v>#VALUE!</v>
      </c>
      <c r="EJ27" s="839" t="e">
        <f t="shared" ref="EJ27:EJ32" si="38">EI27^2/$EI$34^2</f>
        <v>#VALUE!</v>
      </c>
      <c r="EK27" s="1172" t="s">
        <v>325</v>
      </c>
      <c r="EL27" s="1177" t="str">
        <f>CHOOSE('F-LSCD-012'!V53,EL20/SQRT(EL22),EL20/SQRT(EL22)*1000,EL20/SQRT(EL22)*1000000,EL20/SQRT(EL22)*'Datos varios'!$E$119,EL20/SQRT(EL22)*'Datos varios'!$E$120,EL20/SQRT(EL22)*'Datos varios'!$E$121,EL20/SQRT(EL22)*'Datos varios'!$E$122,EL20/SQRT(EL22)*'Datos varios'!$E$123,"-")</f>
        <v>-</v>
      </c>
      <c r="EM27" s="804" t="s">
        <v>325</v>
      </c>
      <c r="EN27" s="804" t="s">
        <v>372</v>
      </c>
      <c r="EO27" s="805">
        <f t="shared" ref="EO27:EO33" si="39">IF(EN27="normal (k=1)",1,IF(EN27="normal (k=2)",2,IF(EN27="normal (k=3)",3,IF(EN27="rectangular",SQRT(3),IF(EN27="triangular",SQRT(6),IF(EN27="Prob. U",SQRT(2),"no definido"))))))</f>
        <v>1</v>
      </c>
      <c r="EP27" s="807" t="e">
        <f>EL27/EO27</f>
        <v>#VALUE!</v>
      </c>
      <c r="EQ27" s="839" t="e">
        <f t="shared" ref="EQ27:EQ32" si="40">EP27^2/$EP$34^2</f>
        <v>#VALUE!</v>
      </c>
      <c r="ER27" s="812" t="s">
        <v>325</v>
      </c>
      <c r="ES27" s="806" t="str">
        <f>CHOOSE('F-LSCD-012'!V54,ES20/SQRT(ES22),ES20/SQRT(ES22)*1000,ES20/SQRT(ES22)*1000000,ES20/SQRT(ES22)*'Datos varios'!$E$119,ES20/SQRT(ES22)*'Datos varios'!$E$120,ES20/SQRT(ES22)*'Datos varios'!$E$121,ES20/SQRT(ES22)*'Datos varios'!$E$122,ES20/SQRT(ES22)*'Datos varios'!$E$123,"-")</f>
        <v>-</v>
      </c>
      <c r="ET27" s="804" t="s">
        <v>325</v>
      </c>
      <c r="EU27" s="804" t="s">
        <v>372</v>
      </c>
      <c r="EV27" s="805">
        <f t="shared" ref="EV27:EV33" si="41">IF(EU27="normal (k=1)",1,IF(EU27="normal (k=2)",2,IF(EU27="normal (k=3)",3,IF(EU27="rectangular",SQRT(3),IF(EU27="triangular",SQRT(6),IF(EU27="Prob. U",SQRT(2),"no definido"))))))</f>
        <v>1</v>
      </c>
      <c r="EW27" s="807" t="e">
        <f>ES27/EV27</f>
        <v>#VALUE!</v>
      </c>
      <c r="EX27" s="839" t="e">
        <f t="shared" ref="EX27:EX32" si="42">EW27^2/$EW$34^2</f>
        <v>#VALUE!</v>
      </c>
      <c r="EY27" s="1172" t="s">
        <v>325</v>
      </c>
      <c r="EZ27" s="1177" t="str">
        <f>CHOOSE('F-LSCD-012'!V55,EZ20/SQRT(EZ22),EZ20/SQRT(EZ22)*1000,EZ20/SQRT(EZ22)*1000000,EZ20/SQRT(EZ22)*'Datos varios'!$E$119,EZ20/SQRT(EZ22)*'Datos varios'!$E$120,EZ20/SQRT(EZ22)*'Datos varios'!$E$121,EZ20/SQRT(EZ22)*'Datos varios'!$E$122,EZ20/SQRT(EZ22)*'Datos varios'!$E$123,"-")</f>
        <v>-</v>
      </c>
      <c r="FA27" s="804" t="s">
        <v>325</v>
      </c>
      <c r="FB27" s="804" t="s">
        <v>372</v>
      </c>
      <c r="FC27" s="805">
        <f t="shared" ref="FC27:FC33" si="43">IF(FB27="normal (k=1)",1,IF(FB27="normal (k=2)",2,IF(FB27="normal (k=3)",3,IF(FB27="rectangular",SQRT(3),IF(FB27="triangular",SQRT(6),IF(FB27="Prob. U",SQRT(2),"no definido"))))))</f>
        <v>1</v>
      </c>
      <c r="FD27" s="807" t="e">
        <f>EZ27/FC27</f>
        <v>#VALUE!</v>
      </c>
      <c r="FE27" s="839" t="e">
        <f t="shared" ref="FE27:FE32" si="44">FD27^2/$FD$34^2</f>
        <v>#VALUE!</v>
      </c>
      <c r="FF27" s="812" t="s">
        <v>325</v>
      </c>
      <c r="FG27" s="806" t="str">
        <f>CHOOSE('F-LSCD-012'!V56,FG20/SQRT(FG22),FG20/SQRT(FG22)*1000,FG20/SQRT(FG22)*1000000,FG20/SQRT(FG22)*'Datos varios'!$E$119,FG20/SQRT(FG22)*'Datos varios'!$E$120,FG20/SQRT(FG22)*'Datos varios'!$E$121,FG20/SQRT(FG22)*'Datos varios'!$E$122,FG20/SQRT(FG22)*'Datos varios'!$E$123,"-")</f>
        <v>-</v>
      </c>
      <c r="FH27" s="804" t="s">
        <v>325</v>
      </c>
      <c r="FI27" s="804" t="s">
        <v>372</v>
      </c>
      <c r="FJ27" s="805">
        <f t="shared" ref="FJ27:FJ33" si="45">IF(FI27="normal (k=1)",1,IF(FI27="normal (k=2)",2,IF(FI27="normal (k=3)",3,IF(FI27="rectangular",SQRT(3),IF(FI27="triangular",SQRT(6),IF(FI27="Prob. U",SQRT(2),"no definido"))))))</f>
        <v>1</v>
      </c>
      <c r="FK27" s="807" t="e">
        <f>FG27/FJ27</f>
        <v>#VALUE!</v>
      </c>
      <c r="FL27" s="839" t="e">
        <f t="shared" ref="FL27:FL32" si="46">FK27^2/$FK$34^2</f>
        <v>#VALUE!</v>
      </c>
      <c r="FM27" s="1172" t="s">
        <v>325</v>
      </c>
      <c r="FN27" s="1177" t="str">
        <f>CHOOSE('F-LSCD-012'!V57,FN20/SQRT(FN22),FN20/SQRT(FN22)*1000,FN20/SQRT(FN22)*1000000,FN20/SQRT(FN22)*'Datos varios'!$E$119,FN20/SQRT(FN22)*'Datos varios'!$E$120,FN20/SQRT(FN22)*'Datos varios'!$E$121,FN20/SQRT(FN22)*'Datos varios'!$E$122,FN20/SQRT(FN22)*'Datos varios'!$E$123,"-")</f>
        <v>-</v>
      </c>
      <c r="FO27" s="804" t="s">
        <v>325</v>
      </c>
      <c r="FP27" s="804" t="s">
        <v>372</v>
      </c>
      <c r="FQ27" s="805">
        <f t="shared" si="4"/>
        <v>1</v>
      </c>
      <c r="FR27" s="807" t="e">
        <f>FN27/FQ27</f>
        <v>#VALUE!</v>
      </c>
      <c r="FS27" s="839" t="e">
        <f t="shared" ref="FS27:FS32" si="47">FR27^2/$FR$34^2</f>
        <v>#VALUE!</v>
      </c>
      <c r="FT27" s="812" t="s">
        <v>325</v>
      </c>
    </row>
    <row r="28" spans="1:176" ht="18" x14ac:dyDescent="0.25">
      <c r="A28" s="741">
        <v>4</v>
      </c>
      <c r="B28" s="2555" t="s">
        <v>340</v>
      </c>
      <c r="C28" s="2556"/>
      <c r="D28" s="2556"/>
      <c r="E28" s="2556"/>
      <c r="F28" s="2557"/>
      <c r="G28" s="793" t="s">
        <v>620</v>
      </c>
      <c r="H28" s="781" t="s">
        <v>451</v>
      </c>
      <c r="I28" s="806">
        <f>$C$122</f>
        <v>245.10086392736525</v>
      </c>
      <c r="J28" s="804" t="s">
        <v>325</v>
      </c>
      <c r="K28" s="804" t="s">
        <v>370</v>
      </c>
      <c r="L28" s="805">
        <f t="shared" si="10"/>
        <v>1.7320508075688772</v>
      </c>
      <c r="M28" s="807">
        <f>I28/L28</f>
        <v>141.50904976707417</v>
      </c>
      <c r="N28" s="833">
        <f t="shared" si="11"/>
        <v>0.88040202827390712</v>
      </c>
      <c r="O28" s="1172" t="s">
        <v>325</v>
      </c>
      <c r="P28" s="1177">
        <f>$C$122</f>
        <v>245.10086392736525</v>
      </c>
      <c r="Q28" s="804" t="s">
        <v>325</v>
      </c>
      <c r="R28" s="804" t="s">
        <v>370</v>
      </c>
      <c r="S28" s="805">
        <f t="shared" si="12"/>
        <v>1.7320508075688772</v>
      </c>
      <c r="T28" s="807">
        <f>P28/S28</f>
        <v>141.50904976707417</v>
      </c>
      <c r="U28" s="833">
        <f t="shared" si="13"/>
        <v>0.88586434670153558</v>
      </c>
      <c r="V28" s="812" t="s">
        <v>325</v>
      </c>
      <c r="W28" s="806">
        <f>$C$122</f>
        <v>245.10086392736525</v>
      </c>
      <c r="X28" s="804" t="s">
        <v>325</v>
      </c>
      <c r="Y28" s="804" t="s">
        <v>370</v>
      </c>
      <c r="Z28" s="805">
        <f t="shared" si="14"/>
        <v>1.7320508075688772</v>
      </c>
      <c r="AA28" s="807">
        <f>W28/Z28</f>
        <v>141.50904976707417</v>
      </c>
      <c r="AB28" s="835" t="e">
        <f t="shared" si="5"/>
        <v>#VALUE!</v>
      </c>
      <c r="AC28" s="1172" t="s">
        <v>325</v>
      </c>
      <c r="AD28" s="1177">
        <f>$C$122</f>
        <v>245.10086392736525</v>
      </c>
      <c r="AE28" s="804" t="s">
        <v>325</v>
      </c>
      <c r="AF28" s="804" t="s">
        <v>370</v>
      </c>
      <c r="AG28" s="805">
        <f t="shared" si="15"/>
        <v>1.7320508075688772</v>
      </c>
      <c r="AH28" s="807">
        <f>AD28/AG28</f>
        <v>141.50904976707417</v>
      </c>
      <c r="AI28" s="835" t="e">
        <f t="shared" si="16"/>
        <v>#VALUE!</v>
      </c>
      <c r="AJ28" s="812" t="s">
        <v>325</v>
      </c>
      <c r="AK28" s="806">
        <f>$C$122</f>
        <v>245.10086392736525</v>
      </c>
      <c r="AL28" s="804" t="s">
        <v>325</v>
      </c>
      <c r="AM28" s="804" t="s">
        <v>370</v>
      </c>
      <c r="AN28" s="805">
        <f t="shared" si="17"/>
        <v>1.7320508075688772</v>
      </c>
      <c r="AO28" s="807">
        <f>AK28/AN28</f>
        <v>141.50904976707417</v>
      </c>
      <c r="AP28" s="839" t="e">
        <f t="shared" si="6"/>
        <v>#VALUE!</v>
      </c>
      <c r="AQ28" s="1172" t="s">
        <v>325</v>
      </c>
      <c r="AR28" s="1177">
        <f>$C$122</f>
        <v>245.10086392736525</v>
      </c>
      <c r="AS28" s="804" t="s">
        <v>325</v>
      </c>
      <c r="AT28" s="804" t="s">
        <v>370</v>
      </c>
      <c r="AU28" s="805">
        <f t="shared" si="18"/>
        <v>1.7320508075688772</v>
      </c>
      <c r="AV28" s="807">
        <f>AR28/AU28</f>
        <v>141.50904976707417</v>
      </c>
      <c r="AW28" s="839" t="e">
        <f t="shared" si="19"/>
        <v>#VALUE!</v>
      </c>
      <c r="AX28" s="812" t="s">
        <v>325</v>
      </c>
      <c r="AY28" s="806">
        <f>$C$122</f>
        <v>245.10086392736525</v>
      </c>
      <c r="AZ28" s="804" t="s">
        <v>325</v>
      </c>
      <c r="BA28" s="804" t="s">
        <v>370</v>
      </c>
      <c r="BB28" s="805">
        <f t="shared" si="20"/>
        <v>1.7320508075688772</v>
      </c>
      <c r="BC28" s="818">
        <f>AY28/BB28</f>
        <v>141.50904976707417</v>
      </c>
      <c r="BD28" s="839" t="e">
        <f t="shared" si="7"/>
        <v>#VALUE!</v>
      </c>
      <c r="BE28" s="1168" t="s">
        <v>325</v>
      </c>
      <c r="BF28" s="1177">
        <f>$C$122</f>
        <v>245.10086392736525</v>
      </c>
      <c r="BG28" s="804" t="s">
        <v>325</v>
      </c>
      <c r="BH28" s="804" t="s">
        <v>370</v>
      </c>
      <c r="BI28" s="805">
        <f t="shared" si="21"/>
        <v>1.7320508075688772</v>
      </c>
      <c r="BJ28" s="818">
        <f>BF28/BI28</f>
        <v>141.50904976707417</v>
      </c>
      <c r="BK28" s="839" t="e">
        <f t="shared" si="22"/>
        <v>#VALUE!</v>
      </c>
      <c r="BL28" s="830" t="s">
        <v>325</v>
      </c>
      <c r="BM28" s="806">
        <f>$C$122</f>
        <v>245.10086392736525</v>
      </c>
      <c r="BN28" s="804" t="s">
        <v>325</v>
      </c>
      <c r="BO28" s="804" t="s">
        <v>370</v>
      </c>
      <c r="BP28" s="805">
        <f t="shared" si="23"/>
        <v>1.7320508075688772</v>
      </c>
      <c r="BQ28" s="807">
        <f>BM28/BP28</f>
        <v>141.50904976707417</v>
      </c>
      <c r="BR28" s="841" t="e">
        <f t="shared" si="8"/>
        <v>#VALUE!</v>
      </c>
      <c r="BS28" s="1172" t="s">
        <v>325</v>
      </c>
      <c r="BT28" s="1177">
        <f>$C$122</f>
        <v>245.10086392736525</v>
      </c>
      <c r="BU28" s="804" t="s">
        <v>325</v>
      </c>
      <c r="BV28" s="804" t="s">
        <v>370</v>
      </c>
      <c r="BW28" s="805">
        <f t="shared" si="24"/>
        <v>1.7320508075688772</v>
      </c>
      <c r="BX28" s="807">
        <f>BT28/BW28</f>
        <v>141.50904976707417</v>
      </c>
      <c r="BY28" s="841" t="e">
        <f t="shared" si="25"/>
        <v>#VALUE!</v>
      </c>
      <c r="BZ28" s="812" t="s">
        <v>325</v>
      </c>
      <c r="CA28" s="806">
        <f>$C$122</f>
        <v>245.10086392736525</v>
      </c>
      <c r="CB28" s="804" t="s">
        <v>325</v>
      </c>
      <c r="CC28" s="804" t="s">
        <v>370</v>
      </c>
      <c r="CD28" s="805">
        <f t="shared" si="26"/>
        <v>1.7320508075688772</v>
      </c>
      <c r="CE28" s="807">
        <f>CA28/CD28</f>
        <v>141.50904976707417</v>
      </c>
      <c r="CF28" s="845" t="e">
        <f t="shared" si="0"/>
        <v>#VALUE!</v>
      </c>
      <c r="CG28" s="1172" t="s">
        <v>325</v>
      </c>
      <c r="CH28" s="1177">
        <f>$C$122</f>
        <v>245.10086392736525</v>
      </c>
      <c r="CI28" s="804" t="s">
        <v>325</v>
      </c>
      <c r="CJ28" s="804" t="s">
        <v>370</v>
      </c>
      <c r="CK28" s="805">
        <f t="shared" si="27"/>
        <v>1.7320508075688772</v>
      </c>
      <c r="CL28" s="807">
        <f>CH28/CK28</f>
        <v>141.50904976707417</v>
      </c>
      <c r="CM28" s="845" t="e">
        <f t="shared" si="28"/>
        <v>#VALUE!</v>
      </c>
      <c r="CN28" s="812" t="s">
        <v>325</v>
      </c>
      <c r="CO28" s="806">
        <f>$C$122</f>
        <v>245.10086392736525</v>
      </c>
      <c r="CP28" s="804" t="s">
        <v>370</v>
      </c>
      <c r="CQ28" s="804" t="s">
        <v>370</v>
      </c>
      <c r="CR28" s="805">
        <f t="shared" si="1"/>
        <v>1.7320508075688772</v>
      </c>
      <c r="CS28" s="807">
        <f>CO28/CR28</f>
        <v>141.50904976707417</v>
      </c>
      <c r="CT28" s="845" t="e">
        <f t="shared" si="2"/>
        <v>#VALUE!</v>
      </c>
      <c r="CU28" s="1172" t="s">
        <v>325</v>
      </c>
      <c r="CV28" s="1177">
        <f>$C$122</f>
        <v>245.10086392736525</v>
      </c>
      <c r="CW28" s="804" t="s">
        <v>370</v>
      </c>
      <c r="CX28" s="804" t="s">
        <v>370</v>
      </c>
      <c r="CY28" s="805">
        <f t="shared" si="29"/>
        <v>1.7320508075688772</v>
      </c>
      <c r="CZ28" s="807">
        <f>CV28/CY28</f>
        <v>141.50904976707417</v>
      </c>
      <c r="DA28" s="845" t="e">
        <f t="shared" si="30"/>
        <v>#VALUE!</v>
      </c>
      <c r="DB28" s="812" t="s">
        <v>325</v>
      </c>
      <c r="DC28" s="806">
        <f>$C$122</f>
        <v>245.10086392736525</v>
      </c>
      <c r="DD28" s="804" t="s">
        <v>325</v>
      </c>
      <c r="DE28" s="804" t="s">
        <v>370</v>
      </c>
      <c r="DF28" s="805">
        <f t="shared" si="31"/>
        <v>1.7320508075688772</v>
      </c>
      <c r="DG28" s="807">
        <f>DC28/DF28</f>
        <v>141.50904976707417</v>
      </c>
      <c r="DH28" s="839" t="e">
        <f t="shared" si="9"/>
        <v>#VALUE!</v>
      </c>
      <c r="DI28" s="1172" t="s">
        <v>325</v>
      </c>
      <c r="DJ28" s="1177">
        <f>$C$122</f>
        <v>245.10086392736525</v>
      </c>
      <c r="DK28" s="804" t="s">
        <v>325</v>
      </c>
      <c r="DL28" s="804" t="s">
        <v>370</v>
      </c>
      <c r="DM28" s="805">
        <f t="shared" si="32"/>
        <v>1.7320508075688772</v>
      </c>
      <c r="DN28" s="807">
        <f>DJ28/DM28</f>
        <v>141.50904976707417</v>
      </c>
      <c r="DO28" s="839" t="e">
        <f t="shared" si="33"/>
        <v>#VALUE!</v>
      </c>
      <c r="DP28" s="812" t="s">
        <v>325</v>
      </c>
      <c r="DQ28" s="806">
        <f>$C$122</f>
        <v>245.10086392736525</v>
      </c>
      <c r="DR28" s="804" t="s">
        <v>325</v>
      </c>
      <c r="DS28" s="804" t="s">
        <v>370</v>
      </c>
      <c r="DT28" s="805">
        <f t="shared" si="34"/>
        <v>1.7320508075688772</v>
      </c>
      <c r="DU28" s="807">
        <f>DQ28/DT28</f>
        <v>141.50904976707417</v>
      </c>
      <c r="DV28" s="839" t="e">
        <f t="shared" si="3"/>
        <v>#VALUE!</v>
      </c>
      <c r="DW28" s="1172" t="s">
        <v>325</v>
      </c>
      <c r="DX28" s="1177">
        <f>$C$122</f>
        <v>245.10086392736525</v>
      </c>
      <c r="DY28" s="804" t="s">
        <v>325</v>
      </c>
      <c r="DZ28" s="804" t="s">
        <v>370</v>
      </c>
      <c r="EA28" s="805">
        <f t="shared" si="35"/>
        <v>1.7320508075688772</v>
      </c>
      <c r="EB28" s="807">
        <f>DX28/EA28</f>
        <v>141.50904976707417</v>
      </c>
      <c r="EC28" s="839" t="e">
        <f t="shared" si="36"/>
        <v>#VALUE!</v>
      </c>
      <c r="ED28" s="812" t="s">
        <v>325</v>
      </c>
      <c r="EE28" s="806">
        <f>$C$122</f>
        <v>245.10086392736525</v>
      </c>
      <c r="EF28" s="804" t="s">
        <v>325</v>
      </c>
      <c r="EG28" s="804" t="s">
        <v>370</v>
      </c>
      <c r="EH28" s="805">
        <f t="shared" si="37"/>
        <v>1.7320508075688772</v>
      </c>
      <c r="EI28" s="807">
        <f>EE28/EH28</f>
        <v>141.50904976707417</v>
      </c>
      <c r="EJ28" s="839" t="e">
        <f t="shared" si="38"/>
        <v>#VALUE!</v>
      </c>
      <c r="EK28" s="1172" t="s">
        <v>325</v>
      </c>
      <c r="EL28" s="1177">
        <f>$C$122</f>
        <v>245.10086392736525</v>
      </c>
      <c r="EM28" s="804" t="s">
        <v>325</v>
      </c>
      <c r="EN28" s="804" t="s">
        <v>370</v>
      </c>
      <c r="EO28" s="805">
        <f t="shared" si="39"/>
        <v>1.7320508075688772</v>
      </c>
      <c r="EP28" s="807">
        <f>EL28/EO28</f>
        <v>141.50904976707417</v>
      </c>
      <c r="EQ28" s="839" t="e">
        <f t="shared" si="40"/>
        <v>#VALUE!</v>
      </c>
      <c r="ER28" s="812" t="s">
        <v>325</v>
      </c>
      <c r="ES28" s="806">
        <f>$C$122</f>
        <v>245.10086392736525</v>
      </c>
      <c r="ET28" s="804" t="s">
        <v>325</v>
      </c>
      <c r="EU28" s="804" t="s">
        <v>370</v>
      </c>
      <c r="EV28" s="805">
        <f t="shared" si="41"/>
        <v>1.7320508075688772</v>
      </c>
      <c r="EW28" s="807">
        <f>ES28/EV28</f>
        <v>141.50904976707417</v>
      </c>
      <c r="EX28" s="839" t="e">
        <f t="shared" si="42"/>
        <v>#VALUE!</v>
      </c>
      <c r="EY28" s="1172" t="s">
        <v>325</v>
      </c>
      <c r="EZ28" s="1177">
        <f>$C$122</f>
        <v>245.10086392736525</v>
      </c>
      <c r="FA28" s="804" t="s">
        <v>325</v>
      </c>
      <c r="FB28" s="804" t="s">
        <v>370</v>
      </c>
      <c r="FC28" s="805">
        <f t="shared" si="43"/>
        <v>1.7320508075688772</v>
      </c>
      <c r="FD28" s="807">
        <f>EZ28/FC28</f>
        <v>141.50904976707417</v>
      </c>
      <c r="FE28" s="839" t="e">
        <f t="shared" si="44"/>
        <v>#VALUE!</v>
      </c>
      <c r="FF28" s="812" t="s">
        <v>325</v>
      </c>
      <c r="FG28" s="806">
        <f>$C$122</f>
        <v>245.10086392736525</v>
      </c>
      <c r="FH28" s="804" t="s">
        <v>325</v>
      </c>
      <c r="FI28" s="804" t="s">
        <v>370</v>
      </c>
      <c r="FJ28" s="805">
        <f t="shared" si="45"/>
        <v>1.7320508075688772</v>
      </c>
      <c r="FK28" s="807">
        <f>FG28/FJ28</f>
        <v>141.50904976707417</v>
      </c>
      <c r="FL28" s="839" t="e">
        <f t="shared" si="46"/>
        <v>#VALUE!</v>
      </c>
      <c r="FM28" s="1172" t="s">
        <v>325</v>
      </c>
      <c r="FN28" s="1177">
        <f>$C$122</f>
        <v>245.10086392736525</v>
      </c>
      <c r="FO28" s="804" t="s">
        <v>325</v>
      </c>
      <c r="FP28" s="804" t="s">
        <v>370</v>
      </c>
      <c r="FQ28" s="805">
        <f t="shared" si="4"/>
        <v>1.7320508075688772</v>
      </c>
      <c r="FR28" s="807">
        <f>FN28/FQ28</f>
        <v>141.50904976707417</v>
      </c>
      <c r="FS28" s="839" t="e">
        <f t="shared" si="47"/>
        <v>#VALUE!</v>
      </c>
      <c r="FT28" s="812" t="s">
        <v>325</v>
      </c>
    </row>
    <row r="29" spans="1:176" ht="18" x14ac:dyDescent="0.25">
      <c r="A29" s="741">
        <v>5</v>
      </c>
      <c r="B29" s="2555" t="s">
        <v>429</v>
      </c>
      <c r="C29" s="2556"/>
      <c r="D29" s="2556"/>
      <c r="E29" s="2556"/>
      <c r="F29" s="2557"/>
      <c r="G29" s="793" t="s">
        <v>621</v>
      </c>
      <c r="H29" s="781" t="s">
        <v>451</v>
      </c>
      <c r="I29" s="803">
        <f>$C$136</f>
        <v>1.9915985219840348E-3</v>
      </c>
      <c r="J29" s="804" t="s">
        <v>93</v>
      </c>
      <c r="K29" s="804" t="s">
        <v>370</v>
      </c>
      <c r="L29" s="805">
        <f t="shared" si="10"/>
        <v>1.7320508075688772</v>
      </c>
      <c r="M29" s="814">
        <f>CHOOSE('F-LSCD-012'!V34,I29/L29*I19,I29/L29*I19*1000,I29/L29*I19*1000000,I29/L29*I19*'Datos varios'!$E$119,I29/L29*I19*'Datos varios'!$E$120,I29/L29*I19*'Datos varios'!$E$121,I29/L29*I19*'Datos varios'!$E$122,I29/L29*I19*'Datos varios'!$E$123,I29/L29*I19,"-")</f>
        <v>0.68990996567108609</v>
      </c>
      <c r="N29" s="833">
        <f t="shared" si="11"/>
        <v>2.0926540664205097E-5</v>
      </c>
      <c r="O29" s="1172" t="s">
        <v>325</v>
      </c>
      <c r="P29" s="1176">
        <f>$C$136</f>
        <v>1.9915985219840348E-3</v>
      </c>
      <c r="Q29" s="804" t="s">
        <v>93</v>
      </c>
      <c r="R29" s="804" t="s">
        <v>370</v>
      </c>
      <c r="S29" s="805">
        <f t="shared" si="12"/>
        <v>1.7320508075688772</v>
      </c>
      <c r="T29" s="814">
        <f>CHOOSE('F-LSCD-012 (Pers. Hp(10))'!V35,P29/S29*P19,P29/S29*P19*1000,P29/S29*P19*1000000,P29/S29*P19*'Datos varios'!$E$119,P29/S29*P19*'Datos varios'!$E$120,P29/S29*P19*'Datos varios'!$E$121,P29/S29*P19*'Datos varios'!$E$122,P29/S29*P19*'Datos varios'!$E$123,P29/S29*P19,"-")</f>
        <v>9.8082200119572735E-2</v>
      </c>
      <c r="U29" s="833">
        <f t="shared" si="13"/>
        <v>4.2557802214307927E-7</v>
      </c>
      <c r="V29" s="812" t="s">
        <v>325</v>
      </c>
      <c r="W29" s="803">
        <f>$C$136</f>
        <v>1.9915985219840348E-3</v>
      </c>
      <c r="X29" s="804" t="s">
        <v>93</v>
      </c>
      <c r="Y29" s="804" t="s">
        <v>370</v>
      </c>
      <c r="Z29" s="805">
        <f t="shared" si="14"/>
        <v>1.7320508075688772</v>
      </c>
      <c r="AA29" s="814" t="str">
        <f>CHOOSE('F-LSCD-012'!V36,W29/Z29*W19,W29/Z29*W19*1000,W29/Z29*W19*1000000,W29/Z29*W19*'Datos varios'!$E$119,W29/Z29*W19*'Datos varios'!$E$120,W29/Z29*W19*'Datos varios'!$E$121,W29/Z29*W19*'Datos varios'!$E$122,W29/Z29*W19*'Datos varios'!$E$123,"-")</f>
        <v>-</v>
      </c>
      <c r="AB29" s="835" t="e">
        <f t="shared" si="5"/>
        <v>#VALUE!</v>
      </c>
      <c r="AC29" s="1172" t="s">
        <v>325</v>
      </c>
      <c r="AD29" s="1176">
        <f>$C$136</f>
        <v>1.9915985219840348E-3</v>
      </c>
      <c r="AE29" s="804" t="s">
        <v>93</v>
      </c>
      <c r="AF29" s="804" t="s">
        <v>370</v>
      </c>
      <c r="AG29" s="805">
        <f t="shared" si="15"/>
        <v>1.7320508075688772</v>
      </c>
      <c r="AH29" s="814" t="str">
        <f>CHOOSE('F-LSCD-012'!V37,AD29/AG29*AD19,AD29/AG29*AD19*1000,AD29/AG29*AD19*1000000,AD29/AG29*AD19*'Datos varios'!$E$119,AD29/AG29*AD19*'Datos varios'!$E$120,AD29/AG29*AD19*'Datos varios'!$E$121,AD29/AG29*AD19*'Datos varios'!$E$122,AD29/AG29*AD19*'Datos varios'!$E$123,"-")</f>
        <v>-</v>
      </c>
      <c r="AI29" s="835" t="e">
        <f t="shared" si="16"/>
        <v>#VALUE!</v>
      </c>
      <c r="AJ29" s="812" t="s">
        <v>325</v>
      </c>
      <c r="AK29" s="803">
        <f>$C$136</f>
        <v>1.9915985219840348E-3</v>
      </c>
      <c r="AL29" s="804" t="s">
        <v>93</v>
      </c>
      <c r="AM29" s="804" t="s">
        <v>370</v>
      </c>
      <c r="AN29" s="805">
        <f t="shared" si="17"/>
        <v>1.7320508075688772</v>
      </c>
      <c r="AO29" s="814" t="str">
        <f>CHOOSE('F-LSCD-012'!V38,AK29/AN29*AK19,AK29/AN29*AK19*1000,AK29/AN29*AK19*1000000,AK29/AN29*AK19*'Datos varios'!$E$119,AK29/AN29*AK19*'Datos varios'!$E$120,AK29/AN29*AK19*'Datos varios'!$E$121,AK29/AN29*AK19*'Datos varios'!$E$122,AK29/AN29*AK19*'Datos varios'!$E$123,"-")</f>
        <v>-</v>
      </c>
      <c r="AP29" s="839" t="e">
        <f t="shared" si="6"/>
        <v>#VALUE!</v>
      </c>
      <c r="AQ29" s="1172" t="s">
        <v>325</v>
      </c>
      <c r="AR29" s="1176">
        <f>$C$136</f>
        <v>1.9915985219840348E-3</v>
      </c>
      <c r="AS29" s="804" t="s">
        <v>93</v>
      </c>
      <c r="AT29" s="804" t="s">
        <v>370</v>
      </c>
      <c r="AU29" s="805">
        <f t="shared" si="18"/>
        <v>1.7320508075688772</v>
      </c>
      <c r="AV29" s="814" t="str">
        <f>CHOOSE('F-LSCD-012'!V39,AR29/AU29*AR19,AR29/AU29*AR19*1000,AR29/AU29*AR19*1000000,AR29/AU29*AR19*'Datos varios'!$E$119,AR29/AU29*AR19*'Datos varios'!$E$120,AR29/AU29*AR19*'Datos varios'!$E$121,AR29/AU29*AR19*'Datos varios'!$E$122,AR29/AU29*AR19*'Datos varios'!$E$123,"-")</f>
        <v>-</v>
      </c>
      <c r="AW29" s="839" t="e">
        <f t="shared" si="19"/>
        <v>#VALUE!</v>
      </c>
      <c r="AX29" s="812" t="s">
        <v>325</v>
      </c>
      <c r="AY29" s="803">
        <f>$C$136</f>
        <v>1.9915985219840348E-3</v>
      </c>
      <c r="AZ29" s="804" t="s">
        <v>93</v>
      </c>
      <c r="BA29" s="804" t="s">
        <v>370</v>
      </c>
      <c r="BB29" s="805">
        <f t="shared" si="20"/>
        <v>1.7320508075688772</v>
      </c>
      <c r="BC29" s="814" t="str">
        <f>CHOOSE('F-LSCD-012'!V40,AY29/BB29*AY19,AY29/BB29*AY19*1000,AY29/BB29*AY19*1000000,AY29/BB29*AY19*'Datos varios'!$E$119,AY29/BB29*AY19*'Datos varios'!$E$120,AY29/BB29*AY19*'Datos varios'!$E$121,AY29/BB29*AY19*'Datos varios'!$E$122,AY29/BB29*AY19*'Datos varios'!$E$123,"-")</f>
        <v>-</v>
      </c>
      <c r="BD29" s="839" t="e">
        <f t="shared" si="7"/>
        <v>#VALUE!</v>
      </c>
      <c r="BE29" s="1168" t="s">
        <v>325</v>
      </c>
      <c r="BF29" s="1176">
        <f>$C$136</f>
        <v>1.9915985219840348E-3</v>
      </c>
      <c r="BG29" s="804" t="s">
        <v>93</v>
      </c>
      <c r="BH29" s="804" t="s">
        <v>370</v>
      </c>
      <c r="BI29" s="805">
        <f t="shared" si="21"/>
        <v>1.7320508075688772</v>
      </c>
      <c r="BJ29" s="814" t="str">
        <f>CHOOSE('F-LSCD-012'!V41,BF29/BI29*BF19,BF29/BI29*BF19*1000,BF29/BI29*BF19*1000000,BF29/BI29*BF19*'Datos varios'!$E$119,BF29/BI29*BF19*'Datos varios'!$E$120,BF29/BI29*BF19*'Datos varios'!$E$121,BF29/BI29*BF19*'Datos varios'!$E$122,BF29/BI29*BF19*'Datos varios'!$E$123,"-")</f>
        <v>-</v>
      </c>
      <c r="BK29" s="839" t="e">
        <f t="shared" si="22"/>
        <v>#VALUE!</v>
      </c>
      <c r="BL29" s="830" t="s">
        <v>325</v>
      </c>
      <c r="BM29" s="803">
        <f>$C$136</f>
        <v>1.9915985219840348E-3</v>
      </c>
      <c r="BN29" s="804" t="s">
        <v>93</v>
      </c>
      <c r="BO29" s="804" t="s">
        <v>370</v>
      </c>
      <c r="BP29" s="805">
        <f t="shared" si="23"/>
        <v>1.7320508075688772</v>
      </c>
      <c r="BQ29" s="814" t="str">
        <f>CHOOSE('F-LSCD-012'!V42,BM29/BP29*BM19,BM29/BP29*BM19*1000,BM29/BP29*BM19*1000000,BM29/BP29*BM19*'Datos varios'!$E$119,BM29/BP29*BM19*'Datos varios'!$E$120,BM29/BP29*BM19*'Datos varios'!$E$121,BM29/BP29*BM19*'Datos varios'!$E$122,BM29/BP29*BM19*'Datos varios'!$E$123,"-")</f>
        <v>-</v>
      </c>
      <c r="BR29" s="841" t="e">
        <f t="shared" si="8"/>
        <v>#VALUE!</v>
      </c>
      <c r="BS29" s="1172" t="s">
        <v>325</v>
      </c>
      <c r="BT29" s="1176">
        <f>$C$136</f>
        <v>1.9915985219840348E-3</v>
      </c>
      <c r="BU29" s="804" t="s">
        <v>93</v>
      </c>
      <c r="BV29" s="804" t="s">
        <v>370</v>
      </c>
      <c r="BW29" s="805">
        <f t="shared" si="24"/>
        <v>1.7320508075688772</v>
      </c>
      <c r="BX29" s="814" t="str">
        <f>CHOOSE('F-LSCD-012'!V43,BT29/BW29*BT19,BT29/BW29*BT19*1000,BT29/BW29*BT19*1000000,BT29/BW29*BT19*'Datos varios'!$E$119,BT29/BW29*BT19*'Datos varios'!$E$120,BT29/BW29*BT19*'Datos varios'!$E$121,BT29/BW29*BT19*'Datos varios'!$E$122,BT29/BW29*BT19*'Datos varios'!$E$123,"-")</f>
        <v>-</v>
      </c>
      <c r="BY29" s="841" t="e">
        <f t="shared" si="25"/>
        <v>#VALUE!</v>
      </c>
      <c r="BZ29" s="812" t="s">
        <v>325</v>
      </c>
      <c r="CA29" s="803">
        <f>$C$136</f>
        <v>1.9915985219840348E-3</v>
      </c>
      <c r="CB29" s="804" t="s">
        <v>93</v>
      </c>
      <c r="CC29" s="804" t="s">
        <v>370</v>
      </c>
      <c r="CD29" s="805">
        <f t="shared" si="26"/>
        <v>1.7320508075688772</v>
      </c>
      <c r="CE29" s="814" t="str">
        <f>CHOOSE('F-LSCD-012'!V44,CA29/CD29*CA19,CA29/CD29*CA19*1000,CA29/CD29*CA19*1000000,CA29/CD29*CA19*'Datos varios'!$E$119,CA29/CD29*CA19*'Datos varios'!$E$120,CA29/CD29*CA19*'Datos varios'!$E$121,CA29/CD29*CA19*'Datos varios'!$E$122,CA29/CD29*CA19*'Datos varios'!$E$123,"-")</f>
        <v>-</v>
      </c>
      <c r="CF29" s="845" t="e">
        <f t="shared" si="0"/>
        <v>#VALUE!</v>
      </c>
      <c r="CG29" s="1172" t="s">
        <v>325</v>
      </c>
      <c r="CH29" s="1176">
        <f>$C$136</f>
        <v>1.9915985219840348E-3</v>
      </c>
      <c r="CI29" s="804" t="s">
        <v>93</v>
      </c>
      <c r="CJ29" s="804" t="s">
        <v>370</v>
      </c>
      <c r="CK29" s="805">
        <f t="shared" si="27"/>
        <v>1.7320508075688772</v>
      </c>
      <c r="CL29" s="814" t="str">
        <f>CHOOSE('F-LSCD-012'!V45,CH29/CK29*CH19,CH29/CK29*CH19*1000,CH29/CK29*CH19*1000000,CH29/CK29*CH19*'Datos varios'!$E$119,CH29/CK29*CH19*'Datos varios'!$E$120,CH29/CK29*CH19*'Datos varios'!$E$121,CH29/CK29*CH19*'Datos varios'!$E$122,CH29/CK29*CH19*'Datos varios'!$E$123,"-")</f>
        <v>-</v>
      </c>
      <c r="CM29" s="845" t="e">
        <f t="shared" si="28"/>
        <v>#VALUE!</v>
      </c>
      <c r="CN29" s="812" t="s">
        <v>325</v>
      </c>
      <c r="CO29" s="803">
        <f>$C$136</f>
        <v>1.9915985219840348E-3</v>
      </c>
      <c r="CP29" s="804" t="s">
        <v>370</v>
      </c>
      <c r="CQ29" s="804" t="s">
        <v>370</v>
      </c>
      <c r="CR29" s="805">
        <f t="shared" si="1"/>
        <v>1.7320508075688772</v>
      </c>
      <c r="CS29" s="814" t="str">
        <f>CHOOSE('F-LSCD-012'!V46,CO29/CR29*CO19,CO29/CR29*CO19*1000,CO29/CR29*CO19*1000000,CO29/CR29*CO19*'Datos varios'!$E$119,CO29/CR29*CO19*'Datos varios'!$E$120,CO29/CR29*CO19*'Datos varios'!$E$121,CO29/CR29*CO19*'Datos varios'!$E$122,CO29/CR29*CO19*'Datos varios'!$E$123,"-")</f>
        <v>-</v>
      </c>
      <c r="CT29" s="845" t="e">
        <f t="shared" si="2"/>
        <v>#VALUE!</v>
      </c>
      <c r="CU29" s="1172" t="s">
        <v>325</v>
      </c>
      <c r="CV29" s="1176">
        <f>$C$136</f>
        <v>1.9915985219840348E-3</v>
      </c>
      <c r="CW29" s="804" t="s">
        <v>370</v>
      </c>
      <c r="CX29" s="804" t="s">
        <v>370</v>
      </c>
      <c r="CY29" s="805">
        <f t="shared" si="29"/>
        <v>1.7320508075688772</v>
      </c>
      <c r="CZ29" s="814" t="str">
        <f>CHOOSE('F-LSCD-012'!V47,CV29/CY29*CV19,CV29/CY29*CV19*1000,CV29/CY29*CV19*1000000,CV29/CY29*CV19*'Datos varios'!$E$119,CV29/CY29*CV19*'Datos varios'!$E$120,CV29/CY29*CV19*'Datos varios'!$E$121,CV29/CY29*CV19*'Datos varios'!$E$122,CV29/CY29*CV19*'Datos varios'!$E$123,"-")</f>
        <v>-</v>
      </c>
      <c r="DA29" s="845" t="e">
        <f t="shared" si="30"/>
        <v>#VALUE!</v>
      </c>
      <c r="DB29" s="812" t="s">
        <v>325</v>
      </c>
      <c r="DC29" s="803">
        <f>$C$136</f>
        <v>1.9915985219840348E-3</v>
      </c>
      <c r="DD29" s="804" t="s">
        <v>93</v>
      </c>
      <c r="DE29" s="804" t="s">
        <v>370</v>
      </c>
      <c r="DF29" s="805">
        <f t="shared" si="31"/>
        <v>1.7320508075688772</v>
      </c>
      <c r="DG29" s="814" t="str">
        <f>CHOOSE('F-LSCD-012'!V48,DC29/DF29*DC19,DC29/DF29*DC19*1000,DC29/DF29*DC19*1000000,DC29/DF29*DC19*'Datos varios'!$E$119,DC29/DF29*DC19*'Datos varios'!$E$120,DC29/DF29*DC19*'Datos varios'!$E$121,DC29/DF29*DC19*'Datos varios'!$E$122,DC29/DF29*DC19*'Datos varios'!$E$123,"-")</f>
        <v>-</v>
      </c>
      <c r="DH29" s="839" t="e">
        <f t="shared" si="9"/>
        <v>#VALUE!</v>
      </c>
      <c r="DI29" s="1172" t="s">
        <v>325</v>
      </c>
      <c r="DJ29" s="1176">
        <f>$C$136</f>
        <v>1.9915985219840348E-3</v>
      </c>
      <c r="DK29" s="804" t="s">
        <v>93</v>
      </c>
      <c r="DL29" s="804" t="s">
        <v>370</v>
      </c>
      <c r="DM29" s="805">
        <f t="shared" si="32"/>
        <v>1.7320508075688772</v>
      </c>
      <c r="DN29" s="814" t="str">
        <f>CHOOSE('F-LSCD-012'!V49,DJ29/DM29*DJ19,DJ29/DM29*DJ19*1000,DJ29/DM29*DJ19*1000000,DJ29/DM29*DJ19*'Datos varios'!$E$119,DJ29/DM29*DJ19*'Datos varios'!$E$120,DJ29/DM29*DJ19*'Datos varios'!$E$121,DJ29/DM29*DJ19*'Datos varios'!$E$122,DJ29/DM29*DJ19*'Datos varios'!$E$123,"-")</f>
        <v>-</v>
      </c>
      <c r="DO29" s="839" t="e">
        <f t="shared" si="33"/>
        <v>#VALUE!</v>
      </c>
      <c r="DP29" s="812" t="s">
        <v>325</v>
      </c>
      <c r="DQ29" s="803">
        <f>$C$136</f>
        <v>1.9915985219840348E-3</v>
      </c>
      <c r="DR29" s="804" t="s">
        <v>93</v>
      </c>
      <c r="DS29" s="804" t="s">
        <v>370</v>
      </c>
      <c r="DT29" s="805">
        <f t="shared" si="34"/>
        <v>1.7320508075688772</v>
      </c>
      <c r="DU29" s="814" t="str">
        <f>CHOOSE('F-LSCD-012'!V50,DQ29/DT29*DQ19,DQ29/DT29*DQ19*1000,DQ29/DT29*DQ19*1000000,DQ29/DT29*DQ19*'Datos varios'!$E$119,DQ29/DT29*DQ19*'Datos varios'!$E$120,DQ29/DT29*DQ19*'Datos varios'!$E$121,DQ29/DT29*DQ19*'Datos varios'!$E$122,DQ29/DT29*DQ19*'Datos varios'!$E$123,"-")</f>
        <v>-</v>
      </c>
      <c r="DV29" s="839" t="e">
        <f t="shared" si="3"/>
        <v>#VALUE!</v>
      </c>
      <c r="DW29" s="1172" t="s">
        <v>325</v>
      </c>
      <c r="DX29" s="1176">
        <f>$C$136</f>
        <v>1.9915985219840348E-3</v>
      </c>
      <c r="DY29" s="804" t="s">
        <v>93</v>
      </c>
      <c r="DZ29" s="804" t="s">
        <v>370</v>
      </c>
      <c r="EA29" s="805">
        <f t="shared" si="35"/>
        <v>1.7320508075688772</v>
      </c>
      <c r="EB29" s="814" t="str">
        <f>CHOOSE('F-LSCD-012'!V51,DX29/EA29*DX19,DX29/EA29*DX19*1000,DX29/EA29*DX19*1000000,DX29/EA29*DX19*'Datos varios'!$E$119,DX29/EA29*DX19*'Datos varios'!$E$120,DX29/EA29*DX19*'Datos varios'!$E$121,DX29/EA29*DX19*'Datos varios'!$E$122,DX29/EA29*DX19*'Datos varios'!$E$123,"-")</f>
        <v>-</v>
      </c>
      <c r="EC29" s="839" t="e">
        <f t="shared" si="36"/>
        <v>#VALUE!</v>
      </c>
      <c r="ED29" s="812" t="s">
        <v>325</v>
      </c>
      <c r="EE29" s="803">
        <f>$C$136</f>
        <v>1.9915985219840348E-3</v>
      </c>
      <c r="EF29" s="804" t="s">
        <v>93</v>
      </c>
      <c r="EG29" s="804" t="s">
        <v>370</v>
      </c>
      <c r="EH29" s="805">
        <f t="shared" si="37"/>
        <v>1.7320508075688772</v>
      </c>
      <c r="EI29" s="814" t="str">
        <f>CHOOSE('F-LSCD-012'!V52,EE29/EH29*EE19,EE29/EH29*EE19*1000,EE29/EH29*EE19*1000000,EE29/EH29*EE19*'Datos varios'!$E$119,EE29/EH29*EE19*'Datos varios'!$E$120,EE29/EH29*EE19*'Datos varios'!$E$121,EE29/EH29*EE19*'Datos varios'!$E$122,EE29/EH29*EE19*'Datos varios'!$E$123,"-")</f>
        <v>-</v>
      </c>
      <c r="EJ29" s="839" t="e">
        <f t="shared" si="38"/>
        <v>#VALUE!</v>
      </c>
      <c r="EK29" s="1172" t="s">
        <v>325</v>
      </c>
      <c r="EL29" s="1176">
        <f>$C$136</f>
        <v>1.9915985219840348E-3</v>
      </c>
      <c r="EM29" s="804" t="s">
        <v>93</v>
      </c>
      <c r="EN29" s="804" t="s">
        <v>370</v>
      </c>
      <c r="EO29" s="805">
        <f t="shared" si="39"/>
        <v>1.7320508075688772</v>
      </c>
      <c r="EP29" s="814" t="str">
        <f>CHOOSE('F-LSCD-012'!V53,EL29/EO29*EL19,EL29/EO29*EL19*1000,EL29/EO29*EL19*1000000,EL29/EO29*EL19*'Datos varios'!$E$119,EL29/EO29*EL19*'Datos varios'!$E$120,EL29/EO29*EL19*'Datos varios'!$E$121,EL29/EO29*EL19*'Datos varios'!$E$122,EL29/EO29*EL19*'Datos varios'!$E$123,"-")</f>
        <v>-</v>
      </c>
      <c r="EQ29" s="839" t="e">
        <f t="shared" si="40"/>
        <v>#VALUE!</v>
      </c>
      <c r="ER29" s="812" t="s">
        <v>325</v>
      </c>
      <c r="ES29" s="803">
        <f>$C$136</f>
        <v>1.9915985219840348E-3</v>
      </c>
      <c r="ET29" s="804" t="s">
        <v>93</v>
      </c>
      <c r="EU29" s="804" t="s">
        <v>370</v>
      </c>
      <c r="EV29" s="805">
        <f t="shared" si="41"/>
        <v>1.7320508075688772</v>
      </c>
      <c r="EW29" s="814" t="str">
        <f>CHOOSE('F-LSCD-012'!V54,ES29/EV29*ES19,ES29/EV29*ES19*1000,ES29/EV29*ES19*1000000,ES29/EV29*ES19*'Datos varios'!$E$119,ES29/EV29*ES19*'Datos varios'!$E$120,ES29/EV29*ES19*'Datos varios'!$E$121,ES29/EV29*ES19*'Datos varios'!$E$122,ES29/EV29*ES19*'Datos varios'!$E$123,"-")</f>
        <v>-</v>
      </c>
      <c r="EX29" s="839" t="e">
        <f t="shared" si="42"/>
        <v>#VALUE!</v>
      </c>
      <c r="EY29" s="1172" t="s">
        <v>325</v>
      </c>
      <c r="EZ29" s="1176">
        <f>$C$136</f>
        <v>1.9915985219840348E-3</v>
      </c>
      <c r="FA29" s="804" t="s">
        <v>93</v>
      </c>
      <c r="FB29" s="804" t="s">
        <v>370</v>
      </c>
      <c r="FC29" s="805">
        <f t="shared" si="43"/>
        <v>1.7320508075688772</v>
      </c>
      <c r="FD29" s="814" t="str">
        <f>CHOOSE('F-LSCD-012'!V55,EZ29/FC29*EZ19,EZ29/FC29*EZ19*1000,EZ29/FC29*EZ19*1000000,EZ29/FC29*EZ19*'Datos varios'!$E$119,EZ29/FC29*EZ19*'Datos varios'!$E$120,EZ29/FC29*EZ19*'Datos varios'!$E$121,EZ29/FC29*EZ19*'Datos varios'!$E$122,EZ29/FC29*EZ19*'Datos varios'!$E$123,"-")</f>
        <v>-</v>
      </c>
      <c r="FE29" s="839" t="e">
        <f>FD29^2/$FD$34^2</f>
        <v>#VALUE!</v>
      </c>
      <c r="FF29" s="812" t="s">
        <v>325</v>
      </c>
      <c r="FG29" s="803">
        <f>$C$136</f>
        <v>1.9915985219840348E-3</v>
      </c>
      <c r="FH29" s="804" t="s">
        <v>93</v>
      </c>
      <c r="FI29" s="804" t="s">
        <v>370</v>
      </c>
      <c r="FJ29" s="805">
        <f t="shared" si="45"/>
        <v>1.7320508075688772</v>
      </c>
      <c r="FK29" s="814" t="str">
        <f>CHOOSE('F-LSCD-012'!V56,FG29/FJ29*FG19,FG29/FJ29*FG19*1000,FG29/FJ29*FG19*1000000,FG29/FJ29*FG19*'Datos varios'!$E$119,FG29/FJ29*FG19*'Datos varios'!$E$120,FG29/FJ29*FG19*'Datos varios'!$E$121,FG29/FJ29*FG19*'Datos varios'!$E$122,FG29/FJ29*FG19*'Datos varios'!$E$123,"-")</f>
        <v>-</v>
      </c>
      <c r="FL29" s="839" t="e">
        <f t="shared" si="46"/>
        <v>#VALUE!</v>
      </c>
      <c r="FM29" s="1172" t="s">
        <v>325</v>
      </c>
      <c r="FN29" s="1176">
        <f>$C$136</f>
        <v>1.9915985219840348E-3</v>
      </c>
      <c r="FO29" s="804" t="s">
        <v>93</v>
      </c>
      <c r="FP29" s="804" t="s">
        <v>370</v>
      </c>
      <c r="FQ29" s="805">
        <f t="shared" si="4"/>
        <v>1.7320508075688772</v>
      </c>
      <c r="FR29" s="814" t="str">
        <f>CHOOSE('F-LSCD-012'!V57,FN29/FQ29*FN19,FN29/FQ29*FN19*1000,FN29/FQ29*FN19*1000000,FN29/FQ29*FN19*'Datos varios'!$E$119,FN29/FQ29*FN19*'Datos varios'!$E$120,FN29/FQ29*FN19*'Datos varios'!$E$121,FN29/FQ29*FN19*'Datos varios'!$E$122,FN29/FQ29*FN19*'Datos varios'!$E$123,"-")</f>
        <v>-</v>
      </c>
      <c r="FS29" s="839" t="e">
        <f t="shared" si="47"/>
        <v>#VALUE!</v>
      </c>
      <c r="FT29" s="812" t="s">
        <v>325</v>
      </c>
    </row>
    <row r="30" spans="1:176" ht="18" x14ac:dyDescent="0.25">
      <c r="A30" s="741">
        <v>6</v>
      </c>
      <c r="B30" s="2555" t="s">
        <v>452</v>
      </c>
      <c r="C30" s="2556"/>
      <c r="D30" s="2556"/>
      <c r="E30" s="2556"/>
      <c r="F30" s="2557"/>
      <c r="G30" s="793" t="s">
        <v>622</v>
      </c>
      <c r="H30" s="781" t="s">
        <v>451</v>
      </c>
      <c r="I30" s="806">
        <f>$C$170</f>
        <v>89.869382186486689</v>
      </c>
      <c r="J30" s="804" t="s">
        <v>325</v>
      </c>
      <c r="K30" s="804" t="s">
        <v>373</v>
      </c>
      <c r="L30" s="805">
        <f t="shared" si="10"/>
        <v>2</v>
      </c>
      <c r="M30" s="807">
        <f>I30/L30</f>
        <v>44.934691093243345</v>
      </c>
      <c r="N30" s="833">
        <f t="shared" si="11"/>
        <v>8.8772024824621446E-2</v>
      </c>
      <c r="O30" s="1172" t="s">
        <v>325</v>
      </c>
      <c r="P30" s="1177">
        <f>$C$170</f>
        <v>89.869382186486689</v>
      </c>
      <c r="Q30" s="804" t="s">
        <v>325</v>
      </c>
      <c r="R30" s="804" t="s">
        <v>373</v>
      </c>
      <c r="S30" s="805">
        <f t="shared" si="12"/>
        <v>2</v>
      </c>
      <c r="T30" s="807">
        <f>P30/S30</f>
        <v>44.934691093243345</v>
      </c>
      <c r="U30" s="833">
        <f t="shared" si="13"/>
        <v>8.9322797143953914E-2</v>
      </c>
      <c r="V30" s="812" t="s">
        <v>325</v>
      </c>
      <c r="W30" s="806">
        <f>$C$170</f>
        <v>89.869382186486689</v>
      </c>
      <c r="X30" s="804" t="s">
        <v>325</v>
      </c>
      <c r="Y30" s="804" t="s">
        <v>373</v>
      </c>
      <c r="Z30" s="805">
        <f t="shared" si="14"/>
        <v>2</v>
      </c>
      <c r="AA30" s="807">
        <f>W30/Z30</f>
        <v>44.934691093243345</v>
      </c>
      <c r="AB30" s="835" t="e">
        <f t="shared" si="5"/>
        <v>#VALUE!</v>
      </c>
      <c r="AC30" s="1172" t="s">
        <v>325</v>
      </c>
      <c r="AD30" s="1177">
        <f>$C$170</f>
        <v>89.869382186486689</v>
      </c>
      <c r="AE30" s="804" t="s">
        <v>325</v>
      </c>
      <c r="AF30" s="804" t="s">
        <v>373</v>
      </c>
      <c r="AG30" s="805">
        <f t="shared" si="15"/>
        <v>2</v>
      </c>
      <c r="AH30" s="807">
        <f>AD30/AG30</f>
        <v>44.934691093243345</v>
      </c>
      <c r="AI30" s="835" t="e">
        <f t="shared" si="16"/>
        <v>#VALUE!</v>
      </c>
      <c r="AJ30" s="812" t="s">
        <v>325</v>
      </c>
      <c r="AK30" s="806">
        <f>$C$170</f>
        <v>89.869382186486689</v>
      </c>
      <c r="AL30" s="804" t="s">
        <v>325</v>
      </c>
      <c r="AM30" s="804" t="s">
        <v>373</v>
      </c>
      <c r="AN30" s="805">
        <f t="shared" si="17"/>
        <v>2</v>
      </c>
      <c r="AO30" s="807">
        <f>AK30/AN30</f>
        <v>44.934691093243345</v>
      </c>
      <c r="AP30" s="839" t="e">
        <f t="shared" si="6"/>
        <v>#VALUE!</v>
      </c>
      <c r="AQ30" s="1172" t="s">
        <v>325</v>
      </c>
      <c r="AR30" s="1177">
        <f>$C$170</f>
        <v>89.869382186486689</v>
      </c>
      <c r="AS30" s="804" t="s">
        <v>325</v>
      </c>
      <c r="AT30" s="804" t="s">
        <v>373</v>
      </c>
      <c r="AU30" s="805">
        <f t="shared" si="18"/>
        <v>2</v>
      </c>
      <c r="AV30" s="807">
        <f>AR30/AU30</f>
        <v>44.934691093243345</v>
      </c>
      <c r="AW30" s="839" t="e">
        <f t="shared" si="19"/>
        <v>#VALUE!</v>
      </c>
      <c r="AX30" s="812" t="s">
        <v>325</v>
      </c>
      <c r="AY30" s="806">
        <f>$C$170</f>
        <v>89.869382186486689</v>
      </c>
      <c r="AZ30" s="804" t="s">
        <v>325</v>
      </c>
      <c r="BA30" s="804" t="s">
        <v>373</v>
      </c>
      <c r="BB30" s="805">
        <f t="shared" si="20"/>
        <v>2</v>
      </c>
      <c r="BC30" s="818">
        <f>AY30/BB30</f>
        <v>44.934691093243345</v>
      </c>
      <c r="BD30" s="839" t="e">
        <f t="shared" si="7"/>
        <v>#VALUE!</v>
      </c>
      <c r="BE30" s="1168" t="s">
        <v>325</v>
      </c>
      <c r="BF30" s="1177">
        <f>$C$170</f>
        <v>89.869382186486689</v>
      </c>
      <c r="BG30" s="804" t="s">
        <v>325</v>
      </c>
      <c r="BH30" s="804" t="s">
        <v>373</v>
      </c>
      <c r="BI30" s="805">
        <f t="shared" si="21"/>
        <v>2</v>
      </c>
      <c r="BJ30" s="818">
        <f>BF30/BI30</f>
        <v>44.934691093243345</v>
      </c>
      <c r="BK30" s="839" t="e">
        <f t="shared" si="22"/>
        <v>#VALUE!</v>
      </c>
      <c r="BL30" s="830" t="s">
        <v>325</v>
      </c>
      <c r="BM30" s="806">
        <f>$C$170</f>
        <v>89.869382186486689</v>
      </c>
      <c r="BN30" s="804" t="s">
        <v>325</v>
      </c>
      <c r="BO30" s="804" t="s">
        <v>373</v>
      </c>
      <c r="BP30" s="805">
        <f t="shared" si="23"/>
        <v>2</v>
      </c>
      <c r="BQ30" s="807">
        <f>BM30/BP30</f>
        <v>44.934691093243345</v>
      </c>
      <c r="BR30" s="841" t="e">
        <f t="shared" si="8"/>
        <v>#VALUE!</v>
      </c>
      <c r="BS30" s="1172" t="s">
        <v>325</v>
      </c>
      <c r="BT30" s="1177">
        <f>$C$170</f>
        <v>89.869382186486689</v>
      </c>
      <c r="BU30" s="804" t="s">
        <v>325</v>
      </c>
      <c r="BV30" s="804" t="s">
        <v>373</v>
      </c>
      <c r="BW30" s="805">
        <f t="shared" si="24"/>
        <v>2</v>
      </c>
      <c r="BX30" s="807">
        <f>BT30/BW30</f>
        <v>44.934691093243345</v>
      </c>
      <c r="BY30" s="841" t="e">
        <f t="shared" si="25"/>
        <v>#VALUE!</v>
      </c>
      <c r="BZ30" s="812" t="s">
        <v>325</v>
      </c>
      <c r="CA30" s="806">
        <f>$C$170</f>
        <v>89.869382186486689</v>
      </c>
      <c r="CB30" s="804" t="s">
        <v>325</v>
      </c>
      <c r="CC30" s="804" t="s">
        <v>373</v>
      </c>
      <c r="CD30" s="805">
        <f t="shared" si="26"/>
        <v>2</v>
      </c>
      <c r="CE30" s="807">
        <f>CA30/CD30</f>
        <v>44.934691093243345</v>
      </c>
      <c r="CF30" s="845" t="e">
        <f t="shared" si="0"/>
        <v>#VALUE!</v>
      </c>
      <c r="CG30" s="1172" t="s">
        <v>325</v>
      </c>
      <c r="CH30" s="1177">
        <f>$C$170</f>
        <v>89.869382186486689</v>
      </c>
      <c r="CI30" s="804" t="s">
        <v>325</v>
      </c>
      <c r="CJ30" s="804" t="s">
        <v>373</v>
      </c>
      <c r="CK30" s="805">
        <f t="shared" si="27"/>
        <v>2</v>
      </c>
      <c r="CL30" s="807">
        <f>CH30/CK30</f>
        <v>44.934691093243345</v>
      </c>
      <c r="CM30" s="845" t="e">
        <f t="shared" si="28"/>
        <v>#VALUE!</v>
      </c>
      <c r="CN30" s="812" t="s">
        <v>325</v>
      </c>
      <c r="CO30" s="806">
        <f>$C$170</f>
        <v>89.869382186486689</v>
      </c>
      <c r="CP30" s="804" t="s">
        <v>373</v>
      </c>
      <c r="CQ30" s="804" t="s">
        <v>373</v>
      </c>
      <c r="CR30" s="805">
        <f t="shared" si="1"/>
        <v>2</v>
      </c>
      <c r="CS30" s="807">
        <f>CO30/CR30</f>
        <v>44.934691093243345</v>
      </c>
      <c r="CT30" s="845" t="e">
        <f t="shared" si="2"/>
        <v>#VALUE!</v>
      </c>
      <c r="CU30" s="1172" t="s">
        <v>325</v>
      </c>
      <c r="CV30" s="1177">
        <f>$C$170</f>
        <v>89.869382186486689</v>
      </c>
      <c r="CW30" s="804" t="s">
        <v>373</v>
      </c>
      <c r="CX30" s="804" t="s">
        <v>373</v>
      </c>
      <c r="CY30" s="805">
        <f t="shared" si="29"/>
        <v>2</v>
      </c>
      <c r="CZ30" s="807">
        <f>CV30/CY30</f>
        <v>44.934691093243345</v>
      </c>
      <c r="DA30" s="845" t="e">
        <f t="shared" si="30"/>
        <v>#VALUE!</v>
      </c>
      <c r="DB30" s="812" t="s">
        <v>325</v>
      </c>
      <c r="DC30" s="806">
        <f>$C$170</f>
        <v>89.869382186486689</v>
      </c>
      <c r="DD30" s="804" t="s">
        <v>325</v>
      </c>
      <c r="DE30" s="804" t="s">
        <v>373</v>
      </c>
      <c r="DF30" s="805">
        <f t="shared" si="31"/>
        <v>2</v>
      </c>
      <c r="DG30" s="807">
        <f>DC30/DF30</f>
        <v>44.934691093243345</v>
      </c>
      <c r="DH30" s="839" t="e">
        <f t="shared" si="9"/>
        <v>#VALUE!</v>
      </c>
      <c r="DI30" s="1172" t="s">
        <v>325</v>
      </c>
      <c r="DJ30" s="1177">
        <f>$C$170</f>
        <v>89.869382186486689</v>
      </c>
      <c r="DK30" s="804" t="s">
        <v>325</v>
      </c>
      <c r="DL30" s="804" t="s">
        <v>373</v>
      </c>
      <c r="DM30" s="805">
        <f t="shared" si="32"/>
        <v>2</v>
      </c>
      <c r="DN30" s="807">
        <f>DJ30/DM30</f>
        <v>44.934691093243345</v>
      </c>
      <c r="DO30" s="839" t="e">
        <f t="shared" si="33"/>
        <v>#VALUE!</v>
      </c>
      <c r="DP30" s="812" t="s">
        <v>325</v>
      </c>
      <c r="DQ30" s="806">
        <f>$C$170</f>
        <v>89.869382186486689</v>
      </c>
      <c r="DR30" s="804" t="s">
        <v>325</v>
      </c>
      <c r="DS30" s="804" t="s">
        <v>373</v>
      </c>
      <c r="DT30" s="805">
        <f t="shared" si="34"/>
        <v>2</v>
      </c>
      <c r="DU30" s="807">
        <f>DQ30/DT30</f>
        <v>44.934691093243345</v>
      </c>
      <c r="DV30" s="839" t="e">
        <f t="shared" si="3"/>
        <v>#VALUE!</v>
      </c>
      <c r="DW30" s="1172" t="s">
        <v>325</v>
      </c>
      <c r="DX30" s="1177">
        <f>$C$170</f>
        <v>89.869382186486689</v>
      </c>
      <c r="DY30" s="804" t="s">
        <v>325</v>
      </c>
      <c r="DZ30" s="804" t="s">
        <v>373</v>
      </c>
      <c r="EA30" s="805">
        <f t="shared" si="35"/>
        <v>2</v>
      </c>
      <c r="EB30" s="807">
        <f>DX30/EA30</f>
        <v>44.934691093243345</v>
      </c>
      <c r="EC30" s="839" t="e">
        <f t="shared" si="36"/>
        <v>#VALUE!</v>
      </c>
      <c r="ED30" s="812" t="s">
        <v>325</v>
      </c>
      <c r="EE30" s="806">
        <f>$C$170</f>
        <v>89.869382186486689</v>
      </c>
      <c r="EF30" s="804" t="s">
        <v>325</v>
      </c>
      <c r="EG30" s="804" t="s">
        <v>373</v>
      </c>
      <c r="EH30" s="805">
        <f t="shared" si="37"/>
        <v>2</v>
      </c>
      <c r="EI30" s="807">
        <f>EE30/EH30</f>
        <v>44.934691093243345</v>
      </c>
      <c r="EJ30" s="839" t="e">
        <f t="shared" si="38"/>
        <v>#VALUE!</v>
      </c>
      <c r="EK30" s="1172" t="s">
        <v>325</v>
      </c>
      <c r="EL30" s="1177">
        <f>$C$170</f>
        <v>89.869382186486689</v>
      </c>
      <c r="EM30" s="804" t="s">
        <v>325</v>
      </c>
      <c r="EN30" s="804" t="s">
        <v>373</v>
      </c>
      <c r="EO30" s="805">
        <f t="shared" si="39"/>
        <v>2</v>
      </c>
      <c r="EP30" s="807">
        <f>EL30/EO30</f>
        <v>44.934691093243345</v>
      </c>
      <c r="EQ30" s="839" t="e">
        <f t="shared" si="40"/>
        <v>#VALUE!</v>
      </c>
      <c r="ER30" s="812" t="s">
        <v>325</v>
      </c>
      <c r="ES30" s="806">
        <f>$C$170</f>
        <v>89.869382186486689</v>
      </c>
      <c r="ET30" s="804" t="s">
        <v>325</v>
      </c>
      <c r="EU30" s="804" t="s">
        <v>373</v>
      </c>
      <c r="EV30" s="805">
        <f t="shared" si="41"/>
        <v>2</v>
      </c>
      <c r="EW30" s="807">
        <f>ES30/EV30</f>
        <v>44.934691093243345</v>
      </c>
      <c r="EX30" s="839" t="e">
        <f t="shared" si="42"/>
        <v>#VALUE!</v>
      </c>
      <c r="EY30" s="1172" t="s">
        <v>325</v>
      </c>
      <c r="EZ30" s="1177">
        <f>$C$170</f>
        <v>89.869382186486689</v>
      </c>
      <c r="FA30" s="804" t="s">
        <v>325</v>
      </c>
      <c r="FB30" s="804" t="s">
        <v>373</v>
      </c>
      <c r="FC30" s="805">
        <f t="shared" si="43"/>
        <v>2</v>
      </c>
      <c r="FD30" s="807">
        <f>EZ30/FC30</f>
        <v>44.934691093243345</v>
      </c>
      <c r="FE30" s="839" t="e">
        <f t="shared" si="44"/>
        <v>#VALUE!</v>
      </c>
      <c r="FF30" s="812" t="s">
        <v>325</v>
      </c>
      <c r="FG30" s="806">
        <f>$C$170</f>
        <v>89.869382186486689</v>
      </c>
      <c r="FH30" s="804" t="s">
        <v>325</v>
      </c>
      <c r="FI30" s="804" t="s">
        <v>373</v>
      </c>
      <c r="FJ30" s="805">
        <f t="shared" si="45"/>
        <v>2</v>
      </c>
      <c r="FK30" s="807">
        <f>FG30/FJ30</f>
        <v>44.934691093243345</v>
      </c>
      <c r="FL30" s="839" t="e">
        <f t="shared" si="46"/>
        <v>#VALUE!</v>
      </c>
      <c r="FM30" s="1172" t="s">
        <v>325</v>
      </c>
      <c r="FN30" s="1177">
        <f>$C$170</f>
        <v>89.869382186486689</v>
      </c>
      <c r="FO30" s="804" t="s">
        <v>325</v>
      </c>
      <c r="FP30" s="804" t="s">
        <v>373</v>
      </c>
      <c r="FQ30" s="805">
        <f t="shared" si="4"/>
        <v>2</v>
      </c>
      <c r="FR30" s="807">
        <f>FN30/FQ30</f>
        <v>44.934691093243345</v>
      </c>
      <c r="FS30" s="839" t="e">
        <f t="shared" si="47"/>
        <v>#VALUE!</v>
      </c>
      <c r="FT30" s="812" t="s">
        <v>325</v>
      </c>
    </row>
    <row r="31" spans="1:176" ht="18" x14ac:dyDescent="0.25">
      <c r="A31" s="741">
        <v>7</v>
      </c>
      <c r="B31" s="2555" t="s">
        <v>511</v>
      </c>
      <c r="C31" s="2556"/>
      <c r="D31" s="2556"/>
      <c r="E31" s="2556"/>
      <c r="F31" s="2557"/>
      <c r="G31" s="793" t="s">
        <v>623</v>
      </c>
      <c r="H31" s="781" t="s">
        <v>451</v>
      </c>
      <c r="I31" s="806">
        <f>$C$186</f>
        <v>40.849707723823045</v>
      </c>
      <c r="J31" s="804" t="s">
        <v>325</v>
      </c>
      <c r="K31" s="804" t="s">
        <v>370</v>
      </c>
      <c r="L31" s="805">
        <f t="shared" si="10"/>
        <v>1.7320508075688772</v>
      </c>
      <c r="M31" s="807">
        <f>I31/L31</f>
        <v>23.584589750666773</v>
      </c>
      <c r="N31" s="833">
        <f t="shared" si="11"/>
        <v>2.4455089545935286E-2</v>
      </c>
      <c r="O31" s="1172" t="s">
        <v>325</v>
      </c>
      <c r="P31" s="1177">
        <f>$C$186</f>
        <v>40.849707723823045</v>
      </c>
      <c r="Q31" s="804" t="s">
        <v>325</v>
      </c>
      <c r="R31" s="804" t="s">
        <v>370</v>
      </c>
      <c r="S31" s="805">
        <f t="shared" si="12"/>
        <v>1.7320508075688772</v>
      </c>
      <c r="T31" s="807">
        <f>P31/S31</f>
        <v>23.584589750666773</v>
      </c>
      <c r="U31" s="833">
        <f t="shared" si="13"/>
        <v>2.460681737252601E-2</v>
      </c>
      <c r="V31" s="812" t="s">
        <v>325</v>
      </c>
      <c r="W31" s="806">
        <f>$C$186</f>
        <v>40.849707723823045</v>
      </c>
      <c r="X31" s="804" t="s">
        <v>325</v>
      </c>
      <c r="Y31" s="804" t="s">
        <v>370</v>
      </c>
      <c r="Z31" s="805">
        <f t="shared" si="14"/>
        <v>1.7320508075688772</v>
      </c>
      <c r="AA31" s="807">
        <f>W31/Z31</f>
        <v>23.584589750666773</v>
      </c>
      <c r="AB31" s="835" t="e">
        <f t="shared" si="5"/>
        <v>#VALUE!</v>
      </c>
      <c r="AC31" s="1172" t="s">
        <v>325</v>
      </c>
      <c r="AD31" s="1177">
        <f>$C$186</f>
        <v>40.849707723823045</v>
      </c>
      <c r="AE31" s="804" t="s">
        <v>325</v>
      </c>
      <c r="AF31" s="804" t="s">
        <v>370</v>
      </c>
      <c r="AG31" s="805">
        <f t="shared" si="15"/>
        <v>1.7320508075688772</v>
      </c>
      <c r="AH31" s="807">
        <f>AD31/AG31</f>
        <v>23.584589750666773</v>
      </c>
      <c r="AI31" s="835" t="e">
        <f t="shared" si="16"/>
        <v>#VALUE!</v>
      </c>
      <c r="AJ31" s="812" t="s">
        <v>325</v>
      </c>
      <c r="AK31" s="806">
        <f>$C$186</f>
        <v>40.849707723823045</v>
      </c>
      <c r="AL31" s="804" t="s">
        <v>325</v>
      </c>
      <c r="AM31" s="804" t="s">
        <v>370</v>
      </c>
      <c r="AN31" s="805">
        <f t="shared" si="17"/>
        <v>1.7320508075688772</v>
      </c>
      <c r="AO31" s="807">
        <f>AK31/AN31</f>
        <v>23.584589750666773</v>
      </c>
      <c r="AP31" s="839" t="e">
        <f t="shared" si="6"/>
        <v>#VALUE!</v>
      </c>
      <c r="AQ31" s="1172" t="s">
        <v>325</v>
      </c>
      <c r="AR31" s="1177">
        <f>$C$186</f>
        <v>40.849707723823045</v>
      </c>
      <c r="AS31" s="804" t="s">
        <v>325</v>
      </c>
      <c r="AT31" s="804" t="s">
        <v>370</v>
      </c>
      <c r="AU31" s="805">
        <f t="shared" si="18"/>
        <v>1.7320508075688772</v>
      </c>
      <c r="AV31" s="807">
        <f>AR31/AU31</f>
        <v>23.584589750666773</v>
      </c>
      <c r="AW31" s="839" t="e">
        <f t="shared" si="19"/>
        <v>#VALUE!</v>
      </c>
      <c r="AX31" s="812" t="s">
        <v>325</v>
      </c>
      <c r="AY31" s="806">
        <f>$C$186</f>
        <v>40.849707723823045</v>
      </c>
      <c r="AZ31" s="804" t="s">
        <v>325</v>
      </c>
      <c r="BA31" s="804" t="s">
        <v>370</v>
      </c>
      <c r="BB31" s="805">
        <f t="shared" si="20"/>
        <v>1.7320508075688772</v>
      </c>
      <c r="BC31" s="818">
        <f>AY31/BB31</f>
        <v>23.584589750666773</v>
      </c>
      <c r="BD31" s="839" t="e">
        <f t="shared" si="7"/>
        <v>#VALUE!</v>
      </c>
      <c r="BE31" s="1168" t="s">
        <v>325</v>
      </c>
      <c r="BF31" s="1177">
        <f>$C$186</f>
        <v>40.849707723823045</v>
      </c>
      <c r="BG31" s="804" t="s">
        <v>325</v>
      </c>
      <c r="BH31" s="804" t="s">
        <v>370</v>
      </c>
      <c r="BI31" s="805">
        <f t="shared" si="21"/>
        <v>1.7320508075688772</v>
      </c>
      <c r="BJ31" s="818">
        <f>BF31/BI31</f>
        <v>23.584589750666773</v>
      </c>
      <c r="BK31" s="839" t="e">
        <f t="shared" si="22"/>
        <v>#VALUE!</v>
      </c>
      <c r="BL31" s="830" t="s">
        <v>325</v>
      </c>
      <c r="BM31" s="806">
        <f>$C$186</f>
        <v>40.849707723823045</v>
      </c>
      <c r="BN31" s="804" t="s">
        <v>325</v>
      </c>
      <c r="BO31" s="804" t="s">
        <v>370</v>
      </c>
      <c r="BP31" s="805">
        <f t="shared" si="23"/>
        <v>1.7320508075688772</v>
      </c>
      <c r="BQ31" s="807">
        <f>BM31/BP31</f>
        <v>23.584589750666773</v>
      </c>
      <c r="BR31" s="841" t="e">
        <f t="shared" si="8"/>
        <v>#VALUE!</v>
      </c>
      <c r="BS31" s="1172" t="s">
        <v>325</v>
      </c>
      <c r="BT31" s="1177">
        <f>$C$186</f>
        <v>40.849707723823045</v>
      </c>
      <c r="BU31" s="804" t="s">
        <v>325</v>
      </c>
      <c r="BV31" s="804" t="s">
        <v>370</v>
      </c>
      <c r="BW31" s="805">
        <f t="shared" si="24"/>
        <v>1.7320508075688772</v>
      </c>
      <c r="BX31" s="807">
        <f>BT31/BW31</f>
        <v>23.584589750666773</v>
      </c>
      <c r="BY31" s="841" t="e">
        <f t="shared" si="25"/>
        <v>#VALUE!</v>
      </c>
      <c r="BZ31" s="812" t="s">
        <v>325</v>
      </c>
      <c r="CA31" s="806">
        <f>$C$186</f>
        <v>40.849707723823045</v>
      </c>
      <c r="CB31" s="804" t="s">
        <v>325</v>
      </c>
      <c r="CC31" s="804" t="s">
        <v>370</v>
      </c>
      <c r="CD31" s="805">
        <f t="shared" si="26"/>
        <v>1.7320508075688772</v>
      </c>
      <c r="CE31" s="807">
        <f>CA31/CD31</f>
        <v>23.584589750666773</v>
      </c>
      <c r="CF31" s="845" t="e">
        <f t="shared" si="0"/>
        <v>#VALUE!</v>
      </c>
      <c r="CG31" s="1172" t="s">
        <v>325</v>
      </c>
      <c r="CH31" s="1177">
        <f>$C$186</f>
        <v>40.849707723823045</v>
      </c>
      <c r="CI31" s="804" t="s">
        <v>325</v>
      </c>
      <c r="CJ31" s="804" t="s">
        <v>370</v>
      </c>
      <c r="CK31" s="805">
        <f t="shared" si="27"/>
        <v>1.7320508075688772</v>
      </c>
      <c r="CL31" s="807">
        <f>CH31/CK31</f>
        <v>23.584589750666773</v>
      </c>
      <c r="CM31" s="845" t="e">
        <f t="shared" si="28"/>
        <v>#VALUE!</v>
      </c>
      <c r="CN31" s="812" t="s">
        <v>325</v>
      </c>
      <c r="CO31" s="806">
        <f>$C$186</f>
        <v>40.849707723823045</v>
      </c>
      <c r="CP31" s="804" t="s">
        <v>370</v>
      </c>
      <c r="CQ31" s="804" t="s">
        <v>370</v>
      </c>
      <c r="CR31" s="805">
        <f t="shared" si="1"/>
        <v>1.7320508075688772</v>
      </c>
      <c r="CS31" s="807">
        <f>CO31/CR31</f>
        <v>23.584589750666773</v>
      </c>
      <c r="CT31" s="845" t="e">
        <f t="shared" si="2"/>
        <v>#VALUE!</v>
      </c>
      <c r="CU31" s="1172" t="s">
        <v>325</v>
      </c>
      <c r="CV31" s="1177">
        <f>$C$186</f>
        <v>40.849707723823045</v>
      </c>
      <c r="CW31" s="804" t="s">
        <v>370</v>
      </c>
      <c r="CX31" s="804" t="s">
        <v>370</v>
      </c>
      <c r="CY31" s="805">
        <f t="shared" si="29"/>
        <v>1.7320508075688772</v>
      </c>
      <c r="CZ31" s="807">
        <f>CV31/CY31</f>
        <v>23.584589750666773</v>
      </c>
      <c r="DA31" s="845" t="e">
        <f t="shared" si="30"/>
        <v>#VALUE!</v>
      </c>
      <c r="DB31" s="812" t="s">
        <v>325</v>
      </c>
      <c r="DC31" s="806">
        <f>$C$186</f>
        <v>40.849707723823045</v>
      </c>
      <c r="DD31" s="804" t="s">
        <v>325</v>
      </c>
      <c r="DE31" s="804" t="s">
        <v>370</v>
      </c>
      <c r="DF31" s="805">
        <f t="shared" si="31"/>
        <v>1.7320508075688772</v>
      </c>
      <c r="DG31" s="807">
        <f>DC31/DF31</f>
        <v>23.584589750666773</v>
      </c>
      <c r="DH31" s="839" t="e">
        <f t="shared" si="9"/>
        <v>#VALUE!</v>
      </c>
      <c r="DI31" s="1172" t="s">
        <v>325</v>
      </c>
      <c r="DJ31" s="1177">
        <f>$C$186</f>
        <v>40.849707723823045</v>
      </c>
      <c r="DK31" s="804" t="s">
        <v>325</v>
      </c>
      <c r="DL31" s="804" t="s">
        <v>370</v>
      </c>
      <c r="DM31" s="805">
        <f t="shared" si="32"/>
        <v>1.7320508075688772</v>
      </c>
      <c r="DN31" s="807">
        <f>DJ31/DM31</f>
        <v>23.584589750666773</v>
      </c>
      <c r="DO31" s="839" t="e">
        <f t="shared" si="33"/>
        <v>#VALUE!</v>
      </c>
      <c r="DP31" s="812" t="s">
        <v>325</v>
      </c>
      <c r="DQ31" s="806">
        <f>$C$186</f>
        <v>40.849707723823045</v>
      </c>
      <c r="DR31" s="804" t="s">
        <v>325</v>
      </c>
      <c r="DS31" s="804" t="s">
        <v>370</v>
      </c>
      <c r="DT31" s="805">
        <f t="shared" si="34"/>
        <v>1.7320508075688772</v>
      </c>
      <c r="DU31" s="807">
        <f>DQ31/DT31</f>
        <v>23.584589750666773</v>
      </c>
      <c r="DV31" s="839" t="e">
        <f t="shared" si="3"/>
        <v>#VALUE!</v>
      </c>
      <c r="DW31" s="1172" t="s">
        <v>325</v>
      </c>
      <c r="DX31" s="1177">
        <f>$C$186</f>
        <v>40.849707723823045</v>
      </c>
      <c r="DY31" s="804" t="s">
        <v>325</v>
      </c>
      <c r="DZ31" s="804" t="s">
        <v>370</v>
      </c>
      <c r="EA31" s="805">
        <f t="shared" si="35"/>
        <v>1.7320508075688772</v>
      </c>
      <c r="EB31" s="807">
        <f>DX31/EA31</f>
        <v>23.584589750666773</v>
      </c>
      <c r="EC31" s="839" t="e">
        <f t="shared" si="36"/>
        <v>#VALUE!</v>
      </c>
      <c r="ED31" s="812" t="s">
        <v>325</v>
      </c>
      <c r="EE31" s="806">
        <f>$C$186</f>
        <v>40.849707723823045</v>
      </c>
      <c r="EF31" s="804" t="s">
        <v>325</v>
      </c>
      <c r="EG31" s="804" t="s">
        <v>370</v>
      </c>
      <c r="EH31" s="805">
        <f t="shared" si="37"/>
        <v>1.7320508075688772</v>
      </c>
      <c r="EI31" s="807">
        <f>EE31/EH31</f>
        <v>23.584589750666773</v>
      </c>
      <c r="EJ31" s="839" t="e">
        <f t="shared" si="38"/>
        <v>#VALUE!</v>
      </c>
      <c r="EK31" s="1172" t="s">
        <v>325</v>
      </c>
      <c r="EL31" s="1177">
        <f>$C$186</f>
        <v>40.849707723823045</v>
      </c>
      <c r="EM31" s="804" t="s">
        <v>325</v>
      </c>
      <c r="EN31" s="804" t="s">
        <v>370</v>
      </c>
      <c r="EO31" s="805">
        <f t="shared" si="39"/>
        <v>1.7320508075688772</v>
      </c>
      <c r="EP31" s="807">
        <f>EL31/EO31</f>
        <v>23.584589750666773</v>
      </c>
      <c r="EQ31" s="839" t="e">
        <f t="shared" si="40"/>
        <v>#VALUE!</v>
      </c>
      <c r="ER31" s="812" t="s">
        <v>325</v>
      </c>
      <c r="ES31" s="806">
        <f>$C$186</f>
        <v>40.849707723823045</v>
      </c>
      <c r="ET31" s="804" t="s">
        <v>325</v>
      </c>
      <c r="EU31" s="804" t="s">
        <v>370</v>
      </c>
      <c r="EV31" s="805">
        <f t="shared" si="41"/>
        <v>1.7320508075688772</v>
      </c>
      <c r="EW31" s="807">
        <f>ES31/EV31</f>
        <v>23.584589750666773</v>
      </c>
      <c r="EX31" s="839" t="e">
        <f t="shared" si="42"/>
        <v>#VALUE!</v>
      </c>
      <c r="EY31" s="1172" t="s">
        <v>325</v>
      </c>
      <c r="EZ31" s="1177">
        <f>$C$186</f>
        <v>40.849707723823045</v>
      </c>
      <c r="FA31" s="804" t="s">
        <v>325</v>
      </c>
      <c r="FB31" s="804" t="s">
        <v>370</v>
      </c>
      <c r="FC31" s="805">
        <f t="shared" si="43"/>
        <v>1.7320508075688772</v>
      </c>
      <c r="FD31" s="807">
        <f>EZ31/FC31</f>
        <v>23.584589750666773</v>
      </c>
      <c r="FE31" s="839" t="e">
        <f t="shared" si="44"/>
        <v>#VALUE!</v>
      </c>
      <c r="FF31" s="812" t="s">
        <v>325</v>
      </c>
      <c r="FG31" s="806">
        <f>$C$186</f>
        <v>40.849707723823045</v>
      </c>
      <c r="FH31" s="804" t="s">
        <v>325</v>
      </c>
      <c r="FI31" s="804" t="s">
        <v>370</v>
      </c>
      <c r="FJ31" s="805">
        <f t="shared" si="45"/>
        <v>1.7320508075688772</v>
      </c>
      <c r="FK31" s="807">
        <f>FG31/FJ31</f>
        <v>23.584589750666773</v>
      </c>
      <c r="FL31" s="839" t="e">
        <f t="shared" si="46"/>
        <v>#VALUE!</v>
      </c>
      <c r="FM31" s="1172" t="s">
        <v>325</v>
      </c>
      <c r="FN31" s="1177">
        <f>$C$186</f>
        <v>40.849707723823045</v>
      </c>
      <c r="FO31" s="804" t="s">
        <v>325</v>
      </c>
      <c r="FP31" s="804" t="s">
        <v>370</v>
      </c>
      <c r="FQ31" s="805">
        <f t="shared" si="4"/>
        <v>1.7320508075688772</v>
      </c>
      <c r="FR31" s="807">
        <f>FN31/FQ31</f>
        <v>23.584589750666773</v>
      </c>
      <c r="FS31" s="839" t="e">
        <f t="shared" si="47"/>
        <v>#VALUE!</v>
      </c>
      <c r="FT31" s="812" t="s">
        <v>325</v>
      </c>
    </row>
    <row r="32" spans="1:176" ht="18" x14ac:dyDescent="0.25">
      <c r="A32" s="741">
        <v>8</v>
      </c>
      <c r="B32" s="2555" t="s">
        <v>669</v>
      </c>
      <c r="C32" s="2556"/>
      <c r="D32" s="2556"/>
      <c r="E32" s="2556"/>
      <c r="F32" s="2557"/>
      <c r="G32" s="793" t="s">
        <v>683</v>
      </c>
      <c r="H32" s="781" t="s">
        <v>451</v>
      </c>
      <c r="I32" s="808">
        <f>CHOOSE('F-LSCD-012 (Pers. Hp(10))'!V34,I21/2,I21/2*1000,I21/2*1000000,I21/2*'Datos varios'!$E$119,I21/2*'Datos varios'!$E$120,I21/2*'Datos varios'!$E$121,I21/2*'Datos varios'!$E$122,I21/2*'Datos varios'!$E$123,I21/2,"-")</f>
        <v>0.5</v>
      </c>
      <c r="J32" s="804" t="s">
        <v>325</v>
      </c>
      <c r="K32" s="804" t="s">
        <v>370</v>
      </c>
      <c r="L32" s="805">
        <f t="shared" si="10"/>
        <v>1.7320508075688772</v>
      </c>
      <c r="M32" s="814">
        <f>I32/L32</f>
        <v>0.28867513459481292</v>
      </c>
      <c r="N32" s="833">
        <f t="shared" si="11"/>
        <v>3.6637966311579324E-6</v>
      </c>
      <c r="O32" s="1172" t="s">
        <v>325</v>
      </c>
      <c r="P32" s="1178">
        <f>CHOOSE('F-LSCD-012 (Pers. Hp(10))'!V35,P21/2,P21/2*1000,P21/2*1000000,P21/2*'Datos varios'!$E$119,P21/2*'Datos varios'!$E$120,P21/2*'Datos varios'!$E$121,P21/2*'Datos varios'!$E$122,P21/2*'Datos varios'!$E$123,I21/2,P21/2,"-")</f>
        <v>0.5</v>
      </c>
      <c r="Q32" s="804" t="s">
        <v>325</v>
      </c>
      <c r="R32" s="804" t="s">
        <v>370</v>
      </c>
      <c r="S32" s="805">
        <f t="shared" si="12"/>
        <v>1.7320508075688772</v>
      </c>
      <c r="T32" s="814">
        <f>P32/S32</f>
        <v>0.28867513459481292</v>
      </c>
      <c r="U32" s="833">
        <f t="shared" si="13"/>
        <v>3.6865280915711866E-6</v>
      </c>
      <c r="V32" s="812" t="s">
        <v>325</v>
      </c>
      <c r="W32" s="808" t="str">
        <f>CHOOSE('F-LSCD-012'!V36,W21/2,W21/2*1000,W21/2*1000000,W21/2*'Datos varios'!$E$119,W21/2*'Datos varios'!$E$120,W21/2*'Datos varios'!$E$121,W21/2*'Datos varios'!$E$122,W21/2*'Datos varios'!$E$123,"-")</f>
        <v>-</v>
      </c>
      <c r="X32" s="804" t="s">
        <v>325</v>
      </c>
      <c r="Y32" s="804" t="s">
        <v>370</v>
      </c>
      <c r="Z32" s="805">
        <f t="shared" si="14"/>
        <v>1.7320508075688772</v>
      </c>
      <c r="AA32" s="814" t="e">
        <f>W32/Z32</f>
        <v>#VALUE!</v>
      </c>
      <c r="AB32" s="835" t="e">
        <f t="shared" si="5"/>
        <v>#VALUE!</v>
      </c>
      <c r="AC32" s="1172" t="s">
        <v>325</v>
      </c>
      <c r="AD32" s="1178" t="str">
        <f>CHOOSE('F-LSCD-012'!V37,AD21/2,AD21/2*1000,AD21/2*1000000,AD21/2*'Datos varios'!$E$119,AD21/2*'Datos varios'!$E$120,AD21/2*'Datos varios'!$E$121,AD21/2*'Datos varios'!$E$122,AD21/2*'Datos varios'!$E$123,"-")</f>
        <v>-</v>
      </c>
      <c r="AE32" s="804" t="s">
        <v>325</v>
      </c>
      <c r="AF32" s="804" t="s">
        <v>370</v>
      </c>
      <c r="AG32" s="805">
        <f t="shared" si="15"/>
        <v>1.7320508075688772</v>
      </c>
      <c r="AH32" s="814" t="e">
        <f>AD32/AG32</f>
        <v>#VALUE!</v>
      </c>
      <c r="AI32" s="835" t="e">
        <f t="shared" si="16"/>
        <v>#VALUE!</v>
      </c>
      <c r="AJ32" s="812" t="s">
        <v>325</v>
      </c>
      <c r="AK32" s="808" t="str">
        <f>CHOOSE('F-LSCD-012'!V38,AK21/2,AK21/2*1000,AK21/2*1000000,AK21/2*'Datos varios'!$E$119,AK21/2*'Datos varios'!$E$120,AK21/2*'Datos varios'!$E$121,AK21/2*'Datos varios'!$E$122,AK21/2*'Datos varios'!$E$123,"-")</f>
        <v>-</v>
      </c>
      <c r="AL32" s="804" t="s">
        <v>325</v>
      </c>
      <c r="AM32" s="804" t="s">
        <v>370</v>
      </c>
      <c r="AN32" s="805">
        <f t="shared" si="17"/>
        <v>1.7320508075688772</v>
      </c>
      <c r="AO32" s="814" t="e">
        <f>AK32/AN32</f>
        <v>#VALUE!</v>
      </c>
      <c r="AP32" s="839" t="e">
        <f t="shared" si="6"/>
        <v>#VALUE!</v>
      </c>
      <c r="AQ32" s="1172" t="s">
        <v>325</v>
      </c>
      <c r="AR32" s="1178" t="str">
        <f>CHOOSE('F-LSCD-012'!V39,AR21/2,AR21/2*1000,AR21/2*1000000,AR21/2*'Datos varios'!$E$119,AR21/2*'Datos varios'!$E$120,AR21/2*'Datos varios'!$E$121,AR21/2*'Datos varios'!$E$122,AR21/2*'Datos varios'!$E$123,"-")</f>
        <v>-</v>
      </c>
      <c r="AS32" s="804" t="s">
        <v>325</v>
      </c>
      <c r="AT32" s="804" t="s">
        <v>370</v>
      </c>
      <c r="AU32" s="805">
        <f t="shared" si="18"/>
        <v>1.7320508075688772</v>
      </c>
      <c r="AV32" s="814" t="e">
        <f>AR32/AU32</f>
        <v>#VALUE!</v>
      </c>
      <c r="AW32" s="839" t="e">
        <f t="shared" si="19"/>
        <v>#VALUE!</v>
      </c>
      <c r="AX32" s="812" t="s">
        <v>325</v>
      </c>
      <c r="AY32" s="808" t="str">
        <f>CHOOSE('F-LSCD-012'!V40,AY21/2,AY21/2*1000,AY21/2*1000000,AY21/2*'Datos varios'!$E$119,AY21/2*'Datos varios'!$E$120,AY21/2*'Datos varios'!$E$121,AY21/2*'Datos varios'!$E$122,AY21/2*'Datos varios'!$E$123,"-")</f>
        <v>-</v>
      </c>
      <c r="AZ32" s="804" t="s">
        <v>325</v>
      </c>
      <c r="BA32" s="804" t="s">
        <v>370</v>
      </c>
      <c r="BB32" s="805">
        <f t="shared" si="20"/>
        <v>1.7320508075688772</v>
      </c>
      <c r="BC32" s="817" t="e">
        <f>AY32/BB32</f>
        <v>#VALUE!</v>
      </c>
      <c r="BD32" s="839" t="e">
        <f>BC32^2/$BC$34^2</f>
        <v>#VALUE!</v>
      </c>
      <c r="BE32" s="1168" t="s">
        <v>325</v>
      </c>
      <c r="BF32" s="1178" t="str">
        <f>CHOOSE('F-LSCD-012'!V41,BF21/2,BF21/2*1000,BF21/2*1000000,BF21/2*'Datos varios'!$E$119,BF21/2*'Datos varios'!$E$120,BF21/2*'Datos varios'!$E$121,BF21/2*'Datos varios'!$E$122,BF21/2*'Datos varios'!$E$123,"-")</f>
        <v>-</v>
      </c>
      <c r="BG32" s="804" t="s">
        <v>325</v>
      </c>
      <c r="BH32" s="804" t="s">
        <v>370</v>
      </c>
      <c r="BI32" s="805">
        <f t="shared" si="21"/>
        <v>1.7320508075688772</v>
      </c>
      <c r="BJ32" s="817" t="e">
        <f>BF32/BI32</f>
        <v>#VALUE!</v>
      </c>
      <c r="BK32" s="839" t="e">
        <f t="shared" si="22"/>
        <v>#VALUE!</v>
      </c>
      <c r="BL32" s="830" t="s">
        <v>325</v>
      </c>
      <c r="BM32" s="808" t="str">
        <f>CHOOSE('F-LSCD-012'!V42,BM21/2,BM21/2*1000,BM21/2*1000000,BM21/2*'Datos varios'!$E$119,BM21/2*'Datos varios'!$E$120,BM21/2*'Datos varios'!$E$121,BM21/2*'Datos varios'!$E$122,BM21/2*'Datos varios'!$E$123,"-")</f>
        <v>-</v>
      </c>
      <c r="BN32" s="804" t="s">
        <v>325</v>
      </c>
      <c r="BO32" s="804" t="s">
        <v>370</v>
      </c>
      <c r="BP32" s="805">
        <f t="shared" si="23"/>
        <v>1.7320508075688772</v>
      </c>
      <c r="BQ32" s="814" t="e">
        <f>BM32/BP32</f>
        <v>#VALUE!</v>
      </c>
      <c r="BR32" s="841" t="e">
        <f t="shared" si="8"/>
        <v>#VALUE!</v>
      </c>
      <c r="BS32" s="1172" t="s">
        <v>325</v>
      </c>
      <c r="BT32" s="1178" t="str">
        <f>CHOOSE('F-LSCD-012'!V43,BT21/2,BT21/2*1000,BT21/2*1000000,BT21/2*'Datos varios'!$E$119,BT21/2*'Datos varios'!$E$120,BT21/2*'Datos varios'!$E$121,BT21/2*'Datos varios'!$E$122,BT21/2*'Datos varios'!$E$123,"-")</f>
        <v>-</v>
      </c>
      <c r="BU32" s="804" t="s">
        <v>325</v>
      </c>
      <c r="BV32" s="804" t="s">
        <v>370</v>
      </c>
      <c r="BW32" s="805">
        <f t="shared" si="24"/>
        <v>1.7320508075688772</v>
      </c>
      <c r="BX32" s="814" t="e">
        <f>BT32/BW32</f>
        <v>#VALUE!</v>
      </c>
      <c r="BY32" s="841" t="e">
        <f t="shared" si="25"/>
        <v>#VALUE!</v>
      </c>
      <c r="BZ32" s="812" t="s">
        <v>325</v>
      </c>
      <c r="CA32" s="808" t="str">
        <f>CHOOSE('F-LSCD-012'!V44,CA21/2,CA21/2*1000,CA21/2*1000000,CA21/2*'Datos varios'!$E$119,CA21/2*'Datos varios'!$E$120,CA21/2*'Datos varios'!$E$121,CA21/2*'Datos varios'!$E$122,CA21/2*'Datos varios'!$E$123,"-")</f>
        <v>-</v>
      </c>
      <c r="CB32" s="804" t="s">
        <v>325</v>
      </c>
      <c r="CC32" s="804" t="s">
        <v>370</v>
      </c>
      <c r="CD32" s="805">
        <f t="shared" si="26"/>
        <v>1.7320508075688772</v>
      </c>
      <c r="CE32" s="814" t="e">
        <f>CA32/CD32</f>
        <v>#VALUE!</v>
      </c>
      <c r="CF32" s="845" t="e">
        <f t="shared" si="0"/>
        <v>#VALUE!</v>
      </c>
      <c r="CG32" s="1172" t="s">
        <v>325</v>
      </c>
      <c r="CH32" s="1178" t="str">
        <f>CHOOSE('F-LSCD-012'!V45,CH21/2,CH21/2*1000,CH21/2*1000000,CH21/2*'Datos varios'!$E$119,CH21/2*'Datos varios'!$E$120,CH21/2*'Datos varios'!$E$121,CH21/2*'Datos varios'!$E$122,CH21/2*'Datos varios'!$E$123,"-")</f>
        <v>-</v>
      </c>
      <c r="CI32" s="804" t="s">
        <v>325</v>
      </c>
      <c r="CJ32" s="804" t="s">
        <v>370</v>
      </c>
      <c r="CK32" s="805">
        <f t="shared" si="27"/>
        <v>1.7320508075688772</v>
      </c>
      <c r="CL32" s="814" t="e">
        <f>CH32/CK32</f>
        <v>#VALUE!</v>
      </c>
      <c r="CM32" s="845" t="e">
        <f t="shared" si="28"/>
        <v>#VALUE!</v>
      </c>
      <c r="CN32" s="812" t="s">
        <v>325</v>
      </c>
      <c r="CO32" s="808" t="str">
        <f>CHOOSE('F-LSCD-012'!V46,CO21/2,CO21/2*1000,CO21/2*1000000,CO21/2*'Datos varios'!$E$119,CO21/2*'Datos varios'!$E$120,CO21/2*'Datos varios'!$E$121,CO21/2*'Datos varios'!$E$122,CO21/2*'Datos varios'!$E$123,"-")</f>
        <v>-</v>
      </c>
      <c r="CP32" s="804" t="s">
        <v>370</v>
      </c>
      <c r="CQ32" s="804" t="s">
        <v>370</v>
      </c>
      <c r="CR32" s="805">
        <f t="shared" si="1"/>
        <v>1.7320508075688772</v>
      </c>
      <c r="CS32" s="814" t="e">
        <f>CO32/CR32</f>
        <v>#VALUE!</v>
      </c>
      <c r="CT32" s="845" t="e">
        <f t="shared" si="2"/>
        <v>#VALUE!</v>
      </c>
      <c r="CU32" s="1172" t="s">
        <v>325</v>
      </c>
      <c r="CV32" s="1178" t="str">
        <f>CHOOSE('F-LSCD-012'!V47,CV21/2,CV21/2*1000,CV21/2*1000000,CV21/2*'Datos varios'!$E$119,CV21/2*'Datos varios'!$E$120,CV21/2*'Datos varios'!$E$121,CV21/2*'Datos varios'!$E$122,CV21/2*'Datos varios'!$E$123,"-")</f>
        <v>-</v>
      </c>
      <c r="CW32" s="804" t="s">
        <v>370</v>
      </c>
      <c r="CX32" s="804" t="s">
        <v>370</v>
      </c>
      <c r="CY32" s="805">
        <f t="shared" si="29"/>
        <v>1.7320508075688772</v>
      </c>
      <c r="CZ32" s="814" t="e">
        <f>CV32/CY32</f>
        <v>#VALUE!</v>
      </c>
      <c r="DA32" s="845" t="e">
        <f t="shared" si="30"/>
        <v>#VALUE!</v>
      </c>
      <c r="DB32" s="812" t="s">
        <v>325</v>
      </c>
      <c r="DC32" s="808" t="str">
        <f>CHOOSE('F-LSCD-012'!V48,DC21/2,DC21/2*1000,DC21/2*1000000,DC21/2*'Datos varios'!$E$119,DC21/2*'Datos varios'!$E$120,DC21/2*'Datos varios'!$E$121,DC21/2*'Datos varios'!$E$122,DC21/2*'Datos varios'!$E$123,"-")</f>
        <v>-</v>
      </c>
      <c r="DD32" s="804" t="s">
        <v>325</v>
      </c>
      <c r="DE32" s="804" t="s">
        <v>370</v>
      </c>
      <c r="DF32" s="805">
        <f t="shared" si="31"/>
        <v>1.7320508075688772</v>
      </c>
      <c r="DG32" s="814" t="e">
        <f>DC32/DF32</f>
        <v>#VALUE!</v>
      </c>
      <c r="DH32" s="839" t="e">
        <f t="shared" si="9"/>
        <v>#VALUE!</v>
      </c>
      <c r="DI32" s="1172" t="s">
        <v>325</v>
      </c>
      <c r="DJ32" s="1178" t="str">
        <f>CHOOSE('F-LSCD-012'!V49,DJ21/2,DJ21/2*1000,DJ21/2*1000000,DJ21/2*'Datos varios'!$E$119,DJ21/2*'Datos varios'!$E$120,DJ21/2*'Datos varios'!$E$121,DJ21/2*'Datos varios'!$E$122,DJ21/2*'Datos varios'!$E$123,"-")</f>
        <v>-</v>
      </c>
      <c r="DK32" s="804" t="s">
        <v>325</v>
      </c>
      <c r="DL32" s="804" t="s">
        <v>370</v>
      </c>
      <c r="DM32" s="805">
        <f t="shared" si="32"/>
        <v>1.7320508075688772</v>
      </c>
      <c r="DN32" s="814" t="e">
        <f>DJ32/DM32</f>
        <v>#VALUE!</v>
      </c>
      <c r="DO32" s="839" t="e">
        <f t="shared" si="33"/>
        <v>#VALUE!</v>
      </c>
      <c r="DP32" s="812" t="s">
        <v>325</v>
      </c>
      <c r="DQ32" s="808" t="str">
        <f>CHOOSE('F-LSCD-012'!V50,DQ21/2,DQ21/2*1000,DQ21/2*1000000,DQ21/2*'Datos varios'!$E$119,DQ21/2*'Datos varios'!$E$120,DQ21/2*'Datos varios'!$E$121,DQ21/2*'Datos varios'!$E$122,DQ21/2*'Datos varios'!$E$123,"-")</f>
        <v>-</v>
      </c>
      <c r="DR32" s="804" t="s">
        <v>325</v>
      </c>
      <c r="DS32" s="804" t="s">
        <v>370</v>
      </c>
      <c r="DT32" s="805">
        <f t="shared" si="34"/>
        <v>1.7320508075688772</v>
      </c>
      <c r="DU32" s="814" t="e">
        <f>DQ32/DT32</f>
        <v>#VALUE!</v>
      </c>
      <c r="DV32" s="839" t="e">
        <f t="shared" si="3"/>
        <v>#VALUE!</v>
      </c>
      <c r="DW32" s="1172" t="s">
        <v>325</v>
      </c>
      <c r="DX32" s="1178" t="str">
        <f>CHOOSE('F-LSCD-012'!V51,DX21/2,DX21/2*1000,DX21/2*1000000,DX21/2*'Datos varios'!$E$119,DX21/2*'Datos varios'!$E$120,DX21/2*'Datos varios'!$E$121,DX21/2*'Datos varios'!$E$122,DX21/2*'Datos varios'!$E$123,"-")</f>
        <v>-</v>
      </c>
      <c r="DY32" s="804" t="s">
        <v>325</v>
      </c>
      <c r="DZ32" s="804" t="s">
        <v>370</v>
      </c>
      <c r="EA32" s="805">
        <f t="shared" si="35"/>
        <v>1.7320508075688772</v>
      </c>
      <c r="EB32" s="814" t="e">
        <f>DX32/EA32</f>
        <v>#VALUE!</v>
      </c>
      <c r="EC32" s="839" t="e">
        <f t="shared" si="36"/>
        <v>#VALUE!</v>
      </c>
      <c r="ED32" s="812" t="s">
        <v>325</v>
      </c>
      <c r="EE32" s="808" t="str">
        <f>CHOOSE('F-LSCD-012'!V52,EE21/2,EE21/2*1000,EE21/2*1000000,EE21/2*'Datos varios'!$E$119,EE21/2*'Datos varios'!$E$120,EE21/2*'Datos varios'!$E$121,EE21/2*'Datos varios'!$E$122,EE21/2*'Datos varios'!$E$123,"-")</f>
        <v>-</v>
      </c>
      <c r="EF32" s="804" t="s">
        <v>325</v>
      </c>
      <c r="EG32" s="804" t="s">
        <v>370</v>
      </c>
      <c r="EH32" s="805">
        <f t="shared" si="37"/>
        <v>1.7320508075688772</v>
      </c>
      <c r="EI32" s="814" t="e">
        <f>EE32/EH32</f>
        <v>#VALUE!</v>
      </c>
      <c r="EJ32" s="839" t="e">
        <f t="shared" si="38"/>
        <v>#VALUE!</v>
      </c>
      <c r="EK32" s="1172" t="s">
        <v>325</v>
      </c>
      <c r="EL32" s="1178" t="str">
        <f>CHOOSE('F-LSCD-012'!V53,EL21/2,EL21/2*1000,EL21/2*1000000,EL21/2*'Datos varios'!$E$119,EL21/2*'Datos varios'!$E$120,EL21/2*'Datos varios'!$E$121,EL21/2*'Datos varios'!$E$122,EL21/2*'Datos varios'!$E$123,"-")</f>
        <v>-</v>
      </c>
      <c r="EM32" s="804" t="s">
        <v>325</v>
      </c>
      <c r="EN32" s="804" t="s">
        <v>370</v>
      </c>
      <c r="EO32" s="805">
        <f t="shared" si="39"/>
        <v>1.7320508075688772</v>
      </c>
      <c r="EP32" s="814" t="e">
        <f>EL32/EO32</f>
        <v>#VALUE!</v>
      </c>
      <c r="EQ32" s="839" t="e">
        <f t="shared" si="40"/>
        <v>#VALUE!</v>
      </c>
      <c r="ER32" s="812" t="s">
        <v>325</v>
      </c>
      <c r="ES32" s="808" t="str">
        <f>CHOOSE('F-LSCD-012'!V54,ES21/2,ES21/2*1000,ES21/2*1000000,ES21/2*'Datos varios'!$E$119,ES21/2*'Datos varios'!$E$120,ES21/2*'Datos varios'!$E$121,ES21/2*'Datos varios'!$E$122,ES21/2*'Datos varios'!$E$123,"-")</f>
        <v>-</v>
      </c>
      <c r="ET32" s="804" t="s">
        <v>325</v>
      </c>
      <c r="EU32" s="804" t="s">
        <v>370</v>
      </c>
      <c r="EV32" s="805">
        <f t="shared" si="41"/>
        <v>1.7320508075688772</v>
      </c>
      <c r="EW32" s="814" t="e">
        <f>ES32/EV32</f>
        <v>#VALUE!</v>
      </c>
      <c r="EX32" s="839" t="e">
        <f t="shared" si="42"/>
        <v>#VALUE!</v>
      </c>
      <c r="EY32" s="1172" t="s">
        <v>325</v>
      </c>
      <c r="EZ32" s="1178" t="str">
        <f>CHOOSE('F-LSCD-012'!V55,EZ21/2,EZ21/2*1000,EZ21/2*1000000,EZ21/2*'Datos varios'!$E$119,EZ21/2*'Datos varios'!$E$120,EZ21/2*'Datos varios'!$E$121,EZ21/2*'Datos varios'!$E$122,EZ21/2*'Datos varios'!$E$123,"-")</f>
        <v>-</v>
      </c>
      <c r="FA32" s="804" t="s">
        <v>325</v>
      </c>
      <c r="FB32" s="804" t="s">
        <v>370</v>
      </c>
      <c r="FC32" s="805">
        <f t="shared" si="43"/>
        <v>1.7320508075688772</v>
      </c>
      <c r="FD32" s="814" t="e">
        <f>EZ32/FC32</f>
        <v>#VALUE!</v>
      </c>
      <c r="FE32" s="839" t="e">
        <f t="shared" si="44"/>
        <v>#VALUE!</v>
      </c>
      <c r="FF32" s="812" t="s">
        <v>325</v>
      </c>
      <c r="FG32" s="808" t="str">
        <f>CHOOSE('F-LSCD-012'!V56,FG21/2,FG21/2*1000,FG21/2*1000000,FG21/2*'Datos varios'!$E$119,FG21/2*'Datos varios'!$E$120,FG21/2*'Datos varios'!$E$121,FG21/2*'Datos varios'!$E$122,FG21/2*'Datos varios'!$E$123,"-")</f>
        <v>-</v>
      </c>
      <c r="FH32" s="804" t="s">
        <v>325</v>
      </c>
      <c r="FI32" s="804" t="s">
        <v>370</v>
      </c>
      <c r="FJ32" s="805">
        <f t="shared" si="45"/>
        <v>1.7320508075688772</v>
      </c>
      <c r="FK32" s="814" t="e">
        <f>FG32/FJ32</f>
        <v>#VALUE!</v>
      </c>
      <c r="FL32" s="839" t="e">
        <f t="shared" si="46"/>
        <v>#VALUE!</v>
      </c>
      <c r="FM32" s="1172" t="s">
        <v>325</v>
      </c>
      <c r="FN32" s="1178" t="str">
        <f>CHOOSE('F-LSCD-012'!V57,FN21/2,FN21/2*1000,FN21/2*1000000,FN21/2*'Datos varios'!$E$119,FN21/2*'Datos varios'!$E$120,FN21/2*'Datos varios'!$E$121,FN21/2*'Datos varios'!$E$122,FN21/2*'Datos varios'!$E$123,"-")</f>
        <v>-</v>
      </c>
      <c r="FO32" s="804" t="s">
        <v>325</v>
      </c>
      <c r="FP32" s="804" t="s">
        <v>370</v>
      </c>
      <c r="FQ32" s="805">
        <f t="shared" si="4"/>
        <v>1.7320508075688772</v>
      </c>
      <c r="FR32" s="814" t="e">
        <f>FN32/FQ32</f>
        <v>#VALUE!</v>
      </c>
      <c r="FS32" s="839" t="e">
        <f t="shared" si="47"/>
        <v>#VALUE!</v>
      </c>
      <c r="FT32" s="812" t="s">
        <v>325</v>
      </c>
    </row>
    <row r="33" spans="1:176" ht="18.75" thickBot="1" x14ac:dyDescent="0.3">
      <c r="A33" s="795">
        <v>9</v>
      </c>
      <c r="B33" s="2590" t="s">
        <v>662</v>
      </c>
      <c r="C33" s="2590"/>
      <c r="D33" s="2590"/>
      <c r="E33" s="2590"/>
      <c r="F33" s="2591"/>
      <c r="G33" s="794" t="s">
        <v>684</v>
      </c>
      <c r="H33" s="797" t="s">
        <v>451</v>
      </c>
      <c r="I33" s="809">
        <f>$C$210</f>
        <v>0.02</v>
      </c>
      <c r="J33" s="810" t="s">
        <v>93</v>
      </c>
      <c r="K33" s="810" t="s">
        <v>372</v>
      </c>
      <c r="L33" s="811">
        <f t="shared" si="10"/>
        <v>1</v>
      </c>
      <c r="M33" s="815">
        <f>CHOOSE('F-LSCD-012'!V34,I33/L33*I19,I33/L33*I19*1000,I33/L33*I19*1000000,I33/L33*I19*'Datos varios'!$E$119,I33/L33*I19*'Datos varios'!$E$120,I33/L33*I19*'Datos varios'!$E$121,I33/L33*I19*'Datos varios'!$E$122,I33/L33*I19*'Datos varios'!$E$123,I33/L33*I19,"-")</f>
        <v>12</v>
      </c>
      <c r="N33" s="834">
        <f t="shared" si="11"/>
        <v>6.3310405786409056E-3</v>
      </c>
      <c r="O33" s="1173" t="s">
        <v>325</v>
      </c>
      <c r="P33" s="1179">
        <f>$C$210</f>
        <v>0.02</v>
      </c>
      <c r="Q33" s="810" t="s">
        <v>93</v>
      </c>
      <c r="R33" s="810" t="s">
        <v>372</v>
      </c>
      <c r="S33" s="811">
        <f t="shared" si="12"/>
        <v>1</v>
      </c>
      <c r="T33" s="815">
        <f>CHOOSE('F-LSCD-012 (Pers. Hp(10))'!V35,P33/S33*P19,P33/S33*P19*1000,P33/S33*P19*1000000,P33/S33*P19*'Datos varios'!$E$119,P33/S33*P19*'Datos varios'!$E$120,P33/S33*P19*'Datos varios'!$E$121,P33/S33*P19*'Datos varios'!$E$122,P33/S33*P19*'Datos varios'!$E$123,P33/S33*P19,"-")</f>
        <v>1.706</v>
      </c>
      <c r="U33" s="834">
        <f>T33^2/$T$34^2</f>
        <v>1.287528488726409E-4</v>
      </c>
      <c r="V33" s="813" t="s">
        <v>325</v>
      </c>
      <c r="W33" s="809">
        <f>$C$210</f>
        <v>0.02</v>
      </c>
      <c r="X33" s="810" t="s">
        <v>93</v>
      </c>
      <c r="Y33" s="810" t="s">
        <v>372</v>
      </c>
      <c r="Z33" s="811">
        <f t="shared" si="14"/>
        <v>1</v>
      </c>
      <c r="AA33" s="815" t="str">
        <f>CHOOSE('F-LSCD-012'!V36,W33/Z33*W19,W33/Z33*W19*1000,W33/Z33*W19*1000000,W33/Z33*W19*'Datos varios'!$E$119,W33/Z33*W19*'Datos varios'!$E$120,W33/Z33*W19*'Datos varios'!$E$121,W33/Z33*W19*'Datos varios'!$E$122,W33/Z33*W19*'Datos varios'!$E$123,"-")</f>
        <v>-</v>
      </c>
      <c r="AB33" s="837" t="e">
        <f>AA33^2/$AA$34^2</f>
        <v>#VALUE!</v>
      </c>
      <c r="AC33" s="1173" t="s">
        <v>325</v>
      </c>
      <c r="AD33" s="1179">
        <f>$C$210</f>
        <v>0.02</v>
      </c>
      <c r="AE33" s="810" t="s">
        <v>93</v>
      </c>
      <c r="AF33" s="810" t="s">
        <v>372</v>
      </c>
      <c r="AG33" s="811">
        <f t="shared" si="15"/>
        <v>1</v>
      </c>
      <c r="AH33" s="815" t="str">
        <f>CHOOSE('F-LSCD-012'!V37,AD33/AG33*AD19,AD33/AG33*AD19*1000,AD33/AG33*AD19*1000000,AD33/AG33*AD19*'Datos varios'!$E$119,AD33/AG33*AD19*'Datos varios'!$E$120,AD33/AG33*AD19*'Datos varios'!$E$121,AD33/AG33*AD19*'Datos varios'!$E$122,AD33/AG33*AD19*'Datos varios'!$E$123,"-")</f>
        <v>-</v>
      </c>
      <c r="AI33" s="837" t="e">
        <f>AH33^2/$AH$34^2</f>
        <v>#VALUE!</v>
      </c>
      <c r="AJ33" s="813" t="s">
        <v>325</v>
      </c>
      <c r="AK33" s="809">
        <f>$C$210</f>
        <v>0.02</v>
      </c>
      <c r="AL33" s="810" t="s">
        <v>93</v>
      </c>
      <c r="AM33" s="810" t="s">
        <v>372</v>
      </c>
      <c r="AN33" s="811">
        <f t="shared" si="17"/>
        <v>1</v>
      </c>
      <c r="AO33" s="815" t="str">
        <f>CHOOSE('F-LSCD-012'!V38,AK33/AN33*AK19,AK33/AN33*AK19*1000,AK33/AN33*AK19*1000000,AK33/AN33*AK19*'Datos varios'!$E$119,AK33/AN33*AK19*'Datos varios'!$E$120,AK33/AN33*AK19*'Datos varios'!$E$121,AK33/AN33*AK19*'Datos varios'!$E$122,AK33/AN33*AK19*'Datos varios'!$E$123,"-")</f>
        <v>-</v>
      </c>
      <c r="AP33" s="840" t="e">
        <f t="shared" si="6"/>
        <v>#VALUE!</v>
      </c>
      <c r="AQ33" s="1173" t="s">
        <v>325</v>
      </c>
      <c r="AR33" s="1179">
        <f>$C$210</f>
        <v>0.02</v>
      </c>
      <c r="AS33" s="810" t="s">
        <v>93</v>
      </c>
      <c r="AT33" s="810" t="s">
        <v>372</v>
      </c>
      <c r="AU33" s="811">
        <f t="shared" si="18"/>
        <v>1</v>
      </c>
      <c r="AV33" s="815" t="str">
        <f>CHOOSE('F-LSCD-012'!V39,AR33/AU33*AR19,AR33/AU33*AR19*1000,AR33/AU33*AR19*1000000,AR33/AU33*AR19*'Datos varios'!$E$119,AR33/AU33*AR19*'Datos varios'!$E$120,AR33/AU33*AR19*'Datos varios'!$E$121,AR33/AU33*AR19*'Datos varios'!$E$122,AR33/AU33*AR19*'Datos varios'!$E$123,"-")</f>
        <v>-</v>
      </c>
      <c r="AW33" s="840" t="e">
        <f>AV33^2/$AV$34^2</f>
        <v>#VALUE!</v>
      </c>
      <c r="AX33" s="813" t="s">
        <v>325</v>
      </c>
      <c r="AY33" s="809">
        <f>$C$210</f>
        <v>0.02</v>
      </c>
      <c r="AZ33" s="810" t="s">
        <v>93</v>
      </c>
      <c r="BA33" s="810" t="s">
        <v>372</v>
      </c>
      <c r="BB33" s="811">
        <f t="shared" si="20"/>
        <v>1</v>
      </c>
      <c r="BC33" s="815" t="str">
        <f>CHOOSE('F-LSCD-012'!V40,AY33/BB33*AY19,AY33/BB33*AY19*1000,AY33/BB33*AY19*1000000,AY33/BB33*AY19*'Datos varios'!$E$119,AY33/BB33*AY19*'Datos varios'!$E$120,AY33/BB33*AY19*'Datos varios'!$E$121,AY33/BB33*AY19*'Datos varios'!$E$122,AY33/BB33*AY19*'Datos varios'!$E$123,"-")</f>
        <v>-</v>
      </c>
      <c r="BD33" s="840" t="e">
        <f t="shared" si="7"/>
        <v>#VALUE!</v>
      </c>
      <c r="BE33" s="1169" t="s">
        <v>325</v>
      </c>
      <c r="BF33" s="1179">
        <f>$C$210</f>
        <v>0.02</v>
      </c>
      <c r="BG33" s="810" t="s">
        <v>93</v>
      </c>
      <c r="BH33" s="810" t="s">
        <v>372</v>
      </c>
      <c r="BI33" s="811">
        <f t="shared" si="21"/>
        <v>1</v>
      </c>
      <c r="BJ33" s="815" t="str">
        <f>CHOOSE('F-LSCD-012'!V41,BF33/BI33*BF19,BF33/BI33*BF19*1000,BF33/BI33*BF19*1000000,BF33/BI33*BF19*'Datos varios'!$E$119,BF33/BI33*BF19*'Datos varios'!$E$120,BF33/BI33*BF19*'Datos varios'!$E$121,BF33/BI33*BF19*'Datos varios'!$E$122,BF33/BI33*BF19*'Datos varios'!$E$123,"-")</f>
        <v>-</v>
      </c>
      <c r="BK33" s="840" t="e">
        <f>BJ33^2/$BJ$34^2</f>
        <v>#VALUE!</v>
      </c>
      <c r="BL33" s="831" t="s">
        <v>325</v>
      </c>
      <c r="BM33" s="809">
        <f>$C$210</f>
        <v>0.02</v>
      </c>
      <c r="BN33" s="810" t="s">
        <v>93</v>
      </c>
      <c r="BO33" s="810" t="s">
        <v>372</v>
      </c>
      <c r="BP33" s="811">
        <f t="shared" si="23"/>
        <v>1</v>
      </c>
      <c r="BQ33" s="815" t="str">
        <f>CHOOSE('F-LSCD-012'!V42,BM33/BP33*BM19,BM33/BP33*BM19*1000,BM33/BP33*BM19*1000000,BM33/BP33*BM19*'Datos varios'!$E$119,BM33/BP33*BM19*'Datos varios'!$E$120,BM33/BP33*BM19*'Datos varios'!$E$121,BM33/BP33*BM19*'Datos varios'!$E$122,BM33/BP33*BM19*'Datos varios'!$E$123,"-")</f>
        <v>-</v>
      </c>
      <c r="BR33" s="843" t="e">
        <f>BQ33^2/$BQ$34^2</f>
        <v>#VALUE!</v>
      </c>
      <c r="BS33" s="1173" t="s">
        <v>325</v>
      </c>
      <c r="BT33" s="1179">
        <f>$C$210</f>
        <v>0.02</v>
      </c>
      <c r="BU33" s="810" t="s">
        <v>93</v>
      </c>
      <c r="BV33" s="810" t="s">
        <v>372</v>
      </c>
      <c r="BW33" s="811">
        <f t="shared" si="24"/>
        <v>1</v>
      </c>
      <c r="BX33" s="815" t="str">
        <f>CHOOSE('F-LSCD-012'!V43,BT33/BW33*BT19,BT33/BW33*BT19*1000,BT33/BW33*BT19*1000000,BT33/BW33*BT19*'Datos varios'!$E$119,BT33/BW33*BT19*'Datos varios'!$E$120,BT33/BW33*BT19*'Datos varios'!$E$121,BT33/BW33*BT19*'Datos varios'!$E$122,BT33/BW33*BT19*'Datos varios'!$E$123,"-")</f>
        <v>-</v>
      </c>
      <c r="BY33" s="843" t="e">
        <f>BX33^2/$BX$34^2</f>
        <v>#VALUE!</v>
      </c>
      <c r="BZ33" s="813" t="s">
        <v>325</v>
      </c>
      <c r="CA33" s="809">
        <f>$C$210</f>
        <v>0.02</v>
      </c>
      <c r="CB33" s="810" t="s">
        <v>93</v>
      </c>
      <c r="CC33" s="810" t="s">
        <v>372</v>
      </c>
      <c r="CD33" s="811">
        <f t="shared" si="26"/>
        <v>1</v>
      </c>
      <c r="CE33" s="815" t="str">
        <f>CHOOSE('F-LSCD-012'!V44,CA33/CD33*CA19,CA33/CD33*CA19*1000,CA33/CD33*CA19*1000000,CA33/CD33*CA19*'Datos varios'!$E$119,CA33/CD33*CA19*'Datos varios'!$E$120,CA33/CD33*CA19*'Datos varios'!$E$121,CA33/CD33*CA19*'Datos varios'!$E$122,CA33/CD33*CA19*'Datos varios'!$E$123,"-")</f>
        <v>-</v>
      </c>
      <c r="CF33" s="846" t="e">
        <f>CE33^2/$CE$34^2</f>
        <v>#VALUE!</v>
      </c>
      <c r="CG33" s="1173" t="s">
        <v>325</v>
      </c>
      <c r="CH33" s="1179">
        <f>$C$210</f>
        <v>0.02</v>
      </c>
      <c r="CI33" s="810" t="s">
        <v>93</v>
      </c>
      <c r="CJ33" s="810" t="s">
        <v>372</v>
      </c>
      <c r="CK33" s="811">
        <f t="shared" si="27"/>
        <v>1</v>
      </c>
      <c r="CL33" s="815" t="str">
        <f>CHOOSE('F-LSCD-012'!V45,CH33/CK33*CH19,CH33/CK33*CH19*1000,CH33/CK33*CH19*1000000,CH33/CK33*CH19*'Datos varios'!$E$119,CH33/CK33*CH19*'Datos varios'!$E$120,CH33/CK33*CH19*'Datos varios'!$E$121,CH33/CK33*CH19*'Datos varios'!$E$122,CH33/CK33*CH19*'Datos varios'!$E$123,"-")</f>
        <v>-</v>
      </c>
      <c r="CM33" s="846" t="e">
        <f>CL33^2/$CL$34^2</f>
        <v>#VALUE!</v>
      </c>
      <c r="CN33" s="813" t="s">
        <v>325</v>
      </c>
      <c r="CO33" s="809">
        <f>$C$210</f>
        <v>0.02</v>
      </c>
      <c r="CP33" s="810" t="s">
        <v>372</v>
      </c>
      <c r="CQ33" s="810" t="s">
        <v>373</v>
      </c>
      <c r="CR33" s="811">
        <f t="shared" si="1"/>
        <v>2</v>
      </c>
      <c r="CS33" s="815" t="str">
        <f>CHOOSE('F-LSCD-012'!V46,CO33/CR33*CO19,CO33/CR33*CO19*1000,CO33/CR33*CO19*1000000,CO33/CR33*CO19*'Datos varios'!$E$119,CO33/CR33*CO19*'Datos varios'!$E$120,CO33/CR33*CO19*'Datos varios'!$E$121,CO33/CR33*CO19*'Datos varios'!$E$122,CO33/CR33*CO19*'Datos varios'!$E$123,"-")</f>
        <v>-</v>
      </c>
      <c r="CT33" s="846" t="e">
        <f t="shared" si="2"/>
        <v>#VALUE!</v>
      </c>
      <c r="CU33" s="1173" t="s">
        <v>325</v>
      </c>
      <c r="CV33" s="1179">
        <f>$C$210</f>
        <v>0.02</v>
      </c>
      <c r="CW33" s="810" t="s">
        <v>372</v>
      </c>
      <c r="CX33" s="810" t="s">
        <v>373</v>
      </c>
      <c r="CY33" s="811">
        <f t="shared" si="29"/>
        <v>2</v>
      </c>
      <c r="CZ33" s="815" t="str">
        <f>CHOOSE('F-LSCD-012'!V47,CV33/CY33*CV19,CV33/CY33*CV19*1000,CV33/CY33*CV19*1000000,CV33/CY33*CV19*'Datos varios'!$E$119,CV33/CY33*CV19*'Datos varios'!$E$120,CV33/CY33*CV19*'Datos varios'!$E$121,CV33/CY33*CV19*'Datos varios'!$E$122,CV33/CY33*CV19*'Datos varios'!$E$123,"-")</f>
        <v>-</v>
      </c>
      <c r="DA33" s="846" t="e">
        <f>CZ33^2/$CZ$34^2</f>
        <v>#VALUE!</v>
      </c>
      <c r="DB33" s="813" t="s">
        <v>325</v>
      </c>
      <c r="DC33" s="809">
        <f>$C$210</f>
        <v>0.02</v>
      </c>
      <c r="DD33" s="810" t="s">
        <v>93</v>
      </c>
      <c r="DE33" s="810" t="s">
        <v>372</v>
      </c>
      <c r="DF33" s="811">
        <f t="shared" si="31"/>
        <v>1</v>
      </c>
      <c r="DG33" s="815" t="str">
        <f>CHOOSE('F-LSCD-012'!V48,DC33/DF33*DC19,DC33/DF33*DC19*1000,DC33/DF33*DC19*1000000,DC33/DF33*DC19*'Datos varios'!$E$119,DC33/DF33*DC19*'Datos varios'!$E$120,DC33/DF33*DC19*'Datos varios'!$E$121,DC33/DF33*DC19*'Datos varios'!$E$122,DC33/DF33*DC19*'Datos varios'!$E$123,"-")</f>
        <v>-</v>
      </c>
      <c r="DH33" s="840" t="e">
        <f>DG33^2/$DG$34^2</f>
        <v>#VALUE!</v>
      </c>
      <c r="DI33" s="1173" t="s">
        <v>325</v>
      </c>
      <c r="DJ33" s="1179">
        <f>$C$210</f>
        <v>0.02</v>
      </c>
      <c r="DK33" s="810" t="s">
        <v>93</v>
      </c>
      <c r="DL33" s="810" t="s">
        <v>372</v>
      </c>
      <c r="DM33" s="811">
        <f t="shared" si="32"/>
        <v>1</v>
      </c>
      <c r="DN33" s="815" t="str">
        <f>CHOOSE('F-LSCD-012'!V49,DJ33/DM33*DJ19,DJ33/DM33*DJ19*1000,DJ33/DM33*DJ19*1000000,DJ33/DM33*DJ19*'Datos varios'!$E$119,DJ33/DM33*DJ19*'Datos varios'!$E$120,DJ33/DM33*DJ19*'Datos varios'!$E$121,DJ33/DM33*DJ19*'Datos varios'!$E$122,DJ33/DM33*DJ19*'Datos varios'!$E$123,"-")</f>
        <v>-</v>
      </c>
      <c r="DO33" s="840" t="e">
        <f>DN33^2/$DN$34^2</f>
        <v>#VALUE!</v>
      </c>
      <c r="DP33" s="813" t="s">
        <v>325</v>
      </c>
      <c r="DQ33" s="809">
        <f>$C$210</f>
        <v>0.02</v>
      </c>
      <c r="DR33" s="810" t="s">
        <v>93</v>
      </c>
      <c r="DS33" s="810" t="s">
        <v>372</v>
      </c>
      <c r="DT33" s="811">
        <f t="shared" si="34"/>
        <v>1</v>
      </c>
      <c r="DU33" s="815" t="str">
        <f>CHOOSE('F-LSCD-012'!V50,DQ33/DT33*DQ19,DQ33/DT33*DQ19*1000,DQ33/DT33*DQ19*1000000,DQ33/DT33*DQ19*'Datos varios'!$E$119,DQ33/DT33*DQ19*'Datos varios'!$E$120,DQ33/DT33*DQ19*'Datos varios'!$E$121,DQ33/DT33*DQ19*'Datos varios'!$E$122,DQ33/DT33*DQ19*'Datos varios'!$E$123,"-")</f>
        <v>-</v>
      </c>
      <c r="DV33" s="840" t="e">
        <f>DU33^2/$DU$34^2</f>
        <v>#VALUE!</v>
      </c>
      <c r="DW33" s="1173" t="s">
        <v>325</v>
      </c>
      <c r="DX33" s="1179">
        <f>$C$210</f>
        <v>0.02</v>
      </c>
      <c r="DY33" s="810" t="s">
        <v>93</v>
      </c>
      <c r="DZ33" s="810" t="s">
        <v>372</v>
      </c>
      <c r="EA33" s="811">
        <f t="shared" si="35"/>
        <v>1</v>
      </c>
      <c r="EB33" s="815" t="str">
        <f>CHOOSE('F-LSCD-012'!V51,DX33/EA33*DX19,DX33/EA33*DX19*1000,DX33/EA33*DX19*1000000,DX33/EA33*DX19*'Datos varios'!$E$119,DX33/EA33*DX19*'Datos varios'!$E$120,DX33/EA33*DX19*'Datos varios'!$E$121,DX33/EA33*DX19*'Datos varios'!$E$122,DX33/EA33*DX19*'Datos varios'!$E$123,"-")</f>
        <v>-</v>
      </c>
      <c r="EC33" s="840" t="e">
        <f>EB33^2/$EB$34^2</f>
        <v>#VALUE!</v>
      </c>
      <c r="ED33" s="813" t="s">
        <v>325</v>
      </c>
      <c r="EE33" s="809">
        <f>$C$210</f>
        <v>0.02</v>
      </c>
      <c r="EF33" s="810" t="s">
        <v>93</v>
      </c>
      <c r="EG33" s="810" t="s">
        <v>372</v>
      </c>
      <c r="EH33" s="811">
        <f t="shared" si="37"/>
        <v>1</v>
      </c>
      <c r="EI33" s="815" t="str">
        <f>CHOOSE('F-LSCD-012'!V52,EE33/EH33*EE19,EE33/EH33*EE19*1000,EE33/EH33*EE19*1000000,EE33/EH33*EE19*'Datos varios'!$E$119,EE33/EH33*EE19*'Datos varios'!$E$120,EE33/EH33*EE19*'Datos varios'!$E$121,EE33/EH33*EE19*'Datos varios'!$E$122,EE33/EH33*EE19*'Datos varios'!$E$123,"-")</f>
        <v>-</v>
      </c>
      <c r="EJ33" s="840" t="e">
        <f>EI33^2/$EI$34^2</f>
        <v>#VALUE!</v>
      </c>
      <c r="EK33" s="1173" t="s">
        <v>325</v>
      </c>
      <c r="EL33" s="1179">
        <f>$C$210</f>
        <v>0.02</v>
      </c>
      <c r="EM33" s="810" t="s">
        <v>93</v>
      </c>
      <c r="EN33" s="810" t="s">
        <v>372</v>
      </c>
      <c r="EO33" s="811">
        <f t="shared" si="39"/>
        <v>1</v>
      </c>
      <c r="EP33" s="815" t="str">
        <f>CHOOSE('F-LSCD-012'!V53,EL33/EO33*EL19,EL33/EO33*EL19*1000,EL33/EO33*EL19*1000000,EL33/EO33*EL19*'Datos varios'!$E$119,EL33/EO33*EL19*'Datos varios'!$E$120,EL33/EO33*EL19*'Datos varios'!$E$121,EL33/EO33*EL19*'Datos varios'!$E$122,EL33/EO33*EL19*'Datos varios'!$E$123,"-")</f>
        <v>-</v>
      </c>
      <c r="EQ33" s="840" t="e">
        <f>EP33^2/$EP$34^2</f>
        <v>#VALUE!</v>
      </c>
      <c r="ER33" s="813" t="s">
        <v>325</v>
      </c>
      <c r="ES33" s="809">
        <f>$C$210</f>
        <v>0.02</v>
      </c>
      <c r="ET33" s="810" t="s">
        <v>93</v>
      </c>
      <c r="EU33" s="810" t="s">
        <v>372</v>
      </c>
      <c r="EV33" s="811">
        <f t="shared" si="41"/>
        <v>1</v>
      </c>
      <c r="EW33" s="815" t="str">
        <f>CHOOSE('F-LSCD-012'!V54,ES33/EV33*ES19,ES33/EV33*ES19*1000,ES33/EV33*ES19*1000000,ES33/EV33*ES19*'Datos varios'!$E$119,ES33/EV33*ES19*'Datos varios'!$E$120,ES33/EV33*ES19*'Datos varios'!$E$121,ES33/EV33*ES19*'Datos varios'!$E$122,ES33/EV33*ES19*'Datos varios'!$E$123,"-")</f>
        <v>-</v>
      </c>
      <c r="EX33" s="840" t="e">
        <f>EW33^2/$EW$34^2</f>
        <v>#VALUE!</v>
      </c>
      <c r="EY33" s="1173" t="s">
        <v>325</v>
      </c>
      <c r="EZ33" s="1179">
        <f>$C$210</f>
        <v>0.02</v>
      </c>
      <c r="FA33" s="810" t="s">
        <v>93</v>
      </c>
      <c r="FB33" s="810" t="s">
        <v>372</v>
      </c>
      <c r="FC33" s="811">
        <f t="shared" si="43"/>
        <v>1</v>
      </c>
      <c r="FD33" s="815" t="str">
        <f>CHOOSE('F-LSCD-012'!V55,EZ33/FC33*EZ19,EZ33/FC33*EZ19*1000,EZ33/FC33*EZ19*1000000,EZ33/FC33*EZ19*'Datos varios'!$E$119,EZ33/FC33*EZ19*'Datos varios'!$E$120,EZ33/FC33*EZ19*'Datos varios'!$E$121,EZ33/FC33*EZ19*'Datos varios'!$E$122,EZ33/FC33*EZ19*'Datos varios'!$E$123,"-")</f>
        <v>-</v>
      </c>
      <c r="FE33" s="840" t="e">
        <f>FD33^2/$FD$34^2</f>
        <v>#VALUE!</v>
      </c>
      <c r="FF33" s="813" t="s">
        <v>325</v>
      </c>
      <c r="FG33" s="809">
        <f>$C$210</f>
        <v>0.02</v>
      </c>
      <c r="FH33" s="810" t="s">
        <v>93</v>
      </c>
      <c r="FI33" s="810" t="s">
        <v>372</v>
      </c>
      <c r="FJ33" s="811">
        <f t="shared" si="45"/>
        <v>1</v>
      </c>
      <c r="FK33" s="815" t="str">
        <f>CHOOSE('F-LSCD-012'!V56,FG33/FJ33*FG19,FG33/FJ33*FG19*1000,FG33/FJ33*FG19*1000000,FG33/FJ33*FG19*'Datos varios'!$E$119,FG33/FJ33*FG19*'Datos varios'!$E$120,FG33/FJ33*FG19*'Datos varios'!$E$121,FG33/FJ33*FG19*'Datos varios'!$E$122,FG33/FJ33*FG19*'Datos varios'!$E$123,"-")</f>
        <v>-</v>
      </c>
      <c r="FL33" s="840" t="e">
        <f>FK33^2/$FK$34^2</f>
        <v>#VALUE!</v>
      </c>
      <c r="FM33" s="1173" t="s">
        <v>325</v>
      </c>
      <c r="FN33" s="1179">
        <f>$C$210</f>
        <v>0.02</v>
      </c>
      <c r="FO33" s="810" t="s">
        <v>93</v>
      </c>
      <c r="FP33" s="810" t="s">
        <v>372</v>
      </c>
      <c r="FQ33" s="811">
        <f t="shared" si="4"/>
        <v>1</v>
      </c>
      <c r="FR33" s="815" t="str">
        <f>CHOOSE('F-LSCD-012'!V57,FN33/FQ33*FN19,FN33/FQ33*FN19*1000,FN33/FQ33*FN19*1000000,FN33/FQ33*FN19*'Datos varios'!$E$119,FN33/FQ33*FN19*'Datos varios'!$E$120,FN33/FQ33*FN19*'Datos varios'!$E$121,FN33/FQ33*FN19*'Datos varios'!$E$122,FN33/FQ33*FN19*'Datos varios'!$E$123,"-")</f>
        <v>-</v>
      </c>
      <c r="FS33" s="840" t="e">
        <f>FR33^2/$FR$34^2</f>
        <v>#VALUE!</v>
      </c>
      <c r="FT33" s="813" t="s">
        <v>325</v>
      </c>
    </row>
    <row r="34" spans="1:176" x14ac:dyDescent="0.25">
      <c r="A34" s="735"/>
      <c r="I34" s="2504" t="s">
        <v>543</v>
      </c>
      <c r="J34" s="2505"/>
      <c r="K34" s="2505"/>
      <c r="L34" s="2506"/>
      <c r="M34" s="798">
        <f>SQRT(SUMSQ(M25:M33))</f>
        <v>150.81470796628167</v>
      </c>
      <c r="N34" s="819"/>
      <c r="O34" s="819" t="s">
        <v>325</v>
      </c>
      <c r="P34" s="2507" t="s">
        <v>543</v>
      </c>
      <c r="Q34" s="2505"/>
      <c r="R34" s="2505"/>
      <c r="S34" s="2506"/>
      <c r="T34" s="798">
        <f>SQRT(SUMSQ(T25:T33))</f>
        <v>150.34902053074899</v>
      </c>
      <c r="U34" s="819"/>
      <c r="V34" s="796" t="s">
        <v>325</v>
      </c>
      <c r="W34" s="2592" t="s">
        <v>543</v>
      </c>
      <c r="X34" s="2588"/>
      <c r="Y34" s="2588"/>
      <c r="Z34" s="2589"/>
      <c r="AA34" s="798" t="e">
        <f>SQRT(SUMSQ(AA25:AA33))</f>
        <v>#VALUE!</v>
      </c>
      <c r="AB34" s="819"/>
      <c r="AC34" s="819" t="s">
        <v>325</v>
      </c>
      <c r="AD34" s="2587" t="s">
        <v>543</v>
      </c>
      <c r="AE34" s="2588"/>
      <c r="AF34" s="2588"/>
      <c r="AG34" s="2589"/>
      <c r="AH34" s="798" t="e">
        <f>SQRT(SUMSQ(AH25:AH33))</f>
        <v>#VALUE!</v>
      </c>
      <c r="AI34" s="819"/>
      <c r="AJ34" s="796" t="s">
        <v>325</v>
      </c>
      <c r="AK34" s="2504" t="s">
        <v>543</v>
      </c>
      <c r="AL34" s="2505"/>
      <c r="AM34" s="2505"/>
      <c r="AN34" s="2506"/>
      <c r="AO34" s="798" t="e">
        <f>SQRT(SUMSQ(AO25:AO33))</f>
        <v>#VALUE!</v>
      </c>
      <c r="AP34" s="819"/>
      <c r="AQ34" s="819" t="s">
        <v>325</v>
      </c>
      <c r="AR34" s="2507" t="s">
        <v>543</v>
      </c>
      <c r="AS34" s="2505"/>
      <c r="AT34" s="2505"/>
      <c r="AU34" s="2506"/>
      <c r="AV34" s="798" t="e">
        <f>SQRT(SUMSQ(AV25:AV33))</f>
        <v>#VALUE!</v>
      </c>
      <c r="AW34" s="819"/>
      <c r="AX34" s="796" t="s">
        <v>325</v>
      </c>
      <c r="AY34" s="2504" t="s">
        <v>543</v>
      </c>
      <c r="AZ34" s="2505"/>
      <c r="BA34" s="2505"/>
      <c r="BB34" s="2506"/>
      <c r="BC34" s="798" t="e">
        <f>SQRT(SUMSQ(BC25:BC33))</f>
        <v>#VALUE!</v>
      </c>
      <c r="BD34" s="819"/>
      <c r="BE34" s="819" t="s">
        <v>325</v>
      </c>
      <c r="BF34" s="2507" t="s">
        <v>543</v>
      </c>
      <c r="BG34" s="2505"/>
      <c r="BH34" s="2505"/>
      <c r="BI34" s="2506"/>
      <c r="BJ34" s="798" t="e">
        <f>SQRT(SUMSQ(BJ25:BJ33))</f>
        <v>#VALUE!</v>
      </c>
      <c r="BK34" s="819"/>
      <c r="BL34" s="796" t="s">
        <v>325</v>
      </c>
      <c r="BM34" s="2504" t="s">
        <v>543</v>
      </c>
      <c r="BN34" s="2505"/>
      <c r="BO34" s="2505"/>
      <c r="BP34" s="2506"/>
      <c r="BQ34" s="798" t="e">
        <f>SQRT(SUMSQ(BQ25:BQ33))</f>
        <v>#VALUE!</v>
      </c>
      <c r="BR34" s="819"/>
      <c r="BS34" s="819" t="s">
        <v>325</v>
      </c>
      <c r="BT34" s="2587" t="s">
        <v>543</v>
      </c>
      <c r="BU34" s="2588"/>
      <c r="BV34" s="2588"/>
      <c r="BW34" s="2589"/>
      <c r="BX34" s="798" t="e">
        <f>SQRT(SUMSQ(BX25:BX33))</f>
        <v>#VALUE!</v>
      </c>
      <c r="BY34" s="819"/>
      <c r="BZ34" s="796" t="s">
        <v>325</v>
      </c>
      <c r="CA34" s="2504" t="s">
        <v>543</v>
      </c>
      <c r="CB34" s="2505"/>
      <c r="CC34" s="2505"/>
      <c r="CD34" s="2506"/>
      <c r="CE34" s="798" t="e">
        <f>SQRT(SUMSQ(CE25:CE33))</f>
        <v>#VALUE!</v>
      </c>
      <c r="CF34" s="819"/>
      <c r="CG34" s="819" t="s">
        <v>325</v>
      </c>
      <c r="CH34" s="2507" t="s">
        <v>543</v>
      </c>
      <c r="CI34" s="2505"/>
      <c r="CJ34" s="2505"/>
      <c r="CK34" s="2506"/>
      <c r="CL34" s="798" t="e">
        <f>SQRT(SUMSQ(CL25:CL33))</f>
        <v>#VALUE!</v>
      </c>
      <c r="CM34" s="819"/>
      <c r="CN34" s="796" t="s">
        <v>325</v>
      </c>
      <c r="CO34" s="2504" t="s">
        <v>543</v>
      </c>
      <c r="CP34" s="2505"/>
      <c r="CQ34" s="2505"/>
      <c r="CR34" s="2506"/>
      <c r="CS34" s="798" t="e">
        <f>SQRT(SUMSQ(CS25:CS33))</f>
        <v>#VALUE!</v>
      </c>
      <c r="CT34" s="819"/>
      <c r="CU34" s="819" t="s">
        <v>325</v>
      </c>
      <c r="CV34" s="2507" t="s">
        <v>543</v>
      </c>
      <c r="CW34" s="2505"/>
      <c r="CX34" s="2505"/>
      <c r="CY34" s="2506"/>
      <c r="CZ34" s="798" t="e">
        <f>SQRT(SUMSQ(CZ25:CZ33))</f>
        <v>#VALUE!</v>
      </c>
      <c r="DA34" s="819"/>
      <c r="DB34" s="796" t="s">
        <v>325</v>
      </c>
      <c r="DC34" s="2504" t="s">
        <v>543</v>
      </c>
      <c r="DD34" s="2505"/>
      <c r="DE34" s="2505"/>
      <c r="DF34" s="2506"/>
      <c r="DG34" s="798" t="e">
        <f>SQRT(SUMSQ(DG25:DG33))</f>
        <v>#VALUE!</v>
      </c>
      <c r="DH34" s="819"/>
      <c r="DI34" s="819" t="s">
        <v>325</v>
      </c>
      <c r="DJ34" s="2507" t="s">
        <v>543</v>
      </c>
      <c r="DK34" s="2505"/>
      <c r="DL34" s="2505"/>
      <c r="DM34" s="2506"/>
      <c r="DN34" s="798" t="e">
        <f>SQRT(SUMSQ(DN25:DN33))</f>
        <v>#VALUE!</v>
      </c>
      <c r="DO34" s="819"/>
      <c r="DP34" s="796" t="s">
        <v>325</v>
      </c>
      <c r="DQ34" s="2504" t="s">
        <v>543</v>
      </c>
      <c r="DR34" s="2505"/>
      <c r="DS34" s="2505"/>
      <c r="DT34" s="2506"/>
      <c r="DU34" s="798" t="e">
        <f>SQRT(SUMSQ(DU25:DU33))</f>
        <v>#VALUE!</v>
      </c>
      <c r="DV34" s="819"/>
      <c r="DW34" s="819" t="s">
        <v>325</v>
      </c>
      <c r="DX34" s="2507" t="s">
        <v>543</v>
      </c>
      <c r="DY34" s="2505"/>
      <c r="DZ34" s="2505"/>
      <c r="EA34" s="2506"/>
      <c r="EB34" s="798" t="e">
        <f>SQRT(SUMSQ(EB25:EB33))</f>
        <v>#VALUE!</v>
      </c>
      <c r="EC34" s="819"/>
      <c r="ED34" s="796" t="s">
        <v>325</v>
      </c>
      <c r="EE34" s="2504" t="s">
        <v>543</v>
      </c>
      <c r="EF34" s="2505"/>
      <c r="EG34" s="2505"/>
      <c r="EH34" s="2506"/>
      <c r="EI34" s="798" t="e">
        <f>SQRT(SUMSQ(EI25:EI33))</f>
        <v>#VALUE!</v>
      </c>
      <c r="EJ34" s="819"/>
      <c r="EK34" s="819" t="s">
        <v>325</v>
      </c>
      <c r="EL34" s="2507" t="s">
        <v>543</v>
      </c>
      <c r="EM34" s="2505"/>
      <c r="EN34" s="2505"/>
      <c r="EO34" s="2506"/>
      <c r="EP34" s="798" t="e">
        <f>SQRT(SUMSQ(EP25:EP33))</f>
        <v>#VALUE!</v>
      </c>
      <c r="EQ34" s="819"/>
      <c r="ER34" s="796" t="s">
        <v>325</v>
      </c>
      <c r="ES34" s="2504" t="s">
        <v>543</v>
      </c>
      <c r="ET34" s="2505"/>
      <c r="EU34" s="2505"/>
      <c r="EV34" s="2506"/>
      <c r="EW34" s="798" t="e">
        <f>SQRT(SUMSQ(EW25:EW33))</f>
        <v>#VALUE!</v>
      </c>
      <c r="EX34" s="819"/>
      <c r="EY34" s="819" t="s">
        <v>325</v>
      </c>
      <c r="EZ34" s="2507" t="s">
        <v>543</v>
      </c>
      <c r="FA34" s="2505"/>
      <c r="FB34" s="2505"/>
      <c r="FC34" s="2506"/>
      <c r="FD34" s="798" t="e">
        <f>SQRT(SUMSQ(FD25:FD33))</f>
        <v>#VALUE!</v>
      </c>
      <c r="FE34" s="819"/>
      <c r="FF34" s="796" t="s">
        <v>325</v>
      </c>
      <c r="FG34" s="2504" t="s">
        <v>543</v>
      </c>
      <c r="FH34" s="2505"/>
      <c r="FI34" s="2505"/>
      <c r="FJ34" s="2506"/>
      <c r="FK34" s="798" t="e">
        <f>SQRT(SUMSQ(FK25:FK33))</f>
        <v>#VALUE!</v>
      </c>
      <c r="FL34" s="819"/>
      <c r="FM34" s="819" t="s">
        <v>325</v>
      </c>
      <c r="FN34" s="2507" t="s">
        <v>543</v>
      </c>
      <c r="FO34" s="2505"/>
      <c r="FP34" s="2505"/>
      <c r="FQ34" s="2506"/>
      <c r="FR34" s="798" t="e">
        <f>SQRT(SUMSQ(FR25:FR33))</f>
        <v>#VALUE!</v>
      </c>
      <c r="FS34" s="819"/>
      <c r="FT34" s="796" t="s">
        <v>325</v>
      </c>
    </row>
    <row r="35" spans="1:176" x14ac:dyDescent="0.25">
      <c r="A35" s="735"/>
      <c r="I35" s="2468" t="s">
        <v>544</v>
      </c>
      <c r="J35" s="2469"/>
      <c r="K35" s="2469"/>
      <c r="L35" s="2470"/>
      <c r="M35" s="786" t="s">
        <v>373</v>
      </c>
      <c r="N35" s="743"/>
      <c r="O35" s="743"/>
      <c r="P35" s="2471" t="s">
        <v>544</v>
      </c>
      <c r="Q35" s="2469"/>
      <c r="R35" s="2469"/>
      <c r="S35" s="2470"/>
      <c r="T35" s="786" t="s">
        <v>373</v>
      </c>
      <c r="U35" s="743"/>
      <c r="V35" s="782"/>
      <c r="W35" s="2468" t="s">
        <v>544</v>
      </c>
      <c r="X35" s="2469"/>
      <c r="Y35" s="2469"/>
      <c r="Z35" s="2470"/>
      <c r="AA35" s="786" t="s">
        <v>373</v>
      </c>
      <c r="AB35" s="743"/>
      <c r="AC35" s="743"/>
      <c r="AD35" s="2471" t="s">
        <v>544</v>
      </c>
      <c r="AE35" s="2469"/>
      <c r="AF35" s="2469"/>
      <c r="AG35" s="2470"/>
      <c r="AH35" s="786" t="s">
        <v>373</v>
      </c>
      <c r="AI35" s="743"/>
      <c r="AJ35" s="782"/>
      <c r="AK35" s="2468" t="s">
        <v>544</v>
      </c>
      <c r="AL35" s="2469"/>
      <c r="AM35" s="2469"/>
      <c r="AN35" s="2470"/>
      <c r="AO35" s="786" t="s">
        <v>373</v>
      </c>
      <c r="AP35" s="743"/>
      <c r="AQ35" s="743"/>
      <c r="AR35" s="2471" t="s">
        <v>544</v>
      </c>
      <c r="AS35" s="2469"/>
      <c r="AT35" s="2469"/>
      <c r="AU35" s="2470"/>
      <c r="AV35" s="786" t="s">
        <v>373</v>
      </c>
      <c r="AW35" s="743"/>
      <c r="AX35" s="782"/>
      <c r="AY35" s="2468" t="s">
        <v>544</v>
      </c>
      <c r="AZ35" s="2469"/>
      <c r="BA35" s="2469"/>
      <c r="BB35" s="2470"/>
      <c r="BC35" s="786" t="s">
        <v>373</v>
      </c>
      <c r="BD35" s="743"/>
      <c r="BE35" s="743"/>
      <c r="BF35" s="2471" t="s">
        <v>544</v>
      </c>
      <c r="BG35" s="2469"/>
      <c r="BH35" s="2469"/>
      <c r="BI35" s="2470"/>
      <c r="BJ35" s="786" t="s">
        <v>373</v>
      </c>
      <c r="BK35" s="743"/>
      <c r="BL35" s="782"/>
      <c r="BM35" s="2468" t="s">
        <v>544</v>
      </c>
      <c r="BN35" s="2469"/>
      <c r="BO35" s="2469"/>
      <c r="BP35" s="2470"/>
      <c r="BQ35" s="786" t="s">
        <v>373</v>
      </c>
      <c r="BR35" s="743"/>
      <c r="BS35" s="743"/>
      <c r="BT35" s="2471" t="s">
        <v>544</v>
      </c>
      <c r="BU35" s="2469"/>
      <c r="BV35" s="2469"/>
      <c r="BW35" s="2470"/>
      <c r="BX35" s="786" t="s">
        <v>373</v>
      </c>
      <c r="BY35" s="743"/>
      <c r="BZ35" s="782"/>
      <c r="CA35" s="2468" t="s">
        <v>544</v>
      </c>
      <c r="CB35" s="2469"/>
      <c r="CC35" s="2469"/>
      <c r="CD35" s="2470"/>
      <c r="CE35" s="786" t="s">
        <v>373</v>
      </c>
      <c r="CF35" s="743"/>
      <c r="CG35" s="743"/>
      <c r="CH35" s="2471" t="s">
        <v>544</v>
      </c>
      <c r="CI35" s="2469"/>
      <c r="CJ35" s="2469"/>
      <c r="CK35" s="2470"/>
      <c r="CL35" s="786" t="s">
        <v>373</v>
      </c>
      <c r="CM35" s="743"/>
      <c r="CN35" s="782"/>
      <c r="CO35" s="2468" t="s">
        <v>544</v>
      </c>
      <c r="CP35" s="2469"/>
      <c r="CQ35" s="2469"/>
      <c r="CR35" s="2470"/>
      <c r="CS35" s="786" t="s">
        <v>373</v>
      </c>
      <c r="CT35" s="743"/>
      <c r="CU35" s="743"/>
      <c r="CV35" s="2471" t="s">
        <v>544</v>
      </c>
      <c r="CW35" s="2469"/>
      <c r="CX35" s="2469"/>
      <c r="CY35" s="2470"/>
      <c r="CZ35" s="786" t="s">
        <v>373</v>
      </c>
      <c r="DA35" s="743"/>
      <c r="DB35" s="782"/>
      <c r="DC35" s="2468" t="s">
        <v>544</v>
      </c>
      <c r="DD35" s="2469"/>
      <c r="DE35" s="2469"/>
      <c r="DF35" s="2470"/>
      <c r="DG35" s="786" t="s">
        <v>373</v>
      </c>
      <c r="DH35" s="743"/>
      <c r="DI35" s="743"/>
      <c r="DJ35" s="2471" t="s">
        <v>544</v>
      </c>
      <c r="DK35" s="2469"/>
      <c r="DL35" s="2469"/>
      <c r="DM35" s="2470"/>
      <c r="DN35" s="786" t="s">
        <v>373</v>
      </c>
      <c r="DO35" s="743"/>
      <c r="DP35" s="782"/>
      <c r="DQ35" s="2468" t="s">
        <v>544</v>
      </c>
      <c r="DR35" s="2469"/>
      <c r="DS35" s="2469"/>
      <c r="DT35" s="2470"/>
      <c r="DU35" s="786" t="s">
        <v>373</v>
      </c>
      <c r="DV35" s="743"/>
      <c r="DW35" s="743"/>
      <c r="DX35" s="2471" t="s">
        <v>544</v>
      </c>
      <c r="DY35" s="2469"/>
      <c r="DZ35" s="2469"/>
      <c r="EA35" s="2470"/>
      <c r="EB35" s="786" t="s">
        <v>373</v>
      </c>
      <c r="EC35" s="743"/>
      <c r="ED35" s="782"/>
      <c r="EE35" s="2468" t="s">
        <v>544</v>
      </c>
      <c r="EF35" s="2469"/>
      <c r="EG35" s="2469"/>
      <c r="EH35" s="2470"/>
      <c r="EI35" s="786" t="s">
        <v>373</v>
      </c>
      <c r="EJ35" s="743"/>
      <c r="EK35" s="743"/>
      <c r="EL35" s="2471" t="s">
        <v>544</v>
      </c>
      <c r="EM35" s="2469"/>
      <c r="EN35" s="2469"/>
      <c r="EO35" s="2470"/>
      <c r="EP35" s="786" t="s">
        <v>373</v>
      </c>
      <c r="EQ35" s="743"/>
      <c r="ER35" s="782"/>
      <c r="ES35" s="2468" t="s">
        <v>544</v>
      </c>
      <c r="ET35" s="2469"/>
      <c r="EU35" s="2469"/>
      <c r="EV35" s="2470"/>
      <c r="EW35" s="786" t="s">
        <v>373</v>
      </c>
      <c r="EX35" s="743"/>
      <c r="EY35" s="743"/>
      <c r="EZ35" s="2471" t="s">
        <v>544</v>
      </c>
      <c r="FA35" s="2469"/>
      <c r="FB35" s="2469"/>
      <c r="FC35" s="2470"/>
      <c r="FD35" s="786" t="s">
        <v>373</v>
      </c>
      <c r="FE35" s="743"/>
      <c r="FF35" s="782"/>
      <c r="FG35" s="2468" t="s">
        <v>544</v>
      </c>
      <c r="FH35" s="2469"/>
      <c r="FI35" s="2469"/>
      <c r="FJ35" s="2470"/>
      <c r="FK35" s="786" t="s">
        <v>373</v>
      </c>
      <c r="FL35" s="743"/>
      <c r="FM35" s="743"/>
      <c r="FN35" s="2471" t="s">
        <v>544</v>
      </c>
      <c r="FO35" s="2469"/>
      <c r="FP35" s="2469"/>
      <c r="FQ35" s="2470"/>
      <c r="FR35" s="786" t="s">
        <v>373</v>
      </c>
      <c r="FS35" s="743"/>
      <c r="FT35" s="782"/>
    </row>
    <row r="36" spans="1:176" x14ac:dyDescent="0.25">
      <c r="A36" s="735"/>
      <c r="I36" s="2468" t="s">
        <v>561</v>
      </c>
      <c r="J36" s="2469"/>
      <c r="K36" s="2469"/>
      <c r="L36" s="2470"/>
      <c r="M36" s="787">
        <f>IF(M35="normal (k=1)",1,IF(M35="normal (k=2)",2,IF(M35="normal (k=3)",3,IF(M35="rectangular",SQRT(3),IF(M35="triangular",SQRT(6),IF(M35="Prob. U",SQRT(2),"no definido"))))))</f>
        <v>2</v>
      </c>
      <c r="N36" s="744"/>
      <c r="O36" s="743"/>
      <c r="P36" s="2471" t="s">
        <v>561</v>
      </c>
      <c r="Q36" s="2469"/>
      <c r="R36" s="2469"/>
      <c r="S36" s="2470"/>
      <c r="T36" s="787">
        <f>IF(T35="normal (k=1)",1,IF(T35="normal (k=2)",2,IF(T35="normal (k=3)",3,IF(T35="rectangular",SQRT(3),IF(T35="triangular",SQRT(6),IF(T35="Prob. U",SQRT(2),"no definido"))))))</f>
        <v>2</v>
      </c>
      <c r="U36" s="744"/>
      <c r="V36" s="782"/>
      <c r="W36" s="2468" t="s">
        <v>561</v>
      </c>
      <c r="X36" s="2469"/>
      <c r="Y36" s="2469"/>
      <c r="Z36" s="2470"/>
      <c r="AA36" s="787">
        <f>IF(AA35="normal (k=1)",1,IF(AA35="normal (k=2)",2,IF(AA35="normal (k=3)",3,IF(AA35="rectangular",SQRT(3),IF(AA35="triangular",SQRT(6),IF(AA35="Prob. U",SQRT(2),"no definido"))))))</f>
        <v>2</v>
      </c>
      <c r="AB36" s="744"/>
      <c r="AC36" s="743"/>
      <c r="AD36" s="2471" t="s">
        <v>561</v>
      </c>
      <c r="AE36" s="2469"/>
      <c r="AF36" s="2469"/>
      <c r="AG36" s="2470"/>
      <c r="AH36" s="787">
        <f>IF(AH35="normal (k=1)",1,IF(AH35="normal (k=2)",2,IF(AH35="normal (k=3)",3,IF(AH35="rectangular",SQRT(3),IF(AH35="triangular",SQRT(6),IF(AH35="Prob. U",SQRT(2),"no definido"))))))</f>
        <v>2</v>
      </c>
      <c r="AI36" s="744"/>
      <c r="AJ36" s="782"/>
      <c r="AK36" s="2468" t="s">
        <v>561</v>
      </c>
      <c r="AL36" s="2469"/>
      <c r="AM36" s="2469"/>
      <c r="AN36" s="2470"/>
      <c r="AO36" s="787">
        <f>IF(AO35="normal (k=1)",1,IF(AO35="normal (k=2)",2,IF(AO35="normal (k=3)",3,IF(AO35="rectangular",SQRT(3),IF(AO35="triangular",SQRT(6),IF(AO35="Prob. U",SQRT(2),"no definido"))))))</f>
        <v>2</v>
      </c>
      <c r="AP36" s="744"/>
      <c r="AQ36" s="743"/>
      <c r="AR36" s="2471" t="s">
        <v>561</v>
      </c>
      <c r="AS36" s="2469"/>
      <c r="AT36" s="2469"/>
      <c r="AU36" s="2470"/>
      <c r="AV36" s="787">
        <f>IF(AV35="normal (k=1)",1,IF(AV35="normal (k=2)",2,IF(AV35="normal (k=3)",3,IF(AV35="rectangular",SQRT(3),IF(AV35="triangular",SQRT(6),IF(AV35="Prob. U",SQRT(2),"no definido"))))))</f>
        <v>2</v>
      </c>
      <c r="AW36" s="744"/>
      <c r="AX36" s="782"/>
      <c r="AY36" s="2468" t="s">
        <v>561</v>
      </c>
      <c r="AZ36" s="2469"/>
      <c r="BA36" s="2469"/>
      <c r="BB36" s="2470"/>
      <c r="BC36" s="787">
        <f>IF(BC35="normal (k=1)",1,IF(BC35="normal (k=2)",2,IF(BC35="normal (k=3)",3,IF(BC35="rectangular",SQRT(3),IF(BC35="triangular",SQRT(6),IF(BC35="Prob. U",SQRT(2),"no definido"))))))</f>
        <v>2</v>
      </c>
      <c r="BD36" s="744"/>
      <c r="BE36" s="743"/>
      <c r="BF36" s="2471" t="s">
        <v>561</v>
      </c>
      <c r="BG36" s="2469"/>
      <c r="BH36" s="2469"/>
      <c r="BI36" s="2470"/>
      <c r="BJ36" s="787">
        <f>IF(BJ35="normal (k=1)",1,IF(BJ35="normal (k=2)",2,IF(BJ35="normal (k=3)",3,IF(BJ35="rectangular",SQRT(3),IF(BJ35="triangular",SQRT(6),IF(BJ35="Prob. U",SQRT(2),"no definido"))))))</f>
        <v>2</v>
      </c>
      <c r="BK36" s="744"/>
      <c r="BL36" s="782"/>
      <c r="BM36" s="2468" t="s">
        <v>561</v>
      </c>
      <c r="BN36" s="2469"/>
      <c r="BO36" s="2469"/>
      <c r="BP36" s="2470"/>
      <c r="BQ36" s="787">
        <f>IF(BQ35="normal (k=1)",1,IF(BQ35="normal (k=2)",2,IF(BQ35="normal (k=3)",3,IF(BQ35="rectangular",SQRT(3),IF(BQ35="triangular",SQRT(6),IF(BQ35="Prob. U",SQRT(2),"no definido"))))))</f>
        <v>2</v>
      </c>
      <c r="BR36" s="744"/>
      <c r="BS36" s="743"/>
      <c r="BT36" s="2471" t="s">
        <v>561</v>
      </c>
      <c r="BU36" s="2469"/>
      <c r="BV36" s="2469"/>
      <c r="BW36" s="2470"/>
      <c r="BX36" s="787">
        <f>IF(BX35="normal (k=1)",1,IF(BX35="normal (k=2)",2,IF(BX35="normal (k=3)",3,IF(BX35="rectangular",SQRT(3),IF(BX35="triangular",SQRT(6),IF(BX35="Prob. U",SQRT(2),"no definido"))))))</f>
        <v>2</v>
      </c>
      <c r="BY36" s="744"/>
      <c r="BZ36" s="782"/>
      <c r="CA36" s="2468" t="s">
        <v>561</v>
      </c>
      <c r="CB36" s="2469"/>
      <c r="CC36" s="2469"/>
      <c r="CD36" s="2470"/>
      <c r="CE36" s="787">
        <f>IF(CE35="normal (k=1)",1,IF(CE35="normal (k=2)",2,IF(CE35="normal (k=3)",3,IF(CE35="rectangular",SQRT(3),IF(CE35="triangular",SQRT(6),IF(CE35="Prob. U",SQRT(2),"no definido"))))))</f>
        <v>2</v>
      </c>
      <c r="CF36" s="744"/>
      <c r="CG36" s="743"/>
      <c r="CH36" s="2471" t="s">
        <v>561</v>
      </c>
      <c r="CI36" s="2469"/>
      <c r="CJ36" s="2469"/>
      <c r="CK36" s="2470"/>
      <c r="CL36" s="787">
        <f>IF(CL35="normal (k=1)",1,IF(CL35="normal (k=2)",2,IF(CL35="normal (k=3)",3,IF(CL35="rectangular",SQRT(3),IF(CL35="triangular",SQRT(6),IF(CL35="Prob. U",SQRT(2),"no definido"))))))</f>
        <v>2</v>
      </c>
      <c r="CM36" s="744"/>
      <c r="CN36" s="782"/>
      <c r="CO36" s="2468" t="s">
        <v>561</v>
      </c>
      <c r="CP36" s="2469"/>
      <c r="CQ36" s="2469"/>
      <c r="CR36" s="2470"/>
      <c r="CS36" s="787">
        <f>IF(CS35="normal (k=1)",1,IF(CS35="normal (k=2)",2,IF(CS35="normal (k=3)",3,IF(CS35="rectangular",SQRT(3),IF(CS35="triangular",SQRT(6),IF(CS35="Prob. U",SQRT(2),"no definido"))))))</f>
        <v>2</v>
      </c>
      <c r="CT36" s="744"/>
      <c r="CU36" s="743"/>
      <c r="CV36" s="2471" t="s">
        <v>561</v>
      </c>
      <c r="CW36" s="2469"/>
      <c r="CX36" s="2469"/>
      <c r="CY36" s="2470"/>
      <c r="CZ36" s="787">
        <f>IF(CZ35="normal (k=1)",1,IF(CZ35="normal (k=2)",2,IF(CZ35="normal (k=3)",3,IF(CZ35="rectangular",SQRT(3),IF(CZ35="triangular",SQRT(6),IF(CZ35="Prob. U",SQRT(2),"no definido"))))))</f>
        <v>2</v>
      </c>
      <c r="DA36" s="744"/>
      <c r="DB36" s="782"/>
      <c r="DC36" s="2468" t="s">
        <v>561</v>
      </c>
      <c r="DD36" s="2469"/>
      <c r="DE36" s="2469"/>
      <c r="DF36" s="2470"/>
      <c r="DG36" s="787">
        <f>IF(DG35="normal (k=1)",1,IF(DG35="normal (k=2)",2,IF(DG35="normal (k=3)",3,IF(DG35="rectangular",SQRT(3),IF(DG35="triangular",SQRT(6),IF(DG35="Prob. U",SQRT(2),"no definido"))))))</f>
        <v>2</v>
      </c>
      <c r="DH36" s="744"/>
      <c r="DI36" s="743"/>
      <c r="DJ36" s="2471" t="s">
        <v>561</v>
      </c>
      <c r="DK36" s="2469"/>
      <c r="DL36" s="2469"/>
      <c r="DM36" s="2470"/>
      <c r="DN36" s="787">
        <f>IF(DN35="normal (k=1)",1,IF(DN35="normal (k=2)",2,IF(DN35="normal (k=3)",3,IF(DN35="rectangular",SQRT(3),IF(DN35="triangular",SQRT(6),IF(DN35="Prob. U",SQRT(2),"no definido"))))))</f>
        <v>2</v>
      </c>
      <c r="DO36" s="744"/>
      <c r="DP36" s="782"/>
      <c r="DQ36" s="2468" t="s">
        <v>561</v>
      </c>
      <c r="DR36" s="2469"/>
      <c r="DS36" s="2469"/>
      <c r="DT36" s="2470"/>
      <c r="DU36" s="787">
        <f>IF(DU35="normal (k=1)",1,IF(DU35="normal (k=2)",2,IF(DU35="normal (k=3)",3,IF(DU35="rectangular",SQRT(3),IF(DU35="triangular",SQRT(6),IF(DU35="Prob. U",SQRT(2),"no definido"))))))</f>
        <v>2</v>
      </c>
      <c r="DV36" s="744"/>
      <c r="DW36" s="743"/>
      <c r="DX36" s="2471" t="s">
        <v>561</v>
      </c>
      <c r="DY36" s="2469"/>
      <c r="DZ36" s="2469"/>
      <c r="EA36" s="2470"/>
      <c r="EB36" s="787">
        <f>IF(EB35="normal (k=1)",1,IF(EB35="normal (k=2)",2,IF(EB35="normal (k=3)",3,IF(EB35="rectangular",SQRT(3),IF(EB35="triangular",SQRT(6),IF(EB35="Prob. U",SQRT(2),"no definido"))))))</f>
        <v>2</v>
      </c>
      <c r="EC36" s="744"/>
      <c r="ED36" s="782"/>
      <c r="EE36" s="2468" t="s">
        <v>561</v>
      </c>
      <c r="EF36" s="2469"/>
      <c r="EG36" s="2469"/>
      <c r="EH36" s="2470"/>
      <c r="EI36" s="787">
        <f>IF(EI35="normal (k=1)",1,IF(EI35="normal (k=2)",2,IF(EI35="normal (k=3)",3,IF(EI35="rectangular",SQRT(3),IF(EI35="triangular",SQRT(6),IF(EI35="Prob. U",SQRT(2),"no definido"))))))</f>
        <v>2</v>
      </c>
      <c r="EJ36" s="744"/>
      <c r="EK36" s="743"/>
      <c r="EL36" s="2471" t="s">
        <v>561</v>
      </c>
      <c r="EM36" s="2469"/>
      <c r="EN36" s="2469"/>
      <c r="EO36" s="2470"/>
      <c r="EP36" s="787">
        <f>IF(EP35="normal (k=1)",1,IF(EP35="normal (k=2)",2,IF(EP35="normal (k=3)",3,IF(EP35="rectangular",SQRT(3),IF(EP35="triangular",SQRT(6),IF(EP35="Prob. U",SQRT(2),"no definido"))))))</f>
        <v>2</v>
      </c>
      <c r="EQ36" s="744"/>
      <c r="ER36" s="782"/>
      <c r="ES36" s="2468" t="s">
        <v>561</v>
      </c>
      <c r="ET36" s="2469"/>
      <c r="EU36" s="2469"/>
      <c r="EV36" s="2470"/>
      <c r="EW36" s="787">
        <f>IF(EW35="normal (k=1)",1,IF(EW35="normal (k=2)",2,IF(EW35="normal (k=3)",3,IF(EW35="rectangular",SQRT(3),IF(EW35="triangular",SQRT(6),IF(EW35="Prob. U",SQRT(2),"no definido"))))))</f>
        <v>2</v>
      </c>
      <c r="EX36" s="744"/>
      <c r="EY36" s="743"/>
      <c r="EZ36" s="2471" t="s">
        <v>561</v>
      </c>
      <c r="FA36" s="2469"/>
      <c r="FB36" s="2469"/>
      <c r="FC36" s="2470"/>
      <c r="FD36" s="787">
        <f>IF(FD35="normal (k=1)",1,IF(FD35="normal (k=2)",2,IF(FD35="normal (k=3)",3,IF(FD35="rectangular",SQRT(3),IF(FD35="triangular",SQRT(6),IF(FD35="Prob. U",SQRT(2),"no definido"))))))</f>
        <v>2</v>
      </c>
      <c r="FE36" s="744"/>
      <c r="FF36" s="782"/>
      <c r="FG36" s="2468" t="s">
        <v>561</v>
      </c>
      <c r="FH36" s="2469"/>
      <c r="FI36" s="2469"/>
      <c r="FJ36" s="2470"/>
      <c r="FK36" s="787">
        <f>IF(FK35="normal (k=1)",1,IF(FK35="normal (k=2)",2,IF(FK35="normal (k=3)",3,IF(FK35="rectangular",SQRT(3),IF(FK35="triangular",SQRT(6),IF(FK35="Prob. U",SQRT(2),"no definido"))))))</f>
        <v>2</v>
      </c>
      <c r="FL36" s="744"/>
      <c r="FM36" s="743"/>
      <c r="FN36" s="2471" t="s">
        <v>561</v>
      </c>
      <c r="FO36" s="2469"/>
      <c r="FP36" s="2469"/>
      <c r="FQ36" s="2470"/>
      <c r="FR36" s="787">
        <f>IF(FR35="normal (k=1)",1,IF(FR35="normal (k=2)",2,IF(FR35="normal (k=3)",3,IF(FR35="rectangular",SQRT(3),IF(FR35="triangular",SQRT(6),IF(FR35="Prob. U",SQRT(2),"no definido"))))))</f>
        <v>2</v>
      </c>
      <c r="FS36" s="744"/>
      <c r="FT36" s="782"/>
    </row>
    <row r="37" spans="1:176" ht="18" x14ac:dyDescent="0.25">
      <c r="A37" s="735"/>
      <c r="I37" s="2392" t="s">
        <v>796</v>
      </c>
      <c r="J37" s="2469"/>
      <c r="K37" s="2469"/>
      <c r="L37" s="2470"/>
      <c r="M37" s="788">
        <f>M34*M36</f>
        <v>301.62941593256335</v>
      </c>
      <c r="N37" s="742"/>
      <c r="O37" s="743" t="s">
        <v>325</v>
      </c>
      <c r="P37" s="2472" t="s">
        <v>796</v>
      </c>
      <c r="Q37" s="2469"/>
      <c r="R37" s="2469"/>
      <c r="S37" s="2470"/>
      <c r="T37" s="788">
        <f>T34*T36</f>
        <v>300.69804106149797</v>
      </c>
      <c r="U37" s="742"/>
      <c r="V37" s="782" t="s">
        <v>325</v>
      </c>
      <c r="W37" s="2392" t="s">
        <v>796</v>
      </c>
      <c r="X37" s="2517"/>
      <c r="Y37" s="2517"/>
      <c r="Z37" s="2393"/>
      <c r="AA37" s="788" t="e">
        <f>AA34*AA36</f>
        <v>#VALUE!</v>
      </c>
      <c r="AB37" s="742"/>
      <c r="AC37" s="743" t="s">
        <v>325</v>
      </c>
      <c r="AD37" s="2472" t="s">
        <v>796</v>
      </c>
      <c r="AE37" s="2517"/>
      <c r="AF37" s="2517"/>
      <c r="AG37" s="2393"/>
      <c r="AH37" s="788" t="e">
        <f>AH34*AH36</f>
        <v>#VALUE!</v>
      </c>
      <c r="AI37" s="742"/>
      <c r="AJ37" s="782" t="s">
        <v>325</v>
      </c>
      <c r="AK37" s="2392" t="s">
        <v>796</v>
      </c>
      <c r="AL37" s="2469"/>
      <c r="AM37" s="2469"/>
      <c r="AN37" s="2470"/>
      <c r="AO37" s="788" t="e">
        <f>AO34*AO36</f>
        <v>#VALUE!</v>
      </c>
      <c r="AP37" s="742"/>
      <c r="AQ37" s="743" t="s">
        <v>325</v>
      </c>
      <c r="AR37" s="2472" t="s">
        <v>796</v>
      </c>
      <c r="AS37" s="2469"/>
      <c r="AT37" s="2469"/>
      <c r="AU37" s="2470"/>
      <c r="AV37" s="788" t="e">
        <f>AV34*AV36</f>
        <v>#VALUE!</v>
      </c>
      <c r="AW37" s="742"/>
      <c r="AX37" s="782" t="s">
        <v>325</v>
      </c>
      <c r="AY37" s="2392" t="s">
        <v>796</v>
      </c>
      <c r="AZ37" s="2469"/>
      <c r="BA37" s="2469"/>
      <c r="BB37" s="2470"/>
      <c r="BC37" s="788" t="e">
        <f>BC34*BC36</f>
        <v>#VALUE!</v>
      </c>
      <c r="BD37" s="742"/>
      <c r="BE37" s="743" t="s">
        <v>325</v>
      </c>
      <c r="BF37" s="2472" t="s">
        <v>796</v>
      </c>
      <c r="BG37" s="2469"/>
      <c r="BH37" s="2469"/>
      <c r="BI37" s="2470"/>
      <c r="BJ37" s="788" t="e">
        <f>BJ34*BJ36</f>
        <v>#VALUE!</v>
      </c>
      <c r="BK37" s="742"/>
      <c r="BL37" s="782" t="s">
        <v>325</v>
      </c>
      <c r="BM37" s="2392" t="s">
        <v>796</v>
      </c>
      <c r="BN37" s="2469"/>
      <c r="BO37" s="2469"/>
      <c r="BP37" s="2470"/>
      <c r="BQ37" s="788" t="e">
        <f>BQ34*BQ36</f>
        <v>#VALUE!</v>
      </c>
      <c r="BR37" s="742"/>
      <c r="BS37" s="743" t="s">
        <v>325</v>
      </c>
      <c r="BT37" s="2472" t="s">
        <v>796</v>
      </c>
      <c r="BU37" s="2517"/>
      <c r="BV37" s="2517"/>
      <c r="BW37" s="2393"/>
      <c r="BX37" s="788" t="e">
        <f>BX34*BX36</f>
        <v>#VALUE!</v>
      </c>
      <c r="BY37" s="742"/>
      <c r="BZ37" s="782" t="s">
        <v>325</v>
      </c>
      <c r="CA37" s="2392" t="s">
        <v>796</v>
      </c>
      <c r="CB37" s="2469"/>
      <c r="CC37" s="2469"/>
      <c r="CD37" s="2470"/>
      <c r="CE37" s="788" t="e">
        <f>CE34*CE36</f>
        <v>#VALUE!</v>
      </c>
      <c r="CF37" s="742"/>
      <c r="CG37" s="743" t="s">
        <v>325</v>
      </c>
      <c r="CH37" s="2472" t="s">
        <v>796</v>
      </c>
      <c r="CI37" s="2469"/>
      <c r="CJ37" s="2469"/>
      <c r="CK37" s="2470"/>
      <c r="CL37" s="788" t="e">
        <f>CL34*CL36</f>
        <v>#VALUE!</v>
      </c>
      <c r="CM37" s="742"/>
      <c r="CN37" s="782" t="s">
        <v>325</v>
      </c>
      <c r="CO37" s="2392" t="s">
        <v>796</v>
      </c>
      <c r="CP37" s="2469"/>
      <c r="CQ37" s="2469"/>
      <c r="CR37" s="2470"/>
      <c r="CS37" s="788" t="e">
        <f>CS34*CS36</f>
        <v>#VALUE!</v>
      </c>
      <c r="CT37" s="742"/>
      <c r="CU37" s="743" t="s">
        <v>325</v>
      </c>
      <c r="CV37" s="2472" t="s">
        <v>796</v>
      </c>
      <c r="CW37" s="2469"/>
      <c r="CX37" s="2469"/>
      <c r="CY37" s="2470"/>
      <c r="CZ37" s="788" t="e">
        <f>CZ34*CZ36</f>
        <v>#VALUE!</v>
      </c>
      <c r="DA37" s="742"/>
      <c r="DB37" s="782" t="s">
        <v>325</v>
      </c>
      <c r="DC37" s="2392" t="s">
        <v>796</v>
      </c>
      <c r="DD37" s="2469"/>
      <c r="DE37" s="2469"/>
      <c r="DF37" s="2470"/>
      <c r="DG37" s="788" t="e">
        <f>DG34*DG36</f>
        <v>#VALUE!</v>
      </c>
      <c r="DH37" s="742"/>
      <c r="DI37" s="743" t="s">
        <v>325</v>
      </c>
      <c r="DJ37" s="2472" t="s">
        <v>796</v>
      </c>
      <c r="DK37" s="2469"/>
      <c r="DL37" s="2469"/>
      <c r="DM37" s="2470"/>
      <c r="DN37" s="788" t="e">
        <f>DN34*DN36</f>
        <v>#VALUE!</v>
      </c>
      <c r="DO37" s="742"/>
      <c r="DP37" s="782" t="s">
        <v>325</v>
      </c>
      <c r="DQ37" s="2392" t="s">
        <v>796</v>
      </c>
      <c r="DR37" s="2469"/>
      <c r="DS37" s="2469"/>
      <c r="DT37" s="2470"/>
      <c r="DU37" s="788" t="e">
        <f>DU34*DU36</f>
        <v>#VALUE!</v>
      </c>
      <c r="DV37" s="742"/>
      <c r="DW37" s="743" t="s">
        <v>325</v>
      </c>
      <c r="DX37" s="2472" t="s">
        <v>796</v>
      </c>
      <c r="DY37" s="2469"/>
      <c r="DZ37" s="2469"/>
      <c r="EA37" s="2470"/>
      <c r="EB37" s="788" t="e">
        <f>EB34*EB36</f>
        <v>#VALUE!</v>
      </c>
      <c r="EC37" s="742"/>
      <c r="ED37" s="782" t="s">
        <v>325</v>
      </c>
      <c r="EE37" s="2392" t="s">
        <v>796</v>
      </c>
      <c r="EF37" s="2469"/>
      <c r="EG37" s="2469"/>
      <c r="EH37" s="2470"/>
      <c r="EI37" s="788" t="e">
        <f>EI34*EI36</f>
        <v>#VALUE!</v>
      </c>
      <c r="EJ37" s="742"/>
      <c r="EK37" s="743" t="s">
        <v>325</v>
      </c>
      <c r="EL37" s="2472" t="s">
        <v>796</v>
      </c>
      <c r="EM37" s="2469"/>
      <c r="EN37" s="2469"/>
      <c r="EO37" s="2470"/>
      <c r="EP37" s="788" t="e">
        <f>EP34*EP36</f>
        <v>#VALUE!</v>
      </c>
      <c r="EQ37" s="742"/>
      <c r="ER37" s="782" t="s">
        <v>325</v>
      </c>
      <c r="ES37" s="2392" t="s">
        <v>796</v>
      </c>
      <c r="ET37" s="2469"/>
      <c r="EU37" s="2469"/>
      <c r="EV37" s="2470"/>
      <c r="EW37" s="788" t="e">
        <f>EW34*EW36</f>
        <v>#VALUE!</v>
      </c>
      <c r="EX37" s="742"/>
      <c r="EY37" s="743" t="s">
        <v>325</v>
      </c>
      <c r="EZ37" s="2472" t="s">
        <v>796</v>
      </c>
      <c r="FA37" s="2469"/>
      <c r="FB37" s="2469"/>
      <c r="FC37" s="2470"/>
      <c r="FD37" s="788" t="e">
        <f>FD34*FD36</f>
        <v>#VALUE!</v>
      </c>
      <c r="FE37" s="742"/>
      <c r="FF37" s="782" t="s">
        <v>325</v>
      </c>
      <c r="FG37" s="2392" t="s">
        <v>796</v>
      </c>
      <c r="FH37" s="2469"/>
      <c r="FI37" s="2469"/>
      <c r="FJ37" s="2470"/>
      <c r="FK37" s="788" t="e">
        <f>FK34*FK36</f>
        <v>#VALUE!</v>
      </c>
      <c r="FL37" s="742"/>
      <c r="FM37" s="743" t="s">
        <v>325</v>
      </c>
      <c r="FN37" s="2472" t="s">
        <v>796</v>
      </c>
      <c r="FO37" s="2469"/>
      <c r="FP37" s="2469"/>
      <c r="FQ37" s="2470"/>
      <c r="FR37" s="788" t="e">
        <f>FR34*FR36</f>
        <v>#VALUE!</v>
      </c>
      <c r="FS37" s="742"/>
      <c r="FT37" s="782" t="s">
        <v>325</v>
      </c>
    </row>
    <row r="38" spans="1:176" ht="18.75" thickBot="1" x14ac:dyDescent="0.3">
      <c r="A38" s="735"/>
      <c r="I38" s="2473" t="s">
        <v>796</v>
      </c>
      <c r="J38" s="2474"/>
      <c r="K38" s="2474"/>
      <c r="L38" s="2474"/>
      <c r="M38" s="791">
        <f>M37/I18</f>
        <v>1.2065176637302534E-2</v>
      </c>
      <c r="N38" s="789"/>
      <c r="O38" s="1170"/>
      <c r="P38" s="2475" t="s">
        <v>796</v>
      </c>
      <c r="Q38" s="2474"/>
      <c r="R38" s="2474"/>
      <c r="S38" s="2474"/>
      <c r="T38" s="791">
        <f>T37/P18</f>
        <v>1.2027921642459919E-2</v>
      </c>
      <c r="U38" s="789"/>
      <c r="V38" s="790"/>
      <c r="W38" s="2581" t="s">
        <v>796</v>
      </c>
      <c r="X38" s="2515"/>
      <c r="Y38" s="2515"/>
      <c r="Z38" s="2516"/>
      <c r="AA38" s="791" t="e">
        <f>AA37/W18</f>
        <v>#VALUE!</v>
      </c>
      <c r="AB38" s="789"/>
      <c r="AC38" s="1170"/>
      <c r="AD38" s="2514" t="s">
        <v>796</v>
      </c>
      <c r="AE38" s="2515"/>
      <c r="AF38" s="2515"/>
      <c r="AG38" s="2516"/>
      <c r="AH38" s="791" t="e">
        <f>AH37/AD18</f>
        <v>#VALUE!</v>
      </c>
      <c r="AI38" s="789"/>
      <c r="AJ38" s="790"/>
      <c r="AK38" s="2473" t="s">
        <v>796</v>
      </c>
      <c r="AL38" s="2474"/>
      <c r="AM38" s="2474"/>
      <c r="AN38" s="2474"/>
      <c r="AO38" s="791" t="e">
        <f>AO37/AK18</f>
        <v>#VALUE!</v>
      </c>
      <c r="AP38" s="789"/>
      <c r="AQ38" s="1170"/>
      <c r="AR38" s="2475" t="s">
        <v>796</v>
      </c>
      <c r="AS38" s="2474"/>
      <c r="AT38" s="2474"/>
      <c r="AU38" s="2474"/>
      <c r="AV38" s="791" t="e">
        <f>AV37/AR18</f>
        <v>#VALUE!</v>
      </c>
      <c r="AW38" s="789"/>
      <c r="AX38" s="790"/>
      <c r="AY38" s="2473" t="s">
        <v>796</v>
      </c>
      <c r="AZ38" s="2474"/>
      <c r="BA38" s="2474"/>
      <c r="BB38" s="2474"/>
      <c r="BC38" s="791" t="e">
        <f>BC37/AY18</f>
        <v>#VALUE!</v>
      </c>
      <c r="BD38" s="789"/>
      <c r="BE38" s="1170"/>
      <c r="BF38" s="2475" t="s">
        <v>796</v>
      </c>
      <c r="BG38" s="2474"/>
      <c r="BH38" s="2474"/>
      <c r="BI38" s="2474"/>
      <c r="BJ38" s="791" t="e">
        <f>BJ37/BF18</f>
        <v>#VALUE!</v>
      </c>
      <c r="BK38" s="789"/>
      <c r="BL38" s="790"/>
      <c r="BM38" s="2473" t="s">
        <v>796</v>
      </c>
      <c r="BN38" s="2474"/>
      <c r="BO38" s="2474"/>
      <c r="BP38" s="2474"/>
      <c r="BQ38" s="791" t="e">
        <f>BQ37/BM18</f>
        <v>#VALUE!</v>
      </c>
      <c r="BR38" s="789"/>
      <c r="BS38" s="1170"/>
      <c r="BT38" s="2514" t="s">
        <v>796</v>
      </c>
      <c r="BU38" s="2515"/>
      <c r="BV38" s="2515"/>
      <c r="BW38" s="2516"/>
      <c r="BX38" s="791" t="e">
        <f>BX37/BT18</f>
        <v>#VALUE!</v>
      </c>
      <c r="BY38" s="789"/>
      <c r="BZ38" s="790"/>
      <c r="CA38" s="2473" t="s">
        <v>796</v>
      </c>
      <c r="CB38" s="2474"/>
      <c r="CC38" s="2474"/>
      <c r="CD38" s="2474"/>
      <c r="CE38" s="791" t="e">
        <f>CE37/CA18</f>
        <v>#VALUE!</v>
      </c>
      <c r="CF38" s="789"/>
      <c r="CG38" s="1170"/>
      <c r="CH38" s="2475" t="s">
        <v>796</v>
      </c>
      <c r="CI38" s="2474"/>
      <c r="CJ38" s="2474"/>
      <c r="CK38" s="2474"/>
      <c r="CL38" s="791" t="e">
        <f>CL37/CH18</f>
        <v>#VALUE!</v>
      </c>
      <c r="CM38" s="789"/>
      <c r="CN38" s="790"/>
      <c r="CO38" s="2473" t="s">
        <v>796</v>
      </c>
      <c r="CP38" s="2474"/>
      <c r="CQ38" s="2474"/>
      <c r="CR38" s="2474"/>
      <c r="CS38" s="791" t="e">
        <f>CS37/CO18</f>
        <v>#VALUE!</v>
      </c>
      <c r="CT38" s="789"/>
      <c r="CU38" s="1170"/>
      <c r="CV38" s="2475" t="s">
        <v>796</v>
      </c>
      <c r="CW38" s="2474"/>
      <c r="CX38" s="2474"/>
      <c r="CY38" s="2474"/>
      <c r="CZ38" s="791" t="e">
        <f>CZ37/CV18</f>
        <v>#VALUE!</v>
      </c>
      <c r="DA38" s="789"/>
      <c r="DB38" s="790"/>
      <c r="DC38" s="2473" t="s">
        <v>796</v>
      </c>
      <c r="DD38" s="2474"/>
      <c r="DE38" s="2474"/>
      <c r="DF38" s="2474"/>
      <c r="DG38" s="791" t="e">
        <f>DG37/DC18</f>
        <v>#VALUE!</v>
      </c>
      <c r="DH38" s="789"/>
      <c r="DI38" s="1170"/>
      <c r="DJ38" s="2475" t="s">
        <v>796</v>
      </c>
      <c r="DK38" s="2474"/>
      <c r="DL38" s="2474"/>
      <c r="DM38" s="2474"/>
      <c r="DN38" s="791" t="e">
        <f>DN37/DJ18</f>
        <v>#VALUE!</v>
      </c>
      <c r="DO38" s="789"/>
      <c r="DP38" s="790"/>
      <c r="DQ38" s="2473" t="s">
        <v>796</v>
      </c>
      <c r="DR38" s="2474"/>
      <c r="DS38" s="2474"/>
      <c r="DT38" s="2474"/>
      <c r="DU38" s="791" t="e">
        <f>DU37/DQ18</f>
        <v>#VALUE!</v>
      </c>
      <c r="DV38" s="789"/>
      <c r="DW38" s="1170"/>
      <c r="DX38" s="2475" t="s">
        <v>796</v>
      </c>
      <c r="DY38" s="2474"/>
      <c r="DZ38" s="2474"/>
      <c r="EA38" s="2474"/>
      <c r="EB38" s="791" t="e">
        <f>EB37/DX18</f>
        <v>#VALUE!</v>
      </c>
      <c r="EC38" s="789"/>
      <c r="ED38" s="790"/>
      <c r="EE38" s="2473" t="s">
        <v>796</v>
      </c>
      <c r="EF38" s="2474"/>
      <c r="EG38" s="2474"/>
      <c r="EH38" s="2474"/>
      <c r="EI38" s="791" t="e">
        <f>EI37/EE18</f>
        <v>#VALUE!</v>
      </c>
      <c r="EJ38" s="789"/>
      <c r="EK38" s="1170"/>
      <c r="EL38" s="2475" t="s">
        <v>796</v>
      </c>
      <c r="EM38" s="2474"/>
      <c r="EN38" s="2474"/>
      <c r="EO38" s="2474"/>
      <c r="EP38" s="791" t="e">
        <f>EP37/EL18</f>
        <v>#VALUE!</v>
      </c>
      <c r="EQ38" s="789"/>
      <c r="ER38" s="790"/>
      <c r="ES38" s="2473" t="s">
        <v>796</v>
      </c>
      <c r="ET38" s="2474"/>
      <c r="EU38" s="2474"/>
      <c r="EV38" s="2474"/>
      <c r="EW38" s="791" t="e">
        <f>EW37/ES18</f>
        <v>#VALUE!</v>
      </c>
      <c r="EX38" s="789"/>
      <c r="EY38" s="1170"/>
      <c r="EZ38" s="2475" t="s">
        <v>796</v>
      </c>
      <c r="FA38" s="2474"/>
      <c r="FB38" s="2474"/>
      <c r="FC38" s="2474"/>
      <c r="FD38" s="791" t="e">
        <f>FD37/EZ18</f>
        <v>#VALUE!</v>
      </c>
      <c r="FE38" s="789"/>
      <c r="FF38" s="790"/>
      <c r="FG38" s="2473" t="s">
        <v>796</v>
      </c>
      <c r="FH38" s="2474"/>
      <c r="FI38" s="2474"/>
      <c r="FJ38" s="2474"/>
      <c r="FK38" s="791" t="e">
        <f>FK37/FG18</f>
        <v>#VALUE!</v>
      </c>
      <c r="FL38" s="789"/>
      <c r="FM38" s="1170"/>
      <c r="FN38" s="2475" t="s">
        <v>796</v>
      </c>
      <c r="FO38" s="2474"/>
      <c r="FP38" s="2474"/>
      <c r="FQ38" s="2474"/>
      <c r="FR38" s="791" t="e">
        <f>FR37/FN18</f>
        <v>#VALUE!</v>
      </c>
      <c r="FS38" s="789"/>
      <c r="FT38" s="790"/>
    </row>
    <row r="39" spans="1:176" x14ac:dyDescent="0.25">
      <c r="A39" s="735"/>
      <c r="I39" s="847"/>
      <c r="J39" s="783"/>
      <c r="K39" s="783"/>
      <c r="L39" s="783"/>
      <c r="M39" s="783"/>
      <c r="N39" s="783"/>
      <c r="O39" s="783"/>
      <c r="P39" s="1180"/>
      <c r="Q39" s="783"/>
      <c r="R39" s="783"/>
      <c r="S39" s="783"/>
      <c r="T39" s="783"/>
      <c r="U39" s="783"/>
      <c r="V39" s="848"/>
      <c r="W39" s="847"/>
      <c r="X39" s="783"/>
      <c r="Y39" s="783"/>
      <c r="Z39" s="783"/>
      <c r="AA39" s="783"/>
      <c r="AB39" s="783"/>
      <c r="AC39" s="783"/>
      <c r="AD39" s="1180"/>
      <c r="AE39" s="783"/>
      <c r="AF39" s="783"/>
      <c r="AG39" s="783"/>
      <c r="AH39" s="783"/>
      <c r="AI39" s="783"/>
      <c r="AJ39" s="848"/>
      <c r="AK39" s="847"/>
      <c r="AL39" s="783"/>
      <c r="AM39" s="783"/>
      <c r="AN39" s="783"/>
      <c r="AO39" s="783"/>
      <c r="AP39" s="783"/>
      <c r="AQ39" s="783"/>
      <c r="AR39" s="1180"/>
      <c r="AS39" s="783"/>
      <c r="AT39" s="783"/>
      <c r="AU39" s="783"/>
      <c r="AV39" s="783"/>
      <c r="AW39" s="783"/>
      <c r="AX39" s="848"/>
      <c r="AY39" s="1007"/>
      <c r="AZ39" s="783"/>
      <c r="BA39" s="783"/>
      <c r="BB39" s="783"/>
      <c r="BC39" s="783"/>
      <c r="BD39" s="783"/>
      <c r="BE39" s="783"/>
      <c r="BF39" s="1184"/>
      <c r="BG39" s="783"/>
      <c r="BH39" s="783"/>
      <c r="BI39" s="783"/>
      <c r="BJ39" s="783"/>
      <c r="BK39" s="783"/>
      <c r="BL39" s="848"/>
      <c r="BM39" s="847"/>
      <c r="BN39" s="783"/>
      <c r="BO39" s="783"/>
      <c r="BP39" s="783"/>
      <c r="BQ39" s="783"/>
      <c r="BR39" s="783"/>
      <c r="BS39" s="783"/>
      <c r="BT39" s="1180"/>
      <c r="BU39" s="783"/>
      <c r="BV39" s="783"/>
      <c r="BW39" s="783"/>
      <c r="BX39" s="783"/>
      <c r="BY39" s="783"/>
      <c r="BZ39" s="848"/>
      <c r="CA39" s="847"/>
      <c r="CB39" s="783"/>
      <c r="CC39" s="783"/>
      <c r="CD39" s="783"/>
      <c r="CE39" s="783"/>
      <c r="CF39" s="783"/>
      <c r="CG39" s="783"/>
      <c r="CH39" s="1180"/>
      <c r="CI39" s="783"/>
      <c r="CJ39" s="783"/>
      <c r="CK39" s="783"/>
      <c r="CL39" s="783"/>
      <c r="CM39" s="783"/>
      <c r="CN39" s="848"/>
      <c r="CO39" s="847"/>
      <c r="CP39" s="783"/>
      <c r="CQ39" s="783"/>
      <c r="CR39" s="783"/>
      <c r="CS39" s="783"/>
      <c r="CT39" s="783"/>
      <c r="CU39" s="783"/>
      <c r="CV39" s="1180"/>
      <c r="CW39" s="783"/>
      <c r="CX39" s="783"/>
      <c r="CY39" s="783"/>
      <c r="CZ39" s="783"/>
      <c r="DA39" s="783"/>
      <c r="DB39" s="848"/>
      <c r="DC39" s="847"/>
      <c r="DD39" s="783"/>
      <c r="DE39" s="783"/>
      <c r="DF39" s="783"/>
      <c r="DG39" s="783"/>
      <c r="DH39" s="783"/>
      <c r="DI39" s="783"/>
      <c r="DJ39" s="1180"/>
      <c r="DK39" s="783"/>
      <c r="DL39" s="783"/>
      <c r="DM39" s="783"/>
      <c r="DN39" s="783"/>
      <c r="DO39" s="783"/>
      <c r="DP39" s="848"/>
      <c r="DQ39" s="847"/>
      <c r="DR39" s="783"/>
      <c r="DS39" s="783"/>
      <c r="DT39" s="783"/>
      <c r="DU39" s="783"/>
      <c r="DV39" s="783"/>
      <c r="DW39" s="783"/>
      <c r="DX39" s="1180"/>
      <c r="DY39" s="783"/>
      <c r="DZ39" s="783"/>
      <c r="EA39" s="783"/>
      <c r="EB39" s="783"/>
      <c r="EC39" s="783"/>
      <c r="ED39" s="848"/>
      <c r="EE39" s="847"/>
      <c r="EF39" s="783"/>
      <c r="EG39" s="783"/>
      <c r="EH39" s="783"/>
      <c r="EI39" s="783"/>
      <c r="EJ39" s="783"/>
      <c r="EK39" s="783"/>
      <c r="EL39" s="1180"/>
      <c r="EM39" s="783"/>
      <c r="EN39" s="783"/>
      <c r="EO39" s="783"/>
      <c r="EP39" s="783"/>
      <c r="EQ39" s="783"/>
      <c r="ER39" s="848"/>
      <c r="ES39" s="847"/>
      <c r="ET39" s="783"/>
      <c r="EU39" s="783"/>
      <c r="EV39" s="783"/>
      <c r="EW39" s="783"/>
      <c r="EX39" s="783"/>
      <c r="EY39" s="783"/>
      <c r="EZ39" s="1180"/>
      <c r="FA39" s="783"/>
      <c r="FB39" s="783"/>
      <c r="FC39" s="783"/>
      <c r="FD39" s="783"/>
      <c r="FE39" s="783"/>
      <c r="FF39" s="848"/>
      <c r="FG39" s="847"/>
      <c r="FH39" s="783"/>
      <c r="FI39" s="783"/>
      <c r="FJ39" s="783"/>
      <c r="FK39" s="783"/>
      <c r="FL39" s="783"/>
      <c r="FM39" s="783"/>
      <c r="FN39" s="1180"/>
      <c r="FO39" s="783"/>
      <c r="FP39" s="783"/>
      <c r="FQ39" s="783"/>
      <c r="FR39" s="783"/>
      <c r="FS39" s="783"/>
      <c r="FT39" s="848"/>
    </row>
    <row r="40" spans="1:176" x14ac:dyDescent="0.25">
      <c r="A40" s="735"/>
      <c r="I40" s="777"/>
      <c r="P40" s="1181"/>
      <c r="V40" s="784"/>
      <c r="W40" s="777"/>
      <c r="AD40" s="1181"/>
      <c r="AJ40" s="784"/>
      <c r="AK40" s="777"/>
      <c r="AR40" s="1181"/>
      <c r="AX40" s="784"/>
      <c r="AY40" s="777"/>
      <c r="BF40" s="1181"/>
      <c r="BL40" s="784"/>
      <c r="BM40" s="777"/>
      <c r="BT40" s="1181"/>
      <c r="BZ40" s="784"/>
      <c r="CA40" s="777"/>
      <c r="CH40" s="1181"/>
      <c r="CN40" s="784"/>
      <c r="CO40" s="777"/>
      <c r="CV40" s="1181"/>
      <c r="DB40" s="784"/>
      <c r="DC40" s="777"/>
      <c r="DJ40" s="1181"/>
      <c r="DP40" s="784"/>
      <c r="DQ40" s="777"/>
      <c r="DX40" s="1181"/>
      <c r="ED40" s="784"/>
      <c r="EE40" s="777"/>
      <c r="EL40" s="1181"/>
      <c r="ER40" s="784"/>
      <c r="ES40" s="777"/>
      <c r="EZ40" s="1181"/>
      <c r="FF40" s="784"/>
      <c r="FG40" s="777"/>
      <c r="FN40" s="1181"/>
      <c r="FT40" s="784"/>
    </row>
    <row r="41" spans="1:176" x14ac:dyDescent="0.25">
      <c r="A41" s="735"/>
      <c r="I41" s="777"/>
      <c r="N41" s="779"/>
      <c r="P41" s="1181"/>
      <c r="U41" s="779"/>
      <c r="V41" s="784"/>
      <c r="W41" s="777"/>
      <c r="AB41" s="779"/>
      <c r="AD41" s="1181"/>
      <c r="AI41" s="779"/>
      <c r="AJ41" s="784"/>
      <c r="AK41" s="777"/>
      <c r="AP41" s="779"/>
      <c r="AR41" s="1181"/>
      <c r="AW41" s="779"/>
      <c r="AX41" s="784"/>
      <c r="AY41" s="777"/>
      <c r="BD41" s="779"/>
      <c r="BF41" s="1181"/>
      <c r="BK41" s="779"/>
      <c r="BL41" s="784"/>
      <c r="BM41" s="777"/>
      <c r="BR41" s="779"/>
      <c r="BT41" s="1181"/>
      <c r="BY41" s="779"/>
      <c r="BZ41" s="784"/>
      <c r="CA41" s="777"/>
      <c r="CF41" s="779"/>
      <c r="CH41" s="1181"/>
      <c r="CM41" s="779"/>
      <c r="CN41" s="784"/>
      <c r="CO41" s="777"/>
      <c r="CT41" s="779"/>
      <c r="CV41" s="1181"/>
      <c r="DA41" s="779"/>
      <c r="DB41" s="784"/>
      <c r="DC41" s="777"/>
      <c r="DH41" s="779"/>
      <c r="DJ41" s="1181"/>
      <c r="DO41" s="779"/>
      <c r="DP41" s="784"/>
      <c r="DQ41" s="777"/>
      <c r="DV41" s="779"/>
      <c r="DX41" s="1181"/>
      <c r="EC41" s="779"/>
      <c r="ED41" s="784"/>
      <c r="EE41" s="777"/>
      <c r="EJ41" s="779"/>
      <c r="EL41" s="1181"/>
      <c r="EQ41" s="779"/>
      <c r="ER41" s="784"/>
      <c r="ES41" s="777"/>
      <c r="EX41" s="779"/>
      <c r="EZ41" s="1181"/>
      <c r="FE41" s="779"/>
      <c r="FF41" s="784"/>
      <c r="FG41" s="777"/>
      <c r="FL41" s="779"/>
      <c r="FN41" s="1181"/>
      <c r="FS41" s="779"/>
      <c r="FT41" s="784"/>
    </row>
    <row r="42" spans="1:176" x14ac:dyDescent="0.25">
      <c r="A42" s="735"/>
      <c r="I42" s="777"/>
      <c r="P42" s="1181"/>
      <c r="V42" s="784"/>
      <c r="W42" s="777"/>
      <c r="AD42" s="1181"/>
      <c r="AJ42" s="784"/>
      <c r="AK42" s="777"/>
      <c r="AR42" s="1181"/>
      <c r="AX42" s="784"/>
      <c r="AY42" s="777"/>
      <c r="BF42" s="1181"/>
      <c r="BL42" s="784"/>
      <c r="BM42" s="777"/>
      <c r="BT42" s="1181"/>
      <c r="BZ42" s="784"/>
      <c r="CA42" s="777"/>
      <c r="CH42" s="1181"/>
      <c r="CN42" s="784"/>
      <c r="CO42" s="777"/>
      <c r="CV42" s="1181"/>
      <c r="DB42" s="784"/>
      <c r="DC42" s="777"/>
      <c r="DJ42" s="1181"/>
      <c r="DP42" s="784"/>
      <c r="DQ42" s="777"/>
      <c r="DX42" s="1181"/>
      <c r="ED42" s="784"/>
      <c r="EE42" s="777"/>
      <c r="EL42" s="1181"/>
      <c r="ER42" s="784"/>
      <c r="ES42" s="777"/>
      <c r="EZ42" s="1181"/>
      <c r="FF42" s="784"/>
      <c r="FG42" s="777"/>
      <c r="FN42" s="1181"/>
      <c r="FT42" s="784"/>
    </row>
    <row r="43" spans="1:176" x14ac:dyDescent="0.25">
      <c r="A43" s="735"/>
      <c r="I43" s="777"/>
      <c r="P43" s="1181"/>
      <c r="V43" s="784"/>
      <c r="W43" s="777"/>
      <c r="AD43" s="1181"/>
      <c r="AJ43" s="784"/>
      <c r="AK43" s="777"/>
      <c r="AR43" s="1181"/>
      <c r="AX43" s="784"/>
      <c r="AY43" s="777"/>
      <c r="BF43" s="1181"/>
      <c r="BL43" s="784"/>
      <c r="BM43" s="777"/>
      <c r="BT43" s="1181"/>
      <c r="BZ43" s="784"/>
      <c r="CA43" s="777"/>
      <c r="CH43" s="1181"/>
      <c r="CN43" s="784"/>
      <c r="CO43" s="777"/>
      <c r="CV43" s="1181"/>
      <c r="DB43" s="784"/>
      <c r="DC43" s="777"/>
      <c r="DJ43" s="1181"/>
      <c r="DP43" s="784"/>
      <c r="DQ43" s="777"/>
      <c r="DX43" s="1181"/>
      <c r="ED43" s="784"/>
      <c r="EE43" s="777"/>
      <c r="EL43" s="1181"/>
      <c r="ER43" s="784"/>
      <c r="ES43" s="777"/>
      <c r="EZ43" s="1181"/>
      <c r="FF43" s="784"/>
      <c r="FG43" s="777"/>
      <c r="FN43" s="1181"/>
      <c r="FT43" s="784"/>
    </row>
    <row r="44" spans="1:176" x14ac:dyDescent="0.25">
      <c r="A44" s="735"/>
      <c r="I44" s="777"/>
      <c r="P44" s="1181"/>
      <c r="V44" s="784"/>
      <c r="W44" s="777"/>
      <c r="AD44" s="1181"/>
      <c r="AJ44" s="784"/>
      <c r="AK44" s="777"/>
      <c r="AR44" s="1181"/>
      <c r="AX44" s="784"/>
      <c r="AY44" s="777"/>
      <c r="BF44" s="1181"/>
      <c r="BL44" s="784"/>
      <c r="BM44" s="777"/>
      <c r="BT44" s="1181"/>
      <c r="BZ44" s="784"/>
      <c r="CA44" s="777"/>
      <c r="CH44" s="1181"/>
      <c r="CN44" s="784"/>
      <c r="CO44" s="777"/>
      <c r="CV44" s="1181"/>
      <c r="DB44" s="784"/>
      <c r="DC44" s="777"/>
      <c r="DJ44" s="1181"/>
      <c r="DP44" s="784"/>
      <c r="DQ44" s="777"/>
      <c r="DX44" s="1181"/>
      <c r="ED44" s="784"/>
      <c r="EE44" s="777"/>
      <c r="EL44" s="1181"/>
      <c r="ER44" s="784"/>
      <c r="ES44" s="777"/>
      <c r="EZ44" s="1181"/>
      <c r="FF44" s="784"/>
      <c r="FG44" s="777"/>
      <c r="FN44" s="1181"/>
      <c r="FT44" s="784"/>
    </row>
    <row r="45" spans="1:176" x14ac:dyDescent="0.25">
      <c r="A45" s="735"/>
      <c r="I45" s="777"/>
      <c r="P45" s="1181"/>
      <c r="V45" s="784"/>
      <c r="W45" s="777"/>
      <c r="AD45" s="1181"/>
      <c r="AJ45" s="784"/>
      <c r="AK45" s="777"/>
      <c r="AR45" s="1181"/>
      <c r="AX45" s="784"/>
      <c r="AY45" s="777"/>
      <c r="BF45" s="1181"/>
      <c r="BL45" s="784"/>
      <c r="BM45" s="777"/>
      <c r="BT45" s="1181"/>
      <c r="BZ45" s="784"/>
      <c r="CA45" s="777"/>
      <c r="CH45" s="1181"/>
      <c r="CN45" s="784"/>
      <c r="CO45" s="777"/>
      <c r="CV45" s="1181"/>
      <c r="DB45" s="784"/>
      <c r="DC45" s="777"/>
      <c r="DJ45" s="1181"/>
      <c r="DP45" s="784"/>
      <c r="DQ45" s="777"/>
      <c r="DX45" s="1181"/>
      <c r="ED45" s="784"/>
      <c r="EE45" s="777"/>
      <c r="EL45" s="1181"/>
      <c r="ER45" s="784"/>
      <c r="ES45" s="777"/>
      <c r="EZ45" s="1181"/>
      <c r="FF45" s="784"/>
      <c r="FG45" s="777"/>
      <c r="FN45" s="1181"/>
      <c r="FT45" s="784"/>
    </row>
    <row r="46" spans="1:176" x14ac:dyDescent="0.25">
      <c r="A46" s="735"/>
      <c r="I46" s="777"/>
      <c r="P46" s="1181"/>
      <c r="V46" s="784"/>
      <c r="W46" s="777"/>
      <c r="AD46" s="1181"/>
      <c r="AJ46" s="784"/>
      <c r="AK46" s="777"/>
      <c r="AR46" s="1181"/>
      <c r="AX46" s="784"/>
      <c r="AY46" s="777"/>
      <c r="BF46" s="1181"/>
      <c r="BL46" s="784"/>
      <c r="BM46" s="777"/>
      <c r="BT46" s="1181"/>
      <c r="BZ46" s="784"/>
      <c r="CA46" s="777"/>
      <c r="CH46" s="1181"/>
      <c r="CN46" s="784"/>
      <c r="CO46" s="777"/>
      <c r="CV46" s="1181"/>
      <c r="DB46" s="784"/>
      <c r="DC46" s="777"/>
      <c r="DJ46" s="1181"/>
      <c r="DP46" s="784"/>
      <c r="DQ46" s="777"/>
      <c r="DX46" s="1181"/>
      <c r="ED46" s="784"/>
      <c r="EE46" s="777"/>
      <c r="EL46" s="1181"/>
      <c r="ER46" s="784"/>
      <c r="ES46" s="777"/>
      <c r="EZ46" s="1181"/>
      <c r="FF46" s="784"/>
      <c r="FG46" s="777"/>
      <c r="FN46" s="1181"/>
      <c r="FT46" s="784"/>
    </row>
    <row r="47" spans="1:176" x14ac:dyDescent="0.25">
      <c r="A47" s="735"/>
      <c r="I47" s="777"/>
      <c r="P47" s="1181"/>
      <c r="V47" s="784"/>
      <c r="W47" s="777"/>
      <c r="AD47" s="1181"/>
      <c r="AJ47" s="784"/>
      <c r="AK47" s="777"/>
      <c r="AR47" s="1181"/>
      <c r="AX47" s="784"/>
      <c r="AY47" s="777"/>
      <c r="BF47" s="1181"/>
      <c r="BL47" s="784"/>
      <c r="BM47" s="777"/>
      <c r="BT47" s="1181"/>
      <c r="BZ47" s="784"/>
      <c r="CA47" s="777"/>
      <c r="CH47" s="1181"/>
      <c r="CN47" s="784"/>
      <c r="CO47" s="777"/>
      <c r="CV47" s="1181"/>
      <c r="DB47" s="784"/>
      <c r="DC47" s="777"/>
      <c r="DJ47" s="1181"/>
      <c r="DP47" s="784"/>
      <c r="DQ47" s="777"/>
      <c r="DX47" s="1181"/>
      <c r="ED47" s="784"/>
      <c r="EE47" s="777"/>
      <c r="EL47" s="1181"/>
      <c r="ER47" s="784"/>
      <c r="ES47" s="777"/>
      <c r="EZ47" s="1181"/>
      <c r="FF47" s="784"/>
      <c r="FG47" s="777"/>
      <c r="FN47" s="1181"/>
      <c r="FT47" s="784"/>
    </row>
    <row r="48" spans="1:176" x14ac:dyDescent="0.25">
      <c r="A48" s="735"/>
      <c r="I48" s="777"/>
      <c r="P48" s="1181"/>
      <c r="V48" s="784"/>
      <c r="W48" s="777"/>
      <c r="AD48" s="1181"/>
      <c r="AJ48" s="784"/>
      <c r="AK48" s="777"/>
      <c r="AR48" s="1181"/>
      <c r="AX48" s="784"/>
      <c r="AY48" s="777"/>
      <c r="BF48" s="1181"/>
      <c r="BL48" s="784"/>
      <c r="BM48" s="777"/>
      <c r="BT48" s="1181"/>
      <c r="BZ48" s="784"/>
      <c r="CA48" s="777"/>
      <c r="CH48" s="1181"/>
      <c r="CN48" s="784"/>
      <c r="CO48" s="777"/>
      <c r="CV48" s="1181"/>
      <c r="DB48" s="784"/>
      <c r="DC48" s="777"/>
      <c r="DJ48" s="1181"/>
      <c r="DP48" s="784"/>
      <c r="DQ48" s="777"/>
      <c r="DX48" s="1181"/>
      <c r="ED48" s="784"/>
      <c r="EE48" s="777"/>
      <c r="EL48" s="1181"/>
      <c r="ER48" s="784"/>
      <c r="ES48" s="777"/>
      <c r="EZ48" s="1181"/>
      <c r="FF48" s="784"/>
      <c r="FG48" s="777"/>
      <c r="FN48" s="1181"/>
      <c r="FT48" s="784"/>
    </row>
    <row r="49" spans="1:176" x14ac:dyDescent="0.25">
      <c r="A49" s="735"/>
      <c r="I49" s="777"/>
      <c r="P49" s="1181"/>
      <c r="V49" s="784"/>
      <c r="W49" s="777"/>
      <c r="AD49" s="1181"/>
      <c r="AJ49" s="784"/>
      <c r="AK49" s="777"/>
      <c r="AR49" s="1181"/>
      <c r="AX49" s="784"/>
      <c r="AY49" s="777"/>
      <c r="BF49" s="1181"/>
      <c r="BL49" s="784"/>
      <c r="BM49" s="777"/>
      <c r="BT49" s="1181"/>
      <c r="BZ49" s="784"/>
      <c r="CA49" s="777"/>
      <c r="CH49" s="1181"/>
      <c r="CN49" s="784"/>
      <c r="CO49" s="777"/>
      <c r="CV49" s="1181"/>
      <c r="DB49" s="784"/>
      <c r="DC49" s="777"/>
      <c r="DJ49" s="1181"/>
      <c r="DP49" s="784"/>
      <c r="DQ49" s="777"/>
      <c r="DX49" s="1181"/>
      <c r="ED49" s="784"/>
      <c r="EE49" s="777"/>
      <c r="EL49" s="1181"/>
      <c r="ER49" s="784"/>
      <c r="ES49" s="777"/>
      <c r="EZ49" s="1181"/>
      <c r="FF49" s="784"/>
      <c r="FG49" s="777"/>
      <c r="FN49" s="1181"/>
      <c r="FT49" s="784"/>
    </row>
    <row r="50" spans="1:176" x14ac:dyDescent="0.25">
      <c r="A50" s="735"/>
      <c r="I50" s="777"/>
      <c r="P50" s="1181"/>
      <c r="V50" s="784"/>
      <c r="W50" s="777"/>
      <c r="AD50" s="1181"/>
      <c r="AJ50" s="784"/>
      <c r="AK50" s="777"/>
      <c r="AR50" s="1181"/>
      <c r="AX50" s="784"/>
      <c r="AY50" s="777"/>
      <c r="BF50" s="1181"/>
      <c r="BL50" s="784"/>
      <c r="BM50" s="777"/>
      <c r="BT50" s="1181"/>
      <c r="BZ50" s="784"/>
      <c r="CA50" s="777"/>
      <c r="CH50" s="1181"/>
      <c r="CN50" s="784"/>
      <c r="CO50" s="777"/>
      <c r="CV50" s="1181"/>
      <c r="DB50" s="784"/>
      <c r="DC50" s="777"/>
      <c r="DJ50" s="1181"/>
      <c r="DP50" s="784"/>
      <c r="DQ50" s="777"/>
      <c r="DX50" s="1181"/>
      <c r="ED50" s="784"/>
      <c r="EE50" s="777"/>
      <c r="EL50" s="1181"/>
      <c r="ER50" s="784"/>
      <c r="ES50" s="777"/>
      <c r="EZ50" s="1181"/>
      <c r="FF50" s="784"/>
      <c r="FG50" s="777"/>
      <c r="FN50" s="1181"/>
      <c r="FT50" s="784"/>
    </row>
    <row r="51" spans="1:176" x14ac:dyDescent="0.25">
      <c r="A51" s="735"/>
      <c r="I51" s="777"/>
      <c r="P51" s="1181"/>
      <c r="V51" s="784"/>
      <c r="W51" s="777"/>
      <c r="AD51" s="1181"/>
      <c r="AJ51" s="784"/>
      <c r="AK51" s="777"/>
      <c r="AR51" s="1181"/>
      <c r="AX51" s="784"/>
      <c r="AY51" s="777"/>
      <c r="BF51" s="1181"/>
      <c r="BL51" s="784"/>
      <c r="BM51" s="777"/>
      <c r="BT51" s="1181"/>
      <c r="BZ51" s="784"/>
      <c r="CA51" s="777"/>
      <c r="CH51" s="1181"/>
      <c r="CN51" s="784"/>
      <c r="CO51" s="777"/>
      <c r="CV51" s="1181"/>
      <c r="DB51" s="784"/>
      <c r="DC51" s="777"/>
      <c r="DJ51" s="1181"/>
      <c r="DP51" s="784"/>
      <c r="DQ51" s="777"/>
      <c r="DX51" s="1181"/>
      <c r="ED51" s="784"/>
      <c r="EE51" s="777"/>
      <c r="EL51" s="1181"/>
      <c r="ER51" s="784"/>
      <c r="ES51" s="777"/>
      <c r="EZ51" s="1181"/>
      <c r="FF51" s="784"/>
      <c r="FG51" s="777"/>
      <c r="FN51" s="1181"/>
      <c r="FT51" s="784"/>
    </row>
    <row r="52" spans="1:176" x14ac:dyDescent="0.25">
      <c r="A52" s="735"/>
      <c r="I52" s="777"/>
      <c r="P52" s="1181"/>
      <c r="V52" s="784"/>
      <c r="W52" s="777"/>
      <c r="AD52" s="1181"/>
      <c r="AJ52" s="784"/>
      <c r="AK52" s="777"/>
      <c r="AR52" s="1181"/>
      <c r="AX52" s="784"/>
      <c r="AY52" s="777"/>
      <c r="BF52" s="1181"/>
      <c r="BL52" s="784"/>
      <c r="BM52" s="777"/>
      <c r="BT52" s="1181"/>
      <c r="BZ52" s="784"/>
      <c r="CA52" s="777"/>
      <c r="CH52" s="1181"/>
      <c r="CN52" s="784"/>
      <c r="CO52" s="777"/>
      <c r="CV52" s="1181"/>
      <c r="DB52" s="784"/>
      <c r="DC52" s="777"/>
      <c r="DJ52" s="1181"/>
      <c r="DP52" s="784"/>
      <c r="DQ52" s="777"/>
      <c r="DX52" s="1181"/>
      <c r="ED52" s="784"/>
      <c r="EE52" s="777"/>
      <c r="EL52" s="1181"/>
      <c r="ER52" s="784"/>
      <c r="ES52" s="777"/>
      <c r="EZ52" s="1181"/>
      <c r="FF52" s="784"/>
      <c r="FG52" s="777"/>
      <c r="FN52" s="1181"/>
      <c r="FT52" s="784"/>
    </row>
    <row r="53" spans="1:176" x14ac:dyDescent="0.25">
      <c r="A53" s="735"/>
      <c r="I53" s="777"/>
      <c r="P53" s="1181"/>
      <c r="V53" s="784"/>
      <c r="W53" s="777"/>
      <c r="AD53" s="1181"/>
      <c r="AJ53" s="784"/>
      <c r="AK53" s="777"/>
      <c r="AR53" s="1181"/>
      <c r="AX53" s="784"/>
      <c r="AY53" s="777"/>
      <c r="BF53" s="1181"/>
      <c r="BL53" s="784"/>
      <c r="BM53" s="777"/>
      <c r="BT53" s="1181"/>
      <c r="BZ53" s="784"/>
      <c r="CA53" s="777"/>
      <c r="CH53" s="1181"/>
      <c r="CN53" s="784"/>
      <c r="CO53" s="777"/>
      <c r="CV53" s="1181"/>
      <c r="DB53" s="784"/>
      <c r="DC53" s="777"/>
      <c r="DJ53" s="1181"/>
      <c r="DP53" s="784"/>
      <c r="DQ53" s="777"/>
      <c r="DX53" s="1181"/>
      <c r="ED53" s="784"/>
      <c r="EE53" s="777"/>
      <c r="EL53" s="1181"/>
      <c r="ER53" s="784"/>
      <c r="ES53" s="777"/>
      <c r="EZ53" s="1181"/>
      <c r="FF53" s="784"/>
      <c r="FG53" s="777"/>
      <c r="FN53" s="1181"/>
      <c r="FT53" s="784"/>
    </row>
    <row r="54" spans="1:176" x14ac:dyDescent="0.25">
      <c r="I54" s="777"/>
      <c r="P54" s="1181"/>
      <c r="V54" s="784"/>
      <c r="W54" s="777"/>
      <c r="AD54" s="1181"/>
      <c r="AJ54" s="784"/>
      <c r="AK54" s="777"/>
      <c r="AR54" s="1181"/>
      <c r="AX54" s="784"/>
      <c r="AY54" s="777"/>
      <c r="BF54" s="1181"/>
      <c r="BL54" s="784"/>
      <c r="BM54" s="777"/>
      <c r="BT54" s="1181"/>
      <c r="BZ54" s="784"/>
      <c r="CA54" s="777"/>
      <c r="CH54" s="1181"/>
      <c r="CN54" s="784"/>
      <c r="CO54" s="777"/>
      <c r="CV54" s="1181"/>
      <c r="DB54" s="784"/>
      <c r="DC54" s="777"/>
      <c r="DJ54" s="1181"/>
      <c r="DP54" s="784"/>
      <c r="DQ54" s="777"/>
      <c r="DX54" s="1181"/>
      <c r="ED54" s="784"/>
      <c r="EE54" s="777"/>
      <c r="EL54" s="1181"/>
      <c r="ER54" s="784"/>
      <c r="ES54" s="777"/>
      <c r="EZ54" s="1181"/>
      <c r="FF54" s="784"/>
      <c r="FG54" s="777"/>
      <c r="FN54" s="1181"/>
      <c r="FT54" s="784"/>
    </row>
    <row r="55" spans="1:176" x14ac:dyDescent="0.25">
      <c r="A55" s="735"/>
      <c r="I55" s="777"/>
      <c r="P55" s="1181"/>
      <c r="V55" s="784"/>
      <c r="W55" s="777"/>
      <c r="AD55" s="1181"/>
      <c r="AJ55" s="784"/>
      <c r="AK55" s="777"/>
      <c r="AR55" s="1181"/>
      <c r="AX55" s="784"/>
      <c r="AY55" s="777"/>
      <c r="BF55" s="1181"/>
      <c r="BL55" s="784"/>
      <c r="BM55" s="777"/>
      <c r="BT55" s="1181"/>
      <c r="BZ55" s="784"/>
      <c r="CA55" s="777"/>
      <c r="CH55" s="1181"/>
      <c r="CN55" s="784"/>
      <c r="CO55" s="777"/>
      <c r="CV55" s="1181"/>
      <c r="DB55" s="784"/>
      <c r="DC55" s="777"/>
      <c r="DJ55" s="1181"/>
      <c r="DP55" s="784"/>
      <c r="DQ55" s="777"/>
      <c r="DX55" s="1181"/>
      <c r="ED55" s="784"/>
      <c r="EE55" s="777"/>
      <c r="EL55" s="1181"/>
      <c r="ER55" s="784"/>
      <c r="ES55" s="777"/>
      <c r="EZ55" s="1181"/>
      <c r="FF55" s="784"/>
      <c r="FG55" s="777"/>
      <c r="FN55" s="1181"/>
      <c r="FT55" s="784"/>
    </row>
    <row r="56" spans="1:176" x14ac:dyDescent="0.25">
      <c r="C56" s="734"/>
      <c r="I56" s="777"/>
      <c r="P56" s="1181"/>
      <c r="V56" s="784"/>
      <c r="W56" s="777"/>
      <c r="AD56" s="1181"/>
      <c r="AJ56" s="784"/>
      <c r="AK56" s="777"/>
      <c r="AR56" s="1181"/>
      <c r="AX56" s="784"/>
      <c r="AY56" s="777"/>
      <c r="BF56" s="1181"/>
      <c r="BL56" s="784"/>
      <c r="BM56" s="777"/>
      <c r="BT56" s="1181"/>
      <c r="BZ56" s="784"/>
      <c r="CA56" s="777"/>
      <c r="CH56" s="1181"/>
      <c r="CN56" s="784"/>
      <c r="CO56" s="777"/>
      <c r="CV56" s="1181"/>
      <c r="DB56" s="784"/>
      <c r="DC56" s="777"/>
      <c r="DJ56" s="1181"/>
      <c r="DP56" s="784"/>
      <c r="DQ56" s="777"/>
      <c r="DX56" s="1181"/>
      <c r="ED56" s="784"/>
      <c r="EE56" s="777"/>
      <c r="EL56" s="1181"/>
      <c r="ER56" s="784"/>
      <c r="ES56" s="777"/>
      <c r="EZ56" s="1181"/>
      <c r="FF56" s="784"/>
      <c r="FG56" s="777"/>
      <c r="FN56" s="1181"/>
      <c r="FT56" s="784"/>
    </row>
    <row r="57" spans="1:176" x14ac:dyDescent="0.25">
      <c r="B57" s="734"/>
      <c r="I57" s="777"/>
      <c r="P57" s="1181"/>
      <c r="V57" s="784"/>
      <c r="W57" s="777"/>
      <c r="AD57" s="1181"/>
      <c r="AJ57" s="784"/>
      <c r="AK57" s="777"/>
      <c r="AR57" s="1181"/>
      <c r="AX57" s="784"/>
      <c r="AY57" s="777"/>
      <c r="BF57" s="1181"/>
      <c r="BL57" s="784"/>
      <c r="BM57" s="777"/>
      <c r="BT57" s="1181"/>
      <c r="BZ57" s="784"/>
      <c r="CA57" s="777"/>
      <c r="CH57" s="1181"/>
      <c r="CN57" s="784"/>
      <c r="CO57" s="777"/>
      <c r="CV57" s="1181"/>
      <c r="DB57" s="784"/>
      <c r="DC57" s="777"/>
      <c r="DJ57" s="1181"/>
      <c r="DP57" s="784"/>
      <c r="DQ57" s="777"/>
      <c r="DX57" s="1181"/>
      <c r="ED57" s="784"/>
      <c r="EE57" s="777"/>
      <c r="EL57" s="1181"/>
      <c r="ER57" s="784"/>
      <c r="ES57" s="777"/>
      <c r="EZ57" s="1181"/>
      <c r="FF57" s="784"/>
      <c r="FG57" s="777"/>
      <c r="FN57" s="1181"/>
      <c r="FT57" s="784"/>
    </row>
    <row r="58" spans="1:176" x14ac:dyDescent="0.25">
      <c r="I58" s="777"/>
      <c r="P58" s="1181"/>
      <c r="V58" s="784"/>
      <c r="W58" s="777"/>
      <c r="AD58" s="1181"/>
      <c r="AJ58" s="784"/>
      <c r="AK58" s="777"/>
      <c r="AR58" s="1181"/>
      <c r="AX58" s="784"/>
      <c r="AY58" s="777"/>
      <c r="BF58" s="1181"/>
      <c r="BL58" s="784"/>
      <c r="BM58" s="777"/>
      <c r="BT58" s="1181"/>
      <c r="BZ58" s="784"/>
      <c r="CA58" s="777"/>
      <c r="CH58" s="1181"/>
      <c r="CN58" s="784"/>
      <c r="CO58" s="777"/>
      <c r="CV58" s="1181"/>
      <c r="DB58" s="784"/>
      <c r="DC58" s="777"/>
      <c r="DJ58" s="1181"/>
      <c r="DP58" s="784"/>
      <c r="DQ58" s="777"/>
      <c r="DX58" s="1181"/>
      <c r="ED58" s="784"/>
      <c r="EE58" s="777"/>
      <c r="EL58" s="1181"/>
      <c r="ER58" s="784"/>
      <c r="ES58" s="777"/>
      <c r="EZ58" s="1181"/>
      <c r="FF58" s="784"/>
      <c r="FG58" s="777"/>
      <c r="FN58" s="1181"/>
      <c r="FT58" s="784"/>
    </row>
    <row r="59" spans="1:176" x14ac:dyDescent="0.25">
      <c r="I59" s="777"/>
      <c r="P59" s="1181"/>
      <c r="V59" s="784"/>
      <c r="W59" s="777"/>
      <c r="AD59" s="1181"/>
      <c r="AJ59" s="784"/>
      <c r="AK59" s="777"/>
      <c r="AR59" s="1181"/>
      <c r="AX59" s="784"/>
      <c r="AY59" s="777"/>
      <c r="BF59" s="1181"/>
      <c r="BL59" s="784"/>
      <c r="BM59" s="777"/>
      <c r="BT59" s="1181"/>
      <c r="BZ59" s="784"/>
      <c r="CA59" s="777"/>
      <c r="CH59" s="1181"/>
      <c r="CN59" s="784"/>
      <c r="CO59" s="777"/>
      <c r="CV59" s="1181"/>
      <c r="DB59" s="784"/>
      <c r="DC59" s="777"/>
      <c r="DJ59" s="1181"/>
      <c r="DP59" s="784"/>
      <c r="DQ59" s="777"/>
      <c r="DX59" s="1181"/>
      <c r="ED59" s="784"/>
      <c r="EE59" s="777"/>
      <c r="EL59" s="1181"/>
      <c r="ER59" s="784"/>
      <c r="ES59" s="777"/>
      <c r="EZ59" s="1181"/>
      <c r="FF59" s="784"/>
      <c r="FG59" s="777"/>
      <c r="FN59" s="1181"/>
      <c r="FT59" s="784"/>
    </row>
    <row r="60" spans="1:176" x14ac:dyDescent="0.25">
      <c r="I60" s="777"/>
      <c r="P60" s="1181"/>
      <c r="V60" s="784"/>
      <c r="W60" s="777"/>
      <c r="AD60" s="1181"/>
      <c r="AJ60" s="784"/>
      <c r="AK60" s="777"/>
      <c r="AR60" s="1181"/>
      <c r="AX60" s="784"/>
      <c r="AY60" s="777"/>
      <c r="BF60" s="1181"/>
      <c r="BL60" s="784"/>
      <c r="BM60" s="777"/>
      <c r="BT60" s="1181"/>
      <c r="BZ60" s="784"/>
      <c r="CA60" s="777"/>
      <c r="CH60" s="1181"/>
      <c r="CN60" s="784"/>
      <c r="CO60" s="777"/>
      <c r="CV60" s="1181"/>
      <c r="DB60" s="784"/>
      <c r="DC60" s="777"/>
      <c r="DJ60" s="1181"/>
      <c r="DP60" s="784"/>
      <c r="DQ60" s="777"/>
      <c r="DX60" s="1181"/>
      <c r="ED60" s="784"/>
      <c r="EE60" s="777"/>
      <c r="EL60" s="1181"/>
      <c r="ER60" s="784"/>
      <c r="ES60" s="777"/>
      <c r="EZ60" s="1181"/>
      <c r="FF60" s="784"/>
      <c r="FG60" s="777"/>
      <c r="FN60" s="1181"/>
      <c r="FT60" s="784"/>
    </row>
    <row r="61" spans="1:176" ht="15.75" thickBot="1" x14ac:dyDescent="0.3">
      <c r="I61" s="849"/>
      <c r="J61" s="850"/>
      <c r="K61" s="850"/>
      <c r="L61" s="850"/>
      <c r="M61" s="850"/>
      <c r="N61" s="850"/>
      <c r="O61" s="850"/>
      <c r="P61" s="1182"/>
      <c r="Q61" s="850"/>
      <c r="R61" s="850"/>
      <c r="S61" s="850"/>
      <c r="T61" s="850"/>
      <c r="U61" s="850"/>
      <c r="V61" s="785"/>
      <c r="W61" s="849"/>
      <c r="X61" s="850"/>
      <c r="Y61" s="850"/>
      <c r="Z61" s="850"/>
      <c r="AA61" s="850"/>
      <c r="AB61" s="850"/>
      <c r="AC61" s="850"/>
      <c r="AD61" s="1182"/>
      <c r="AE61" s="850"/>
      <c r="AF61" s="850"/>
      <c r="AG61" s="850"/>
      <c r="AH61" s="850"/>
      <c r="AI61" s="850"/>
      <c r="AJ61" s="785"/>
      <c r="AK61" s="849"/>
      <c r="AL61" s="850"/>
      <c r="AM61" s="850"/>
      <c r="AN61" s="850"/>
      <c r="AO61" s="850"/>
      <c r="AP61" s="850"/>
      <c r="AQ61" s="850"/>
      <c r="AR61" s="1182"/>
      <c r="AS61" s="850"/>
      <c r="AT61" s="850"/>
      <c r="AU61" s="850"/>
      <c r="AV61" s="850"/>
      <c r="AW61" s="850"/>
      <c r="AX61" s="785"/>
      <c r="AY61" s="849"/>
      <c r="AZ61" s="850"/>
      <c r="BA61" s="850"/>
      <c r="BB61" s="850"/>
      <c r="BC61" s="850"/>
      <c r="BD61" s="850"/>
      <c r="BE61" s="850"/>
      <c r="BF61" s="1182"/>
      <c r="BG61" s="850"/>
      <c r="BH61" s="850"/>
      <c r="BI61" s="850"/>
      <c r="BJ61" s="850"/>
      <c r="BK61" s="850"/>
      <c r="BL61" s="785"/>
      <c r="BM61" s="849"/>
      <c r="BN61" s="850"/>
      <c r="BO61" s="850"/>
      <c r="BP61" s="850"/>
      <c r="BQ61" s="850"/>
      <c r="BR61" s="850"/>
      <c r="BS61" s="850"/>
      <c r="BT61" s="1182"/>
      <c r="BU61" s="850"/>
      <c r="BV61" s="850"/>
      <c r="BW61" s="850"/>
      <c r="BX61" s="850"/>
      <c r="BY61" s="850"/>
      <c r="BZ61" s="785"/>
      <c r="CA61" s="849"/>
      <c r="CB61" s="850"/>
      <c r="CC61" s="850"/>
      <c r="CD61" s="850"/>
      <c r="CE61" s="850"/>
      <c r="CF61" s="850"/>
      <c r="CG61" s="850"/>
      <c r="CH61" s="1182"/>
      <c r="CI61" s="850"/>
      <c r="CJ61" s="850"/>
      <c r="CK61" s="850"/>
      <c r="CL61" s="850"/>
      <c r="CM61" s="850"/>
      <c r="CN61" s="785"/>
      <c r="CO61" s="849"/>
      <c r="CP61" s="850"/>
      <c r="CQ61" s="850"/>
      <c r="CR61" s="850"/>
      <c r="CS61" s="850"/>
      <c r="CT61" s="850"/>
      <c r="CU61" s="850"/>
      <c r="CV61" s="1182"/>
      <c r="CW61" s="850"/>
      <c r="CX61" s="850"/>
      <c r="CY61" s="850"/>
      <c r="CZ61" s="850"/>
      <c r="DA61" s="850"/>
      <c r="DB61" s="785"/>
      <c r="DC61" s="849"/>
      <c r="DD61" s="850"/>
      <c r="DE61" s="850"/>
      <c r="DF61" s="850"/>
      <c r="DG61" s="850"/>
      <c r="DH61" s="850"/>
      <c r="DI61" s="850"/>
      <c r="DJ61" s="1182"/>
      <c r="DK61" s="850"/>
      <c r="DL61" s="850"/>
      <c r="DM61" s="850"/>
      <c r="DN61" s="850"/>
      <c r="DO61" s="850"/>
      <c r="DP61" s="785"/>
      <c r="DQ61" s="849"/>
      <c r="DR61" s="850"/>
      <c r="DS61" s="850"/>
      <c r="DT61" s="850"/>
      <c r="DU61" s="850"/>
      <c r="DV61" s="850"/>
      <c r="DW61" s="850"/>
      <c r="DX61" s="1182"/>
      <c r="DY61" s="850"/>
      <c r="DZ61" s="850"/>
      <c r="EA61" s="850"/>
      <c r="EB61" s="850"/>
      <c r="EC61" s="850"/>
      <c r="ED61" s="785"/>
      <c r="EE61" s="849"/>
      <c r="EF61" s="850"/>
      <c r="EG61" s="850"/>
      <c r="EH61" s="850"/>
      <c r="EI61" s="850"/>
      <c r="EJ61" s="850"/>
      <c r="EK61" s="850"/>
      <c r="EL61" s="1182"/>
      <c r="EM61" s="850"/>
      <c r="EN61" s="850"/>
      <c r="EO61" s="850"/>
      <c r="EP61" s="850"/>
      <c r="EQ61" s="850"/>
      <c r="ER61" s="785"/>
      <c r="ES61" s="849"/>
      <c r="ET61" s="850"/>
      <c r="EU61" s="850"/>
      <c r="EV61" s="850"/>
      <c r="EW61" s="850"/>
      <c r="EX61" s="850"/>
      <c r="EY61" s="850"/>
      <c r="EZ61" s="1182"/>
      <c r="FA61" s="850"/>
      <c r="FB61" s="850"/>
      <c r="FC61" s="850"/>
      <c r="FD61" s="850"/>
      <c r="FE61" s="850"/>
      <c r="FF61" s="785"/>
      <c r="FG61" s="849"/>
      <c r="FH61" s="850"/>
      <c r="FI61" s="850"/>
      <c r="FJ61" s="850"/>
      <c r="FK61" s="850"/>
      <c r="FL61" s="850"/>
      <c r="FM61" s="850"/>
      <c r="FN61" s="1182"/>
      <c r="FO61" s="850"/>
      <c r="FP61" s="850"/>
      <c r="FQ61" s="850"/>
      <c r="FR61" s="850"/>
      <c r="FS61" s="850"/>
      <c r="FT61" s="785"/>
    </row>
    <row r="62" spans="1:176" ht="15.75" thickBot="1" x14ac:dyDescent="0.3">
      <c r="P62" s="746"/>
      <c r="Q62" s="746"/>
      <c r="R62" s="746"/>
      <c r="V62" s="746"/>
      <c r="W62" s="746"/>
      <c r="X62" s="746"/>
    </row>
    <row r="63" spans="1:176" ht="15.75" thickBot="1" x14ac:dyDescent="0.3">
      <c r="A63" s="2549" t="s">
        <v>463</v>
      </c>
      <c r="B63" s="2550"/>
      <c r="C63" s="2550"/>
      <c r="D63" s="2550"/>
      <c r="E63" s="2550"/>
      <c r="F63" s="2550"/>
      <c r="G63" s="2550"/>
      <c r="H63" s="2550"/>
      <c r="I63" s="2550"/>
      <c r="J63" s="2550"/>
      <c r="K63" s="2550"/>
      <c r="L63" s="2550"/>
      <c r="M63" s="2550"/>
      <c r="N63" s="2550"/>
      <c r="O63" s="2551"/>
      <c r="P63" s="746"/>
      <c r="Q63" s="746"/>
      <c r="R63" s="746"/>
      <c r="V63" s="746"/>
      <c r="W63" s="746"/>
      <c r="X63" s="746"/>
    </row>
    <row r="64" spans="1:176" ht="15.75" thickBot="1" x14ac:dyDescent="0.3">
      <c r="P64" s="746"/>
      <c r="Q64" s="746"/>
      <c r="R64" s="746"/>
      <c r="V64" s="746"/>
      <c r="W64" s="746"/>
      <c r="X64" s="746"/>
    </row>
    <row r="65" spans="1:24" x14ac:dyDescent="0.25">
      <c r="A65" s="747"/>
      <c r="B65" s="748"/>
      <c r="C65" s="748"/>
      <c r="D65" s="748"/>
      <c r="E65" s="748"/>
      <c r="F65" s="748"/>
      <c r="G65" s="748"/>
      <c r="H65" s="748"/>
      <c r="I65" s="748"/>
      <c r="J65" s="748"/>
      <c r="K65" s="748"/>
      <c r="L65" s="748"/>
      <c r="M65" s="748"/>
      <c r="N65" s="748"/>
      <c r="O65" s="749"/>
      <c r="P65" s="746"/>
      <c r="Q65" s="746"/>
      <c r="R65" s="746"/>
      <c r="S65" s="746"/>
      <c r="T65" s="746"/>
      <c r="U65" s="746"/>
      <c r="V65" s="746"/>
      <c r="W65" s="746"/>
      <c r="X65" s="746"/>
    </row>
    <row r="66" spans="1:24" x14ac:dyDescent="0.25">
      <c r="A66" s="750" t="s">
        <v>575</v>
      </c>
      <c r="B66" s="751"/>
      <c r="C66" s="751"/>
      <c r="D66" s="751"/>
      <c r="E66" s="751"/>
      <c r="F66" s="751"/>
      <c r="G66" s="751"/>
      <c r="H66" s="751"/>
      <c r="I66" s="751"/>
      <c r="J66" s="751"/>
      <c r="K66" s="751"/>
      <c r="L66" s="751"/>
      <c r="M66" s="751"/>
      <c r="N66" s="751"/>
      <c r="O66" s="752"/>
    </row>
    <row r="67" spans="1:24" x14ac:dyDescent="0.25">
      <c r="A67" s="753"/>
      <c r="B67" s="751"/>
      <c r="C67" s="751"/>
      <c r="D67" s="751"/>
      <c r="E67" s="751"/>
      <c r="F67" s="751"/>
      <c r="G67" s="751"/>
      <c r="H67" s="751"/>
      <c r="I67" s="751"/>
      <c r="J67" s="751"/>
      <c r="K67" s="751"/>
      <c r="L67" s="751"/>
      <c r="M67" s="751"/>
      <c r="N67" s="751"/>
      <c r="O67" s="752"/>
    </row>
    <row r="68" spans="1:24" x14ac:dyDescent="0.25">
      <c r="A68" s="750" t="s">
        <v>475</v>
      </c>
      <c r="B68" s="751"/>
      <c r="C68" s="751"/>
      <c r="D68" s="751"/>
      <c r="E68" s="751"/>
      <c r="F68" s="751"/>
      <c r="G68" s="751"/>
      <c r="H68" s="751"/>
      <c r="I68" s="751"/>
      <c r="J68" s="751"/>
      <c r="K68" s="751"/>
      <c r="L68" s="751"/>
      <c r="M68" s="751"/>
      <c r="N68" s="751"/>
      <c r="O68" s="752"/>
    </row>
    <row r="69" spans="1:24" x14ac:dyDescent="0.25">
      <c r="A69" s="753"/>
      <c r="B69" s="751"/>
      <c r="C69" s="751"/>
      <c r="D69" s="751"/>
      <c r="E69" s="751"/>
      <c r="F69" s="751"/>
      <c r="G69" s="751"/>
      <c r="H69" s="751"/>
      <c r="I69" s="751"/>
      <c r="J69" s="751"/>
      <c r="K69" s="751"/>
      <c r="L69" s="751"/>
      <c r="M69" s="751"/>
      <c r="N69" s="751"/>
      <c r="O69" s="752"/>
    </row>
    <row r="70" spans="1:24" x14ac:dyDescent="0.25">
      <c r="A70" s="753"/>
      <c r="B70" s="751" t="s">
        <v>464</v>
      </c>
      <c r="C70" s="754" t="s">
        <v>602</v>
      </c>
      <c r="D70" s="751"/>
      <c r="E70" s="751"/>
      <c r="F70" s="751"/>
      <c r="G70" s="751"/>
      <c r="H70" s="751"/>
      <c r="I70" s="751"/>
      <c r="J70" s="751"/>
      <c r="K70" s="751"/>
      <c r="L70" s="751"/>
      <c r="M70" s="751"/>
      <c r="N70" s="751"/>
      <c r="O70" s="752"/>
    </row>
    <row r="71" spans="1:24" x14ac:dyDescent="0.25">
      <c r="A71" s="753"/>
      <c r="B71" s="751"/>
      <c r="C71" s="751"/>
      <c r="D71" s="751"/>
      <c r="E71" s="751"/>
      <c r="F71" s="751"/>
      <c r="G71" s="751"/>
      <c r="H71" s="751"/>
      <c r="I71" s="751"/>
      <c r="J71" s="751"/>
      <c r="K71" s="751"/>
      <c r="L71" s="751"/>
      <c r="M71" s="751"/>
      <c r="N71" s="751"/>
      <c r="O71" s="752"/>
    </row>
    <row r="72" spans="1:24" x14ac:dyDescent="0.25">
      <c r="A72" s="753"/>
      <c r="B72" s="751" t="s">
        <v>464</v>
      </c>
      <c r="C72" s="755">
        <f>'Incert. Dos.'!O40</f>
        <v>1.7935633855332079E-2</v>
      </c>
      <c r="D72" s="754"/>
      <c r="E72" s="751"/>
      <c r="F72" s="751"/>
      <c r="G72" s="751"/>
      <c r="H72" s="751"/>
      <c r="I72" s="751"/>
      <c r="J72" s="751"/>
      <c r="K72" s="751"/>
      <c r="L72" s="751"/>
      <c r="M72" s="751"/>
      <c r="N72" s="751"/>
      <c r="O72" s="752"/>
    </row>
    <row r="73" spans="1:24" x14ac:dyDescent="0.25">
      <c r="A73" s="753"/>
      <c r="B73" s="751"/>
      <c r="C73" s="755"/>
      <c r="D73" s="754"/>
      <c r="E73" s="751"/>
      <c r="F73" s="751"/>
      <c r="G73" s="751"/>
      <c r="H73" s="751"/>
      <c r="I73" s="751"/>
      <c r="J73" s="751"/>
      <c r="K73" s="751"/>
      <c r="L73" s="751"/>
      <c r="M73" s="751"/>
      <c r="N73" s="751"/>
      <c r="O73" s="752"/>
    </row>
    <row r="74" spans="1:24" x14ac:dyDescent="0.25">
      <c r="A74" s="750" t="s">
        <v>706</v>
      </c>
      <c r="B74" s="751"/>
      <c r="C74" s="755"/>
      <c r="D74" s="754"/>
      <c r="E74" s="751"/>
      <c r="F74" s="751"/>
      <c r="G74" s="751"/>
      <c r="H74" s="751"/>
      <c r="I74" s="751"/>
      <c r="J74" s="751"/>
      <c r="K74" s="751"/>
      <c r="L74" s="751"/>
      <c r="M74" s="751"/>
      <c r="N74" s="751"/>
      <c r="O74" s="752"/>
    </row>
    <row r="75" spans="1:24" x14ac:dyDescent="0.25">
      <c r="A75" s="750"/>
      <c r="B75" s="751"/>
      <c r="C75" s="755"/>
      <c r="D75" s="754"/>
      <c r="E75" s="751"/>
      <c r="F75" s="751"/>
      <c r="G75" s="751"/>
      <c r="H75" s="751"/>
      <c r="I75" s="751"/>
      <c r="J75" s="751"/>
      <c r="K75" s="751"/>
      <c r="L75" s="751"/>
      <c r="M75" s="751"/>
      <c r="N75" s="751"/>
      <c r="O75" s="752"/>
    </row>
    <row r="76" spans="1:24" x14ac:dyDescent="0.25">
      <c r="A76" s="750"/>
      <c r="B76" s="751"/>
      <c r="C76" s="755"/>
      <c r="D76" s="754"/>
      <c r="E76" s="751"/>
      <c r="F76" s="751"/>
      <c r="G76" s="751"/>
      <c r="H76" s="751"/>
      <c r="I76" s="751"/>
      <c r="J76" s="751"/>
      <c r="K76" s="751"/>
      <c r="L76" s="751"/>
      <c r="M76" s="751"/>
      <c r="N76" s="751"/>
      <c r="O76" s="752"/>
    </row>
    <row r="77" spans="1:24" x14ac:dyDescent="0.25">
      <c r="A77" s="750"/>
      <c r="B77" s="751"/>
      <c r="C77" s="755"/>
      <c r="D77" s="754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2"/>
    </row>
    <row r="78" spans="1:24" ht="15.75" thickBot="1" x14ac:dyDescent="0.3">
      <c r="A78" s="756"/>
      <c r="B78" s="757"/>
      <c r="C78" s="757"/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8"/>
    </row>
    <row r="79" spans="1:24" x14ac:dyDescent="0.25">
      <c r="A79" s="747"/>
      <c r="B79" s="748"/>
      <c r="C79" s="748"/>
      <c r="D79" s="748"/>
      <c r="E79" s="748"/>
      <c r="F79" s="748"/>
      <c r="G79" s="748"/>
      <c r="H79" s="748"/>
      <c r="I79" s="748"/>
      <c r="J79" s="748"/>
      <c r="K79" s="748"/>
      <c r="L79" s="748"/>
      <c r="M79" s="748"/>
      <c r="N79" s="748"/>
      <c r="O79" s="749"/>
    </row>
    <row r="80" spans="1:24" x14ac:dyDescent="0.25">
      <c r="A80" s="750" t="s">
        <v>604</v>
      </c>
      <c r="B80" s="751"/>
      <c r="C80" s="751"/>
      <c r="D80" s="751"/>
      <c r="E80" s="751"/>
      <c r="F80" s="751"/>
      <c r="G80" s="751"/>
      <c r="H80" s="751"/>
      <c r="I80" s="751"/>
      <c r="J80" s="751"/>
      <c r="K80" s="751"/>
      <c r="L80" s="751"/>
      <c r="M80" s="751"/>
      <c r="N80" s="751"/>
      <c r="O80" s="752"/>
    </row>
    <row r="81" spans="1:15" x14ac:dyDescent="0.25">
      <c r="A81" s="750"/>
      <c r="B81" s="751"/>
      <c r="C81" s="751"/>
      <c r="D81" s="751"/>
      <c r="E81" s="751"/>
      <c r="F81" s="751"/>
      <c r="G81" s="751"/>
      <c r="H81" s="751"/>
      <c r="I81" s="751"/>
      <c r="J81" s="751"/>
      <c r="K81" s="751"/>
      <c r="L81" s="751"/>
      <c r="M81" s="751"/>
      <c r="N81" s="751"/>
      <c r="O81" s="752"/>
    </row>
    <row r="82" spans="1:15" x14ac:dyDescent="0.25">
      <c r="A82" s="750" t="s">
        <v>477</v>
      </c>
      <c r="B82" s="751"/>
      <c r="C82" s="751"/>
      <c r="D82" s="751"/>
      <c r="E82" s="751"/>
      <c r="F82" s="751"/>
      <c r="G82" s="751"/>
      <c r="H82" s="751"/>
      <c r="I82" s="751"/>
      <c r="J82" s="751"/>
      <c r="K82" s="751"/>
      <c r="L82" s="751"/>
      <c r="M82" s="751"/>
      <c r="N82" s="751"/>
      <c r="O82" s="752"/>
    </row>
    <row r="83" spans="1:15" x14ac:dyDescent="0.25">
      <c r="A83" s="753"/>
      <c r="B83" s="751"/>
      <c r="C83" s="751"/>
      <c r="D83" s="751"/>
      <c r="E83" s="751"/>
      <c r="F83" s="751"/>
      <c r="G83" s="751"/>
      <c r="H83" s="751"/>
      <c r="I83" s="751"/>
      <c r="J83" s="751"/>
      <c r="K83" s="751"/>
      <c r="L83" s="751"/>
      <c r="M83" s="751"/>
      <c r="N83" s="751"/>
      <c r="O83" s="752"/>
    </row>
    <row r="84" spans="1:15" x14ac:dyDescent="0.25">
      <c r="A84" s="753"/>
      <c r="B84" s="751" t="s">
        <v>464</v>
      </c>
      <c r="C84" s="754" t="s">
        <v>603</v>
      </c>
      <c r="D84" s="751"/>
      <c r="E84" s="751"/>
      <c r="F84" s="751"/>
      <c r="G84" s="751"/>
      <c r="H84" s="751"/>
      <c r="I84" s="751"/>
      <c r="J84" s="751"/>
      <c r="K84" s="751"/>
      <c r="L84" s="751"/>
      <c r="M84" s="751"/>
      <c r="N84" s="751"/>
      <c r="O84" s="752"/>
    </row>
    <row r="85" spans="1:15" x14ac:dyDescent="0.25">
      <c r="A85" s="753"/>
      <c r="B85" s="751"/>
      <c r="C85" s="751"/>
      <c r="D85" s="751"/>
      <c r="E85" s="751"/>
      <c r="F85" s="751"/>
      <c r="G85" s="751"/>
      <c r="H85" s="751"/>
      <c r="I85" s="751"/>
      <c r="J85" s="751"/>
      <c r="K85" s="751"/>
      <c r="L85" s="751"/>
      <c r="M85" s="751"/>
      <c r="N85" s="751"/>
      <c r="O85" s="752"/>
    </row>
    <row r="86" spans="1:15" x14ac:dyDescent="0.25">
      <c r="A86" s="753"/>
      <c r="B86" s="751" t="s">
        <v>464</v>
      </c>
      <c r="C86" s="759">
        <f>'F-LSCD-002 (homogeneidad C.I.)'!AH69/2</f>
        <v>6.8804228560584869E-4</v>
      </c>
      <c r="D86" s="754"/>
      <c r="E86" s="751"/>
      <c r="F86" s="751"/>
      <c r="G86" s="751"/>
      <c r="H86" s="751"/>
      <c r="I86" s="751"/>
      <c r="J86" s="751"/>
      <c r="K86" s="751"/>
      <c r="L86" s="751"/>
      <c r="M86" s="751"/>
      <c r="N86" s="751"/>
      <c r="O86" s="752"/>
    </row>
    <row r="87" spans="1:15" x14ac:dyDescent="0.25">
      <c r="A87" s="753"/>
      <c r="B87" s="751"/>
      <c r="C87" s="751"/>
      <c r="D87" s="751"/>
      <c r="E87" s="751"/>
      <c r="F87" s="751"/>
      <c r="G87" s="751"/>
      <c r="H87" s="751"/>
      <c r="I87" s="751"/>
      <c r="J87" s="751"/>
      <c r="K87" s="751"/>
      <c r="L87" s="751"/>
      <c r="M87" s="751"/>
      <c r="N87" s="751"/>
      <c r="O87" s="752"/>
    </row>
    <row r="88" spans="1:15" x14ac:dyDescent="0.25">
      <c r="A88" s="753"/>
      <c r="B88" s="754" t="s">
        <v>397</v>
      </c>
      <c r="C88" s="751"/>
      <c r="D88" s="751"/>
      <c r="E88" s="751"/>
      <c r="F88" s="751"/>
      <c r="G88" s="751"/>
      <c r="H88" s="751"/>
      <c r="I88" s="751"/>
      <c r="J88" s="751"/>
      <c r="K88" s="751"/>
      <c r="L88" s="751"/>
      <c r="M88" s="751"/>
      <c r="N88" s="751"/>
      <c r="O88" s="752"/>
    </row>
    <row r="89" spans="1:15" x14ac:dyDescent="0.25">
      <c r="A89" s="753"/>
      <c r="B89" s="754" t="s">
        <v>416</v>
      </c>
      <c r="C89" s="751"/>
      <c r="D89" s="751"/>
      <c r="E89" s="751"/>
      <c r="F89" s="751"/>
      <c r="G89" s="751"/>
      <c r="H89" s="751"/>
      <c r="I89" s="751"/>
      <c r="J89" s="751"/>
      <c r="K89" s="751"/>
      <c r="L89" s="751"/>
      <c r="M89" s="751"/>
      <c r="N89" s="751"/>
      <c r="O89" s="752"/>
    </row>
    <row r="90" spans="1:15" x14ac:dyDescent="0.25">
      <c r="A90" s="753"/>
      <c r="B90" s="751"/>
      <c r="C90" s="755"/>
      <c r="D90" s="754"/>
      <c r="E90" s="751"/>
      <c r="F90" s="751"/>
      <c r="G90" s="751"/>
      <c r="H90" s="751"/>
      <c r="I90" s="751"/>
      <c r="J90" s="751"/>
      <c r="K90" s="751"/>
      <c r="L90" s="751"/>
      <c r="M90" s="751"/>
      <c r="N90" s="751"/>
      <c r="O90" s="752"/>
    </row>
    <row r="91" spans="1:15" x14ac:dyDescent="0.25">
      <c r="A91" s="750" t="s">
        <v>705</v>
      </c>
      <c r="B91" s="751"/>
      <c r="C91" s="755"/>
      <c r="D91" s="754"/>
      <c r="E91" s="751"/>
      <c r="F91" s="751"/>
      <c r="G91" s="751"/>
      <c r="H91" s="751"/>
      <c r="I91" s="751"/>
      <c r="J91" s="751"/>
      <c r="K91" s="751"/>
      <c r="L91" s="751"/>
      <c r="M91" s="751"/>
      <c r="N91" s="751"/>
      <c r="O91" s="752"/>
    </row>
    <row r="92" spans="1:15" x14ac:dyDescent="0.25">
      <c r="A92" s="750"/>
      <c r="B92" s="751"/>
      <c r="C92" s="755"/>
      <c r="D92" s="754"/>
      <c r="E92" s="751"/>
      <c r="F92" s="751"/>
      <c r="G92" s="751"/>
      <c r="H92" s="751"/>
      <c r="I92" s="751"/>
      <c r="J92" s="751"/>
      <c r="K92" s="751"/>
      <c r="L92" s="751"/>
      <c r="M92" s="751"/>
      <c r="N92" s="751"/>
      <c r="O92" s="752"/>
    </row>
    <row r="93" spans="1:15" x14ac:dyDescent="0.25">
      <c r="A93" s="750"/>
      <c r="B93" s="751"/>
      <c r="C93" s="755"/>
      <c r="D93" s="754"/>
      <c r="E93" s="751"/>
      <c r="F93" s="751"/>
      <c r="G93" s="751"/>
      <c r="H93" s="751"/>
      <c r="I93" s="751"/>
      <c r="J93" s="751"/>
      <c r="K93" s="751"/>
      <c r="L93" s="751"/>
      <c r="M93" s="751"/>
      <c r="N93" s="751"/>
      <c r="O93" s="752"/>
    </row>
    <row r="94" spans="1:15" x14ac:dyDescent="0.25">
      <c r="A94" s="750"/>
      <c r="B94" s="751"/>
      <c r="C94" s="755"/>
      <c r="D94" s="754"/>
      <c r="E94" s="751"/>
      <c r="F94" s="751"/>
      <c r="G94" s="751"/>
      <c r="H94" s="751"/>
      <c r="I94" s="751"/>
      <c r="J94" s="751"/>
      <c r="K94" s="751"/>
      <c r="L94" s="751"/>
      <c r="M94" s="751"/>
      <c r="N94" s="751"/>
      <c r="O94" s="752"/>
    </row>
    <row r="95" spans="1:15" ht="15.75" thickBot="1" x14ac:dyDescent="0.3">
      <c r="A95" s="756"/>
      <c r="B95" s="757"/>
      <c r="C95" s="757"/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8"/>
    </row>
    <row r="96" spans="1:15" x14ac:dyDescent="0.25">
      <c r="A96" s="747"/>
      <c r="B96" s="748"/>
      <c r="C96" s="748"/>
      <c r="D96" s="748"/>
      <c r="E96" s="748"/>
      <c r="F96" s="748"/>
      <c r="G96" s="748"/>
      <c r="H96" s="748"/>
      <c r="I96" s="748"/>
      <c r="J96" s="748"/>
      <c r="K96" s="748"/>
      <c r="L96" s="748"/>
      <c r="M96" s="748"/>
      <c r="N96" s="748"/>
      <c r="O96" s="749"/>
    </row>
    <row r="97" spans="1:15" x14ac:dyDescent="0.25">
      <c r="A97" s="750" t="s">
        <v>606</v>
      </c>
      <c r="B97" s="751"/>
      <c r="C97" s="751"/>
      <c r="D97" s="751"/>
      <c r="E97" s="751"/>
      <c r="F97" s="751"/>
      <c r="G97" s="751"/>
      <c r="H97" s="751"/>
      <c r="I97" s="751"/>
      <c r="J97" s="751"/>
      <c r="K97" s="751"/>
      <c r="L97" s="751"/>
      <c r="M97" s="751"/>
      <c r="N97" s="751"/>
      <c r="O97" s="752"/>
    </row>
    <row r="98" spans="1:15" x14ac:dyDescent="0.25">
      <c r="A98" s="753"/>
      <c r="B98" s="751"/>
      <c r="C98" s="751"/>
      <c r="D98" s="751"/>
      <c r="E98" s="751"/>
      <c r="F98" s="751"/>
      <c r="G98" s="751"/>
      <c r="H98" s="751"/>
      <c r="I98" s="751"/>
      <c r="J98" s="751"/>
      <c r="K98" s="751"/>
      <c r="L98" s="751"/>
      <c r="M98" s="751"/>
      <c r="N98" s="751"/>
      <c r="O98" s="752"/>
    </row>
    <row r="99" spans="1:15" x14ac:dyDescent="0.25">
      <c r="A99" s="750" t="s">
        <v>480</v>
      </c>
      <c r="B99" s="751"/>
      <c r="C99" s="751"/>
      <c r="D99" s="751"/>
      <c r="E99" s="751"/>
      <c r="F99" s="751"/>
      <c r="G99" s="751"/>
      <c r="H99" s="751"/>
      <c r="I99" s="751"/>
      <c r="J99" s="751"/>
      <c r="K99" s="751"/>
      <c r="L99" s="751"/>
      <c r="M99" s="751"/>
      <c r="N99" s="751"/>
      <c r="O99" s="752"/>
    </row>
    <row r="100" spans="1:15" x14ac:dyDescent="0.25">
      <c r="A100" s="753"/>
      <c r="B100" s="751"/>
      <c r="C100" s="751"/>
      <c r="D100" s="751"/>
      <c r="E100" s="751"/>
      <c r="F100" s="751"/>
      <c r="G100" s="751"/>
      <c r="H100" s="751"/>
      <c r="I100" s="751"/>
      <c r="J100" s="751"/>
      <c r="K100" s="751"/>
      <c r="L100" s="751"/>
      <c r="M100" s="751"/>
      <c r="N100" s="751"/>
      <c r="O100" s="752"/>
    </row>
    <row r="101" spans="1:15" x14ac:dyDescent="0.25">
      <c r="A101" s="753"/>
      <c r="B101" s="751" t="s">
        <v>464</v>
      </c>
      <c r="C101" s="754" t="s">
        <v>491</v>
      </c>
      <c r="D101" s="751"/>
      <c r="E101" s="751"/>
      <c r="F101" s="751"/>
      <c r="G101" s="751"/>
      <c r="H101" s="751"/>
      <c r="I101" s="751"/>
      <c r="J101" s="751"/>
      <c r="K101" s="751"/>
      <c r="L101" s="751"/>
      <c r="M101" s="751"/>
      <c r="N101" s="751"/>
      <c r="O101" s="752"/>
    </row>
    <row r="102" spans="1:15" x14ac:dyDescent="0.25">
      <c r="A102" s="753"/>
      <c r="B102" s="751"/>
      <c r="C102" s="754"/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2"/>
    </row>
    <row r="103" spans="1:15" x14ac:dyDescent="0.25">
      <c r="A103" s="753"/>
      <c r="B103" s="754" t="s">
        <v>397</v>
      </c>
      <c r="C103" s="751"/>
      <c r="D103" s="751"/>
      <c r="E103" s="751"/>
      <c r="F103" s="751"/>
      <c r="G103" s="751"/>
      <c r="H103" s="751"/>
      <c r="I103" s="751"/>
      <c r="J103" s="751"/>
      <c r="K103" s="751"/>
      <c r="L103" s="751"/>
      <c r="M103" s="751"/>
      <c r="N103" s="751"/>
      <c r="O103" s="752"/>
    </row>
    <row r="104" spans="1:15" x14ac:dyDescent="0.25">
      <c r="A104" s="753"/>
      <c r="B104" s="754" t="s">
        <v>605</v>
      </c>
      <c r="C104" s="751"/>
      <c r="D104" s="751"/>
      <c r="E104" s="751"/>
      <c r="F104" s="751"/>
      <c r="G104" s="751"/>
      <c r="H104" s="751"/>
      <c r="I104" s="751"/>
      <c r="J104" s="751"/>
      <c r="K104" s="751"/>
      <c r="L104" s="751"/>
      <c r="M104" s="751"/>
      <c r="N104" s="751"/>
      <c r="O104" s="752"/>
    </row>
    <row r="105" spans="1:15" x14ac:dyDescent="0.25">
      <c r="A105" s="753"/>
      <c r="B105" s="751"/>
      <c r="C105" s="755"/>
      <c r="D105" s="754"/>
      <c r="E105" s="751"/>
      <c r="F105" s="751"/>
      <c r="G105" s="751"/>
      <c r="H105" s="751"/>
      <c r="I105" s="751"/>
      <c r="J105" s="751"/>
      <c r="K105" s="751"/>
      <c r="L105" s="751"/>
      <c r="M105" s="751"/>
      <c r="N105" s="751"/>
      <c r="O105" s="752"/>
    </row>
    <row r="106" spans="1:15" x14ac:dyDescent="0.25">
      <c r="A106" s="750" t="s">
        <v>707</v>
      </c>
      <c r="B106" s="751"/>
      <c r="C106" s="755"/>
      <c r="D106" s="754"/>
      <c r="E106" s="751"/>
      <c r="F106" s="751"/>
      <c r="G106" s="751"/>
      <c r="H106" s="751"/>
      <c r="I106" s="751"/>
      <c r="J106" s="751"/>
      <c r="K106" s="751"/>
      <c r="L106" s="751"/>
      <c r="M106" s="751"/>
      <c r="N106" s="751"/>
      <c r="O106" s="752"/>
    </row>
    <row r="107" spans="1:15" x14ac:dyDescent="0.25">
      <c r="A107" s="750"/>
      <c r="B107" s="751"/>
      <c r="C107" s="755"/>
      <c r="D107" s="754"/>
      <c r="E107" s="751"/>
      <c r="F107" s="751"/>
      <c r="G107" s="751"/>
      <c r="H107" s="751"/>
      <c r="I107" s="751"/>
      <c r="J107" s="751"/>
      <c r="K107" s="751"/>
      <c r="L107" s="751"/>
      <c r="M107" s="751"/>
      <c r="N107" s="751"/>
      <c r="O107" s="752"/>
    </row>
    <row r="108" spans="1:15" x14ac:dyDescent="0.25">
      <c r="A108" s="750"/>
      <c r="B108" s="751"/>
      <c r="C108" s="755"/>
      <c r="D108" s="754"/>
      <c r="E108" s="751"/>
      <c r="F108" s="751"/>
      <c r="G108" s="751"/>
      <c r="H108" s="751"/>
      <c r="I108" s="751"/>
      <c r="J108" s="751"/>
      <c r="K108" s="751"/>
      <c r="L108" s="751"/>
      <c r="M108" s="751"/>
      <c r="N108" s="751"/>
      <c r="O108" s="752"/>
    </row>
    <row r="109" spans="1:15" x14ac:dyDescent="0.25">
      <c r="A109" s="750"/>
      <c r="B109" s="751"/>
      <c r="C109" s="755"/>
      <c r="D109" s="754"/>
      <c r="E109" s="751"/>
      <c r="F109" s="751"/>
      <c r="G109" s="751"/>
      <c r="H109" s="751"/>
      <c r="I109" s="751"/>
      <c r="J109" s="751"/>
      <c r="K109" s="751"/>
      <c r="L109" s="751"/>
      <c r="M109" s="751"/>
      <c r="N109" s="751"/>
      <c r="O109" s="752"/>
    </row>
    <row r="110" spans="1:15" ht="15.75" thickBot="1" x14ac:dyDescent="0.3">
      <c r="A110" s="756"/>
      <c r="B110" s="757"/>
      <c r="C110" s="757"/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8"/>
    </row>
    <row r="111" spans="1:15" x14ac:dyDescent="0.25">
      <c r="A111" s="747"/>
      <c r="B111" s="748"/>
      <c r="C111" s="748"/>
      <c r="D111" s="748"/>
      <c r="E111" s="748"/>
      <c r="F111" s="748"/>
      <c r="G111" s="748"/>
      <c r="H111" s="748"/>
      <c r="I111" s="748"/>
      <c r="J111" s="748"/>
      <c r="K111" s="748"/>
      <c r="L111" s="748"/>
      <c r="M111" s="748"/>
      <c r="N111" s="748"/>
      <c r="O111" s="749"/>
    </row>
    <row r="112" spans="1:15" x14ac:dyDescent="0.25">
      <c r="A112" s="750" t="s">
        <v>607</v>
      </c>
      <c r="B112" s="751"/>
      <c r="C112" s="751"/>
      <c r="D112" s="751"/>
      <c r="E112" s="751"/>
      <c r="F112" s="751"/>
      <c r="G112" s="751"/>
      <c r="H112" s="751"/>
      <c r="I112" s="751"/>
      <c r="J112" s="751"/>
      <c r="K112" s="751"/>
      <c r="L112" s="751"/>
      <c r="M112" s="751"/>
      <c r="N112" s="751"/>
      <c r="O112" s="752"/>
    </row>
    <row r="113" spans="1:15" x14ac:dyDescent="0.25">
      <c r="A113" s="750"/>
      <c r="B113" s="751"/>
      <c r="C113" s="751"/>
      <c r="D113" s="751"/>
      <c r="E113" s="751"/>
      <c r="F113" s="751"/>
      <c r="G113" s="751"/>
      <c r="H113" s="751"/>
      <c r="I113" s="751"/>
      <c r="J113" s="751"/>
      <c r="K113" s="751"/>
      <c r="L113" s="751"/>
      <c r="M113" s="751"/>
      <c r="N113" s="751"/>
      <c r="O113" s="752"/>
    </row>
    <row r="114" spans="1:15" x14ac:dyDescent="0.25">
      <c r="A114" s="750" t="s">
        <v>482</v>
      </c>
      <c r="B114" s="751"/>
      <c r="C114" s="751"/>
      <c r="D114" s="751"/>
      <c r="E114" s="751"/>
      <c r="F114" s="751"/>
      <c r="G114" s="751"/>
      <c r="H114" s="751"/>
      <c r="I114" s="751"/>
      <c r="J114" s="751"/>
      <c r="K114" s="751"/>
      <c r="L114" s="751"/>
      <c r="M114" s="751"/>
      <c r="N114" s="751"/>
      <c r="O114" s="752"/>
    </row>
    <row r="115" spans="1:15" x14ac:dyDescent="0.25">
      <c r="A115" s="750"/>
      <c r="B115" s="751"/>
      <c r="C115" s="751"/>
      <c r="D115" s="751"/>
      <c r="E115" s="751"/>
      <c r="F115" s="751"/>
      <c r="G115" s="751"/>
      <c r="H115" s="751"/>
      <c r="I115" s="751"/>
      <c r="J115" s="751"/>
      <c r="K115" s="751"/>
      <c r="L115" s="751"/>
      <c r="M115" s="751"/>
      <c r="N115" s="751"/>
      <c r="O115" s="752"/>
    </row>
    <row r="116" spans="1:15" x14ac:dyDescent="0.25">
      <c r="A116" s="753"/>
      <c r="B116" s="754" t="s">
        <v>667</v>
      </c>
      <c r="C116" s="751"/>
      <c r="D116" s="751"/>
      <c r="E116" s="751"/>
      <c r="F116" s="751"/>
      <c r="G116" s="751"/>
      <c r="H116" s="751"/>
      <c r="I116" s="751">
        <v>3</v>
      </c>
      <c r="J116" s="754" t="s">
        <v>449</v>
      </c>
      <c r="K116" s="751"/>
      <c r="L116" s="751"/>
      <c r="M116" s="751"/>
      <c r="N116" s="751"/>
      <c r="O116" s="752"/>
    </row>
    <row r="117" spans="1:15" x14ac:dyDescent="0.25">
      <c r="A117" s="753"/>
      <c r="B117" s="751"/>
      <c r="C117" s="751"/>
      <c r="D117" s="751"/>
      <c r="E117" s="751"/>
      <c r="F117" s="751"/>
      <c r="G117" s="751"/>
      <c r="H117" s="751"/>
      <c r="I117" s="751"/>
      <c r="J117" s="751"/>
      <c r="K117" s="751"/>
      <c r="L117" s="751"/>
      <c r="M117" s="751"/>
      <c r="N117" s="751"/>
      <c r="O117" s="752"/>
    </row>
    <row r="118" spans="1:15" x14ac:dyDescent="0.25">
      <c r="A118" s="753"/>
      <c r="B118" s="751" t="s">
        <v>464</v>
      </c>
      <c r="C118" s="754" t="str">
        <f>"(VCV de la Tasa de dosis equivalente ambiental real a "&amp;'Incert. Dos.'!C94-I116/1000&amp;" m - Tasa de dosis equivalente ambiental errado teóricamente a "&amp;'Incert. Dos.'!C94+I116/1000&amp;" m)"</f>
        <v>(VCV de la Tasa de dosis equivalente ambiental real a 1.997 m - Tasa de dosis equivalente ambiental errado teóricamente a 2.003 m)</v>
      </c>
      <c r="D118" s="751"/>
      <c r="E118" s="751"/>
      <c r="F118" s="751"/>
      <c r="G118" s="751"/>
      <c r="H118" s="751"/>
      <c r="I118" s="751"/>
      <c r="J118" s="751"/>
      <c r="K118" s="751"/>
      <c r="L118" s="751"/>
      <c r="M118" s="751"/>
      <c r="N118" s="751"/>
      <c r="O118" s="752"/>
    </row>
    <row r="119" spans="1:15" x14ac:dyDescent="0.25">
      <c r="A119" s="753"/>
      <c r="B119" s="751"/>
      <c r="C119" s="751"/>
      <c r="D119" s="751"/>
      <c r="E119" s="751"/>
      <c r="F119" s="751"/>
      <c r="G119" s="751"/>
      <c r="H119" s="751"/>
      <c r="I119" s="751"/>
      <c r="J119" s="751"/>
      <c r="K119" s="751"/>
      <c r="L119" s="751"/>
      <c r="M119" s="751"/>
      <c r="N119" s="751"/>
      <c r="O119" s="752"/>
    </row>
    <row r="120" spans="1:15" x14ac:dyDescent="0.25">
      <c r="A120" s="753"/>
      <c r="B120" s="754" t="s">
        <v>419</v>
      </c>
      <c r="C120" s="751"/>
      <c r="D120" s="751"/>
      <c r="E120" s="751"/>
      <c r="F120" s="751"/>
      <c r="G120" s="751"/>
      <c r="H120" s="751"/>
      <c r="I120" s="751"/>
      <c r="J120" s="751"/>
      <c r="K120" s="751"/>
      <c r="L120" s="751"/>
      <c r="M120" s="751"/>
      <c r="N120" s="751"/>
      <c r="O120" s="752"/>
    </row>
    <row r="121" spans="1:15" x14ac:dyDescent="0.25">
      <c r="A121" s="753"/>
      <c r="B121" s="751"/>
      <c r="C121" s="751"/>
      <c r="D121" s="751"/>
      <c r="E121" s="751"/>
      <c r="F121" s="760"/>
      <c r="G121" s="751"/>
      <c r="H121" s="751"/>
      <c r="I121" s="751"/>
      <c r="J121" s="751"/>
      <c r="K121" s="751"/>
      <c r="L121" s="751"/>
      <c r="M121" s="751"/>
      <c r="N121" s="751"/>
      <c r="O121" s="752"/>
    </row>
    <row r="122" spans="1:15" x14ac:dyDescent="0.25">
      <c r="A122" s="753"/>
      <c r="B122" s="751" t="s">
        <v>464</v>
      </c>
      <c r="C122" s="760">
        <f>(('F-LSCD-003'!D17*('F-LSCD-003'!N17)^2/('F-LSCD-003'!N17-I116/1000)^2)-('F-LSCD-003'!D17*('F-LSCD-003'!N17)^2/('F-LSCD-003'!N17+I116/1000)^2))/(0.000001)</f>
        <v>245.10086392736525</v>
      </c>
      <c r="D122" s="754" t="s">
        <v>325</v>
      </c>
      <c r="E122" s="751"/>
      <c r="F122" s="751"/>
      <c r="G122" s="762"/>
      <c r="H122" s="751"/>
      <c r="I122" s="751"/>
      <c r="J122" s="751"/>
      <c r="K122" s="751"/>
      <c r="L122" s="751"/>
      <c r="M122" s="751"/>
      <c r="N122" s="751"/>
      <c r="O122" s="752"/>
    </row>
    <row r="123" spans="1:15" x14ac:dyDescent="0.25">
      <c r="A123" s="753"/>
      <c r="B123" s="751"/>
      <c r="C123" s="755"/>
      <c r="D123" s="754"/>
      <c r="E123" s="751"/>
      <c r="F123" s="751"/>
      <c r="G123" s="751"/>
      <c r="H123" s="751"/>
      <c r="I123" s="751"/>
      <c r="J123" s="751"/>
      <c r="K123" s="751"/>
      <c r="L123" s="751"/>
      <c r="M123" s="751"/>
      <c r="N123" s="751"/>
      <c r="O123" s="752"/>
    </row>
    <row r="124" spans="1:15" x14ac:dyDescent="0.25">
      <c r="A124" s="750" t="s">
        <v>709</v>
      </c>
      <c r="B124" s="751"/>
      <c r="C124" s="755"/>
      <c r="D124" s="754"/>
      <c r="E124" s="751"/>
      <c r="F124" s="751"/>
      <c r="G124" s="751"/>
      <c r="H124" s="751"/>
      <c r="I124" s="751"/>
      <c r="J124" s="751"/>
      <c r="K124" s="751"/>
      <c r="L124" s="751"/>
      <c r="M124" s="751"/>
      <c r="N124" s="751"/>
      <c r="O124" s="752"/>
    </row>
    <row r="125" spans="1:15" x14ac:dyDescent="0.25">
      <c r="A125" s="750"/>
      <c r="B125" s="751"/>
      <c r="C125" s="755"/>
      <c r="D125" s="754"/>
      <c r="E125" s="751"/>
      <c r="F125" s="751"/>
      <c r="G125" s="751"/>
      <c r="H125" s="751"/>
      <c r="I125" s="751"/>
      <c r="J125" s="751"/>
      <c r="K125" s="751"/>
      <c r="L125" s="751"/>
      <c r="M125" s="751"/>
      <c r="N125" s="751"/>
      <c r="O125" s="752"/>
    </row>
    <row r="126" spans="1:15" x14ac:dyDescent="0.25">
      <c r="A126" s="750"/>
      <c r="B126" s="751"/>
      <c r="C126" s="755"/>
      <c r="D126" s="754"/>
      <c r="E126" s="751"/>
      <c r="F126" s="751"/>
      <c r="G126" s="751"/>
      <c r="H126" s="751"/>
      <c r="I126" s="751"/>
      <c r="J126" s="751"/>
      <c r="K126" s="751"/>
      <c r="L126" s="751"/>
      <c r="M126" s="751"/>
      <c r="N126" s="751"/>
      <c r="O126" s="752"/>
    </row>
    <row r="127" spans="1:15" x14ac:dyDescent="0.25">
      <c r="A127" s="750"/>
      <c r="B127" s="751"/>
      <c r="C127" s="755"/>
      <c r="D127" s="754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2"/>
    </row>
    <row r="128" spans="1:15" ht="15.75" thickBot="1" x14ac:dyDescent="0.3">
      <c r="A128" s="756"/>
      <c r="B128" s="763"/>
      <c r="C128" s="757"/>
      <c r="D128" s="757"/>
      <c r="E128" s="757"/>
      <c r="F128" s="757"/>
      <c r="G128" s="764"/>
      <c r="H128" s="757"/>
      <c r="I128" s="757"/>
      <c r="J128" s="757"/>
      <c r="K128" s="757"/>
      <c r="L128" s="757"/>
      <c r="M128" s="757"/>
      <c r="N128" s="757"/>
      <c r="O128" s="758"/>
    </row>
    <row r="129" spans="1:15" x14ac:dyDescent="0.25">
      <c r="A129" s="747"/>
      <c r="B129" s="748"/>
      <c r="C129" s="748"/>
      <c r="D129" s="748"/>
      <c r="E129" s="748"/>
      <c r="F129" s="748"/>
      <c r="G129" s="765"/>
      <c r="H129" s="748"/>
      <c r="I129" s="748"/>
      <c r="J129" s="748"/>
      <c r="K129" s="748"/>
      <c r="L129" s="748"/>
      <c r="M129" s="748"/>
      <c r="N129" s="748"/>
      <c r="O129" s="749"/>
    </row>
    <row r="130" spans="1:15" x14ac:dyDescent="0.25">
      <c r="A130" s="750" t="s">
        <v>608</v>
      </c>
      <c r="B130" s="751"/>
      <c r="C130" s="751"/>
      <c r="D130" s="751"/>
      <c r="E130" s="751"/>
      <c r="F130" s="751"/>
      <c r="G130" s="766"/>
      <c r="H130" s="751"/>
      <c r="I130" s="751"/>
      <c r="J130" s="751"/>
      <c r="K130" s="751"/>
      <c r="L130" s="751"/>
      <c r="M130" s="751"/>
      <c r="N130" s="751"/>
      <c r="O130" s="752"/>
    </row>
    <row r="131" spans="1:15" x14ac:dyDescent="0.25">
      <c r="A131" s="750"/>
      <c r="B131" s="751"/>
      <c r="C131" s="751"/>
      <c r="D131" s="751"/>
      <c r="E131" s="751"/>
      <c r="F131" s="751"/>
      <c r="G131" s="766"/>
      <c r="H131" s="751"/>
      <c r="I131" s="751"/>
      <c r="J131" s="751"/>
      <c r="K131" s="751"/>
      <c r="L131" s="751"/>
      <c r="M131" s="751"/>
      <c r="N131" s="751"/>
      <c r="O131" s="752"/>
    </row>
    <row r="132" spans="1:15" x14ac:dyDescent="0.25">
      <c r="A132" s="750" t="s">
        <v>485</v>
      </c>
      <c r="B132" s="751"/>
      <c r="C132" s="751"/>
      <c r="D132" s="751"/>
      <c r="E132" s="751"/>
      <c r="F132" s="751"/>
      <c r="G132" s="766"/>
      <c r="H132" s="751"/>
      <c r="I132" s="751"/>
      <c r="J132" s="751"/>
      <c r="K132" s="751"/>
      <c r="L132" s="751"/>
      <c r="M132" s="751"/>
      <c r="N132" s="751"/>
      <c r="O132" s="752"/>
    </row>
    <row r="133" spans="1:15" x14ac:dyDescent="0.25">
      <c r="A133" s="753"/>
      <c r="B133" s="751"/>
      <c r="C133" s="751"/>
      <c r="D133" s="751"/>
      <c r="E133" s="751"/>
      <c r="F133" s="751"/>
      <c r="G133" s="766"/>
      <c r="H133" s="751"/>
      <c r="I133" s="751"/>
      <c r="J133" s="751"/>
      <c r="K133" s="751"/>
      <c r="L133" s="751"/>
      <c r="M133" s="751"/>
      <c r="N133" s="751"/>
      <c r="O133" s="752"/>
    </row>
    <row r="134" spans="1:15" x14ac:dyDescent="0.25">
      <c r="A134" s="753"/>
      <c r="B134" s="751" t="s">
        <v>464</v>
      </c>
      <c r="C134" s="754" t="s">
        <v>609</v>
      </c>
      <c r="D134" s="751"/>
      <c r="E134" s="751"/>
      <c r="F134" s="751"/>
      <c r="G134" s="766"/>
      <c r="H134" s="751"/>
      <c r="I134" s="751"/>
      <c r="J134" s="751"/>
      <c r="K134" s="751"/>
      <c r="L134" s="751"/>
      <c r="M134" s="751"/>
      <c r="N134" s="751"/>
      <c r="O134" s="752"/>
    </row>
    <row r="135" spans="1:15" x14ac:dyDescent="0.25">
      <c r="A135" s="753"/>
      <c r="B135" s="751"/>
      <c r="C135" s="751"/>
      <c r="D135" s="751"/>
      <c r="E135" s="751"/>
      <c r="F135" s="751"/>
      <c r="G135" s="766"/>
      <c r="H135" s="751"/>
      <c r="I135" s="751"/>
      <c r="J135" s="751"/>
      <c r="K135" s="751"/>
      <c r="L135" s="751"/>
      <c r="M135" s="751"/>
      <c r="N135" s="751"/>
      <c r="O135" s="752"/>
    </row>
    <row r="136" spans="1:15" x14ac:dyDescent="0.25">
      <c r="A136" s="753"/>
      <c r="B136" s="751" t="s">
        <v>464</v>
      </c>
      <c r="C136" s="759">
        <f>'F-LSCD-002 (Pos. fuente)'!AH69/2</f>
        <v>1.9915985219840348E-3</v>
      </c>
      <c r="D136" s="754"/>
      <c r="E136" s="751"/>
      <c r="F136" s="751"/>
      <c r="G136" s="766"/>
      <c r="H136" s="751"/>
      <c r="I136" s="751"/>
      <c r="J136" s="751"/>
      <c r="K136" s="751"/>
      <c r="L136" s="751"/>
      <c r="M136" s="751"/>
      <c r="N136" s="751"/>
      <c r="O136" s="752"/>
    </row>
    <row r="137" spans="1:15" x14ac:dyDescent="0.25">
      <c r="A137" s="753"/>
      <c r="B137" s="751"/>
      <c r="C137" s="760"/>
      <c r="D137" s="754"/>
      <c r="E137" s="751"/>
      <c r="F137" s="751"/>
      <c r="G137" s="766"/>
      <c r="H137" s="751"/>
      <c r="I137" s="751"/>
      <c r="J137" s="751"/>
      <c r="K137" s="751"/>
      <c r="L137" s="751"/>
      <c r="M137" s="751"/>
      <c r="N137" s="751"/>
      <c r="O137" s="752"/>
    </row>
    <row r="138" spans="1:15" x14ac:dyDescent="0.25">
      <c r="A138" s="753"/>
      <c r="B138" s="754" t="s">
        <v>397</v>
      </c>
      <c r="C138" s="751"/>
      <c r="D138" s="751"/>
      <c r="E138" s="751"/>
      <c r="F138" s="751"/>
      <c r="G138" s="751"/>
      <c r="H138" s="751"/>
      <c r="I138" s="751"/>
      <c r="J138" s="751"/>
      <c r="K138" s="751"/>
      <c r="L138" s="751"/>
      <c r="M138" s="751"/>
      <c r="N138" s="751"/>
      <c r="O138" s="752"/>
    </row>
    <row r="139" spans="1:15" x14ac:dyDescent="0.25">
      <c r="A139" s="753"/>
      <c r="B139" s="754" t="s">
        <v>416</v>
      </c>
      <c r="C139" s="751"/>
      <c r="D139" s="751"/>
      <c r="E139" s="751"/>
      <c r="F139" s="751"/>
      <c r="G139" s="751"/>
      <c r="H139" s="751"/>
      <c r="I139" s="751"/>
      <c r="J139" s="751"/>
      <c r="K139" s="751"/>
      <c r="L139" s="751"/>
      <c r="M139" s="751"/>
      <c r="N139" s="751"/>
      <c r="O139" s="752"/>
    </row>
    <row r="140" spans="1:15" x14ac:dyDescent="0.25">
      <c r="A140" s="753"/>
      <c r="B140" s="751"/>
      <c r="C140" s="755"/>
      <c r="D140" s="754"/>
      <c r="E140" s="751"/>
      <c r="F140" s="751"/>
      <c r="G140" s="751"/>
      <c r="H140" s="751"/>
      <c r="I140" s="751"/>
      <c r="J140" s="751"/>
      <c r="K140" s="751"/>
      <c r="L140" s="751"/>
      <c r="M140" s="751"/>
      <c r="N140" s="751"/>
      <c r="O140" s="752"/>
    </row>
    <row r="141" spans="1:15" x14ac:dyDescent="0.25">
      <c r="A141" s="750" t="s">
        <v>710</v>
      </c>
      <c r="B141" s="751"/>
      <c r="C141" s="755"/>
      <c r="D141" s="754"/>
      <c r="E141" s="751"/>
      <c r="F141" s="751"/>
      <c r="G141" s="751"/>
      <c r="H141" s="751"/>
      <c r="I141" s="751"/>
      <c r="J141" s="751"/>
      <c r="K141" s="751"/>
      <c r="L141" s="751"/>
      <c r="M141" s="751"/>
      <c r="N141" s="751"/>
      <c r="O141" s="752"/>
    </row>
    <row r="142" spans="1:15" x14ac:dyDescent="0.25">
      <c r="A142" s="750"/>
      <c r="B142" s="751"/>
      <c r="C142" s="755"/>
      <c r="D142" s="754"/>
      <c r="E142" s="751"/>
      <c r="F142" s="751"/>
      <c r="G142" s="751"/>
      <c r="H142" s="751"/>
      <c r="I142" s="751"/>
      <c r="J142" s="751"/>
      <c r="K142" s="751"/>
      <c r="L142" s="751"/>
      <c r="M142" s="751"/>
      <c r="N142" s="751"/>
      <c r="O142" s="752"/>
    </row>
    <row r="143" spans="1:15" x14ac:dyDescent="0.25">
      <c r="A143" s="750"/>
      <c r="B143" s="751"/>
      <c r="C143" s="755"/>
      <c r="D143" s="754"/>
      <c r="E143" s="751"/>
      <c r="F143" s="751"/>
      <c r="G143" s="751"/>
      <c r="H143" s="751"/>
      <c r="I143" s="751"/>
      <c r="J143" s="751"/>
      <c r="K143" s="751"/>
      <c r="L143" s="751"/>
      <c r="M143" s="751"/>
      <c r="N143" s="751"/>
      <c r="O143" s="752"/>
    </row>
    <row r="144" spans="1:15" x14ac:dyDescent="0.25">
      <c r="A144" s="750"/>
      <c r="B144" s="751"/>
      <c r="C144" s="755"/>
      <c r="D144" s="754"/>
      <c r="E144" s="751"/>
      <c r="F144" s="751"/>
      <c r="G144" s="751"/>
      <c r="H144" s="751"/>
      <c r="I144" s="751"/>
      <c r="J144" s="751"/>
      <c r="K144" s="751"/>
      <c r="L144" s="751"/>
      <c r="M144" s="751"/>
      <c r="N144" s="751"/>
      <c r="O144" s="752"/>
    </row>
    <row r="145" spans="1:15" ht="15.75" thickBot="1" x14ac:dyDescent="0.3">
      <c r="A145" s="756"/>
      <c r="B145" s="763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8"/>
    </row>
    <row r="146" spans="1:15" x14ac:dyDescent="0.25">
      <c r="A146" s="747"/>
      <c r="B146" s="767"/>
      <c r="C146" s="748"/>
      <c r="D146" s="748"/>
      <c r="E146" s="748"/>
      <c r="F146" s="748"/>
      <c r="G146" s="748"/>
      <c r="H146" s="748"/>
      <c r="I146" s="748"/>
      <c r="J146" s="748"/>
      <c r="K146" s="748"/>
      <c r="L146" s="748"/>
      <c r="M146" s="748"/>
      <c r="N146" s="748"/>
      <c r="O146" s="749"/>
    </row>
    <row r="147" spans="1:15" x14ac:dyDescent="0.25">
      <c r="A147" s="750" t="s">
        <v>677</v>
      </c>
      <c r="B147" s="754"/>
      <c r="C147" s="751"/>
      <c r="D147" s="751"/>
      <c r="E147" s="751"/>
      <c r="F147" s="751"/>
      <c r="G147" s="751"/>
      <c r="H147" s="751"/>
      <c r="I147" s="751"/>
      <c r="J147" s="751"/>
      <c r="K147" s="751"/>
      <c r="L147" s="751"/>
      <c r="M147" s="751"/>
      <c r="N147" s="751"/>
      <c r="O147" s="752"/>
    </row>
    <row r="148" spans="1:15" x14ac:dyDescent="0.25">
      <c r="A148" s="750"/>
      <c r="B148" s="754"/>
      <c r="C148" s="751"/>
      <c r="D148" s="751"/>
      <c r="E148" s="751"/>
      <c r="F148" s="751"/>
      <c r="G148" s="751"/>
      <c r="H148" s="751"/>
      <c r="I148" s="751"/>
      <c r="J148" s="751"/>
      <c r="K148" s="751"/>
      <c r="L148" s="751"/>
      <c r="M148" s="751"/>
      <c r="N148" s="751"/>
      <c r="O148" s="752"/>
    </row>
    <row r="149" spans="1:15" x14ac:dyDescent="0.25">
      <c r="A149" s="750" t="s">
        <v>494</v>
      </c>
      <c r="B149" s="754"/>
      <c r="C149" s="751"/>
      <c r="D149" s="751"/>
      <c r="E149" s="751"/>
      <c r="F149" s="751"/>
      <c r="G149" s="751"/>
      <c r="H149" s="751"/>
      <c r="I149" s="751"/>
      <c r="J149" s="751"/>
      <c r="K149" s="751"/>
      <c r="L149" s="751"/>
      <c r="M149" s="751"/>
      <c r="N149" s="751"/>
      <c r="O149" s="752"/>
    </row>
    <row r="150" spans="1:15" x14ac:dyDescent="0.25">
      <c r="A150" s="750"/>
      <c r="B150" s="754"/>
      <c r="C150" s="751"/>
      <c r="D150" s="751"/>
      <c r="E150" s="751"/>
      <c r="F150" s="751"/>
      <c r="G150" s="751"/>
      <c r="H150" s="751"/>
      <c r="I150" s="751"/>
      <c r="J150" s="751"/>
      <c r="K150" s="751"/>
      <c r="L150" s="751"/>
      <c r="M150" s="751"/>
      <c r="N150" s="751"/>
      <c r="O150" s="752"/>
    </row>
    <row r="151" spans="1:15" x14ac:dyDescent="0.25">
      <c r="A151" s="750"/>
      <c r="B151" s="754" t="s">
        <v>453</v>
      </c>
      <c r="C151" s="751"/>
      <c r="D151" s="751"/>
      <c r="E151" s="751"/>
      <c r="F151" s="751">
        <v>1.1000000000000001</v>
      </c>
      <c r="G151" s="754" t="s">
        <v>449</v>
      </c>
      <c r="H151" s="751"/>
      <c r="I151" s="751"/>
      <c r="J151" s="751"/>
      <c r="K151" s="751"/>
      <c r="L151" s="751"/>
      <c r="M151" s="751"/>
      <c r="N151" s="751"/>
      <c r="O151" s="752"/>
    </row>
    <row r="152" spans="1:15" x14ac:dyDescent="0.25">
      <c r="A152" s="750"/>
      <c r="B152" s="754"/>
      <c r="C152" s="751"/>
      <c r="D152" s="751"/>
      <c r="E152" s="751"/>
      <c r="F152" s="751"/>
      <c r="G152" s="754"/>
      <c r="H152" s="751"/>
      <c r="I152" s="751"/>
      <c r="J152" s="751"/>
      <c r="K152" s="751"/>
      <c r="L152" s="751"/>
      <c r="M152" s="751"/>
      <c r="N152" s="751"/>
      <c r="O152" s="752"/>
    </row>
    <row r="153" spans="1:15" x14ac:dyDescent="0.25">
      <c r="A153" s="750"/>
      <c r="B153" s="754" t="s">
        <v>610</v>
      </c>
      <c r="C153" s="751"/>
      <c r="D153" s="751"/>
      <c r="E153" s="751"/>
      <c r="F153" s="751"/>
      <c r="G153" s="754"/>
      <c r="H153" s="751"/>
      <c r="I153" s="751"/>
      <c r="J153" s="751"/>
      <c r="K153" s="751"/>
      <c r="L153" s="751"/>
      <c r="M153" s="751"/>
      <c r="N153" s="751"/>
      <c r="O153" s="752"/>
    </row>
    <row r="154" spans="1:15" x14ac:dyDescent="0.25">
      <c r="A154" s="750"/>
      <c r="B154" s="754"/>
      <c r="C154" s="751"/>
      <c r="D154" s="751"/>
      <c r="E154" s="751"/>
      <c r="F154" s="751"/>
      <c r="G154" s="754"/>
      <c r="H154" s="751"/>
      <c r="I154" s="751"/>
      <c r="J154" s="751"/>
      <c r="K154" s="751"/>
      <c r="L154" s="751"/>
      <c r="M154" s="751"/>
      <c r="N154" s="751"/>
      <c r="O154" s="752"/>
    </row>
    <row r="155" spans="1:15" x14ac:dyDescent="0.25">
      <c r="A155" s="750"/>
      <c r="B155" s="754"/>
      <c r="C155" s="751" t="s">
        <v>612</v>
      </c>
      <c r="D155" s="751" t="s">
        <v>611</v>
      </c>
      <c r="E155" s="751"/>
      <c r="F155" s="751"/>
      <c r="G155" s="754"/>
      <c r="H155" s="751"/>
      <c r="I155" s="751"/>
      <c r="J155" s="751"/>
      <c r="K155" s="751"/>
      <c r="L155" s="751"/>
      <c r="M155" s="751"/>
      <c r="N155" s="751"/>
      <c r="O155" s="752"/>
    </row>
    <row r="156" spans="1:15" x14ac:dyDescent="0.25">
      <c r="A156" s="750"/>
      <c r="B156" s="754"/>
      <c r="C156" s="751">
        <v>100</v>
      </c>
      <c r="D156" s="768">
        <f t="shared" ref="D156:D166" si="48">$F$151/C156*100</f>
        <v>1.1000000000000001</v>
      </c>
      <c r="E156" s="751"/>
      <c r="F156" s="751"/>
      <c r="G156" s="754"/>
      <c r="H156" s="751"/>
      <c r="I156" s="751"/>
      <c r="J156" s="751"/>
      <c r="K156" s="751"/>
      <c r="L156" s="751"/>
      <c r="M156" s="751"/>
      <c r="N156" s="751"/>
      <c r="O156" s="752"/>
    </row>
    <row r="157" spans="1:15" x14ac:dyDescent="0.25">
      <c r="A157" s="750"/>
      <c r="B157" s="754"/>
      <c r="C157" s="751">
        <v>500</v>
      </c>
      <c r="D157" s="768">
        <f t="shared" si="48"/>
        <v>0.22</v>
      </c>
      <c r="E157" s="751"/>
      <c r="F157" s="751"/>
      <c r="G157" s="754"/>
      <c r="H157" s="751"/>
      <c r="I157" s="751"/>
      <c r="J157" s="751"/>
      <c r="K157" s="751"/>
      <c r="L157" s="751"/>
      <c r="M157" s="751"/>
      <c r="N157" s="751"/>
      <c r="O157" s="752"/>
    </row>
    <row r="158" spans="1:15" x14ac:dyDescent="0.25">
      <c r="A158" s="750"/>
      <c r="B158" s="754"/>
      <c r="C158" s="751">
        <v>1000</v>
      </c>
      <c r="D158" s="768">
        <f t="shared" si="48"/>
        <v>0.11</v>
      </c>
      <c r="E158" s="751"/>
      <c r="F158" s="751"/>
      <c r="G158" s="754"/>
      <c r="H158" s="751"/>
      <c r="I158" s="751"/>
      <c r="J158" s="751"/>
      <c r="K158" s="751"/>
      <c r="L158" s="751"/>
      <c r="M158" s="751"/>
      <c r="N158" s="751"/>
      <c r="O158" s="752"/>
    </row>
    <row r="159" spans="1:15" x14ac:dyDescent="0.25">
      <c r="A159" s="750"/>
      <c r="B159" s="754"/>
      <c r="C159" s="751">
        <v>1500</v>
      </c>
      <c r="D159" s="768">
        <f t="shared" si="48"/>
        <v>7.3333333333333334E-2</v>
      </c>
      <c r="E159" s="751"/>
      <c r="F159" s="751"/>
      <c r="G159" s="754"/>
      <c r="H159" s="751"/>
      <c r="I159" s="751"/>
      <c r="J159" s="751"/>
      <c r="K159" s="751"/>
      <c r="L159" s="751"/>
      <c r="M159" s="751"/>
      <c r="N159" s="751"/>
      <c r="O159" s="752"/>
    </row>
    <row r="160" spans="1:15" x14ac:dyDescent="0.25">
      <c r="A160" s="750"/>
      <c r="B160" s="754"/>
      <c r="C160" s="751">
        <v>2000</v>
      </c>
      <c r="D160" s="768">
        <f t="shared" si="48"/>
        <v>5.5E-2</v>
      </c>
      <c r="E160" s="751"/>
      <c r="F160" s="751"/>
      <c r="G160" s="754"/>
      <c r="H160" s="751"/>
      <c r="I160" s="751"/>
      <c r="J160" s="751"/>
      <c r="K160" s="751"/>
      <c r="L160" s="751"/>
      <c r="M160" s="751"/>
      <c r="N160" s="751"/>
      <c r="O160" s="752"/>
    </row>
    <row r="161" spans="1:15" x14ac:dyDescent="0.25">
      <c r="A161" s="750"/>
      <c r="B161" s="754"/>
      <c r="C161" s="751">
        <v>2500</v>
      </c>
      <c r="D161" s="768">
        <f t="shared" si="48"/>
        <v>4.4000000000000004E-2</v>
      </c>
      <c r="E161" s="751"/>
      <c r="F161" s="751"/>
      <c r="G161" s="754"/>
      <c r="H161" s="751"/>
      <c r="I161" s="751"/>
      <c r="J161" s="751"/>
      <c r="K161" s="751"/>
      <c r="L161" s="751"/>
      <c r="M161" s="751"/>
      <c r="N161" s="751"/>
      <c r="O161" s="752"/>
    </row>
    <row r="162" spans="1:15" x14ac:dyDescent="0.25">
      <c r="A162" s="750"/>
      <c r="B162" s="754"/>
      <c r="C162" s="751">
        <v>3000</v>
      </c>
      <c r="D162" s="768">
        <f t="shared" si="48"/>
        <v>3.6666666666666667E-2</v>
      </c>
      <c r="E162" s="751"/>
      <c r="F162" s="751"/>
      <c r="G162" s="754"/>
      <c r="H162" s="751"/>
      <c r="I162" s="751"/>
      <c r="J162" s="751"/>
      <c r="K162" s="751"/>
      <c r="L162" s="751"/>
      <c r="M162" s="751"/>
      <c r="N162" s="751"/>
      <c r="O162" s="752"/>
    </row>
    <row r="163" spans="1:15" x14ac:dyDescent="0.25">
      <c r="A163" s="750"/>
      <c r="B163" s="754"/>
      <c r="C163" s="751">
        <v>3500</v>
      </c>
      <c r="D163" s="768">
        <f t="shared" si="48"/>
        <v>3.1428571428571431E-2</v>
      </c>
      <c r="E163" s="751"/>
      <c r="F163" s="751"/>
      <c r="G163" s="754"/>
      <c r="H163" s="751"/>
      <c r="I163" s="751"/>
      <c r="J163" s="751"/>
      <c r="K163" s="751"/>
      <c r="L163" s="751"/>
      <c r="M163" s="751"/>
      <c r="N163" s="751"/>
      <c r="O163" s="752"/>
    </row>
    <row r="164" spans="1:15" x14ac:dyDescent="0.25">
      <c r="A164" s="750"/>
      <c r="B164" s="754"/>
      <c r="C164" s="751">
        <v>4000</v>
      </c>
      <c r="D164" s="768">
        <f t="shared" si="48"/>
        <v>2.75E-2</v>
      </c>
      <c r="E164" s="751"/>
      <c r="F164" s="751"/>
      <c r="G164" s="754"/>
      <c r="H164" s="751"/>
      <c r="I164" s="751"/>
      <c r="J164" s="751"/>
      <c r="K164" s="751"/>
      <c r="L164" s="751"/>
      <c r="M164" s="751"/>
      <c r="N164" s="751"/>
      <c r="O164" s="752"/>
    </row>
    <row r="165" spans="1:15" x14ac:dyDescent="0.25">
      <c r="A165" s="750"/>
      <c r="B165" s="754"/>
      <c r="C165" s="751">
        <v>4500</v>
      </c>
      <c r="D165" s="768">
        <f t="shared" si="48"/>
        <v>2.4444444444444449E-2</v>
      </c>
      <c r="E165" s="751"/>
      <c r="F165" s="751"/>
      <c r="G165" s="754"/>
      <c r="H165" s="751"/>
      <c r="I165" s="751"/>
      <c r="J165" s="751"/>
      <c r="K165" s="751"/>
      <c r="L165" s="751"/>
      <c r="M165" s="751"/>
      <c r="N165" s="751"/>
      <c r="O165" s="752"/>
    </row>
    <row r="166" spans="1:15" x14ac:dyDescent="0.25">
      <c r="A166" s="750"/>
      <c r="B166" s="754"/>
      <c r="C166" s="751">
        <v>5000</v>
      </c>
      <c r="D166" s="768">
        <f t="shared" si="48"/>
        <v>2.2000000000000002E-2</v>
      </c>
      <c r="E166" s="751"/>
      <c r="F166" s="751"/>
      <c r="G166" s="754"/>
      <c r="H166" s="751"/>
      <c r="I166" s="751"/>
      <c r="J166" s="751"/>
      <c r="K166" s="751"/>
      <c r="L166" s="751"/>
      <c r="M166" s="751"/>
      <c r="N166" s="751"/>
      <c r="O166" s="752"/>
    </row>
    <row r="167" spans="1:15" x14ac:dyDescent="0.25">
      <c r="A167" s="750"/>
      <c r="B167" s="754"/>
      <c r="C167" s="751"/>
      <c r="D167" s="751"/>
      <c r="E167" s="751"/>
      <c r="F167" s="751"/>
      <c r="G167" s="751"/>
      <c r="H167" s="751"/>
      <c r="I167" s="751"/>
      <c r="J167" s="751"/>
      <c r="K167" s="751"/>
      <c r="L167" s="751"/>
      <c r="M167" s="751"/>
      <c r="N167" s="751"/>
      <c r="O167" s="752"/>
    </row>
    <row r="168" spans="1:15" x14ac:dyDescent="0.25">
      <c r="A168" s="750"/>
      <c r="B168" s="751" t="s">
        <v>464</v>
      </c>
      <c r="C168" s="754" t="str">
        <f>"(Tasa de Kerma en aire medido a "&amp;'Incert. Dos.'!C94-F151/1000&amp;" m - Tasa de Kerma en aire teórico a "&amp;'Incert. Dos.'!C94+F151/1000&amp;" m)/2"</f>
        <v>(Tasa de Kerma en aire medido a 1.9989 m - Tasa de Kerma en aire teórico a 2.0011 m)/2</v>
      </c>
      <c r="D168" s="751"/>
      <c r="E168" s="751"/>
      <c r="F168" s="751"/>
      <c r="G168" s="751"/>
      <c r="H168" s="751"/>
      <c r="I168" s="751"/>
      <c r="J168" s="751"/>
      <c r="K168" s="751"/>
      <c r="L168" s="751"/>
      <c r="M168" s="751"/>
      <c r="N168" s="751"/>
      <c r="O168" s="752"/>
    </row>
    <row r="169" spans="1:15" x14ac:dyDescent="0.25">
      <c r="A169" s="750"/>
      <c r="B169" s="751"/>
      <c r="C169" s="754"/>
      <c r="D169" s="751"/>
      <c r="E169" s="751"/>
      <c r="F169" s="751"/>
      <c r="G169" s="751"/>
      <c r="H169" s="751"/>
      <c r="I169" s="751"/>
      <c r="J169" s="751"/>
      <c r="K169" s="751"/>
      <c r="L169" s="751"/>
      <c r="M169" s="751"/>
      <c r="N169" s="751"/>
      <c r="O169" s="752"/>
    </row>
    <row r="170" spans="1:15" x14ac:dyDescent="0.25">
      <c r="A170" s="750"/>
      <c r="B170" s="751" t="s">
        <v>464</v>
      </c>
      <c r="C170" s="760">
        <f>(('F-LSCD-003'!D17*'F-LSCD-003'!N17^2/('F-LSCD-003'!N17-F151/1000)^2)-('F-LSCD-003'!D17*'F-LSCD-003'!N17^2/('F-LSCD-003'!N17+F151/1000)^2))/0.000001</f>
        <v>89.869382186486689</v>
      </c>
      <c r="D170" s="754" t="s">
        <v>325</v>
      </c>
      <c r="E170" s="751"/>
      <c r="F170" s="751"/>
      <c r="G170" s="751"/>
      <c r="H170" s="751"/>
      <c r="I170" s="751"/>
      <c r="J170" s="751"/>
      <c r="K170" s="751"/>
      <c r="L170" s="751"/>
      <c r="M170" s="751"/>
      <c r="N170" s="751"/>
      <c r="O170" s="752"/>
    </row>
    <row r="171" spans="1:15" x14ac:dyDescent="0.25">
      <c r="A171" s="753"/>
      <c r="B171" s="751"/>
      <c r="C171" s="755"/>
      <c r="D171" s="754"/>
      <c r="E171" s="751"/>
      <c r="F171" s="751"/>
      <c r="G171" s="751"/>
      <c r="H171" s="751"/>
      <c r="I171" s="751"/>
      <c r="J171" s="751"/>
      <c r="K171" s="751"/>
      <c r="L171" s="751"/>
      <c r="M171" s="751"/>
      <c r="N171" s="751"/>
      <c r="O171" s="752"/>
    </row>
    <row r="172" spans="1:15" x14ac:dyDescent="0.25">
      <c r="A172" s="750" t="s">
        <v>711</v>
      </c>
      <c r="B172" s="751"/>
      <c r="C172" s="755"/>
      <c r="D172" s="754"/>
      <c r="E172" s="751"/>
      <c r="F172" s="751"/>
      <c r="G172" s="751"/>
      <c r="H172" s="751"/>
      <c r="I172" s="751"/>
      <c r="J172" s="751"/>
      <c r="K172" s="751"/>
      <c r="L172" s="751"/>
      <c r="M172" s="751"/>
      <c r="N172" s="751"/>
      <c r="O172" s="752"/>
    </row>
    <row r="173" spans="1:15" x14ac:dyDescent="0.25">
      <c r="A173" s="750"/>
      <c r="B173" s="751"/>
      <c r="C173" s="755"/>
      <c r="D173" s="754"/>
      <c r="E173" s="751"/>
      <c r="F173" s="751"/>
      <c r="G173" s="751"/>
      <c r="H173" s="751"/>
      <c r="I173" s="751"/>
      <c r="J173" s="751"/>
      <c r="K173" s="751"/>
      <c r="L173" s="751"/>
      <c r="M173" s="751"/>
      <c r="N173" s="751"/>
      <c r="O173" s="752"/>
    </row>
    <row r="174" spans="1:15" x14ac:dyDescent="0.25">
      <c r="A174" s="750"/>
      <c r="B174" s="751"/>
      <c r="C174" s="755"/>
      <c r="D174" s="754"/>
      <c r="E174" s="751"/>
      <c r="F174" s="751"/>
      <c r="G174" s="751"/>
      <c r="H174" s="751"/>
      <c r="I174" s="751"/>
      <c r="J174" s="751"/>
      <c r="K174" s="751"/>
      <c r="L174" s="751"/>
      <c r="M174" s="751"/>
      <c r="N174" s="751"/>
      <c r="O174" s="752"/>
    </row>
    <row r="175" spans="1:15" x14ac:dyDescent="0.25">
      <c r="A175" s="750"/>
      <c r="B175" s="751"/>
      <c r="C175" s="755"/>
      <c r="D175" s="754"/>
      <c r="E175" s="751"/>
      <c r="F175" s="751"/>
      <c r="G175" s="751"/>
      <c r="H175" s="751"/>
      <c r="I175" s="751"/>
      <c r="J175" s="751"/>
      <c r="K175" s="751"/>
      <c r="L175" s="751"/>
      <c r="M175" s="751"/>
      <c r="N175" s="751"/>
      <c r="O175" s="752"/>
    </row>
    <row r="176" spans="1:15" ht="15.75" thickBot="1" x14ac:dyDescent="0.3">
      <c r="A176" s="769"/>
      <c r="B176" s="757"/>
      <c r="C176" s="770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8"/>
    </row>
    <row r="177" spans="1:15" x14ac:dyDescent="0.25">
      <c r="A177" s="771"/>
      <c r="B177" s="748"/>
      <c r="C177" s="767"/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9"/>
    </row>
    <row r="178" spans="1:15" x14ac:dyDescent="0.25">
      <c r="A178" s="750" t="s">
        <v>678</v>
      </c>
      <c r="B178" s="754"/>
      <c r="C178" s="751"/>
      <c r="D178" s="751"/>
      <c r="E178" s="751"/>
      <c r="F178" s="751"/>
      <c r="G178" s="751"/>
      <c r="H178" s="751"/>
      <c r="I178" s="751"/>
      <c r="J178" s="751"/>
      <c r="K178" s="751"/>
      <c r="L178" s="751"/>
      <c r="M178" s="751"/>
      <c r="N178" s="751"/>
      <c r="O178" s="752"/>
    </row>
    <row r="179" spans="1:15" x14ac:dyDescent="0.25">
      <c r="A179" s="750"/>
      <c r="B179" s="754"/>
      <c r="C179" s="751"/>
      <c r="D179" s="751"/>
      <c r="E179" s="751"/>
      <c r="F179" s="751"/>
      <c r="G179" s="751"/>
      <c r="H179" s="751"/>
      <c r="I179" s="751"/>
      <c r="J179" s="751"/>
      <c r="K179" s="751"/>
      <c r="L179" s="751"/>
      <c r="M179" s="751"/>
      <c r="N179" s="751"/>
      <c r="O179" s="752"/>
    </row>
    <row r="180" spans="1:15" x14ac:dyDescent="0.25">
      <c r="A180" s="750" t="s">
        <v>498</v>
      </c>
      <c r="B180" s="754"/>
      <c r="C180" s="751"/>
      <c r="D180" s="751"/>
      <c r="E180" s="751"/>
      <c r="F180" s="751"/>
      <c r="G180" s="751"/>
      <c r="H180" s="751"/>
      <c r="I180" s="751"/>
      <c r="J180" s="751"/>
      <c r="K180" s="751"/>
      <c r="L180" s="751"/>
      <c r="M180" s="751"/>
      <c r="N180" s="751"/>
      <c r="O180" s="752"/>
    </row>
    <row r="181" spans="1:15" x14ac:dyDescent="0.25">
      <c r="A181" s="750"/>
      <c r="B181" s="754"/>
      <c r="C181" s="751"/>
      <c r="D181" s="751"/>
      <c r="E181" s="751"/>
      <c r="F181" s="751"/>
      <c r="G181" s="751"/>
      <c r="H181" s="751"/>
      <c r="I181" s="751"/>
      <c r="J181" s="751"/>
      <c r="K181" s="751"/>
      <c r="L181" s="751"/>
      <c r="M181" s="751"/>
      <c r="N181" s="751"/>
      <c r="O181" s="752"/>
    </row>
    <row r="182" spans="1:15" x14ac:dyDescent="0.25">
      <c r="A182" s="750"/>
      <c r="B182" s="754" t="s">
        <v>454</v>
      </c>
      <c r="C182" s="751"/>
      <c r="D182" s="751"/>
      <c r="E182" s="751"/>
      <c r="F182" s="751">
        <f>'F-LSCD-002 (Dosimetría)'!D66</f>
        <v>1</v>
      </c>
      <c r="G182" s="751" t="s">
        <v>449</v>
      </c>
      <c r="H182" s="751"/>
      <c r="I182" s="751"/>
      <c r="J182" s="751"/>
      <c r="K182" s="751"/>
      <c r="L182" s="751"/>
      <c r="M182" s="751"/>
      <c r="N182" s="751"/>
      <c r="O182" s="752"/>
    </row>
    <row r="183" spans="1:15" x14ac:dyDescent="0.25">
      <c r="A183" s="750"/>
      <c r="B183" s="754"/>
      <c r="C183" s="751"/>
      <c r="D183" s="751"/>
      <c r="E183" s="751"/>
      <c r="F183" s="751"/>
      <c r="G183" s="751"/>
      <c r="H183" s="751"/>
      <c r="I183" s="751"/>
      <c r="J183" s="751"/>
      <c r="K183" s="751"/>
      <c r="L183" s="751"/>
      <c r="M183" s="751"/>
      <c r="N183" s="751"/>
      <c r="O183" s="752"/>
    </row>
    <row r="184" spans="1:15" x14ac:dyDescent="0.25">
      <c r="A184" s="750"/>
      <c r="B184" s="751" t="s">
        <v>464</v>
      </c>
      <c r="C184" s="754" t="str">
        <f>"(Tasa de Kerma en aire medido a "&amp;'Incert. Dos.'!C94-F182/1000&amp;" m - Tasa de Kerma en aire teórico a "&amp;'Incert. Dos.'!C94+F182/1000&amp;" m)/2"</f>
        <v>(Tasa de Kerma en aire medido a 1.999 m - Tasa de Kerma en aire teórico a 2.001 m)/2</v>
      </c>
      <c r="D184" s="751"/>
      <c r="E184" s="751"/>
      <c r="F184" s="751"/>
      <c r="G184" s="751"/>
      <c r="H184" s="751"/>
      <c r="I184" s="751"/>
      <c r="J184" s="751"/>
      <c r="K184" s="751"/>
      <c r="L184" s="751"/>
      <c r="M184" s="751"/>
      <c r="N184" s="751"/>
      <c r="O184" s="752"/>
    </row>
    <row r="185" spans="1:15" x14ac:dyDescent="0.25">
      <c r="A185" s="750"/>
      <c r="B185" s="754"/>
      <c r="C185" s="751"/>
      <c r="D185" s="751"/>
      <c r="E185" s="751"/>
      <c r="F185" s="751"/>
      <c r="G185" s="751"/>
      <c r="H185" s="751"/>
      <c r="I185" s="751"/>
      <c r="J185" s="751"/>
      <c r="K185" s="751"/>
      <c r="L185" s="751"/>
      <c r="M185" s="751"/>
      <c r="N185" s="751"/>
      <c r="O185" s="752"/>
    </row>
    <row r="186" spans="1:15" x14ac:dyDescent="0.25">
      <c r="A186" s="750"/>
      <c r="B186" s="751" t="s">
        <v>464</v>
      </c>
      <c r="C186" s="760">
        <f>(('F-LSCD-003'!D17*'F-LSCD-003'!N17^2/('F-LSCD-003'!N17-F182/1000)^2)-('F-LSCD-003'!D17*'F-LSCD-003'!N17^2/('F-LSCD-003'!N17+F182/1000)^2))/0.000001/2</f>
        <v>40.849707723823045</v>
      </c>
      <c r="D186" s="754" t="s">
        <v>325</v>
      </c>
      <c r="E186" s="751"/>
      <c r="F186" s="751"/>
      <c r="G186" s="751"/>
      <c r="H186" s="751"/>
      <c r="I186" s="751"/>
      <c r="J186" s="751"/>
      <c r="K186" s="751"/>
      <c r="L186" s="751"/>
      <c r="M186" s="751"/>
      <c r="N186" s="751"/>
      <c r="O186" s="752"/>
    </row>
    <row r="187" spans="1:15" x14ac:dyDescent="0.25">
      <c r="A187" s="753"/>
      <c r="B187" s="751"/>
      <c r="C187" s="755"/>
      <c r="D187" s="754"/>
      <c r="E187" s="751"/>
      <c r="F187" s="751"/>
      <c r="G187" s="751"/>
      <c r="H187" s="751"/>
      <c r="I187" s="751"/>
      <c r="J187" s="751"/>
      <c r="K187" s="751"/>
      <c r="L187" s="751"/>
      <c r="M187" s="751"/>
      <c r="N187" s="751"/>
      <c r="O187" s="752"/>
    </row>
    <row r="188" spans="1:15" x14ac:dyDescent="0.25">
      <c r="A188" s="750" t="s">
        <v>712</v>
      </c>
      <c r="B188" s="751"/>
      <c r="C188" s="755"/>
      <c r="D188" s="754"/>
      <c r="E188" s="751"/>
      <c r="F188" s="751"/>
      <c r="G188" s="751"/>
      <c r="H188" s="751"/>
      <c r="I188" s="751"/>
      <c r="J188" s="751"/>
      <c r="K188" s="751"/>
      <c r="L188" s="751"/>
      <c r="M188" s="751"/>
      <c r="N188" s="751"/>
      <c r="O188" s="752"/>
    </row>
    <row r="189" spans="1:15" x14ac:dyDescent="0.25">
      <c r="A189" s="750"/>
      <c r="B189" s="751"/>
      <c r="C189" s="755"/>
      <c r="D189" s="754"/>
      <c r="E189" s="751"/>
      <c r="F189" s="751"/>
      <c r="G189" s="751"/>
      <c r="H189" s="751"/>
      <c r="I189" s="751"/>
      <c r="J189" s="751"/>
      <c r="K189" s="751"/>
      <c r="L189" s="751"/>
      <c r="M189" s="751"/>
      <c r="N189" s="751"/>
      <c r="O189" s="752"/>
    </row>
    <row r="190" spans="1:15" x14ac:dyDescent="0.25">
      <c r="A190" s="750"/>
      <c r="B190" s="751"/>
      <c r="C190" s="755"/>
      <c r="D190" s="754"/>
      <c r="E190" s="751"/>
      <c r="F190" s="751"/>
      <c r="G190" s="751"/>
      <c r="H190" s="751"/>
      <c r="I190" s="751"/>
      <c r="J190" s="751"/>
      <c r="K190" s="751"/>
      <c r="L190" s="751"/>
      <c r="M190" s="751"/>
      <c r="N190" s="751"/>
      <c r="O190" s="752"/>
    </row>
    <row r="191" spans="1:15" x14ac:dyDescent="0.25">
      <c r="A191" s="750"/>
      <c r="B191" s="751"/>
      <c r="C191" s="755"/>
      <c r="D191" s="754"/>
      <c r="E191" s="751"/>
      <c r="F191" s="751"/>
      <c r="G191" s="751"/>
      <c r="H191" s="751"/>
      <c r="I191" s="751"/>
      <c r="J191" s="751"/>
      <c r="K191" s="751"/>
      <c r="L191" s="751"/>
      <c r="M191" s="751"/>
      <c r="N191" s="751"/>
      <c r="O191" s="752"/>
    </row>
    <row r="192" spans="1:15" ht="15.75" thickBot="1" x14ac:dyDescent="0.3">
      <c r="A192" s="769"/>
      <c r="B192" s="757"/>
      <c r="C192" s="772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8"/>
    </row>
    <row r="193" spans="1:15" x14ac:dyDescent="0.25">
      <c r="A193" s="747"/>
      <c r="B193" s="773"/>
      <c r="C193" s="748"/>
      <c r="D193" s="748"/>
      <c r="E193" s="748"/>
      <c r="F193" s="748"/>
      <c r="G193" s="748"/>
      <c r="H193" s="748"/>
      <c r="I193" s="748"/>
      <c r="J193" s="748"/>
      <c r="K193" s="748"/>
      <c r="L193" s="748"/>
      <c r="M193" s="748"/>
      <c r="N193" s="748"/>
      <c r="O193" s="749"/>
    </row>
    <row r="194" spans="1:15" x14ac:dyDescent="0.25">
      <c r="A194" s="754" t="s">
        <v>679</v>
      </c>
      <c r="B194" s="754"/>
      <c r="C194" s="751"/>
      <c r="D194" s="751"/>
      <c r="E194" s="751"/>
      <c r="F194" s="751"/>
      <c r="G194" s="751"/>
      <c r="H194" s="751"/>
      <c r="I194" s="751"/>
      <c r="J194" s="751"/>
      <c r="K194" s="751"/>
      <c r="L194" s="751"/>
      <c r="M194" s="751"/>
      <c r="N194" s="751"/>
      <c r="O194" s="752"/>
    </row>
    <row r="195" spans="1:15" x14ac:dyDescent="0.25">
      <c r="A195" s="750"/>
      <c r="B195" s="754"/>
      <c r="C195" s="751"/>
      <c r="D195" s="751"/>
      <c r="E195" s="751"/>
      <c r="F195" s="751"/>
      <c r="G195" s="751"/>
      <c r="H195" s="751"/>
      <c r="I195" s="751"/>
      <c r="J195" s="751"/>
      <c r="K195" s="751"/>
      <c r="L195" s="751"/>
      <c r="M195" s="751"/>
      <c r="N195" s="751"/>
      <c r="O195" s="752"/>
    </row>
    <row r="196" spans="1:15" x14ac:dyDescent="0.25">
      <c r="A196" s="750" t="s">
        <v>502</v>
      </c>
      <c r="B196" s="754"/>
      <c r="C196" s="751"/>
      <c r="D196" s="751"/>
      <c r="E196" s="751"/>
      <c r="F196" s="751"/>
      <c r="G196" s="751"/>
      <c r="H196" s="751"/>
      <c r="I196" s="751"/>
      <c r="J196" s="751"/>
      <c r="K196" s="751"/>
      <c r="L196" s="751"/>
      <c r="M196" s="751"/>
      <c r="N196" s="751"/>
      <c r="O196" s="752"/>
    </row>
    <row r="197" spans="1:15" x14ac:dyDescent="0.25">
      <c r="A197" s="750"/>
      <c r="B197" s="754"/>
      <c r="C197" s="751"/>
      <c r="D197" s="751"/>
      <c r="E197" s="751"/>
      <c r="F197" s="751"/>
      <c r="G197" s="751"/>
      <c r="H197" s="751"/>
      <c r="I197" s="751"/>
      <c r="J197" s="751"/>
      <c r="K197" s="751"/>
      <c r="L197" s="751"/>
      <c r="M197" s="751"/>
      <c r="N197" s="751"/>
      <c r="O197" s="752"/>
    </row>
    <row r="198" spans="1:15" x14ac:dyDescent="0.25">
      <c r="A198" s="750"/>
      <c r="B198" s="751" t="s">
        <v>464</v>
      </c>
      <c r="C198" s="754" t="s">
        <v>399</v>
      </c>
      <c r="D198" s="751"/>
      <c r="E198" s="751"/>
      <c r="F198" s="751"/>
      <c r="G198" s="751"/>
      <c r="H198" s="751"/>
      <c r="I198" s="751"/>
      <c r="J198" s="751"/>
      <c r="K198" s="751"/>
      <c r="L198" s="751"/>
      <c r="M198" s="751"/>
      <c r="N198" s="751"/>
      <c r="O198" s="752"/>
    </row>
    <row r="199" spans="1:15" x14ac:dyDescent="0.25">
      <c r="A199" s="750"/>
      <c r="B199" s="754"/>
      <c r="C199" s="751"/>
      <c r="D199" s="751"/>
      <c r="E199" s="751"/>
      <c r="F199" s="751"/>
      <c r="G199" s="751"/>
      <c r="H199" s="751"/>
      <c r="I199" s="751"/>
      <c r="J199" s="751"/>
      <c r="K199" s="751"/>
      <c r="L199" s="751"/>
      <c r="M199" s="751"/>
      <c r="N199" s="751"/>
      <c r="O199" s="752"/>
    </row>
    <row r="200" spans="1:15" x14ac:dyDescent="0.25">
      <c r="A200" s="750" t="s">
        <v>713</v>
      </c>
      <c r="B200" s="751"/>
      <c r="C200" s="755"/>
      <c r="D200" s="754"/>
      <c r="E200" s="751"/>
      <c r="F200" s="751"/>
      <c r="G200" s="751"/>
      <c r="H200" s="751"/>
      <c r="I200" s="751"/>
      <c r="J200" s="751"/>
      <c r="K200" s="751"/>
      <c r="L200" s="751"/>
      <c r="M200" s="751"/>
      <c r="N200" s="751"/>
      <c r="O200" s="752"/>
    </row>
    <row r="201" spans="1:15" x14ac:dyDescent="0.25">
      <c r="A201" s="750"/>
      <c r="B201" s="751"/>
      <c r="C201" s="755"/>
      <c r="D201" s="754"/>
      <c r="E201" s="751"/>
      <c r="F201" s="751"/>
      <c r="G201" s="751"/>
      <c r="H201" s="751"/>
      <c r="I201" s="751"/>
      <c r="J201" s="751"/>
      <c r="K201" s="751"/>
      <c r="L201" s="751"/>
      <c r="M201" s="751"/>
      <c r="N201" s="751"/>
      <c r="O201" s="752"/>
    </row>
    <row r="202" spans="1:15" x14ac:dyDescent="0.25">
      <c r="A202" s="750"/>
      <c r="B202" s="751"/>
      <c r="C202" s="755"/>
      <c r="D202" s="754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2"/>
    </row>
    <row r="203" spans="1:15" x14ac:dyDescent="0.25">
      <c r="A203" s="750"/>
      <c r="B203" s="751"/>
      <c r="C203" s="755"/>
      <c r="D203" s="754"/>
      <c r="E203" s="751"/>
      <c r="F203" s="751"/>
      <c r="G203" s="751"/>
      <c r="H203" s="751"/>
      <c r="I203" s="751"/>
      <c r="J203" s="751"/>
      <c r="K203" s="751"/>
      <c r="L203" s="751"/>
      <c r="M203" s="751"/>
      <c r="N203" s="751"/>
      <c r="O203" s="752"/>
    </row>
    <row r="204" spans="1:15" ht="15.75" thickBot="1" x14ac:dyDescent="0.3">
      <c r="A204" s="756"/>
      <c r="B204" s="757"/>
      <c r="C204" s="757"/>
      <c r="D204" s="757"/>
      <c r="E204" s="757"/>
      <c r="F204" s="757"/>
      <c r="G204" s="757"/>
      <c r="H204" s="757"/>
      <c r="I204" s="757"/>
      <c r="J204" s="757"/>
      <c r="K204" s="757"/>
      <c r="L204" s="757"/>
      <c r="M204" s="757"/>
      <c r="N204" s="757"/>
      <c r="O204" s="758"/>
    </row>
    <row r="205" spans="1:15" x14ac:dyDescent="0.25">
      <c r="A205" s="751"/>
      <c r="B205" s="748"/>
      <c r="C205" s="748"/>
      <c r="D205" s="748"/>
      <c r="E205" s="748"/>
      <c r="F205" s="751"/>
      <c r="G205" s="748"/>
      <c r="H205" s="748"/>
      <c r="I205" s="748"/>
      <c r="J205" s="748"/>
      <c r="K205" s="748"/>
      <c r="L205" s="748"/>
      <c r="M205" s="748"/>
      <c r="N205" s="748"/>
      <c r="O205" s="749"/>
    </row>
    <row r="206" spans="1:15" x14ac:dyDescent="0.25">
      <c r="A206" s="754" t="s">
        <v>680</v>
      </c>
      <c r="B206" s="751"/>
      <c r="C206" s="751"/>
      <c r="D206" s="751"/>
      <c r="E206" s="751"/>
      <c r="F206" s="751"/>
      <c r="G206" s="751"/>
      <c r="H206" s="751"/>
      <c r="I206" s="751"/>
      <c r="J206" s="751"/>
      <c r="K206" s="751"/>
      <c r="L206" s="751"/>
      <c r="M206" s="751"/>
      <c r="N206" s="751"/>
      <c r="O206" s="752"/>
    </row>
    <row r="207" spans="1:15" x14ac:dyDescent="0.25">
      <c r="A207" s="750"/>
      <c r="B207" s="751"/>
      <c r="C207" s="751"/>
      <c r="D207" s="751"/>
      <c r="E207" s="751"/>
      <c r="F207" s="751"/>
      <c r="G207" s="751"/>
      <c r="H207" s="751"/>
      <c r="I207" s="751"/>
      <c r="J207" s="751"/>
      <c r="K207" s="751"/>
      <c r="L207" s="751"/>
      <c r="M207" s="751"/>
      <c r="N207" s="751"/>
      <c r="O207" s="752"/>
    </row>
    <row r="208" spans="1:15" x14ac:dyDescent="0.25">
      <c r="A208" s="750" t="s">
        <v>504</v>
      </c>
      <c r="B208" s="751"/>
      <c r="C208" s="751"/>
      <c r="D208" s="751"/>
      <c r="E208" s="751"/>
      <c r="F208" s="751"/>
      <c r="G208" s="751"/>
      <c r="H208" s="751"/>
      <c r="I208" s="751"/>
      <c r="J208" s="751"/>
      <c r="K208" s="751"/>
      <c r="L208" s="751"/>
      <c r="M208" s="751"/>
      <c r="N208" s="751"/>
      <c r="O208" s="752"/>
    </row>
    <row r="209" spans="1:15" x14ac:dyDescent="0.25">
      <c r="A209" s="750"/>
      <c r="B209" s="751"/>
      <c r="C209" s="751"/>
      <c r="D209" s="751"/>
      <c r="E209" s="751"/>
      <c r="F209" s="751"/>
      <c r="G209" s="751"/>
      <c r="H209" s="751"/>
      <c r="I209" s="751"/>
      <c r="J209" s="751"/>
      <c r="K209" s="751"/>
      <c r="L209" s="751"/>
      <c r="M209" s="751"/>
      <c r="N209" s="751"/>
      <c r="O209" s="752"/>
    </row>
    <row r="210" spans="1:15" x14ac:dyDescent="0.25">
      <c r="A210" s="753"/>
      <c r="B210" s="751" t="s">
        <v>464</v>
      </c>
      <c r="C210" s="774">
        <v>0.02</v>
      </c>
      <c r="D210" s="754"/>
      <c r="E210" s="751"/>
      <c r="F210" s="751"/>
      <c r="G210" s="751"/>
      <c r="H210" s="751"/>
      <c r="I210" s="751"/>
      <c r="J210" s="751"/>
      <c r="K210" s="751"/>
      <c r="L210" s="751"/>
      <c r="M210" s="751"/>
      <c r="N210" s="751"/>
      <c r="O210" s="752"/>
    </row>
    <row r="211" spans="1:15" x14ac:dyDescent="0.25">
      <c r="A211" s="753"/>
      <c r="B211" s="751"/>
      <c r="C211" s="751"/>
      <c r="D211" s="751"/>
      <c r="E211" s="751"/>
      <c r="F211" s="751"/>
      <c r="G211" s="751"/>
      <c r="H211" s="751"/>
      <c r="I211" s="751"/>
      <c r="J211" s="751"/>
      <c r="K211" s="751"/>
      <c r="L211" s="751"/>
      <c r="M211" s="751"/>
      <c r="N211" s="751"/>
      <c r="O211" s="752"/>
    </row>
    <row r="212" spans="1:15" x14ac:dyDescent="0.25">
      <c r="A212" s="753"/>
      <c r="B212" s="754" t="s">
        <v>397</v>
      </c>
      <c r="C212" s="751"/>
      <c r="D212" s="751"/>
      <c r="E212" s="751"/>
      <c r="F212" s="751"/>
      <c r="G212" s="751"/>
      <c r="H212" s="751"/>
      <c r="I212" s="751"/>
      <c r="J212" s="751"/>
      <c r="K212" s="751"/>
      <c r="L212" s="751"/>
      <c r="M212" s="751"/>
      <c r="N212" s="751"/>
      <c r="O212" s="752"/>
    </row>
    <row r="213" spans="1:15" x14ac:dyDescent="0.25">
      <c r="A213" s="753"/>
      <c r="B213" s="754" t="s">
        <v>663</v>
      </c>
      <c r="C213" s="751"/>
      <c r="D213" s="751"/>
      <c r="E213" s="751"/>
      <c r="F213" s="751"/>
      <c r="G213" s="751"/>
      <c r="H213" s="751"/>
      <c r="I213" s="751"/>
      <c r="J213" s="751"/>
      <c r="K213" s="751"/>
      <c r="L213" s="751"/>
      <c r="M213" s="751"/>
      <c r="N213" s="751"/>
      <c r="O213" s="752"/>
    </row>
    <row r="214" spans="1:15" x14ac:dyDescent="0.25">
      <c r="A214" s="753"/>
      <c r="B214" s="751"/>
      <c r="C214" s="755"/>
      <c r="D214" s="754"/>
      <c r="E214" s="751"/>
      <c r="F214" s="751"/>
      <c r="G214" s="751"/>
      <c r="H214" s="751"/>
      <c r="I214" s="751"/>
      <c r="J214" s="751"/>
      <c r="K214" s="751"/>
      <c r="L214" s="751"/>
      <c r="M214" s="751"/>
      <c r="N214" s="751"/>
      <c r="O214" s="752"/>
    </row>
    <row r="215" spans="1:15" x14ac:dyDescent="0.25">
      <c r="A215" s="750" t="s">
        <v>714</v>
      </c>
      <c r="B215" s="751"/>
      <c r="C215" s="755"/>
      <c r="D215" s="754"/>
      <c r="E215" s="751"/>
      <c r="F215" s="751"/>
      <c r="G215" s="751"/>
      <c r="H215" s="751"/>
      <c r="I215" s="751"/>
      <c r="J215" s="751"/>
      <c r="K215" s="751"/>
      <c r="L215" s="751"/>
      <c r="M215" s="751"/>
      <c r="N215" s="751"/>
      <c r="O215" s="752"/>
    </row>
    <row r="216" spans="1:15" x14ac:dyDescent="0.25">
      <c r="A216" s="750"/>
      <c r="B216" s="751"/>
      <c r="C216" s="755"/>
      <c r="D216" s="754"/>
      <c r="E216" s="751"/>
      <c r="F216" s="751"/>
      <c r="G216" s="751"/>
      <c r="H216" s="751"/>
      <c r="I216" s="751"/>
      <c r="J216" s="751"/>
      <c r="K216" s="751"/>
      <c r="L216" s="751"/>
      <c r="M216" s="751"/>
      <c r="N216" s="751"/>
      <c r="O216" s="752"/>
    </row>
    <row r="217" spans="1:15" x14ac:dyDescent="0.25">
      <c r="A217" s="750"/>
      <c r="B217" s="751"/>
      <c r="C217" s="755"/>
      <c r="D217" s="754"/>
      <c r="E217" s="751"/>
      <c r="F217" s="751"/>
      <c r="G217" s="751"/>
      <c r="H217" s="751"/>
      <c r="I217" s="751"/>
      <c r="J217" s="751"/>
      <c r="K217" s="751"/>
      <c r="L217" s="751"/>
      <c r="M217" s="751"/>
      <c r="N217" s="751"/>
      <c r="O217" s="752"/>
    </row>
    <row r="218" spans="1:15" x14ac:dyDescent="0.25">
      <c r="A218" s="750"/>
      <c r="B218" s="751"/>
      <c r="C218" s="755"/>
      <c r="D218" s="754"/>
      <c r="E218" s="751"/>
      <c r="F218" s="751"/>
      <c r="G218" s="751"/>
      <c r="H218" s="751"/>
      <c r="I218" s="751"/>
      <c r="J218" s="751"/>
      <c r="K218" s="751"/>
      <c r="L218" s="751"/>
      <c r="M218" s="751"/>
      <c r="N218" s="751"/>
      <c r="O218" s="752"/>
    </row>
    <row r="219" spans="1:15" ht="15.75" thickBot="1" x14ac:dyDescent="0.3">
      <c r="A219" s="756"/>
      <c r="B219" s="775"/>
      <c r="C219" s="757"/>
      <c r="D219" s="757"/>
      <c r="E219" s="757"/>
      <c r="F219" s="757"/>
      <c r="G219" s="757"/>
      <c r="H219" s="757"/>
      <c r="I219" s="757"/>
      <c r="J219" s="757"/>
      <c r="K219" s="757"/>
      <c r="L219" s="757"/>
      <c r="M219" s="757"/>
      <c r="N219" s="757"/>
      <c r="O219" s="758"/>
    </row>
    <row r="220" spans="1:15" hidden="1" x14ac:dyDescent="0.25">
      <c r="A220" s="747"/>
      <c r="B220" s="773"/>
      <c r="C220" s="748"/>
      <c r="D220" s="748"/>
      <c r="E220" s="748"/>
      <c r="F220" s="748"/>
      <c r="G220" s="748"/>
      <c r="H220" s="748"/>
      <c r="I220" s="748"/>
      <c r="J220" s="748"/>
      <c r="K220" s="748"/>
      <c r="L220" s="748"/>
      <c r="M220" s="748"/>
      <c r="N220" s="748"/>
      <c r="O220" s="749"/>
    </row>
    <row r="221" spans="1:15" hidden="1" x14ac:dyDescent="0.25">
      <c r="A221" s="750" t="s">
        <v>681</v>
      </c>
      <c r="B221" s="754"/>
      <c r="C221" s="751"/>
      <c r="D221" s="751"/>
      <c r="E221" s="751"/>
      <c r="F221" s="751"/>
      <c r="G221" s="751"/>
      <c r="H221" s="751"/>
      <c r="I221" s="751"/>
      <c r="J221" s="751"/>
      <c r="K221" s="751"/>
      <c r="L221" s="751"/>
      <c r="M221" s="751"/>
      <c r="N221" s="751"/>
      <c r="O221" s="752"/>
    </row>
    <row r="222" spans="1:15" hidden="1" x14ac:dyDescent="0.25">
      <c r="A222" s="750"/>
      <c r="B222" s="754"/>
      <c r="C222" s="751"/>
      <c r="D222" s="751"/>
      <c r="E222" s="751"/>
      <c r="F222" s="751"/>
      <c r="G222" s="751"/>
      <c r="H222" s="751"/>
      <c r="I222" s="751"/>
      <c r="J222" s="751"/>
      <c r="K222" s="751"/>
      <c r="L222" s="751"/>
      <c r="M222" s="751"/>
      <c r="N222" s="751"/>
      <c r="O222" s="752"/>
    </row>
    <row r="223" spans="1:15" hidden="1" x14ac:dyDescent="0.25">
      <c r="A223" s="750" t="s">
        <v>508</v>
      </c>
      <c r="B223" s="754"/>
      <c r="C223" s="751"/>
      <c r="D223" s="751"/>
      <c r="E223" s="751"/>
      <c r="F223" s="751"/>
      <c r="G223" s="751"/>
      <c r="H223" s="751"/>
      <c r="I223" s="751"/>
      <c r="J223" s="751"/>
      <c r="K223" s="751"/>
      <c r="L223" s="751"/>
      <c r="M223" s="751"/>
      <c r="N223" s="751"/>
      <c r="O223" s="752"/>
    </row>
    <row r="224" spans="1:15" hidden="1" x14ac:dyDescent="0.25">
      <c r="A224" s="750"/>
      <c r="B224" s="754"/>
      <c r="C224" s="751"/>
      <c r="D224" s="751"/>
      <c r="E224" s="751"/>
      <c r="F224" s="751"/>
      <c r="G224" s="751"/>
      <c r="H224" s="751"/>
      <c r="I224" s="751"/>
      <c r="J224" s="751"/>
      <c r="K224" s="751"/>
      <c r="L224" s="751"/>
      <c r="M224" s="751"/>
      <c r="N224" s="751"/>
      <c r="O224" s="752"/>
    </row>
    <row r="225" spans="1:15" hidden="1" x14ac:dyDescent="0.25">
      <c r="A225" s="750"/>
      <c r="B225" s="754" t="s">
        <v>673</v>
      </c>
      <c r="C225" s="751"/>
      <c r="D225" s="751"/>
      <c r="E225" s="751"/>
      <c r="F225" s="751"/>
      <c r="G225" s="751"/>
      <c r="H225" s="751"/>
      <c r="I225" s="751"/>
      <c r="J225" s="751"/>
      <c r="K225" s="751"/>
      <c r="L225" s="751"/>
      <c r="M225" s="751"/>
      <c r="N225" s="751"/>
      <c r="O225" s="752"/>
    </row>
    <row r="226" spans="1:15" hidden="1" x14ac:dyDescent="0.25">
      <c r="A226" s="750"/>
      <c r="B226" s="754"/>
      <c r="C226" s="751"/>
      <c r="D226" s="751"/>
      <c r="E226" s="751"/>
      <c r="F226" s="751"/>
      <c r="G226" s="751"/>
      <c r="H226" s="751"/>
      <c r="I226" s="751"/>
      <c r="J226" s="751"/>
      <c r="K226" s="751"/>
      <c r="L226" s="751"/>
      <c r="M226" s="751"/>
      <c r="N226" s="751"/>
      <c r="O226" s="752"/>
    </row>
    <row r="227" spans="1:15" hidden="1" x14ac:dyDescent="0.25">
      <c r="A227" s="750"/>
      <c r="B227" s="751"/>
      <c r="C227" s="751"/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2"/>
    </row>
    <row r="228" spans="1:15" hidden="1" x14ac:dyDescent="0.25">
      <c r="A228" s="750"/>
      <c r="B228" s="754"/>
      <c r="C228" s="751"/>
      <c r="D228" s="751"/>
      <c r="E228" s="751"/>
      <c r="F228" s="751"/>
      <c r="G228" s="751"/>
      <c r="H228" s="751"/>
      <c r="I228" s="751"/>
      <c r="J228" s="751"/>
      <c r="K228" s="751"/>
      <c r="L228" s="751"/>
      <c r="M228" s="751"/>
      <c r="N228" s="751"/>
      <c r="O228" s="752"/>
    </row>
    <row r="229" spans="1:15" hidden="1" x14ac:dyDescent="0.25">
      <c r="A229" s="750"/>
      <c r="B229" s="754"/>
      <c r="C229" s="751"/>
      <c r="D229" s="751"/>
      <c r="E229" s="751"/>
      <c r="F229" s="751"/>
      <c r="G229" s="751"/>
      <c r="H229" s="751"/>
      <c r="I229" s="751"/>
      <c r="J229" s="751"/>
      <c r="K229" s="751"/>
      <c r="L229" s="751"/>
      <c r="M229" s="751"/>
      <c r="N229" s="751"/>
      <c r="O229" s="752"/>
    </row>
    <row r="230" spans="1:15" hidden="1" x14ac:dyDescent="0.25">
      <c r="A230" s="750"/>
      <c r="B230" s="754" t="s">
        <v>675</v>
      </c>
      <c r="C230" s="751"/>
      <c r="D230" s="751"/>
      <c r="E230" s="751"/>
      <c r="F230" s="751"/>
      <c r="G230" s="751"/>
      <c r="H230" s="751"/>
      <c r="I230" s="751"/>
      <c r="J230" s="751"/>
      <c r="K230" s="751"/>
      <c r="L230" s="751"/>
      <c r="M230" s="751"/>
      <c r="N230" s="751"/>
      <c r="O230" s="752"/>
    </row>
    <row r="231" spans="1:15" hidden="1" x14ac:dyDescent="0.25">
      <c r="A231" s="750"/>
      <c r="B231" s="754" t="s">
        <v>674</v>
      </c>
      <c r="C231" s="751"/>
      <c r="D231" s="751"/>
      <c r="E231" s="751"/>
      <c r="F231" s="751"/>
      <c r="G231" s="751"/>
      <c r="H231" s="751"/>
      <c r="I231" s="751"/>
      <c r="J231" s="751"/>
      <c r="K231" s="751"/>
      <c r="L231" s="751"/>
      <c r="M231" s="751"/>
      <c r="N231" s="751"/>
      <c r="O231" s="752"/>
    </row>
    <row r="232" spans="1:15" hidden="1" x14ac:dyDescent="0.25">
      <c r="A232" s="750"/>
      <c r="B232" s="754" t="s">
        <v>672</v>
      </c>
      <c r="C232" s="751"/>
      <c r="D232" s="751"/>
      <c r="E232" s="751"/>
      <c r="F232" s="751"/>
      <c r="G232" s="751"/>
      <c r="H232" s="751"/>
      <c r="I232" s="751"/>
      <c r="J232" s="751"/>
      <c r="K232" s="751"/>
      <c r="L232" s="751"/>
      <c r="M232" s="751"/>
      <c r="N232" s="751"/>
      <c r="O232" s="752"/>
    </row>
    <row r="233" spans="1:15" hidden="1" x14ac:dyDescent="0.25">
      <c r="A233" s="750"/>
      <c r="B233" s="754"/>
      <c r="C233" s="751"/>
      <c r="D233" s="751"/>
      <c r="E233" s="751"/>
      <c r="F233" s="751"/>
      <c r="G233" s="751"/>
      <c r="H233" s="751"/>
      <c r="I233" s="751"/>
      <c r="J233" s="751"/>
      <c r="K233" s="751"/>
      <c r="L233" s="751"/>
      <c r="M233" s="751"/>
      <c r="N233" s="751"/>
      <c r="O233" s="752"/>
    </row>
    <row r="234" spans="1:15" hidden="1" x14ac:dyDescent="0.25">
      <c r="A234" s="750"/>
      <c r="B234" s="754"/>
      <c r="C234" s="751"/>
      <c r="D234" s="751"/>
      <c r="E234" s="751"/>
      <c r="F234" s="751"/>
      <c r="G234" s="751"/>
      <c r="H234" s="751"/>
      <c r="I234" s="751"/>
      <c r="J234" s="751"/>
      <c r="K234" s="751"/>
      <c r="L234" s="751"/>
      <c r="M234" s="751"/>
      <c r="N234" s="751"/>
      <c r="O234" s="752"/>
    </row>
    <row r="235" spans="1:15" hidden="1" x14ac:dyDescent="0.25">
      <c r="A235" s="750"/>
      <c r="B235" s="751" t="s">
        <v>464</v>
      </c>
      <c r="C235" s="754" t="s">
        <v>676</v>
      </c>
      <c r="D235" s="751"/>
      <c r="E235" s="751"/>
      <c r="F235" s="751"/>
      <c r="G235" s="751"/>
      <c r="H235" s="751"/>
      <c r="I235" s="751"/>
      <c r="J235" s="751"/>
      <c r="K235" s="751"/>
      <c r="L235" s="751"/>
      <c r="M235" s="751"/>
      <c r="N235" s="751"/>
      <c r="O235" s="752"/>
    </row>
    <row r="236" spans="1:15" hidden="1" x14ac:dyDescent="0.25">
      <c r="A236" s="750"/>
      <c r="B236" s="754"/>
      <c r="C236" s="751"/>
      <c r="D236" s="751"/>
      <c r="E236" s="751"/>
      <c r="F236" s="751"/>
      <c r="G236" s="751"/>
      <c r="H236" s="751"/>
      <c r="I236" s="751"/>
      <c r="J236" s="751"/>
      <c r="K236" s="751"/>
      <c r="L236" s="751"/>
      <c r="M236" s="751"/>
      <c r="N236" s="751"/>
      <c r="O236" s="752"/>
    </row>
    <row r="237" spans="1:15" hidden="1" x14ac:dyDescent="0.25">
      <c r="A237" s="750"/>
      <c r="B237" s="754"/>
      <c r="C237" s="751"/>
      <c r="D237" s="751"/>
      <c r="E237" s="751"/>
      <c r="F237" s="751"/>
      <c r="G237" s="751"/>
      <c r="H237" s="751"/>
      <c r="I237" s="751"/>
      <c r="J237" s="751"/>
      <c r="K237" s="751"/>
      <c r="L237" s="751"/>
      <c r="M237" s="751"/>
      <c r="N237" s="751"/>
      <c r="O237" s="752"/>
    </row>
    <row r="238" spans="1:15" hidden="1" x14ac:dyDescent="0.25">
      <c r="A238" s="750"/>
      <c r="B238" s="754"/>
      <c r="C238" s="751"/>
      <c r="D238" s="751"/>
      <c r="E238" s="751"/>
      <c r="F238" s="751"/>
      <c r="G238" s="751"/>
      <c r="H238" s="751"/>
      <c r="I238" s="751"/>
      <c r="J238" s="751"/>
      <c r="K238" s="751"/>
      <c r="L238" s="751"/>
      <c r="M238" s="751"/>
      <c r="N238" s="751"/>
      <c r="O238" s="752"/>
    </row>
    <row r="239" spans="1:15" hidden="1" x14ac:dyDescent="0.25">
      <c r="A239" s="750"/>
      <c r="B239" s="751"/>
      <c r="C239" s="754"/>
      <c r="D239" s="751"/>
      <c r="E239" s="751"/>
      <c r="F239" s="751"/>
      <c r="G239" s="751"/>
      <c r="H239" s="751"/>
      <c r="I239" s="751"/>
      <c r="J239" s="751"/>
      <c r="K239" s="751"/>
      <c r="L239" s="751"/>
      <c r="M239" s="751"/>
      <c r="N239" s="751"/>
      <c r="O239" s="752"/>
    </row>
    <row r="240" spans="1:15" hidden="1" x14ac:dyDescent="0.25">
      <c r="A240" s="750"/>
      <c r="B240" s="751"/>
      <c r="C240" s="354" t="s">
        <v>692</v>
      </c>
      <c r="D240" s="751"/>
      <c r="E240" s="751"/>
      <c r="F240" s="751"/>
      <c r="G240" s="751"/>
      <c r="H240" s="751"/>
      <c r="I240" s="751">
        <v>1.148E-4</v>
      </c>
      <c r="J240" s="751" t="s">
        <v>325</v>
      </c>
      <c r="K240" s="751"/>
      <c r="L240" s="751"/>
      <c r="M240" s="751"/>
      <c r="N240" s="751"/>
      <c r="O240" s="752"/>
    </row>
    <row r="241" spans="1:15" hidden="1" x14ac:dyDescent="0.25">
      <c r="A241" s="750"/>
      <c r="B241" s="754"/>
      <c r="C241" s="354" t="s">
        <v>691</v>
      </c>
      <c r="D241" s="751"/>
      <c r="E241" s="751"/>
      <c r="F241" s="751"/>
      <c r="G241" s="751"/>
      <c r="H241" s="751"/>
      <c r="I241" s="751"/>
      <c r="J241" s="751">
        <v>1.1000000000000001</v>
      </c>
      <c r="K241" s="754" t="s">
        <v>449</v>
      </c>
      <c r="L241" s="751"/>
      <c r="M241" s="751"/>
      <c r="N241" s="751"/>
      <c r="O241" s="752"/>
    </row>
    <row r="242" spans="1:15" hidden="1" x14ac:dyDescent="0.25">
      <c r="A242" s="750"/>
      <c r="B242" s="754"/>
      <c r="C242" s="776"/>
      <c r="D242" s="751"/>
      <c r="E242" s="751"/>
      <c r="F242" s="751"/>
      <c r="G242" s="751"/>
      <c r="H242" s="751"/>
      <c r="I242" s="751"/>
      <c r="J242" s="751"/>
      <c r="K242" s="754"/>
      <c r="L242" s="751"/>
      <c r="M242" s="751"/>
      <c r="N242" s="751"/>
      <c r="O242" s="752"/>
    </row>
    <row r="243" spans="1:15" hidden="1" x14ac:dyDescent="0.25">
      <c r="A243" s="753"/>
      <c r="B243" s="751" t="s">
        <v>464</v>
      </c>
      <c r="C243" s="760"/>
      <c r="D243" s="754" t="s">
        <v>93</v>
      </c>
      <c r="E243" s="751"/>
      <c r="F243" s="751"/>
      <c r="G243" s="751"/>
      <c r="H243" s="751"/>
      <c r="I243" s="751"/>
      <c r="J243" s="751"/>
      <c r="K243" s="751"/>
      <c r="L243" s="751"/>
      <c r="M243" s="751"/>
      <c r="N243" s="751"/>
      <c r="O243" s="752"/>
    </row>
    <row r="244" spans="1:15" ht="15.75" hidden="1" thickBot="1" x14ac:dyDescent="0.3">
      <c r="A244" s="756"/>
      <c r="B244" s="757"/>
      <c r="C244" s="757"/>
      <c r="D244" s="757"/>
      <c r="E244" s="757"/>
      <c r="F244" s="757"/>
      <c r="G244" s="757"/>
      <c r="H244" s="757"/>
      <c r="I244" s="757"/>
      <c r="J244" s="757"/>
      <c r="K244" s="757"/>
      <c r="L244" s="757"/>
      <c r="M244" s="757"/>
      <c r="N244" s="757"/>
      <c r="O244" s="758"/>
    </row>
  </sheetData>
  <sheetProtection password="D8A8"/>
  <mergeCells count="319">
    <mergeCell ref="A63:O63"/>
    <mergeCell ref="EE38:EH38"/>
    <mergeCell ref="EL38:EO38"/>
    <mergeCell ref="ES38:EV38"/>
    <mergeCell ref="EZ38:FC38"/>
    <mergeCell ref="FG38:FJ38"/>
    <mergeCell ref="FN38:FQ38"/>
    <mergeCell ref="CO38:CR38"/>
    <mergeCell ref="CV38:CY38"/>
    <mergeCell ref="DC38:DF38"/>
    <mergeCell ref="DJ38:DM38"/>
    <mergeCell ref="DQ38:DT38"/>
    <mergeCell ref="DX38:EA38"/>
    <mergeCell ref="AY38:BB38"/>
    <mergeCell ref="BF38:BI38"/>
    <mergeCell ref="BM38:BP38"/>
    <mergeCell ref="BT38:BW38"/>
    <mergeCell ref="CA38:CD38"/>
    <mergeCell ref="CH38:CK38"/>
    <mergeCell ref="I38:L38"/>
    <mergeCell ref="P38:S38"/>
    <mergeCell ref="W38:Z38"/>
    <mergeCell ref="AD38:AG38"/>
    <mergeCell ref="AK38:AN38"/>
    <mergeCell ref="AR38:AU38"/>
    <mergeCell ref="EE37:EH37"/>
    <mergeCell ref="EL37:EO37"/>
    <mergeCell ref="ES37:EV37"/>
    <mergeCell ref="EZ37:FC37"/>
    <mergeCell ref="FG37:FJ37"/>
    <mergeCell ref="FN37:FQ37"/>
    <mergeCell ref="CO37:CR37"/>
    <mergeCell ref="CV37:CY37"/>
    <mergeCell ref="DC37:DF37"/>
    <mergeCell ref="DJ37:DM37"/>
    <mergeCell ref="DQ37:DT37"/>
    <mergeCell ref="DX37:EA37"/>
    <mergeCell ref="AY37:BB37"/>
    <mergeCell ref="BF37:BI37"/>
    <mergeCell ref="BM37:BP37"/>
    <mergeCell ref="BT37:BW37"/>
    <mergeCell ref="CA37:CD37"/>
    <mergeCell ref="CH37:CK37"/>
    <mergeCell ref="FN36:FQ36"/>
    <mergeCell ref="CO36:CR36"/>
    <mergeCell ref="CV36:CY36"/>
    <mergeCell ref="DC36:DF36"/>
    <mergeCell ref="DJ36:DM36"/>
    <mergeCell ref="DQ36:DT36"/>
    <mergeCell ref="DX36:EA36"/>
    <mergeCell ref="I37:L37"/>
    <mergeCell ref="P37:S37"/>
    <mergeCell ref="W37:Z37"/>
    <mergeCell ref="AD37:AG37"/>
    <mergeCell ref="AK37:AN37"/>
    <mergeCell ref="AR37:AU37"/>
    <mergeCell ref="EE36:EH36"/>
    <mergeCell ref="EL36:EO36"/>
    <mergeCell ref="ES36:EV36"/>
    <mergeCell ref="AY36:BB36"/>
    <mergeCell ref="BF36:BI36"/>
    <mergeCell ref="BM36:BP36"/>
    <mergeCell ref="BT36:BW36"/>
    <mergeCell ref="CA36:CD36"/>
    <mergeCell ref="CH36:CK36"/>
    <mergeCell ref="ES35:EV35"/>
    <mergeCell ref="EZ35:FC35"/>
    <mergeCell ref="FG35:FJ35"/>
    <mergeCell ref="FN35:FQ35"/>
    <mergeCell ref="I36:L36"/>
    <mergeCell ref="P36:S36"/>
    <mergeCell ref="W36:Z36"/>
    <mergeCell ref="AD36:AG36"/>
    <mergeCell ref="AK36:AN36"/>
    <mergeCell ref="AR36:AU36"/>
    <mergeCell ref="DC35:DF35"/>
    <mergeCell ref="DJ35:DM35"/>
    <mergeCell ref="DQ35:DT35"/>
    <mergeCell ref="DX35:EA35"/>
    <mergeCell ref="EE35:EH35"/>
    <mergeCell ref="EL35:EO35"/>
    <mergeCell ref="BM35:BP35"/>
    <mergeCell ref="BT35:BW35"/>
    <mergeCell ref="CA35:CD35"/>
    <mergeCell ref="CH35:CK35"/>
    <mergeCell ref="CO35:CR35"/>
    <mergeCell ref="CV35:CY35"/>
    <mergeCell ref="EZ36:FC36"/>
    <mergeCell ref="FG36:FJ36"/>
    <mergeCell ref="FG34:FJ34"/>
    <mergeCell ref="FN34:FQ34"/>
    <mergeCell ref="I35:L35"/>
    <mergeCell ref="P35:S35"/>
    <mergeCell ref="W35:Z35"/>
    <mergeCell ref="AD35:AG35"/>
    <mergeCell ref="AK35:AN35"/>
    <mergeCell ref="AR35:AU35"/>
    <mergeCell ref="AY35:BB35"/>
    <mergeCell ref="BF35:BI35"/>
    <mergeCell ref="DQ34:DT34"/>
    <mergeCell ref="DX34:EA34"/>
    <mergeCell ref="EE34:EH34"/>
    <mergeCell ref="EL34:EO34"/>
    <mergeCell ref="ES34:EV34"/>
    <mergeCell ref="EZ34:FC34"/>
    <mergeCell ref="CA34:CD34"/>
    <mergeCell ref="CH34:CK34"/>
    <mergeCell ref="CO34:CR34"/>
    <mergeCell ref="CV34:CY34"/>
    <mergeCell ref="DC34:DF34"/>
    <mergeCell ref="DJ34:DM34"/>
    <mergeCell ref="AK34:AN34"/>
    <mergeCell ref="AR34:AU34"/>
    <mergeCell ref="AY34:BB34"/>
    <mergeCell ref="BF34:BI34"/>
    <mergeCell ref="BM34:BP34"/>
    <mergeCell ref="BT34:BW34"/>
    <mergeCell ref="B32:F32"/>
    <mergeCell ref="B33:F33"/>
    <mergeCell ref="I34:L34"/>
    <mergeCell ref="P34:S34"/>
    <mergeCell ref="W34:Z34"/>
    <mergeCell ref="AD34:AG34"/>
    <mergeCell ref="B26:F26"/>
    <mergeCell ref="B27:F27"/>
    <mergeCell ref="B28:F28"/>
    <mergeCell ref="B29:F29"/>
    <mergeCell ref="B30:F30"/>
    <mergeCell ref="B31:F31"/>
    <mergeCell ref="ES23:EY23"/>
    <mergeCell ref="EZ23:FF23"/>
    <mergeCell ref="FG23:FM23"/>
    <mergeCell ref="FN23:FT23"/>
    <mergeCell ref="B24:F24"/>
    <mergeCell ref="B25:F25"/>
    <mergeCell ref="DC23:DI23"/>
    <mergeCell ref="DJ23:DP23"/>
    <mergeCell ref="DQ23:DW23"/>
    <mergeCell ref="DX23:ED23"/>
    <mergeCell ref="EE23:EK23"/>
    <mergeCell ref="EL23:ER23"/>
    <mergeCell ref="BM23:BS23"/>
    <mergeCell ref="BT23:BZ23"/>
    <mergeCell ref="CA23:CG23"/>
    <mergeCell ref="CH23:CN23"/>
    <mergeCell ref="CO23:CU23"/>
    <mergeCell ref="CV23:DB23"/>
    <mergeCell ref="E23:H23"/>
    <mergeCell ref="I23:O23"/>
    <mergeCell ref="P23:V23"/>
    <mergeCell ref="W23:AC23"/>
    <mergeCell ref="AD23:AJ23"/>
    <mergeCell ref="AK23:AQ23"/>
    <mergeCell ref="AR23:AX23"/>
    <mergeCell ref="AY23:BE23"/>
    <mergeCell ref="BF23:BL23"/>
    <mergeCell ref="E22:H22"/>
    <mergeCell ref="I22:O22"/>
    <mergeCell ref="P22:V22"/>
    <mergeCell ref="W22:AC22"/>
    <mergeCell ref="AD22:AJ22"/>
    <mergeCell ref="AK22:AQ22"/>
    <mergeCell ref="DC21:DI21"/>
    <mergeCell ref="DJ21:DP21"/>
    <mergeCell ref="DQ21:DW21"/>
    <mergeCell ref="BM21:BS21"/>
    <mergeCell ref="BT21:BZ21"/>
    <mergeCell ref="CA21:CG21"/>
    <mergeCell ref="CH21:CN21"/>
    <mergeCell ref="CH22:CN22"/>
    <mergeCell ref="CO22:CU22"/>
    <mergeCell ref="CV22:DB22"/>
    <mergeCell ref="DC22:DI22"/>
    <mergeCell ref="DJ22:DP22"/>
    <mergeCell ref="DQ22:DW22"/>
    <mergeCell ref="AR22:AX22"/>
    <mergeCell ref="AY22:BE22"/>
    <mergeCell ref="BF22:BL22"/>
    <mergeCell ref="BM22:BS22"/>
    <mergeCell ref="BT22:BZ22"/>
    <mergeCell ref="CA22:CG22"/>
    <mergeCell ref="ES21:EY21"/>
    <mergeCell ref="CA20:CG20"/>
    <mergeCell ref="EZ21:FF21"/>
    <mergeCell ref="FG21:FM21"/>
    <mergeCell ref="FN21:FT21"/>
    <mergeCell ref="DX21:ED21"/>
    <mergeCell ref="EE21:EK21"/>
    <mergeCell ref="EL21:ER21"/>
    <mergeCell ref="FN22:FT22"/>
    <mergeCell ref="DX22:ED22"/>
    <mergeCell ref="EE22:EK22"/>
    <mergeCell ref="EL22:ER22"/>
    <mergeCell ref="ES22:EY22"/>
    <mergeCell ref="EZ22:FF22"/>
    <mergeCell ref="FG22:FM22"/>
    <mergeCell ref="ES19:EY19"/>
    <mergeCell ref="EZ19:FF19"/>
    <mergeCell ref="FG19:FM19"/>
    <mergeCell ref="CO21:CU21"/>
    <mergeCell ref="CV21:DB21"/>
    <mergeCell ref="FN20:FT20"/>
    <mergeCell ref="E21:H21"/>
    <mergeCell ref="I21:O21"/>
    <mergeCell ref="P21:V21"/>
    <mergeCell ref="W21:AC21"/>
    <mergeCell ref="AD21:AJ21"/>
    <mergeCell ref="AK21:AQ21"/>
    <mergeCell ref="AR21:AX21"/>
    <mergeCell ref="AY21:BE21"/>
    <mergeCell ref="BF21:BL21"/>
    <mergeCell ref="DX20:ED20"/>
    <mergeCell ref="EE20:EK20"/>
    <mergeCell ref="EL20:ER20"/>
    <mergeCell ref="ES20:EY20"/>
    <mergeCell ref="EZ20:FF20"/>
    <mergeCell ref="FG20:FM20"/>
    <mergeCell ref="CH20:CN20"/>
    <mergeCell ref="CO20:CU20"/>
    <mergeCell ref="FN19:FT19"/>
    <mergeCell ref="E20:H20"/>
    <mergeCell ref="I20:O20"/>
    <mergeCell ref="P20:V20"/>
    <mergeCell ref="W20:AC20"/>
    <mergeCell ref="AD20:AJ20"/>
    <mergeCell ref="AK20:AQ20"/>
    <mergeCell ref="DC19:DI19"/>
    <mergeCell ref="DJ19:DP19"/>
    <mergeCell ref="DQ19:DW19"/>
    <mergeCell ref="AR20:AX20"/>
    <mergeCell ref="AY20:BE20"/>
    <mergeCell ref="BF20:BL20"/>
    <mergeCell ref="BM20:BS20"/>
    <mergeCell ref="BT20:BZ20"/>
    <mergeCell ref="CV20:DB20"/>
    <mergeCell ref="DC20:DI20"/>
    <mergeCell ref="DJ20:DP20"/>
    <mergeCell ref="DQ20:DW20"/>
    <mergeCell ref="DX19:ED19"/>
    <mergeCell ref="EE19:EK19"/>
    <mergeCell ref="EL19:ER19"/>
    <mergeCell ref="BM19:BS19"/>
    <mergeCell ref="BT19:BZ19"/>
    <mergeCell ref="CA19:CG19"/>
    <mergeCell ref="CH19:CN19"/>
    <mergeCell ref="CO19:CU19"/>
    <mergeCell ref="CV19:DB19"/>
    <mergeCell ref="FN18:FT18"/>
    <mergeCell ref="E19:H19"/>
    <mergeCell ref="I19:O19"/>
    <mergeCell ref="P19:V19"/>
    <mergeCell ref="W19:AC19"/>
    <mergeCell ref="AD19:AJ19"/>
    <mergeCell ref="AK19:AQ19"/>
    <mergeCell ref="AR19:AX19"/>
    <mergeCell ref="AY19:BE19"/>
    <mergeCell ref="BF19:BL19"/>
    <mergeCell ref="DX18:ED18"/>
    <mergeCell ref="EE18:EK18"/>
    <mergeCell ref="EL18:ER18"/>
    <mergeCell ref="ES18:EY18"/>
    <mergeCell ref="EZ18:FF18"/>
    <mergeCell ref="FG18:FM18"/>
    <mergeCell ref="CH18:CN18"/>
    <mergeCell ref="CO18:CU18"/>
    <mergeCell ref="CV18:DB18"/>
    <mergeCell ref="DC18:DI18"/>
    <mergeCell ref="DJ18:DP18"/>
    <mergeCell ref="DQ18:DW18"/>
    <mergeCell ref="AR18:AX18"/>
    <mergeCell ref="AY18:BE18"/>
    <mergeCell ref="BF18:BL18"/>
    <mergeCell ref="BM18:BS18"/>
    <mergeCell ref="BT18:BZ18"/>
    <mergeCell ref="CA18:CG18"/>
    <mergeCell ref="ES17:EY17"/>
    <mergeCell ref="EZ17:FF17"/>
    <mergeCell ref="FG17:FM17"/>
    <mergeCell ref="FN17:FT17"/>
    <mergeCell ref="E18:H18"/>
    <mergeCell ref="I18:O18"/>
    <mergeCell ref="P18:V18"/>
    <mergeCell ref="W18:AC18"/>
    <mergeCell ref="AD18:AJ18"/>
    <mergeCell ref="AK18:AQ18"/>
    <mergeCell ref="DC17:DI17"/>
    <mergeCell ref="DJ17:DP17"/>
    <mergeCell ref="DQ17:DW17"/>
    <mergeCell ref="DX17:ED17"/>
    <mergeCell ref="EE17:EK17"/>
    <mergeCell ref="EL17:ER17"/>
    <mergeCell ref="BM17:BS17"/>
    <mergeCell ref="BT17:BZ17"/>
    <mergeCell ref="CA17:CG17"/>
    <mergeCell ref="CH17:CN17"/>
    <mergeCell ref="FG16:FT16"/>
    <mergeCell ref="I17:O17"/>
    <mergeCell ref="P17:V17"/>
    <mergeCell ref="W17:AC17"/>
    <mergeCell ref="AD17:AJ17"/>
    <mergeCell ref="AK17:AQ17"/>
    <mergeCell ref="AR17:AX17"/>
    <mergeCell ref="AY17:BE17"/>
    <mergeCell ref="BF17:BL17"/>
    <mergeCell ref="BM16:BZ16"/>
    <mergeCell ref="CA16:CN16"/>
    <mergeCell ref="CO16:DB16"/>
    <mergeCell ref="DC16:DP16"/>
    <mergeCell ref="DQ16:ED16"/>
    <mergeCell ref="EE16:ER16"/>
    <mergeCell ref="D1:R4"/>
    <mergeCell ref="A7:R7"/>
    <mergeCell ref="I16:V16"/>
    <mergeCell ref="W16:AJ16"/>
    <mergeCell ref="AK16:AX16"/>
    <mergeCell ref="AY16:BL16"/>
    <mergeCell ref="CO17:CU17"/>
    <mergeCell ref="CV17:DB17"/>
    <mergeCell ref="ES16:FF16"/>
  </mergeCells>
  <dataValidations disablePrompts="1" count="6">
    <dataValidation type="list" allowBlank="1" showInputMessage="1" showErrorMessage="1" sqref="Y25:Y33 DS25:DS33 DE25:DE33 CP25:CP33 CC25:CC33 BO25:BO33 BA25:BA33 AM25:AM33 AF25:AF33 AT25:AT33 BH25:BH33 BV25:BV33 CJ25:CJ33 CW25:CW33 DL25:DL33 DZ25:DZ33 EG25:EG33 EN25:EN33 EU25:EU33 FB25:FB33 FI25:FI33 FP25:FP33" xr:uid="{00000000-0002-0000-0500-000000000000}">
      <formula1>$B$30:$B$35</formula1>
    </dataValidation>
    <dataValidation type="list" allowBlank="1" showInputMessage="1" showErrorMessage="1" sqref="CQ25:CQ33 CX25:CX33" xr:uid="{00000000-0002-0000-0500-000001000000}">
      <formula1>$B$28:$B$33</formula1>
    </dataValidation>
    <dataValidation type="list" allowBlank="1" showInputMessage="1" showErrorMessage="1" sqref="DR25:DR33 DD25:DD33 X25:X33 CB25:CB33 BN25:BN33 AZ25:AZ33 AL25:AL33 O37 O25:O34 V37 V25:V34 AC25:AC34 AC37 AE25:AE33 AJ25:AJ34 AJ37 AQ25:AQ34 AQ37 AS25:AS33 AX25:AX34 AX37 BE25:BE34 BE37 BG25:BG33 BL25:BL34 BL37 BS25:BS34 BS37 BU25:BU33 BZ25:BZ34 BZ37 CG25:CG34 CG37 CI25:CI33 CN25:CN34 CN37 CU25:CU34 CU37 DB25:DB34 DB37 DI25:DI34 DI37 DK25:DK33 DP25:DP34 DP37 DW25:DW34 DW37 DY25:DY33 ED25:ED34 ED37 EF25:EF33 EK25:EK34 EK37 EM25:EM33 ER25:ER34 ER37 ET25:ET33 EY25:EY34 EY37 FA25:FA33 FF25:FF34 FF37 FH25:FH33 FM25:FM34 FM37 FO25:FO33 FT25:FT34 FT37" xr:uid="{00000000-0002-0000-0500-000002000000}">
      <formula1>$B$14:$B$25</formula1>
    </dataValidation>
    <dataValidation type="list" allowBlank="1" showInputMessage="1" showErrorMessage="1" sqref="M35:N35 BQ35:BR35 AO35:AP35 AA35:AB35 BC35:BD35 CE35:CF35 CS35:CT35 DG35:DH35 DU35:DV35 T35:U35 AH35:AI35 AV35:AW35 BJ35:BK35 BX35:BY35 CL35:CM35 CZ35:DA35 DN35:DO35 EB35:EC35 EI35:EJ35 EP35:EQ35 EW35:EX35 FD35:FE35 FK35:FL35 FR35:FS35" xr:uid="{00000000-0002-0000-0500-000003000000}">
      <formula1>#REF!</formula1>
    </dataValidation>
    <dataValidation type="list" allowBlank="1" showInputMessage="1" showErrorMessage="1" sqref="R25:R33" xr:uid="{00000000-0002-0000-0500-000004000000}">
      <formula1>$B$32:$B$37</formula1>
    </dataValidation>
    <dataValidation type="list" allowBlank="1" showInputMessage="1" showErrorMessage="1" sqref="Q25:Q33" xr:uid="{00000000-0002-0000-0500-000005000000}">
      <formula1>$B$17:$B$29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00000000-0002-0000-0500-000006000000}">
          <x14:formula1>
            <xm:f>'Datos varios'!$B$35:$B$40</xm:f>
          </x14:formula1>
          <xm:sqref>K25:K33</xm:sqref>
        </x14:dataValidation>
        <x14:dataValidation type="list" allowBlank="1" showInputMessage="1" showErrorMessage="1" xr:uid="{00000000-0002-0000-0500-000007000000}">
          <x14:formula1>
            <xm:f>'Datos varios'!$B$19:$B$32</xm:f>
          </x14:formula1>
          <xm:sqref>J25:J33</xm:sqref>
        </x14:dataValidation>
        <x14:dataValidation type="list" allowBlank="1" showInputMessage="1" showErrorMessage="1" xr:uid="{00000000-0002-0000-0500-000008000000}">
          <x14:formula1>
            <xm:f>'Datos varios'!$B$43:$B$44</xm:f>
          </x14:formula1>
          <xm:sqref>H25:H33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pageSetUpPr fitToPage="1"/>
  </sheetPr>
  <dimension ref="A1:S284"/>
  <sheetViews>
    <sheetView topLeftCell="A16" workbookViewId="0">
      <selection activeCell="C90" sqref="C90"/>
    </sheetView>
  </sheetViews>
  <sheetFormatPr baseColWidth="10" defaultColWidth="11.42578125" defaultRowHeight="15" x14ac:dyDescent="0.25"/>
  <cols>
    <col min="1" max="2" width="11.42578125" style="1045"/>
    <col min="3" max="6" width="12.7109375" style="1045" bestFit="1" customWidth="1"/>
    <col min="7" max="7" width="11.42578125" style="1045"/>
    <col min="8" max="9" width="12" style="1045" bestFit="1" customWidth="1"/>
    <col min="10" max="10" width="11.42578125" style="1045"/>
    <col min="11" max="13" width="12.7109375" style="1045" bestFit="1" customWidth="1"/>
    <col min="14" max="15" width="14.28515625" style="1045" customWidth="1"/>
    <col min="16" max="16" width="11.42578125" style="1045"/>
    <col min="17" max="17" width="12.140625" style="1045" customWidth="1"/>
    <col min="18" max="18" width="11.42578125" style="1045"/>
    <col min="19" max="19" width="12.140625" style="1045" customWidth="1"/>
    <col min="20" max="16384" width="11.42578125" style="1045"/>
  </cols>
  <sheetData>
    <row r="1" spans="1:19" ht="15" customHeight="1" x14ac:dyDescent="0.25">
      <c r="A1" s="1040"/>
      <c r="B1" s="1041"/>
      <c r="C1" s="1042"/>
      <c r="D1" s="2605" t="s">
        <v>555</v>
      </c>
      <c r="E1" s="2606"/>
      <c r="F1" s="2606"/>
      <c r="G1" s="2606"/>
      <c r="H1" s="2606"/>
      <c r="I1" s="2606"/>
      <c r="J1" s="2606"/>
      <c r="K1" s="2606"/>
      <c r="L1" s="2606"/>
      <c r="M1" s="2606"/>
      <c r="N1" s="2606"/>
      <c r="O1" s="2606"/>
      <c r="P1" s="2606"/>
      <c r="Q1" s="2607"/>
      <c r="R1" s="1043" t="s">
        <v>68</v>
      </c>
      <c r="S1" s="1044" t="s">
        <v>556</v>
      </c>
    </row>
    <row r="2" spans="1:19" ht="15" customHeight="1" x14ac:dyDescent="0.25">
      <c r="A2" s="1046"/>
      <c r="C2" s="1047"/>
      <c r="D2" s="2608"/>
      <c r="E2" s="2609"/>
      <c r="F2" s="2609"/>
      <c r="G2" s="2609"/>
      <c r="H2" s="2609"/>
      <c r="I2" s="2609"/>
      <c r="J2" s="2609"/>
      <c r="K2" s="2609"/>
      <c r="L2" s="2609"/>
      <c r="M2" s="2609"/>
      <c r="N2" s="2609"/>
      <c r="O2" s="2609"/>
      <c r="P2" s="2609"/>
      <c r="Q2" s="2610"/>
      <c r="R2" s="1048" t="s">
        <v>69</v>
      </c>
      <c r="S2" s="1866" t="s">
        <v>1231</v>
      </c>
    </row>
    <row r="3" spans="1:19" ht="15" customHeight="1" x14ac:dyDescent="0.25">
      <c r="A3" s="1046"/>
      <c r="C3" s="1047"/>
      <c r="D3" s="2608"/>
      <c r="E3" s="2609"/>
      <c r="F3" s="2609"/>
      <c r="G3" s="2609"/>
      <c r="H3" s="2609"/>
      <c r="I3" s="2609"/>
      <c r="J3" s="2609"/>
      <c r="K3" s="2609"/>
      <c r="L3" s="2609"/>
      <c r="M3" s="2609"/>
      <c r="N3" s="2609"/>
      <c r="O3" s="2609"/>
      <c r="P3" s="2609"/>
      <c r="Q3" s="2610"/>
      <c r="R3" s="1048" t="s">
        <v>70</v>
      </c>
      <c r="S3" s="1049" t="s">
        <v>72</v>
      </c>
    </row>
    <row r="4" spans="1:19" ht="15" customHeight="1" x14ac:dyDescent="0.25">
      <c r="A4" s="1050"/>
      <c r="B4" s="1051"/>
      <c r="C4" s="1052"/>
      <c r="D4" s="2611"/>
      <c r="E4" s="2612"/>
      <c r="F4" s="2612"/>
      <c r="G4" s="2612"/>
      <c r="H4" s="2612"/>
      <c r="I4" s="2612"/>
      <c r="J4" s="2612"/>
      <c r="K4" s="2612"/>
      <c r="L4" s="2612"/>
      <c r="M4" s="2612"/>
      <c r="N4" s="2612"/>
      <c r="O4" s="2612"/>
      <c r="P4" s="2612"/>
      <c r="Q4" s="2613"/>
      <c r="R4" s="1053" t="s">
        <v>71</v>
      </c>
      <c r="S4" s="1054" t="s">
        <v>73</v>
      </c>
    </row>
    <row r="5" spans="1:19" s="1055" customFormat="1" x14ac:dyDescent="0.25"/>
    <row r="7" spans="1:19" ht="18.75" x14ac:dyDescent="0.25">
      <c r="A7" s="2422" t="s">
        <v>1144</v>
      </c>
      <c r="B7" s="2614"/>
      <c r="C7" s="2614"/>
      <c r="D7" s="2614"/>
      <c r="E7" s="2614"/>
      <c r="F7" s="2614"/>
      <c r="G7" s="2614"/>
      <c r="H7" s="2614"/>
      <c r="I7" s="2614"/>
      <c r="J7" s="2614"/>
      <c r="K7" s="2614"/>
      <c r="L7" s="2614"/>
      <c r="M7" s="2614"/>
      <c r="N7" s="2614"/>
      <c r="O7" s="2614"/>
      <c r="P7" s="2614"/>
      <c r="Q7" s="2614"/>
      <c r="R7" s="2614"/>
      <c r="S7" s="2614"/>
    </row>
    <row r="9" spans="1:19" x14ac:dyDescent="0.25">
      <c r="A9" s="1056" t="s">
        <v>545</v>
      </c>
    </row>
    <row r="11" spans="1:19" x14ac:dyDescent="0.25">
      <c r="A11" s="1057" t="s">
        <v>350</v>
      </c>
      <c r="B11" s="1045" t="s">
        <v>353</v>
      </c>
    </row>
    <row r="12" spans="1:19" x14ac:dyDescent="0.25">
      <c r="A12" s="1057" t="s">
        <v>351</v>
      </c>
      <c r="B12" s="1045" t="s">
        <v>354</v>
      </c>
    </row>
    <row r="13" spans="1:19" x14ac:dyDescent="0.25">
      <c r="A13" s="1057" t="s">
        <v>352</v>
      </c>
      <c r="B13" s="1058" t="s">
        <v>355</v>
      </c>
    </row>
    <row r="14" spans="1:19" x14ac:dyDescent="0.25">
      <c r="A14" s="1057" t="s">
        <v>547</v>
      </c>
      <c r="B14" s="1058" t="s">
        <v>548</v>
      </c>
    </row>
    <row r="16" spans="1:19" ht="15.75" thickBot="1" x14ac:dyDescent="0.3"/>
    <row r="17" spans="1:19" ht="15.75" thickBot="1" x14ac:dyDescent="0.3">
      <c r="A17" s="1056"/>
      <c r="M17" s="2615" t="s">
        <v>348</v>
      </c>
      <c r="N17" s="2616"/>
      <c r="O17" s="2615" t="s">
        <v>458</v>
      </c>
      <c r="P17" s="2617"/>
      <c r="Q17" s="2618" t="s">
        <v>557</v>
      </c>
      <c r="R17" s="2620" t="s">
        <v>558</v>
      </c>
      <c r="S17" s="2618" t="s">
        <v>559</v>
      </c>
    </row>
    <row r="18" spans="1:19" ht="45.75" thickBot="1" x14ac:dyDescent="0.3">
      <c r="A18" s="1059" t="s">
        <v>542</v>
      </c>
      <c r="B18" s="2622" t="s">
        <v>524</v>
      </c>
      <c r="C18" s="2623"/>
      <c r="D18" s="2623"/>
      <c r="E18" s="2623"/>
      <c r="F18" s="2624"/>
      <c r="G18" s="1060" t="s">
        <v>525</v>
      </c>
      <c r="H18" s="1061" t="s">
        <v>560</v>
      </c>
      <c r="I18" s="1062" t="s">
        <v>526</v>
      </c>
      <c r="J18" s="1059" t="s">
        <v>117</v>
      </c>
      <c r="K18" s="1063" t="s">
        <v>347</v>
      </c>
      <c r="L18" s="1064" t="s">
        <v>546</v>
      </c>
      <c r="M18" s="1065" t="s">
        <v>118</v>
      </c>
      <c r="N18" s="1060" t="s">
        <v>117</v>
      </c>
      <c r="O18" s="1065" t="s">
        <v>105</v>
      </c>
      <c r="P18" s="1066" t="s">
        <v>104</v>
      </c>
      <c r="Q18" s="2619"/>
      <c r="R18" s="2621"/>
      <c r="S18" s="2619"/>
    </row>
    <row r="19" spans="1:19" ht="18" x14ac:dyDescent="0.25">
      <c r="A19" s="1067">
        <v>1</v>
      </c>
      <c r="B19" s="2599" t="s">
        <v>576</v>
      </c>
      <c r="C19" s="2600"/>
      <c r="D19" s="2600"/>
      <c r="E19" s="2600"/>
      <c r="F19" s="2601"/>
      <c r="G19" s="1068" t="s">
        <v>682</v>
      </c>
      <c r="H19" s="1456" t="s">
        <v>451</v>
      </c>
      <c r="I19" s="1457">
        <f>C110</f>
        <v>2.4526248129736573E-4</v>
      </c>
      <c r="J19" s="1067" t="str">
        <f>D110</f>
        <v>Gy</v>
      </c>
      <c r="K19" s="1069" t="s">
        <v>373</v>
      </c>
      <c r="L19" s="1070">
        <f>IF(K19="normal (k=1)",1,IF(K19="normal (k=2)",2,IF(K19="normal (k=3)",3,IF(K19="rectangular",SQRT(3),IF(K19="triangular",SQRT(6),IF(K19="Prob. U",SQRT(2),"no definido"))))))</f>
        <v>2</v>
      </c>
      <c r="M19" s="1071">
        <f>C117</f>
        <v>1</v>
      </c>
      <c r="N19" s="1072" t="str">
        <f>D117</f>
        <v>-</v>
      </c>
      <c r="O19" s="1073">
        <f t="shared" ref="O19:O26" si="0">I19*M19/L19</f>
        <v>1.2263124064868286E-4</v>
      </c>
      <c r="P19" s="1074" t="s">
        <v>645</v>
      </c>
      <c r="Q19" s="1075">
        <f t="shared" ref="Q19:Q28" si="1">O19/$C$91</f>
        <v>8.9678169276660395E-3</v>
      </c>
      <c r="R19" s="1076">
        <f>Q19*100</f>
        <v>0.89678169276660391</v>
      </c>
      <c r="S19" s="1077">
        <f>ABS(O19^2/$O$30^2*100)</f>
        <v>15.29453541910922</v>
      </c>
    </row>
    <row r="20" spans="1:19" ht="18" x14ac:dyDescent="0.25">
      <c r="A20" s="1078">
        <v>2</v>
      </c>
      <c r="B20" s="2599" t="s">
        <v>341</v>
      </c>
      <c r="C20" s="2600"/>
      <c r="D20" s="2600"/>
      <c r="E20" s="2600"/>
      <c r="F20" s="2601"/>
      <c r="G20" s="1079" t="s">
        <v>618</v>
      </c>
      <c r="H20" s="1453" t="s">
        <v>451</v>
      </c>
      <c r="I20" s="1086">
        <f>C126</f>
        <v>1.1927594102701006E-4</v>
      </c>
      <c r="J20" s="1078" t="str">
        <f>D126</f>
        <v>Gy</v>
      </c>
      <c r="K20" s="1080" t="s">
        <v>370</v>
      </c>
      <c r="L20" s="1081">
        <f t="shared" ref="L20:L27" si="2">IF(K20="normal (k=1)",1,IF(K20="normal (k=2)",2,IF(K20="normal (k=3)",3,IF(K20="rectangular",SQRT(3),IF(K20="triangular",SQRT(6),IF(K20="Prob. U",SQRT(2),"no definido"))))))</f>
        <v>1.7320508075688772</v>
      </c>
      <c r="M20" s="1082">
        <f>C136</f>
        <v>1</v>
      </c>
      <c r="N20" s="1083" t="str">
        <f>D117</f>
        <v>-</v>
      </c>
      <c r="O20" s="1084">
        <f>I20*M20/L20</f>
        <v>6.8863996659790188E-5</v>
      </c>
      <c r="P20" s="1085" t="s">
        <v>645</v>
      </c>
      <c r="Q20" s="1086">
        <f t="shared" si="1"/>
        <v>5.0359085636392199E-3</v>
      </c>
      <c r="R20" s="1087">
        <f t="shared" ref="R20:R28" si="3">Q20*100</f>
        <v>0.50359085636392198</v>
      </c>
      <c r="S20" s="1088">
        <f>ABS(O20^2/$O$30^2*100)</f>
        <v>4.8230136833165442</v>
      </c>
    </row>
    <row r="21" spans="1:19" ht="18" x14ac:dyDescent="0.25">
      <c r="A21" s="1078">
        <v>3</v>
      </c>
      <c r="B21" s="2599" t="s">
        <v>639</v>
      </c>
      <c r="C21" s="2600"/>
      <c r="D21" s="2600"/>
      <c r="E21" s="2600"/>
      <c r="F21" s="2601"/>
      <c r="G21" s="1079" t="s">
        <v>803</v>
      </c>
      <c r="H21" s="1453" t="s">
        <v>451</v>
      </c>
      <c r="I21" s="1086">
        <f>C145</f>
        <v>1.630000157393327E-2</v>
      </c>
      <c r="J21" s="1078" t="str">
        <f>D145</f>
        <v>s</v>
      </c>
      <c r="K21" s="1080" t="s">
        <v>370</v>
      </c>
      <c r="L21" s="1081">
        <f t="shared" si="2"/>
        <v>1.7320508075688772</v>
      </c>
      <c r="M21" s="1082">
        <f>C155</f>
        <v>2.2797840393227461E-4</v>
      </c>
      <c r="N21" s="1083" t="str">
        <f>D155</f>
        <v>Gy/s</v>
      </c>
      <c r="O21" s="1084">
        <f t="shared" si="0"/>
        <v>2.1454615111058731E-6</v>
      </c>
      <c r="P21" s="1085" t="s">
        <v>645</v>
      </c>
      <c r="Q21" s="1086">
        <f t="shared" si="1"/>
        <v>1.5689400152177176E-4</v>
      </c>
      <c r="R21" s="1087">
        <f t="shared" si="3"/>
        <v>1.5689400152177176E-2</v>
      </c>
      <c r="S21" s="1088">
        <f t="shared" ref="S21:S26" si="4">ABS(O21^2/$O$30^2*100)</f>
        <v>4.6813973097770923E-3</v>
      </c>
    </row>
    <row r="22" spans="1:19" s="730" customFormat="1" ht="18" x14ac:dyDescent="0.25">
      <c r="A22" s="741">
        <v>4</v>
      </c>
      <c r="B22" s="2594" t="s">
        <v>993</v>
      </c>
      <c r="C22" s="2595"/>
      <c r="D22" s="2595"/>
      <c r="E22" s="2595"/>
      <c r="F22" s="2558"/>
      <c r="G22" s="1454" t="s">
        <v>620</v>
      </c>
      <c r="H22" s="781" t="s">
        <v>451</v>
      </c>
      <c r="I22" s="1086">
        <f>$C$168</f>
        <v>4.1023961621966358E-5</v>
      </c>
      <c r="J22" s="1078" t="str">
        <f>D168</f>
        <v>Gy</v>
      </c>
      <c r="K22" s="1080" t="s">
        <v>370</v>
      </c>
      <c r="L22" s="1081">
        <f t="shared" si="2"/>
        <v>1.7320508075688772</v>
      </c>
      <c r="M22" s="1082">
        <f>C175</f>
        <v>1</v>
      </c>
      <c r="N22" s="1083" t="str">
        <f>D175</f>
        <v>-</v>
      </c>
      <c r="O22" s="1084">
        <f t="shared" si="0"/>
        <v>2.3685195285667155E-5</v>
      </c>
      <c r="P22" s="373" t="s">
        <v>645</v>
      </c>
      <c r="Q22" s="1086">
        <f t="shared" si="1"/>
        <v>1.7320586018238504E-3</v>
      </c>
      <c r="R22" s="1087">
        <f t="shared" si="3"/>
        <v>0.17320586018238504</v>
      </c>
      <c r="S22" s="1088">
        <f>ABS(O22^2/$O$30^2*100)</f>
        <v>0.57054247963833404</v>
      </c>
    </row>
    <row r="23" spans="1:19" s="730" customFormat="1" ht="18" x14ac:dyDescent="0.25">
      <c r="A23" s="741">
        <v>5</v>
      </c>
      <c r="B23" s="2593" t="s">
        <v>429</v>
      </c>
      <c r="C23" s="2559"/>
      <c r="D23" s="2559"/>
      <c r="E23" s="2559"/>
      <c r="F23" s="2555"/>
      <c r="G23" s="1454" t="s">
        <v>621</v>
      </c>
      <c r="H23" s="781" t="s">
        <v>451</v>
      </c>
      <c r="I23" s="1086">
        <f>$C$184</f>
        <v>2.7234297889324675E-5</v>
      </c>
      <c r="J23" s="1078" t="str">
        <f>D184</f>
        <v>Gy</v>
      </c>
      <c r="K23" s="1080" t="s">
        <v>370</v>
      </c>
      <c r="L23" s="1081">
        <f t="shared" si="2"/>
        <v>1.7320508075688772</v>
      </c>
      <c r="M23" s="1082">
        <f>C194</f>
        <v>1</v>
      </c>
      <c r="N23" s="374" t="str">
        <f>D194</f>
        <v>-</v>
      </c>
      <c r="O23" s="1084">
        <f t="shared" si="0"/>
        <v>1.572372921759206E-5</v>
      </c>
      <c r="P23" s="373" t="s">
        <v>645</v>
      </c>
      <c r="Q23" s="1086">
        <f t="shared" si="1"/>
        <v>1.1498499427851435E-3</v>
      </c>
      <c r="R23" s="1087">
        <f t="shared" si="3"/>
        <v>0.11498499427851434</v>
      </c>
      <c r="S23" s="1088">
        <f t="shared" si="4"/>
        <v>0.25144624694875761</v>
      </c>
    </row>
    <row r="24" spans="1:19" s="730" customFormat="1" ht="18" x14ac:dyDescent="0.25">
      <c r="A24" s="741">
        <v>6</v>
      </c>
      <c r="B24" s="2594" t="s">
        <v>986</v>
      </c>
      <c r="C24" s="2595"/>
      <c r="D24" s="2595"/>
      <c r="E24" s="2595"/>
      <c r="F24" s="2558"/>
      <c r="G24" s="1454" t="s">
        <v>622</v>
      </c>
      <c r="H24" s="781" t="s">
        <v>451</v>
      </c>
      <c r="I24" s="1086">
        <f>$C$205</f>
        <v>1.5042060672373209E-5</v>
      </c>
      <c r="J24" s="1078" t="str">
        <f>D205</f>
        <v>Gy</v>
      </c>
      <c r="K24" s="1080" t="s">
        <v>373</v>
      </c>
      <c r="L24" s="1081">
        <f t="shared" si="2"/>
        <v>2</v>
      </c>
      <c r="M24" s="1082">
        <f>C212</f>
        <v>1</v>
      </c>
      <c r="N24" s="1083" t="str">
        <f>D212</f>
        <v>-</v>
      </c>
      <c r="O24" s="1084">
        <f t="shared" si="0"/>
        <v>7.5210303361866043E-6</v>
      </c>
      <c r="P24" s="373" t="s">
        <v>645</v>
      </c>
      <c r="Q24" s="1086">
        <f t="shared" si="1"/>
        <v>5.5000033275018855E-4</v>
      </c>
      <c r="R24" s="1087">
        <f t="shared" si="3"/>
        <v>5.5000033275018852E-2</v>
      </c>
      <c r="S24" s="1088">
        <f t="shared" si="4"/>
        <v>5.7529251875014696E-2</v>
      </c>
    </row>
    <row r="25" spans="1:19" s="730" customFormat="1" ht="18" x14ac:dyDescent="0.25">
      <c r="A25" s="741">
        <v>7</v>
      </c>
      <c r="B25" s="2593" t="s">
        <v>511</v>
      </c>
      <c r="C25" s="2559"/>
      <c r="D25" s="2559"/>
      <c r="E25" s="2559"/>
      <c r="F25" s="2555"/>
      <c r="G25" s="1454" t="s">
        <v>623</v>
      </c>
      <c r="H25" s="781" t="s">
        <v>451</v>
      </c>
      <c r="I25" s="1086">
        <f>$C$223</f>
        <v>1.3674599175412389E-5</v>
      </c>
      <c r="J25" s="1078" t="str">
        <f>$D$223</f>
        <v>Gy</v>
      </c>
      <c r="K25" s="1080" t="s">
        <v>370</v>
      </c>
      <c r="L25" s="1081">
        <f t="shared" si="2"/>
        <v>1.7320508075688772</v>
      </c>
      <c r="M25" s="1082">
        <f>C230</f>
        <v>1</v>
      </c>
      <c r="N25" s="1083" t="str">
        <f>D230</f>
        <v>-</v>
      </c>
      <c r="O25" s="1084">
        <f t="shared" si="0"/>
        <v>7.8950335149845767E-6</v>
      </c>
      <c r="P25" s="373" t="s">
        <v>645</v>
      </c>
      <c r="Q25" s="1086">
        <f t="shared" si="1"/>
        <v>5.7735055786479843E-4</v>
      </c>
      <c r="R25" s="1087">
        <f t="shared" si="3"/>
        <v>5.773505578647984E-2</v>
      </c>
      <c r="S25" s="1088">
        <f t="shared" si="4"/>
        <v>6.3393101701209778E-2</v>
      </c>
    </row>
    <row r="26" spans="1:19" ht="18" x14ac:dyDescent="0.25">
      <c r="A26" s="1078">
        <v>8</v>
      </c>
      <c r="B26" s="2599" t="s">
        <v>662</v>
      </c>
      <c r="C26" s="2600"/>
      <c r="D26" s="2600"/>
      <c r="E26" s="2600"/>
      <c r="F26" s="2601"/>
      <c r="G26" s="1079" t="s">
        <v>684</v>
      </c>
      <c r="H26" s="1453" t="s">
        <v>451</v>
      </c>
      <c r="I26" s="1086">
        <f>C239</f>
        <v>2.7349184676230638E-4</v>
      </c>
      <c r="J26" s="1078" t="str">
        <f>D239</f>
        <v>Gy</v>
      </c>
      <c r="K26" s="1080" t="s">
        <v>372</v>
      </c>
      <c r="L26" s="1081">
        <f t="shared" si="2"/>
        <v>1</v>
      </c>
      <c r="M26" s="1082">
        <f>C249</f>
        <v>1</v>
      </c>
      <c r="N26" s="1083" t="str">
        <f>D249</f>
        <v>-</v>
      </c>
      <c r="O26" s="1084">
        <f t="shared" si="0"/>
        <v>2.7349184676230638E-4</v>
      </c>
      <c r="P26" s="1085" t="s">
        <v>645</v>
      </c>
      <c r="Q26" s="1086">
        <f t="shared" si="1"/>
        <v>0.02</v>
      </c>
      <c r="R26" s="1087">
        <f t="shared" si="3"/>
        <v>2</v>
      </c>
      <c r="S26" s="1088">
        <f t="shared" si="4"/>
        <v>76.071645969776725</v>
      </c>
    </row>
    <row r="27" spans="1:19" ht="18" x14ac:dyDescent="0.25">
      <c r="A27" s="1078">
        <v>9</v>
      </c>
      <c r="B27" s="2594" t="s">
        <v>1000</v>
      </c>
      <c r="C27" s="2600"/>
      <c r="D27" s="2600"/>
      <c r="E27" s="2600"/>
      <c r="F27" s="2601"/>
      <c r="G27" s="1079" t="s">
        <v>804</v>
      </c>
      <c r="H27" s="1453" t="s">
        <v>451</v>
      </c>
      <c r="I27" s="1086">
        <f>C258</f>
        <v>0.4</v>
      </c>
      <c r="J27" s="1078" t="str">
        <f>D258</f>
        <v>s</v>
      </c>
      <c r="K27" s="1080" t="s">
        <v>370</v>
      </c>
      <c r="L27" s="1081">
        <f t="shared" si="2"/>
        <v>1.7320508075688772</v>
      </c>
      <c r="M27" s="1082">
        <f>C265</f>
        <v>2.2797840393227461E-4</v>
      </c>
      <c r="N27" s="1089" t="str">
        <f>D265</f>
        <v>Gy/s</v>
      </c>
      <c r="O27" s="1084">
        <f t="shared" ref="O27:O28" si="5">I27*M27/L27</f>
        <v>5.2649357151888003E-5</v>
      </c>
      <c r="P27" s="1085" t="s">
        <v>645</v>
      </c>
      <c r="Q27" s="1086">
        <f t="shared" si="1"/>
        <v>3.850159174773932E-3</v>
      </c>
      <c r="R27" s="1087">
        <f t="shared" si="3"/>
        <v>0.38501591747739322</v>
      </c>
      <c r="S27" s="1088">
        <f>ABS(O27^2/$O$30^2*100)</f>
        <v>2.8191630280117419</v>
      </c>
    </row>
    <row r="28" spans="1:19" ht="18.75" thickBot="1" x14ac:dyDescent="0.3">
      <c r="A28" s="1090">
        <v>10</v>
      </c>
      <c r="B28" s="2602" t="s">
        <v>642</v>
      </c>
      <c r="C28" s="2603"/>
      <c r="D28" s="2603"/>
      <c r="E28" s="2603"/>
      <c r="F28" s="2604"/>
      <c r="G28" s="1091" t="s">
        <v>805</v>
      </c>
      <c r="H28" s="1452" t="s">
        <v>451</v>
      </c>
      <c r="I28" s="1098">
        <f>C276</f>
        <v>0.05</v>
      </c>
      <c r="J28" s="1090" t="str">
        <f>D276</f>
        <v>s</v>
      </c>
      <c r="K28" s="1092" t="s">
        <v>370</v>
      </c>
      <c r="L28" s="1093">
        <f>IF(K28="normal (k=1)",1,IF(K28="normal (k=2)",2,IF(K28="normal (k=3)",3,IF(K28="rectangular",SQRT(3),IF(K28="triangular",SQRT(6),IF(K28="Prob. U",SQRT(2),"no definido"))))))</f>
        <v>1.7320508075688772</v>
      </c>
      <c r="M28" s="1094">
        <f>C283</f>
        <v>2.2797840393227461E-4</v>
      </c>
      <c r="N28" s="1095" t="str">
        <f>D283</f>
        <v>Gy/s</v>
      </c>
      <c r="O28" s="1096">
        <f t="shared" si="5"/>
        <v>6.5811696439860004E-6</v>
      </c>
      <c r="P28" s="1097" t="s">
        <v>645</v>
      </c>
      <c r="Q28" s="1098">
        <f t="shared" si="1"/>
        <v>4.812698968467415E-4</v>
      </c>
      <c r="R28" s="1099">
        <f t="shared" si="3"/>
        <v>4.8126989684674153E-2</v>
      </c>
      <c r="S28" s="1100">
        <f>ABS(O28^2/$O$30^2*100)</f>
        <v>4.4049422312683467E-2</v>
      </c>
    </row>
    <row r="29" spans="1:19" ht="15.75" thickBot="1" x14ac:dyDescent="0.3">
      <c r="G29" s="1101"/>
      <c r="M29" s="1102"/>
      <c r="O29" s="1102"/>
      <c r="Q29" s="1103"/>
      <c r="R29" s="1102"/>
      <c r="S29" s="1102"/>
    </row>
    <row r="30" spans="1:19" x14ac:dyDescent="0.25">
      <c r="M30" s="1104"/>
      <c r="N30" s="1105" t="s">
        <v>543</v>
      </c>
      <c r="O30" s="1106">
        <f>SQRT(SUMSQ(O19:O28))</f>
        <v>3.1356889619298366E-4</v>
      </c>
      <c r="P30" s="1076" t="s">
        <v>645</v>
      </c>
      <c r="Q30" s="1102"/>
      <c r="R30" s="1103"/>
      <c r="S30" s="1103"/>
    </row>
    <row r="31" spans="1:19" x14ac:dyDescent="0.25">
      <c r="M31" s="1107"/>
      <c r="N31" s="1108" t="s">
        <v>544</v>
      </c>
      <c r="O31" s="1109" t="s">
        <v>373</v>
      </c>
      <c r="P31" s="1110"/>
      <c r="Q31" s="1102"/>
      <c r="S31" s="1103"/>
    </row>
    <row r="32" spans="1:19" x14ac:dyDescent="0.25">
      <c r="M32" s="1111"/>
      <c r="N32" s="1112" t="s">
        <v>561</v>
      </c>
      <c r="O32" s="1113">
        <f>IF(O31="normal (k=1)",1,IF(O31="normal (k=2)",2,IF(O31="normal (k=3)",3,IF(O31="rectangular",SQRT(3),IF(O31="triangular",SQRT(6),IF(O31="Prob. U",SQRT(2),"no definido"))))))</f>
        <v>2</v>
      </c>
      <c r="P32" s="1087"/>
      <c r="Q32" s="1102"/>
    </row>
    <row r="33" spans="1:17" ht="18" x14ac:dyDescent="0.25">
      <c r="A33" s="1056"/>
      <c r="M33" s="1114"/>
      <c r="N33" s="1108" t="s">
        <v>649</v>
      </c>
      <c r="O33" s="1115">
        <f>O30*O32</f>
        <v>6.2713779238596733E-4</v>
      </c>
      <c r="P33" s="1110" t="s">
        <v>645</v>
      </c>
      <c r="Q33" s="1102"/>
    </row>
    <row r="34" spans="1:17" ht="18.75" thickBot="1" x14ac:dyDescent="0.3">
      <c r="A34" s="1056"/>
      <c r="M34" s="1116"/>
      <c r="N34" s="1117" t="s">
        <v>649</v>
      </c>
      <c r="O34" s="1458">
        <f>O33/C91</f>
        <v>4.586153479968396E-2</v>
      </c>
      <c r="P34" s="1118"/>
      <c r="Q34" s="1102"/>
    </row>
    <row r="35" spans="1:17" x14ac:dyDescent="0.25">
      <c r="A35" s="1056"/>
      <c r="N35" s="1119"/>
      <c r="O35" s="1102"/>
      <c r="P35" s="1102"/>
      <c r="Q35" s="1102"/>
    </row>
    <row r="36" spans="1:17" x14ac:dyDescent="0.25">
      <c r="A36" s="1056"/>
      <c r="N36" s="1119"/>
      <c r="O36" s="1102"/>
      <c r="P36" s="1102"/>
      <c r="Q36" s="1102"/>
    </row>
    <row r="37" spans="1:17" x14ac:dyDescent="0.25">
      <c r="A37" s="1056"/>
      <c r="N37" s="1119"/>
      <c r="O37" s="1102"/>
      <c r="P37" s="1102"/>
      <c r="Q37" s="1102"/>
    </row>
    <row r="38" spans="1:17" x14ac:dyDescent="0.25">
      <c r="A38" s="1056"/>
      <c r="N38" s="1119"/>
      <c r="O38" s="1102"/>
      <c r="P38" s="1102"/>
      <c r="Q38" s="1102"/>
    </row>
    <row r="39" spans="1:17" x14ac:dyDescent="0.25">
      <c r="A39" s="1056"/>
      <c r="N39" s="1119"/>
      <c r="O39" s="1102"/>
      <c r="P39" s="1102"/>
      <c r="Q39" s="1102"/>
    </row>
    <row r="40" spans="1:17" x14ac:dyDescent="0.25">
      <c r="A40" s="1056"/>
      <c r="N40" s="1119"/>
      <c r="O40" s="1102"/>
      <c r="P40" s="1102"/>
      <c r="Q40" s="1102"/>
    </row>
    <row r="41" spans="1:17" x14ac:dyDescent="0.25">
      <c r="A41" s="1056"/>
      <c r="N41" s="1119"/>
      <c r="O41" s="1102"/>
      <c r="P41" s="1102"/>
      <c r="Q41" s="1102"/>
    </row>
    <row r="42" spans="1:17" x14ac:dyDescent="0.25">
      <c r="A42" s="1056"/>
      <c r="N42" s="1119"/>
      <c r="O42" s="1102"/>
      <c r="P42" s="1102"/>
      <c r="Q42" s="1102"/>
    </row>
    <row r="43" spans="1:17" x14ac:dyDescent="0.25">
      <c r="A43" s="1056"/>
      <c r="N43" s="1119"/>
      <c r="O43" s="1102"/>
      <c r="P43" s="1102"/>
      <c r="Q43" s="1102"/>
    </row>
    <row r="44" spans="1:17" x14ac:dyDescent="0.25">
      <c r="A44" s="1056"/>
      <c r="N44" s="1119"/>
      <c r="O44" s="1102"/>
      <c r="P44" s="1102"/>
      <c r="Q44" s="1102"/>
    </row>
    <row r="45" spans="1:17" x14ac:dyDescent="0.25">
      <c r="A45" s="1056"/>
      <c r="N45" s="1119"/>
      <c r="O45" s="1102"/>
      <c r="P45" s="1102"/>
      <c r="Q45" s="1102"/>
    </row>
    <row r="46" spans="1:17" x14ac:dyDescent="0.25">
      <c r="A46" s="1056"/>
      <c r="N46" s="1119"/>
      <c r="O46" s="1102"/>
      <c r="P46" s="1102"/>
      <c r="Q46" s="1102"/>
    </row>
    <row r="47" spans="1:17" x14ac:dyDescent="0.25">
      <c r="A47" s="1056"/>
      <c r="N47" s="1119"/>
      <c r="O47" s="1102"/>
      <c r="P47" s="1102"/>
      <c r="Q47" s="1102"/>
    </row>
    <row r="48" spans="1:17" x14ac:dyDescent="0.25">
      <c r="A48" s="1056"/>
      <c r="N48" s="1119"/>
      <c r="O48" s="1102"/>
      <c r="P48" s="1102"/>
      <c r="Q48" s="1102"/>
    </row>
    <row r="49" spans="1:17" x14ac:dyDescent="0.25">
      <c r="A49" s="1056"/>
      <c r="N49" s="1119"/>
      <c r="O49" s="1102"/>
      <c r="P49" s="1102"/>
      <c r="Q49" s="1102"/>
    </row>
    <row r="50" spans="1:17" x14ac:dyDescent="0.25">
      <c r="A50" s="1056"/>
      <c r="N50" s="1119"/>
      <c r="O50" s="1102"/>
      <c r="P50" s="1102"/>
      <c r="Q50" s="1102"/>
    </row>
    <row r="51" spans="1:17" x14ac:dyDescent="0.25">
      <c r="A51" s="1056"/>
      <c r="N51" s="1119"/>
      <c r="O51" s="1102"/>
      <c r="P51" s="1102"/>
      <c r="Q51" s="1102"/>
    </row>
    <row r="52" spans="1:17" x14ac:dyDescent="0.25">
      <c r="A52" s="1056"/>
      <c r="N52" s="1119"/>
      <c r="O52" s="1102"/>
      <c r="P52" s="1102"/>
      <c r="Q52" s="1102"/>
    </row>
    <row r="53" spans="1:17" x14ac:dyDescent="0.25">
      <c r="A53" s="1056"/>
      <c r="N53" s="1119"/>
      <c r="O53" s="1102"/>
      <c r="P53" s="1102"/>
      <c r="Q53" s="1102"/>
    </row>
    <row r="54" spans="1:17" x14ac:dyDescent="0.25">
      <c r="A54" s="1056"/>
      <c r="N54" s="1119"/>
      <c r="O54" s="1102"/>
      <c r="P54" s="1102"/>
      <c r="Q54" s="1102"/>
    </row>
    <row r="55" spans="1:17" x14ac:dyDescent="0.25">
      <c r="A55" s="1056"/>
      <c r="N55" s="1119"/>
      <c r="O55" s="1102"/>
      <c r="P55" s="1102"/>
      <c r="Q55" s="1102"/>
    </row>
    <row r="56" spans="1:17" x14ac:dyDescent="0.25">
      <c r="A56" s="1056"/>
      <c r="N56" s="1119"/>
      <c r="O56" s="1102"/>
      <c r="P56" s="1102"/>
      <c r="Q56" s="1102"/>
    </row>
    <row r="57" spans="1:17" x14ac:dyDescent="0.25">
      <c r="A57" s="1056"/>
      <c r="N57" s="1119"/>
      <c r="O57" s="1102"/>
      <c r="P57" s="1102"/>
      <c r="Q57" s="1102"/>
    </row>
    <row r="58" spans="1:17" x14ac:dyDescent="0.25">
      <c r="A58" s="1056"/>
      <c r="N58" s="1119"/>
      <c r="O58" s="1102"/>
      <c r="P58" s="1102"/>
      <c r="Q58" s="1102"/>
    </row>
    <row r="59" spans="1:17" x14ac:dyDescent="0.25">
      <c r="A59" s="1056"/>
      <c r="N59" s="1119"/>
      <c r="O59" s="1102"/>
      <c r="P59" s="1102"/>
      <c r="Q59" s="1102"/>
    </row>
    <row r="60" spans="1:17" x14ac:dyDescent="0.25">
      <c r="A60" s="1056"/>
      <c r="N60" s="1119"/>
      <c r="O60" s="1102"/>
      <c r="P60" s="1102"/>
      <c r="Q60" s="1102"/>
    </row>
    <row r="61" spans="1:17" x14ac:dyDescent="0.25">
      <c r="A61" s="1056"/>
      <c r="N61" s="1119"/>
      <c r="O61" s="1102"/>
      <c r="P61" s="1102"/>
      <c r="Q61" s="1102"/>
    </row>
    <row r="62" spans="1:17" x14ac:dyDescent="0.25">
      <c r="A62" s="1056"/>
      <c r="N62" s="1119"/>
      <c r="O62" s="1102"/>
      <c r="P62" s="1102"/>
      <c r="Q62" s="1102"/>
    </row>
    <row r="63" spans="1:17" ht="15.75" thickBot="1" x14ac:dyDescent="0.3">
      <c r="A63" s="1056"/>
      <c r="N63" s="1119"/>
      <c r="O63" s="1102"/>
      <c r="P63" s="1102"/>
      <c r="Q63" s="1102"/>
    </row>
    <row r="64" spans="1:17" x14ac:dyDescent="0.25">
      <c r="A64" s="1120"/>
      <c r="B64" s="1121"/>
      <c r="C64" s="1121"/>
      <c r="D64" s="1121"/>
      <c r="E64" s="1121"/>
      <c r="F64" s="1122"/>
      <c r="N64" s="1119"/>
      <c r="O64" s="1102"/>
      <c r="P64" s="1102"/>
      <c r="Q64" s="1102"/>
    </row>
    <row r="65" spans="1:17" x14ac:dyDescent="0.25">
      <c r="A65" s="1123" t="s">
        <v>462</v>
      </c>
      <c r="B65" s="1124"/>
      <c r="C65" s="1124"/>
      <c r="D65" s="1124"/>
      <c r="E65" s="1124"/>
      <c r="F65" s="1125"/>
      <c r="N65" s="1119"/>
      <c r="O65" s="1102"/>
      <c r="P65" s="1102"/>
      <c r="Q65" s="1102"/>
    </row>
    <row r="66" spans="1:17" x14ac:dyDescent="0.25">
      <c r="A66" s="1126"/>
      <c r="B66" s="1124"/>
      <c r="C66" s="1124"/>
      <c r="D66" s="1124"/>
      <c r="E66" s="1124"/>
      <c r="F66" s="1125"/>
    </row>
    <row r="67" spans="1:17" x14ac:dyDescent="0.25">
      <c r="A67" s="1126"/>
      <c r="B67" s="1127"/>
      <c r="C67" s="1124"/>
      <c r="D67" s="1124"/>
      <c r="E67" s="1124"/>
      <c r="F67" s="1125"/>
    </row>
    <row r="68" spans="1:17" x14ac:dyDescent="0.25">
      <c r="A68" s="1126"/>
      <c r="B68" s="1124"/>
      <c r="C68" s="1124"/>
      <c r="D68" s="1124"/>
      <c r="E68" s="1124"/>
      <c r="F68" s="1125"/>
      <c r="N68" s="1102"/>
      <c r="O68" s="1102"/>
      <c r="P68" s="1102"/>
    </row>
    <row r="69" spans="1:17" x14ac:dyDescent="0.25">
      <c r="A69" s="1126"/>
      <c r="B69" s="1124"/>
      <c r="C69" s="1124"/>
      <c r="D69" s="1124"/>
      <c r="E69" s="1124"/>
      <c r="F69" s="1125"/>
      <c r="N69" s="1102"/>
      <c r="O69" s="1102"/>
      <c r="P69" s="1102"/>
    </row>
    <row r="70" spans="1:17" x14ac:dyDescent="0.25">
      <c r="A70" s="1126"/>
      <c r="B70" s="1124"/>
      <c r="C70" s="1124"/>
      <c r="D70" s="1124"/>
      <c r="E70" s="1124"/>
      <c r="F70" s="1125"/>
      <c r="N70" s="1102"/>
      <c r="O70" s="1102"/>
      <c r="P70" s="1102"/>
    </row>
    <row r="71" spans="1:17" x14ac:dyDescent="0.25">
      <c r="A71" s="1126"/>
      <c r="B71" s="1124"/>
      <c r="C71" s="1124"/>
      <c r="D71" s="1124"/>
      <c r="E71" s="1124"/>
      <c r="F71" s="1125"/>
      <c r="N71" s="1102"/>
      <c r="O71" s="1102"/>
      <c r="P71" s="1102"/>
    </row>
    <row r="72" spans="1:17" x14ac:dyDescent="0.25">
      <c r="A72" s="1126"/>
      <c r="B72" s="1124"/>
      <c r="C72" s="1124"/>
      <c r="D72" s="1124"/>
      <c r="E72" s="1124"/>
      <c r="F72" s="1125"/>
      <c r="N72" s="1102"/>
      <c r="O72" s="1102"/>
      <c r="P72" s="1102"/>
    </row>
    <row r="73" spans="1:17" x14ac:dyDescent="0.25">
      <c r="A73" s="1126"/>
      <c r="B73" s="1124" t="s">
        <v>465</v>
      </c>
      <c r="C73" s="1124"/>
      <c r="D73" s="1124"/>
      <c r="E73" s="1124"/>
      <c r="F73" s="1125"/>
      <c r="N73" s="1102"/>
      <c r="O73" s="1102"/>
      <c r="P73" s="1102"/>
    </row>
    <row r="74" spans="1:17" x14ac:dyDescent="0.25">
      <c r="A74" s="1126"/>
      <c r="B74" s="1124"/>
      <c r="C74" s="1127"/>
      <c r="D74" s="1124"/>
      <c r="E74" s="1124"/>
      <c r="F74" s="1125"/>
      <c r="N74" s="1102"/>
      <c r="O74" s="1102"/>
      <c r="P74" s="1102"/>
    </row>
    <row r="75" spans="1:17" x14ac:dyDescent="0.25">
      <c r="A75" s="1126"/>
      <c r="B75" s="1127"/>
      <c r="C75" s="1124"/>
      <c r="D75" s="1124"/>
      <c r="E75" s="1124"/>
      <c r="F75" s="1125"/>
      <c r="N75" s="1102"/>
      <c r="O75" s="1102"/>
      <c r="P75" s="1102"/>
    </row>
    <row r="76" spans="1:17" x14ac:dyDescent="0.25">
      <c r="A76" s="1126"/>
      <c r="B76" s="1124"/>
      <c r="C76" s="1124"/>
      <c r="D76" s="1124"/>
      <c r="E76" s="1124"/>
      <c r="F76" s="1125"/>
      <c r="N76" s="1102"/>
      <c r="O76" s="1102"/>
      <c r="P76" s="1102"/>
    </row>
    <row r="77" spans="1:17" x14ac:dyDescent="0.25">
      <c r="A77" s="1126"/>
      <c r="B77" s="1124"/>
      <c r="C77" s="1124"/>
      <c r="D77" s="1124"/>
      <c r="E77" s="1124"/>
      <c r="F77" s="1125"/>
      <c r="N77" s="1102"/>
      <c r="O77" s="1102"/>
      <c r="P77" s="1102"/>
    </row>
    <row r="78" spans="1:17" x14ac:dyDescent="0.25">
      <c r="A78" s="1126"/>
      <c r="B78" s="1124" t="s">
        <v>376</v>
      </c>
      <c r="C78" s="1124"/>
      <c r="D78" s="1124"/>
      <c r="E78" s="1124"/>
      <c r="F78" s="1125"/>
    </row>
    <row r="79" spans="1:17" x14ac:dyDescent="0.25">
      <c r="A79" s="1126"/>
      <c r="B79" s="1124"/>
      <c r="C79" s="1124"/>
      <c r="D79" s="1124"/>
      <c r="E79" s="1124"/>
      <c r="F79" s="1125"/>
    </row>
    <row r="80" spans="1:17" ht="18" x14ac:dyDescent="0.25">
      <c r="A80" s="1126"/>
      <c r="B80" s="1124" t="s">
        <v>379</v>
      </c>
      <c r="C80" s="1128">
        <f>'Incert. Dos.'!C84</f>
        <v>25200</v>
      </c>
      <c r="D80" s="1124" t="str">
        <f>'F-LSCD-002 (Dosimetría)'!C34</f>
        <v>Gy/C</v>
      </c>
      <c r="E80" s="1124"/>
      <c r="F80" s="1125"/>
    </row>
    <row r="81" spans="1:16" ht="18" x14ac:dyDescent="0.25">
      <c r="A81" s="1126"/>
      <c r="B81" s="1129" t="s">
        <v>629</v>
      </c>
      <c r="C81" s="1124">
        <f>'Incert. Dos.'!C85</f>
        <v>1.0009999999999999</v>
      </c>
      <c r="D81" s="1124" t="s">
        <v>384</v>
      </c>
      <c r="E81" s="1124"/>
      <c r="F81" s="1125"/>
    </row>
    <row r="82" spans="1:16" ht="18" x14ac:dyDescent="0.25">
      <c r="A82" s="1126"/>
      <c r="B82" s="1129" t="s">
        <v>630</v>
      </c>
      <c r="C82" s="1130">
        <f>'Incert. Dos.'!C86</f>
        <v>1</v>
      </c>
      <c r="D82" s="1124"/>
      <c r="E82" s="1124"/>
      <c r="F82" s="1125"/>
    </row>
    <row r="83" spans="1:16" x14ac:dyDescent="0.25">
      <c r="A83" s="1126"/>
      <c r="B83" s="1129" t="s">
        <v>472</v>
      </c>
      <c r="C83" s="1128">
        <f>'Incert. Dos.'!C87</f>
        <v>-4.7622197181529422E-9</v>
      </c>
      <c r="D83" s="1124" t="s">
        <v>368</v>
      </c>
      <c r="E83" s="1124"/>
      <c r="F83" s="1125"/>
    </row>
    <row r="84" spans="1:16" x14ac:dyDescent="0.25">
      <c r="A84" s="1126"/>
      <c r="B84" s="1124" t="s">
        <v>473</v>
      </c>
      <c r="C84" s="1131">
        <f>'Incert. Dos.'!C88</f>
        <v>60</v>
      </c>
      <c r="D84" s="1124" t="s">
        <v>369</v>
      </c>
      <c r="E84" s="1124"/>
      <c r="F84" s="1125"/>
    </row>
    <row r="85" spans="1:16" ht="18" x14ac:dyDescent="0.25">
      <c r="A85" s="1126"/>
      <c r="B85" s="1124" t="s">
        <v>380</v>
      </c>
      <c r="C85" s="1124">
        <f>'Incert. Dos.'!C89</f>
        <v>1013.25</v>
      </c>
      <c r="D85" s="1124" t="str">
        <f>'F-LSCD-002 (Dosimetría)'!G33</f>
        <v>hPa</v>
      </c>
      <c r="E85" s="1124"/>
      <c r="F85" s="1125"/>
    </row>
    <row r="86" spans="1:16" x14ac:dyDescent="0.25">
      <c r="A86" s="1126"/>
      <c r="B86" s="1129" t="s">
        <v>381</v>
      </c>
      <c r="C86" s="1131">
        <f>'Incert. Dos.'!C90</f>
        <v>1010</v>
      </c>
      <c r="D86" s="1124" t="str">
        <f>D85</f>
        <v>hPa</v>
      </c>
      <c r="E86" s="1124"/>
      <c r="F86" s="1125"/>
    </row>
    <row r="87" spans="1:16" ht="18" x14ac:dyDescent="0.25">
      <c r="A87" s="1126"/>
      <c r="B87" s="1124" t="s">
        <v>383</v>
      </c>
      <c r="C87" s="1124">
        <f>'Incert. Dos.'!C91</f>
        <v>22</v>
      </c>
      <c r="D87" s="1124" t="str">
        <f>'F-LSCD-002 (Dosimetría)'!G32</f>
        <v>°C</v>
      </c>
      <c r="E87" s="1124"/>
      <c r="F87" s="1125"/>
    </row>
    <row r="88" spans="1:16" x14ac:dyDescent="0.25">
      <c r="A88" s="1126"/>
      <c r="B88" s="1129" t="s">
        <v>382</v>
      </c>
      <c r="C88" s="1124">
        <f>'Incert. Dos.'!C92</f>
        <v>20.209999999999997</v>
      </c>
      <c r="D88" s="1124" t="str">
        <f>D87</f>
        <v>°C</v>
      </c>
      <c r="E88" s="1124"/>
      <c r="F88" s="1125"/>
      <c r="H88" s="1102"/>
    </row>
    <row r="89" spans="1:16" x14ac:dyDescent="0.25">
      <c r="A89" s="1126"/>
      <c r="B89" s="1132" t="s">
        <v>400</v>
      </c>
      <c r="C89" s="1128">
        <f>'Incert. Dos.'!C93</f>
        <v>7.1848635272250602E-3</v>
      </c>
      <c r="D89" s="1124" t="s">
        <v>8</v>
      </c>
      <c r="E89" s="1124"/>
      <c r="F89" s="1125"/>
    </row>
    <row r="90" spans="1:16" ht="18" x14ac:dyDescent="0.25">
      <c r="A90" s="1126"/>
      <c r="B90" s="1132" t="s">
        <v>806</v>
      </c>
      <c r="C90" s="1128">
        <f>'F-LSCD-004'!T41*60</f>
        <v>6851.7004158363188</v>
      </c>
      <c r="D90" s="1124" t="s">
        <v>369</v>
      </c>
      <c r="E90" s="1124"/>
      <c r="F90" s="1125"/>
    </row>
    <row r="91" spans="1:16" x14ac:dyDescent="0.25">
      <c r="A91" s="1126"/>
      <c r="B91" s="1132" t="s">
        <v>648</v>
      </c>
      <c r="C91" s="1128">
        <f>C89*C90/3600</f>
        <v>1.3674592338115318E-2</v>
      </c>
      <c r="D91" s="1124" t="s">
        <v>645</v>
      </c>
      <c r="E91" s="1124"/>
      <c r="F91" s="1125"/>
    </row>
    <row r="92" spans="1:16" x14ac:dyDescent="0.25">
      <c r="A92" s="1126"/>
      <c r="B92" s="1132" t="s">
        <v>417</v>
      </c>
      <c r="C92" s="1133">
        <f>'F-LSCD-002 (Dosimetría)'!A134/100</f>
        <v>2</v>
      </c>
      <c r="D92" s="1124" t="s">
        <v>418</v>
      </c>
      <c r="E92" s="1124"/>
      <c r="F92" s="1125"/>
    </row>
    <row r="93" spans="1:16" ht="15.75" thickBot="1" x14ac:dyDescent="0.3">
      <c r="A93" s="1134"/>
      <c r="B93" s="1135"/>
      <c r="C93" s="1135"/>
      <c r="D93" s="1135"/>
      <c r="E93" s="1135"/>
      <c r="F93" s="1136"/>
      <c r="N93" s="1102"/>
      <c r="O93" s="1102"/>
      <c r="P93" s="1102"/>
    </row>
    <row r="94" spans="1:16" x14ac:dyDescent="0.25">
      <c r="A94" s="1137"/>
      <c r="B94" s="1121"/>
      <c r="C94" s="1121"/>
      <c r="D94" s="1121"/>
      <c r="E94" s="1121"/>
      <c r="F94" s="1122"/>
      <c r="N94" s="1102"/>
      <c r="O94" s="1102"/>
      <c r="P94" s="1102"/>
    </row>
    <row r="95" spans="1:16" x14ac:dyDescent="0.25">
      <c r="A95" s="1123" t="s">
        <v>458</v>
      </c>
      <c r="B95" s="1124"/>
      <c r="C95" s="1124"/>
      <c r="D95" s="1124"/>
      <c r="E95" s="1124"/>
      <c r="F95" s="1125"/>
      <c r="N95" s="1102"/>
      <c r="O95" s="1102"/>
      <c r="P95" s="1102"/>
    </row>
    <row r="96" spans="1:16" x14ac:dyDescent="0.25">
      <c r="A96" s="1126"/>
      <c r="B96" s="1124"/>
      <c r="C96" s="1127"/>
      <c r="D96" s="1124"/>
      <c r="E96" s="1124"/>
      <c r="F96" s="1125"/>
      <c r="N96" s="1102"/>
      <c r="O96" s="1102"/>
      <c r="P96" s="1102"/>
    </row>
    <row r="97" spans="1:16" x14ac:dyDescent="0.25">
      <c r="A97" s="1126"/>
      <c r="B97" s="1127"/>
      <c r="C97" s="1124"/>
      <c r="D97" s="1124"/>
      <c r="E97" s="1124"/>
      <c r="F97" s="1125"/>
      <c r="N97" s="1102"/>
      <c r="O97" s="1102"/>
      <c r="P97" s="1102"/>
    </row>
    <row r="98" spans="1:16" x14ac:dyDescent="0.25">
      <c r="A98" s="1126"/>
      <c r="B98" s="1124"/>
      <c r="C98" s="1124"/>
      <c r="D98" s="1124"/>
      <c r="E98" s="1124"/>
      <c r="F98" s="1125"/>
      <c r="N98" s="1102"/>
      <c r="O98" s="1102"/>
      <c r="P98" s="1102"/>
    </row>
    <row r="99" spans="1:16" ht="15.75" thickBot="1" x14ac:dyDescent="0.3">
      <c r="A99" s="1134"/>
      <c r="B99" s="1135"/>
      <c r="C99" s="1135"/>
      <c r="D99" s="1135"/>
      <c r="E99" s="1135"/>
      <c r="F99" s="1136"/>
      <c r="N99" s="1102"/>
      <c r="O99" s="1102"/>
      <c r="P99" s="1102"/>
    </row>
    <row r="100" spans="1:16" ht="15.75" thickBot="1" x14ac:dyDescent="0.3">
      <c r="N100" s="1102"/>
      <c r="O100" s="1102"/>
      <c r="P100" s="1102"/>
    </row>
    <row r="101" spans="1:16" ht="15.75" thickBot="1" x14ac:dyDescent="0.3">
      <c r="A101" s="2596" t="s">
        <v>463</v>
      </c>
      <c r="B101" s="2597"/>
      <c r="C101" s="2597"/>
      <c r="D101" s="2597"/>
      <c r="E101" s="2597"/>
      <c r="F101" s="2597"/>
      <c r="G101" s="2597"/>
      <c r="H101" s="2597"/>
      <c r="I101" s="2597"/>
      <c r="J101" s="2597"/>
      <c r="K101" s="2597"/>
      <c r="L101" s="2597"/>
      <c r="M101" s="2598"/>
      <c r="N101" s="1102"/>
      <c r="O101" s="1102"/>
      <c r="P101" s="1102"/>
    </row>
    <row r="102" spans="1:16" ht="15.75" thickBot="1" x14ac:dyDescent="0.3">
      <c r="N102" s="1102"/>
      <c r="O102" s="1102"/>
      <c r="P102" s="1102"/>
    </row>
    <row r="103" spans="1:16" x14ac:dyDescent="0.25">
      <c r="A103" s="1138"/>
      <c r="B103" s="1139"/>
      <c r="C103" s="1139"/>
      <c r="D103" s="1139"/>
      <c r="E103" s="1139"/>
      <c r="F103" s="1139"/>
      <c r="G103" s="1139"/>
      <c r="H103" s="1139"/>
      <c r="I103" s="1139"/>
      <c r="J103" s="1139"/>
      <c r="K103" s="1139"/>
      <c r="L103" s="1139"/>
      <c r="M103" s="1140"/>
      <c r="N103" s="1102"/>
      <c r="O103" s="1102"/>
      <c r="P103" s="1102"/>
    </row>
    <row r="104" spans="1:16" x14ac:dyDescent="0.25">
      <c r="A104" s="1141" t="s">
        <v>575</v>
      </c>
      <c r="B104" s="1142"/>
      <c r="C104" s="1142"/>
      <c r="D104" s="1142"/>
      <c r="E104" s="1142"/>
      <c r="F104" s="1142"/>
      <c r="G104" s="1142"/>
      <c r="H104" s="1142"/>
      <c r="I104" s="1142"/>
      <c r="J104" s="1142"/>
      <c r="K104" s="1143"/>
      <c r="L104" s="1142"/>
      <c r="M104" s="1144"/>
    </row>
    <row r="105" spans="1:16" x14ac:dyDescent="0.25">
      <c r="A105" s="1145"/>
      <c r="B105" s="1142"/>
      <c r="C105" s="1142"/>
      <c r="D105" s="1142"/>
      <c r="E105" s="1142"/>
      <c r="F105" s="1142"/>
      <c r="G105" s="1142"/>
      <c r="H105" s="1142"/>
      <c r="I105" s="1142"/>
      <c r="J105" s="1142"/>
      <c r="K105" s="1142"/>
      <c r="L105" s="1142"/>
      <c r="M105" s="1144"/>
    </row>
    <row r="106" spans="1:16" x14ac:dyDescent="0.25">
      <c r="A106" s="1141" t="s">
        <v>475</v>
      </c>
      <c r="B106" s="1142"/>
      <c r="C106" s="1142"/>
      <c r="D106" s="1142"/>
      <c r="E106" s="1142"/>
      <c r="F106" s="1142"/>
      <c r="G106" s="1142"/>
      <c r="H106" s="1142"/>
      <c r="I106" s="1142"/>
      <c r="J106" s="1142"/>
      <c r="K106" s="1142"/>
      <c r="L106" s="1142"/>
      <c r="M106" s="1144"/>
    </row>
    <row r="107" spans="1:16" x14ac:dyDescent="0.25">
      <c r="A107" s="1145"/>
      <c r="B107" s="1142"/>
      <c r="C107" s="1142"/>
      <c r="D107" s="1142"/>
      <c r="E107" s="1142"/>
      <c r="F107" s="1142"/>
      <c r="G107" s="1142"/>
      <c r="H107" s="1142"/>
      <c r="I107" s="1142"/>
      <c r="J107" s="1142"/>
      <c r="K107" s="1142"/>
      <c r="L107" s="1142"/>
      <c r="M107" s="1144"/>
    </row>
    <row r="108" spans="1:16" x14ac:dyDescent="0.25">
      <c r="A108" s="1145"/>
      <c r="B108" s="1142" t="s">
        <v>464</v>
      </c>
      <c r="C108" s="1146" t="s">
        <v>650</v>
      </c>
      <c r="D108" s="1142"/>
      <c r="E108" s="1142"/>
      <c r="F108" s="1142"/>
      <c r="G108" s="1146"/>
      <c r="H108" s="1142"/>
      <c r="I108" s="1142"/>
      <c r="J108" s="1142"/>
      <c r="K108" s="1142"/>
      <c r="L108" s="1142"/>
      <c r="M108" s="1144"/>
    </row>
    <row r="109" spans="1:16" x14ac:dyDescent="0.25">
      <c r="A109" s="1145"/>
      <c r="B109" s="1142"/>
      <c r="C109" s="1142"/>
      <c r="D109" s="1142"/>
      <c r="E109" s="1142"/>
      <c r="F109" s="1142"/>
      <c r="G109" s="1142"/>
      <c r="H109" s="1142"/>
      <c r="I109" s="1142"/>
      <c r="J109" s="1142"/>
      <c r="K109" s="1142"/>
      <c r="L109" s="1142"/>
      <c r="M109" s="1144"/>
    </row>
    <row r="110" spans="1:16" x14ac:dyDescent="0.25">
      <c r="A110" s="1145"/>
      <c r="B110" s="1142" t="s">
        <v>464</v>
      </c>
      <c r="C110" s="1147">
        <f>C91*'Incert. Dos.'!O40</f>
        <v>2.4526248129736573E-4</v>
      </c>
      <c r="D110" s="1146" t="s">
        <v>645</v>
      </c>
      <c r="E110" s="1142"/>
      <c r="F110" s="1142"/>
      <c r="G110" s="1142"/>
      <c r="H110" s="1142"/>
      <c r="I110" s="1142"/>
      <c r="J110" s="1142"/>
      <c r="K110" s="1142"/>
      <c r="L110" s="1142"/>
      <c r="M110" s="1144"/>
    </row>
    <row r="111" spans="1:16" x14ac:dyDescent="0.25">
      <c r="A111" s="1145"/>
      <c r="B111" s="1146"/>
      <c r="C111" s="1142"/>
      <c r="D111" s="1142"/>
      <c r="E111" s="1142"/>
      <c r="F111" s="1142"/>
      <c r="G111" s="1142"/>
      <c r="H111" s="1142"/>
      <c r="I111" s="1142"/>
      <c r="J111" s="1142"/>
      <c r="K111" s="1142"/>
      <c r="L111" s="1142"/>
      <c r="M111" s="1144"/>
    </row>
    <row r="112" spans="1:16" x14ac:dyDescent="0.25">
      <c r="A112" s="1141" t="s">
        <v>476</v>
      </c>
      <c r="B112" s="1146"/>
      <c r="C112" s="1142"/>
      <c r="D112" s="1142"/>
      <c r="E112" s="1142"/>
      <c r="F112" s="1142"/>
      <c r="G112" s="1142"/>
      <c r="H112" s="1142"/>
      <c r="I112" s="1142"/>
      <c r="J112" s="1142"/>
      <c r="K112" s="1142"/>
      <c r="L112" s="1142"/>
      <c r="M112" s="1144"/>
    </row>
    <row r="113" spans="1:13" x14ac:dyDescent="0.25">
      <c r="A113" s="1145"/>
      <c r="B113" s="1146"/>
      <c r="C113" s="1142"/>
      <c r="D113" s="1142"/>
      <c r="E113" s="1142"/>
      <c r="F113" s="1142"/>
      <c r="G113" s="1142"/>
      <c r="H113" s="1142"/>
      <c r="I113" s="1142"/>
      <c r="J113" s="1142"/>
      <c r="K113" s="1142"/>
      <c r="L113" s="1142"/>
      <c r="M113" s="1144"/>
    </row>
    <row r="114" spans="1:13" x14ac:dyDescent="0.25">
      <c r="A114" s="1145"/>
      <c r="B114" s="1142"/>
      <c r="C114" s="1148"/>
      <c r="D114" s="1142"/>
      <c r="E114" s="1142"/>
      <c r="F114" s="1142"/>
      <c r="G114" s="1142"/>
      <c r="H114" s="1142"/>
      <c r="I114" s="1142"/>
      <c r="J114" s="1142"/>
      <c r="K114" s="1142"/>
      <c r="L114" s="1142"/>
      <c r="M114" s="1144"/>
    </row>
    <row r="115" spans="1:13" x14ac:dyDescent="0.25">
      <c r="A115" s="1145"/>
      <c r="B115" s="1142"/>
      <c r="C115" s="1142"/>
      <c r="D115" s="1142"/>
      <c r="E115" s="1142"/>
      <c r="F115" s="1142"/>
      <c r="G115" s="1142"/>
      <c r="H115" s="1142"/>
      <c r="I115" s="1142"/>
      <c r="J115" s="1142"/>
      <c r="K115" s="1142"/>
      <c r="L115" s="1142"/>
      <c r="M115" s="1144"/>
    </row>
    <row r="116" spans="1:13" x14ac:dyDescent="0.25">
      <c r="A116" s="1145"/>
      <c r="B116" s="1142"/>
      <c r="C116" s="1142"/>
      <c r="D116" s="1142"/>
      <c r="E116" s="1142"/>
      <c r="F116" s="1142"/>
      <c r="G116" s="1142"/>
      <c r="H116" s="1142"/>
      <c r="I116" s="1142"/>
      <c r="J116" s="1142"/>
      <c r="K116" s="1142"/>
      <c r="L116" s="1142"/>
      <c r="M116" s="1144"/>
    </row>
    <row r="117" spans="1:13" ht="18" x14ac:dyDescent="0.25">
      <c r="A117" s="1145"/>
      <c r="B117" s="1142" t="s">
        <v>591</v>
      </c>
      <c r="C117" s="1143">
        <v>1</v>
      </c>
      <c r="D117" s="1146" t="s">
        <v>93</v>
      </c>
      <c r="E117" s="1142"/>
      <c r="F117" s="1142"/>
      <c r="G117" s="1142"/>
      <c r="H117" s="1142"/>
      <c r="I117" s="1142"/>
      <c r="J117" s="1142"/>
      <c r="K117" s="1142"/>
      <c r="L117" s="1142"/>
      <c r="M117" s="1144"/>
    </row>
    <row r="118" spans="1:13" ht="15.75" thickBot="1" x14ac:dyDescent="0.3">
      <c r="A118" s="1149"/>
      <c r="B118" s="1150"/>
      <c r="C118" s="1150"/>
      <c r="D118" s="1150"/>
      <c r="E118" s="1150"/>
      <c r="F118" s="1150"/>
      <c r="G118" s="1150"/>
      <c r="H118" s="1150"/>
      <c r="I118" s="1150"/>
      <c r="J118" s="1150"/>
      <c r="K118" s="1150"/>
      <c r="L118" s="1150"/>
      <c r="M118" s="1151"/>
    </row>
    <row r="119" spans="1:13" x14ac:dyDescent="0.25">
      <c r="A119" s="1138"/>
      <c r="B119" s="1139"/>
      <c r="C119" s="1152"/>
      <c r="D119" s="1139"/>
      <c r="E119" s="1139"/>
      <c r="F119" s="1139"/>
      <c r="G119" s="1139"/>
      <c r="H119" s="1139"/>
      <c r="I119" s="1139"/>
      <c r="J119" s="1139"/>
      <c r="K119" s="1139"/>
      <c r="L119" s="1139"/>
      <c r="M119" s="1140"/>
    </row>
    <row r="120" spans="1:13" x14ac:dyDescent="0.25">
      <c r="A120" s="1141" t="s">
        <v>604</v>
      </c>
      <c r="B120" s="1142"/>
      <c r="C120" s="1142"/>
      <c r="D120" s="1142"/>
      <c r="E120" s="1142"/>
      <c r="F120" s="1142"/>
      <c r="G120" s="1142"/>
      <c r="H120" s="1142"/>
      <c r="I120" s="1142"/>
      <c r="J120" s="1142"/>
      <c r="K120" s="1142"/>
      <c r="L120" s="1142"/>
      <c r="M120" s="1144"/>
    </row>
    <row r="121" spans="1:13" x14ac:dyDescent="0.25">
      <c r="A121" s="1141"/>
      <c r="B121" s="1142"/>
      <c r="C121" s="1142"/>
      <c r="D121" s="1142"/>
      <c r="E121" s="1142"/>
      <c r="F121" s="1142"/>
      <c r="G121" s="1142"/>
      <c r="H121" s="1142"/>
      <c r="I121" s="1142"/>
      <c r="J121" s="1142"/>
      <c r="K121" s="1142"/>
      <c r="L121" s="1142"/>
      <c r="M121" s="1144"/>
    </row>
    <row r="122" spans="1:13" x14ac:dyDescent="0.25">
      <c r="A122" s="1141" t="s">
        <v>477</v>
      </c>
      <c r="B122" s="1142"/>
      <c r="C122" s="1142"/>
      <c r="D122" s="1142"/>
      <c r="E122" s="1142"/>
      <c r="F122" s="1142"/>
      <c r="G122" s="1142"/>
      <c r="H122" s="1142"/>
      <c r="I122" s="1142"/>
      <c r="J122" s="1142"/>
      <c r="K122" s="1142"/>
      <c r="L122" s="1142"/>
      <c r="M122" s="1144"/>
    </row>
    <row r="123" spans="1:13" x14ac:dyDescent="0.25">
      <c r="A123" s="1145"/>
      <c r="B123" s="1142"/>
      <c r="C123" s="1142"/>
      <c r="D123" s="1142"/>
      <c r="E123" s="1142"/>
      <c r="F123" s="1142"/>
      <c r="G123" s="1142"/>
      <c r="H123" s="1142"/>
      <c r="I123" s="1142"/>
      <c r="J123" s="1142"/>
      <c r="K123" s="1142"/>
      <c r="L123" s="1142"/>
      <c r="M123" s="1144"/>
    </row>
    <row r="124" spans="1:13" x14ac:dyDescent="0.25">
      <c r="A124" s="1145"/>
      <c r="B124" s="1142" t="s">
        <v>464</v>
      </c>
      <c r="C124" s="1146" t="s">
        <v>661</v>
      </c>
      <c r="D124" s="1142"/>
      <c r="E124" s="1142"/>
      <c r="F124" s="1142"/>
      <c r="G124" s="1142"/>
      <c r="H124" s="1142"/>
      <c r="I124" s="1142"/>
      <c r="J124" s="1142"/>
      <c r="K124" s="1142"/>
      <c r="L124" s="1142"/>
      <c r="M124" s="1144"/>
    </row>
    <row r="125" spans="1:13" x14ac:dyDescent="0.25">
      <c r="A125" s="1145"/>
      <c r="B125" s="1142"/>
      <c r="C125" s="1142"/>
      <c r="D125" s="1142"/>
      <c r="E125" s="1142"/>
      <c r="F125" s="1142"/>
      <c r="G125" s="1142"/>
      <c r="H125" s="1142"/>
      <c r="I125" s="1142"/>
      <c r="J125" s="1142"/>
      <c r="K125" s="1142"/>
      <c r="L125" s="1142"/>
      <c r="M125" s="1144"/>
    </row>
    <row r="126" spans="1:13" x14ac:dyDescent="0.25">
      <c r="A126" s="1145"/>
      <c r="B126" s="1142" t="s">
        <v>464</v>
      </c>
      <c r="C126" s="1143">
        <f>'F-LSCD-002 (homog irrad dosím)'!AI68/2*C91</f>
        <v>1.1927594102701006E-4</v>
      </c>
      <c r="D126" s="1146" t="s">
        <v>645</v>
      </c>
      <c r="E126" s="1142"/>
      <c r="F126" s="1142"/>
      <c r="G126" s="1142"/>
      <c r="H126" s="1142"/>
      <c r="I126" s="1142"/>
      <c r="J126" s="1142"/>
      <c r="K126" s="1142"/>
      <c r="L126" s="1142"/>
      <c r="M126" s="1144"/>
    </row>
    <row r="127" spans="1:13" x14ac:dyDescent="0.25">
      <c r="A127" s="1145"/>
      <c r="B127" s="1142"/>
      <c r="C127" s="1142"/>
      <c r="D127" s="1142"/>
      <c r="E127" s="1142"/>
      <c r="F127" s="1142"/>
      <c r="G127" s="1142"/>
      <c r="H127" s="1142"/>
      <c r="I127" s="1142"/>
      <c r="J127" s="1142"/>
      <c r="K127" s="1142"/>
      <c r="L127" s="1142"/>
      <c r="M127" s="1144"/>
    </row>
    <row r="128" spans="1:13" x14ac:dyDescent="0.25">
      <c r="A128" s="1145"/>
      <c r="B128" s="1146" t="s">
        <v>397</v>
      </c>
      <c r="C128" s="1142"/>
      <c r="D128" s="1142"/>
      <c r="E128" s="1142"/>
      <c r="F128" s="1142"/>
      <c r="G128" s="1142"/>
      <c r="H128" s="1142"/>
      <c r="I128" s="1142"/>
      <c r="J128" s="1142"/>
      <c r="K128" s="1142"/>
      <c r="L128" s="1142"/>
      <c r="M128" s="1144"/>
    </row>
    <row r="129" spans="1:13" x14ac:dyDescent="0.25">
      <c r="A129" s="1145"/>
      <c r="B129" s="1146" t="s">
        <v>416</v>
      </c>
      <c r="C129" s="1142"/>
      <c r="D129" s="1142"/>
      <c r="E129" s="1142"/>
      <c r="F129" s="1142"/>
      <c r="G129" s="1142"/>
      <c r="H129" s="1142"/>
      <c r="I129" s="1142"/>
      <c r="J129" s="1142"/>
      <c r="K129" s="1142"/>
      <c r="L129" s="1142"/>
      <c r="M129" s="1144"/>
    </row>
    <row r="130" spans="1:13" x14ac:dyDescent="0.25">
      <c r="A130" s="1145"/>
      <c r="B130" s="1146"/>
      <c r="C130" s="1142"/>
      <c r="D130" s="1142"/>
      <c r="E130" s="1142"/>
      <c r="F130" s="1142"/>
      <c r="G130" s="1142"/>
      <c r="H130" s="1142"/>
      <c r="I130" s="1142"/>
      <c r="J130" s="1142"/>
      <c r="K130" s="1142"/>
      <c r="L130" s="1142"/>
      <c r="M130" s="1144"/>
    </row>
    <row r="131" spans="1:13" x14ac:dyDescent="0.25">
      <c r="A131" s="1141" t="s">
        <v>578</v>
      </c>
      <c r="B131" s="1142"/>
      <c r="C131" s="1143"/>
      <c r="D131" s="1142"/>
      <c r="E131" s="1142"/>
      <c r="F131" s="1142"/>
      <c r="G131" s="1142"/>
      <c r="H131" s="1142"/>
      <c r="I131" s="1142"/>
      <c r="J131" s="1142"/>
      <c r="K131" s="1142"/>
      <c r="L131" s="1142"/>
      <c r="M131" s="1144"/>
    </row>
    <row r="132" spans="1:13" x14ac:dyDescent="0.25">
      <c r="A132" s="1142"/>
      <c r="B132" s="1142"/>
      <c r="C132" s="1142"/>
      <c r="D132" s="1142"/>
      <c r="E132" s="1142"/>
      <c r="F132" s="1142"/>
      <c r="G132" s="1142"/>
      <c r="H132" s="1142"/>
      <c r="I132" s="1142"/>
      <c r="J132" s="1142"/>
      <c r="K132" s="1142"/>
      <c r="L132" s="1142"/>
      <c r="M132" s="1144"/>
    </row>
    <row r="133" spans="1:13" x14ac:dyDescent="0.25">
      <c r="A133" s="1142"/>
      <c r="B133" s="1142"/>
      <c r="C133" s="1142"/>
      <c r="D133" s="1142"/>
      <c r="E133" s="1142"/>
      <c r="F133" s="1142"/>
      <c r="G133" s="1142"/>
      <c r="H133" s="1142"/>
      <c r="I133" s="1142"/>
      <c r="J133" s="1142"/>
      <c r="K133" s="1142"/>
      <c r="L133" s="1142"/>
      <c r="M133" s="1144"/>
    </row>
    <row r="134" spans="1:13" x14ac:dyDescent="0.25">
      <c r="A134" s="1142"/>
      <c r="B134" s="1142"/>
      <c r="C134" s="1142"/>
      <c r="D134" s="1142"/>
      <c r="E134" s="1142"/>
      <c r="F134" s="1142"/>
      <c r="G134" s="1142"/>
      <c r="H134" s="1142"/>
      <c r="I134" s="1142"/>
      <c r="J134" s="1142"/>
      <c r="K134" s="1142"/>
      <c r="L134" s="1142"/>
      <c r="M134" s="1144"/>
    </row>
    <row r="135" spans="1:13" x14ac:dyDescent="0.25">
      <c r="A135" s="1145"/>
      <c r="B135" s="1146"/>
      <c r="C135" s="1142"/>
      <c r="D135" s="1142"/>
      <c r="E135" s="1142"/>
      <c r="F135" s="1142"/>
      <c r="G135" s="1142"/>
      <c r="H135" s="1142"/>
      <c r="I135" s="1142"/>
      <c r="J135" s="1142"/>
      <c r="K135" s="1142"/>
      <c r="L135" s="1142"/>
      <c r="M135" s="1144"/>
    </row>
    <row r="136" spans="1:13" ht="18" x14ac:dyDescent="0.25">
      <c r="A136" s="1145"/>
      <c r="B136" s="1142" t="s">
        <v>489</v>
      </c>
      <c r="C136" s="1142">
        <v>1</v>
      </c>
      <c r="D136" s="1142"/>
      <c r="E136" s="1142"/>
      <c r="F136" s="1142"/>
      <c r="G136" s="1142"/>
      <c r="H136" s="1142"/>
      <c r="I136" s="1142"/>
      <c r="J136" s="1142"/>
      <c r="K136" s="1142"/>
      <c r="L136" s="1142"/>
      <c r="M136" s="1144"/>
    </row>
    <row r="137" spans="1:13" ht="15.75" thickBot="1" x14ac:dyDescent="0.3">
      <c r="A137" s="1149"/>
      <c r="B137" s="1150"/>
      <c r="C137" s="1150"/>
      <c r="D137" s="1150"/>
      <c r="E137" s="1150"/>
      <c r="F137" s="1150"/>
      <c r="G137" s="1150"/>
      <c r="H137" s="1150"/>
      <c r="I137" s="1150"/>
      <c r="J137" s="1150"/>
      <c r="K137" s="1150"/>
      <c r="L137" s="1150"/>
      <c r="M137" s="1151"/>
    </row>
    <row r="138" spans="1:13" x14ac:dyDescent="0.25">
      <c r="A138" s="1138"/>
      <c r="B138" s="1153"/>
      <c r="C138" s="1139"/>
      <c r="D138" s="1139"/>
      <c r="E138" s="1139"/>
      <c r="F138" s="1139"/>
      <c r="G138" s="1139"/>
      <c r="H138" s="1139"/>
      <c r="I138" s="1139"/>
      <c r="J138" s="1139"/>
      <c r="K138" s="1139"/>
      <c r="L138" s="1139"/>
      <c r="M138" s="1140"/>
    </row>
    <row r="139" spans="1:13" x14ac:dyDescent="0.25">
      <c r="A139" s="1141" t="s">
        <v>643</v>
      </c>
      <c r="B139" s="1146"/>
      <c r="C139" s="1142"/>
      <c r="D139" s="1142"/>
      <c r="E139" s="1142"/>
      <c r="F139" s="1142"/>
      <c r="G139" s="1143"/>
      <c r="H139" s="1142"/>
      <c r="I139" s="1142"/>
      <c r="J139" s="1142"/>
      <c r="K139" s="1142"/>
      <c r="L139" s="1142"/>
      <c r="M139" s="1144"/>
    </row>
    <row r="140" spans="1:13" x14ac:dyDescent="0.25">
      <c r="A140" s="1141"/>
      <c r="B140" s="1146"/>
      <c r="C140" s="1142"/>
      <c r="D140" s="1142"/>
      <c r="E140" s="1142"/>
      <c r="F140" s="1142"/>
      <c r="G140" s="1142"/>
      <c r="H140" s="1142"/>
      <c r="I140" s="1142"/>
      <c r="J140" s="1142"/>
      <c r="K140" s="1142"/>
      <c r="L140" s="1142"/>
      <c r="M140" s="1144"/>
    </row>
    <row r="141" spans="1:13" x14ac:dyDescent="0.25">
      <c r="A141" s="1141" t="s">
        <v>480</v>
      </c>
      <c r="B141" s="1146"/>
      <c r="C141" s="1142"/>
      <c r="D141" s="1142"/>
      <c r="E141" s="1142"/>
      <c r="F141" s="1142"/>
      <c r="G141" s="1142"/>
      <c r="H141" s="1142"/>
      <c r="I141" s="1142"/>
      <c r="J141" s="1142"/>
      <c r="K141" s="1142"/>
      <c r="L141" s="1142"/>
      <c r="M141" s="1144"/>
    </row>
    <row r="142" spans="1:13" x14ac:dyDescent="0.25">
      <c r="A142" s="1141"/>
      <c r="B142" s="1146"/>
      <c r="C142" s="1142"/>
      <c r="D142" s="1142"/>
      <c r="E142" s="1142"/>
      <c r="F142" s="1142"/>
      <c r="G142" s="1142"/>
      <c r="H142" s="1142"/>
      <c r="I142" s="1142"/>
      <c r="J142" s="1142"/>
      <c r="K142" s="1142"/>
      <c r="L142" s="1142"/>
      <c r="M142" s="1144"/>
    </row>
    <row r="143" spans="1:13" ht="18" x14ac:dyDescent="0.25">
      <c r="A143" s="1141"/>
      <c r="B143" s="1142" t="s">
        <v>464</v>
      </c>
      <c r="C143" s="1154" t="s">
        <v>807</v>
      </c>
      <c r="D143" s="1142"/>
      <c r="E143" s="1142"/>
      <c r="F143" s="1142"/>
      <c r="G143" s="1142"/>
      <c r="H143" s="1142"/>
      <c r="I143" s="1142"/>
      <c r="J143" s="1142"/>
      <c r="K143" s="1142"/>
      <c r="L143" s="1142"/>
      <c r="M143" s="1144"/>
    </row>
    <row r="144" spans="1:13" x14ac:dyDescent="0.25">
      <c r="A144" s="1141"/>
      <c r="B144" s="1146"/>
      <c r="C144" s="1142"/>
      <c r="D144" s="1142"/>
      <c r="E144" s="1142"/>
      <c r="F144" s="1142"/>
      <c r="G144" s="1142"/>
      <c r="H144" s="1142"/>
      <c r="I144" s="1142"/>
      <c r="J144" s="1142"/>
      <c r="K144" s="1142"/>
      <c r="L144" s="1142"/>
      <c r="M144" s="1144"/>
    </row>
    <row r="145" spans="1:13" x14ac:dyDescent="0.25">
      <c r="A145" s="1145"/>
      <c r="B145" s="1142" t="s">
        <v>464</v>
      </c>
      <c r="C145" s="1143">
        <f>'F-LSCD-002 (Tiempo tránsito ob)'!Q69*(SUM('F-LSCD-002 (Tiempo tránsito ob)'!Y73:Y82)-'F-LSCD-002 (Tiempo tránsito ob)'!Y69)/(COUNT('F-LSCD-002 (Tiempo tránsito ob)'!O73:O82)*'F-LSCD-002 (Tiempo tránsito ob)'!Y69-SUM('F-LSCD-002 (Tiempo tránsito ob)'!Y73:Y82))</f>
        <v>1.630000157393327E-2</v>
      </c>
      <c r="D145" s="1146" t="s">
        <v>369</v>
      </c>
      <c r="E145" s="1142"/>
      <c r="F145" s="1146"/>
      <c r="G145" s="1142"/>
      <c r="H145" s="1142"/>
      <c r="I145" s="1142"/>
      <c r="J145" s="1142"/>
      <c r="K145" s="1142"/>
      <c r="L145" s="1142"/>
      <c r="M145" s="1144"/>
    </row>
    <row r="146" spans="1:13" x14ac:dyDescent="0.25">
      <c r="A146" s="1145"/>
      <c r="B146" s="1142"/>
      <c r="C146" s="1143"/>
      <c r="D146" s="1146"/>
      <c r="E146" s="1142"/>
      <c r="F146" s="1142"/>
      <c r="G146" s="1142"/>
      <c r="H146" s="1142"/>
      <c r="I146" s="1142"/>
      <c r="J146" s="1142"/>
      <c r="K146" s="1142"/>
      <c r="L146" s="1142"/>
      <c r="M146" s="1144"/>
    </row>
    <row r="147" spans="1:13" x14ac:dyDescent="0.25">
      <c r="A147" s="1145"/>
      <c r="B147" s="1142" t="s">
        <v>397</v>
      </c>
      <c r="C147" s="1143"/>
      <c r="D147" s="1146"/>
      <c r="E147" s="1142"/>
      <c r="F147" s="1142"/>
      <c r="G147" s="1142"/>
      <c r="H147" s="1142"/>
      <c r="I147" s="1142"/>
      <c r="J147" s="1142"/>
      <c r="K147" s="1142"/>
      <c r="L147" s="1142"/>
      <c r="M147" s="1144"/>
    </row>
    <row r="148" spans="1:13" x14ac:dyDescent="0.25">
      <c r="A148" s="1145"/>
      <c r="B148" s="1146" t="s">
        <v>640</v>
      </c>
      <c r="C148" s="1143"/>
      <c r="D148" s="1146"/>
      <c r="E148" s="1142"/>
      <c r="F148" s="1142"/>
      <c r="G148" s="1142"/>
      <c r="H148" s="1142"/>
      <c r="I148" s="1142"/>
      <c r="J148" s="1142"/>
      <c r="K148" s="1142"/>
      <c r="L148" s="1142"/>
      <c r="M148" s="1144"/>
    </row>
    <row r="149" spans="1:13" x14ac:dyDescent="0.25">
      <c r="A149" s="1145"/>
      <c r="B149" s="1142"/>
      <c r="C149" s="1142"/>
      <c r="D149" s="1146"/>
      <c r="E149" s="1142"/>
      <c r="F149" s="1142"/>
      <c r="G149" s="1142"/>
      <c r="H149" s="1142"/>
      <c r="I149" s="1142"/>
      <c r="J149" s="1142"/>
      <c r="K149" s="1142"/>
      <c r="L149" s="1142"/>
      <c r="M149" s="1144"/>
    </row>
    <row r="150" spans="1:13" x14ac:dyDescent="0.25">
      <c r="A150" s="1141" t="s">
        <v>488</v>
      </c>
      <c r="B150" s="1142"/>
      <c r="C150" s="1142"/>
      <c r="D150" s="1146"/>
      <c r="E150" s="1142"/>
      <c r="F150" s="1142"/>
      <c r="G150" s="1142"/>
      <c r="H150" s="1142"/>
      <c r="I150" s="1142"/>
      <c r="J150" s="1142"/>
      <c r="K150" s="1142"/>
      <c r="L150" s="1142"/>
      <c r="M150" s="1144"/>
    </row>
    <row r="151" spans="1:13" x14ac:dyDescent="0.25">
      <c r="A151" s="1145"/>
      <c r="B151" s="1142"/>
      <c r="C151" s="1142"/>
      <c r="D151" s="1146"/>
      <c r="E151" s="1142"/>
      <c r="F151" s="1142"/>
      <c r="G151" s="1142"/>
      <c r="H151" s="1142"/>
      <c r="I151" s="1142"/>
      <c r="J151" s="1142"/>
      <c r="K151" s="1142"/>
      <c r="L151" s="1142"/>
      <c r="M151" s="1144"/>
    </row>
    <row r="152" spans="1:13" x14ac:dyDescent="0.25">
      <c r="A152" s="1145"/>
      <c r="B152" s="1142"/>
      <c r="C152" s="1142"/>
      <c r="D152" s="1146"/>
      <c r="E152" s="1142"/>
      <c r="F152" s="1142"/>
      <c r="G152" s="1142"/>
      <c r="H152" s="1142"/>
      <c r="I152" s="1142"/>
      <c r="J152" s="1142"/>
      <c r="K152" s="1142"/>
      <c r="L152" s="1142"/>
      <c r="M152" s="1144"/>
    </row>
    <row r="153" spans="1:13" x14ac:dyDescent="0.25">
      <c r="A153" s="1145"/>
      <c r="B153" s="1142"/>
      <c r="C153" s="1142"/>
      <c r="D153" s="1146"/>
      <c r="E153" s="1142"/>
      <c r="F153" s="1142"/>
      <c r="G153" s="1142"/>
      <c r="H153" s="1142"/>
      <c r="I153" s="1142"/>
      <c r="J153" s="1142"/>
      <c r="K153" s="1142"/>
      <c r="L153" s="1142"/>
      <c r="M153" s="1144"/>
    </row>
    <row r="154" spans="1:13" x14ac:dyDescent="0.25">
      <c r="A154" s="1145"/>
      <c r="B154" s="1142"/>
      <c r="C154" s="1142"/>
      <c r="D154" s="1146"/>
      <c r="E154" s="1142"/>
      <c r="F154" s="1142"/>
      <c r="G154" s="1142"/>
      <c r="H154" s="1142"/>
      <c r="I154" s="1142"/>
      <c r="J154" s="1142"/>
      <c r="K154" s="1142"/>
      <c r="L154" s="1142"/>
      <c r="M154" s="1144"/>
    </row>
    <row r="155" spans="1:13" ht="18" x14ac:dyDescent="0.25">
      <c r="A155" s="1145"/>
      <c r="B155" s="1155" t="s">
        <v>808</v>
      </c>
      <c r="C155" s="1143">
        <f>-(C83/C84^2)*((273.2+C88)*C85)/((273.2+C87)*C86)*C80*C81*C82*C90</f>
        <v>2.2797840393227461E-4</v>
      </c>
      <c r="D155" s="1146" t="s">
        <v>641</v>
      </c>
      <c r="E155" s="1142"/>
      <c r="F155" s="1142"/>
      <c r="G155" s="1142"/>
      <c r="H155" s="1142"/>
      <c r="I155" s="1142"/>
      <c r="J155" s="1142"/>
      <c r="K155" s="1142"/>
      <c r="L155" s="1142"/>
      <c r="M155" s="1144"/>
    </row>
    <row r="156" spans="1:13" ht="15.75" thickBot="1" x14ac:dyDescent="0.3">
      <c r="A156" s="1149"/>
      <c r="B156" s="1150"/>
      <c r="C156" s="1150"/>
      <c r="D156" s="1150"/>
      <c r="E156" s="1150"/>
      <c r="F156" s="1150"/>
      <c r="G156" s="1150"/>
      <c r="H156" s="1150"/>
      <c r="I156" s="1150"/>
      <c r="J156" s="1150"/>
      <c r="K156" s="1150"/>
      <c r="L156" s="1150"/>
      <c r="M156" s="1151"/>
    </row>
    <row r="157" spans="1:13" s="730" customFormat="1" x14ac:dyDescent="0.25">
      <c r="A157" s="747"/>
      <c r="B157" s="748"/>
      <c r="C157" s="748"/>
      <c r="D157" s="748"/>
      <c r="E157" s="748"/>
      <c r="F157" s="748"/>
      <c r="G157" s="748"/>
      <c r="H157" s="748"/>
      <c r="I157" s="748"/>
      <c r="J157" s="748"/>
      <c r="K157" s="748"/>
      <c r="L157" s="748"/>
      <c r="M157" s="749"/>
    </row>
    <row r="158" spans="1:13" s="730" customFormat="1" x14ac:dyDescent="0.25">
      <c r="A158" s="323" t="s">
        <v>994</v>
      </c>
      <c r="B158" s="751"/>
      <c r="C158" s="751"/>
      <c r="D158" s="751"/>
      <c r="E158" s="751"/>
      <c r="F158" s="751"/>
      <c r="G158" s="751"/>
      <c r="H158" s="751"/>
      <c r="I158" s="751"/>
      <c r="J158" s="751"/>
      <c r="K158" s="751"/>
      <c r="L158" s="751"/>
      <c r="M158" s="752"/>
    </row>
    <row r="159" spans="1:13" s="730" customFormat="1" x14ac:dyDescent="0.25">
      <c r="A159" s="750"/>
      <c r="B159" s="751"/>
      <c r="C159" s="751"/>
      <c r="D159" s="751"/>
      <c r="E159" s="751"/>
      <c r="F159" s="751"/>
      <c r="G159" s="751"/>
      <c r="H159" s="751"/>
      <c r="I159" s="751"/>
      <c r="J159" s="751"/>
      <c r="K159" s="751"/>
      <c r="L159" s="751"/>
      <c r="M159" s="752"/>
    </row>
    <row r="160" spans="1:13" s="730" customFormat="1" x14ac:dyDescent="0.25">
      <c r="A160" s="750" t="s">
        <v>482</v>
      </c>
      <c r="B160" s="751"/>
      <c r="C160" s="751"/>
      <c r="D160" s="751"/>
      <c r="E160" s="751"/>
      <c r="F160" s="751"/>
      <c r="G160" s="751"/>
      <c r="H160" s="751"/>
      <c r="I160" s="751"/>
      <c r="J160" s="751"/>
      <c r="K160" s="751"/>
      <c r="L160" s="751"/>
      <c r="M160" s="752"/>
    </row>
    <row r="161" spans="1:13" s="730" customFormat="1" x14ac:dyDescent="0.25">
      <c r="A161" s="750"/>
      <c r="B161" s="751"/>
      <c r="C161" s="751"/>
      <c r="D161" s="751"/>
      <c r="E161" s="751"/>
      <c r="F161" s="751"/>
      <c r="G161" s="751"/>
      <c r="H161" s="751"/>
      <c r="I161" s="751"/>
      <c r="J161" s="751"/>
      <c r="K161" s="751"/>
      <c r="L161" s="751"/>
      <c r="M161" s="752"/>
    </row>
    <row r="162" spans="1:13" s="730" customFormat="1" x14ac:dyDescent="0.25">
      <c r="A162" s="753"/>
      <c r="B162" s="354" t="s">
        <v>995</v>
      </c>
      <c r="C162" s="751"/>
      <c r="D162" s="751"/>
      <c r="E162" s="751"/>
      <c r="F162" s="751"/>
      <c r="G162" s="751"/>
      <c r="H162" s="751"/>
      <c r="I162" s="751">
        <v>3</v>
      </c>
      <c r="J162" s="754" t="s">
        <v>449</v>
      </c>
      <c r="K162" s="751"/>
      <c r="L162" s="751"/>
      <c r="M162" s="752"/>
    </row>
    <row r="163" spans="1:13" s="730" customFormat="1" x14ac:dyDescent="0.25">
      <c r="A163" s="753"/>
      <c r="B163" s="751"/>
      <c r="C163" s="751"/>
      <c r="D163" s="751"/>
      <c r="E163" s="751"/>
      <c r="F163" s="751"/>
      <c r="G163" s="751"/>
      <c r="H163" s="751"/>
      <c r="I163" s="751"/>
      <c r="J163" s="751"/>
      <c r="K163" s="751"/>
      <c r="L163" s="751"/>
      <c r="M163" s="752"/>
    </row>
    <row r="164" spans="1:13" s="730" customFormat="1" x14ac:dyDescent="0.25">
      <c r="A164" s="753"/>
      <c r="B164" s="751" t="s">
        <v>464</v>
      </c>
      <c r="C164" s="754" t="str">
        <f>"(Kerma en aire teórico a "&amp;C92-I162/1000&amp;" m - kerma en aire teórico a "&amp;C92+I162/1000&amp;" m)/2"</f>
        <v>(Kerma en aire teórico a 1.997 m - kerma en aire teórico a 2.003 m)/2</v>
      </c>
      <c r="D164" s="751"/>
      <c r="E164" s="751"/>
      <c r="F164" s="751"/>
      <c r="G164" s="751"/>
      <c r="H164" s="751"/>
      <c r="I164" s="751"/>
      <c r="J164" s="751"/>
      <c r="K164" s="751"/>
      <c r="L164" s="751"/>
      <c r="M164" s="752"/>
    </row>
    <row r="165" spans="1:13" s="730" customFormat="1" x14ac:dyDescent="0.25">
      <c r="A165" s="753"/>
      <c r="B165" s="751"/>
      <c r="C165" s="751"/>
      <c r="D165" s="751"/>
      <c r="E165" s="751"/>
      <c r="F165" s="751"/>
      <c r="G165" s="751"/>
      <c r="H165" s="751"/>
      <c r="I165" s="751"/>
      <c r="J165" s="751"/>
      <c r="K165" s="751"/>
      <c r="L165" s="751"/>
      <c r="M165" s="752"/>
    </row>
    <row r="166" spans="1:13" s="730" customFormat="1" x14ac:dyDescent="0.25">
      <c r="A166" s="753"/>
      <c r="B166" s="754" t="s">
        <v>419</v>
      </c>
      <c r="C166" s="751"/>
      <c r="D166" s="751"/>
      <c r="E166" s="751"/>
      <c r="F166" s="751"/>
      <c r="G166" s="751"/>
      <c r="H166" s="751"/>
      <c r="I166" s="751"/>
      <c r="J166" s="751"/>
      <c r="K166" s="751"/>
      <c r="L166" s="751"/>
      <c r="M166" s="752"/>
    </row>
    <row r="167" spans="1:13" s="730" customFormat="1" x14ac:dyDescent="0.25">
      <c r="A167" s="753"/>
      <c r="B167" s="751"/>
      <c r="C167" s="751"/>
      <c r="D167" s="751"/>
      <c r="E167" s="751"/>
      <c r="F167" s="760"/>
      <c r="G167" s="751"/>
      <c r="H167" s="751"/>
      <c r="I167" s="751"/>
      <c r="J167" s="751"/>
      <c r="K167" s="751"/>
      <c r="L167" s="751"/>
      <c r="M167" s="752"/>
    </row>
    <row r="168" spans="1:13" s="730" customFormat="1" x14ac:dyDescent="0.25">
      <c r="A168" s="753"/>
      <c r="B168" s="751" t="s">
        <v>464</v>
      </c>
      <c r="C168" s="760">
        <f>((C91*C92^2/((C92-I162/1000)^2)-C91*C92^2/(C92+I162/1000)^2))/2</f>
        <v>4.1023961621966358E-5</v>
      </c>
      <c r="D168" s="354" t="s">
        <v>645</v>
      </c>
      <c r="E168" s="751"/>
      <c r="F168" s="751"/>
      <c r="G168" s="762"/>
      <c r="H168" s="751"/>
      <c r="I168" s="751"/>
      <c r="J168" s="751"/>
      <c r="K168" s="751"/>
      <c r="L168" s="751"/>
      <c r="M168" s="752"/>
    </row>
    <row r="169" spans="1:13" s="730" customFormat="1" x14ac:dyDescent="0.25">
      <c r="A169" s="753"/>
      <c r="B169" s="751"/>
      <c r="C169" s="755"/>
      <c r="D169" s="754"/>
      <c r="E169" s="751"/>
      <c r="F169" s="751"/>
      <c r="G169" s="751"/>
      <c r="H169" s="751"/>
      <c r="I169" s="751"/>
      <c r="J169" s="751"/>
      <c r="K169" s="751"/>
      <c r="L169" s="751"/>
      <c r="M169" s="752"/>
    </row>
    <row r="170" spans="1:13" s="423" customFormat="1" x14ac:dyDescent="0.25">
      <c r="A170" s="323" t="s">
        <v>486</v>
      </c>
      <c r="B170" s="523"/>
      <c r="C170" s="527"/>
      <c r="D170" s="523"/>
      <c r="E170" s="523"/>
      <c r="F170" s="523"/>
      <c r="G170" s="547"/>
      <c r="H170" s="523"/>
      <c r="I170" s="523"/>
      <c r="J170" s="523"/>
      <c r="K170" s="523"/>
      <c r="L170" s="523"/>
      <c r="M170" s="524"/>
    </row>
    <row r="171" spans="1:13" s="423" customFormat="1" x14ac:dyDescent="0.25">
      <c r="A171" s="523"/>
      <c r="B171" s="523"/>
      <c r="C171" s="527"/>
      <c r="D171" s="523"/>
      <c r="E171" s="523"/>
      <c r="F171" s="523"/>
      <c r="G171" s="547"/>
      <c r="H171" s="523"/>
      <c r="I171" s="523"/>
      <c r="J171" s="523"/>
      <c r="K171" s="523"/>
      <c r="L171" s="523"/>
      <c r="M171" s="524"/>
    </row>
    <row r="172" spans="1:13" s="423" customFormat="1" x14ac:dyDescent="0.25">
      <c r="A172" s="523"/>
      <c r="B172" s="523"/>
      <c r="C172" s="527"/>
      <c r="D172" s="523"/>
      <c r="E172" s="523"/>
      <c r="F172" s="523"/>
      <c r="G172" s="547"/>
      <c r="H172" s="523"/>
      <c r="I172" s="523"/>
      <c r="J172" s="523"/>
      <c r="K172" s="523"/>
      <c r="L172" s="523"/>
      <c r="M172" s="524"/>
    </row>
    <row r="173" spans="1:13" s="423" customFormat="1" x14ac:dyDescent="0.25">
      <c r="A173" s="523"/>
      <c r="B173" s="523"/>
      <c r="C173" s="527"/>
      <c r="D173" s="523"/>
      <c r="E173" s="523"/>
      <c r="F173" s="523"/>
      <c r="G173" s="547"/>
      <c r="H173" s="523"/>
      <c r="I173" s="523"/>
      <c r="J173" s="523"/>
      <c r="K173" s="523"/>
      <c r="L173" s="523"/>
      <c r="M173" s="524"/>
    </row>
    <row r="174" spans="1:13" s="423" customFormat="1" x14ac:dyDescent="0.25">
      <c r="A174" s="525"/>
      <c r="B174" s="523"/>
      <c r="C174" s="527"/>
      <c r="D174" s="523"/>
      <c r="E174" s="523"/>
      <c r="F174" s="523"/>
      <c r="G174" s="547"/>
      <c r="H174" s="523"/>
      <c r="I174" s="523"/>
      <c r="J174" s="523"/>
      <c r="K174" s="523"/>
      <c r="L174" s="523"/>
      <c r="M174" s="524"/>
    </row>
    <row r="175" spans="1:13" s="423" customFormat="1" ht="18" x14ac:dyDescent="0.25">
      <c r="A175" s="525"/>
      <c r="B175" s="545" t="s">
        <v>632</v>
      </c>
      <c r="C175" s="523">
        <v>1</v>
      </c>
      <c r="D175" s="324" t="s">
        <v>93</v>
      </c>
      <c r="E175" s="523"/>
      <c r="F175" s="523"/>
      <c r="G175" s="548"/>
      <c r="H175" s="523"/>
      <c r="I175" s="523"/>
      <c r="J175" s="523"/>
      <c r="K175" s="523"/>
      <c r="L175" s="523"/>
      <c r="M175" s="524"/>
    </row>
    <row r="176" spans="1:13" s="730" customFormat="1" ht="15.75" thickBot="1" x14ac:dyDescent="0.3">
      <c r="A176" s="756"/>
      <c r="B176" s="763"/>
      <c r="C176" s="757"/>
      <c r="D176" s="757"/>
      <c r="E176" s="757"/>
      <c r="F176" s="757"/>
      <c r="G176" s="764"/>
      <c r="H176" s="757"/>
      <c r="I176" s="757"/>
      <c r="J176" s="757"/>
      <c r="K176" s="757"/>
      <c r="L176" s="757"/>
      <c r="M176" s="758"/>
    </row>
    <row r="177" spans="1:13" s="730" customFormat="1" x14ac:dyDescent="0.25">
      <c r="A177" s="747"/>
      <c r="B177" s="748"/>
      <c r="C177" s="748"/>
      <c r="D177" s="748"/>
      <c r="E177" s="748"/>
      <c r="F177" s="748"/>
      <c r="G177" s="765"/>
      <c r="H177" s="748"/>
      <c r="I177" s="748"/>
      <c r="J177" s="748"/>
      <c r="K177" s="748"/>
      <c r="L177" s="748"/>
      <c r="M177" s="749"/>
    </row>
    <row r="178" spans="1:13" s="730" customFormat="1" x14ac:dyDescent="0.25">
      <c r="A178" s="750" t="s">
        <v>608</v>
      </c>
      <c r="B178" s="751"/>
      <c r="C178" s="751"/>
      <c r="D178" s="751"/>
      <c r="E178" s="751"/>
      <c r="F178" s="751"/>
      <c r="G178" s="766"/>
      <c r="H178" s="751"/>
      <c r="I178" s="751"/>
      <c r="J178" s="751"/>
      <c r="K178" s="751"/>
      <c r="L178" s="751"/>
      <c r="M178" s="752"/>
    </row>
    <row r="179" spans="1:13" s="730" customFormat="1" x14ac:dyDescent="0.25">
      <c r="A179" s="750"/>
      <c r="B179" s="751"/>
      <c r="C179" s="751"/>
      <c r="D179" s="751"/>
      <c r="E179" s="751"/>
      <c r="F179" s="751"/>
      <c r="G179" s="766"/>
      <c r="H179" s="751"/>
      <c r="I179" s="751"/>
      <c r="J179" s="751"/>
      <c r="K179" s="751"/>
      <c r="L179" s="751"/>
      <c r="M179" s="752"/>
    </row>
    <row r="180" spans="1:13" s="730" customFormat="1" x14ac:dyDescent="0.25">
      <c r="A180" s="750" t="s">
        <v>485</v>
      </c>
      <c r="B180" s="751"/>
      <c r="C180" s="751"/>
      <c r="D180" s="751"/>
      <c r="E180" s="751"/>
      <c r="F180" s="751"/>
      <c r="G180" s="766"/>
      <c r="H180" s="751"/>
      <c r="I180" s="751"/>
      <c r="J180" s="751"/>
      <c r="K180" s="751"/>
      <c r="L180" s="751"/>
      <c r="M180" s="752"/>
    </row>
    <row r="181" spans="1:13" s="730" customFormat="1" x14ac:dyDescent="0.25">
      <c r="A181" s="753"/>
      <c r="B181" s="751"/>
      <c r="C181" s="751"/>
      <c r="D181" s="751"/>
      <c r="E181" s="751"/>
      <c r="F181" s="751"/>
      <c r="G181" s="766"/>
      <c r="H181" s="751"/>
      <c r="I181" s="751"/>
      <c r="J181" s="751"/>
      <c r="K181" s="751"/>
      <c r="L181" s="751"/>
      <c r="M181" s="752"/>
    </row>
    <row r="182" spans="1:13" s="730" customFormat="1" x14ac:dyDescent="0.25">
      <c r="A182" s="753"/>
      <c r="B182" s="751" t="s">
        <v>464</v>
      </c>
      <c r="C182" s="354" t="s">
        <v>996</v>
      </c>
      <c r="D182" s="751"/>
      <c r="E182" s="751"/>
      <c r="F182" s="751"/>
      <c r="G182" s="766"/>
      <c r="H182" s="751"/>
      <c r="I182" s="751"/>
      <c r="J182" s="751"/>
      <c r="K182" s="751"/>
      <c r="L182" s="751"/>
      <c r="M182" s="752"/>
    </row>
    <row r="183" spans="1:13" s="730" customFormat="1" x14ac:dyDescent="0.25">
      <c r="A183" s="753"/>
      <c r="B183" s="751"/>
      <c r="C183" s="751"/>
      <c r="D183" s="751"/>
      <c r="E183" s="751"/>
      <c r="F183" s="751"/>
      <c r="G183" s="766"/>
      <c r="H183" s="751"/>
      <c r="I183" s="751"/>
      <c r="J183" s="751"/>
      <c r="K183" s="751"/>
      <c r="L183" s="751"/>
      <c r="M183" s="752"/>
    </row>
    <row r="184" spans="1:13" s="730" customFormat="1" x14ac:dyDescent="0.25">
      <c r="A184" s="753"/>
      <c r="B184" s="751" t="s">
        <v>464</v>
      </c>
      <c r="C184" s="1455">
        <f>'F-LSCD-002 (Pos. fuente)'!AH69*C91/2</f>
        <v>2.7234297889324675E-5</v>
      </c>
      <c r="D184" s="354" t="s">
        <v>645</v>
      </c>
      <c r="E184" s="751"/>
      <c r="F184" s="751"/>
      <c r="G184" s="766"/>
      <c r="H184" s="751"/>
      <c r="I184" s="751"/>
      <c r="J184" s="751"/>
      <c r="K184" s="751"/>
      <c r="L184" s="751"/>
      <c r="M184" s="752"/>
    </row>
    <row r="185" spans="1:13" s="730" customFormat="1" x14ac:dyDescent="0.25">
      <c r="A185" s="753"/>
      <c r="B185" s="751"/>
      <c r="C185" s="760"/>
      <c r="D185" s="754"/>
      <c r="E185" s="751"/>
      <c r="F185" s="751"/>
      <c r="G185" s="766"/>
      <c r="H185" s="751"/>
      <c r="I185" s="751"/>
      <c r="J185" s="751"/>
      <c r="K185" s="751"/>
      <c r="L185" s="751"/>
      <c r="M185" s="752"/>
    </row>
    <row r="186" spans="1:13" s="730" customFormat="1" x14ac:dyDescent="0.25">
      <c r="A186" s="753"/>
      <c r="B186" s="754" t="s">
        <v>397</v>
      </c>
      <c r="C186" s="751"/>
      <c r="D186" s="751"/>
      <c r="E186" s="751"/>
      <c r="F186" s="751"/>
      <c r="G186" s="751"/>
      <c r="H186" s="751"/>
      <c r="I186" s="751"/>
      <c r="J186" s="751"/>
      <c r="K186" s="751"/>
      <c r="L186" s="751"/>
      <c r="M186" s="752"/>
    </row>
    <row r="187" spans="1:13" s="730" customFormat="1" x14ac:dyDescent="0.25">
      <c r="A187" s="753"/>
      <c r="B187" s="754" t="s">
        <v>416</v>
      </c>
      <c r="C187" s="751"/>
      <c r="D187" s="751"/>
      <c r="E187" s="751"/>
      <c r="F187" s="751"/>
      <c r="G187" s="751"/>
      <c r="H187" s="751"/>
      <c r="I187" s="751"/>
      <c r="J187" s="751"/>
      <c r="K187" s="751"/>
      <c r="L187" s="751"/>
      <c r="M187" s="752"/>
    </row>
    <row r="188" spans="1:13" s="730" customFormat="1" x14ac:dyDescent="0.25">
      <c r="A188" s="753"/>
      <c r="B188" s="751"/>
      <c r="C188" s="755"/>
      <c r="D188" s="754"/>
      <c r="E188" s="751"/>
      <c r="F188" s="751"/>
      <c r="G188" s="751"/>
      <c r="H188" s="751"/>
      <c r="I188" s="751"/>
      <c r="J188" s="751"/>
      <c r="K188" s="751"/>
      <c r="L188" s="751"/>
      <c r="M188" s="752"/>
    </row>
    <row r="189" spans="1:13" s="423" customFormat="1" x14ac:dyDescent="0.25">
      <c r="A189" s="323" t="s">
        <v>487</v>
      </c>
      <c r="B189" s="526"/>
      <c r="C189" s="523"/>
      <c r="D189" s="523"/>
      <c r="E189" s="523"/>
      <c r="F189" s="523"/>
      <c r="G189" s="523"/>
      <c r="H189" s="523"/>
      <c r="I189" s="523"/>
      <c r="J189" s="523"/>
      <c r="K189" s="523"/>
      <c r="L189" s="523"/>
      <c r="M189" s="524"/>
    </row>
    <row r="190" spans="1:13" s="423" customFormat="1" x14ac:dyDescent="0.25">
      <c r="A190" s="525"/>
      <c r="B190" s="526"/>
      <c r="C190" s="523"/>
      <c r="D190" s="523"/>
      <c r="E190" s="523"/>
      <c r="F190" s="523"/>
      <c r="G190" s="523"/>
      <c r="H190" s="523"/>
      <c r="I190" s="523"/>
      <c r="J190" s="523"/>
      <c r="K190" s="523"/>
      <c r="L190" s="523"/>
      <c r="M190" s="524"/>
    </row>
    <row r="191" spans="1:13" s="423" customFormat="1" x14ac:dyDescent="0.25">
      <c r="A191" s="525"/>
      <c r="B191" s="523"/>
      <c r="C191" s="523"/>
      <c r="D191" s="523"/>
      <c r="E191" s="523"/>
      <c r="F191" s="523"/>
      <c r="G191" s="523"/>
      <c r="H191" s="523"/>
      <c r="I191" s="523"/>
      <c r="J191" s="523"/>
      <c r="K191" s="523"/>
      <c r="L191" s="523"/>
      <c r="M191" s="524"/>
    </row>
    <row r="192" spans="1:13" s="423" customFormat="1" x14ac:dyDescent="0.25">
      <c r="A192" s="525"/>
      <c r="B192" s="526"/>
      <c r="C192" s="523"/>
      <c r="D192" s="523"/>
      <c r="E192" s="523"/>
      <c r="F192" s="523"/>
      <c r="G192" s="523"/>
      <c r="H192" s="523"/>
      <c r="I192" s="523"/>
      <c r="J192" s="523"/>
      <c r="K192" s="523"/>
      <c r="L192" s="523"/>
      <c r="M192" s="524"/>
    </row>
    <row r="193" spans="1:13" s="423" customFormat="1" x14ac:dyDescent="0.25">
      <c r="A193" s="525"/>
      <c r="B193" s="526"/>
      <c r="C193" s="523"/>
      <c r="D193" s="523"/>
      <c r="E193" s="523"/>
      <c r="F193" s="523"/>
      <c r="G193" s="523"/>
      <c r="H193" s="523"/>
      <c r="I193" s="523"/>
      <c r="J193" s="523"/>
      <c r="K193" s="523"/>
      <c r="L193" s="523"/>
      <c r="M193" s="524"/>
    </row>
    <row r="194" spans="1:13" s="423" customFormat="1" ht="18" x14ac:dyDescent="0.25">
      <c r="A194" s="525"/>
      <c r="B194" s="545" t="s">
        <v>633</v>
      </c>
      <c r="C194" s="523">
        <v>1</v>
      </c>
      <c r="D194" s="324" t="s">
        <v>93</v>
      </c>
      <c r="E194" s="523"/>
      <c r="F194" s="523"/>
      <c r="G194" s="523"/>
      <c r="H194" s="523"/>
      <c r="I194" s="523"/>
      <c r="J194" s="523"/>
      <c r="K194" s="523"/>
      <c r="L194" s="523"/>
      <c r="M194" s="524"/>
    </row>
    <row r="195" spans="1:13" s="730" customFormat="1" ht="15.75" thickBot="1" x14ac:dyDescent="0.3">
      <c r="A195" s="756"/>
      <c r="B195" s="763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8"/>
    </row>
    <row r="196" spans="1:13" s="423" customFormat="1" x14ac:dyDescent="0.25">
      <c r="A196" s="519"/>
      <c r="B196" s="544"/>
      <c r="C196" s="520"/>
      <c r="D196" s="520"/>
      <c r="E196" s="520"/>
      <c r="F196" s="520"/>
      <c r="G196" s="520"/>
      <c r="H196" s="520"/>
      <c r="I196" s="520"/>
      <c r="J196" s="520"/>
      <c r="K196" s="520"/>
      <c r="L196" s="520"/>
      <c r="M196" s="521"/>
    </row>
    <row r="197" spans="1:13" s="423" customFormat="1" x14ac:dyDescent="0.25">
      <c r="A197" s="323" t="s">
        <v>992</v>
      </c>
      <c r="B197" s="526"/>
      <c r="C197" s="523"/>
      <c r="D197" s="523"/>
      <c r="E197" s="523"/>
      <c r="F197" s="523"/>
      <c r="G197" s="523"/>
      <c r="H197" s="523"/>
      <c r="I197" s="523"/>
      <c r="J197" s="523"/>
      <c r="K197" s="523"/>
      <c r="L197" s="523"/>
      <c r="M197" s="524"/>
    </row>
    <row r="198" spans="1:13" s="423" customFormat="1" x14ac:dyDescent="0.25">
      <c r="A198" s="522"/>
      <c r="B198" s="526"/>
      <c r="C198" s="523"/>
      <c r="D198" s="523"/>
      <c r="E198" s="523"/>
      <c r="F198" s="523"/>
      <c r="G198" s="523"/>
      <c r="H198" s="523"/>
      <c r="I198" s="523"/>
      <c r="J198" s="523"/>
      <c r="K198" s="523"/>
      <c r="L198" s="523"/>
      <c r="M198" s="524"/>
    </row>
    <row r="199" spans="1:13" s="423" customFormat="1" x14ac:dyDescent="0.25">
      <c r="A199" s="323" t="s">
        <v>494</v>
      </c>
      <c r="B199" s="526"/>
      <c r="C199" s="523"/>
      <c r="D199" s="523"/>
      <c r="E199" s="523"/>
      <c r="F199" s="523"/>
      <c r="G199" s="523"/>
      <c r="H199" s="523"/>
      <c r="I199" s="523"/>
      <c r="J199" s="523"/>
      <c r="K199" s="523"/>
      <c r="L199" s="523"/>
      <c r="M199" s="524"/>
    </row>
    <row r="200" spans="1:13" s="423" customFormat="1" x14ac:dyDescent="0.25">
      <c r="A200" s="522"/>
      <c r="B200" s="526"/>
      <c r="C200" s="523"/>
      <c r="D200" s="523"/>
      <c r="E200" s="523"/>
      <c r="F200" s="523"/>
      <c r="G200" s="523"/>
      <c r="H200" s="523"/>
      <c r="I200" s="523"/>
      <c r="J200" s="523"/>
      <c r="K200" s="523"/>
      <c r="L200" s="523"/>
      <c r="M200" s="524"/>
    </row>
    <row r="201" spans="1:13" s="423" customFormat="1" x14ac:dyDescent="0.25">
      <c r="A201" s="522"/>
      <c r="B201" s="526" t="s">
        <v>453</v>
      </c>
      <c r="C201" s="523"/>
      <c r="D201" s="523"/>
      <c r="E201" s="523"/>
      <c r="F201" s="523">
        <v>1.1000000000000001</v>
      </c>
      <c r="G201" s="526" t="s">
        <v>449</v>
      </c>
      <c r="H201" s="523"/>
      <c r="I201" s="523"/>
      <c r="J201" s="523"/>
      <c r="K201" s="523"/>
      <c r="L201" s="523"/>
      <c r="M201" s="524"/>
    </row>
    <row r="202" spans="1:13" s="423" customFormat="1" x14ac:dyDescent="0.25">
      <c r="A202" s="522"/>
      <c r="B202" s="526"/>
      <c r="C202" s="523"/>
      <c r="D202" s="523"/>
      <c r="E202" s="523"/>
      <c r="F202" s="523"/>
      <c r="G202" s="523"/>
      <c r="H202" s="523"/>
      <c r="I202" s="523"/>
      <c r="J202" s="523"/>
      <c r="K202" s="523"/>
      <c r="L202" s="523"/>
      <c r="M202" s="524"/>
    </row>
    <row r="203" spans="1:13" s="423" customFormat="1" x14ac:dyDescent="0.25">
      <c r="A203" s="522"/>
      <c r="B203" s="523" t="s">
        <v>464</v>
      </c>
      <c r="C203" s="526" t="str">
        <f>"(Kerma en aire medido a "&amp;C92-F201/1000&amp;" m - Kerma en aire teórico a "&amp;C92+F201/1000&amp;" m)/2"</f>
        <v>(Kerma en aire medido a 1.9989 m - Kerma en aire teórico a 2.0011 m)/2</v>
      </c>
      <c r="D203" s="523"/>
      <c r="E203" s="523"/>
      <c r="F203" s="523"/>
      <c r="G203" s="523"/>
      <c r="H203" s="523"/>
      <c r="I203" s="523"/>
      <c r="J203" s="523"/>
      <c r="K203" s="523"/>
      <c r="L203" s="523"/>
      <c r="M203" s="524"/>
    </row>
    <row r="204" spans="1:13" s="423" customFormat="1" x14ac:dyDescent="0.25">
      <c r="A204" s="522"/>
      <c r="B204" s="523"/>
      <c r="C204" s="526"/>
      <c r="D204" s="523"/>
      <c r="E204" s="523"/>
      <c r="F204" s="523"/>
      <c r="G204" s="523"/>
      <c r="H204" s="523"/>
      <c r="I204" s="523"/>
      <c r="J204" s="523"/>
      <c r="K204" s="523"/>
      <c r="L204" s="523"/>
      <c r="M204" s="524"/>
    </row>
    <row r="205" spans="1:13" s="423" customFormat="1" x14ac:dyDescent="0.25">
      <c r="A205" s="522"/>
      <c r="B205" s="523" t="s">
        <v>464</v>
      </c>
      <c r="C205" s="527">
        <f>((C91*C92^2/(C92-F201/1000)^2)-(C91*C92^2/(C92+F201/1000)^2))/2</f>
        <v>1.5042060672373209E-5</v>
      </c>
      <c r="D205" s="354" t="s">
        <v>645</v>
      </c>
      <c r="E205" s="523"/>
      <c r="F205" s="523"/>
      <c r="G205" s="523"/>
      <c r="H205" s="523"/>
      <c r="I205" s="523"/>
      <c r="J205" s="523"/>
      <c r="K205" s="523"/>
      <c r="L205" s="523"/>
      <c r="M205" s="524"/>
    </row>
    <row r="206" spans="1:13" s="423" customFormat="1" x14ac:dyDescent="0.25">
      <c r="A206" s="522"/>
      <c r="B206" s="523"/>
      <c r="C206" s="527"/>
      <c r="D206" s="523"/>
      <c r="E206" s="523"/>
      <c r="F206" s="523"/>
      <c r="G206" s="523"/>
      <c r="H206" s="523"/>
      <c r="I206" s="523"/>
      <c r="J206" s="523"/>
      <c r="K206" s="523"/>
      <c r="L206" s="523"/>
      <c r="M206" s="524"/>
    </row>
    <row r="207" spans="1:13" s="423" customFormat="1" x14ac:dyDescent="0.25">
      <c r="A207" s="323" t="s">
        <v>495</v>
      </c>
      <c r="B207" s="523"/>
      <c r="C207" s="527"/>
      <c r="D207" s="523"/>
      <c r="E207" s="523"/>
      <c r="F207" s="523"/>
      <c r="G207" s="523"/>
      <c r="H207" s="523"/>
      <c r="I207" s="523"/>
      <c r="J207" s="523"/>
      <c r="K207" s="523"/>
      <c r="L207" s="523"/>
      <c r="M207" s="524"/>
    </row>
    <row r="208" spans="1:13" s="423" customFormat="1" x14ac:dyDescent="0.25">
      <c r="A208" s="522"/>
      <c r="B208" s="523"/>
      <c r="C208" s="527"/>
      <c r="D208" s="523"/>
      <c r="E208" s="523"/>
      <c r="F208" s="523"/>
      <c r="G208" s="523"/>
      <c r="H208" s="523"/>
      <c r="I208" s="523"/>
      <c r="J208" s="523"/>
      <c r="K208" s="523"/>
      <c r="L208" s="523"/>
      <c r="M208" s="524"/>
    </row>
    <row r="209" spans="1:13" s="423" customFormat="1" x14ac:dyDescent="0.25">
      <c r="A209" s="522"/>
      <c r="B209" s="523"/>
      <c r="C209" s="527"/>
      <c r="D209" s="523"/>
      <c r="E209" s="523"/>
      <c r="F209" s="523"/>
      <c r="G209" s="523"/>
      <c r="H209" s="523"/>
      <c r="I209" s="523"/>
      <c r="J209" s="523"/>
      <c r="K209" s="523"/>
      <c r="L209" s="523"/>
      <c r="M209" s="524"/>
    </row>
    <row r="210" spans="1:13" s="423" customFormat="1" x14ac:dyDescent="0.25">
      <c r="A210" s="522"/>
      <c r="B210" s="523"/>
      <c r="C210" s="527"/>
      <c r="D210" s="523"/>
      <c r="E210" s="523"/>
      <c r="F210" s="523"/>
      <c r="G210" s="523"/>
      <c r="H210" s="523"/>
      <c r="I210" s="523"/>
      <c r="J210" s="523"/>
      <c r="K210" s="523"/>
      <c r="L210" s="523"/>
      <c r="M210" s="524"/>
    </row>
    <row r="211" spans="1:13" s="423" customFormat="1" x14ac:dyDescent="0.25">
      <c r="A211" s="522"/>
      <c r="B211" s="523"/>
      <c r="C211" s="526"/>
      <c r="D211" s="523"/>
      <c r="E211" s="523"/>
      <c r="F211" s="523"/>
      <c r="G211" s="523"/>
      <c r="H211" s="523"/>
      <c r="I211" s="523"/>
      <c r="J211" s="523"/>
      <c r="K211" s="523"/>
      <c r="L211" s="523"/>
      <c r="M211" s="524"/>
    </row>
    <row r="212" spans="1:13" s="423" customFormat="1" ht="18" x14ac:dyDescent="0.25">
      <c r="A212" s="522"/>
      <c r="B212" s="545" t="s">
        <v>634</v>
      </c>
      <c r="C212" s="523">
        <v>1</v>
      </c>
      <c r="D212" s="324" t="s">
        <v>93</v>
      </c>
      <c r="E212" s="523"/>
      <c r="F212" s="523"/>
      <c r="G212" s="523"/>
      <c r="H212" s="523"/>
      <c r="I212" s="523"/>
      <c r="J212" s="523"/>
      <c r="K212" s="523"/>
      <c r="L212" s="523"/>
      <c r="M212" s="524"/>
    </row>
    <row r="213" spans="1:13" s="423" customFormat="1" ht="15.75" thickBot="1" x14ac:dyDescent="0.3">
      <c r="A213" s="552"/>
      <c r="B213" s="530"/>
      <c r="C213" s="543"/>
      <c r="D213" s="530"/>
      <c r="E213" s="530"/>
      <c r="F213" s="530"/>
      <c r="G213" s="530"/>
      <c r="H213" s="530"/>
      <c r="I213" s="530"/>
      <c r="J213" s="530"/>
      <c r="K213" s="530"/>
      <c r="L213" s="530"/>
      <c r="M213" s="531"/>
    </row>
    <row r="214" spans="1:13" s="423" customFormat="1" x14ac:dyDescent="0.25">
      <c r="A214" s="553"/>
      <c r="B214" s="520"/>
      <c r="C214" s="544"/>
      <c r="D214" s="520"/>
      <c r="E214" s="520"/>
      <c r="F214" s="520"/>
      <c r="G214" s="520"/>
      <c r="H214" s="520"/>
      <c r="I214" s="520"/>
      <c r="J214" s="520"/>
      <c r="K214" s="520"/>
      <c r="L214" s="520"/>
      <c r="M214" s="521"/>
    </row>
    <row r="215" spans="1:13" s="423" customFormat="1" x14ac:dyDescent="0.25">
      <c r="A215" s="323" t="s">
        <v>678</v>
      </c>
      <c r="B215" s="526"/>
      <c r="C215" s="523"/>
      <c r="D215" s="523"/>
      <c r="E215" s="523"/>
      <c r="F215" s="523"/>
      <c r="G215" s="523"/>
      <c r="H215" s="523"/>
      <c r="I215" s="523"/>
      <c r="J215" s="523"/>
      <c r="K215" s="523"/>
      <c r="L215" s="523"/>
      <c r="M215" s="524"/>
    </row>
    <row r="216" spans="1:13" s="423" customFormat="1" x14ac:dyDescent="0.25">
      <c r="A216" s="522"/>
      <c r="B216" s="526"/>
      <c r="C216" s="523"/>
      <c r="D216" s="523"/>
      <c r="E216" s="523"/>
      <c r="F216" s="523"/>
      <c r="G216" s="523"/>
      <c r="H216" s="523"/>
      <c r="I216" s="523"/>
      <c r="J216" s="523"/>
      <c r="K216" s="523"/>
      <c r="L216" s="523"/>
      <c r="M216" s="524"/>
    </row>
    <row r="217" spans="1:13" s="423" customFormat="1" x14ac:dyDescent="0.25">
      <c r="A217" s="323" t="s">
        <v>498</v>
      </c>
      <c r="B217" s="526"/>
      <c r="C217" s="523"/>
      <c r="D217" s="523"/>
      <c r="E217" s="523"/>
      <c r="F217" s="523"/>
      <c r="G217" s="523"/>
      <c r="H217" s="523"/>
      <c r="I217" s="523"/>
      <c r="J217" s="523"/>
      <c r="K217" s="523"/>
      <c r="L217" s="523"/>
      <c r="M217" s="524"/>
    </row>
    <row r="218" spans="1:13" s="423" customFormat="1" x14ac:dyDescent="0.25">
      <c r="A218" s="522"/>
      <c r="B218" s="526"/>
      <c r="C218" s="523"/>
      <c r="D218" s="523"/>
      <c r="E218" s="523"/>
      <c r="F218" s="523"/>
      <c r="G218" s="523"/>
      <c r="H218" s="523"/>
      <c r="I218" s="523"/>
      <c r="J218" s="523"/>
      <c r="K218" s="523"/>
      <c r="L218" s="523"/>
      <c r="M218" s="524"/>
    </row>
    <row r="219" spans="1:13" s="423" customFormat="1" x14ac:dyDescent="0.25">
      <c r="A219" s="522"/>
      <c r="B219" s="526" t="s">
        <v>454</v>
      </c>
      <c r="C219" s="523"/>
      <c r="D219" s="523"/>
      <c r="E219" s="523"/>
      <c r="F219" s="523">
        <f>'F-LSCD-002 (Dosimetría)'!D66</f>
        <v>1</v>
      </c>
      <c r="G219" s="523" t="s">
        <v>449</v>
      </c>
      <c r="H219" s="523"/>
      <c r="I219" s="523"/>
      <c r="J219" s="523"/>
      <c r="K219" s="523"/>
      <c r="L219" s="523"/>
      <c r="M219" s="524"/>
    </row>
    <row r="220" spans="1:13" s="423" customFormat="1" x14ac:dyDescent="0.25">
      <c r="A220" s="522"/>
      <c r="B220" s="526"/>
      <c r="C220" s="523"/>
      <c r="D220" s="523"/>
      <c r="E220" s="523"/>
      <c r="F220" s="523"/>
      <c r="G220" s="523"/>
      <c r="H220" s="523"/>
      <c r="I220" s="523"/>
      <c r="J220" s="523"/>
      <c r="K220" s="523"/>
      <c r="L220" s="523"/>
      <c r="M220" s="524"/>
    </row>
    <row r="221" spans="1:13" s="423" customFormat="1" x14ac:dyDescent="0.25">
      <c r="A221" s="522"/>
      <c r="B221" s="523" t="s">
        <v>464</v>
      </c>
      <c r="C221" s="526" t="str">
        <f>"(Kerma en aire medido a "&amp;C92-F219/1000&amp;" m - Kerma en aire teórico a "&amp;C92+F219/1000&amp;" m)/2"</f>
        <v>(Kerma en aire medido a 1.999 m - Kerma en aire teórico a 2.001 m)/2</v>
      </c>
      <c r="D221" s="523"/>
      <c r="E221" s="523"/>
      <c r="F221" s="523"/>
      <c r="G221" s="523"/>
      <c r="H221" s="523"/>
      <c r="I221" s="523"/>
      <c r="J221" s="523"/>
      <c r="K221" s="523"/>
      <c r="L221" s="523"/>
      <c r="M221" s="524"/>
    </row>
    <row r="222" spans="1:13" s="423" customFormat="1" x14ac:dyDescent="0.25">
      <c r="A222" s="522"/>
      <c r="B222" s="526"/>
      <c r="C222" s="523"/>
      <c r="D222" s="523"/>
      <c r="E222" s="523"/>
      <c r="F222" s="523"/>
      <c r="G222" s="523"/>
      <c r="H222" s="523"/>
      <c r="I222" s="523"/>
      <c r="J222" s="523"/>
      <c r="K222" s="523"/>
      <c r="L222" s="523"/>
      <c r="M222" s="524"/>
    </row>
    <row r="223" spans="1:13" s="423" customFormat="1" x14ac:dyDescent="0.25">
      <c r="A223" s="522"/>
      <c r="B223" s="523" t="s">
        <v>464</v>
      </c>
      <c r="C223" s="527">
        <f>((C91*C92^2/(C92-F219/1000)^2)-(C91*C92^2/(C92+F219/1000)^2))/2</f>
        <v>1.3674599175412389E-5</v>
      </c>
      <c r="D223" s="354" t="s">
        <v>645</v>
      </c>
      <c r="E223" s="523"/>
      <c r="F223" s="523"/>
      <c r="G223" s="523"/>
      <c r="H223" s="523"/>
      <c r="I223" s="523"/>
      <c r="J223" s="523"/>
      <c r="K223" s="523"/>
      <c r="L223" s="523"/>
      <c r="M223" s="524"/>
    </row>
    <row r="224" spans="1:13" s="423" customFormat="1" x14ac:dyDescent="0.25">
      <c r="A224" s="522"/>
      <c r="B224" s="523"/>
      <c r="C224" s="527"/>
      <c r="D224" s="523"/>
      <c r="E224" s="523"/>
      <c r="F224" s="523"/>
      <c r="G224" s="523"/>
      <c r="H224" s="523"/>
      <c r="I224" s="523"/>
      <c r="J224" s="523"/>
      <c r="K224" s="523"/>
      <c r="L224" s="523"/>
      <c r="M224" s="524"/>
    </row>
    <row r="225" spans="1:13" s="423" customFormat="1" x14ac:dyDescent="0.25">
      <c r="A225" s="323" t="s">
        <v>499</v>
      </c>
      <c r="B225" s="523"/>
      <c r="C225" s="527"/>
      <c r="D225" s="523"/>
      <c r="E225" s="523"/>
      <c r="F225" s="523"/>
      <c r="G225" s="523"/>
      <c r="H225" s="523"/>
      <c r="I225" s="523"/>
      <c r="J225" s="523"/>
      <c r="K225" s="523"/>
      <c r="L225" s="523"/>
      <c r="M225" s="524"/>
    </row>
    <row r="226" spans="1:13" s="423" customFormat="1" x14ac:dyDescent="0.25">
      <c r="A226" s="522"/>
      <c r="B226" s="523"/>
      <c r="C226" s="527"/>
      <c r="D226" s="523"/>
      <c r="E226" s="523"/>
      <c r="F226" s="523"/>
      <c r="G226" s="523"/>
      <c r="H226" s="523"/>
      <c r="I226" s="523"/>
      <c r="J226" s="523"/>
      <c r="K226" s="523"/>
      <c r="L226" s="523"/>
      <c r="M226" s="524"/>
    </row>
    <row r="227" spans="1:13" s="423" customFormat="1" x14ac:dyDescent="0.25">
      <c r="A227" s="522"/>
      <c r="B227" s="523"/>
      <c r="C227" s="527"/>
      <c r="D227" s="523"/>
      <c r="E227" s="523"/>
      <c r="F227" s="523"/>
      <c r="G227" s="523"/>
      <c r="H227" s="523"/>
      <c r="I227" s="523"/>
      <c r="J227" s="523"/>
      <c r="K227" s="523"/>
      <c r="L227" s="523"/>
      <c r="M227" s="524"/>
    </row>
    <row r="228" spans="1:13" s="423" customFormat="1" x14ac:dyDescent="0.25">
      <c r="A228" s="522"/>
      <c r="B228" s="523"/>
      <c r="C228" s="527"/>
      <c r="D228" s="523"/>
      <c r="E228" s="523"/>
      <c r="F228" s="523"/>
      <c r="G228" s="523"/>
      <c r="H228" s="523"/>
      <c r="I228" s="523"/>
      <c r="J228" s="523"/>
      <c r="K228" s="523"/>
      <c r="L228" s="523"/>
      <c r="M228" s="524"/>
    </row>
    <row r="229" spans="1:13" s="423" customFormat="1" x14ac:dyDescent="0.25">
      <c r="A229" s="522"/>
      <c r="B229" s="523"/>
      <c r="C229" s="527"/>
      <c r="D229" s="523"/>
      <c r="E229" s="523"/>
      <c r="F229" s="523"/>
      <c r="G229" s="523"/>
      <c r="H229" s="523"/>
      <c r="I229" s="523"/>
      <c r="J229" s="523"/>
      <c r="K229" s="523"/>
      <c r="L229" s="523"/>
      <c r="M229" s="524"/>
    </row>
    <row r="230" spans="1:13" s="423" customFormat="1" ht="18" x14ac:dyDescent="0.25">
      <c r="A230" s="522"/>
      <c r="B230" s="523" t="s">
        <v>510</v>
      </c>
      <c r="C230" s="523">
        <v>1</v>
      </c>
      <c r="D230" s="324" t="s">
        <v>93</v>
      </c>
      <c r="E230" s="523"/>
      <c r="F230" s="523"/>
      <c r="G230" s="523"/>
      <c r="H230" s="523"/>
      <c r="I230" s="523"/>
      <c r="J230" s="523"/>
      <c r="K230" s="523"/>
      <c r="L230" s="523"/>
      <c r="M230" s="524"/>
    </row>
    <row r="231" spans="1:13" s="423" customFormat="1" ht="15.75" thickBot="1" x14ac:dyDescent="0.3">
      <c r="A231" s="552"/>
      <c r="B231" s="530"/>
      <c r="C231" s="554"/>
      <c r="D231" s="530"/>
      <c r="E231" s="530"/>
      <c r="F231" s="530"/>
      <c r="G231" s="530"/>
      <c r="H231" s="530"/>
      <c r="I231" s="530"/>
      <c r="J231" s="530"/>
      <c r="K231" s="530"/>
      <c r="L231" s="530"/>
      <c r="M231" s="531"/>
    </row>
    <row r="232" spans="1:13" x14ac:dyDescent="0.25">
      <c r="A232" s="1138"/>
      <c r="B232" s="1139"/>
      <c r="C232" s="1152"/>
      <c r="D232" s="1139"/>
      <c r="E232" s="1139"/>
      <c r="F232" s="1139"/>
      <c r="G232" s="1139"/>
      <c r="H232" s="1139"/>
      <c r="I232" s="1139"/>
      <c r="J232" s="1139"/>
      <c r="K232" s="1139"/>
      <c r="L232" s="1139"/>
      <c r="M232" s="1140"/>
    </row>
    <row r="233" spans="1:13" x14ac:dyDescent="0.25">
      <c r="A233" s="323" t="s">
        <v>997</v>
      </c>
      <c r="B233" s="1142"/>
      <c r="C233" s="1142"/>
      <c r="D233" s="1142"/>
      <c r="E233" s="1142"/>
      <c r="F233" s="1142"/>
      <c r="G233" s="1142"/>
      <c r="H233" s="1142"/>
      <c r="I233" s="1142"/>
      <c r="J233" s="1142"/>
      <c r="K233" s="1142"/>
      <c r="L233" s="1142"/>
      <c r="M233" s="1144"/>
    </row>
    <row r="234" spans="1:13" x14ac:dyDescent="0.25">
      <c r="A234" s="1141"/>
      <c r="B234" s="1142"/>
      <c r="C234" s="1142"/>
      <c r="D234" s="1142"/>
      <c r="E234" s="1142"/>
      <c r="F234" s="1142"/>
      <c r="G234" s="1142"/>
      <c r="H234" s="1142"/>
      <c r="I234" s="1142"/>
      <c r="J234" s="1142"/>
      <c r="K234" s="1142"/>
      <c r="L234" s="1142"/>
      <c r="M234" s="1144"/>
    </row>
    <row r="235" spans="1:13" x14ac:dyDescent="0.25">
      <c r="A235" s="323" t="s">
        <v>502</v>
      </c>
      <c r="B235" s="1142"/>
      <c r="C235" s="1142"/>
      <c r="D235" s="1142"/>
      <c r="E235" s="1142"/>
      <c r="F235" s="1142"/>
      <c r="G235" s="1142"/>
      <c r="H235" s="1142"/>
      <c r="I235" s="1142"/>
      <c r="J235" s="1142"/>
      <c r="K235" s="1142"/>
      <c r="L235" s="1142"/>
      <c r="M235" s="1144"/>
    </row>
    <row r="236" spans="1:13" x14ac:dyDescent="0.25">
      <c r="A236" s="1145"/>
      <c r="B236" s="1142"/>
      <c r="C236" s="1142"/>
      <c r="D236" s="1142"/>
      <c r="E236" s="1142"/>
      <c r="F236" s="1142"/>
      <c r="G236" s="1142"/>
      <c r="H236" s="1142"/>
      <c r="I236" s="1142"/>
      <c r="J236" s="1142"/>
      <c r="K236" s="1142"/>
      <c r="L236" s="1142"/>
      <c r="M236" s="1144"/>
    </row>
    <row r="237" spans="1:13" x14ac:dyDescent="0.25">
      <c r="A237" s="1145"/>
      <c r="B237" s="1142" t="s">
        <v>464</v>
      </c>
      <c r="C237" s="1146" t="s">
        <v>664</v>
      </c>
      <c r="D237" s="1142"/>
      <c r="E237" s="1142"/>
      <c r="F237" s="1142"/>
      <c r="G237" s="1142"/>
      <c r="H237" s="1142"/>
      <c r="I237" s="1142"/>
      <c r="J237" s="1142"/>
      <c r="K237" s="1142"/>
      <c r="L237" s="1142"/>
      <c r="M237" s="1144"/>
    </row>
    <row r="238" spans="1:13" x14ac:dyDescent="0.25">
      <c r="A238" s="1145"/>
      <c r="B238" s="1142"/>
      <c r="C238" s="1142"/>
      <c r="D238" s="1142"/>
      <c r="E238" s="1142"/>
      <c r="F238" s="1142"/>
      <c r="G238" s="1142"/>
      <c r="H238" s="1142"/>
      <c r="I238" s="1142"/>
      <c r="J238" s="1142"/>
      <c r="K238" s="1142"/>
      <c r="L238" s="1142"/>
      <c r="M238" s="1144"/>
    </row>
    <row r="239" spans="1:13" x14ac:dyDescent="0.25">
      <c r="A239" s="1145"/>
      <c r="B239" s="1142" t="s">
        <v>464</v>
      </c>
      <c r="C239" s="1143">
        <f>2/100*C91</f>
        <v>2.7349184676230638E-4</v>
      </c>
      <c r="D239" s="1146" t="s">
        <v>645</v>
      </c>
      <c r="E239" s="1142"/>
      <c r="F239" s="1142"/>
      <c r="G239" s="1142"/>
      <c r="H239" s="1142"/>
      <c r="I239" s="1142"/>
      <c r="J239" s="1142"/>
      <c r="K239" s="1142"/>
      <c r="L239" s="1142"/>
      <c r="M239" s="1144"/>
    </row>
    <row r="240" spans="1:13" x14ac:dyDescent="0.25">
      <c r="A240" s="1145"/>
      <c r="B240" s="1142"/>
      <c r="C240" s="1142"/>
      <c r="D240" s="1142"/>
      <c r="E240" s="1142"/>
      <c r="F240" s="1142"/>
      <c r="G240" s="1142"/>
      <c r="H240" s="1142"/>
      <c r="I240" s="1142"/>
      <c r="J240" s="1142"/>
      <c r="K240" s="1142"/>
      <c r="L240" s="1142"/>
      <c r="M240" s="1144"/>
    </row>
    <row r="241" spans="1:13" x14ac:dyDescent="0.25">
      <c r="A241" s="1145"/>
      <c r="B241" s="1146" t="s">
        <v>397</v>
      </c>
      <c r="C241" s="1142"/>
      <c r="D241" s="1142"/>
      <c r="E241" s="1142"/>
      <c r="F241" s="1142"/>
      <c r="G241" s="1142"/>
      <c r="H241" s="1142"/>
      <c r="I241" s="1142"/>
      <c r="J241" s="1142"/>
      <c r="K241" s="1142"/>
      <c r="L241" s="1142"/>
      <c r="M241" s="1144"/>
    </row>
    <row r="242" spans="1:13" x14ac:dyDescent="0.25">
      <c r="A242" s="1145"/>
      <c r="B242" s="1146" t="s">
        <v>663</v>
      </c>
      <c r="C242" s="1142"/>
      <c r="D242" s="1142"/>
      <c r="E242" s="1142"/>
      <c r="F242" s="1142"/>
      <c r="G242" s="1142"/>
      <c r="H242" s="1142"/>
      <c r="I242" s="1142"/>
      <c r="J242" s="1142"/>
      <c r="K242" s="1142"/>
      <c r="L242" s="1142"/>
      <c r="M242" s="1144"/>
    </row>
    <row r="243" spans="1:13" x14ac:dyDescent="0.25">
      <c r="A243" s="1145"/>
      <c r="B243" s="1146"/>
      <c r="C243" s="1142"/>
      <c r="D243" s="1142"/>
      <c r="E243" s="1142"/>
      <c r="F243" s="1142"/>
      <c r="G243" s="1142"/>
      <c r="H243" s="1142"/>
      <c r="I243" s="1142"/>
      <c r="J243" s="1142"/>
      <c r="K243" s="1142"/>
      <c r="L243" s="1142"/>
      <c r="M243" s="1144"/>
    </row>
    <row r="244" spans="1:13" x14ac:dyDescent="0.25">
      <c r="A244" s="323" t="s">
        <v>503</v>
      </c>
      <c r="B244" s="1142"/>
      <c r="C244" s="1143"/>
      <c r="D244" s="1142"/>
      <c r="E244" s="1142"/>
      <c r="F244" s="1142"/>
      <c r="G244" s="1142"/>
      <c r="H244" s="1142"/>
      <c r="I244" s="1142"/>
      <c r="J244" s="1142"/>
      <c r="K244" s="1142"/>
      <c r="L244" s="1142"/>
      <c r="M244" s="1144"/>
    </row>
    <row r="245" spans="1:13" x14ac:dyDescent="0.25">
      <c r="A245" s="1145"/>
      <c r="B245" s="1146"/>
      <c r="C245" s="1142"/>
      <c r="D245" s="1142"/>
      <c r="E245" s="1142"/>
      <c r="F245" s="1142"/>
      <c r="G245" s="1142"/>
      <c r="H245" s="1142"/>
      <c r="I245" s="1142"/>
      <c r="J245" s="1142"/>
      <c r="K245" s="1142"/>
      <c r="L245" s="1142"/>
      <c r="M245" s="1144"/>
    </row>
    <row r="246" spans="1:13" x14ac:dyDescent="0.25">
      <c r="A246" s="1145"/>
      <c r="B246" s="1142"/>
      <c r="C246" s="1142"/>
      <c r="D246" s="1142"/>
      <c r="E246" s="1142"/>
      <c r="F246" s="1142"/>
      <c r="G246" s="1142"/>
      <c r="H246" s="1142"/>
      <c r="I246" s="1142"/>
      <c r="J246" s="1142"/>
      <c r="K246" s="1142"/>
      <c r="L246" s="1142"/>
      <c r="M246" s="1144"/>
    </row>
    <row r="247" spans="1:13" x14ac:dyDescent="0.25">
      <c r="A247" s="1145"/>
      <c r="B247" s="1146"/>
      <c r="C247" s="1142"/>
      <c r="D247" s="1142"/>
      <c r="E247" s="1142"/>
      <c r="F247" s="1142"/>
      <c r="G247" s="1142"/>
      <c r="H247" s="1142"/>
      <c r="I247" s="1142"/>
      <c r="J247" s="1142"/>
      <c r="K247" s="1142"/>
      <c r="L247" s="1142"/>
      <c r="M247" s="1144"/>
    </row>
    <row r="248" spans="1:13" x14ac:dyDescent="0.25">
      <c r="A248" s="1145"/>
      <c r="B248" s="1146"/>
      <c r="C248" s="1142"/>
      <c r="D248" s="1142"/>
      <c r="E248" s="1142"/>
      <c r="F248" s="1142"/>
      <c r="G248" s="1142"/>
      <c r="H248" s="1142"/>
      <c r="I248" s="1142"/>
      <c r="J248" s="1142"/>
      <c r="K248" s="1142"/>
      <c r="L248" s="1142"/>
      <c r="M248" s="1144"/>
    </row>
    <row r="249" spans="1:13" ht="18" x14ac:dyDescent="0.25">
      <c r="A249" s="1145"/>
      <c r="B249" s="1142" t="s">
        <v>665</v>
      </c>
      <c r="C249" s="1142">
        <v>1</v>
      </c>
      <c r="D249" s="1142" t="s">
        <v>93</v>
      </c>
      <c r="E249" s="1142"/>
      <c r="F249" s="1142"/>
      <c r="G249" s="1142"/>
      <c r="H249" s="1142"/>
      <c r="I249" s="1142"/>
      <c r="J249" s="1142"/>
      <c r="K249" s="1142"/>
      <c r="L249" s="1142"/>
      <c r="M249" s="1144"/>
    </row>
    <row r="250" spans="1:13" ht="15.75" thickBot="1" x14ac:dyDescent="0.3">
      <c r="A250" s="1149"/>
      <c r="B250" s="1150"/>
      <c r="C250" s="1150"/>
      <c r="D250" s="1150"/>
      <c r="E250" s="1150"/>
      <c r="F250" s="1150"/>
      <c r="G250" s="1150"/>
      <c r="H250" s="1150"/>
      <c r="I250" s="1150"/>
      <c r="J250" s="1150"/>
      <c r="K250" s="1150"/>
      <c r="L250" s="1150"/>
      <c r="M250" s="1151"/>
    </row>
    <row r="251" spans="1:13" ht="16.5" customHeight="1" x14ac:dyDescent="0.25">
      <c r="A251" s="1138"/>
      <c r="B251" s="1156"/>
      <c r="C251" s="1139"/>
      <c r="D251" s="1139"/>
      <c r="E251" s="1139"/>
      <c r="F251" s="1139"/>
      <c r="G251" s="1139"/>
      <c r="H251" s="1139"/>
      <c r="I251" s="1139"/>
      <c r="J251" s="1139"/>
      <c r="K251" s="1139"/>
      <c r="L251" s="1139"/>
      <c r="M251" s="1140"/>
    </row>
    <row r="252" spans="1:13" x14ac:dyDescent="0.25">
      <c r="A252" s="323" t="s">
        <v>999</v>
      </c>
      <c r="B252" s="1146"/>
      <c r="C252" s="1142"/>
      <c r="D252" s="1142"/>
      <c r="E252" s="1142"/>
      <c r="F252" s="1142"/>
      <c r="G252" s="1142"/>
      <c r="H252" s="1142"/>
      <c r="I252" s="1142"/>
      <c r="J252" s="1142"/>
      <c r="K252" s="1142"/>
      <c r="L252" s="1142"/>
      <c r="M252" s="1144"/>
    </row>
    <row r="253" spans="1:13" x14ac:dyDescent="0.25">
      <c r="A253" s="1141"/>
      <c r="B253" s="1146"/>
      <c r="C253" s="1142"/>
      <c r="D253" s="1142"/>
      <c r="E253" s="1142"/>
      <c r="F253" s="1142"/>
      <c r="G253" s="1142"/>
      <c r="H253" s="1142"/>
      <c r="I253" s="1142"/>
      <c r="J253" s="1142"/>
      <c r="K253" s="1142"/>
      <c r="L253" s="1142"/>
      <c r="M253" s="1144"/>
    </row>
    <row r="254" spans="1:13" x14ac:dyDescent="0.25">
      <c r="A254" s="323" t="s">
        <v>504</v>
      </c>
      <c r="B254" s="1146"/>
      <c r="C254" s="1142"/>
      <c r="D254" s="1142"/>
      <c r="E254" s="1142"/>
      <c r="F254" s="1142"/>
      <c r="G254" s="1142"/>
      <c r="H254" s="1142"/>
      <c r="I254" s="1142"/>
      <c r="J254" s="1142"/>
      <c r="K254" s="1142"/>
      <c r="L254" s="1142"/>
      <c r="M254" s="1144"/>
    </row>
    <row r="255" spans="1:13" x14ac:dyDescent="0.25">
      <c r="A255" s="1141"/>
      <c r="B255" s="1146"/>
      <c r="C255" s="1142"/>
      <c r="D255" s="1142"/>
      <c r="E255" s="1142"/>
      <c r="F255" s="1142"/>
      <c r="G255" s="1142"/>
      <c r="H255" s="1142"/>
      <c r="I255" s="1142"/>
      <c r="J255" s="1142"/>
      <c r="K255" s="1142"/>
      <c r="L255" s="1142"/>
      <c r="M255" s="1144"/>
    </row>
    <row r="256" spans="1:13" x14ac:dyDescent="0.25">
      <c r="A256" s="1141"/>
      <c r="B256" s="1142" t="s">
        <v>464</v>
      </c>
      <c r="C256" s="1146" t="s">
        <v>455</v>
      </c>
      <c r="D256" s="1142"/>
      <c r="E256" s="1142"/>
      <c r="F256" s="1142"/>
      <c r="G256" s="1142"/>
      <c r="H256" s="1142"/>
      <c r="I256" s="1142"/>
      <c r="J256" s="1142"/>
      <c r="K256" s="1142"/>
      <c r="L256" s="1142"/>
      <c r="M256" s="1144"/>
    </row>
    <row r="257" spans="1:13" x14ac:dyDescent="0.25">
      <c r="A257" s="1141"/>
      <c r="B257" s="1142"/>
      <c r="C257" s="1146"/>
      <c r="D257" s="1142"/>
      <c r="E257" s="1142"/>
      <c r="F257" s="1142"/>
      <c r="G257" s="1142"/>
      <c r="H257" s="1142"/>
      <c r="I257" s="1142"/>
      <c r="J257" s="1142"/>
      <c r="K257" s="1142"/>
      <c r="L257" s="1142"/>
      <c r="M257" s="1144"/>
    </row>
    <row r="258" spans="1:13" x14ac:dyDescent="0.25">
      <c r="A258" s="1141"/>
      <c r="B258" s="1142" t="s">
        <v>464</v>
      </c>
      <c r="C258" s="1143">
        <f>'F-LSCD-002 (Dosimetría)'!E73</f>
        <v>0.4</v>
      </c>
      <c r="D258" s="1146" t="s">
        <v>369</v>
      </c>
      <c r="E258" s="1142"/>
      <c r="F258" s="1142"/>
      <c r="G258" s="1142"/>
      <c r="H258" s="1142"/>
      <c r="I258" s="1142"/>
      <c r="J258" s="1142"/>
      <c r="K258" s="1142"/>
      <c r="L258" s="1142"/>
      <c r="M258" s="1144"/>
    </row>
    <row r="259" spans="1:13" x14ac:dyDescent="0.25">
      <c r="A259" s="1141"/>
      <c r="B259" s="1142"/>
      <c r="C259" s="1143"/>
      <c r="D259" s="1142"/>
      <c r="E259" s="1142"/>
      <c r="F259" s="1142"/>
      <c r="G259" s="1142"/>
      <c r="H259" s="1142"/>
      <c r="I259" s="1142"/>
      <c r="J259" s="1142"/>
      <c r="K259" s="1142"/>
      <c r="L259" s="1142"/>
      <c r="M259" s="1144"/>
    </row>
    <row r="260" spans="1:13" x14ac:dyDescent="0.25">
      <c r="A260" s="323" t="s">
        <v>505</v>
      </c>
      <c r="B260" s="1142"/>
      <c r="C260" s="1143"/>
      <c r="D260" s="1142"/>
      <c r="E260" s="1142"/>
      <c r="F260" s="1142"/>
      <c r="G260" s="1142"/>
      <c r="H260" s="1142"/>
      <c r="I260" s="1142"/>
      <c r="J260" s="1142"/>
      <c r="K260" s="1142"/>
      <c r="L260" s="1142"/>
      <c r="M260" s="1144"/>
    </row>
    <row r="261" spans="1:13" x14ac:dyDescent="0.25">
      <c r="A261" s="1141"/>
      <c r="B261" s="1142"/>
      <c r="C261" s="1143"/>
      <c r="D261" s="1142"/>
      <c r="E261" s="1142"/>
      <c r="F261" s="1142"/>
      <c r="G261" s="1142"/>
      <c r="H261" s="1142"/>
      <c r="I261" s="1142"/>
      <c r="J261" s="1142"/>
      <c r="K261" s="1142"/>
      <c r="L261" s="1142"/>
      <c r="M261" s="1144"/>
    </row>
    <row r="262" spans="1:13" x14ac:dyDescent="0.25">
      <c r="A262" s="1141"/>
      <c r="B262" s="1142"/>
      <c r="C262" s="1143"/>
      <c r="D262" s="1142"/>
      <c r="E262" s="1142"/>
      <c r="F262" s="1142"/>
      <c r="G262" s="1142"/>
      <c r="H262" s="1142"/>
      <c r="I262" s="1142"/>
      <c r="J262" s="1142"/>
      <c r="K262" s="1142"/>
      <c r="L262" s="1142"/>
      <c r="M262" s="1144"/>
    </row>
    <row r="263" spans="1:13" x14ac:dyDescent="0.25">
      <c r="A263" s="1141"/>
      <c r="B263" s="1142"/>
      <c r="C263" s="1143"/>
      <c r="D263" s="1142"/>
      <c r="E263" s="1142"/>
      <c r="F263" s="1142"/>
      <c r="G263" s="1142"/>
      <c r="H263" s="1142"/>
      <c r="I263" s="1142"/>
      <c r="J263" s="1142"/>
      <c r="K263" s="1142"/>
      <c r="L263" s="1142"/>
      <c r="M263" s="1144"/>
    </row>
    <row r="264" spans="1:13" x14ac:dyDescent="0.25">
      <c r="A264" s="1141"/>
      <c r="B264" s="1142"/>
      <c r="C264" s="1146"/>
      <c r="D264" s="1142"/>
      <c r="E264" s="1142"/>
      <c r="F264" s="1142"/>
      <c r="G264" s="1142"/>
      <c r="H264" s="1142"/>
      <c r="I264" s="1142"/>
      <c r="J264" s="1142"/>
      <c r="K264" s="1142"/>
      <c r="L264" s="1142"/>
      <c r="M264" s="1144"/>
    </row>
    <row r="265" spans="1:13" ht="18" x14ac:dyDescent="0.25">
      <c r="A265" s="1141"/>
      <c r="B265" s="1155" t="s">
        <v>809</v>
      </c>
      <c r="C265" s="1143">
        <f>-(C83/C84^2)*((273.2+C88)*C85)/((273.2+C87)*C86)*C80*C81*C82*C90</f>
        <v>2.2797840393227461E-4</v>
      </c>
      <c r="D265" s="1142" t="s">
        <v>641</v>
      </c>
      <c r="E265" s="1142"/>
      <c r="F265" s="1142"/>
      <c r="G265" s="1142"/>
      <c r="H265" s="1142"/>
      <c r="I265" s="1142"/>
      <c r="J265" s="1142"/>
      <c r="K265" s="1142"/>
      <c r="L265" s="1142"/>
      <c r="M265" s="1144"/>
    </row>
    <row r="266" spans="1:13" ht="15.75" thickBot="1" x14ac:dyDescent="0.3">
      <c r="A266" s="1157"/>
      <c r="B266" s="1150"/>
      <c r="C266" s="1158"/>
      <c r="D266" s="1150"/>
      <c r="E266" s="1150"/>
      <c r="F266" s="1150"/>
      <c r="G266" s="1150"/>
      <c r="H266" s="1150"/>
      <c r="I266" s="1150"/>
      <c r="J266" s="1150"/>
      <c r="K266" s="1150"/>
      <c r="L266" s="1150"/>
      <c r="M266" s="1151"/>
    </row>
    <row r="267" spans="1:13" x14ac:dyDescent="0.25">
      <c r="A267" s="1159"/>
      <c r="B267" s="1139"/>
      <c r="C267" s="1156"/>
      <c r="D267" s="1139"/>
      <c r="E267" s="1139"/>
      <c r="F267" s="1139"/>
      <c r="G267" s="1139"/>
      <c r="H267" s="1139"/>
      <c r="I267" s="1139"/>
      <c r="J267" s="1139"/>
      <c r="K267" s="1139"/>
      <c r="L267" s="1139"/>
      <c r="M267" s="1140"/>
    </row>
    <row r="268" spans="1:13" x14ac:dyDescent="0.25">
      <c r="A268" s="323" t="s">
        <v>998</v>
      </c>
      <c r="B268" s="1146"/>
      <c r="C268" s="1142"/>
      <c r="D268" s="1142"/>
      <c r="E268" s="1142"/>
      <c r="F268" s="1142"/>
      <c r="G268" s="1142"/>
      <c r="H268" s="1142"/>
      <c r="I268" s="1142"/>
      <c r="J268" s="1142"/>
      <c r="K268" s="1142"/>
      <c r="L268" s="1142"/>
      <c r="M268" s="1144"/>
    </row>
    <row r="269" spans="1:13" x14ac:dyDescent="0.25">
      <c r="A269" s="1141"/>
      <c r="B269" s="1146"/>
      <c r="C269" s="1142"/>
      <c r="D269" s="1142"/>
      <c r="E269" s="1142"/>
      <c r="F269" s="1142"/>
      <c r="G269" s="1142"/>
      <c r="H269" s="1142"/>
      <c r="I269" s="1142"/>
      <c r="J269" s="1142"/>
      <c r="K269" s="1142"/>
      <c r="L269" s="1142"/>
      <c r="M269" s="1144"/>
    </row>
    <row r="270" spans="1:13" x14ac:dyDescent="0.25">
      <c r="A270" s="323" t="s">
        <v>508</v>
      </c>
      <c r="B270" s="1146"/>
      <c r="C270" s="1142"/>
      <c r="D270" s="1142"/>
      <c r="E270" s="1142"/>
      <c r="F270" s="1142"/>
      <c r="G270" s="1142"/>
      <c r="H270" s="1142"/>
      <c r="I270" s="1142"/>
      <c r="J270" s="1142"/>
      <c r="K270" s="1142"/>
      <c r="L270" s="1142"/>
      <c r="M270" s="1144"/>
    </row>
    <row r="271" spans="1:13" x14ac:dyDescent="0.25">
      <c r="A271" s="1141"/>
      <c r="B271" s="1146"/>
      <c r="C271" s="1142"/>
      <c r="D271" s="1142"/>
      <c r="E271" s="1142"/>
      <c r="F271" s="1142"/>
      <c r="G271" s="1142"/>
      <c r="H271" s="1142"/>
      <c r="I271" s="1142"/>
      <c r="J271" s="1142"/>
      <c r="K271" s="1142"/>
      <c r="L271" s="1142"/>
      <c r="M271" s="1144"/>
    </row>
    <row r="272" spans="1:13" x14ac:dyDescent="0.25">
      <c r="A272" s="1141"/>
      <c r="B272" s="1146" t="s">
        <v>646</v>
      </c>
      <c r="C272" s="1142"/>
      <c r="D272" s="1142"/>
      <c r="E272" s="1142"/>
      <c r="F272" s="1142">
        <f>'F-LSCD-002 (Dosimetría)'!D73</f>
        <v>0.1</v>
      </c>
      <c r="G272" s="1142" t="s">
        <v>369</v>
      </c>
      <c r="H272" s="1142"/>
      <c r="I272" s="1142"/>
      <c r="J272" s="1142"/>
      <c r="K272" s="1142"/>
      <c r="L272" s="1142"/>
      <c r="M272" s="1144"/>
    </row>
    <row r="273" spans="1:13" x14ac:dyDescent="0.25">
      <c r="A273" s="1141"/>
      <c r="B273" s="1146"/>
      <c r="C273" s="1142"/>
      <c r="D273" s="1142"/>
      <c r="E273" s="1142"/>
      <c r="F273" s="1142"/>
      <c r="G273" s="1142"/>
      <c r="H273" s="1142"/>
      <c r="I273" s="1142"/>
      <c r="J273" s="1142"/>
      <c r="K273" s="1142"/>
      <c r="L273" s="1142"/>
      <c r="M273" s="1144"/>
    </row>
    <row r="274" spans="1:13" x14ac:dyDescent="0.25">
      <c r="A274" s="1141"/>
      <c r="B274" s="1142" t="s">
        <v>464</v>
      </c>
      <c r="C274" s="1146" t="s">
        <v>399</v>
      </c>
      <c r="D274" s="1142"/>
      <c r="E274" s="1142"/>
      <c r="F274" s="1142"/>
      <c r="G274" s="1142"/>
      <c r="H274" s="1142"/>
      <c r="I274" s="1142"/>
      <c r="J274" s="1142"/>
      <c r="K274" s="1142"/>
      <c r="L274" s="1142"/>
      <c r="M274" s="1144"/>
    </row>
    <row r="275" spans="1:13" x14ac:dyDescent="0.25">
      <c r="A275" s="1141"/>
      <c r="B275" s="1146"/>
      <c r="C275" s="1142"/>
      <c r="D275" s="1142"/>
      <c r="E275" s="1142"/>
      <c r="F275" s="1142"/>
      <c r="G275" s="1142"/>
      <c r="H275" s="1142"/>
      <c r="I275" s="1142"/>
      <c r="J275" s="1142"/>
      <c r="K275" s="1142"/>
      <c r="L275" s="1142"/>
      <c r="M275" s="1144"/>
    </row>
    <row r="276" spans="1:13" x14ac:dyDescent="0.25">
      <c r="A276" s="1141"/>
      <c r="B276" s="1142" t="s">
        <v>464</v>
      </c>
      <c r="C276" s="1143">
        <f>F272/2</f>
        <v>0.05</v>
      </c>
      <c r="D276" s="1146" t="s">
        <v>369</v>
      </c>
      <c r="E276" s="1142"/>
      <c r="F276" s="1142"/>
      <c r="G276" s="1142"/>
      <c r="H276" s="1142"/>
      <c r="I276" s="1142"/>
      <c r="J276" s="1142"/>
      <c r="K276" s="1142"/>
      <c r="L276" s="1142"/>
      <c r="M276" s="1144"/>
    </row>
    <row r="277" spans="1:13" x14ac:dyDescent="0.25">
      <c r="A277" s="1141"/>
      <c r="B277" s="1142"/>
      <c r="C277" s="1143"/>
      <c r="D277" s="1142"/>
      <c r="E277" s="1142"/>
      <c r="F277" s="1142"/>
      <c r="G277" s="1142"/>
      <c r="H277" s="1142"/>
      <c r="I277" s="1142"/>
      <c r="J277" s="1142"/>
      <c r="K277" s="1142"/>
      <c r="L277" s="1142"/>
      <c r="M277" s="1144"/>
    </row>
    <row r="278" spans="1:13" x14ac:dyDescent="0.25">
      <c r="A278" s="323" t="s">
        <v>509</v>
      </c>
      <c r="B278" s="1142"/>
      <c r="C278" s="1143"/>
      <c r="D278" s="1142"/>
      <c r="E278" s="1142"/>
      <c r="F278" s="1142"/>
      <c r="G278" s="1142"/>
      <c r="H278" s="1142"/>
      <c r="I278" s="1142"/>
      <c r="J278" s="1142"/>
      <c r="K278" s="1142"/>
      <c r="L278" s="1142"/>
      <c r="M278" s="1144"/>
    </row>
    <row r="279" spans="1:13" x14ac:dyDescent="0.25">
      <c r="A279" s="1141"/>
      <c r="B279" s="1142"/>
      <c r="C279" s="1143"/>
      <c r="D279" s="1142"/>
      <c r="E279" s="1142"/>
      <c r="F279" s="1142"/>
      <c r="G279" s="1142"/>
      <c r="H279" s="1142"/>
      <c r="I279" s="1142"/>
      <c r="J279" s="1142"/>
      <c r="K279" s="1142"/>
      <c r="L279" s="1142"/>
      <c r="M279" s="1144"/>
    </row>
    <row r="280" spans="1:13" x14ac:dyDescent="0.25">
      <c r="A280" s="1141"/>
      <c r="B280" s="1142"/>
      <c r="C280" s="1143"/>
      <c r="D280" s="1142"/>
      <c r="E280" s="1142"/>
      <c r="F280" s="1142"/>
      <c r="G280" s="1142"/>
      <c r="H280" s="1142"/>
      <c r="I280" s="1142"/>
      <c r="J280" s="1142"/>
      <c r="K280" s="1142"/>
      <c r="L280" s="1142"/>
      <c r="M280" s="1144"/>
    </row>
    <row r="281" spans="1:13" x14ac:dyDescent="0.25">
      <c r="A281" s="1141"/>
      <c r="B281" s="1142"/>
      <c r="C281" s="1143"/>
      <c r="D281" s="1142"/>
      <c r="E281" s="1142"/>
      <c r="F281" s="1142"/>
      <c r="G281" s="1142"/>
      <c r="H281" s="1142"/>
      <c r="I281" s="1142"/>
      <c r="J281" s="1142"/>
      <c r="K281" s="1142"/>
      <c r="L281" s="1142"/>
      <c r="M281" s="1144"/>
    </row>
    <row r="282" spans="1:13" x14ac:dyDescent="0.25">
      <c r="A282" s="1141"/>
      <c r="B282" s="1142"/>
      <c r="C282" s="1143"/>
      <c r="D282" s="1142"/>
      <c r="E282" s="1142"/>
      <c r="F282" s="1142"/>
      <c r="G282" s="1142"/>
      <c r="H282" s="1142"/>
      <c r="I282" s="1142"/>
      <c r="J282" s="1142"/>
      <c r="K282" s="1142"/>
      <c r="L282" s="1142"/>
      <c r="M282" s="1144"/>
    </row>
    <row r="283" spans="1:13" ht="18" x14ac:dyDescent="0.25">
      <c r="A283" s="1141"/>
      <c r="B283" s="1142" t="s">
        <v>647</v>
      </c>
      <c r="C283" s="1143">
        <f>-(C83/C84^2)*((273.2+C88)*C85)/((273.2+C87)*C86)*C80*C81*C82*C90</f>
        <v>2.2797840393227461E-4</v>
      </c>
      <c r="D283" s="1142" t="s">
        <v>641</v>
      </c>
      <c r="E283" s="1142"/>
      <c r="F283" s="1142"/>
      <c r="G283" s="1142"/>
      <c r="H283" s="1142"/>
      <c r="I283" s="1142"/>
      <c r="J283" s="1142"/>
      <c r="K283" s="1142"/>
      <c r="L283" s="1142"/>
      <c r="M283" s="1144"/>
    </row>
    <row r="284" spans="1:13" ht="15.75" thickBot="1" x14ac:dyDescent="0.3">
      <c r="A284" s="1157"/>
      <c r="B284" s="1150"/>
      <c r="C284" s="1160"/>
      <c r="D284" s="1150"/>
      <c r="E284" s="1150"/>
      <c r="F284" s="1150"/>
      <c r="G284" s="1150"/>
      <c r="H284" s="1150"/>
      <c r="I284" s="1150"/>
      <c r="J284" s="1150"/>
      <c r="K284" s="1150"/>
      <c r="L284" s="1150"/>
      <c r="M284" s="1151"/>
    </row>
  </sheetData>
  <mergeCells count="19">
    <mergeCell ref="D1:Q4"/>
    <mergeCell ref="A7:S7"/>
    <mergeCell ref="M17:N17"/>
    <mergeCell ref="O17:P17"/>
    <mergeCell ref="Q17:Q18"/>
    <mergeCell ref="R17:R18"/>
    <mergeCell ref="S17:S18"/>
    <mergeCell ref="B18:F18"/>
    <mergeCell ref="B23:F23"/>
    <mergeCell ref="B24:F24"/>
    <mergeCell ref="B25:F25"/>
    <mergeCell ref="A101:M101"/>
    <mergeCell ref="B19:F19"/>
    <mergeCell ref="B28:F28"/>
    <mergeCell ref="B27:F27"/>
    <mergeCell ref="B21:F21"/>
    <mergeCell ref="B20:F20"/>
    <mergeCell ref="B26:F26"/>
    <mergeCell ref="B22:F22"/>
  </mergeCells>
  <dataValidations count="1">
    <dataValidation type="list" allowBlank="1" showInputMessage="1" showErrorMessage="1" sqref="O31" xr:uid="{00000000-0002-0000-0600-000000000000}">
      <formula1>#REF!</formula1>
    </dataValidation>
  </dataValidations>
  <pageMargins left="0.7" right="0.7" top="0.75" bottom="0.75" header="0.3" footer="0.3"/>
  <pageSetup paperSize="9" scale="55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600-000001000000}">
          <x14:formula1>
            <xm:f>'Datos varios'!$B$43:$B$44</xm:f>
          </x14:formula1>
          <xm:sqref>H19:H29</xm:sqref>
        </x14:dataValidation>
        <x14:dataValidation type="list" allowBlank="1" showInputMessage="1" showErrorMessage="1" xr:uid="{00000000-0002-0000-0600-000002000000}">
          <x14:formula1>
            <xm:f>'Datos varios'!$B$19:$B$32</xm:f>
          </x14:formula1>
          <xm:sqref>J19:J29</xm:sqref>
        </x14:dataValidation>
        <x14:dataValidation type="list" allowBlank="1" showInputMessage="1" showErrorMessage="1" xr:uid="{00000000-0002-0000-0600-000003000000}">
          <x14:formula1>
            <xm:f>'Datos varios'!$B$35:$B$40</xm:f>
          </x14:formula1>
          <xm:sqref>K19:K29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P103"/>
  <sheetViews>
    <sheetView topLeftCell="A6" zoomScaleNormal="100" workbookViewId="0">
      <selection activeCell="A6" sqref="A6"/>
    </sheetView>
  </sheetViews>
  <sheetFormatPr baseColWidth="10" defaultColWidth="11.42578125" defaultRowHeight="15" x14ac:dyDescent="0.25"/>
  <cols>
    <col min="1" max="1" width="11.42578125" style="56"/>
    <col min="2" max="2" width="13.28515625" style="56" customWidth="1"/>
    <col min="3" max="4" width="11.42578125" style="56"/>
    <col min="5" max="5" width="14.28515625" style="56" customWidth="1"/>
    <col min="6" max="6" width="12.28515625" style="56" customWidth="1"/>
    <col min="7" max="7" width="13.42578125" style="56" customWidth="1"/>
    <col min="8" max="8" width="14.42578125" style="56" customWidth="1"/>
    <col min="9" max="9" width="11.42578125" style="56"/>
    <col min="10" max="10" width="14.28515625" style="56" customWidth="1"/>
    <col min="11" max="11" width="13.85546875" style="56" customWidth="1"/>
    <col min="12" max="12" width="11.42578125" style="56" customWidth="1"/>
    <col min="13" max="16384" width="11.42578125" style="56"/>
  </cols>
  <sheetData>
    <row r="1" spans="1:16" ht="15" hidden="1" customHeight="1" x14ac:dyDescent="0.25">
      <c r="A1" s="2645"/>
      <c r="B1" s="2646"/>
      <c r="C1" s="2253" t="s">
        <v>239</v>
      </c>
      <c r="D1" s="2651"/>
      <c r="E1" s="2651"/>
      <c r="F1" s="2646"/>
      <c r="G1" s="48" t="s">
        <v>68</v>
      </c>
      <c r="H1" s="50" t="s">
        <v>240</v>
      </c>
    </row>
    <row r="2" spans="1:16" ht="15" hidden="1" customHeight="1" x14ac:dyDescent="0.25">
      <c r="A2" s="2647"/>
      <c r="B2" s="2648"/>
      <c r="C2" s="2647"/>
      <c r="D2" s="2652"/>
      <c r="E2" s="2652"/>
      <c r="F2" s="2648"/>
      <c r="G2" s="51" t="s">
        <v>69</v>
      </c>
      <c r="H2" s="52" t="s">
        <v>168</v>
      </c>
    </row>
    <row r="3" spans="1:16" ht="15" hidden="1" customHeight="1" x14ac:dyDescent="0.25">
      <c r="A3" s="2647"/>
      <c r="B3" s="2648"/>
      <c r="C3" s="2647"/>
      <c r="D3" s="2652"/>
      <c r="E3" s="2652"/>
      <c r="F3" s="2648"/>
      <c r="G3" s="51" t="s">
        <v>70</v>
      </c>
      <c r="H3" s="52" t="s">
        <v>72</v>
      </c>
    </row>
    <row r="4" spans="1:16" ht="15" hidden="1" customHeight="1" x14ac:dyDescent="0.25">
      <c r="A4" s="2649"/>
      <c r="B4" s="2650"/>
      <c r="C4" s="2649"/>
      <c r="D4" s="2653"/>
      <c r="E4" s="2653"/>
      <c r="F4" s="2650"/>
      <c r="G4" s="53" t="s">
        <v>71</v>
      </c>
      <c r="H4" s="55" t="s">
        <v>73</v>
      </c>
    </row>
    <row r="5" spans="1:16" hidden="1" x14ac:dyDescent="0.25"/>
    <row r="6" spans="1:16" ht="15.75" thickBot="1" x14ac:dyDescent="0.3"/>
    <row r="7" spans="1:16" ht="15" customHeight="1" x14ac:dyDescent="0.25">
      <c r="A7" s="2660" t="s">
        <v>593</v>
      </c>
      <c r="B7" s="2661"/>
      <c r="C7" s="2661"/>
      <c r="D7" s="2661"/>
      <c r="E7" s="2661"/>
      <c r="F7" s="2661"/>
      <c r="G7" s="2661"/>
      <c r="H7" s="2661"/>
      <c r="I7" s="2661"/>
      <c r="J7" s="2661"/>
      <c r="K7" s="2661"/>
      <c r="L7" s="2661"/>
      <c r="M7" s="2661"/>
      <c r="N7" s="2661"/>
      <c r="O7" s="2661"/>
      <c r="P7" s="2662"/>
    </row>
    <row r="8" spans="1:16" ht="25.5" customHeight="1" thickBot="1" x14ac:dyDescent="0.3">
      <c r="A8" s="2663"/>
      <c r="B8" s="2664"/>
      <c r="C8" s="2664"/>
      <c r="D8" s="2664"/>
      <c r="E8" s="2664"/>
      <c r="F8" s="2664"/>
      <c r="G8" s="2664"/>
      <c r="H8" s="2664"/>
      <c r="I8" s="2664"/>
      <c r="J8" s="2664"/>
      <c r="K8" s="2664"/>
      <c r="L8" s="2664"/>
      <c r="M8" s="2664"/>
      <c r="N8" s="2664"/>
      <c r="O8" s="2664"/>
      <c r="P8" s="2665"/>
    </row>
    <row r="9" spans="1:16" ht="15.75" hidden="1" customHeight="1" thickBot="1" x14ac:dyDescent="0.3">
      <c r="A9" s="67"/>
      <c r="B9" s="67"/>
      <c r="C9" s="67"/>
      <c r="D9" s="67"/>
      <c r="E9" s="67"/>
      <c r="F9" s="67"/>
    </row>
    <row r="10" spans="1:16" ht="15.75" hidden="1" thickBot="1" x14ac:dyDescent="0.3">
      <c r="A10" s="2294" t="s">
        <v>0</v>
      </c>
      <c r="B10" s="2654"/>
      <c r="C10" s="2654"/>
      <c r="D10" s="2655"/>
    </row>
    <row r="11" spans="1:16" hidden="1" x14ac:dyDescent="0.25">
      <c r="A11" s="1" t="s">
        <v>2</v>
      </c>
      <c r="B11" s="2" t="s">
        <v>3</v>
      </c>
      <c r="C11" s="3" t="s">
        <v>4</v>
      </c>
      <c r="D11" s="2" t="s">
        <v>5</v>
      </c>
    </row>
    <row r="12" spans="1:16" ht="15.75" hidden="1" thickBot="1" x14ac:dyDescent="0.3">
      <c r="A12" s="5" t="s">
        <v>9</v>
      </c>
      <c r="B12" s="6">
        <v>42576</v>
      </c>
      <c r="C12" s="269">
        <v>573.5</v>
      </c>
      <c r="D12" s="7">
        <f>573500000000/37000000000</f>
        <v>15.5</v>
      </c>
    </row>
    <row r="13" spans="1:16" ht="15.75" hidden="1" thickBot="1" x14ac:dyDescent="0.3"/>
    <row r="14" spans="1:16" ht="15" hidden="1" customHeight="1" x14ac:dyDescent="0.25">
      <c r="A14" s="2656" t="s">
        <v>1</v>
      </c>
      <c r="B14" s="2657"/>
    </row>
    <row r="15" spans="1:16" ht="15.75" hidden="1" thickBot="1" x14ac:dyDescent="0.3">
      <c r="A15" s="2658"/>
      <c r="B15" s="2659"/>
    </row>
    <row r="16" spans="1:16" hidden="1" x14ac:dyDescent="0.25">
      <c r="A16" s="2" t="s">
        <v>10</v>
      </c>
      <c r="B16" s="8">
        <v>7</v>
      </c>
    </row>
    <row r="17" spans="1:9" hidden="1" x14ac:dyDescent="0.25">
      <c r="A17" s="14" t="s">
        <v>14</v>
      </c>
      <c r="B17" s="15">
        <v>42</v>
      </c>
    </row>
    <row r="18" spans="1:9" hidden="1" x14ac:dyDescent="0.25">
      <c r="A18" s="14" t="s">
        <v>17</v>
      </c>
      <c r="B18" s="15">
        <v>14</v>
      </c>
    </row>
    <row r="19" spans="1:9" hidden="1" x14ac:dyDescent="0.25">
      <c r="A19" s="20" t="s">
        <v>18</v>
      </c>
      <c r="B19" s="21">
        <v>22</v>
      </c>
    </row>
    <row r="20" spans="1:9" ht="15.75" hidden="1" thickBot="1" x14ac:dyDescent="0.3">
      <c r="A20" s="22" t="s">
        <v>19</v>
      </c>
      <c r="B20" s="23">
        <v>17</v>
      </c>
    </row>
    <row r="21" spans="1:9" hidden="1" x14ac:dyDescent="0.25"/>
    <row r="22" spans="1:9" ht="15.75" hidden="1" thickBot="1" x14ac:dyDescent="0.3"/>
    <row r="23" spans="1:9" ht="15" hidden="1" customHeight="1" x14ac:dyDescent="0.25">
      <c r="A23" s="2239" t="s">
        <v>446</v>
      </c>
      <c r="B23" s="2240"/>
      <c r="C23" s="2241"/>
      <c r="E23" s="2239" t="s">
        <v>385</v>
      </c>
      <c r="F23" s="2241"/>
    </row>
    <row r="24" spans="1:9" ht="33.75" hidden="1" customHeight="1" thickBot="1" x14ac:dyDescent="0.3">
      <c r="A24" s="2242"/>
      <c r="B24" s="2243"/>
      <c r="C24" s="2244"/>
      <c r="E24" s="2242"/>
      <c r="F24" s="2244"/>
    </row>
    <row r="25" spans="1:9" ht="15.75" hidden="1" thickBot="1" x14ac:dyDescent="0.3">
      <c r="A25" s="266" t="s">
        <v>349</v>
      </c>
      <c r="B25" s="2666">
        <v>42712</v>
      </c>
      <c r="C25" s="2667"/>
      <c r="E25" s="257">
        <v>22</v>
      </c>
      <c r="F25" s="258" t="s">
        <v>12</v>
      </c>
    </row>
    <row r="26" spans="1:9" ht="15.75" hidden="1" thickBot="1" x14ac:dyDescent="0.3">
      <c r="A26" s="265" t="s">
        <v>118</v>
      </c>
      <c r="B26" s="256" t="s">
        <v>104</v>
      </c>
      <c r="C26" s="255" t="s">
        <v>435</v>
      </c>
      <c r="E26" s="5">
        <v>1013.25</v>
      </c>
      <c r="F26" s="18" t="s">
        <v>16</v>
      </c>
    </row>
    <row r="27" spans="1:9" hidden="1" x14ac:dyDescent="0.25">
      <c r="A27" s="254">
        <v>2797000</v>
      </c>
      <c r="B27" s="253" t="s">
        <v>11</v>
      </c>
      <c r="C27" s="287">
        <v>1.6E-2</v>
      </c>
    </row>
    <row r="28" spans="1:9" hidden="1" x14ac:dyDescent="0.25">
      <c r="A28" s="271">
        <v>24560</v>
      </c>
      <c r="B28" s="272" t="s">
        <v>15</v>
      </c>
      <c r="C28" s="296">
        <v>1.6E-2</v>
      </c>
    </row>
    <row r="29" spans="1:9" ht="15.75" hidden="1" thickBot="1" x14ac:dyDescent="0.3">
      <c r="A29" s="273" t="s">
        <v>93</v>
      </c>
      <c r="B29" s="252" t="s">
        <v>363</v>
      </c>
      <c r="C29" s="84" t="s">
        <v>93</v>
      </c>
    </row>
    <row r="30" spans="1:9" hidden="1" x14ac:dyDescent="0.25"/>
    <row r="31" spans="1:9" ht="15.75" hidden="1" thickBot="1" x14ac:dyDescent="0.3"/>
    <row r="32" spans="1:9" ht="15" hidden="1" customHeight="1" x14ac:dyDescent="0.25">
      <c r="A32" s="2239" t="s">
        <v>445</v>
      </c>
      <c r="B32" s="2240"/>
      <c r="C32" s="2240"/>
      <c r="D32" s="2240"/>
      <c r="E32" s="2240"/>
      <c r="F32" s="2241"/>
      <c r="H32" s="2239" t="s">
        <v>266</v>
      </c>
      <c r="I32" s="2241"/>
    </row>
    <row r="33" spans="1:9" ht="15.75" hidden="1" thickBot="1" x14ac:dyDescent="0.3">
      <c r="A33" s="2242"/>
      <c r="B33" s="2243"/>
      <c r="C33" s="2243"/>
      <c r="D33" s="2243"/>
      <c r="E33" s="2243"/>
      <c r="F33" s="2244"/>
      <c r="H33" s="2242"/>
      <c r="I33" s="2244"/>
    </row>
    <row r="34" spans="1:9" ht="42.75" hidden="1" customHeight="1" thickBot="1" x14ac:dyDescent="0.3">
      <c r="A34" s="2668" t="s">
        <v>265</v>
      </c>
      <c r="B34" s="2641" t="s">
        <v>6</v>
      </c>
      <c r="C34" s="2639" t="s">
        <v>270</v>
      </c>
      <c r="D34" s="2641" t="s">
        <v>310</v>
      </c>
      <c r="E34" s="2643" t="s">
        <v>271</v>
      </c>
      <c r="F34" s="2644"/>
      <c r="H34" s="259" t="s">
        <v>567</v>
      </c>
      <c r="I34" s="260">
        <v>1E-13</v>
      </c>
    </row>
    <row r="35" spans="1:9" ht="45.75" hidden="1" thickBot="1" x14ac:dyDescent="0.3">
      <c r="A35" s="2669"/>
      <c r="B35" s="2642"/>
      <c r="C35" s="2640"/>
      <c r="D35" s="2642"/>
      <c r="E35" s="4" t="s">
        <v>272</v>
      </c>
      <c r="F35" s="267" t="s">
        <v>273</v>
      </c>
      <c r="H35" s="259" t="s">
        <v>568</v>
      </c>
      <c r="I35" s="260">
        <v>1</v>
      </c>
    </row>
    <row r="36" spans="1:9" ht="15" hidden="1" customHeight="1" x14ac:dyDescent="0.25">
      <c r="A36" s="10" t="s">
        <v>267</v>
      </c>
      <c r="B36" s="11" t="s">
        <v>268</v>
      </c>
      <c r="C36" s="111">
        <v>1.004</v>
      </c>
      <c r="D36" s="293">
        <v>2E-3</v>
      </c>
      <c r="E36" s="233">
        <v>-1.9999999999999999E-11</v>
      </c>
      <c r="F36" s="234">
        <v>-2.2900000000000001E-10</v>
      </c>
    </row>
    <row r="37" spans="1:9" ht="15.75" hidden="1" thickBot="1" x14ac:dyDescent="0.3">
      <c r="A37" s="16" t="s">
        <v>267</v>
      </c>
      <c r="B37" s="19" t="s">
        <v>269</v>
      </c>
      <c r="C37" s="230">
        <v>1.0009999999999999</v>
      </c>
      <c r="D37" s="294">
        <v>1E-3</v>
      </c>
      <c r="E37" s="235">
        <v>-1E-10</v>
      </c>
      <c r="F37" s="17">
        <v>-2.3000000000000001E-8</v>
      </c>
    </row>
    <row r="38" spans="1:9" hidden="1" x14ac:dyDescent="0.25"/>
    <row r="39" spans="1:9" ht="15.75" hidden="1" thickBot="1" x14ac:dyDescent="0.3"/>
    <row r="40" spans="1:9" ht="15" hidden="1" customHeight="1" x14ac:dyDescent="0.25">
      <c r="A40" s="2631" t="s">
        <v>440</v>
      </c>
      <c r="B40" s="2632"/>
      <c r="C40" s="2632"/>
      <c r="D40" s="2632"/>
      <c r="E40" s="2632"/>
      <c r="F40" s="2633"/>
    </row>
    <row r="41" spans="1:9" ht="15.75" hidden="1" thickBot="1" x14ac:dyDescent="0.3">
      <c r="A41" s="2634"/>
      <c r="B41" s="2635"/>
      <c r="C41" s="2635"/>
      <c r="D41" s="2635"/>
      <c r="E41" s="2635"/>
      <c r="F41" s="2636"/>
    </row>
    <row r="42" spans="1:9" ht="30.75" hidden="1" thickBot="1" x14ac:dyDescent="0.3">
      <c r="A42" s="285" t="s">
        <v>138</v>
      </c>
      <c r="B42" s="281" t="s">
        <v>437</v>
      </c>
      <c r="C42" s="281" t="s">
        <v>117</v>
      </c>
      <c r="D42" s="281" t="s">
        <v>434</v>
      </c>
      <c r="E42" s="281" t="s">
        <v>435</v>
      </c>
      <c r="F42" s="282" t="s">
        <v>436</v>
      </c>
    </row>
    <row r="43" spans="1:9" hidden="1" x14ac:dyDescent="0.25">
      <c r="A43" s="299" t="s">
        <v>431</v>
      </c>
      <c r="B43" s="280" t="s">
        <v>438</v>
      </c>
      <c r="C43" s="280" t="s">
        <v>12</v>
      </c>
      <c r="D43" s="280">
        <v>0.1</v>
      </c>
      <c r="E43" s="280">
        <v>0.3</v>
      </c>
      <c r="F43" s="258" t="s">
        <v>12</v>
      </c>
    </row>
    <row r="44" spans="1:9" hidden="1" x14ac:dyDescent="0.25">
      <c r="A44" s="297" t="s">
        <v>431</v>
      </c>
      <c r="B44" s="71" t="s">
        <v>439</v>
      </c>
      <c r="C44" s="71" t="s">
        <v>12</v>
      </c>
      <c r="D44" s="71">
        <v>0.1</v>
      </c>
      <c r="E44" s="71">
        <v>7.0000000000000007E-2</v>
      </c>
      <c r="F44" s="298" t="s">
        <v>12</v>
      </c>
    </row>
    <row r="45" spans="1:9" ht="15.75" hidden="1" thickBot="1" x14ac:dyDescent="0.3">
      <c r="A45" s="16" t="s">
        <v>433</v>
      </c>
      <c r="B45" s="230" t="s">
        <v>93</v>
      </c>
      <c r="C45" s="230" t="s">
        <v>432</v>
      </c>
      <c r="D45" s="230">
        <v>1</v>
      </c>
      <c r="E45" s="230">
        <v>2.9</v>
      </c>
      <c r="F45" s="18" t="s">
        <v>432</v>
      </c>
    </row>
    <row r="46" spans="1:9" hidden="1" x14ac:dyDescent="0.25"/>
    <row r="47" spans="1:9" ht="15.75" hidden="1" thickBot="1" x14ac:dyDescent="0.3"/>
    <row r="48" spans="1:9" ht="15" hidden="1" customHeight="1" x14ac:dyDescent="0.25">
      <c r="A48" s="2631" t="s">
        <v>441</v>
      </c>
      <c r="B48" s="2632"/>
      <c r="C48" s="2632"/>
      <c r="D48" s="2632"/>
      <c r="E48" s="2632"/>
      <c r="F48" s="2633"/>
    </row>
    <row r="49" spans="1:6" ht="15.75" hidden="1" thickBot="1" x14ac:dyDescent="0.3">
      <c r="A49" s="2634"/>
      <c r="B49" s="2635"/>
      <c r="C49" s="2635"/>
      <c r="D49" s="2635"/>
      <c r="E49" s="2635"/>
      <c r="F49" s="2636"/>
    </row>
    <row r="50" spans="1:6" ht="30.75" hidden="1" thickBot="1" x14ac:dyDescent="0.3">
      <c r="A50" s="285" t="s">
        <v>138</v>
      </c>
      <c r="B50" s="281" t="s">
        <v>437</v>
      </c>
      <c r="C50" s="281" t="s">
        <v>117</v>
      </c>
      <c r="D50" s="281" t="s">
        <v>434</v>
      </c>
      <c r="E50" s="281" t="s">
        <v>435</v>
      </c>
      <c r="F50" s="282" t="s">
        <v>436</v>
      </c>
    </row>
    <row r="51" spans="1:6" ht="15.75" hidden="1" thickBot="1" x14ac:dyDescent="0.3">
      <c r="A51" s="285" t="s">
        <v>444</v>
      </c>
      <c r="B51" s="281" t="s">
        <v>443</v>
      </c>
      <c r="C51" s="281" t="s">
        <v>442</v>
      </c>
      <c r="D51" s="281">
        <v>1</v>
      </c>
      <c r="E51" s="281">
        <v>0.44</v>
      </c>
      <c r="F51" s="282" t="s">
        <v>442</v>
      </c>
    </row>
    <row r="52" spans="1:6" hidden="1" x14ac:dyDescent="0.25"/>
    <row r="53" spans="1:6" ht="15.75" hidden="1" thickBot="1" x14ac:dyDescent="0.3"/>
    <row r="54" spans="1:6" ht="15" hidden="1" customHeight="1" x14ac:dyDescent="0.25">
      <c r="A54" s="2631" t="s">
        <v>447</v>
      </c>
      <c r="B54" s="2632"/>
      <c r="C54" s="2632"/>
      <c r="D54" s="2632"/>
      <c r="E54" s="2633"/>
      <c r="F54" s="286"/>
    </row>
    <row r="55" spans="1:6" ht="15.75" hidden="1" thickBot="1" x14ac:dyDescent="0.3">
      <c r="A55" s="2634"/>
      <c r="B55" s="2635"/>
      <c r="C55" s="2635"/>
      <c r="D55" s="2635"/>
      <c r="E55" s="2636"/>
      <c r="F55" s="286"/>
    </row>
    <row r="56" spans="1:6" ht="30.75" hidden="1" thickBot="1" x14ac:dyDescent="0.3">
      <c r="A56" s="285" t="s">
        <v>138</v>
      </c>
      <c r="B56" s="281" t="s">
        <v>117</v>
      </c>
      <c r="C56" s="281" t="s">
        <v>434</v>
      </c>
      <c r="D56" s="281" t="s">
        <v>435</v>
      </c>
      <c r="E56" s="282" t="s">
        <v>436</v>
      </c>
    </row>
    <row r="57" spans="1:6" ht="15.75" hidden="1" thickBot="1" x14ac:dyDescent="0.3">
      <c r="A57" s="285" t="s">
        <v>448</v>
      </c>
      <c r="B57" s="281" t="s">
        <v>449</v>
      </c>
      <c r="C57" s="281">
        <v>1</v>
      </c>
      <c r="D57" s="281">
        <v>1.1000000000000001</v>
      </c>
      <c r="E57" s="282" t="s">
        <v>449</v>
      </c>
    </row>
    <row r="58" spans="1:6" hidden="1" x14ac:dyDescent="0.25"/>
    <row r="59" spans="1:6" hidden="1" x14ac:dyDescent="0.25"/>
    <row r="60" spans="1:6" hidden="1" x14ac:dyDescent="0.25">
      <c r="A60" s="2628" t="s">
        <v>110</v>
      </c>
      <c r="B60" s="2628"/>
      <c r="C60" s="2628"/>
      <c r="D60" s="2628"/>
      <c r="E60" s="2628"/>
    </row>
    <row r="61" spans="1:6" hidden="1" x14ac:dyDescent="0.25">
      <c r="A61" s="2637" t="s">
        <v>102</v>
      </c>
      <c r="B61" s="2638"/>
      <c r="C61" s="270" t="s">
        <v>103</v>
      </c>
      <c r="D61" s="270" t="s">
        <v>104</v>
      </c>
      <c r="E61" s="270" t="s">
        <v>105</v>
      </c>
    </row>
    <row r="62" spans="1:6" ht="18" hidden="1" x14ac:dyDescent="0.25">
      <c r="A62" s="2629" t="s">
        <v>98</v>
      </c>
      <c r="B62" s="2629"/>
      <c r="C62" s="71" t="s">
        <v>143</v>
      </c>
      <c r="D62" s="71" t="s">
        <v>108</v>
      </c>
      <c r="E62" s="102" t="s">
        <v>109</v>
      </c>
    </row>
    <row r="63" spans="1:6" ht="18" hidden="1" x14ac:dyDescent="0.25">
      <c r="A63" s="2629"/>
      <c r="B63" s="2629"/>
      <c r="C63" s="71" t="s">
        <v>106</v>
      </c>
      <c r="D63" s="71" t="s">
        <v>108</v>
      </c>
      <c r="E63" s="38">
        <v>1.2</v>
      </c>
    </row>
    <row r="64" spans="1:6" ht="18" hidden="1" x14ac:dyDescent="0.25">
      <c r="A64" s="2628" t="s">
        <v>101</v>
      </c>
      <c r="B64" s="2628"/>
      <c r="C64" s="103" t="s">
        <v>144</v>
      </c>
      <c r="D64" s="71" t="s">
        <v>108</v>
      </c>
      <c r="E64" s="71">
        <v>1.25</v>
      </c>
    </row>
    <row r="65" spans="1:6" ht="18" hidden="1" x14ac:dyDescent="0.25">
      <c r="A65" s="2628"/>
      <c r="B65" s="2628"/>
      <c r="C65" s="71" t="s">
        <v>107</v>
      </c>
      <c r="D65" s="71" t="s">
        <v>108</v>
      </c>
      <c r="E65" s="71">
        <v>1.21</v>
      </c>
    </row>
    <row r="66" spans="1:6" ht="18" hidden="1" x14ac:dyDescent="0.25">
      <c r="A66" s="104" t="s">
        <v>99</v>
      </c>
      <c r="B66" s="270"/>
      <c r="C66" s="71" t="s">
        <v>144</v>
      </c>
      <c r="D66" s="71" t="s">
        <v>108</v>
      </c>
      <c r="E66" s="102" t="s">
        <v>109</v>
      </c>
    </row>
    <row r="67" spans="1:6" ht="18" hidden="1" x14ac:dyDescent="0.25">
      <c r="A67" s="104" t="s">
        <v>100</v>
      </c>
      <c r="B67" s="270"/>
      <c r="C67" s="71" t="s">
        <v>144</v>
      </c>
      <c r="D67" s="71" t="s">
        <v>108</v>
      </c>
      <c r="E67" s="102" t="s">
        <v>109</v>
      </c>
    </row>
    <row r="68" spans="1:6" hidden="1" x14ac:dyDescent="0.25"/>
    <row r="69" spans="1:6" hidden="1" x14ac:dyDescent="0.25">
      <c r="A69" s="2629" t="s">
        <v>122</v>
      </c>
      <c r="B69" s="2629"/>
      <c r="C69" s="2629"/>
    </row>
    <row r="70" spans="1:6" hidden="1" x14ac:dyDescent="0.25">
      <c r="A70" s="108" t="s">
        <v>120</v>
      </c>
      <c r="B70" s="107">
        <v>0.877</v>
      </c>
      <c r="C70" s="110" t="s">
        <v>116</v>
      </c>
    </row>
    <row r="71" spans="1:6" hidden="1" x14ac:dyDescent="0.25">
      <c r="A71" s="109" t="s">
        <v>121</v>
      </c>
      <c r="B71" s="107">
        <v>100</v>
      </c>
      <c r="C71" s="110" t="s">
        <v>116</v>
      </c>
    </row>
    <row r="72" spans="1:6" ht="15.75" hidden="1" thickBot="1" x14ac:dyDescent="0.3"/>
    <row r="73" spans="1:6" ht="15.75" hidden="1" thickBot="1" x14ac:dyDescent="0.3">
      <c r="A73" s="32" t="s">
        <v>23</v>
      </c>
      <c r="B73" s="33"/>
      <c r="C73" s="33"/>
      <c r="D73" s="33"/>
      <c r="E73" s="268"/>
      <c r="F73" s="34">
        <v>1.5</v>
      </c>
    </row>
    <row r="74" spans="1:6" hidden="1" x14ac:dyDescent="0.25"/>
    <row r="75" spans="1:6" ht="15.75" hidden="1" thickBot="1" x14ac:dyDescent="0.3"/>
    <row r="76" spans="1:6" hidden="1" x14ac:dyDescent="0.25">
      <c r="B76" s="24" t="s">
        <v>20</v>
      </c>
      <c r="C76" s="25"/>
      <c r="D76" s="25"/>
      <c r="E76" s="26" t="s">
        <v>9</v>
      </c>
    </row>
    <row r="77" spans="1:6" hidden="1" x14ac:dyDescent="0.25">
      <c r="B77" s="27" t="s">
        <v>21</v>
      </c>
      <c r="C77" s="28"/>
      <c r="D77" s="28"/>
      <c r="E77" s="29">
        <v>15.5</v>
      </c>
    </row>
    <row r="78" spans="1:6" hidden="1" x14ac:dyDescent="0.25">
      <c r="B78" s="27" t="s">
        <v>76</v>
      </c>
      <c r="C78" s="28"/>
      <c r="D78" s="59"/>
      <c r="E78" s="60">
        <v>42576</v>
      </c>
    </row>
    <row r="79" spans="1:6" hidden="1" x14ac:dyDescent="0.25">
      <c r="B79" s="27" t="s">
        <v>77</v>
      </c>
      <c r="C79" s="28"/>
      <c r="D79" s="30"/>
      <c r="E79" s="31">
        <v>42935</v>
      </c>
    </row>
    <row r="80" spans="1:6" hidden="1" x14ac:dyDescent="0.25">
      <c r="B80" s="27" t="s">
        <v>75</v>
      </c>
      <c r="C80" s="28"/>
      <c r="D80" s="30"/>
      <c r="E80" s="31">
        <v>42935</v>
      </c>
    </row>
    <row r="81" spans="1:16" hidden="1" x14ac:dyDescent="0.25">
      <c r="B81" s="27" t="s">
        <v>22</v>
      </c>
      <c r="C81" s="28"/>
      <c r="D81" s="28"/>
      <c r="E81" s="29">
        <f>EXP(-LN(2)*(E80-E78)/10990)</f>
        <v>0.97761202762166</v>
      </c>
    </row>
    <row r="82" spans="1:16" ht="15.75" hidden="1" thickBot="1" x14ac:dyDescent="0.3">
      <c r="B82" s="35" t="s">
        <v>64</v>
      </c>
      <c r="C82" s="36"/>
      <c r="D82" s="36"/>
      <c r="E82" s="61">
        <f>E81*E77</f>
        <v>15.15298642813573</v>
      </c>
    </row>
    <row r="83" spans="1:16" hidden="1" x14ac:dyDescent="0.25"/>
    <row r="84" spans="1:16" hidden="1" x14ac:dyDescent="0.25">
      <c r="J84" s="13"/>
    </row>
    <row r="85" spans="1:16" hidden="1" x14ac:dyDescent="0.25">
      <c r="J85" s="13"/>
    </row>
    <row r="86" spans="1:16" hidden="1" x14ac:dyDescent="0.25"/>
    <row r="88" spans="1:16" ht="15.75" thickBot="1" x14ac:dyDescent="0.3"/>
    <row r="89" spans="1:16" ht="15.75" customHeight="1" thickBot="1" x14ac:dyDescent="0.3">
      <c r="B89" s="2384" t="s">
        <v>24</v>
      </c>
      <c r="C89" s="2630"/>
      <c r="D89" s="2630"/>
      <c r="E89" s="2630"/>
      <c r="F89" s="2630"/>
      <c r="G89" s="2630"/>
      <c r="H89" s="2630"/>
      <c r="I89" s="2630"/>
      <c r="J89" s="2630"/>
      <c r="K89" s="2630"/>
      <c r="L89" s="2630"/>
      <c r="M89" s="2630"/>
      <c r="N89" s="2630"/>
      <c r="O89" s="2630"/>
      <c r="P89" s="2428"/>
    </row>
    <row r="90" spans="1:16" ht="30.75" thickBot="1" x14ac:dyDescent="0.3">
      <c r="A90" s="85" t="s">
        <v>56</v>
      </c>
      <c r="B90" s="98" t="s">
        <v>57</v>
      </c>
      <c r="C90" s="99" t="s">
        <v>58</v>
      </c>
      <c r="D90" s="99" t="s">
        <v>59</v>
      </c>
      <c r="E90" s="100" t="s">
        <v>264</v>
      </c>
      <c r="F90" s="99" t="s">
        <v>91</v>
      </c>
      <c r="G90" s="99" t="s">
        <v>92</v>
      </c>
      <c r="H90" s="99" t="s">
        <v>263</v>
      </c>
      <c r="I90" s="99" t="s">
        <v>60</v>
      </c>
      <c r="J90" s="100" t="s">
        <v>274</v>
      </c>
      <c r="K90" s="99" t="s">
        <v>7</v>
      </c>
      <c r="L90" s="99" t="s">
        <v>8</v>
      </c>
      <c r="M90" s="99" t="s">
        <v>119</v>
      </c>
      <c r="N90" s="99" t="s">
        <v>97</v>
      </c>
      <c r="O90" s="99" t="s">
        <v>95</v>
      </c>
      <c r="P90" s="101" t="s">
        <v>96</v>
      </c>
    </row>
    <row r="91" spans="1:16" x14ac:dyDescent="0.25">
      <c r="A91" s="2625">
        <v>200</v>
      </c>
      <c r="B91" s="68">
        <v>20</v>
      </c>
      <c r="C91" s="80">
        <v>60</v>
      </c>
      <c r="D91" s="80">
        <v>1014</v>
      </c>
      <c r="E91" s="76">
        <v>-5.5869999999999998E-9</v>
      </c>
      <c r="F91" s="80">
        <v>60</v>
      </c>
      <c r="G91" s="105">
        <v>42935</v>
      </c>
      <c r="H91" s="231">
        <f t="shared" ref="H91:H100" si="0">IF(AND(E91&lt;=$E$36,E91&gt;=$F$36),E91*$C$36,IF(AND(E91&lt;=$E$37,E91&gt;=$F$37),E91*$C$37,"rango cal. out"))</f>
        <v>-5.5925869999999991E-9</v>
      </c>
      <c r="I91" s="37">
        <f t="shared" ref="I91:I100" si="1">((273.2+B91)*$E$26/((273.2+$E$25)*D91))</f>
        <v>0.99249029842369418</v>
      </c>
      <c r="J91" s="57">
        <f t="shared" ref="J91:J100" si="2">H91/F91*I91*EXP(-LN(2)/10990*($E$80-G91))</f>
        <v>-9.2509805676507864E-11</v>
      </c>
      <c r="K91" s="66">
        <f t="shared" ref="K91:K100" si="3">ABS($A$27*J91*3600)</f>
        <v>0.93149973531789299</v>
      </c>
      <c r="L91" s="62">
        <f t="shared" ref="L91:L100" si="4">ABS($A$28*J91*3600)</f>
        <v>8.1793469786941193E-3</v>
      </c>
      <c r="M91" s="11">
        <f t="shared" ref="M91:M100" si="5">L91*$B$71</f>
        <v>0.81793469786941198</v>
      </c>
      <c r="N91" s="66">
        <f t="shared" ref="N91:N100" si="6">L91*$E$63</f>
        <v>9.8152163744329429E-3</v>
      </c>
      <c r="O91" s="66">
        <f t="shared" ref="O91:O100" si="7">L91*$E$65</f>
        <v>9.8970098442198833E-3</v>
      </c>
      <c r="P91" s="9">
        <f t="shared" ref="P91:P100" si="8">L91*$E$64</f>
        <v>1.0224183723367648E-2</v>
      </c>
    </row>
    <row r="92" spans="1:16" x14ac:dyDescent="0.25">
      <c r="A92" s="2626"/>
      <c r="B92" s="69">
        <v>20</v>
      </c>
      <c r="C92" s="79">
        <v>60</v>
      </c>
      <c r="D92" s="79">
        <v>1014</v>
      </c>
      <c r="E92" s="70">
        <v>-5.5880000000000001E-9</v>
      </c>
      <c r="F92" s="79">
        <v>60</v>
      </c>
      <c r="G92" s="92">
        <v>42935</v>
      </c>
      <c r="H92" s="231">
        <f t="shared" si="0"/>
        <v>-5.5935879999999997E-9</v>
      </c>
      <c r="I92" s="38">
        <f t="shared" si="1"/>
        <v>0.99249029842369418</v>
      </c>
      <c r="J92" s="74">
        <f t="shared" si="2"/>
        <v>-9.2526363722986581E-11</v>
      </c>
      <c r="K92" s="58">
        <f t="shared" si="3"/>
        <v>0.9316664615994964</v>
      </c>
      <c r="L92" s="63">
        <f t="shared" si="4"/>
        <v>8.1808109749315818E-3</v>
      </c>
      <c r="M92" s="71">
        <f t="shared" si="5"/>
        <v>0.81808109749315816</v>
      </c>
      <c r="N92" s="58">
        <f t="shared" si="6"/>
        <v>9.8169731699178971E-3</v>
      </c>
      <c r="O92" s="58">
        <f t="shared" si="7"/>
        <v>9.8987812796672136E-3</v>
      </c>
      <c r="P92" s="47">
        <f t="shared" si="8"/>
        <v>1.0226013718664478E-2</v>
      </c>
    </row>
    <row r="93" spans="1:16" x14ac:dyDescent="0.25">
      <c r="A93" s="2626"/>
      <c r="B93" s="69">
        <v>20</v>
      </c>
      <c r="C93" s="79">
        <v>60</v>
      </c>
      <c r="D93" s="79">
        <v>1014</v>
      </c>
      <c r="E93" s="70">
        <v>-5.5880000000000001E-9</v>
      </c>
      <c r="F93" s="79">
        <v>60</v>
      </c>
      <c r="G93" s="92">
        <v>42935</v>
      </c>
      <c r="H93" s="231">
        <f t="shared" si="0"/>
        <v>-5.5935879999999997E-9</v>
      </c>
      <c r="I93" s="38">
        <f t="shared" si="1"/>
        <v>0.99249029842369418</v>
      </c>
      <c r="J93" s="74">
        <f t="shared" si="2"/>
        <v>-9.2526363722986581E-11</v>
      </c>
      <c r="K93" s="58">
        <f t="shared" si="3"/>
        <v>0.9316664615994964</v>
      </c>
      <c r="L93" s="63">
        <f t="shared" si="4"/>
        <v>8.1808109749315818E-3</v>
      </c>
      <c r="M93" s="71">
        <f t="shared" si="5"/>
        <v>0.81808109749315816</v>
      </c>
      <c r="N93" s="58">
        <f t="shared" si="6"/>
        <v>9.8169731699178971E-3</v>
      </c>
      <c r="O93" s="58">
        <f t="shared" si="7"/>
        <v>9.8987812796672136E-3</v>
      </c>
      <c r="P93" s="47">
        <f t="shared" si="8"/>
        <v>1.0226013718664478E-2</v>
      </c>
    </row>
    <row r="94" spans="1:16" x14ac:dyDescent="0.25">
      <c r="A94" s="2626"/>
      <c r="B94" s="69">
        <v>20</v>
      </c>
      <c r="C94" s="79">
        <v>60</v>
      </c>
      <c r="D94" s="79">
        <v>1014</v>
      </c>
      <c r="E94" s="70">
        <v>-5.5869999999999998E-9</v>
      </c>
      <c r="F94" s="79">
        <v>60</v>
      </c>
      <c r="G94" s="92">
        <v>42935</v>
      </c>
      <c r="H94" s="231">
        <f t="shared" si="0"/>
        <v>-5.5925869999999991E-9</v>
      </c>
      <c r="I94" s="38">
        <f t="shared" si="1"/>
        <v>0.99249029842369418</v>
      </c>
      <c r="J94" s="74">
        <f t="shared" si="2"/>
        <v>-9.2509805676507864E-11</v>
      </c>
      <c r="K94" s="58">
        <f t="shared" si="3"/>
        <v>0.93149973531789299</v>
      </c>
      <c r="L94" s="63">
        <f t="shared" si="4"/>
        <v>8.1793469786941193E-3</v>
      </c>
      <c r="M94" s="71">
        <f t="shared" si="5"/>
        <v>0.81793469786941198</v>
      </c>
      <c r="N94" s="58">
        <f t="shared" si="6"/>
        <v>9.8152163744329429E-3</v>
      </c>
      <c r="O94" s="58">
        <f t="shared" si="7"/>
        <v>9.8970098442198833E-3</v>
      </c>
      <c r="P94" s="47">
        <f t="shared" si="8"/>
        <v>1.0224183723367648E-2</v>
      </c>
    </row>
    <row r="95" spans="1:16" x14ac:dyDescent="0.25">
      <c r="A95" s="2626"/>
      <c r="B95" s="69">
        <v>20</v>
      </c>
      <c r="C95" s="79">
        <v>60</v>
      </c>
      <c r="D95" s="79">
        <v>1014</v>
      </c>
      <c r="E95" s="70">
        <v>-5.5869999999999998E-9</v>
      </c>
      <c r="F95" s="79">
        <v>60</v>
      </c>
      <c r="G95" s="92">
        <v>42935</v>
      </c>
      <c r="H95" s="231">
        <f t="shared" si="0"/>
        <v>-5.5925869999999991E-9</v>
      </c>
      <c r="I95" s="38">
        <f t="shared" si="1"/>
        <v>0.99249029842369418</v>
      </c>
      <c r="J95" s="74">
        <f t="shared" si="2"/>
        <v>-9.2509805676507864E-11</v>
      </c>
      <c r="K95" s="58">
        <f t="shared" si="3"/>
        <v>0.93149973531789299</v>
      </c>
      <c r="L95" s="63">
        <f t="shared" si="4"/>
        <v>8.1793469786941193E-3</v>
      </c>
      <c r="M95" s="71">
        <f t="shared" si="5"/>
        <v>0.81793469786941198</v>
      </c>
      <c r="N95" s="58">
        <f t="shared" si="6"/>
        <v>9.8152163744329429E-3</v>
      </c>
      <c r="O95" s="58">
        <f t="shared" si="7"/>
        <v>9.8970098442198833E-3</v>
      </c>
      <c r="P95" s="47">
        <f t="shared" si="8"/>
        <v>1.0224183723367648E-2</v>
      </c>
    </row>
    <row r="96" spans="1:16" x14ac:dyDescent="0.25">
      <c r="A96" s="2626"/>
      <c r="B96" s="69">
        <v>20</v>
      </c>
      <c r="C96" s="79">
        <v>60</v>
      </c>
      <c r="D96" s="79">
        <v>1014</v>
      </c>
      <c r="E96" s="70">
        <v>-5.5889999999999996E-9</v>
      </c>
      <c r="F96" s="79">
        <v>60</v>
      </c>
      <c r="G96" s="92">
        <v>42935</v>
      </c>
      <c r="H96" s="231">
        <f t="shared" si="0"/>
        <v>-5.5945889999999987E-9</v>
      </c>
      <c r="I96" s="38">
        <f t="shared" si="1"/>
        <v>0.99249029842369418</v>
      </c>
      <c r="J96" s="74">
        <f t="shared" si="2"/>
        <v>-9.2542921769465259E-11</v>
      </c>
      <c r="K96" s="58">
        <f t="shared" si="3"/>
        <v>0.93183318788109959</v>
      </c>
      <c r="L96" s="63">
        <f t="shared" si="4"/>
        <v>8.1822749711690408E-3</v>
      </c>
      <c r="M96" s="71">
        <f t="shared" si="5"/>
        <v>0.81822749711690412</v>
      </c>
      <c r="N96" s="58">
        <f t="shared" si="6"/>
        <v>9.8187299654028479E-3</v>
      </c>
      <c r="O96" s="58">
        <f t="shared" si="7"/>
        <v>9.9005527151145387E-3</v>
      </c>
      <c r="P96" s="47">
        <f t="shared" si="8"/>
        <v>1.02278437139613E-2</v>
      </c>
    </row>
    <row r="97" spans="1:16" x14ac:dyDescent="0.25">
      <c r="A97" s="2626"/>
      <c r="B97" s="69">
        <v>19.899999999999999</v>
      </c>
      <c r="C97" s="79">
        <v>61</v>
      </c>
      <c r="D97" s="79">
        <v>1014</v>
      </c>
      <c r="E97" s="70">
        <v>-5.5889999999999996E-9</v>
      </c>
      <c r="F97" s="79">
        <v>60</v>
      </c>
      <c r="G97" s="92">
        <v>42935</v>
      </c>
      <c r="H97" s="231">
        <f t="shared" si="0"/>
        <v>-5.5945889999999987E-9</v>
      </c>
      <c r="I97" s="38">
        <f t="shared" si="1"/>
        <v>0.99215179559339961</v>
      </c>
      <c r="J97" s="74">
        <f t="shared" si="2"/>
        <v>-9.2511358699284681E-11</v>
      </c>
      <c r="K97" s="58">
        <f t="shared" si="3"/>
        <v>0.93151537301483744</v>
      </c>
      <c r="L97" s="63">
        <f t="shared" si="4"/>
        <v>8.1794842907559548E-3</v>
      </c>
      <c r="M97" s="71">
        <f t="shared" si="5"/>
        <v>0.81794842907559551</v>
      </c>
      <c r="N97" s="58">
        <f t="shared" si="6"/>
        <v>9.8153811489071451E-3</v>
      </c>
      <c r="O97" s="58">
        <f t="shared" si="7"/>
        <v>9.8971759918147044E-3</v>
      </c>
      <c r="P97" s="47">
        <f t="shared" si="8"/>
        <v>1.0224355363444943E-2</v>
      </c>
    </row>
    <row r="98" spans="1:16" x14ac:dyDescent="0.25">
      <c r="A98" s="2626"/>
      <c r="B98" s="69">
        <v>19.899999999999999</v>
      </c>
      <c r="C98" s="79">
        <v>61</v>
      </c>
      <c r="D98" s="79">
        <v>1014</v>
      </c>
      <c r="E98" s="70">
        <v>-5.5880000000000001E-9</v>
      </c>
      <c r="F98" s="79">
        <v>60</v>
      </c>
      <c r="G98" s="92">
        <v>42935</v>
      </c>
      <c r="H98" s="231">
        <f t="shared" si="0"/>
        <v>-5.5935879999999997E-9</v>
      </c>
      <c r="I98" s="38">
        <f t="shared" si="1"/>
        <v>0.99215179559339961</v>
      </c>
      <c r="J98" s="74">
        <f t="shared" si="2"/>
        <v>-9.2494806300161553E-11</v>
      </c>
      <c r="K98" s="58">
        <f t="shared" si="3"/>
        <v>0.9313487035975867</v>
      </c>
      <c r="L98" s="63">
        <f t="shared" si="4"/>
        <v>8.1780207938350839E-3</v>
      </c>
      <c r="M98" s="71">
        <f t="shared" si="5"/>
        <v>0.81780207938350835</v>
      </c>
      <c r="N98" s="58">
        <f t="shared" si="6"/>
        <v>9.8136249526020996E-3</v>
      </c>
      <c r="O98" s="58">
        <f t="shared" si="7"/>
        <v>9.8954051605404519E-3</v>
      </c>
      <c r="P98" s="47">
        <f t="shared" si="8"/>
        <v>1.0222525992293854E-2</v>
      </c>
    </row>
    <row r="99" spans="1:16" x14ac:dyDescent="0.25">
      <c r="A99" s="2626"/>
      <c r="B99" s="69">
        <v>19.899999999999999</v>
      </c>
      <c r="C99" s="79">
        <v>61</v>
      </c>
      <c r="D99" s="79">
        <v>1014</v>
      </c>
      <c r="E99" s="70">
        <v>-5.5889999999999996E-9</v>
      </c>
      <c r="F99" s="79">
        <v>60</v>
      </c>
      <c r="G99" s="92">
        <v>42935</v>
      </c>
      <c r="H99" s="231">
        <f t="shared" si="0"/>
        <v>-5.5945889999999987E-9</v>
      </c>
      <c r="I99" s="38">
        <f t="shared" si="1"/>
        <v>0.99215179559339961</v>
      </c>
      <c r="J99" s="74">
        <f t="shared" si="2"/>
        <v>-9.2511358699284681E-11</v>
      </c>
      <c r="K99" s="58">
        <f t="shared" si="3"/>
        <v>0.93151537301483744</v>
      </c>
      <c r="L99" s="63">
        <f t="shared" si="4"/>
        <v>8.1794842907559548E-3</v>
      </c>
      <c r="M99" s="71">
        <f t="shared" si="5"/>
        <v>0.81794842907559551</v>
      </c>
      <c r="N99" s="58">
        <f t="shared" si="6"/>
        <v>9.8153811489071451E-3</v>
      </c>
      <c r="O99" s="58">
        <f t="shared" si="7"/>
        <v>9.8971759918147044E-3</v>
      </c>
      <c r="P99" s="47">
        <f t="shared" si="8"/>
        <v>1.0224355363444943E-2</v>
      </c>
    </row>
    <row r="100" spans="1:16" ht="15.75" thickBot="1" x14ac:dyDescent="0.3">
      <c r="A100" s="2627"/>
      <c r="B100" s="69">
        <v>19.899999999999999</v>
      </c>
      <c r="C100" s="79">
        <v>61</v>
      </c>
      <c r="D100" s="79">
        <v>1014</v>
      </c>
      <c r="E100" s="70">
        <v>-5.5869999999999998E-9</v>
      </c>
      <c r="F100" s="79">
        <v>60</v>
      </c>
      <c r="G100" s="92">
        <v>42935</v>
      </c>
      <c r="H100" s="231">
        <f t="shared" si="0"/>
        <v>-5.5925869999999991E-9</v>
      </c>
      <c r="I100" s="38">
        <f t="shared" si="1"/>
        <v>0.99215179559339961</v>
      </c>
      <c r="J100" s="74">
        <f t="shared" si="2"/>
        <v>-9.2478253901038387E-11</v>
      </c>
      <c r="K100" s="58">
        <f t="shared" si="3"/>
        <v>0.93118203418033574</v>
      </c>
      <c r="L100" s="63">
        <f t="shared" si="4"/>
        <v>8.1765572969142112E-3</v>
      </c>
      <c r="M100" s="71">
        <f t="shared" si="5"/>
        <v>0.81765572969142108</v>
      </c>
      <c r="N100" s="58">
        <f t="shared" si="6"/>
        <v>9.8118687562970524E-3</v>
      </c>
      <c r="O100" s="58">
        <f t="shared" si="7"/>
        <v>9.893634329266196E-3</v>
      </c>
      <c r="P100" s="47">
        <f t="shared" si="8"/>
        <v>1.0220696621142764E-2</v>
      </c>
    </row>
    <row r="101" spans="1:16" x14ac:dyDescent="0.25">
      <c r="A101" s="263" t="s">
        <v>61</v>
      </c>
      <c r="B101" s="243">
        <f t="shared" ref="B101:F101" si="9">AVERAGE(B91:B100)</f>
        <v>19.96</v>
      </c>
      <c r="C101" s="232">
        <f t="shared" si="9"/>
        <v>60.4</v>
      </c>
      <c r="D101" s="232">
        <f t="shared" si="9"/>
        <v>1014</v>
      </c>
      <c r="E101" s="58">
        <f t="shared" si="9"/>
        <v>-5.5878999999999997E-9</v>
      </c>
      <c r="F101" s="232">
        <f t="shared" si="9"/>
        <v>60</v>
      </c>
      <c r="G101" s="90" t="s">
        <v>93</v>
      </c>
      <c r="H101" s="11">
        <f t="shared" ref="H101:P101" si="10">AVERAGE(H91:H100)</f>
        <v>-5.5934878999999984E-9</v>
      </c>
      <c r="I101" s="38">
        <f t="shared" si="10"/>
        <v>0.99235489729157622</v>
      </c>
      <c r="J101" s="63">
        <f>AVERAGE(J91:J100)</f>
        <v>-9.2512084384473122E-11</v>
      </c>
      <c r="K101" s="58">
        <f t="shared" si="10"/>
        <v>0.93152268008413697</v>
      </c>
      <c r="L101" s="75">
        <f t="shared" si="10"/>
        <v>8.1795484529375764E-3</v>
      </c>
      <c r="M101" s="58">
        <f t="shared" si="10"/>
        <v>0.81795484529375773</v>
      </c>
      <c r="N101" s="58">
        <f t="shared" si="10"/>
        <v>9.815458143525092E-3</v>
      </c>
      <c r="O101" s="58">
        <f t="shared" si="10"/>
        <v>9.8972536280544678E-3</v>
      </c>
      <c r="P101" s="47">
        <f t="shared" si="10"/>
        <v>1.0224435566171971E-2</v>
      </c>
    </row>
    <row r="102" spans="1:16" x14ac:dyDescent="0.25">
      <c r="A102" s="263" t="s">
        <v>62</v>
      </c>
      <c r="B102" s="82">
        <f t="shared" ref="B102:F102" si="11">STDEVA(B91:B100)</f>
        <v>5.1639777949432961E-2</v>
      </c>
      <c r="C102" s="38">
        <f t="shared" si="11"/>
        <v>0.5163977794943222</v>
      </c>
      <c r="D102" s="38">
        <f t="shared" si="11"/>
        <v>0</v>
      </c>
      <c r="E102" s="58">
        <f t="shared" si="11"/>
        <v>8.7559503577083536E-13</v>
      </c>
      <c r="F102" s="38">
        <f t="shared" si="11"/>
        <v>0</v>
      </c>
      <c r="G102" s="40" t="s">
        <v>93</v>
      </c>
      <c r="H102" s="11">
        <f t="shared" ref="H102:P102" si="12">STDEVA(H91:H100)</f>
        <v>8.7647063080653896E-13</v>
      </c>
      <c r="I102" s="40">
        <f t="shared" si="12"/>
        <v>1.7480210991666122E-4</v>
      </c>
      <c r="J102" s="63">
        <f t="shared" si="12"/>
        <v>1.769622654309539E-14</v>
      </c>
      <c r="K102" s="58">
        <f t="shared" si="12"/>
        <v>1.7818684430771892E-4</v>
      </c>
      <c r="L102" s="63">
        <f t="shared" si="12"/>
        <v>1.5646295660342095E-6</v>
      </c>
      <c r="M102" s="58">
        <f t="shared" si="12"/>
        <v>1.5646295660343436E-4</v>
      </c>
      <c r="N102" s="58">
        <f t="shared" si="12"/>
        <v>1.8775554792410184E-6</v>
      </c>
      <c r="O102" s="58">
        <f t="shared" si="12"/>
        <v>1.8932017749011014E-6</v>
      </c>
      <c r="P102" s="47">
        <f t="shared" si="12"/>
        <v>1.9557869575428482E-6</v>
      </c>
    </row>
    <row r="103" spans="1:16" ht="15.75" thickBot="1" x14ac:dyDescent="0.3">
      <c r="A103" s="264" t="s">
        <v>63</v>
      </c>
      <c r="B103" s="83">
        <f t="shared" ref="B103:F103" si="13">B102/B101*100</f>
        <v>0.25871632239194869</v>
      </c>
      <c r="C103" s="81">
        <f t="shared" si="13"/>
        <v>0.85496321108331497</v>
      </c>
      <c r="D103" s="81">
        <f t="shared" si="13"/>
        <v>0</v>
      </c>
      <c r="E103" s="19">
        <f t="shared" si="13"/>
        <v>-1.5669482914347704E-2</v>
      </c>
      <c r="F103" s="81">
        <f t="shared" si="13"/>
        <v>0</v>
      </c>
      <c r="G103" s="43" t="s">
        <v>93</v>
      </c>
      <c r="H103" s="89">
        <f t="shared" ref="H103:P103" si="14">H102/H101*100</f>
        <v>-1.5669482914346507E-2</v>
      </c>
      <c r="I103" s="43">
        <f t="shared" si="14"/>
        <v>1.7614878547357077E-2</v>
      </c>
      <c r="J103" s="64">
        <f t="shared" si="14"/>
        <v>-1.9128556729465993E-2</v>
      </c>
      <c r="K103" s="19">
        <f t="shared" si="14"/>
        <v>1.9128556729464143E-2</v>
      </c>
      <c r="L103" s="64">
        <f t="shared" si="14"/>
        <v>1.9128556729464612E-2</v>
      </c>
      <c r="M103" s="19">
        <f t="shared" si="14"/>
        <v>1.9128556729466253E-2</v>
      </c>
      <c r="N103" s="19">
        <f t="shared" si="14"/>
        <v>1.9128556729464275E-2</v>
      </c>
      <c r="O103" s="19">
        <f t="shared" si="14"/>
        <v>1.9128556729461663E-2</v>
      </c>
      <c r="P103" s="17">
        <f t="shared" si="14"/>
        <v>1.9128556729465458E-2</v>
      </c>
    </row>
  </sheetData>
  <sheetProtection password="D8A8"/>
  <mergeCells count="25">
    <mergeCell ref="C34:C35"/>
    <mergeCell ref="D34:D35"/>
    <mergeCell ref="E34:F34"/>
    <mergeCell ref="A1:B4"/>
    <mergeCell ref="C1:F4"/>
    <mergeCell ref="A10:D10"/>
    <mergeCell ref="A14:B15"/>
    <mergeCell ref="A23:C24"/>
    <mergeCell ref="E23:F24"/>
    <mergeCell ref="A7:P8"/>
    <mergeCell ref="B25:C25"/>
    <mergeCell ref="A32:F33"/>
    <mergeCell ref="H32:I33"/>
    <mergeCell ref="A34:A35"/>
    <mergeCell ref="B34:B35"/>
    <mergeCell ref="A91:A100"/>
    <mergeCell ref="A64:B65"/>
    <mergeCell ref="A69:C69"/>
    <mergeCell ref="B89:P89"/>
    <mergeCell ref="A40:F41"/>
    <mergeCell ref="A48:F49"/>
    <mergeCell ref="A54:E55"/>
    <mergeCell ref="A60:E60"/>
    <mergeCell ref="A61:B61"/>
    <mergeCell ref="A62:B63"/>
  </mergeCell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Q103"/>
  <sheetViews>
    <sheetView topLeftCell="A6" zoomScale="70" zoomScaleNormal="70" workbookViewId="0">
      <selection activeCell="Q94" sqref="Q94"/>
    </sheetView>
  </sheetViews>
  <sheetFormatPr baseColWidth="10" defaultColWidth="11.42578125" defaultRowHeight="15" x14ac:dyDescent="0.25"/>
  <cols>
    <col min="1" max="1" width="11.42578125" style="56"/>
    <col min="2" max="2" width="13.28515625" style="56" customWidth="1"/>
    <col min="3" max="4" width="11.42578125" style="56"/>
    <col min="5" max="5" width="14.28515625" style="56" customWidth="1"/>
    <col min="6" max="6" width="12.28515625" style="56" customWidth="1"/>
    <col min="7" max="7" width="13.42578125" style="56" customWidth="1"/>
    <col min="8" max="8" width="14.42578125" style="56" customWidth="1"/>
    <col min="9" max="9" width="11.42578125" style="56"/>
    <col min="10" max="10" width="14.28515625" style="56" customWidth="1"/>
    <col min="11" max="11" width="13.85546875" style="56" hidden="1" customWidth="1"/>
    <col min="12" max="16" width="0" style="56" hidden="1" customWidth="1"/>
    <col min="17" max="17" width="13.7109375" style="56" customWidth="1"/>
    <col min="18" max="16384" width="11.42578125" style="56"/>
  </cols>
  <sheetData>
    <row r="1" spans="1:17" ht="15" hidden="1" customHeight="1" x14ac:dyDescent="0.25">
      <c r="A1" s="2645"/>
      <c r="B1" s="2646"/>
      <c r="C1" s="2253" t="s">
        <v>239</v>
      </c>
      <c r="D1" s="2651"/>
      <c r="E1" s="2651"/>
      <c r="F1" s="2646"/>
      <c r="G1" s="48" t="s">
        <v>68</v>
      </c>
      <c r="H1" s="50" t="s">
        <v>240</v>
      </c>
    </row>
    <row r="2" spans="1:17" ht="15" hidden="1" customHeight="1" x14ac:dyDescent="0.25">
      <c r="A2" s="2647"/>
      <c r="B2" s="2648"/>
      <c r="C2" s="2647"/>
      <c r="D2" s="2652"/>
      <c r="E2" s="2652"/>
      <c r="F2" s="2648"/>
      <c r="G2" s="51" t="s">
        <v>69</v>
      </c>
      <c r="H2" s="52" t="s">
        <v>168</v>
      </c>
    </row>
    <row r="3" spans="1:17" ht="15" hidden="1" customHeight="1" x14ac:dyDescent="0.25">
      <c r="A3" s="2647"/>
      <c r="B3" s="2648"/>
      <c r="C3" s="2647"/>
      <c r="D3" s="2652"/>
      <c r="E3" s="2652"/>
      <c r="F3" s="2648"/>
      <c r="G3" s="51" t="s">
        <v>70</v>
      </c>
      <c r="H3" s="52" t="s">
        <v>72</v>
      </c>
    </row>
    <row r="4" spans="1:17" ht="15" hidden="1" customHeight="1" x14ac:dyDescent="0.25">
      <c r="A4" s="2649"/>
      <c r="B4" s="2650"/>
      <c r="C4" s="2649"/>
      <c r="D4" s="2653"/>
      <c r="E4" s="2653"/>
      <c r="F4" s="2650"/>
      <c r="G4" s="53" t="s">
        <v>71</v>
      </c>
      <c r="H4" s="55" t="s">
        <v>73</v>
      </c>
    </row>
    <row r="5" spans="1:17" hidden="1" x14ac:dyDescent="0.25"/>
    <row r="6" spans="1:17" ht="15.75" thickBot="1" x14ac:dyDescent="0.3"/>
    <row r="7" spans="1:17" ht="15" customHeight="1" x14ac:dyDescent="0.25">
      <c r="A7" s="2660" t="s">
        <v>594</v>
      </c>
      <c r="B7" s="2661"/>
      <c r="C7" s="2661"/>
      <c r="D7" s="2661"/>
      <c r="E7" s="2661"/>
      <c r="F7" s="2661"/>
      <c r="G7" s="2661"/>
      <c r="H7" s="2661"/>
      <c r="I7" s="2661"/>
      <c r="J7" s="2661"/>
      <c r="K7" s="2661"/>
      <c r="L7" s="2661"/>
      <c r="M7" s="2661"/>
      <c r="N7" s="2661"/>
      <c r="O7" s="2661"/>
      <c r="P7" s="2661"/>
      <c r="Q7" s="2662"/>
    </row>
    <row r="8" spans="1:17" ht="22.5" customHeight="1" thickBot="1" x14ac:dyDescent="0.3">
      <c r="A8" s="2663"/>
      <c r="B8" s="2664"/>
      <c r="C8" s="2664"/>
      <c r="D8" s="2664"/>
      <c r="E8" s="2664"/>
      <c r="F8" s="2664"/>
      <c r="G8" s="2664"/>
      <c r="H8" s="2664"/>
      <c r="I8" s="2664"/>
      <c r="J8" s="2664"/>
      <c r="K8" s="2664"/>
      <c r="L8" s="2664"/>
      <c r="M8" s="2664"/>
      <c r="N8" s="2664"/>
      <c r="O8" s="2664"/>
      <c r="P8" s="2664"/>
      <c r="Q8" s="2665"/>
    </row>
    <row r="9" spans="1:17" ht="15.75" hidden="1" customHeight="1" thickBot="1" x14ac:dyDescent="0.3">
      <c r="A9" s="67"/>
      <c r="B9" s="67"/>
      <c r="C9" s="67"/>
      <c r="D9" s="67"/>
      <c r="E9" s="67"/>
      <c r="F9" s="67"/>
    </row>
    <row r="10" spans="1:17" ht="15.75" hidden="1" thickBot="1" x14ac:dyDescent="0.3">
      <c r="A10" s="2294" t="s">
        <v>0</v>
      </c>
      <c r="B10" s="2654"/>
      <c r="C10" s="2654"/>
      <c r="D10" s="2655"/>
    </row>
    <row r="11" spans="1:17" hidden="1" x14ac:dyDescent="0.25">
      <c r="A11" s="1" t="s">
        <v>2</v>
      </c>
      <c r="B11" s="2" t="s">
        <v>3</v>
      </c>
      <c r="C11" s="3" t="s">
        <v>4</v>
      </c>
      <c r="D11" s="2" t="s">
        <v>5</v>
      </c>
    </row>
    <row r="12" spans="1:17" ht="15.75" hidden="1" thickBot="1" x14ac:dyDescent="0.3">
      <c r="A12" s="5" t="s">
        <v>9</v>
      </c>
      <c r="B12" s="6">
        <v>42576</v>
      </c>
      <c r="C12" s="269">
        <v>573.5</v>
      </c>
      <c r="D12" s="7">
        <f>573500000000/37000000000</f>
        <v>15.5</v>
      </c>
    </row>
    <row r="13" spans="1:17" ht="15.75" hidden="1" thickBot="1" x14ac:dyDescent="0.3"/>
    <row r="14" spans="1:17" ht="15" hidden="1" customHeight="1" x14ac:dyDescent="0.25">
      <c r="A14" s="2656" t="s">
        <v>1</v>
      </c>
      <c r="B14" s="2657"/>
    </row>
    <row r="15" spans="1:17" ht="15.75" hidden="1" thickBot="1" x14ac:dyDescent="0.3">
      <c r="A15" s="2658"/>
      <c r="B15" s="2659"/>
    </row>
    <row r="16" spans="1:17" hidden="1" x14ac:dyDescent="0.25">
      <c r="A16" s="2" t="s">
        <v>10</v>
      </c>
      <c r="B16" s="8">
        <v>7</v>
      </c>
    </row>
    <row r="17" spans="1:9" hidden="1" x14ac:dyDescent="0.25">
      <c r="A17" s="14" t="s">
        <v>14</v>
      </c>
      <c r="B17" s="15">
        <v>42</v>
      </c>
    </row>
    <row r="18" spans="1:9" hidden="1" x14ac:dyDescent="0.25">
      <c r="A18" s="14" t="s">
        <v>17</v>
      </c>
      <c r="B18" s="15">
        <v>14</v>
      </c>
    </row>
    <row r="19" spans="1:9" hidden="1" x14ac:dyDescent="0.25">
      <c r="A19" s="20" t="s">
        <v>18</v>
      </c>
      <c r="B19" s="21">
        <v>22</v>
      </c>
    </row>
    <row r="20" spans="1:9" ht="15.75" hidden="1" thickBot="1" x14ac:dyDescent="0.3">
      <c r="A20" s="22" t="s">
        <v>19</v>
      </c>
      <c r="B20" s="23">
        <v>17</v>
      </c>
    </row>
    <row r="21" spans="1:9" hidden="1" x14ac:dyDescent="0.25"/>
    <row r="22" spans="1:9" ht="15.75" hidden="1" thickBot="1" x14ac:dyDescent="0.3"/>
    <row r="23" spans="1:9" ht="15" hidden="1" customHeight="1" x14ac:dyDescent="0.25">
      <c r="A23" s="2239" t="s">
        <v>446</v>
      </c>
      <c r="B23" s="2240"/>
      <c r="C23" s="2241"/>
      <c r="E23" s="2239" t="s">
        <v>385</v>
      </c>
      <c r="F23" s="2241"/>
    </row>
    <row r="24" spans="1:9" ht="33.75" hidden="1" customHeight="1" thickBot="1" x14ac:dyDescent="0.3">
      <c r="A24" s="2242"/>
      <c r="B24" s="2243"/>
      <c r="C24" s="2244"/>
      <c r="E24" s="2242"/>
      <c r="F24" s="2244"/>
    </row>
    <row r="25" spans="1:9" ht="15.75" hidden="1" thickBot="1" x14ac:dyDescent="0.3">
      <c r="A25" s="266" t="s">
        <v>349</v>
      </c>
      <c r="B25" s="2666">
        <v>42712</v>
      </c>
      <c r="C25" s="2667"/>
      <c r="E25" s="257">
        <v>22</v>
      </c>
      <c r="F25" s="258" t="s">
        <v>12</v>
      </c>
    </row>
    <row r="26" spans="1:9" ht="15.75" hidden="1" thickBot="1" x14ac:dyDescent="0.3">
      <c r="A26" s="265" t="s">
        <v>118</v>
      </c>
      <c r="B26" s="256" t="s">
        <v>104</v>
      </c>
      <c r="C26" s="255" t="s">
        <v>435</v>
      </c>
      <c r="E26" s="5">
        <v>1013.25</v>
      </c>
      <c r="F26" s="18" t="s">
        <v>16</v>
      </c>
    </row>
    <row r="27" spans="1:9" hidden="1" x14ac:dyDescent="0.25">
      <c r="A27" s="254">
        <v>2797000</v>
      </c>
      <c r="B27" s="253" t="s">
        <v>11</v>
      </c>
      <c r="C27" s="287">
        <v>1.6E-2</v>
      </c>
    </row>
    <row r="28" spans="1:9" hidden="1" x14ac:dyDescent="0.25">
      <c r="A28" s="271">
        <v>24560</v>
      </c>
      <c r="B28" s="272" t="s">
        <v>15</v>
      </c>
      <c r="C28" s="296">
        <v>1.6E-2</v>
      </c>
    </row>
    <row r="29" spans="1:9" ht="15.75" hidden="1" thickBot="1" x14ac:dyDescent="0.3">
      <c r="A29" s="273" t="s">
        <v>93</v>
      </c>
      <c r="B29" s="252" t="s">
        <v>363</v>
      </c>
      <c r="C29" s="84" t="s">
        <v>93</v>
      </c>
    </row>
    <row r="30" spans="1:9" hidden="1" x14ac:dyDescent="0.25"/>
    <row r="31" spans="1:9" ht="15.75" hidden="1" thickBot="1" x14ac:dyDescent="0.3"/>
    <row r="32" spans="1:9" ht="15" hidden="1" customHeight="1" x14ac:dyDescent="0.25">
      <c r="A32" s="2239" t="s">
        <v>445</v>
      </c>
      <c r="B32" s="2240"/>
      <c r="C32" s="2240"/>
      <c r="D32" s="2240"/>
      <c r="E32" s="2240"/>
      <c r="F32" s="2241"/>
      <c r="H32" s="2239" t="s">
        <v>266</v>
      </c>
      <c r="I32" s="2241"/>
    </row>
    <row r="33" spans="1:9" ht="15.75" hidden="1" thickBot="1" x14ac:dyDescent="0.3">
      <c r="A33" s="2242"/>
      <c r="B33" s="2243"/>
      <c r="C33" s="2243"/>
      <c r="D33" s="2243"/>
      <c r="E33" s="2243"/>
      <c r="F33" s="2244"/>
      <c r="H33" s="2242"/>
      <c r="I33" s="2244"/>
    </row>
    <row r="34" spans="1:9" ht="42.75" hidden="1" customHeight="1" thickBot="1" x14ac:dyDescent="0.3">
      <c r="A34" s="2668" t="s">
        <v>265</v>
      </c>
      <c r="B34" s="2641" t="s">
        <v>6</v>
      </c>
      <c r="C34" s="2639" t="s">
        <v>270</v>
      </c>
      <c r="D34" s="2641" t="s">
        <v>310</v>
      </c>
      <c r="E34" s="2643" t="s">
        <v>271</v>
      </c>
      <c r="F34" s="2644"/>
      <c r="H34" s="259" t="s">
        <v>567</v>
      </c>
      <c r="I34" s="260">
        <v>1E-13</v>
      </c>
    </row>
    <row r="35" spans="1:9" ht="45.75" hidden="1" thickBot="1" x14ac:dyDescent="0.3">
      <c r="A35" s="2669"/>
      <c r="B35" s="2642"/>
      <c r="C35" s="2640"/>
      <c r="D35" s="2642"/>
      <c r="E35" s="4" t="s">
        <v>272</v>
      </c>
      <c r="F35" s="267" t="s">
        <v>273</v>
      </c>
      <c r="H35" s="259" t="s">
        <v>568</v>
      </c>
      <c r="I35" s="260">
        <v>1</v>
      </c>
    </row>
    <row r="36" spans="1:9" ht="15" hidden="1" customHeight="1" x14ac:dyDescent="0.25">
      <c r="A36" s="10" t="s">
        <v>267</v>
      </c>
      <c r="B36" s="11" t="s">
        <v>268</v>
      </c>
      <c r="C36" s="111">
        <v>1.004</v>
      </c>
      <c r="D36" s="293">
        <v>2E-3</v>
      </c>
      <c r="E36" s="233">
        <v>-1.9999999999999999E-11</v>
      </c>
      <c r="F36" s="234">
        <v>-2.2900000000000001E-10</v>
      </c>
    </row>
    <row r="37" spans="1:9" ht="15.75" hidden="1" thickBot="1" x14ac:dyDescent="0.3">
      <c r="A37" s="16" t="s">
        <v>267</v>
      </c>
      <c r="B37" s="19" t="s">
        <v>269</v>
      </c>
      <c r="C37" s="230">
        <v>1.0009999999999999</v>
      </c>
      <c r="D37" s="294">
        <v>1E-3</v>
      </c>
      <c r="E37" s="235">
        <v>-1E-10</v>
      </c>
      <c r="F37" s="17">
        <v>-2.3000000000000001E-8</v>
      </c>
    </row>
    <row r="38" spans="1:9" hidden="1" x14ac:dyDescent="0.25"/>
    <row r="39" spans="1:9" ht="15.75" hidden="1" thickBot="1" x14ac:dyDescent="0.3"/>
    <row r="40" spans="1:9" ht="15" hidden="1" customHeight="1" x14ac:dyDescent="0.25">
      <c r="A40" s="2631" t="s">
        <v>440</v>
      </c>
      <c r="B40" s="2632"/>
      <c r="C40" s="2632"/>
      <c r="D40" s="2632"/>
      <c r="E40" s="2632"/>
      <c r="F40" s="2633"/>
    </row>
    <row r="41" spans="1:9" ht="15.75" hidden="1" thickBot="1" x14ac:dyDescent="0.3">
      <c r="A41" s="2634"/>
      <c r="B41" s="2635"/>
      <c r="C41" s="2635"/>
      <c r="D41" s="2635"/>
      <c r="E41" s="2635"/>
      <c r="F41" s="2636"/>
    </row>
    <row r="42" spans="1:9" ht="30.75" hidden="1" thickBot="1" x14ac:dyDescent="0.3">
      <c r="A42" s="285" t="s">
        <v>138</v>
      </c>
      <c r="B42" s="281" t="s">
        <v>437</v>
      </c>
      <c r="C42" s="281" t="s">
        <v>117</v>
      </c>
      <c r="D42" s="281" t="s">
        <v>434</v>
      </c>
      <c r="E42" s="281" t="s">
        <v>435</v>
      </c>
      <c r="F42" s="282" t="s">
        <v>436</v>
      </c>
    </row>
    <row r="43" spans="1:9" hidden="1" x14ac:dyDescent="0.25">
      <c r="A43" s="299" t="s">
        <v>431</v>
      </c>
      <c r="B43" s="280" t="s">
        <v>438</v>
      </c>
      <c r="C43" s="280" t="s">
        <v>12</v>
      </c>
      <c r="D43" s="280">
        <v>0.1</v>
      </c>
      <c r="E43" s="280">
        <v>0.3</v>
      </c>
      <c r="F43" s="258" t="s">
        <v>12</v>
      </c>
    </row>
    <row r="44" spans="1:9" hidden="1" x14ac:dyDescent="0.25">
      <c r="A44" s="297" t="s">
        <v>431</v>
      </c>
      <c r="B44" s="71" t="s">
        <v>439</v>
      </c>
      <c r="C44" s="71" t="s">
        <v>12</v>
      </c>
      <c r="D44" s="71">
        <v>0.1</v>
      </c>
      <c r="E44" s="71">
        <v>7.0000000000000007E-2</v>
      </c>
      <c r="F44" s="298" t="s">
        <v>12</v>
      </c>
    </row>
    <row r="45" spans="1:9" ht="15.75" hidden="1" thickBot="1" x14ac:dyDescent="0.3">
      <c r="A45" s="16" t="s">
        <v>433</v>
      </c>
      <c r="B45" s="230" t="s">
        <v>93</v>
      </c>
      <c r="C45" s="230" t="s">
        <v>432</v>
      </c>
      <c r="D45" s="230">
        <v>1</v>
      </c>
      <c r="E45" s="230">
        <v>2.9</v>
      </c>
      <c r="F45" s="18" t="s">
        <v>432</v>
      </c>
    </row>
    <row r="46" spans="1:9" hidden="1" x14ac:dyDescent="0.25"/>
    <row r="47" spans="1:9" ht="15.75" hidden="1" thickBot="1" x14ac:dyDescent="0.3"/>
    <row r="48" spans="1:9" ht="15" hidden="1" customHeight="1" x14ac:dyDescent="0.25">
      <c r="A48" s="2631" t="s">
        <v>441</v>
      </c>
      <c r="B48" s="2632"/>
      <c r="C48" s="2632"/>
      <c r="D48" s="2632"/>
      <c r="E48" s="2632"/>
      <c r="F48" s="2633"/>
    </row>
    <row r="49" spans="1:6" ht="15.75" hidden="1" thickBot="1" x14ac:dyDescent="0.3">
      <c r="A49" s="2634"/>
      <c r="B49" s="2635"/>
      <c r="C49" s="2635"/>
      <c r="D49" s="2635"/>
      <c r="E49" s="2635"/>
      <c r="F49" s="2636"/>
    </row>
    <row r="50" spans="1:6" ht="30.75" hidden="1" thickBot="1" x14ac:dyDescent="0.3">
      <c r="A50" s="285" t="s">
        <v>138</v>
      </c>
      <c r="B50" s="281" t="s">
        <v>437</v>
      </c>
      <c r="C50" s="281" t="s">
        <v>117</v>
      </c>
      <c r="D50" s="281" t="s">
        <v>434</v>
      </c>
      <c r="E50" s="281" t="s">
        <v>435</v>
      </c>
      <c r="F50" s="282" t="s">
        <v>436</v>
      </c>
    </row>
    <row r="51" spans="1:6" ht="15.75" hidden="1" thickBot="1" x14ac:dyDescent="0.3">
      <c r="A51" s="285" t="s">
        <v>444</v>
      </c>
      <c r="B51" s="281" t="s">
        <v>443</v>
      </c>
      <c r="C51" s="281" t="s">
        <v>442</v>
      </c>
      <c r="D51" s="281">
        <v>1</v>
      </c>
      <c r="E51" s="281">
        <v>0.44</v>
      </c>
      <c r="F51" s="282" t="s">
        <v>442</v>
      </c>
    </row>
    <row r="52" spans="1:6" hidden="1" x14ac:dyDescent="0.25"/>
    <row r="53" spans="1:6" ht="15.75" hidden="1" thickBot="1" x14ac:dyDescent="0.3"/>
    <row r="54" spans="1:6" ht="15" hidden="1" customHeight="1" x14ac:dyDescent="0.25">
      <c r="A54" s="2631" t="s">
        <v>447</v>
      </c>
      <c r="B54" s="2632"/>
      <c r="C54" s="2632"/>
      <c r="D54" s="2632"/>
      <c r="E54" s="2633"/>
      <c r="F54" s="286"/>
    </row>
    <row r="55" spans="1:6" ht="15.75" hidden="1" thickBot="1" x14ac:dyDescent="0.3">
      <c r="A55" s="2634"/>
      <c r="B55" s="2635"/>
      <c r="C55" s="2635"/>
      <c r="D55" s="2635"/>
      <c r="E55" s="2636"/>
      <c r="F55" s="286"/>
    </row>
    <row r="56" spans="1:6" ht="30.75" hidden="1" thickBot="1" x14ac:dyDescent="0.3">
      <c r="A56" s="285" t="s">
        <v>138</v>
      </c>
      <c r="B56" s="281" t="s">
        <v>117</v>
      </c>
      <c r="C56" s="281" t="s">
        <v>434</v>
      </c>
      <c r="D56" s="281" t="s">
        <v>435</v>
      </c>
      <c r="E56" s="282" t="s">
        <v>436</v>
      </c>
    </row>
    <row r="57" spans="1:6" ht="15.75" hidden="1" thickBot="1" x14ac:dyDescent="0.3">
      <c r="A57" s="285" t="s">
        <v>448</v>
      </c>
      <c r="B57" s="281" t="s">
        <v>449</v>
      </c>
      <c r="C57" s="281">
        <v>1</v>
      </c>
      <c r="D57" s="281">
        <v>1.1000000000000001</v>
      </c>
      <c r="E57" s="282" t="s">
        <v>449</v>
      </c>
    </row>
    <row r="58" spans="1:6" hidden="1" x14ac:dyDescent="0.25"/>
    <row r="59" spans="1:6" hidden="1" x14ac:dyDescent="0.25"/>
    <row r="60" spans="1:6" hidden="1" x14ac:dyDescent="0.25">
      <c r="A60" s="2628" t="s">
        <v>110</v>
      </c>
      <c r="B60" s="2628"/>
      <c r="C60" s="2628"/>
      <c r="D60" s="2628"/>
      <c r="E60" s="2628"/>
    </row>
    <row r="61" spans="1:6" hidden="1" x14ac:dyDescent="0.25">
      <c r="A61" s="2637" t="s">
        <v>102</v>
      </c>
      <c r="B61" s="2638"/>
      <c r="C61" s="270" t="s">
        <v>103</v>
      </c>
      <c r="D61" s="270" t="s">
        <v>104</v>
      </c>
      <c r="E61" s="270" t="s">
        <v>105</v>
      </c>
    </row>
    <row r="62" spans="1:6" ht="18" hidden="1" x14ac:dyDescent="0.25">
      <c r="A62" s="2629" t="s">
        <v>98</v>
      </c>
      <c r="B62" s="2629"/>
      <c r="C62" s="71" t="s">
        <v>143</v>
      </c>
      <c r="D62" s="71" t="s">
        <v>108</v>
      </c>
      <c r="E62" s="102" t="s">
        <v>109</v>
      </c>
    </row>
    <row r="63" spans="1:6" ht="18" hidden="1" x14ac:dyDescent="0.25">
      <c r="A63" s="2629"/>
      <c r="B63" s="2629"/>
      <c r="C63" s="71" t="s">
        <v>106</v>
      </c>
      <c r="D63" s="71" t="s">
        <v>108</v>
      </c>
      <c r="E63" s="38">
        <v>1.2</v>
      </c>
    </row>
    <row r="64" spans="1:6" ht="18" hidden="1" x14ac:dyDescent="0.25">
      <c r="A64" s="2628" t="s">
        <v>101</v>
      </c>
      <c r="B64" s="2628"/>
      <c r="C64" s="103" t="s">
        <v>144</v>
      </c>
      <c r="D64" s="71" t="s">
        <v>108</v>
      </c>
      <c r="E64" s="71">
        <v>1.25</v>
      </c>
    </row>
    <row r="65" spans="1:6" ht="18" hidden="1" x14ac:dyDescent="0.25">
      <c r="A65" s="2628"/>
      <c r="B65" s="2628"/>
      <c r="C65" s="71" t="s">
        <v>107</v>
      </c>
      <c r="D65" s="71" t="s">
        <v>108</v>
      </c>
      <c r="E65" s="71">
        <v>1.21</v>
      </c>
    </row>
    <row r="66" spans="1:6" ht="18" hidden="1" x14ac:dyDescent="0.25">
      <c r="A66" s="104" t="s">
        <v>99</v>
      </c>
      <c r="B66" s="270"/>
      <c r="C66" s="71" t="s">
        <v>144</v>
      </c>
      <c r="D66" s="71" t="s">
        <v>108</v>
      </c>
      <c r="E66" s="102" t="s">
        <v>109</v>
      </c>
    </row>
    <row r="67" spans="1:6" ht="18" hidden="1" x14ac:dyDescent="0.25">
      <c r="A67" s="104" t="s">
        <v>100</v>
      </c>
      <c r="B67" s="270"/>
      <c r="C67" s="71" t="s">
        <v>144</v>
      </c>
      <c r="D67" s="71" t="s">
        <v>108</v>
      </c>
      <c r="E67" s="102" t="s">
        <v>109</v>
      </c>
    </row>
    <row r="68" spans="1:6" hidden="1" x14ac:dyDescent="0.25"/>
    <row r="69" spans="1:6" hidden="1" x14ac:dyDescent="0.25">
      <c r="A69" s="2629" t="s">
        <v>122</v>
      </c>
      <c r="B69" s="2629"/>
      <c r="C69" s="2629"/>
    </row>
    <row r="70" spans="1:6" hidden="1" x14ac:dyDescent="0.25">
      <c r="A70" s="108" t="s">
        <v>120</v>
      </c>
      <c r="B70" s="107">
        <v>0.877</v>
      </c>
      <c r="C70" s="110" t="s">
        <v>116</v>
      </c>
    </row>
    <row r="71" spans="1:6" hidden="1" x14ac:dyDescent="0.25">
      <c r="A71" s="109" t="s">
        <v>121</v>
      </c>
      <c r="B71" s="107">
        <v>100</v>
      </c>
      <c r="C71" s="110" t="s">
        <v>116</v>
      </c>
    </row>
    <row r="72" spans="1:6" ht="15.75" hidden="1" thickBot="1" x14ac:dyDescent="0.3"/>
    <row r="73" spans="1:6" ht="15.75" hidden="1" thickBot="1" x14ac:dyDescent="0.3">
      <c r="A73" s="32" t="s">
        <v>23</v>
      </c>
      <c r="B73" s="33"/>
      <c r="C73" s="33"/>
      <c r="D73" s="33"/>
      <c r="E73" s="268"/>
      <c r="F73" s="34">
        <v>1.5</v>
      </c>
    </row>
    <row r="74" spans="1:6" hidden="1" x14ac:dyDescent="0.25"/>
    <row r="75" spans="1:6" ht="15.75" hidden="1" thickBot="1" x14ac:dyDescent="0.3"/>
    <row r="76" spans="1:6" hidden="1" x14ac:dyDescent="0.25">
      <c r="B76" s="24" t="s">
        <v>20</v>
      </c>
      <c r="C76" s="25"/>
      <c r="D76" s="25"/>
      <c r="E76" s="26" t="s">
        <v>9</v>
      </c>
    </row>
    <row r="77" spans="1:6" hidden="1" x14ac:dyDescent="0.25">
      <c r="B77" s="27" t="s">
        <v>21</v>
      </c>
      <c r="C77" s="28"/>
      <c r="D77" s="28"/>
      <c r="E77" s="29">
        <v>15.5</v>
      </c>
    </row>
    <row r="78" spans="1:6" hidden="1" x14ac:dyDescent="0.25">
      <c r="B78" s="27" t="s">
        <v>76</v>
      </c>
      <c r="C78" s="28"/>
      <c r="D78" s="59"/>
      <c r="E78" s="60">
        <v>42576</v>
      </c>
    </row>
    <row r="79" spans="1:6" hidden="1" x14ac:dyDescent="0.25">
      <c r="B79" s="27" t="s">
        <v>77</v>
      </c>
      <c r="C79" s="28"/>
      <c r="D79" s="30"/>
      <c r="E79" s="31">
        <v>42935</v>
      </c>
    </row>
    <row r="80" spans="1:6" hidden="1" x14ac:dyDescent="0.25">
      <c r="B80" s="27" t="s">
        <v>75</v>
      </c>
      <c r="C80" s="28"/>
      <c r="D80" s="30"/>
      <c r="E80" s="31">
        <v>42935</v>
      </c>
    </row>
    <row r="81" spans="1:17" hidden="1" x14ac:dyDescent="0.25">
      <c r="B81" s="27" t="s">
        <v>22</v>
      </c>
      <c r="C81" s="28"/>
      <c r="D81" s="28"/>
      <c r="E81" s="29">
        <f>EXP(-LN(2)*(E80-E78)/10990)</f>
        <v>0.97761202762166</v>
      </c>
    </row>
    <row r="82" spans="1:17" ht="15.75" hidden="1" thickBot="1" x14ac:dyDescent="0.3">
      <c r="B82" s="35" t="s">
        <v>64</v>
      </c>
      <c r="C82" s="36"/>
      <c r="D82" s="36"/>
      <c r="E82" s="61">
        <f>E81*E77</f>
        <v>15.15298642813573</v>
      </c>
    </row>
    <row r="83" spans="1:17" hidden="1" x14ac:dyDescent="0.25"/>
    <row r="84" spans="1:17" hidden="1" x14ac:dyDescent="0.25"/>
    <row r="85" spans="1:17" hidden="1" x14ac:dyDescent="0.25"/>
    <row r="86" spans="1:17" hidden="1" x14ac:dyDescent="0.25"/>
    <row r="88" spans="1:17" ht="15.75" thickBot="1" x14ac:dyDescent="0.3"/>
    <row r="89" spans="1:17" ht="15.75" customHeight="1" thickBot="1" x14ac:dyDescent="0.3">
      <c r="B89" s="2670" t="s">
        <v>24</v>
      </c>
      <c r="C89" s="2671"/>
      <c r="D89" s="2671"/>
      <c r="E89" s="2671"/>
      <c r="F89" s="2671"/>
      <c r="G89" s="2671"/>
      <c r="H89" s="2671"/>
      <c r="I89" s="2671"/>
      <c r="J89" s="2671"/>
      <c r="K89" s="2671"/>
      <c r="L89" s="2671"/>
      <c r="M89" s="2671"/>
      <c r="N89" s="2671"/>
      <c r="O89" s="2671"/>
      <c r="P89" s="2671"/>
      <c r="Q89" s="2672"/>
    </row>
    <row r="90" spans="1:17" ht="30.75" thickBot="1" x14ac:dyDescent="0.3">
      <c r="A90" s="85" t="s">
        <v>56</v>
      </c>
      <c r="B90" s="98" t="s">
        <v>57</v>
      </c>
      <c r="C90" s="99" t="s">
        <v>58</v>
      </c>
      <c r="D90" s="99" t="s">
        <v>59</v>
      </c>
      <c r="E90" s="100" t="s">
        <v>264</v>
      </c>
      <c r="F90" s="99" t="s">
        <v>91</v>
      </c>
      <c r="G90" s="99" t="s">
        <v>92</v>
      </c>
      <c r="H90" s="99" t="s">
        <v>263</v>
      </c>
      <c r="I90" s="99" t="s">
        <v>60</v>
      </c>
      <c r="J90" s="100" t="s">
        <v>274</v>
      </c>
      <c r="K90" s="99" t="s">
        <v>7</v>
      </c>
      <c r="L90" s="99" t="s">
        <v>8</v>
      </c>
      <c r="M90" s="99" t="s">
        <v>119</v>
      </c>
      <c r="N90" s="99" t="s">
        <v>97</v>
      </c>
      <c r="O90" s="99" t="s">
        <v>95</v>
      </c>
      <c r="P90" s="100" t="s">
        <v>96</v>
      </c>
      <c r="Q90" s="101" t="s">
        <v>592</v>
      </c>
    </row>
    <row r="91" spans="1:17" x14ac:dyDescent="0.25">
      <c r="A91" s="2625">
        <v>200</v>
      </c>
      <c r="B91" s="241">
        <v>20.7</v>
      </c>
      <c r="C91" s="96">
        <v>52</v>
      </c>
      <c r="D91" s="96">
        <v>1011</v>
      </c>
      <c r="E91" s="231">
        <v>-2.7649999999999999E-9</v>
      </c>
      <c r="F91" s="96">
        <v>60</v>
      </c>
      <c r="G91" s="93">
        <v>42935</v>
      </c>
      <c r="H91" s="231">
        <f t="shared" ref="H91:H100" si="0">IF(AND(E91&lt;=$E$36,E91&gt;=$F$36),E91*$C$36,IF(AND(E91&lt;=$E$37,E91&gt;=$F$37),E91*$C$37,"rango cal. out"))</f>
        <v>-2.7677649999999995E-9</v>
      </c>
      <c r="I91" s="40">
        <f t="shared" ref="I91:I100" si="1">((273.2+B91)*$E$26/((273.2+$E$25)*D91))</f>
        <v>0.99781192452132228</v>
      </c>
      <c r="J91" s="57">
        <f t="shared" ref="J91:J100" si="2">H91/F91*I91*EXP(-LN(2)/10990*($E$80-G91))</f>
        <v>-4.6028482021212618E-11</v>
      </c>
      <c r="K91" s="11">
        <f t="shared" ref="K91:K100" si="3">ABS($A$27*J91*3600)</f>
        <v>0.46346999116799409</v>
      </c>
      <c r="L91" s="65">
        <f t="shared" ref="L91:L100" si="4">ABS($A$28*J91*3600)</f>
        <v>4.0696542663875351E-3</v>
      </c>
      <c r="M91" s="11">
        <f t="shared" ref="M91:M100" si="5">L91*$B$71</f>
        <v>0.40696542663875351</v>
      </c>
      <c r="N91" s="11">
        <f t="shared" ref="N91:N100" si="6">L91*$E$63</f>
        <v>4.8835851196650419E-3</v>
      </c>
      <c r="O91" s="11">
        <f t="shared" ref="O91:O100" si="7">L91*$E$65</f>
        <v>4.9242816623289174E-3</v>
      </c>
      <c r="P91" s="65">
        <f t="shared" ref="P91:P100" si="8">L91*$E$64</f>
        <v>5.0870678329844191E-3</v>
      </c>
      <c r="Q91" s="12">
        <f>'F-LSCD-002 (Tasa Kar-Aleph)'!$L$101/(J91*I91*1*3600)</f>
        <v>-49471.090804682492</v>
      </c>
    </row>
    <row r="92" spans="1:17" x14ac:dyDescent="0.25">
      <c r="A92" s="2626"/>
      <c r="B92" s="69">
        <v>20.7</v>
      </c>
      <c r="C92" s="79">
        <v>52</v>
      </c>
      <c r="D92" s="79">
        <v>1011</v>
      </c>
      <c r="E92" s="70">
        <v>-2.7649999999999999E-9</v>
      </c>
      <c r="F92" s="79">
        <v>60</v>
      </c>
      <c r="G92" s="92">
        <v>42935</v>
      </c>
      <c r="H92" s="231">
        <f t="shared" si="0"/>
        <v>-2.7677649999999995E-9</v>
      </c>
      <c r="I92" s="38">
        <f t="shared" si="1"/>
        <v>0.99781192452132228</v>
      </c>
      <c r="J92" s="74">
        <f t="shared" si="2"/>
        <v>-4.6028482021212618E-11</v>
      </c>
      <c r="K92" s="58">
        <f t="shared" si="3"/>
        <v>0.46346999116799409</v>
      </c>
      <c r="L92" s="63">
        <f t="shared" si="4"/>
        <v>4.0696542663875351E-3</v>
      </c>
      <c r="M92" s="71">
        <f t="shared" si="5"/>
        <v>0.40696542663875351</v>
      </c>
      <c r="N92" s="58">
        <f t="shared" si="6"/>
        <v>4.8835851196650419E-3</v>
      </c>
      <c r="O92" s="58">
        <f t="shared" si="7"/>
        <v>4.9242816623289174E-3</v>
      </c>
      <c r="P92" s="63">
        <f t="shared" si="8"/>
        <v>5.0870678329844191E-3</v>
      </c>
      <c r="Q92" s="47">
        <f>'F-LSCD-002 (Tasa Kar-Aleph)'!$L$101/(J92*I92*1*3600)</f>
        <v>-49471.090804682492</v>
      </c>
    </row>
    <row r="93" spans="1:17" x14ac:dyDescent="0.25">
      <c r="A93" s="2626"/>
      <c r="B93" s="69">
        <v>20.7</v>
      </c>
      <c r="C93" s="79">
        <v>52</v>
      </c>
      <c r="D93" s="79">
        <v>1011</v>
      </c>
      <c r="E93" s="70">
        <v>-2.7649999999999999E-9</v>
      </c>
      <c r="F93" s="79">
        <v>60</v>
      </c>
      <c r="G93" s="92">
        <v>42935</v>
      </c>
      <c r="H93" s="231">
        <f t="shared" si="0"/>
        <v>-2.7677649999999995E-9</v>
      </c>
      <c r="I93" s="38">
        <f t="shared" si="1"/>
        <v>0.99781192452132228</v>
      </c>
      <c r="J93" s="74">
        <f t="shared" si="2"/>
        <v>-4.6028482021212618E-11</v>
      </c>
      <c r="K93" s="58">
        <f t="shared" si="3"/>
        <v>0.46346999116799409</v>
      </c>
      <c r="L93" s="63">
        <f t="shared" si="4"/>
        <v>4.0696542663875351E-3</v>
      </c>
      <c r="M93" s="71">
        <f t="shared" si="5"/>
        <v>0.40696542663875351</v>
      </c>
      <c r="N93" s="58">
        <f t="shared" si="6"/>
        <v>4.8835851196650419E-3</v>
      </c>
      <c r="O93" s="58">
        <f t="shared" si="7"/>
        <v>4.9242816623289174E-3</v>
      </c>
      <c r="P93" s="63">
        <f t="shared" si="8"/>
        <v>5.0870678329844191E-3</v>
      </c>
      <c r="Q93" s="47">
        <f>'F-LSCD-002 (Tasa Kar-Aleph)'!$L$101/(J93*I93*1*3600)</f>
        <v>-49471.090804682492</v>
      </c>
    </row>
    <row r="94" spans="1:17" x14ac:dyDescent="0.25">
      <c r="A94" s="2626"/>
      <c r="B94" s="69">
        <v>20.7</v>
      </c>
      <c r="C94" s="79">
        <v>52</v>
      </c>
      <c r="D94" s="79">
        <v>1011</v>
      </c>
      <c r="E94" s="70">
        <v>-2.7660000000000002E-9</v>
      </c>
      <c r="F94" s="79">
        <v>60</v>
      </c>
      <c r="G94" s="92">
        <v>42935</v>
      </c>
      <c r="H94" s="231">
        <f t="shared" si="0"/>
        <v>-2.7687659999999997E-9</v>
      </c>
      <c r="I94" s="38">
        <f t="shared" si="1"/>
        <v>0.99781192452132228</v>
      </c>
      <c r="J94" s="74">
        <f t="shared" si="2"/>
        <v>-4.6045128850153387E-11</v>
      </c>
      <c r="K94" s="58">
        <f t="shared" si="3"/>
        <v>0.4636376114179645</v>
      </c>
      <c r="L94" s="63">
        <f t="shared" si="4"/>
        <v>4.0711261124151618E-3</v>
      </c>
      <c r="M94" s="71">
        <f t="shared" si="5"/>
        <v>0.40711261124151621</v>
      </c>
      <c r="N94" s="58">
        <f t="shared" si="6"/>
        <v>4.8853513348981938E-3</v>
      </c>
      <c r="O94" s="58">
        <f t="shared" si="7"/>
        <v>4.9260625960223453E-3</v>
      </c>
      <c r="P94" s="63">
        <f t="shared" si="8"/>
        <v>5.0889076405189523E-3</v>
      </c>
      <c r="Q94" s="47">
        <f>'F-LSCD-002 (Tasa Kar-Aleph)'!$L$101/(J94*I94*1*3600)</f>
        <v>-49453.205377782746</v>
      </c>
    </row>
    <row r="95" spans="1:17" x14ac:dyDescent="0.25">
      <c r="A95" s="2626"/>
      <c r="B95" s="69">
        <v>20.7</v>
      </c>
      <c r="C95" s="79">
        <v>52</v>
      </c>
      <c r="D95" s="79">
        <v>1011</v>
      </c>
      <c r="E95" s="70">
        <v>-2.7649999999999999E-9</v>
      </c>
      <c r="F95" s="79">
        <v>60</v>
      </c>
      <c r="G95" s="92">
        <v>42935</v>
      </c>
      <c r="H95" s="231">
        <f t="shared" si="0"/>
        <v>-2.7677649999999995E-9</v>
      </c>
      <c r="I95" s="38">
        <f t="shared" si="1"/>
        <v>0.99781192452132228</v>
      </c>
      <c r="J95" s="74">
        <f t="shared" si="2"/>
        <v>-4.6028482021212618E-11</v>
      </c>
      <c r="K95" s="58">
        <f t="shared" si="3"/>
        <v>0.46346999116799409</v>
      </c>
      <c r="L95" s="63">
        <f t="shared" si="4"/>
        <v>4.0696542663875351E-3</v>
      </c>
      <c r="M95" s="71">
        <f t="shared" si="5"/>
        <v>0.40696542663875351</v>
      </c>
      <c r="N95" s="58">
        <f t="shared" si="6"/>
        <v>4.8835851196650419E-3</v>
      </c>
      <c r="O95" s="58">
        <f t="shared" si="7"/>
        <v>4.9242816623289174E-3</v>
      </c>
      <c r="P95" s="63">
        <f t="shared" si="8"/>
        <v>5.0870678329844191E-3</v>
      </c>
      <c r="Q95" s="47">
        <f>'F-LSCD-002 (Tasa Kar-Aleph)'!$L$101/(J95*I95*1*3600)</f>
        <v>-49471.090804682492</v>
      </c>
    </row>
    <row r="96" spans="1:17" x14ac:dyDescent="0.25">
      <c r="A96" s="2626"/>
      <c r="B96" s="69">
        <v>20.7</v>
      </c>
      <c r="C96" s="79">
        <v>52</v>
      </c>
      <c r="D96" s="79">
        <v>1011</v>
      </c>
      <c r="E96" s="70">
        <v>-2.7649999999999999E-9</v>
      </c>
      <c r="F96" s="79">
        <v>60</v>
      </c>
      <c r="G96" s="92">
        <v>42935</v>
      </c>
      <c r="H96" s="231">
        <f t="shared" si="0"/>
        <v>-2.7677649999999995E-9</v>
      </c>
      <c r="I96" s="38">
        <f t="shared" si="1"/>
        <v>0.99781192452132228</v>
      </c>
      <c r="J96" s="74">
        <f t="shared" si="2"/>
        <v>-4.6028482021212618E-11</v>
      </c>
      <c r="K96" s="58">
        <f t="shared" si="3"/>
        <v>0.46346999116799409</v>
      </c>
      <c r="L96" s="63">
        <f t="shared" si="4"/>
        <v>4.0696542663875351E-3</v>
      </c>
      <c r="M96" s="71">
        <f t="shared" si="5"/>
        <v>0.40696542663875351</v>
      </c>
      <c r="N96" s="58">
        <f t="shared" si="6"/>
        <v>4.8835851196650419E-3</v>
      </c>
      <c r="O96" s="58">
        <f t="shared" si="7"/>
        <v>4.9242816623289174E-3</v>
      </c>
      <c r="P96" s="63">
        <f t="shared" si="8"/>
        <v>5.0870678329844191E-3</v>
      </c>
      <c r="Q96" s="47">
        <f>'F-LSCD-002 (Tasa Kar-Aleph)'!$L$101/(J96*I96*1*3600)</f>
        <v>-49471.090804682492</v>
      </c>
    </row>
    <row r="97" spans="1:17" x14ac:dyDescent="0.25">
      <c r="A97" s="2626"/>
      <c r="B97" s="69">
        <v>20.7</v>
      </c>
      <c r="C97" s="79">
        <v>52</v>
      </c>
      <c r="D97" s="79">
        <v>1011</v>
      </c>
      <c r="E97" s="70">
        <v>-2.7649999999999999E-9</v>
      </c>
      <c r="F97" s="79">
        <v>60</v>
      </c>
      <c r="G97" s="92">
        <v>42935</v>
      </c>
      <c r="H97" s="231">
        <f t="shared" si="0"/>
        <v>-2.7677649999999995E-9</v>
      </c>
      <c r="I97" s="38">
        <f t="shared" si="1"/>
        <v>0.99781192452132228</v>
      </c>
      <c r="J97" s="74">
        <f t="shared" si="2"/>
        <v>-4.6028482021212618E-11</v>
      </c>
      <c r="K97" s="58">
        <f t="shared" si="3"/>
        <v>0.46346999116799409</v>
      </c>
      <c r="L97" s="63">
        <f t="shared" si="4"/>
        <v>4.0696542663875351E-3</v>
      </c>
      <c r="M97" s="71">
        <f t="shared" si="5"/>
        <v>0.40696542663875351</v>
      </c>
      <c r="N97" s="58">
        <f t="shared" si="6"/>
        <v>4.8835851196650419E-3</v>
      </c>
      <c r="O97" s="58">
        <f t="shared" si="7"/>
        <v>4.9242816623289174E-3</v>
      </c>
      <c r="P97" s="63">
        <f t="shared" si="8"/>
        <v>5.0870678329844191E-3</v>
      </c>
      <c r="Q97" s="47">
        <f>'F-LSCD-002 (Tasa Kar-Aleph)'!$L$101/(J97*I97*1*3600)</f>
        <v>-49471.090804682492</v>
      </c>
    </row>
    <row r="98" spans="1:17" x14ac:dyDescent="0.25">
      <c r="A98" s="2626"/>
      <c r="B98" s="69">
        <v>20.7</v>
      </c>
      <c r="C98" s="79">
        <v>52</v>
      </c>
      <c r="D98" s="79">
        <v>1011</v>
      </c>
      <c r="E98" s="70">
        <v>-2.7649999999999999E-9</v>
      </c>
      <c r="F98" s="79">
        <v>60</v>
      </c>
      <c r="G98" s="92">
        <v>42935</v>
      </c>
      <c r="H98" s="231">
        <f t="shared" si="0"/>
        <v>-2.7677649999999995E-9</v>
      </c>
      <c r="I98" s="38">
        <f t="shared" si="1"/>
        <v>0.99781192452132228</v>
      </c>
      <c r="J98" s="74">
        <f t="shared" si="2"/>
        <v>-4.6028482021212618E-11</v>
      </c>
      <c r="K98" s="58">
        <f t="shared" si="3"/>
        <v>0.46346999116799409</v>
      </c>
      <c r="L98" s="63">
        <f t="shared" si="4"/>
        <v>4.0696542663875351E-3</v>
      </c>
      <c r="M98" s="71">
        <f t="shared" si="5"/>
        <v>0.40696542663875351</v>
      </c>
      <c r="N98" s="58">
        <f t="shared" si="6"/>
        <v>4.8835851196650419E-3</v>
      </c>
      <c r="O98" s="58">
        <f t="shared" si="7"/>
        <v>4.9242816623289174E-3</v>
      </c>
      <c r="P98" s="63">
        <f t="shared" si="8"/>
        <v>5.0870678329844191E-3</v>
      </c>
      <c r="Q98" s="47">
        <f>'F-LSCD-002 (Tasa Kar-Aleph)'!$L$101/(J98*I98*1*3600)</f>
        <v>-49471.090804682492</v>
      </c>
    </row>
    <row r="99" spans="1:17" x14ac:dyDescent="0.25">
      <c r="A99" s="2626"/>
      <c r="B99" s="69">
        <v>20.7</v>
      </c>
      <c r="C99" s="79">
        <v>52</v>
      </c>
      <c r="D99" s="79">
        <v>1011</v>
      </c>
      <c r="E99" s="70">
        <v>-2.7660000000000002E-9</v>
      </c>
      <c r="F99" s="79">
        <v>60</v>
      </c>
      <c r="G99" s="92">
        <v>42935</v>
      </c>
      <c r="H99" s="231">
        <f t="shared" si="0"/>
        <v>-2.7687659999999997E-9</v>
      </c>
      <c r="I99" s="38">
        <f t="shared" si="1"/>
        <v>0.99781192452132228</v>
      </c>
      <c r="J99" s="74">
        <f t="shared" si="2"/>
        <v>-4.6045128850153387E-11</v>
      </c>
      <c r="K99" s="58">
        <f t="shared" si="3"/>
        <v>0.4636376114179645</v>
      </c>
      <c r="L99" s="63">
        <f t="shared" si="4"/>
        <v>4.0711261124151618E-3</v>
      </c>
      <c r="M99" s="71">
        <f t="shared" si="5"/>
        <v>0.40711261124151621</v>
      </c>
      <c r="N99" s="58">
        <f t="shared" si="6"/>
        <v>4.8853513348981938E-3</v>
      </c>
      <c r="O99" s="58">
        <f t="shared" si="7"/>
        <v>4.9260625960223453E-3</v>
      </c>
      <c r="P99" s="63">
        <f t="shared" si="8"/>
        <v>5.0889076405189523E-3</v>
      </c>
      <c r="Q99" s="47">
        <f>'F-LSCD-002 (Tasa Kar-Aleph)'!$L$101/(J99*I99*1*3600)</f>
        <v>-49453.205377782746</v>
      </c>
    </row>
    <row r="100" spans="1:17" ht="15.75" thickBot="1" x14ac:dyDescent="0.3">
      <c r="A100" s="2627"/>
      <c r="B100" s="69">
        <v>20.7</v>
      </c>
      <c r="C100" s="79">
        <v>52</v>
      </c>
      <c r="D100" s="79">
        <v>1011</v>
      </c>
      <c r="E100" s="70">
        <v>-2.7660000000000002E-9</v>
      </c>
      <c r="F100" s="79">
        <v>60</v>
      </c>
      <c r="G100" s="92">
        <v>42935</v>
      </c>
      <c r="H100" s="231">
        <f t="shared" si="0"/>
        <v>-2.7687659999999997E-9</v>
      </c>
      <c r="I100" s="38">
        <f t="shared" si="1"/>
        <v>0.99781192452132228</v>
      </c>
      <c r="J100" s="74">
        <f t="shared" si="2"/>
        <v>-4.6045128850153387E-11</v>
      </c>
      <c r="K100" s="58">
        <f t="shared" si="3"/>
        <v>0.4636376114179645</v>
      </c>
      <c r="L100" s="63">
        <f t="shared" si="4"/>
        <v>4.0711261124151618E-3</v>
      </c>
      <c r="M100" s="71">
        <f t="shared" si="5"/>
        <v>0.40711261124151621</v>
      </c>
      <c r="N100" s="58">
        <f t="shared" si="6"/>
        <v>4.8853513348981938E-3</v>
      </c>
      <c r="O100" s="58">
        <f t="shared" si="7"/>
        <v>4.9260625960223453E-3</v>
      </c>
      <c r="P100" s="63">
        <f t="shared" si="8"/>
        <v>5.0889076405189523E-3</v>
      </c>
      <c r="Q100" s="47">
        <f>'F-LSCD-002 (Tasa Kar-Aleph)'!$L$101/(J100*I100*1*3600)</f>
        <v>-49453.205377782746</v>
      </c>
    </row>
    <row r="101" spans="1:17" x14ac:dyDescent="0.25">
      <c r="A101" s="263" t="s">
        <v>61</v>
      </c>
      <c r="B101" s="243">
        <f t="shared" ref="B101:F101" si="9">AVERAGE(B91:B100)</f>
        <v>20.699999999999996</v>
      </c>
      <c r="C101" s="232">
        <f t="shared" si="9"/>
        <v>52</v>
      </c>
      <c r="D101" s="232">
        <f t="shared" si="9"/>
        <v>1011</v>
      </c>
      <c r="E101" s="58">
        <f t="shared" si="9"/>
        <v>-2.7652999999999995E-9</v>
      </c>
      <c r="F101" s="232">
        <f t="shared" si="9"/>
        <v>60</v>
      </c>
      <c r="G101" s="90" t="s">
        <v>93</v>
      </c>
      <c r="H101" s="11">
        <f t="shared" ref="H101:P101" si="10">AVERAGE(H91:H100)</f>
        <v>-2.7680653000000001E-9</v>
      </c>
      <c r="I101" s="38">
        <f t="shared" si="10"/>
        <v>0.99781192452132239</v>
      </c>
      <c r="J101" s="63">
        <f>AVERAGE(J91:J100)</f>
        <v>-4.6033476069894847E-11</v>
      </c>
      <c r="K101" s="58">
        <f t="shared" si="10"/>
        <v>0.46352027724298528</v>
      </c>
      <c r="L101" s="63">
        <f t="shared" si="10"/>
        <v>4.0700958201958229E-3</v>
      </c>
      <c r="M101" s="58">
        <f t="shared" si="10"/>
        <v>0.40700958201958243</v>
      </c>
      <c r="N101" s="58">
        <f t="shared" si="10"/>
        <v>4.8841149842349888E-3</v>
      </c>
      <c r="O101" s="58">
        <f t="shared" si="10"/>
        <v>4.9248159424369452E-3</v>
      </c>
      <c r="P101" s="63">
        <f t="shared" si="10"/>
        <v>5.0876197752447788E-3</v>
      </c>
      <c r="Q101" s="72">
        <f t="shared" ref="Q101" si="11">AVERAGE(Q91:Q100)</f>
        <v>-49465.72517661257</v>
      </c>
    </row>
    <row r="102" spans="1:17" x14ac:dyDescent="0.25">
      <c r="A102" s="263" t="s">
        <v>62</v>
      </c>
      <c r="B102" s="82">
        <f t="shared" ref="B102:F102" si="12">STDEVA(B91:B100)</f>
        <v>3.7448890331484813E-15</v>
      </c>
      <c r="C102" s="38">
        <f t="shared" si="12"/>
        <v>0</v>
      </c>
      <c r="D102" s="38">
        <f t="shared" si="12"/>
        <v>0</v>
      </c>
      <c r="E102" s="58">
        <f t="shared" si="12"/>
        <v>4.8304589153979612E-13</v>
      </c>
      <c r="F102" s="38">
        <f t="shared" si="12"/>
        <v>0</v>
      </c>
      <c r="G102" s="40" t="s">
        <v>93</v>
      </c>
      <c r="H102" s="11">
        <f t="shared" ref="H102:P102" si="13">STDEVA(H91:H100)</f>
        <v>4.8352893743129004E-13</v>
      </c>
      <c r="I102" s="40">
        <f t="shared" si="13"/>
        <v>1.1702778228589004E-16</v>
      </c>
      <c r="J102" s="63">
        <f t="shared" si="13"/>
        <v>8.041182327001549E-15</v>
      </c>
      <c r="K102" s="58">
        <f t="shared" si="13"/>
        <v>8.0968273087056645E-5</v>
      </c>
      <c r="L102" s="63">
        <f t="shared" si="13"/>
        <v>7.1096917662403453E-7</v>
      </c>
      <c r="M102" s="58">
        <f t="shared" si="13"/>
        <v>7.1096917662415184E-5</v>
      </c>
      <c r="N102" s="58">
        <f t="shared" si="13"/>
        <v>8.531630119487577E-7</v>
      </c>
      <c r="O102" s="58">
        <f t="shared" si="13"/>
        <v>8.6027270371491002E-7</v>
      </c>
      <c r="P102" s="63">
        <f t="shared" si="13"/>
        <v>8.8871147077993836E-7</v>
      </c>
      <c r="Q102" s="47">
        <f t="shared" ref="Q102" si="14">STDEVA(Q91:Q100)</f>
        <v>8.639481982354841</v>
      </c>
    </row>
    <row r="103" spans="1:17" ht="15.75" thickBot="1" x14ac:dyDescent="0.3">
      <c r="A103" s="264" t="s">
        <v>63</v>
      </c>
      <c r="B103" s="83">
        <f t="shared" ref="B103:F103" si="15">B102/B101*100</f>
        <v>1.8091251367867064E-14</v>
      </c>
      <c r="C103" s="81">
        <f t="shared" si="15"/>
        <v>0</v>
      </c>
      <c r="D103" s="81">
        <f t="shared" si="15"/>
        <v>0</v>
      </c>
      <c r="E103" s="19">
        <f t="shared" si="15"/>
        <v>-1.7468118885466177E-2</v>
      </c>
      <c r="F103" s="81">
        <f t="shared" si="15"/>
        <v>0</v>
      </c>
      <c r="G103" s="43" t="s">
        <v>93</v>
      </c>
      <c r="H103" s="89">
        <f t="shared" ref="H103:P103" si="16">H102/H101*100</f>
        <v>-1.7468118885464515E-2</v>
      </c>
      <c r="I103" s="43">
        <f t="shared" si="16"/>
        <v>1.1728440942618667E-14</v>
      </c>
      <c r="J103" s="64">
        <f t="shared" si="16"/>
        <v>-1.7468118885465515E-2</v>
      </c>
      <c r="K103" s="19">
        <f t="shared" si="16"/>
        <v>1.7468118885468238E-2</v>
      </c>
      <c r="L103" s="64">
        <f t="shared" si="16"/>
        <v>1.7468118885462208E-2</v>
      </c>
      <c r="M103" s="19">
        <f t="shared" si="16"/>
        <v>1.7468118885465084E-2</v>
      </c>
      <c r="N103" s="19">
        <f t="shared" si="16"/>
        <v>1.7468118885460491E-2</v>
      </c>
      <c r="O103" s="19">
        <f t="shared" si="16"/>
        <v>1.7468118885458725E-2</v>
      </c>
      <c r="P103" s="64">
        <f t="shared" si="16"/>
        <v>1.7468118885460147E-2</v>
      </c>
      <c r="Q103" s="17">
        <f t="shared" ref="Q103" si="17">Q102/Q101*100</f>
        <v>-1.7465592491585656E-2</v>
      </c>
    </row>
  </sheetData>
  <sheetProtection password="D8A8"/>
  <mergeCells count="25">
    <mergeCell ref="C34:C35"/>
    <mergeCell ref="D34:D35"/>
    <mergeCell ref="E34:F34"/>
    <mergeCell ref="A1:B4"/>
    <mergeCell ref="C1:F4"/>
    <mergeCell ref="A10:D10"/>
    <mergeCell ref="A14:B15"/>
    <mergeCell ref="A23:C24"/>
    <mergeCell ref="E23:F24"/>
    <mergeCell ref="A64:B65"/>
    <mergeCell ref="A69:C69"/>
    <mergeCell ref="A91:A100"/>
    <mergeCell ref="B89:Q89"/>
    <mergeCell ref="A7:Q8"/>
    <mergeCell ref="A40:F41"/>
    <mergeCell ref="A48:F49"/>
    <mergeCell ref="A54:E55"/>
    <mergeCell ref="A60:E60"/>
    <mergeCell ref="A61:B61"/>
    <mergeCell ref="A62:B63"/>
    <mergeCell ref="B25:C25"/>
    <mergeCell ref="A32:F33"/>
    <mergeCell ref="H32:I33"/>
    <mergeCell ref="A34:A35"/>
    <mergeCell ref="B34:B35"/>
  </mergeCells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H133"/>
  <sheetViews>
    <sheetView topLeftCell="A64" zoomScale="70" zoomScaleNormal="70" workbookViewId="0">
      <selection activeCell="A36" sqref="A36:F37"/>
    </sheetView>
  </sheetViews>
  <sheetFormatPr baseColWidth="10" defaultColWidth="11.42578125" defaultRowHeight="15" x14ac:dyDescent="0.25"/>
  <cols>
    <col min="1" max="1" width="11.42578125" style="56"/>
    <col min="2" max="3" width="12" style="56" customWidth="1"/>
    <col min="4" max="4" width="13" style="56" customWidth="1"/>
    <col min="5" max="5" width="14.28515625" style="56" customWidth="1"/>
    <col min="6" max="6" width="11.7109375" style="56" customWidth="1"/>
    <col min="7" max="7" width="13.5703125" style="56" customWidth="1"/>
    <col min="8" max="8" width="14.28515625" style="56" customWidth="1"/>
    <col min="9" max="9" width="12" style="56" customWidth="1"/>
    <col min="10" max="12" width="14.85546875" style="56" customWidth="1"/>
    <col min="13" max="13" width="13.28515625" style="56" customWidth="1"/>
    <col min="14" max="15" width="11.42578125" style="56"/>
    <col min="16" max="16" width="14.28515625" style="56" customWidth="1"/>
    <col min="17" max="17" width="9" style="56" customWidth="1"/>
    <col min="18" max="18" width="13.42578125" style="56" customWidth="1"/>
    <col min="19" max="19" width="14.42578125" style="56" customWidth="1"/>
    <col min="20" max="20" width="11.42578125" style="56"/>
    <col min="21" max="21" width="14.28515625" style="56" customWidth="1"/>
    <col min="22" max="23" width="13.85546875" style="56" customWidth="1"/>
    <col min="24" max="31" width="11.42578125" style="56"/>
    <col min="32" max="32" width="12.5703125" style="56" bestFit="1" customWidth="1"/>
    <col min="33" max="16384" width="11.42578125" style="56"/>
  </cols>
  <sheetData>
    <row r="1" spans="1:28" ht="15" customHeight="1" x14ac:dyDescent="0.25">
      <c r="A1" s="2645"/>
      <c r="B1" s="2646"/>
      <c r="C1" s="2253" t="s">
        <v>239</v>
      </c>
      <c r="D1" s="2651"/>
      <c r="E1" s="2651"/>
      <c r="F1" s="2646"/>
      <c r="G1" s="48" t="s">
        <v>68</v>
      </c>
      <c r="H1" s="50" t="s">
        <v>240</v>
      </c>
      <c r="K1"/>
      <c r="L1"/>
      <c r="M1"/>
    </row>
    <row r="2" spans="1:28" ht="15" customHeight="1" x14ac:dyDescent="0.25">
      <c r="A2" s="2647"/>
      <c r="B2" s="2648"/>
      <c r="C2" s="2647"/>
      <c r="D2" s="2652"/>
      <c r="E2" s="2652"/>
      <c r="F2" s="2648"/>
      <c r="G2" s="51" t="s">
        <v>69</v>
      </c>
      <c r="H2" s="52" t="s">
        <v>168</v>
      </c>
      <c r="K2"/>
      <c r="L2"/>
      <c r="M2"/>
    </row>
    <row r="3" spans="1:28" ht="15" customHeight="1" x14ac:dyDescent="0.25">
      <c r="A3" s="2647"/>
      <c r="B3" s="2648"/>
      <c r="C3" s="2647"/>
      <c r="D3" s="2652"/>
      <c r="E3" s="2652"/>
      <c r="F3" s="2648"/>
      <c r="G3" s="51" t="s">
        <v>70</v>
      </c>
      <c r="H3" s="52" t="s">
        <v>72</v>
      </c>
      <c r="K3"/>
      <c r="L3"/>
      <c r="M3"/>
    </row>
    <row r="4" spans="1:28" ht="15" customHeight="1" x14ac:dyDescent="0.25">
      <c r="A4" s="2649"/>
      <c r="B4" s="2650"/>
      <c r="C4" s="2649"/>
      <c r="D4" s="2653"/>
      <c r="E4" s="2653"/>
      <c r="F4" s="2650"/>
      <c r="G4" s="53" t="s">
        <v>71</v>
      </c>
      <c r="H4" s="55" t="s">
        <v>73</v>
      </c>
      <c r="K4"/>
      <c r="L4"/>
      <c r="M4"/>
    </row>
    <row r="6" spans="1:28" ht="15.75" thickBot="1" x14ac:dyDescent="0.3"/>
    <row r="7" spans="1:28" ht="15" customHeight="1" x14ac:dyDescent="0.25">
      <c r="K7" s="67"/>
      <c r="M7" s="2660" t="s">
        <v>406</v>
      </c>
      <c r="N7" s="2661"/>
      <c r="O7" s="2661"/>
      <c r="P7" s="2661"/>
      <c r="Q7" s="2661"/>
      <c r="R7" s="2661"/>
      <c r="S7" s="2661"/>
      <c r="T7" s="2661"/>
      <c r="U7" s="2661"/>
      <c r="V7" s="2661"/>
      <c r="W7" s="2661"/>
      <c r="X7" s="2661"/>
      <c r="Y7" s="2661"/>
      <c r="Z7" s="2661"/>
      <c r="AA7" s="2661"/>
      <c r="AB7" s="2662"/>
    </row>
    <row r="8" spans="1:28" ht="15.75" customHeight="1" thickBot="1" x14ac:dyDescent="0.3">
      <c r="K8" s="67"/>
      <c r="M8" s="2663"/>
      <c r="N8" s="2664"/>
      <c r="O8" s="2664"/>
      <c r="P8" s="2664"/>
      <c r="Q8" s="2664"/>
      <c r="R8" s="2664"/>
      <c r="S8" s="2664"/>
      <c r="T8" s="2664"/>
      <c r="U8" s="2664"/>
      <c r="V8" s="2664"/>
      <c r="W8" s="2664"/>
      <c r="X8" s="2664"/>
      <c r="Y8" s="2664"/>
      <c r="Z8" s="2664"/>
      <c r="AA8" s="2664"/>
      <c r="AB8" s="2665"/>
    </row>
    <row r="9" spans="1:28" ht="15.75" customHeight="1" thickBot="1" x14ac:dyDescent="0.3">
      <c r="A9" s="67"/>
      <c r="B9" s="67"/>
      <c r="C9" s="67"/>
      <c r="D9" s="67"/>
      <c r="E9" s="67"/>
      <c r="F9" s="67"/>
      <c r="K9" s="67"/>
    </row>
    <row r="10" spans="1:28" ht="15.75" thickBot="1" x14ac:dyDescent="0.3">
      <c r="A10" s="2294" t="s">
        <v>0</v>
      </c>
      <c r="B10" s="2654"/>
      <c r="C10" s="2654"/>
      <c r="D10" s="2655"/>
    </row>
    <row r="11" spans="1:28" x14ac:dyDescent="0.25">
      <c r="A11" s="1" t="s">
        <v>2</v>
      </c>
      <c r="B11" s="2" t="s">
        <v>3</v>
      </c>
      <c r="C11" s="3" t="s">
        <v>4</v>
      </c>
      <c r="D11" s="2" t="s">
        <v>5</v>
      </c>
    </row>
    <row r="12" spans="1:28" ht="15.75" thickBot="1" x14ac:dyDescent="0.3">
      <c r="A12" s="5" t="s">
        <v>9</v>
      </c>
      <c r="B12" s="6">
        <v>42576</v>
      </c>
      <c r="C12" s="269">
        <v>573.5</v>
      </c>
      <c r="D12" s="7">
        <f>573500000000/37000000000</f>
        <v>15.5</v>
      </c>
    </row>
    <row r="13" spans="1:28" ht="15.75" thickBot="1" x14ac:dyDescent="0.3"/>
    <row r="14" spans="1:28" ht="15" customHeight="1" x14ac:dyDescent="0.25">
      <c r="A14" s="2656" t="s">
        <v>1</v>
      </c>
      <c r="B14" s="2657"/>
    </row>
    <row r="15" spans="1:28" ht="15.75" thickBot="1" x14ac:dyDescent="0.3">
      <c r="A15" s="2658"/>
      <c r="B15" s="2659"/>
    </row>
    <row r="16" spans="1:28" x14ac:dyDescent="0.25">
      <c r="A16" s="2" t="s">
        <v>10</v>
      </c>
      <c r="B16" s="8">
        <v>7</v>
      </c>
    </row>
    <row r="17" spans="1:9" x14ac:dyDescent="0.25">
      <c r="A17" s="14" t="s">
        <v>14</v>
      </c>
      <c r="B17" s="15">
        <v>42</v>
      </c>
    </row>
    <row r="18" spans="1:9" x14ac:dyDescent="0.25">
      <c r="A18" s="14" t="s">
        <v>17</v>
      </c>
      <c r="B18" s="15">
        <v>14</v>
      </c>
    </row>
    <row r="19" spans="1:9" x14ac:dyDescent="0.25">
      <c r="A19" s="20" t="s">
        <v>18</v>
      </c>
      <c r="B19" s="21">
        <v>22</v>
      </c>
    </row>
    <row r="20" spans="1:9" ht="15.75" thickBot="1" x14ac:dyDescent="0.3">
      <c r="A20" s="22" t="s">
        <v>19</v>
      </c>
      <c r="B20" s="23">
        <v>17</v>
      </c>
    </row>
    <row r="22" spans="1:9" ht="15.75" thickBot="1" x14ac:dyDescent="0.3"/>
    <row r="23" spans="1:9" ht="15" customHeight="1" x14ac:dyDescent="0.25">
      <c r="A23" s="2239" t="s">
        <v>386</v>
      </c>
      <c r="B23" s="2240"/>
      <c r="C23" s="2241"/>
      <c r="E23" s="2239" t="s">
        <v>385</v>
      </c>
      <c r="F23" s="2241"/>
    </row>
    <row r="24" spans="1:9" ht="15.75" thickBot="1" x14ac:dyDescent="0.3">
      <c r="A24" s="2242"/>
      <c r="B24" s="2243"/>
      <c r="C24" s="2244"/>
      <c r="E24" s="2242"/>
      <c r="F24" s="2244"/>
    </row>
    <row r="25" spans="1:9" ht="15.75" thickBot="1" x14ac:dyDescent="0.3">
      <c r="A25" s="266" t="s">
        <v>349</v>
      </c>
      <c r="B25" s="2666">
        <v>42712</v>
      </c>
      <c r="C25" s="2667"/>
      <c r="E25" s="257">
        <f>'F-LSCD-002 (Dosimetría)'!F32</f>
        <v>22</v>
      </c>
      <c r="F25" s="258" t="str">
        <f>'F-LSCD-002 (Dosimetría)'!G32</f>
        <v>°C</v>
      </c>
    </row>
    <row r="26" spans="1:9" ht="15.75" thickBot="1" x14ac:dyDescent="0.3">
      <c r="A26" s="265" t="s">
        <v>118</v>
      </c>
      <c r="B26" s="256" t="s">
        <v>104</v>
      </c>
      <c r="C26" s="255" t="s">
        <v>310</v>
      </c>
      <c r="E26" s="5">
        <f>'F-LSCD-002 (Dosimetría)'!F33</f>
        <v>1013.25</v>
      </c>
      <c r="F26" s="18" t="str">
        <f>'F-LSCD-002 (Dosimetría)'!G33</f>
        <v>hPa</v>
      </c>
    </row>
    <row r="27" spans="1:9" x14ac:dyDescent="0.25">
      <c r="A27" s="274" t="e">
        <f>'F-LSCD-002 (Dosimetría)'!#REF!</f>
        <v>#REF!</v>
      </c>
      <c r="B27" s="277" t="e">
        <f>'F-LSCD-002 (Dosimetría)'!#REF!</f>
        <v>#REF!</v>
      </c>
      <c r="C27" s="253" t="e">
        <f>'F-LSCD-002 (Dosimetría)'!#REF!</f>
        <v>#REF!</v>
      </c>
    </row>
    <row r="28" spans="1:9" x14ac:dyDescent="0.25">
      <c r="A28" s="275">
        <f>'F-LSCD-002 (Dosimetría)'!B34</f>
        <v>25200</v>
      </c>
      <c r="B28" s="278" t="str">
        <f>'F-LSCD-002 (Dosimetría)'!C34</f>
        <v>Gy/C</v>
      </c>
      <c r="C28" s="272">
        <f>'F-LSCD-002 (Dosimetría)'!D34</f>
        <v>8.0000000000000002E-3</v>
      </c>
    </row>
    <row r="29" spans="1:9" ht="15.75" thickBot="1" x14ac:dyDescent="0.3">
      <c r="A29" s="276" t="e">
        <f>'F-LSCD-002 (Dosimetría)'!#REF!</f>
        <v>#REF!</v>
      </c>
      <c r="B29" s="86" t="e">
        <f>'F-LSCD-002 (Dosimetría)'!#REF!</f>
        <v>#REF!</v>
      </c>
      <c r="C29" s="252" t="e">
        <f>'F-LSCD-002 (Dosimetría)'!#REF!</f>
        <v>#REF!</v>
      </c>
    </row>
    <row r="31" spans="1:9" ht="15.75" thickBot="1" x14ac:dyDescent="0.3"/>
    <row r="32" spans="1:9" ht="15" customHeight="1" x14ac:dyDescent="0.25">
      <c r="A32" s="2239" t="s">
        <v>266</v>
      </c>
      <c r="B32" s="2240"/>
      <c r="C32" s="2240"/>
      <c r="D32" s="2240"/>
      <c r="E32" s="2240"/>
      <c r="F32" s="2241"/>
      <c r="H32" s="2239" t="s">
        <v>266</v>
      </c>
      <c r="I32" s="2241"/>
    </row>
    <row r="33" spans="1:9" ht="15.75" thickBot="1" x14ac:dyDescent="0.3">
      <c r="A33" s="2242"/>
      <c r="B33" s="2243"/>
      <c r="C33" s="2243"/>
      <c r="D33" s="2243"/>
      <c r="E33" s="2243"/>
      <c r="F33" s="2244"/>
      <c r="H33" s="2242"/>
      <c r="I33" s="2244"/>
    </row>
    <row r="34" spans="1:9" ht="33.75" customHeight="1" thickBot="1" x14ac:dyDescent="0.3">
      <c r="A34" s="2668" t="s">
        <v>265</v>
      </c>
      <c r="B34" s="2641" t="s">
        <v>6</v>
      </c>
      <c r="C34" s="2639" t="s">
        <v>270</v>
      </c>
      <c r="D34" s="2641" t="s">
        <v>310</v>
      </c>
      <c r="E34" s="2643" t="s">
        <v>271</v>
      </c>
      <c r="F34" s="2644"/>
      <c r="H34" s="259" t="s">
        <v>389</v>
      </c>
      <c r="I34" s="260">
        <f>'F-LSCD-002 (Dosimetría)'!H42</f>
        <v>9.9999999999999998E-13</v>
      </c>
    </row>
    <row r="35" spans="1:9" ht="15.75" thickBot="1" x14ac:dyDescent="0.3">
      <c r="A35" s="2669"/>
      <c r="B35" s="2642"/>
      <c r="C35" s="2640"/>
      <c r="D35" s="2642"/>
      <c r="E35" s="4" t="s">
        <v>272</v>
      </c>
      <c r="F35" s="267" t="s">
        <v>273</v>
      </c>
    </row>
    <row r="36" spans="1:9" ht="15" customHeight="1" x14ac:dyDescent="0.25">
      <c r="A36" s="10" t="s">
        <v>267</v>
      </c>
      <c r="B36" s="11" t="s">
        <v>268</v>
      </c>
      <c r="C36" s="111">
        <v>1.004</v>
      </c>
      <c r="D36" s="111">
        <v>2E-3</v>
      </c>
      <c r="E36" s="233">
        <v>-1.9999999999999999E-11</v>
      </c>
      <c r="F36" s="234">
        <v>-2.2900000000000001E-10</v>
      </c>
    </row>
    <row r="37" spans="1:9" ht="15.75" thickBot="1" x14ac:dyDescent="0.3">
      <c r="A37" s="16" t="s">
        <v>267</v>
      </c>
      <c r="B37" s="19" t="s">
        <v>269</v>
      </c>
      <c r="C37" s="230">
        <v>1.0009999999999999</v>
      </c>
      <c r="D37" s="230">
        <v>1E-3</v>
      </c>
      <c r="E37" s="235">
        <v>-1E-10</v>
      </c>
      <c r="F37" s="17">
        <v>-2.3000000000000001E-8</v>
      </c>
    </row>
    <row r="40" spans="1:9" x14ac:dyDescent="0.25">
      <c r="A40" s="2628" t="s">
        <v>110</v>
      </c>
      <c r="B40" s="2628"/>
      <c r="C40" s="2628"/>
      <c r="D40" s="2628"/>
      <c r="E40" s="2628"/>
    </row>
    <row r="41" spans="1:9" x14ac:dyDescent="0.25">
      <c r="A41" s="2637" t="s">
        <v>102</v>
      </c>
      <c r="B41" s="2638"/>
      <c r="C41" s="270" t="s">
        <v>103</v>
      </c>
      <c r="D41" s="270" t="s">
        <v>104</v>
      </c>
      <c r="E41" s="270" t="s">
        <v>105</v>
      </c>
    </row>
    <row r="42" spans="1:9" ht="18" x14ac:dyDescent="0.25">
      <c r="A42" s="2629" t="s">
        <v>98</v>
      </c>
      <c r="B42" s="2629"/>
      <c r="C42" s="71" t="s">
        <v>143</v>
      </c>
      <c r="D42" s="71" t="s">
        <v>108</v>
      </c>
      <c r="E42" s="102" t="str">
        <f>'F-LSCD-002 (Dosimetría)'!F77</f>
        <v>---</v>
      </c>
    </row>
    <row r="43" spans="1:9" ht="18" x14ac:dyDescent="0.25">
      <c r="A43" s="2629"/>
      <c r="B43" s="2629"/>
      <c r="C43" s="71" t="s">
        <v>106</v>
      </c>
      <c r="D43" s="71" t="s">
        <v>108</v>
      </c>
      <c r="E43" s="279">
        <f>'F-LSCD-002 (Dosimetría)'!F78</f>
        <v>1.2</v>
      </c>
    </row>
    <row r="44" spans="1:9" ht="18" x14ac:dyDescent="0.25">
      <c r="A44" s="2628" t="s">
        <v>101</v>
      </c>
      <c r="B44" s="2628"/>
      <c r="C44" s="103" t="s">
        <v>144</v>
      </c>
      <c r="D44" s="71" t="s">
        <v>108</v>
      </c>
      <c r="E44" s="102">
        <f>'F-LSCD-002 (Dosimetría)'!F79</f>
        <v>1.25</v>
      </c>
    </row>
    <row r="45" spans="1:9" ht="18" x14ac:dyDescent="0.25">
      <c r="A45" s="2628"/>
      <c r="B45" s="2628"/>
      <c r="C45" s="71" t="s">
        <v>107</v>
      </c>
      <c r="D45" s="71" t="s">
        <v>108</v>
      </c>
      <c r="E45" s="102">
        <f>'F-LSCD-002 (Dosimetría)'!F80</f>
        <v>1.21</v>
      </c>
    </row>
    <row r="46" spans="1:9" ht="18" x14ac:dyDescent="0.25">
      <c r="A46" s="104" t="s">
        <v>99</v>
      </c>
      <c r="B46" s="270"/>
      <c r="C46" s="71" t="s">
        <v>144</v>
      </c>
      <c r="D46" s="71" t="s">
        <v>108</v>
      </c>
      <c r="E46" s="102" t="str">
        <f>'F-LSCD-002 (Dosimetría)'!F81</f>
        <v>---</v>
      </c>
    </row>
    <row r="47" spans="1:9" ht="18" x14ac:dyDescent="0.25">
      <c r="A47" s="104" t="s">
        <v>100</v>
      </c>
      <c r="B47" s="270"/>
      <c r="C47" s="71" t="s">
        <v>144</v>
      </c>
      <c r="D47" s="71" t="s">
        <v>108</v>
      </c>
      <c r="E47" s="102" t="str">
        <f>'F-LSCD-002 (Dosimetría)'!F82</f>
        <v>---</v>
      </c>
    </row>
    <row r="49" spans="1:6" x14ac:dyDescent="0.25">
      <c r="A49" s="2629" t="s">
        <v>122</v>
      </c>
      <c r="B49" s="2629"/>
      <c r="C49" s="2629"/>
    </row>
    <row r="50" spans="1:6" x14ac:dyDescent="0.25">
      <c r="A50" s="108" t="s">
        <v>120</v>
      </c>
      <c r="B50" s="107">
        <v>0.877</v>
      </c>
      <c r="C50" s="110" t="s">
        <v>116</v>
      </c>
    </row>
    <row r="51" spans="1:6" x14ac:dyDescent="0.25">
      <c r="A51" s="109" t="s">
        <v>121</v>
      </c>
      <c r="B51" s="107">
        <v>100</v>
      </c>
      <c r="C51" s="110" t="s">
        <v>116</v>
      </c>
    </row>
    <row r="52" spans="1:6" ht="15.75" thickBot="1" x14ac:dyDescent="0.3"/>
    <row r="53" spans="1:6" ht="15.75" thickBot="1" x14ac:dyDescent="0.3">
      <c r="A53" s="32" t="s">
        <v>23</v>
      </c>
      <c r="B53" s="33"/>
      <c r="C53" s="33"/>
      <c r="D53" s="33"/>
      <c r="E53" s="268"/>
      <c r="F53" s="34">
        <v>1.5</v>
      </c>
    </row>
    <row r="55" spans="1:6" ht="15.75" thickBot="1" x14ac:dyDescent="0.3"/>
    <row r="56" spans="1:6" x14ac:dyDescent="0.25">
      <c r="B56" s="24" t="s">
        <v>20</v>
      </c>
      <c r="C56" s="25"/>
      <c r="D56" s="25"/>
      <c r="E56" s="26" t="s">
        <v>9</v>
      </c>
    </row>
    <row r="57" spans="1:6" x14ac:dyDescent="0.25">
      <c r="B57" s="27" t="s">
        <v>21</v>
      </c>
      <c r="C57" s="28"/>
      <c r="D57" s="28"/>
      <c r="E57" s="29">
        <v>15.5</v>
      </c>
    </row>
    <row r="58" spans="1:6" x14ac:dyDescent="0.25">
      <c r="B58" s="27" t="s">
        <v>76</v>
      </c>
      <c r="C58" s="28"/>
      <c r="D58" s="59"/>
      <c r="E58" s="60">
        <v>42576</v>
      </c>
    </row>
    <row r="59" spans="1:6" x14ac:dyDescent="0.25">
      <c r="B59" s="27" t="s">
        <v>77</v>
      </c>
      <c r="C59" s="28"/>
      <c r="D59" s="30"/>
      <c r="E59" s="31">
        <v>42919</v>
      </c>
    </row>
    <row r="60" spans="1:6" x14ac:dyDescent="0.25">
      <c r="B60" s="27" t="s">
        <v>75</v>
      </c>
      <c r="C60" s="28"/>
      <c r="D60" s="30"/>
      <c r="E60" s="31">
        <f>'F-LSCD-002 (Dosimetría)'!F96</f>
        <v>44488</v>
      </c>
    </row>
    <row r="61" spans="1:6" x14ac:dyDescent="0.25">
      <c r="B61" s="27" t="s">
        <v>22</v>
      </c>
      <c r="C61" s="28"/>
      <c r="D61" s="28"/>
      <c r="E61" s="29">
        <f>EXP(-LN(2)*(E60-E58)/10990)</f>
        <v>0.88639623454367944</v>
      </c>
    </row>
    <row r="62" spans="1:6" ht="15.75" thickBot="1" x14ac:dyDescent="0.3">
      <c r="B62" s="35" t="s">
        <v>64</v>
      </c>
      <c r="C62" s="36"/>
      <c r="D62" s="36"/>
      <c r="E62" s="61">
        <f>E61*E57</f>
        <v>13.739141635427032</v>
      </c>
    </row>
    <row r="66" spans="1:34" ht="15.75" thickBot="1" x14ac:dyDescent="0.3"/>
    <row r="67" spans="1:34" ht="15.75" customHeight="1" thickBot="1" x14ac:dyDescent="0.3">
      <c r="B67" s="2676" t="s">
        <v>405</v>
      </c>
      <c r="C67" s="2677"/>
      <c r="D67" s="2677"/>
      <c r="E67" s="2677"/>
      <c r="F67" s="2677"/>
      <c r="G67" s="2677"/>
      <c r="H67" s="2677"/>
      <c r="I67" s="2677"/>
      <c r="J67" s="2677"/>
      <c r="K67" s="2677"/>
      <c r="L67" s="2678"/>
      <c r="M67" s="2384" t="s">
        <v>24</v>
      </c>
      <c r="N67" s="2630"/>
      <c r="O67" s="2630"/>
      <c r="P67" s="2630"/>
      <c r="Q67" s="2630"/>
      <c r="R67" s="2630"/>
      <c r="S67" s="2630"/>
      <c r="T67" s="2630"/>
      <c r="U67" s="2630"/>
      <c r="V67" s="2630"/>
      <c r="W67" s="2630"/>
      <c r="X67" s="2630"/>
      <c r="Y67" s="2630"/>
      <c r="Z67" s="2630"/>
      <c r="AA67" s="2630"/>
      <c r="AB67" s="2428"/>
    </row>
    <row r="68" spans="1:34" ht="30.75" thickBot="1" x14ac:dyDescent="0.3">
      <c r="A68" s="85" t="s">
        <v>56</v>
      </c>
      <c r="B68" s="98" t="s">
        <v>57</v>
      </c>
      <c r="C68" s="99" t="s">
        <v>58</v>
      </c>
      <c r="D68" s="99" t="s">
        <v>59</v>
      </c>
      <c r="E68" s="99" t="s">
        <v>264</v>
      </c>
      <c r="F68" s="99" t="s">
        <v>91</v>
      </c>
      <c r="G68" s="99" t="s">
        <v>92</v>
      </c>
      <c r="H68" s="99" t="s">
        <v>263</v>
      </c>
      <c r="I68" s="99" t="s">
        <v>60</v>
      </c>
      <c r="J68" s="100" t="s">
        <v>274</v>
      </c>
      <c r="K68" s="99" t="s">
        <v>7</v>
      </c>
      <c r="L68" s="101" t="s">
        <v>8</v>
      </c>
      <c r="M68" s="98" t="s">
        <v>57</v>
      </c>
      <c r="N68" s="99" t="s">
        <v>58</v>
      </c>
      <c r="O68" s="99" t="s">
        <v>59</v>
      </c>
      <c r="P68" s="100" t="s">
        <v>264</v>
      </c>
      <c r="Q68" s="99" t="s">
        <v>91</v>
      </c>
      <c r="R68" s="99" t="s">
        <v>92</v>
      </c>
      <c r="S68" s="99" t="s">
        <v>263</v>
      </c>
      <c r="T68" s="99" t="s">
        <v>60</v>
      </c>
      <c r="U68" s="100" t="s">
        <v>274</v>
      </c>
      <c r="V68" s="99" t="s">
        <v>94</v>
      </c>
      <c r="W68" s="99" t="s">
        <v>7</v>
      </c>
      <c r="X68" s="99" t="s">
        <v>8</v>
      </c>
      <c r="Y68" s="99" t="s">
        <v>119</v>
      </c>
      <c r="Z68" s="99" t="s">
        <v>97</v>
      </c>
      <c r="AA68" s="99" t="s">
        <v>95</v>
      </c>
      <c r="AB68" s="101" t="s">
        <v>96</v>
      </c>
      <c r="AD68" s="2679" t="s">
        <v>407</v>
      </c>
      <c r="AE68" s="2680"/>
      <c r="AF68" s="261" t="s">
        <v>414</v>
      </c>
      <c r="AG68" s="284" t="s">
        <v>408</v>
      </c>
      <c r="AH68" s="262" t="s">
        <v>415</v>
      </c>
    </row>
    <row r="69" spans="1:34" x14ac:dyDescent="0.25">
      <c r="A69" s="2625">
        <v>200</v>
      </c>
      <c r="B69" s="76" t="s">
        <v>93</v>
      </c>
      <c r="C69" s="76" t="s">
        <v>93</v>
      </c>
      <c r="D69" s="76" t="s">
        <v>93</v>
      </c>
      <c r="E69" s="76" t="s">
        <v>93</v>
      </c>
      <c r="F69" s="76" t="s">
        <v>93</v>
      </c>
      <c r="G69" s="76" t="s">
        <v>93</v>
      </c>
      <c r="H69" s="231" t="str">
        <f>IF(E69="-","-",IF(AND(E69&lt;=$E$36,E69&gt;=$F$36),E69*$C$36,IF(AND(E69&lt;=$E$37,E69&gt;=$F$37),E69*$C$37,"rango cal. out")))</f>
        <v>-</v>
      </c>
      <c r="I69" s="40" t="e">
        <f t="shared" ref="I69:I78" si="0">((273.2+B69)*$E$26/((273.2+$E$25)*D69))</f>
        <v>#VALUE!</v>
      </c>
      <c r="J69" s="57" t="str">
        <f>IF(H69="-","-",H69/F69*I69)</f>
        <v>-</v>
      </c>
      <c r="K69" s="11" t="e">
        <f t="shared" ref="K69:K78" si="1">ABS($A$27*J69*3600)</f>
        <v>#REF!</v>
      </c>
      <c r="L69" s="97" t="e">
        <f t="shared" ref="L69:L78" si="2">ABS($A$28*J69*3600)</f>
        <v>#VALUE!</v>
      </c>
      <c r="M69" s="68">
        <v>20.7</v>
      </c>
      <c r="N69" s="80">
        <v>51</v>
      </c>
      <c r="O69" s="80">
        <v>1013.3</v>
      </c>
      <c r="P69" s="76">
        <v>-5.5590000000000003E-9</v>
      </c>
      <c r="Q69" s="80">
        <v>60</v>
      </c>
      <c r="R69" s="105">
        <v>42931</v>
      </c>
      <c r="S69" s="231">
        <f t="shared" ref="S69:S78" si="3">IF(AND(P69&lt;=$E$36,P69&gt;=$F$36),P69*$C$36,IF(AND(P69&lt;=$E$37,P69&gt;=$F$37),P69*$C$37,"rango cal. out"))</f>
        <v>-5.5645589999999997E-9</v>
      </c>
      <c r="T69" s="40">
        <f t="shared" ref="T69:T78" si="4">((273.2+M69)*$E$26/((273.2+$E$25)*O69))</f>
        <v>0.99554707953326449</v>
      </c>
      <c r="U69" s="57">
        <f>S69/Q69*T69*EXP(-LN(2)/10990*($E$60-R69))</f>
        <v>-8.3693764988129072E-11</v>
      </c>
      <c r="V69" s="11">
        <f>IF($J$79="-",U69,U69-$J$79)</f>
        <v>-8.3693764988129072E-11</v>
      </c>
      <c r="W69" s="11" t="e">
        <f t="shared" ref="W69:W78" si="5">ABS($A$27*V69*3600)</f>
        <v>#REF!</v>
      </c>
      <c r="X69" s="65">
        <f t="shared" ref="X69:X78" si="6">ABS($A$28*V69*3600)</f>
        <v>7.5926983597230701E-3</v>
      </c>
      <c r="Y69" s="111">
        <f t="shared" ref="Y69:Y78" si="7">X69*$B$51</f>
        <v>0.75926983597230702</v>
      </c>
      <c r="Z69" s="11">
        <f t="shared" ref="Z69:Z78" si="8">X69*$E$43</f>
        <v>9.111238031667683E-3</v>
      </c>
      <c r="AA69" s="11">
        <f t="shared" ref="AA69:AA78" si="9">X69*$E$45</f>
        <v>9.1871650152649149E-3</v>
      </c>
      <c r="AB69" s="12">
        <f t="shared" ref="AB69:AB78" si="10">X69*$E$44</f>
        <v>9.4908729496538374E-3</v>
      </c>
      <c r="AD69" s="2681" t="s">
        <v>409</v>
      </c>
      <c r="AE69" s="2682"/>
      <c r="AF69" s="57">
        <f>X79</f>
        <v>7.5952934536038892E-3</v>
      </c>
      <c r="AG69" s="288">
        <f>ABS(AF69-$AF$69)/$AF$69</f>
        <v>0</v>
      </c>
      <c r="AH69" s="2673">
        <f>MAX(AG69:AG73)</f>
        <v>1.3760845712116974E-3</v>
      </c>
    </row>
    <row r="70" spans="1:34" x14ac:dyDescent="0.25">
      <c r="A70" s="2626"/>
      <c r="B70" s="70" t="s">
        <v>93</v>
      </c>
      <c r="C70" s="70" t="s">
        <v>93</v>
      </c>
      <c r="D70" s="70" t="s">
        <v>93</v>
      </c>
      <c r="E70" s="70" t="s">
        <v>93</v>
      </c>
      <c r="F70" s="70" t="s">
        <v>93</v>
      </c>
      <c r="G70" s="70" t="s">
        <v>93</v>
      </c>
      <c r="H70" s="231" t="str">
        <f t="shared" ref="H70:H78" si="11">IF(E70="-","-",IF(AND(E70&lt;=$E$36,E70&gt;=$F$36),E70*$C$36,IF(AND(E70&lt;=$E$37,E70&gt;=$F$37),E70*$C$37,"rango cal. out")))</f>
        <v>-</v>
      </c>
      <c r="I70" s="38" t="e">
        <f t="shared" si="0"/>
        <v>#VALUE!</v>
      </c>
      <c r="J70" s="57" t="str">
        <f t="shared" ref="J70:J78" si="12">IF(H70="-","-",H70/F70*I70)</f>
        <v>-</v>
      </c>
      <c r="K70" s="58" t="e">
        <f t="shared" si="1"/>
        <v>#REF!</v>
      </c>
      <c r="L70" s="91" t="e">
        <f t="shared" si="2"/>
        <v>#VALUE!</v>
      </c>
      <c r="M70" s="69">
        <v>20.7</v>
      </c>
      <c r="N70" s="79">
        <v>51</v>
      </c>
      <c r="O70" s="79">
        <v>1013.3</v>
      </c>
      <c r="P70" s="70">
        <v>-5.5599999999999998E-9</v>
      </c>
      <c r="Q70" s="79">
        <v>60</v>
      </c>
      <c r="R70" s="92">
        <v>42931</v>
      </c>
      <c r="S70" s="231">
        <f t="shared" si="3"/>
        <v>-5.5655599999999995E-9</v>
      </c>
      <c r="T70" s="38">
        <f t="shared" si="4"/>
        <v>0.99554707953326449</v>
      </c>
      <c r="U70" s="74">
        <f>S70/Q70*T70*EXP(-LN(2)/10990*($E$60-R70))</f>
        <v>-8.370882053139011E-11</v>
      </c>
      <c r="V70" s="58">
        <f t="shared" ref="V70:V78" si="13">IF($J$79="-",U70,U70-$J$79)</f>
        <v>-8.370882053139011E-11</v>
      </c>
      <c r="W70" s="58" t="e">
        <f>ABS($A$27*V70*3600)</f>
        <v>#REF!</v>
      </c>
      <c r="X70" s="63">
        <f>ABS($A$28*V70*3600)</f>
        <v>7.5940641986077112E-3</v>
      </c>
      <c r="Y70" s="58">
        <f t="shared" si="7"/>
        <v>0.75940641986077106</v>
      </c>
      <c r="Z70" s="58">
        <f t="shared" si="8"/>
        <v>9.1128770383292531E-3</v>
      </c>
      <c r="AA70" s="58">
        <f t="shared" si="9"/>
        <v>9.1888176803153303E-3</v>
      </c>
      <c r="AB70" s="47">
        <f t="shared" si="10"/>
        <v>9.492580248259639E-3</v>
      </c>
      <c r="AD70" s="2685" t="s">
        <v>410</v>
      </c>
      <c r="AE70" s="2686"/>
      <c r="AF70" s="74">
        <f>X92</f>
        <v>7.5940052023879216E-3</v>
      </c>
      <c r="AG70" s="288">
        <f>ABS(AF70-$AF$69)/$AF$69</f>
        <v>1.6961177653463381E-4</v>
      </c>
      <c r="AH70" s="2674"/>
    </row>
    <row r="71" spans="1:34" x14ac:dyDescent="0.25">
      <c r="A71" s="2626"/>
      <c r="B71" s="70" t="s">
        <v>93</v>
      </c>
      <c r="C71" s="70" t="s">
        <v>93</v>
      </c>
      <c r="D71" s="70" t="s">
        <v>93</v>
      </c>
      <c r="E71" s="70" t="s">
        <v>93</v>
      </c>
      <c r="F71" s="70" t="s">
        <v>93</v>
      </c>
      <c r="G71" s="70" t="s">
        <v>93</v>
      </c>
      <c r="H71" s="231" t="str">
        <f t="shared" si="11"/>
        <v>-</v>
      </c>
      <c r="I71" s="38" t="e">
        <f t="shared" si="0"/>
        <v>#VALUE!</v>
      </c>
      <c r="J71" s="57" t="str">
        <f t="shared" si="12"/>
        <v>-</v>
      </c>
      <c r="K71" s="58" t="e">
        <f t="shared" si="1"/>
        <v>#REF!</v>
      </c>
      <c r="L71" s="91" t="e">
        <f t="shared" si="2"/>
        <v>#VALUE!</v>
      </c>
      <c r="M71" s="69">
        <v>20.7</v>
      </c>
      <c r="N71" s="79">
        <v>51</v>
      </c>
      <c r="O71" s="79">
        <v>1013.3</v>
      </c>
      <c r="P71" s="70">
        <v>-5.5599999999999998E-9</v>
      </c>
      <c r="Q71" s="79">
        <v>60</v>
      </c>
      <c r="R71" s="92">
        <v>42931</v>
      </c>
      <c r="S71" s="231">
        <f t="shared" si="3"/>
        <v>-5.5655599999999995E-9</v>
      </c>
      <c r="T71" s="38">
        <f t="shared" si="4"/>
        <v>0.99554707953326449</v>
      </c>
      <c r="U71" s="74">
        <f>S71/Q71*T71*EXP(-LN(2)/10990*($E$60-R71))</f>
        <v>-8.370882053139011E-11</v>
      </c>
      <c r="V71" s="58">
        <f t="shared" si="13"/>
        <v>-8.370882053139011E-11</v>
      </c>
      <c r="W71" s="58" t="e">
        <f t="shared" si="5"/>
        <v>#REF!</v>
      </c>
      <c r="X71" s="63">
        <f t="shared" si="6"/>
        <v>7.5940641986077112E-3</v>
      </c>
      <c r="Y71" s="71">
        <f t="shared" si="7"/>
        <v>0.75940641986077106</v>
      </c>
      <c r="Z71" s="58">
        <f t="shared" si="8"/>
        <v>9.1128770383292531E-3</v>
      </c>
      <c r="AA71" s="58">
        <f t="shared" si="9"/>
        <v>9.1888176803153303E-3</v>
      </c>
      <c r="AB71" s="47">
        <f t="shared" si="10"/>
        <v>9.492580248259639E-3</v>
      </c>
      <c r="AD71" s="2685" t="s">
        <v>411</v>
      </c>
      <c r="AE71" s="2686"/>
      <c r="AF71" s="74">
        <f>X105</f>
        <v>7.6027436871554527E-3</v>
      </c>
      <c r="AG71" s="288">
        <f>ABS(AF71-$AF$69)/$AF$69</f>
        <v>9.809013433218221E-4</v>
      </c>
      <c r="AH71" s="2674"/>
    </row>
    <row r="72" spans="1:34" x14ac:dyDescent="0.25">
      <c r="A72" s="2626"/>
      <c r="B72" s="70" t="s">
        <v>93</v>
      </c>
      <c r="C72" s="70" t="s">
        <v>93</v>
      </c>
      <c r="D72" s="70" t="s">
        <v>93</v>
      </c>
      <c r="E72" s="70" t="s">
        <v>93</v>
      </c>
      <c r="F72" s="70" t="s">
        <v>93</v>
      </c>
      <c r="G72" s="70" t="s">
        <v>93</v>
      </c>
      <c r="H72" s="231" t="str">
        <f t="shared" si="11"/>
        <v>-</v>
      </c>
      <c r="I72" s="38" t="e">
        <f t="shared" si="0"/>
        <v>#VALUE!</v>
      </c>
      <c r="J72" s="57" t="str">
        <f t="shared" si="12"/>
        <v>-</v>
      </c>
      <c r="K72" s="58" t="e">
        <f t="shared" si="1"/>
        <v>#REF!</v>
      </c>
      <c r="L72" s="91" t="e">
        <f t="shared" si="2"/>
        <v>#VALUE!</v>
      </c>
      <c r="M72" s="69">
        <v>20.7</v>
      </c>
      <c r="N72" s="79">
        <v>51</v>
      </c>
      <c r="O72" s="79">
        <v>1013.3</v>
      </c>
      <c r="P72" s="70">
        <v>-5.5610000000000001E-9</v>
      </c>
      <c r="Q72" s="79">
        <v>60</v>
      </c>
      <c r="R72" s="92">
        <v>42931</v>
      </c>
      <c r="S72" s="231">
        <f t="shared" si="3"/>
        <v>-5.5665609999999993E-9</v>
      </c>
      <c r="T72" s="38">
        <f t="shared" si="4"/>
        <v>0.99554707953326449</v>
      </c>
      <c r="U72" s="74">
        <f t="shared" ref="U72:U77" si="14">S72/Q72*T72*EXP(-LN(2)/10990*($E$60-R72))</f>
        <v>-8.3723876074651161E-11</v>
      </c>
      <c r="V72" s="58">
        <f t="shared" si="13"/>
        <v>-8.3723876074651161E-11</v>
      </c>
      <c r="W72" s="58" t="e">
        <f t="shared" si="5"/>
        <v>#REF!</v>
      </c>
      <c r="X72" s="63">
        <f t="shared" si="6"/>
        <v>7.5954300374923532E-3</v>
      </c>
      <c r="Y72" s="71">
        <f t="shared" si="7"/>
        <v>0.75954300374923533</v>
      </c>
      <c r="Z72" s="58">
        <f t="shared" si="8"/>
        <v>9.1145160449908232E-3</v>
      </c>
      <c r="AA72" s="58">
        <f t="shared" si="9"/>
        <v>9.1904703453657473E-3</v>
      </c>
      <c r="AB72" s="47">
        <f t="shared" si="10"/>
        <v>9.4942875468654424E-3</v>
      </c>
      <c r="AD72" s="2685" t="s">
        <v>412</v>
      </c>
      <c r="AE72" s="2686"/>
      <c r="AF72" s="74">
        <f>X118</f>
        <v>7.5908649183921064E-3</v>
      </c>
      <c r="AG72" s="288">
        <f>ABS(AF72-$AF$69)/$AF$69</f>
        <v>5.8306308226727978E-4</v>
      </c>
      <c r="AH72" s="2674"/>
    </row>
    <row r="73" spans="1:34" ht="15.75" thickBot="1" x14ac:dyDescent="0.3">
      <c r="A73" s="2626"/>
      <c r="B73" s="70" t="s">
        <v>93</v>
      </c>
      <c r="C73" s="70" t="s">
        <v>93</v>
      </c>
      <c r="D73" s="70" t="s">
        <v>93</v>
      </c>
      <c r="E73" s="70" t="s">
        <v>93</v>
      </c>
      <c r="F73" s="70" t="s">
        <v>93</v>
      </c>
      <c r="G73" s="70" t="s">
        <v>93</v>
      </c>
      <c r="H73" s="231" t="str">
        <f t="shared" si="11"/>
        <v>-</v>
      </c>
      <c r="I73" s="38" t="e">
        <f t="shared" si="0"/>
        <v>#VALUE!</v>
      </c>
      <c r="J73" s="57" t="str">
        <f t="shared" si="12"/>
        <v>-</v>
      </c>
      <c r="K73" s="58" t="e">
        <f t="shared" si="1"/>
        <v>#REF!</v>
      </c>
      <c r="L73" s="91" t="e">
        <f t="shared" si="2"/>
        <v>#VALUE!</v>
      </c>
      <c r="M73" s="69">
        <v>20.7</v>
      </c>
      <c r="N73" s="79">
        <v>51</v>
      </c>
      <c r="O73" s="79">
        <v>1013.3</v>
      </c>
      <c r="P73" s="70">
        <v>-5.5629999999999999E-9</v>
      </c>
      <c r="Q73" s="79">
        <v>60</v>
      </c>
      <c r="R73" s="93">
        <v>42931</v>
      </c>
      <c r="S73" s="231">
        <f t="shared" si="3"/>
        <v>-5.5685629999999989E-9</v>
      </c>
      <c r="T73" s="38">
        <f t="shared" si="4"/>
        <v>0.99554707953326449</v>
      </c>
      <c r="U73" s="74">
        <f t="shared" si="14"/>
        <v>-8.3753987161173237E-11</v>
      </c>
      <c r="V73" s="58">
        <f t="shared" si="13"/>
        <v>-8.3753987161173237E-11</v>
      </c>
      <c r="W73" s="58" t="e">
        <f t="shared" si="5"/>
        <v>#REF!</v>
      </c>
      <c r="X73" s="63">
        <f t="shared" si="6"/>
        <v>7.5981617152616355E-3</v>
      </c>
      <c r="Y73" s="71">
        <f t="shared" si="7"/>
        <v>0.75981617152616354</v>
      </c>
      <c r="Z73" s="58">
        <f t="shared" si="8"/>
        <v>9.1177940583139615E-3</v>
      </c>
      <c r="AA73" s="58">
        <f t="shared" si="9"/>
        <v>9.193775675466578E-3</v>
      </c>
      <c r="AB73" s="47">
        <f t="shared" si="10"/>
        <v>9.4977021440770439E-3</v>
      </c>
      <c r="AD73" s="2683" t="s">
        <v>413</v>
      </c>
      <c r="AE73" s="2684"/>
      <c r="AF73" s="78">
        <f>X131</f>
        <v>7.6057452197392187E-3</v>
      </c>
      <c r="AG73" s="289">
        <f>ABS(AF73-$AF$69)/$AF$69</f>
        <v>1.3760845712116974E-3</v>
      </c>
      <c r="AH73" s="2675"/>
    </row>
    <row r="74" spans="1:34" x14ac:dyDescent="0.25">
      <c r="A74" s="2626"/>
      <c r="B74" s="70" t="s">
        <v>93</v>
      </c>
      <c r="C74" s="70" t="s">
        <v>93</v>
      </c>
      <c r="D74" s="70" t="s">
        <v>93</v>
      </c>
      <c r="E74" s="70" t="s">
        <v>93</v>
      </c>
      <c r="F74" s="70" t="s">
        <v>93</v>
      </c>
      <c r="G74" s="70" t="s">
        <v>93</v>
      </c>
      <c r="H74" s="231" t="str">
        <f t="shared" si="11"/>
        <v>-</v>
      </c>
      <c r="I74" s="38" t="e">
        <f t="shared" si="0"/>
        <v>#VALUE!</v>
      </c>
      <c r="J74" s="57" t="str">
        <f t="shared" si="12"/>
        <v>-</v>
      </c>
      <c r="K74" s="58" t="e">
        <f t="shared" si="1"/>
        <v>#REF!</v>
      </c>
      <c r="L74" s="91" t="e">
        <f t="shared" si="2"/>
        <v>#VALUE!</v>
      </c>
      <c r="M74" s="69">
        <v>20.7</v>
      </c>
      <c r="N74" s="79">
        <v>52</v>
      </c>
      <c r="O74" s="79">
        <v>1013.3</v>
      </c>
      <c r="P74" s="70">
        <v>-5.5619999999999996E-9</v>
      </c>
      <c r="Q74" s="79">
        <v>60</v>
      </c>
      <c r="R74" s="93">
        <v>42931</v>
      </c>
      <c r="S74" s="231">
        <f t="shared" si="3"/>
        <v>-5.5675619999999991E-9</v>
      </c>
      <c r="T74" s="38">
        <f t="shared" si="4"/>
        <v>0.99554707953326449</v>
      </c>
      <c r="U74" s="74">
        <f t="shared" si="14"/>
        <v>-8.3738931617912199E-11</v>
      </c>
      <c r="V74" s="58">
        <f>IF($J$79="-",U74,U74-$J$79)</f>
        <v>-8.3738931617912199E-11</v>
      </c>
      <c r="W74" s="58" t="e">
        <f t="shared" si="5"/>
        <v>#REF!</v>
      </c>
      <c r="X74" s="63">
        <f t="shared" si="6"/>
        <v>7.5967958763769943E-3</v>
      </c>
      <c r="Y74" s="71">
        <f t="shared" si="7"/>
        <v>0.75967958763769938</v>
      </c>
      <c r="Z74" s="58">
        <f t="shared" si="8"/>
        <v>9.1161550516523932E-3</v>
      </c>
      <c r="AA74" s="58">
        <f t="shared" si="9"/>
        <v>9.1921230104161627E-3</v>
      </c>
      <c r="AB74" s="47">
        <f t="shared" si="10"/>
        <v>9.4959948454712423E-3</v>
      </c>
    </row>
    <row r="75" spans="1:34" x14ac:dyDescent="0.25">
      <c r="A75" s="2626"/>
      <c r="B75" s="70" t="s">
        <v>93</v>
      </c>
      <c r="C75" s="70" t="s">
        <v>93</v>
      </c>
      <c r="D75" s="70" t="s">
        <v>93</v>
      </c>
      <c r="E75" s="70" t="s">
        <v>93</v>
      </c>
      <c r="F75" s="70" t="s">
        <v>93</v>
      </c>
      <c r="G75" s="70" t="s">
        <v>93</v>
      </c>
      <c r="H75" s="231" t="str">
        <f t="shared" si="11"/>
        <v>-</v>
      </c>
      <c r="I75" s="38" t="e">
        <f t="shared" si="0"/>
        <v>#VALUE!</v>
      </c>
      <c r="J75" s="57" t="str">
        <f t="shared" si="12"/>
        <v>-</v>
      </c>
      <c r="K75" s="58" t="e">
        <f t="shared" si="1"/>
        <v>#REF!</v>
      </c>
      <c r="L75" s="91" t="e">
        <f t="shared" si="2"/>
        <v>#VALUE!</v>
      </c>
      <c r="M75" s="69">
        <v>20.7</v>
      </c>
      <c r="N75" s="79">
        <v>52</v>
      </c>
      <c r="O75" s="79">
        <v>1013.3</v>
      </c>
      <c r="P75" s="70">
        <v>-5.5599999999999998E-9</v>
      </c>
      <c r="Q75" s="79">
        <v>60</v>
      </c>
      <c r="R75" s="93">
        <v>42931</v>
      </c>
      <c r="S75" s="231">
        <f t="shared" si="3"/>
        <v>-5.5655599999999995E-9</v>
      </c>
      <c r="T75" s="38">
        <f t="shared" si="4"/>
        <v>0.99554707953326449</v>
      </c>
      <c r="U75" s="74">
        <f t="shared" si="14"/>
        <v>-8.370882053139011E-11</v>
      </c>
      <c r="V75" s="58">
        <f t="shared" si="13"/>
        <v>-8.370882053139011E-11</v>
      </c>
      <c r="W75" s="58" t="e">
        <f t="shared" si="5"/>
        <v>#REF!</v>
      </c>
      <c r="X75" s="63">
        <f t="shared" si="6"/>
        <v>7.5940641986077112E-3</v>
      </c>
      <c r="Y75" s="71">
        <f t="shared" si="7"/>
        <v>0.75940641986077106</v>
      </c>
      <c r="Z75" s="58">
        <f t="shared" si="8"/>
        <v>9.1128770383292531E-3</v>
      </c>
      <c r="AA75" s="58">
        <f t="shared" si="9"/>
        <v>9.1888176803153303E-3</v>
      </c>
      <c r="AB75" s="47">
        <f t="shared" si="10"/>
        <v>9.492580248259639E-3</v>
      </c>
    </row>
    <row r="76" spans="1:34" x14ac:dyDescent="0.25">
      <c r="A76" s="2626"/>
      <c r="B76" s="70" t="s">
        <v>93</v>
      </c>
      <c r="C76" s="70" t="s">
        <v>93</v>
      </c>
      <c r="D76" s="70" t="s">
        <v>93</v>
      </c>
      <c r="E76" s="70" t="s">
        <v>93</v>
      </c>
      <c r="F76" s="70" t="s">
        <v>93</v>
      </c>
      <c r="G76" s="70" t="s">
        <v>93</v>
      </c>
      <c r="H76" s="231" t="str">
        <f t="shared" si="11"/>
        <v>-</v>
      </c>
      <c r="I76" s="38" t="e">
        <f t="shared" si="0"/>
        <v>#VALUE!</v>
      </c>
      <c r="J76" s="57" t="str">
        <f t="shared" si="12"/>
        <v>-</v>
      </c>
      <c r="K76" s="58" t="e">
        <f t="shared" si="1"/>
        <v>#REF!</v>
      </c>
      <c r="L76" s="91" t="e">
        <f t="shared" si="2"/>
        <v>#VALUE!</v>
      </c>
      <c r="M76" s="69">
        <v>20.7</v>
      </c>
      <c r="N76" s="79">
        <v>51</v>
      </c>
      <c r="O76" s="79">
        <v>1013.3</v>
      </c>
      <c r="P76" s="70">
        <v>-5.5619999999999996E-9</v>
      </c>
      <c r="Q76" s="79">
        <v>60</v>
      </c>
      <c r="R76" s="93">
        <v>42931</v>
      </c>
      <c r="S76" s="231">
        <f t="shared" si="3"/>
        <v>-5.5675619999999991E-9</v>
      </c>
      <c r="T76" s="38">
        <f t="shared" si="4"/>
        <v>0.99554707953326449</v>
      </c>
      <c r="U76" s="74">
        <f t="shared" si="14"/>
        <v>-8.3738931617912199E-11</v>
      </c>
      <c r="V76" s="58">
        <f>IF($J$79="-",U76,U76-$J$79)</f>
        <v>-8.3738931617912199E-11</v>
      </c>
      <c r="W76" s="58" t="e">
        <f t="shared" si="5"/>
        <v>#REF!</v>
      </c>
      <c r="X76" s="63">
        <f t="shared" si="6"/>
        <v>7.5967958763769943E-3</v>
      </c>
      <c r="Y76" s="71">
        <f t="shared" si="7"/>
        <v>0.75967958763769938</v>
      </c>
      <c r="Z76" s="58">
        <f t="shared" si="8"/>
        <v>9.1161550516523932E-3</v>
      </c>
      <c r="AA76" s="58">
        <f t="shared" si="9"/>
        <v>9.1921230104161627E-3</v>
      </c>
      <c r="AB76" s="47">
        <f t="shared" si="10"/>
        <v>9.4959948454712423E-3</v>
      </c>
    </row>
    <row r="77" spans="1:34" x14ac:dyDescent="0.25">
      <c r="A77" s="2626"/>
      <c r="B77" s="70" t="s">
        <v>93</v>
      </c>
      <c r="C77" s="70" t="s">
        <v>93</v>
      </c>
      <c r="D77" s="70" t="s">
        <v>93</v>
      </c>
      <c r="E77" s="70" t="s">
        <v>93</v>
      </c>
      <c r="F77" s="70" t="s">
        <v>93</v>
      </c>
      <c r="G77" s="70" t="s">
        <v>93</v>
      </c>
      <c r="H77" s="231" t="str">
        <f t="shared" si="11"/>
        <v>-</v>
      </c>
      <c r="I77" s="38" t="e">
        <f t="shared" si="0"/>
        <v>#VALUE!</v>
      </c>
      <c r="J77" s="57" t="str">
        <f t="shared" si="12"/>
        <v>-</v>
      </c>
      <c r="K77" s="58" t="e">
        <f t="shared" si="1"/>
        <v>#REF!</v>
      </c>
      <c r="L77" s="91" t="e">
        <f t="shared" si="2"/>
        <v>#VALUE!</v>
      </c>
      <c r="M77" s="69">
        <v>20.7</v>
      </c>
      <c r="N77" s="79">
        <v>52</v>
      </c>
      <c r="O77" s="79">
        <v>1013.3</v>
      </c>
      <c r="P77" s="70">
        <v>-5.5610000000000001E-9</v>
      </c>
      <c r="Q77" s="79">
        <v>60</v>
      </c>
      <c r="R77" s="93">
        <v>42931</v>
      </c>
      <c r="S77" s="231">
        <f t="shared" si="3"/>
        <v>-5.5665609999999993E-9</v>
      </c>
      <c r="T77" s="38">
        <f t="shared" si="4"/>
        <v>0.99554707953326449</v>
      </c>
      <c r="U77" s="74">
        <f t="shared" si="14"/>
        <v>-8.3723876074651161E-11</v>
      </c>
      <c r="V77" s="58">
        <f t="shared" si="13"/>
        <v>-8.3723876074651161E-11</v>
      </c>
      <c r="W77" s="58" t="e">
        <f t="shared" si="5"/>
        <v>#REF!</v>
      </c>
      <c r="X77" s="63">
        <f t="shared" si="6"/>
        <v>7.5954300374923532E-3</v>
      </c>
      <c r="Y77" s="71">
        <f t="shared" si="7"/>
        <v>0.75954300374923533</v>
      </c>
      <c r="Z77" s="58">
        <f t="shared" si="8"/>
        <v>9.1145160449908232E-3</v>
      </c>
      <c r="AA77" s="58">
        <f t="shared" si="9"/>
        <v>9.1904703453657473E-3</v>
      </c>
      <c r="AB77" s="47">
        <f t="shared" si="10"/>
        <v>9.4942875468654424E-3</v>
      </c>
    </row>
    <row r="78" spans="1:34" ht="15.75" thickBot="1" x14ac:dyDescent="0.3">
      <c r="A78" s="2627"/>
      <c r="B78" s="58" t="s">
        <v>93</v>
      </c>
      <c r="C78" s="58" t="s">
        <v>93</v>
      </c>
      <c r="D78" s="58" t="s">
        <v>93</v>
      </c>
      <c r="E78" s="58" t="s">
        <v>93</v>
      </c>
      <c r="F78" s="58" t="s">
        <v>93</v>
      </c>
      <c r="G78" s="58" t="s">
        <v>93</v>
      </c>
      <c r="H78" s="231" t="str">
        <f t="shared" si="11"/>
        <v>-</v>
      </c>
      <c r="I78" s="38" t="e">
        <f t="shared" si="0"/>
        <v>#VALUE!</v>
      </c>
      <c r="J78" s="57" t="str">
        <f t="shared" si="12"/>
        <v>-</v>
      </c>
      <c r="K78" s="58" t="e">
        <f t="shared" si="1"/>
        <v>#REF!</v>
      </c>
      <c r="L78" s="91" t="e">
        <f t="shared" si="2"/>
        <v>#VALUE!</v>
      </c>
      <c r="M78" s="69">
        <v>20.7</v>
      </c>
      <c r="N78" s="79">
        <v>51</v>
      </c>
      <c r="O78" s="79">
        <v>1013.3</v>
      </c>
      <c r="P78" s="70">
        <v>-5.5610000000000001E-9</v>
      </c>
      <c r="Q78" s="79">
        <v>60</v>
      </c>
      <c r="R78" s="93">
        <v>42931</v>
      </c>
      <c r="S78" s="231">
        <f t="shared" si="3"/>
        <v>-5.5665609999999993E-9</v>
      </c>
      <c r="T78" s="38">
        <f t="shared" si="4"/>
        <v>0.99554707953326449</v>
      </c>
      <c r="U78" s="74">
        <f>S78/Q78*T78*EXP(-LN(2)/10990*($E$60-R78))</f>
        <v>-8.3723876074651161E-11</v>
      </c>
      <c r="V78" s="58">
        <f t="shared" si="13"/>
        <v>-8.3723876074651161E-11</v>
      </c>
      <c r="W78" s="11" t="e">
        <f t="shared" si="5"/>
        <v>#REF!</v>
      </c>
      <c r="X78" s="65">
        <f t="shared" si="6"/>
        <v>7.5954300374923532E-3</v>
      </c>
      <c r="Y78" s="71">
        <f t="shared" si="7"/>
        <v>0.75954300374923533</v>
      </c>
      <c r="Z78" s="58">
        <f t="shared" si="8"/>
        <v>9.1145160449908232E-3</v>
      </c>
      <c r="AA78" s="58">
        <f t="shared" si="9"/>
        <v>9.1904703453657473E-3</v>
      </c>
      <c r="AB78" s="47">
        <f t="shared" si="10"/>
        <v>9.4942875468654424E-3</v>
      </c>
    </row>
    <row r="79" spans="1:34" x14ac:dyDescent="0.25">
      <c r="A79" s="263" t="s">
        <v>61</v>
      </c>
      <c r="B79" s="39" t="e">
        <f>AVERAGE(B69:B78)</f>
        <v>#DIV/0!</v>
      </c>
      <c r="C79" s="242" t="e">
        <f>AVERAGE(C69:C78)</f>
        <v>#DIV/0!</v>
      </c>
      <c r="D79" s="239" t="e">
        <f>AVERAGE(D69:D78)</f>
        <v>#DIV/0!</v>
      </c>
      <c r="E79" s="11" t="e">
        <f>AVERAGE(E69:E78)</f>
        <v>#DIV/0!</v>
      </c>
      <c r="F79" s="236" t="e">
        <f>AVERAGE(F69:F78)</f>
        <v>#DIV/0!</v>
      </c>
      <c r="G79" s="90" t="s">
        <v>93</v>
      </c>
      <c r="H79" s="11" t="str">
        <f>IF(AND(H69="-",H70="-",H71="-",H72="-",H73="-",H74="-",H75="-",H76="-",H77="-",H78="-"),"-",AVERAGE(H69:H78))</f>
        <v>-</v>
      </c>
      <c r="I79" s="38" t="e">
        <f>AVERAGE(I69:I78)</f>
        <v>#VALUE!</v>
      </c>
      <c r="J79" s="75" t="str">
        <f>IF(AND(H69="-",H70="-",H71="-",H72="-",H73="-",H74="-",H75="-",H76="-",H77="-",H78="-"),"-",AVERAGE(J69:J78))</f>
        <v>-</v>
      </c>
      <c r="K79" s="73" t="e">
        <f t="shared" ref="K79:Q79" si="15">AVERAGE(K69:K78)</f>
        <v>#REF!</v>
      </c>
      <c r="L79" s="77" t="e">
        <f t="shared" si="15"/>
        <v>#VALUE!</v>
      </c>
      <c r="M79" s="243">
        <f t="shared" si="15"/>
        <v>20.699999999999996</v>
      </c>
      <c r="N79" s="232">
        <f t="shared" si="15"/>
        <v>51.3</v>
      </c>
      <c r="O79" s="232">
        <f t="shared" si="15"/>
        <v>1013.3</v>
      </c>
      <c r="P79" s="58">
        <f t="shared" si="15"/>
        <v>-5.5608999999999997E-9</v>
      </c>
      <c r="Q79" s="232">
        <f t="shared" si="15"/>
        <v>60</v>
      </c>
      <c r="R79" s="90" t="s">
        <v>93</v>
      </c>
      <c r="S79" s="11">
        <f t="shared" ref="S79:AB79" si="16">AVERAGE(S69:S78)</f>
        <v>-5.5664608999999997E-9</v>
      </c>
      <c r="T79" s="38">
        <f t="shared" si="16"/>
        <v>0.99554707953326438</v>
      </c>
      <c r="U79" s="63">
        <f>AVERAGE(U69:U78)</f>
        <v>-8.372237052032506E-11</v>
      </c>
      <c r="V79" s="58">
        <f t="shared" si="16"/>
        <v>-8.372237052032506E-11</v>
      </c>
      <c r="W79" s="73" t="e">
        <f t="shared" si="16"/>
        <v>#REF!</v>
      </c>
      <c r="X79" s="75">
        <f t="shared" si="16"/>
        <v>7.5952934536038892E-3</v>
      </c>
      <c r="Y79" s="73">
        <f t="shared" si="16"/>
        <v>0.75952934536038896</v>
      </c>
      <c r="Z79" s="73">
        <f t="shared" si="16"/>
        <v>9.114352144324666E-3</v>
      </c>
      <c r="AA79" s="73">
        <f t="shared" si="16"/>
        <v>9.1903050788607037E-3</v>
      </c>
      <c r="AB79" s="72">
        <f t="shared" si="16"/>
        <v>9.4941168170048617E-3</v>
      </c>
    </row>
    <row r="80" spans="1:34" x14ac:dyDescent="0.25">
      <c r="A80" s="263" t="s">
        <v>62</v>
      </c>
      <c r="B80" s="39">
        <f>STDEVA(B69:B78)</f>
        <v>0</v>
      </c>
      <c r="C80" s="41">
        <f>STDEVA(C69:C78)</f>
        <v>0</v>
      </c>
      <c r="D80" s="42">
        <f>STDEVA(D69:D78)</f>
        <v>0</v>
      </c>
      <c r="E80" s="11">
        <f>STDEVA(E69:E78)</f>
        <v>0</v>
      </c>
      <c r="F80" s="94">
        <f>STDEVA(F69:F78)</f>
        <v>0</v>
      </c>
      <c r="G80" s="40" t="s">
        <v>93</v>
      </c>
      <c r="H80" s="11" t="str">
        <f>IF(H79="-","-",STDEVA(H69:H78))</f>
        <v>-</v>
      </c>
      <c r="I80" s="40" t="e">
        <f t="shared" ref="I80:Q80" si="17">STDEVA(I69:I78)</f>
        <v>#VALUE!</v>
      </c>
      <c r="J80" s="63" t="str">
        <f>IF(J79="-","-",STDEVA(J69:J78))</f>
        <v>-</v>
      </c>
      <c r="K80" s="58" t="e">
        <f t="shared" si="17"/>
        <v>#REF!</v>
      </c>
      <c r="L80" s="74" t="e">
        <f t="shared" si="17"/>
        <v>#VALUE!</v>
      </c>
      <c r="M80" s="82">
        <f t="shared" si="17"/>
        <v>3.7448890331484813E-15</v>
      </c>
      <c r="N80" s="38">
        <f t="shared" si="17"/>
        <v>0.48304589153964789</v>
      </c>
      <c r="O80" s="38">
        <f t="shared" si="17"/>
        <v>0</v>
      </c>
      <c r="P80" s="58">
        <f t="shared" si="17"/>
        <v>1.1972189997377559E-12</v>
      </c>
      <c r="Q80" s="38">
        <f t="shared" si="17"/>
        <v>0</v>
      </c>
      <c r="R80" s="40" t="s">
        <v>93</v>
      </c>
      <c r="S80" s="11">
        <f t="shared" ref="S80:AB80" si="18">STDEVA(S69:S78)</f>
        <v>1.1984162187373614E-12</v>
      </c>
      <c r="T80" s="40">
        <f t="shared" si="18"/>
        <v>1.1702778228589004E-16</v>
      </c>
      <c r="U80" s="63">
        <f t="shared" si="18"/>
        <v>1.8024782443495461E-14</v>
      </c>
      <c r="V80" s="58">
        <f t="shared" si="18"/>
        <v>1.8024782443495461E-14</v>
      </c>
      <c r="W80" s="58" t="e">
        <f t="shared" si="18"/>
        <v>#REF!</v>
      </c>
      <c r="X80" s="63">
        <f t="shared" si="18"/>
        <v>1.6352082632735161E-6</v>
      </c>
      <c r="Y80" s="58">
        <f t="shared" si="18"/>
        <v>1.6352082632735206E-4</v>
      </c>
      <c r="Z80" s="58">
        <f t="shared" si="18"/>
        <v>1.9622499159282672E-6</v>
      </c>
      <c r="AA80" s="58">
        <f t="shared" si="18"/>
        <v>1.9786019985607174E-6</v>
      </c>
      <c r="AB80" s="47">
        <f t="shared" si="18"/>
        <v>2.0440103290917399E-6</v>
      </c>
    </row>
    <row r="81" spans="1:28" ht="15.75" thickBot="1" x14ac:dyDescent="0.3">
      <c r="A81" s="264" t="s">
        <v>63</v>
      </c>
      <c r="B81" s="44" t="e">
        <f>B80/B79*100</f>
        <v>#DIV/0!</v>
      </c>
      <c r="C81" s="45" t="e">
        <f>C80/C79*100</f>
        <v>#DIV/0!</v>
      </c>
      <c r="D81" s="46" t="e">
        <f>D80/D79*100</f>
        <v>#DIV/0!</v>
      </c>
      <c r="E81" s="43" t="e">
        <f>E80/E79*100</f>
        <v>#DIV/0!</v>
      </c>
      <c r="F81" s="95" t="e">
        <f>F80/F79*100</f>
        <v>#DIV/0!</v>
      </c>
      <c r="G81" s="43" t="s">
        <v>93</v>
      </c>
      <c r="H81" s="89" t="str">
        <f>IF(H79="-","-",H80/H79*100)</f>
        <v>-</v>
      </c>
      <c r="I81" s="43" t="e">
        <f t="shared" ref="I81:Q81" si="19">I80/I79*100</f>
        <v>#VALUE!</v>
      </c>
      <c r="J81" s="64" t="str">
        <f>IF(J79="-","-",J80/J79*100)</f>
        <v>-</v>
      </c>
      <c r="K81" s="19" t="e">
        <f t="shared" si="19"/>
        <v>#REF!</v>
      </c>
      <c r="L81" s="78" t="e">
        <f t="shared" si="19"/>
        <v>#VALUE!</v>
      </c>
      <c r="M81" s="83">
        <f t="shared" si="19"/>
        <v>1.8091251367867064E-14</v>
      </c>
      <c r="N81" s="81">
        <f t="shared" si="19"/>
        <v>0.94160992502855345</v>
      </c>
      <c r="O81" s="81">
        <f t="shared" si="19"/>
        <v>0</v>
      </c>
      <c r="P81" s="19">
        <f t="shared" si="19"/>
        <v>-2.1529230875177687E-2</v>
      </c>
      <c r="Q81" s="81">
        <f t="shared" si="19"/>
        <v>0</v>
      </c>
      <c r="R81" s="43" t="s">
        <v>93</v>
      </c>
      <c r="S81" s="89">
        <f t="shared" ref="S81:AB81" si="20">S80/S79*100</f>
        <v>-2.1529230875175311E-2</v>
      </c>
      <c r="T81" s="43">
        <f t="shared" si="20"/>
        <v>1.1755122855742331E-14</v>
      </c>
      <c r="U81" s="64">
        <f t="shared" si="20"/>
        <v>-2.152923087518124E-2</v>
      </c>
      <c r="V81" s="19">
        <f t="shared" si="20"/>
        <v>-2.152923087518124E-2</v>
      </c>
      <c r="W81" s="19" t="e">
        <f t="shared" si="20"/>
        <v>#REF!</v>
      </c>
      <c r="X81" s="64">
        <f t="shared" si="20"/>
        <v>2.1529230875176081E-2</v>
      </c>
      <c r="Y81" s="19">
        <f t="shared" si="20"/>
        <v>2.152923087517614E-2</v>
      </c>
      <c r="Z81" s="19">
        <f t="shared" si="20"/>
        <v>2.1529230875176608E-2</v>
      </c>
      <c r="AA81" s="19">
        <f t="shared" si="20"/>
        <v>2.1529230875173503E-2</v>
      </c>
      <c r="AB81" s="17">
        <f t="shared" si="20"/>
        <v>2.1529230875174447E-2</v>
      </c>
    </row>
    <row r="82" spans="1:28" x14ac:dyDescent="0.25">
      <c r="A82" s="2625" t="s">
        <v>404</v>
      </c>
      <c r="B82" s="76" t="s">
        <v>93</v>
      </c>
      <c r="C82" s="76" t="s">
        <v>93</v>
      </c>
      <c r="D82" s="76" t="s">
        <v>93</v>
      </c>
      <c r="E82" s="76" t="s">
        <v>93</v>
      </c>
      <c r="F82" s="76" t="s">
        <v>93</v>
      </c>
      <c r="G82" s="76" t="s">
        <v>93</v>
      </c>
      <c r="H82" s="231" t="str">
        <f>IF(E82="-","-",IF(AND(E82&lt;=$E$36,E82&gt;=$F$36),E82*$C$36,IF(AND(E82&lt;=$E$37,E82&gt;=$F$37),E82*$C$37,"rango cal. out")))</f>
        <v>-</v>
      </c>
      <c r="I82" s="40" t="e">
        <f t="shared" ref="I82:I91" si="21">((273.2+B82)*$E$26/((273.2+$E$25)*D82))</f>
        <v>#VALUE!</v>
      </c>
      <c r="J82" s="57" t="str">
        <f>IF(H82="-","-",H82/F82*I82)</f>
        <v>-</v>
      </c>
      <c r="K82" s="11" t="e">
        <f t="shared" ref="K82:K91" si="22">ABS($A$27*J82*3600)</f>
        <v>#REF!</v>
      </c>
      <c r="L82" s="97" t="e">
        <f t="shared" ref="L82:L91" si="23">ABS($A$28*J82*3600)</f>
        <v>#VALUE!</v>
      </c>
      <c r="M82" s="68">
        <v>20.7</v>
      </c>
      <c r="N82" s="80">
        <v>52</v>
      </c>
      <c r="O82" s="80">
        <v>1013.8</v>
      </c>
      <c r="P82" s="76">
        <v>-5.5610000000000001E-9</v>
      </c>
      <c r="Q82" s="80">
        <v>60</v>
      </c>
      <c r="R82" s="105">
        <v>42931</v>
      </c>
      <c r="S82" s="231">
        <f t="shared" ref="S82:S91" si="24">IF(AND(P82&lt;=$E$36,P82&gt;=$F$36),P82*$C$36,IF(AND(P82&lt;=$E$37,P82&gt;=$F$37),P82*$C$37,"rango cal. out"))</f>
        <v>-5.5665609999999993E-9</v>
      </c>
      <c r="T82" s="40">
        <f t="shared" ref="T82:T91" si="25">((273.2+M82)*$E$26/((273.2+$E$25)*O82))</f>
        <v>0.9950560817627313</v>
      </c>
      <c r="U82" s="57">
        <f>S82/Q82*T82*EXP(-LN(2)/10990*($E$60-R82))</f>
        <v>-8.3682583967689893E-11</v>
      </c>
      <c r="V82" s="11">
        <f>IF($J$92="-",U82,U82-$J$92)</f>
        <v>-8.3682583967689893E-11</v>
      </c>
      <c r="W82" s="11" t="e">
        <f t="shared" ref="W82" si="26">ABS($A$27*V82*3600)</f>
        <v>#REF!</v>
      </c>
      <c r="X82" s="65">
        <f t="shared" ref="X82" si="27">ABS($A$28*V82*3600)</f>
        <v>7.5916840175488274E-3</v>
      </c>
      <c r="Y82" s="111">
        <f t="shared" ref="Y82:Y91" si="28">X82*$B$51</f>
        <v>0.75916840175488276</v>
      </c>
      <c r="Z82" s="11">
        <f t="shared" ref="Z82:Z91" si="29">X82*$E$43</f>
        <v>9.1100208210585926E-3</v>
      </c>
      <c r="AA82" s="11">
        <f t="shared" ref="AA82:AA91" si="30">X82*$E$45</f>
        <v>9.1859376612340813E-3</v>
      </c>
      <c r="AB82" s="12">
        <f t="shared" ref="AB82:AB91" si="31">X82*$E$44</f>
        <v>9.4896050219360345E-3</v>
      </c>
    </row>
    <row r="83" spans="1:28" x14ac:dyDescent="0.25">
      <c r="A83" s="2626"/>
      <c r="B83" s="70" t="s">
        <v>93</v>
      </c>
      <c r="C83" s="70" t="s">
        <v>93</v>
      </c>
      <c r="D83" s="70" t="s">
        <v>93</v>
      </c>
      <c r="E83" s="70" t="s">
        <v>93</v>
      </c>
      <c r="F83" s="70" t="s">
        <v>93</v>
      </c>
      <c r="G83" s="70" t="s">
        <v>93</v>
      </c>
      <c r="H83" s="231" t="str">
        <f t="shared" ref="H83:H91" si="32">IF(E83="-","-",IF(AND(E83&lt;=$E$36,E83&gt;=$F$36),E83*$C$36,IF(AND(E83&lt;=$E$37,E83&gt;=$F$37),E83*$C$37,"rango cal. out")))</f>
        <v>-</v>
      </c>
      <c r="I83" s="38" t="e">
        <f t="shared" si="21"/>
        <v>#VALUE!</v>
      </c>
      <c r="J83" s="57" t="str">
        <f t="shared" ref="J83:J91" si="33">IF(H83="-","-",H83/F83*I83)</f>
        <v>-</v>
      </c>
      <c r="K83" s="58" t="e">
        <f t="shared" si="22"/>
        <v>#REF!</v>
      </c>
      <c r="L83" s="91" t="e">
        <f t="shared" si="23"/>
        <v>#VALUE!</v>
      </c>
      <c r="M83" s="69">
        <v>20.7</v>
      </c>
      <c r="N83" s="79">
        <v>52</v>
      </c>
      <c r="O83" s="79">
        <v>1013.8</v>
      </c>
      <c r="P83" s="70">
        <v>-5.5621000000000001E-9</v>
      </c>
      <c r="Q83" s="79">
        <v>60</v>
      </c>
      <c r="R83" s="92">
        <v>42931</v>
      </c>
      <c r="S83" s="231">
        <f t="shared" si="24"/>
        <v>-5.5676620999999996E-9</v>
      </c>
      <c r="T83" s="38">
        <f t="shared" si="25"/>
        <v>0.9950560817627313</v>
      </c>
      <c r="U83" s="74">
        <f>S83/Q83*T83*EXP(-LN(2)/10990*($E$60-R83))</f>
        <v>-8.3699136897444356E-11</v>
      </c>
      <c r="V83" s="11">
        <f t="shared" ref="V83:V91" si="34">IF($J$92="-",U83,U83-$J$92)</f>
        <v>-8.3699136897444356E-11</v>
      </c>
      <c r="W83" s="58" t="e">
        <f>ABS($A$27*V83*3600)</f>
        <v>#REF!</v>
      </c>
      <c r="X83" s="63">
        <f>ABS($A$28*V83*3600)</f>
        <v>7.5931856993361529E-3</v>
      </c>
      <c r="Y83" s="58">
        <f t="shared" si="28"/>
        <v>0.75931856993361524</v>
      </c>
      <c r="Z83" s="58">
        <f t="shared" si="29"/>
        <v>9.1118228392033825E-3</v>
      </c>
      <c r="AA83" s="58">
        <f t="shared" si="30"/>
        <v>9.1877546961967455E-3</v>
      </c>
      <c r="AB83" s="47">
        <f t="shared" si="31"/>
        <v>9.4914821241701905E-3</v>
      </c>
    </row>
    <row r="84" spans="1:28" x14ac:dyDescent="0.25">
      <c r="A84" s="2626"/>
      <c r="B84" s="70" t="s">
        <v>93</v>
      </c>
      <c r="C84" s="70" t="s">
        <v>93</v>
      </c>
      <c r="D84" s="70" t="s">
        <v>93</v>
      </c>
      <c r="E84" s="70" t="s">
        <v>93</v>
      </c>
      <c r="F84" s="70" t="s">
        <v>93</v>
      </c>
      <c r="G84" s="70" t="s">
        <v>93</v>
      </c>
      <c r="H84" s="231" t="str">
        <f t="shared" si="32"/>
        <v>-</v>
      </c>
      <c r="I84" s="38" t="e">
        <f t="shared" si="21"/>
        <v>#VALUE!</v>
      </c>
      <c r="J84" s="57" t="str">
        <f t="shared" si="33"/>
        <v>-</v>
      </c>
      <c r="K84" s="58" t="e">
        <f t="shared" si="22"/>
        <v>#REF!</v>
      </c>
      <c r="L84" s="91" t="e">
        <f t="shared" si="23"/>
        <v>#VALUE!</v>
      </c>
      <c r="M84" s="69">
        <v>20.7</v>
      </c>
      <c r="N84" s="79">
        <v>52</v>
      </c>
      <c r="O84" s="79">
        <v>1013.8</v>
      </c>
      <c r="P84" s="70">
        <v>-5.5619999999999996E-9</v>
      </c>
      <c r="Q84" s="79">
        <v>60</v>
      </c>
      <c r="R84" s="92">
        <v>42931</v>
      </c>
      <c r="S84" s="231">
        <f t="shared" si="24"/>
        <v>-5.5675619999999991E-9</v>
      </c>
      <c r="T84" s="38">
        <f t="shared" si="25"/>
        <v>0.9950560817627313</v>
      </c>
      <c r="U84" s="74">
        <f t="shared" ref="U84:U90" si="35">S84/Q84*T84*EXP(-LN(2)/10990*($E$60-R84))</f>
        <v>-8.3697632085648487E-11</v>
      </c>
      <c r="V84" s="11">
        <f t="shared" si="34"/>
        <v>-8.3697632085648487E-11</v>
      </c>
      <c r="W84" s="58" t="e">
        <f t="shared" ref="W84:W91" si="36">ABS($A$27*V84*3600)</f>
        <v>#REF!</v>
      </c>
      <c r="X84" s="63">
        <f t="shared" ref="X84:X91" si="37">ABS($A$28*V84*3600)</f>
        <v>7.5930491828100312E-3</v>
      </c>
      <c r="Y84" s="71">
        <f t="shared" si="28"/>
        <v>0.75930491828100311</v>
      </c>
      <c r="Z84" s="58">
        <f t="shared" si="29"/>
        <v>9.1116590193720363E-3</v>
      </c>
      <c r="AA84" s="58">
        <f t="shared" si="30"/>
        <v>9.1875895112001373E-3</v>
      </c>
      <c r="AB84" s="47">
        <f t="shared" si="31"/>
        <v>9.4913114785125392E-3</v>
      </c>
    </row>
    <row r="85" spans="1:28" x14ac:dyDescent="0.25">
      <c r="A85" s="2626"/>
      <c r="B85" s="70" t="s">
        <v>93</v>
      </c>
      <c r="C85" s="70" t="s">
        <v>93</v>
      </c>
      <c r="D85" s="70" t="s">
        <v>93</v>
      </c>
      <c r="E85" s="70" t="s">
        <v>93</v>
      </c>
      <c r="F85" s="70" t="s">
        <v>93</v>
      </c>
      <c r="G85" s="70" t="s">
        <v>93</v>
      </c>
      <c r="H85" s="231" t="str">
        <f t="shared" si="32"/>
        <v>-</v>
      </c>
      <c r="I85" s="38" t="e">
        <f t="shared" si="21"/>
        <v>#VALUE!</v>
      </c>
      <c r="J85" s="57" t="str">
        <f t="shared" si="33"/>
        <v>-</v>
      </c>
      <c r="K85" s="58" t="e">
        <f t="shared" si="22"/>
        <v>#REF!</v>
      </c>
      <c r="L85" s="91" t="e">
        <f t="shared" si="23"/>
        <v>#VALUE!</v>
      </c>
      <c r="M85" s="69">
        <v>20.7</v>
      </c>
      <c r="N85" s="79">
        <v>52</v>
      </c>
      <c r="O85" s="79">
        <v>1014</v>
      </c>
      <c r="P85" s="70">
        <v>-5.5619999999999996E-9</v>
      </c>
      <c r="Q85" s="79">
        <v>60</v>
      </c>
      <c r="R85" s="92">
        <v>42931</v>
      </c>
      <c r="S85" s="231">
        <f t="shared" si="24"/>
        <v>-5.5675619999999991E-9</v>
      </c>
      <c r="T85" s="38">
        <f t="shared" si="25"/>
        <v>0.99485981823575631</v>
      </c>
      <c r="U85" s="74">
        <f t="shared" si="35"/>
        <v>-8.3681123676953082E-11</v>
      </c>
      <c r="V85" s="11">
        <f t="shared" si="34"/>
        <v>-8.3681123676953082E-11</v>
      </c>
      <c r="W85" s="58" t="e">
        <f t="shared" si="36"/>
        <v>#REF!</v>
      </c>
      <c r="X85" s="63">
        <f t="shared" si="37"/>
        <v>7.5915515399731836E-3</v>
      </c>
      <c r="Y85" s="71">
        <f t="shared" si="28"/>
        <v>0.75915515399731837</v>
      </c>
      <c r="Z85" s="58">
        <f t="shared" si="29"/>
        <v>9.1098618479678196E-3</v>
      </c>
      <c r="AA85" s="58">
        <f t="shared" si="30"/>
        <v>9.1857773633675522E-3</v>
      </c>
      <c r="AB85" s="47">
        <f t="shared" si="31"/>
        <v>9.4894394249664792E-3</v>
      </c>
    </row>
    <row r="86" spans="1:28" x14ac:dyDescent="0.25">
      <c r="A86" s="2626"/>
      <c r="B86" s="70" t="s">
        <v>93</v>
      </c>
      <c r="C86" s="70" t="s">
        <v>93</v>
      </c>
      <c r="D86" s="70" t="s">
        <v>93</v>
      </c>
      <c r="E86" s="70" t="s">
        <v>93</v>
      </c>
      <c r="F86" s="70" t="s">
        <v>93</v>
      </c>
      <c r="G86" s="70" t="s">
        <v>93</v>
      </c>
      <c r="H86" s="231" t="str">
        <f t="shared" si="32"/>
        <v>-</v>
      </c>
      <c r="I86" s="38" t="e">
        <f t="shared" si="21"/>
        <v>#VALUE!</v>
      </c>
      <c r="J86" s="57" t="str">
        <f t="shared" si="33"/>
        <v>-</v>
      </c>
      <c r="K86" s="58" t="e">
        <f t="shared" si="22"/>
        <v>#REF!</v>
      </c>
      <c r="L86" s="91" t="e">
        <f t="shared" si="23"/>
        <v>#VALUE!</v>
      </c>
      <c r="M86" s="69">
        <v>20.7</v>
      </c>
      <c r="N86" s="79">
        <v>52</v>
      </c>
      <c r="O86" s="79">
        <v>1013.8</v>
      </c>
      <c r="P86" s="70">
        <v>-5.5640000000000002E-9</v>
      </c>
      <c r="Q86" s="79">
        <v>60</v>
      </c>
      <c r="R86" s="93">
        <v>42931</v>
      </c>
      <c r="S86" s="231">
        <f t="shared" si="24"/>
        <v>-5.5695639999999996E-9</v>
      </c>
      <c r="T86" s="38">
        <f t="shared" si="25"/>
        <v>0.9950560817627313</v>
      </c>
      <c r="U86" s="74">
        <f t="shared" si="35"/>
        <v>-8.372772832156566E-11</v>
      </c>
      <c r="V86" s="11">
        <f t="shared" si="34"/>
        <v>-8.372772832156566E-11</v>
      </c>
      <c r="W86" s="58" t="e">
        <f t="shared" si="36"/>
        <v>#REF!</v>
      </c>
      <c r="X86" s="63">
        <f t="shared" si="37"/>
        <v>7.5957795133324369E-3</v>
      </c>
      <c r="Y86" s="71">
        <f t="shared" si="28"/>
        <v>0.75957795133324368</v>
      </c>
      <c r="Z86" s="58">
        <f t="shared" si="29"/>
        <v>9.1149354159989239E-3</v>
      </c>
      <c r="AA86" s="58">
        <f t="shared" si="30"/>
        <v>9.1908932111322492E-3</v>
      </c>
      <c r="AB86" s="47">
        <f t="shared" si="31"/>
        <v>9.4947243916655467E-3</v>
      </c>
    </row>
    <row r="87" spans="1:28" x14ac:dyDescent="0.25">
      <c r="A87" s="2626"/>
      <c r="B87" s="70" t="s">
        <v>93</v>
      </c>
      <c r="C87" s="70" t="s">
        <v>93</v>
      </c>
      <c r="D87" s="70" t="s">
        <v>93</v>
      </c>
      <c r="E87" s="70" t="s">
        <v>93</v>
      </c>
      <c r="F87" s="70" t="s">
        <v>93</v>
      </c>
      <c r="G87" s="70" t="s">
        <v>93</v>
      </c>
      <c r="H87" s="231" t="str">
        <f t="shared" si="32"/>
        <v>-</v>
      </c>
      <c r="I87" s="38" t="e">
        <f t="shared" si="21"/>
        <v>#VALUE!</v>
      </c>
      <c r="J87" s="57" t="str">
        <f t="shared" si="33"/>
        <v>-</v>
      </c>
      <c r="K87" s="58" t="e">
        <f t="shared" si="22"/>
        <v>#REF!</v>
      </c>
      <c r="L87" s="91" t="e">
        <f t="shared" si="23"/>
        <v>#VALUE!</v>
      </c>
      <c r="M87" s="69">
        <v>20.7</v>
      </c>
      <c r="N87" s="79">
        <v>52</v>
      </c>
      <c r="O87" s="79">
        <v>1013.8</v>
      </c>
      <c r="P87" s="70">
        <v>-5.5640000000000002E-9</v>
      </c>
      <c r="Q87" s="79">
        <v>60</v>
      </c>
      <c r="R87" s="93">
        <v>42931</v>
      </c>
      <c r="S87" s="231">
        <f t="shared" si="24"/>
        <v>-5.5695639999999996E-9</v>
      </c>
      <c r="T87" s="38">
        <f t="shared" si="25"/>
        <v>0.9950560817627313</v>
      </c>
      <c r="U87" s="74">
        <f t="shared" si="35"/>
        <v>-8.372772832156566E-11</v>
      </c>
      <c r="V87" s="11">
        <f t="shared" si="34"/>
        <v>-8.372772832156566E-11</v>
      </c>
      <c r="W87" s="58" t="e">
        <f t="shared" si="36"/>
        <v>#REF!</v>
      </c>
      <c r="X87" s="63">
        <f t="shared" si="37"/>
        <v>7.5957795133324369E-3</v>
      </c>
      <c r="Y87" s="71">
        <f t="shared" si="28"/>
        <v>0.75957795133324368</v>
      </c>
      <c r="Z87" s="58">
        <f t="shared" si="29"/>
        <v>9.1149354159989239E-3</v>
      </c>
      <c r="AA87" s="58">
        <f t="shared" si="30"/>
        <v>9.1908932111322492E-3</v>
      </c>
      <c r="AB87" s="47">
        <f t="shared" si="31"/>
        <v>9.4947243916655467E-3</v>
      </c>
    </row>
    <row r="88" spans="1:28" x14ac:dyDescent="0.25">
      <c r="A88" s="2626"/>
      <c r="B88" s="70" t="s">
        <v>93</v>
      </c>
      <c r="C88" s="70" t="s">
        <v>93</v>
      </c>
      <c r="D88" s="70" t="s">
        <v>93</v>
      </c>
      <c r="E88" s="70" t="s">
        <v>93</v>
      </c>
      <c r="F88" s="70" t="s">
        <v>93</v>
      </c>
      <c r="G88" s="70" t="s">
        <v>93</v>
      </c>
      <c r="H88" s="231" t="str">
        <f t="shared" si="32"/>
        <v>-</v>
      </c>
      <c r="I88" s="38" t="e">
        <f t="shared" si="21"/>
        <v>#VALUE!</v>
      </c>
      <c r="J88" s="57" t="str">
        <f t="shared" si="33"/>
        <v>-</v>
      </c>
      <c r="K88" s="58" t="e">
        <f t="shared" si="22"/>
        <v>#REF!</v>
      </c>
      <c r="L88" s="91" t="e">
        <f t="shared" si="23"/>
        <v>#VALUE!</v>
      </c>
      <c r="M88" s="69">
        <v>20.7</v>
      </c>
      <c r="N88" s="79">
        <v>52</v>
      </c>
      <c r="O88" s="79">
        <v>1013.8</v>
      </c>
      <c r="P88" s="70">
        <v>-5.5649999999999997E-9</v>
      </c>
      <c r="Q88" s="79">
        <v>60</v>
      </c>
      <c r="R88" s="93">
        <v>42931</v>
      </c>
      <c r="S88" s="231">
        <f t="shared" si="24"/>
        <v>-5.5705649999999994E-9</v>
      </c>
      <c r="T88" s="38">
        <f t="shared" si="25"/>
        <v>0.9950560817627313</v>
      </c>
      <c r="U88" s="74">
        <f t="shared" si="35"/>
        <v>-8.3742776439524241E-11</v>
      </c>
      <c r="V88" s="11">
        <f t="shared" si="34"/>
        <v>-8.3742776439524241E-11</v>
      </c>
      <c r="W88" s="58" t="e">
        <f t="shared" si="36"/>
        <v>#REF!</v>
      </c>
      <c r="X88" s="63">
        <f t="shared" si="37"/>
        <v>7.5971446785936389E-3</v>
      </c>
      <c r="Y88" s="71">
        <f t="shared" si="28"/>
        <v>0.75971446785936392</v>
      </c>
      <c r="Z88" s="58">
        <f t="shared" si="29"/>
        <v>9.1165736143123659E-3</v>
      </c>
      <c r="AA88" s="58">
        <f t="shared" si="30"/>
        <v>9.1925450610983034E-3</v>
      </c>
      <c r="AB88" s="47">
        <f t="shared" si="31"/>
        <v>9.4964308482420479E-3</v>
      </c>
    </row>
    <row r="89" spans="1:28" x14ac:dyDescent="0.25">
      <c r="A89" s="2626"/>
      <c r="B89" s="70" t="s">
        <v>93</v>
      </c>
      <c r="C89" s="70" t="s">
        <v>93</v>
      </c>
      <c r="D89" s="70" t="s">
        <v>93</v>
      </c>
      <c r="E89" s="70" t="s">
        <v>93</v>
      </c>
      <c r="F89" s="70" t="s">
        <v>93</v>
      </c>
      <c r="G89" s="70" t="s">
        <v>93</v>
      </c>
      <c r="H89" s="231" t="str">
        <f t="shared" si="32"/>
        <v>-</v>
      </c>
      <c r="I89" s="38" t="e">
        <f t="shared" si="21"/>
        <v>#VALUE!</v>
      </c>
      <c r="J89" s="57" t="str">
        <f t="shared" si="33"/>
        <v>-</v>
      </c>
      <c r="K89" s="58" t="e">
        <f t="shared" si="22"/>
        <v>#REF!</v>
      </c>
      <c r="L89" s="91" t="e">
        <f t="shared" si="23"/>
        <v>#VALUE!</v>
      </c>
      <c r="M89" s="69">
        <v>20.7</v>
      </c>
      <c r="N89" s="79">
        <v>52</v>
      </c>
      <c r="O89" s="79">
        <v>1013.8</v>
      </c>
      <c r="P89" s="70">
        <v>-5.5629999999999999E-9</v>
      </c>
      <c r="Q89" s="79">
        <v>60</v>
      </c>
      <c r="R89" s="93">
        <v>42931</v>
      </c>
      <c r="S89" s="231">
        <f t="shared" si="24"/>
        <v>-5.5685629999999989E-9</v>
      </c>
      <c r="T89" s="38">
        <f t="shared" si="25"/>
        <v>0.9950560817627313</v>
      </c>
      <c r="U89" s="74">
        <f t="shared" si="35"/>
        <v>-8.3712680203607067E-11</v>
      </c>
      <c r="V89" s="11">
        <f t="shared" si="34"/>
        <v>-8.3712680203607067E-11</v>
      </c>
      <c r="W89" s="58" t="e">
        <f t="shared" si="36"/>
        <v>#REF!</v>
      </c>
      <c r="X89" s="63">
        <f t="shared" si="37"/>
        <v>7.5944143480712331E-3</v>
      </c>
      <c r="Y89" s="71">
        <f t="shared" si="28"/>
        <v>0.75944143480712334</v>
      </c>
      <c r="Z89" s="58">
        <f t="shared" si="29"/>
        <v>9.1132972176854801E-3</v>
      </c>
      <c r="AA89" s="58">
        <f t="shared" si="30"/>
        <v>9.1892413611661915E-3</v>
      </c>
      <c r="AB89" s="47">
        <f t="shared" si="31"/>
        <v>9.4930179350890421E-3</v>
      </c>
    </row>
    <row r="90" spans="1:28" x14ac:dyDescent="0.25">
      <c r="A90" s="2626"/>
      <c r="B90" s="70" t="s">
        <v>93</v>
      </c>
      <c r="C90" s="70" t="s">
        <v>93</v>
      </c>
      <c r="D90" s="70" t="s">
        <v>93</v>
      </c>
      <c r="E90" s="70" t="s">
        <v>93</v>
      </c>
      <c r="F90" s="70" t="s">
        <v>93</v>
      </c>
      <c r="G90" s="70" t="s">
        <v>93</v>
      </c>
      <c r="H90" s="231" t="str">
        <f t="shared" si="32"/>
        <v>-</v>
      </c>
      <c r="I90" s="38" t="e">
        <f t="shared" si="21"/>
        <v>#VALUE!</v>
      </c>
      <c r="J90" s="57" t="str">
        <f t="shared" si="33"/>
        <v>-</v>
      </c>
      <c r="K90" s="58" t="e">
        <f t="shared" si="22"/>
        <v>#REF!</v>
      </c>
      <c r="L90" s="91" t="e">
        <f t="shared" si="23"/>
        <v>#VALUE!</v>
      </c>
      <c r="M90" s="69">
        <v>20.7</v>
      </c>
      <c r="N90" s="79">
        <v>52</v>
      </c>
      <c r="O90" s="79">
        <v>1013.8</v>
      </c>
      <c r="P90" s="70">
        <v>-5.5629999999999999E-9</v>
      </c>
      <c r="Q90" s="79">
        <v>60</v>
      </c>
      <c r="R90" s="93">
        <v>42931</v>
      </c>
      <c r="S90" s="231">
        <f t="shared" si="24"/>
        <v>-5.5685629999999989E-9</v>
      </c>
      <c r="T90" s="38">
        <f t="shared" si="25"/>
        <v>0.9950560817627313</v>
      </c>
      <c r="U90" s="74">
        <f t="shared" si="35"/>
        <v>-8.3712680203607067E-11</v>
      </c>
      <c r="V90" s="11">
        <f t="shared" si="34"/>
        <v>-8.3712680203607067E-11</v>
      </c>
      <c r="W90" s="58" t="e">
        <f t="shared" si="36"/>
        <v>#REF!</v>
      </c>
      <c r="X90" s="63">
        <f t="shared" si="37"/>
        <v>7.5944143480712331E-3</v>
      </c>
      <c r="Y90" s="71">
        <f t="shared" si="28"/>
        <v>0.75944143480712334</v>
      </c>
      <c r="Z90" s="58">
        <f t="shared" si="29"/>
        <v>9.1132972176854801E-3</v>
      </c>
      <c r="AA90" s="58">
        <f t="shared" si="30"/>
        <v>9.1892413611661915E-3</v>
      </c>
      <c r="AB90" s="47">
        <f t="shared" si="31"/>
        <v>9.4930179350890421E-3</v>
      </c>
    </row>
    <row r="91" spans="1:28" ht="15.75" thickBot="1" x14ac:dyDescent="0.3">
      <c r="A91" s="2627"/>
      <c r="B91" s="58" t="s">
        <v>93</v>
      </c>
      <c r="C91" s="58" t="s">
        <v>93</v>
      </c>
      <c r="D91" s="58" t="s">
        <v>93</v>
      </c>
      <c r="E91" s="58" t="s">
        <v>93</v>
      </c>
      <c r="F91" s="58" t="s">
        <v>93</v>
      </c>
      <c r="G91" s="58" t="s">
        <v>93</v>
      </c>
      <c r="H91" s="231" t="str">
        <f t="shared" si="32"/>
        <v>-</v>
      </c>
      <c r="I91" s="38" t="e">
        <f t="shared" si="21"/>
        <v>#VALUE!</v>
      </c>
      <c r="J91" s="57" t="str">
        <f t="shared" si="33"/>
        <v>-</v>
      </c>
      <c r="K91" s="58" t="e">
        <f t="shared" si="22"/>
        <v>#REF!</v>
      </c>
      <c r="L91" s="91" t="e">
        <f t="shared" si="23"/>
        <v>#VALUE!</v>
      </c>
      <c r="M91" s="69">
        <v>20.7</v>
      </c>
      <c r="N91" s="79">
        <v>52</v>
      </c>
      <c r="O91" s="79">
        <v>1013.8</v>
      </c>
      <c r="P91" s="70">
        <v>-5.5619999999999996E-9</v>
      </c>
      <c r="Q91" s="79">
        <v>60</v>
      </c>
      <c r="R91" s="93">
        <v>42931</v>
      </c>
      <c r="S91" s="231">
        <f t="shared" si="24"/>
        <v>-5.5675619999999991E-9</v>
      </c>
      <c r="T91" s="38">
        <f t="shared" si="25"/>
        <v>0.9950560817627313</v>
      </c>
      <c r="U91" s="74">
        <f>S91/Q91*T91*EXP(-LN(2)/10990*($E$60-R91))</f>
        <v>-8.3697632085648487E-11</v>
      </c>
      <c r="V91" s="11">
        <f t="shared" si="34"/>
        <v>-8.3697632085648487E-11</v>
      </c>
      <c r="W91" s="11" t="e">
        <f t="shared" si="36"/>
        <v>#REF!</v>
      </c>
      <c r="X91" s="65">
        <f t="shared" si="37"/>
        <v>7.5930491828100312E-3</v>
      </c>
      <c r="Y91" s="71">
        <f t="shared" si="28"/>
        <v>0.75930491828100311</v>
      </c>
      <c r="Z91" s="58">
        <f t="shared" si="29"/>
        <v>9.1116590193720363E-3</v>
      </c>
      <c r="AA91" s="58">
        <f t="shared" si="30"/>
        <v>9.1875895112001373E-3</v>
      </c>
      <c r="AB91" s="47">
        <f t="shared" si="31"/>
        <v>9.4913114785125392E-3</v>
      </c>
    </row>
    <row r="92" spans="1:28" x14ac:dyDescent="0.25">
      <c r="A92" s="263" t="s">
        <v>61</v>
      </c>
      <c r="B92" s="39" t="e">
        <f>AVERAGE(B82:B91)</f>
        <v>#DIV/0!</v>
      </c>
      <c r="C92" s="242" t="e">
        <f>AVERAGE(C82:C91)</f>
        <v>#DIV/0!</v>
      </c>
      <c r="D92" s="239" t="e">
        <f>AVERAGE(D82:D91)</f>
        <v>#DIV/0!</v>
      </c>
      <c r="E92" s="11" t="e">
        <f>AVERAGE(E82:E91)</f>
        <v>#DIV/0!</v>
      </c>
      <c r="F92" s="236" t="e">
        <f>AVERAGE(F82:F91)</f>
        <v>#DIV/0!</v>
      </c>
      <c r="G92" s="90" t="s">
        <v>93</v>
      </c>
      <c r="H92" s="11" t="str">
        <f>IF(AND(H82="-",H83="-",H84="-",H85="-",H86="-",H87="-",H88="-",H89="-",H90="-",H91="-"),"-",AVERAGE(H82:H91))</f>
        <v>-</v>
      </c>
      <c r="I92" s="38" t="e">
        <f>AVERAGE(I82:I91)</f>
        <v>#VALUE!</v>
      </c>
      <c r="J92" s="75" t="str">
        <f>IF(AND(H82="-",H83="-",H84="-",H85="-",H86="-",H87="-",H88="-",H89="-",H90="-",H91="-"),"-",AVERAGE(J82:J91))</f>
        <v>-</v>
      </c>
      <c r="K92" s="73" t="e">
        <f t="shared" ref="K92:Q92" si="38">AVERAGE(K82:K91)</f>
        <v>#REF!</v>
      </c>
      <c r="L92" s="77" t="e">
        <f t="shared" si="38"/>
        <v>#VALUE!</v>
      </c>
      <c r="M92" s="243">
        <f t="shared" si="38"/>
        <v>20.699999999999996</v>
      </c>
      <c r="N92" s="232">
        <f t="shared" si="38"/>
        <v>52</v>
      </c>
      <c r="O92" s="232">
        <f t="shared" si="38"/>
        <v>1013.8199999999999</v>
      </c>
      <c r="P92" s="58">
        <f t="shared" si="38"/>
        <v>-5.5628099999999997E-9</v>
      </c>
      <c r="Q92" s="232">
        <f t="shared" si="38"/>
        <v>60</v>
      </c>
      <c r="R92" s="90" t="s">
        <v>93</v>
      </c>
      <c r="S92" s="11">
        <f t="shared" ref="S92:T92" si="39">AVERAGE(S82:S91)</f>
        <v>-5.5683728100000002E-9</v>
      </c>
      <c r="T92" s="38">
        <f t="shared" si="39"/>
        <v>0.99503645541003394</v>
      </c>
      <c r="U92" s="63">
        <f>AVERAGE(U82:U91)</f>
        <v>-8.370817022032539E-11</v>
      </c>
      <c r="V92" s="58">
        <f t="shared" ref="V92:AB92" si="40">AVERAGE(V82:V91)</f>
        <v>-8.370817022032539E-11</v>
      </c>
      <c r="W92" s="73" t="e">
        <f t="shared" si="40"/>
        <v>#REF!</v>
      </c>
      <c r="X92" s="75">
        <f t="shared" si="40"/>
        <v>7.5940052023879216E-3</v>
      </c>
      <c r="Y92" s="73">
        <f t="shared" si="40"/>
        <v>0.75940052023879212</v>
      </c>
      <c r="Z92" s="73">
        <f t="shared" si="40"/>
        <v>9.1128062428655031E-3</v>
      </c>
      <c r="AA92" s="73">
        <f t="shared" si="40"/>
        <v>9.1887462948893849E-3</v>
      </c>
      <c r="AB92" s="72">
        <f t="shared" si="40"/>
        <v>9.4925065029848998E-3</v>
      </c>
    </row>
    <row r="93" spans="1:28" x14ac:dyDescent="0.25">
      <c r="A93" s="263" t="s">
        <v>62</v>
      </c>
      <c r="B93" s="39">
        <f>STDEVA(B82:B91)</f>
        <v>0</v>
      </c>
      <c r="C93" s="41">
        <f>STDEVA(C82:C91)</f>
        <v>0</v>
      </c>
      <c r="D93" s="42">
        <f>STDEVA(D82:D91)</f>
        <v>0</v>
      </c>
      <c r="E93" s="11">
        <f>STDEVA(E82:E91)</f>
        <v>0</v>
      </c>
      <c r="F93" s="94">
        <f>STDEVA(F82:F91)</f>
        <v>0</v>
      </c>
      <c r="G93" s="40" t="s">
        <v>93</v>
      </c>
      <c r="H93" s="11" t="str">
        <f>IF(H92="-","-",STDEVA(H82:H91))</f>
        <v>-</v>
      </c>
      <c r="I93" s="40" t="e">
        <f t="shared" ref="I93" si="41">STDEVA(I82:I91)</f>
        <v>#VALUE!</v>
      </c>
      <c r="J93" s="63" t="str">
        <f>IF(J92="-","-",STDEVA(J82:J91))</f>
        <v>-</v>
      </c>
      <c r="K93" s="58" t="e">
        <f t="shared" ref="K93:Q93" si="42">STDEVA(K82:K91)</f>
        <v>#REF!</v>
      </c>
      <c r="L93" s="74" t="e">
        <f t="shared" si="42"/>
        <v>#VALUE!</v>
      </c>
      <c r="M93" s="82">
        <f t="shared" si="42"/>
        <v>3.7448890331484813E-15</v>
      </c>
      <c r="N93" s="38">
        <f t="shared" si="42"/>
        <v>0</v>
      </c>
      <c r="O93" s="38">
        <f t="shared" si="42"/>
        <v>6.3245553203381946E-2</v>
      </c>
      <c r="P93" s="58">
        <f t="shared" si="42"/>
        <v>1.2224292753911979E-12</v>
      </c>
      <c r="Q93" s="38">
        <f t="shared" si="42"/>
        <v>0</v>
      </c>
      <c r="R93" s="40" t="s">
        <v>93</v>
      </c>
      <c r="S93" s="11">
        <f t="shared" ref="S93:AB93" si="43">STDEVA(S82:S91)</f>
        <v>1.2236517046666068E-12</v>
      </c>
      <c r="T93" s="40">
        <f t="shared" si="43"/>
        <v>6.2063976685887594E-5</v>
      </c>
      <c r="U93" s="63">
        <f t="shared" si="43"/>
        <v>2.0257197002047687E-14</v>
      </c>
      <c r="V93" s="58">
        <f t="shared" si="43"/>
        <v>2.0257197002047687E-14</v>
      </c>
      <c r="W93" s="58" t="e">
        <f t="shared" si="43"/>
        <v>#REF!</v>
      </c>
      <c r="X93" s="63">
        <f t="shared" si="43"/>
        <v>1.8377329120256293E-6</v>
      </c>
      <c r="Y93" s="58">
        <f t="shared" si="43"/>
        <v>1.8377329120256914E-4</v>
      </c>
      <c r="Z93" s="58">
        <f t="shared" si="43"/>
        <v>2.2052794944308897E-6</v>
      </c>
      <c r="AA93" s="58">
        <f t="shared" si="43"/>
        <v>2.2236568235511649E-6</v>
      </c>
      <c r="AB93" s="47">
        <f t="shared" si="43"/>
        <v>2.2971661400320939E-6</v>
      </c>
    </row>
    <row r="94" spans="1:28" ht="15.75" thickBot="1" x14ac:dyDescent="0.3">
      <c r="A94" s="264" t="s">
        <v>63</v>
      </c>
      <c r="B94" s="44" t="e">
        <f>B93/B92*100</f>
        <v>#DIV/0!</v>
      </c>
      <c r="C94" s="45" t="e">
        <f>C93/C92*100</f>
        <v>#DIV/0!</v>
      </c>
      <c r="D94" s="46" t="e">
        <f>D93/D92*100</f>
        <v>#DIV/0!</v>
      </c>
      <c r="E94" s="43" t="e">
        <f>E93/E92*100</f>
        <v>#DIV/0!</v>
      </c>
      <c r="F94" s="95" t="e">
        <f>F93/F92*100</f>
        <v>#DIV/0!</v>
      </c>
      <c r="G94" s="43" t="s">
        <v>93</v>
      </c>
      <c r="H94" s="89" t="str">
        <f>IF(H92="-","-",H93/H92*100)</f>
        <v>-</v>
      </c>
      <c r="I94" s="43" t="e">
        <f t="shared" ref="I94" si="44">I93/I92*100</f>
        <v>#VALUE!</v>
      </c>
      <c r="J94" s="64" t="str">
        <f>IF(J92="-","-",J93/J92*100)</f>
        <v>-</v>
      </c>
      <c r="K94" s="19" t="e">
        <f t="shared" ref="K94:Q94" si="45">K93/K92*100</f>
        <v>#REF!</v>
      </c>
      <c r="L94" s="78" t="e">
        <f t="shared" si="45"/>
        <v>#VALUE!</v>
      </c>
      <c r="M94" s="83">
        <f t="shared" si="45"/>
        <v>1.8091251367867064E-14</v>
      </c>
      <c r="N94" s="81">
        <f t="shared" si="45"/>
        <v>0</v>
      </c>
      <c r="O94" s="81">
        <f t="shared" si="45"/>
        <v>6.238341441615074E-3</v>
      </c>
      <c r="P94" s="19">
        <f t="shared" si="45"/>
        <v>-2.1975031960307794E-2</v>
      </c>
      <c r="Q94" s="81">
        <f t="shared" si="45"/>
        <v>0</v>
      </c>
      <c r="R94" s="43" t="s">
        <v>93</v>
      </c>
      <c r="S94" s="89">
        <f t="shared" ref="S94:AB94" si="46">S93/S92*100</f>
        <v>-2.197503196030811E-2</v>
      </c>
      <c r="T94" s="43">
        <f t="shared" si="46"/>
        <v>6.2373570685219076E-3</v>
      </c>
      <c r="U94" s="64">
        <f t="shared" si="46"/>
        <v>-2.4199784738729108E-2</v>
      </c>
      <c r="V94" s="19">
        <f t="shared" si="46"/>
        <v>-2.4199784738729108E-2</v>
      </c>
      <c r="W94" s="19" t="e">
        <f t="shared" si="46"/>
        <v>#REF!</v>
      </c>
      <c r="X94" s="64">
        <f t="shared" si="46"/>
        <v>2.41997847387273E-2</v>
      </c>
      <c r="Y94" s="19">
        <f t="shared" si="46"/>
        <v>2.4199784738728119E-2</v>
      </c>
      <c r="Z94" s="19">
        <f t="shared" si="46"/>
        <v>2.4199784738728781E-2</v>
      </c>
      <c r="AA94" s="19">
        <f t="shared" si="46"/>
        <v>2.4199784738728969E-2</v>
      </c>
      <c r="AB94" s="17">
        <f t="shared" si="46"/>
        <v>2.4199784738727907E-2</v>
      </c>
    </row>
    <row r="95" spans="1:28" x14ac:dyDescent="0.25">
      <c r="A95" s="2625" t="s">
        <v>401</v>
      </c>
      <c r="B95" s="76" t="s">
        <v>93</v>
      </c>
      <c r="C95" s="76" t="s">
        <v>93</v>
      </c>
      <c r="D95" s="76" t="s">
        <v>93</v>
      </c>
      <c r="E95" s="76" t="s">
        <v>93</v>
      </c>
      <c r="F95" s="76" t="s">
        <v>93</v>
      </c>
      <c r="G95" s="76" t="s">
        <v>93</v>
      </c>
      <c r="H95" s="231" t="str">
        <f>IF(E95="-","-",IF(AND(E95&lt;=$E$36,E95&gt;=$F$36),E95*$C$36,IF(AND(E95&lt;=$E$37,E95&gt;=$F$37),E95*$C$37,"rango cal. out")))</f>
        <v>-</v>
      </c>
      <c r="I95" s="40" t="e">
        <f t="shared" ref="I95:I104" si="47">((273.2+B95)*$E$26/((273.2+$E$25)*D95))</f>
        <v>#VALUE!</v>
      </c>
      <c r="J95" s="57" t="str">
        <f>IF(H95="-","-",H95/F95*I95)</f>
        <v>-</v>
      </c>
      <c r="K95" s="11" t="e">
        <f t="shared" ref="K95:K104" si="48">ABS($A$27*J95*3600)</f>
        <v>#REF!</v>
      </c>
      <c r="L95" s="97" t="e">
        <f t="shared" ref="L95:L104" si="49">ABS($A$28*J95*3600)</f>
        <v>#VALUE!</v>
      </c>
      <c r="M95" s="68">
        <v>20.7</v>
      </c>
      <c r="N95" s="80">
        <v>52</v>
      </c>
      <c r="O95" s="80">
        <v>1014</v>
      </c>
      <c r="P95" s="76">
        <v>-5.5679999999999998E-9</v>
      </c>
      <c r="Q95" s="80">
        <v>60</v>
      </c>
      <c r="R95" s="105">
        <v>42931</v>
      </c>
      <c r="S95" s="231">
        <f t="shared" ref="S95:S104" si="50">IF(AND(P95&lt;=$E$36,P95&gt;=$F$36),P95*$C$36,IF(AND(P95&lt;=$E$37,P95&gt;=$F$37),P95*$C$37,"rango cal. out"))</f>
        <v>-5.5735679999999996E-9</v>
      </c>
      <c r="T95" s="40">
        <f t="shared" ref="T95:T104" si="51">((273.2+M95)*$E$26/((273.2+$E$25)*O95))</f>
        <v>0.99485981823575631</v>
      </c>
      <c r="U95" s="57">
        <f>S95/Q95*T95*EXP(-LN(2)/10990*($E$60-R95))</f>
        <v>-8.3771394576280967E-11</v>
      </c>
      <c r="V95" s="58">
        <f t="shared" ref="V95:V98" si="52">IF($J$105="-",U95,U95-$J$105)</f>
        <v>-8.3771394576280967E-11</v>
      </c>
      <c r="W95" s="11" t="e">
        <f t="shared" ref="W95" si="53">ABS($A$27*V95*3600)</f>
        <v>#REF!</v>
      </c>
      <c r="X95" s="65">
        <f t="shared" ref="X95" si="54">ABS($A$28*V95*3600)</f>
        <v>7.5997409159602094E-3</v>
      </c>
      <c r="Y95" s="111">
        <f t="shared" ref="Y95:Y104" si="55">X95*$B$51</f>
        <v>0.75997409159602092</v>
      </c>
      <c r="Z95" s="11">
        <f t="shared" ref="Z95:Z104" si="56">X95*$E$43</f>
        <v>9.1196890991522509E-3</v>
      </c>
      <c r="AA95" s="11">
        <f t="shared" ref="AA95:AA104" si="57">X95*$E$45</f>
        <v>9.1956865083118525E-3</v>
      </c>
      <c r="AB95" s="12">
        <f t="shared" ref="AB95:AB104" si="58">X95*$E$44</f>
        <v>9.4996761449502622E-3</v>
      </c>
    </row>
    <row r="96" spans="1:28" x14ac:dyDescent="0.25">
      <c r="A96" s="2626"/>
      <c r="B96" s="70" t="s">
        <v>93</v>
      </c>
      <c r="C96" s="70" t="s">
        <v>93</v>
      </c>
      <c r="D96" s="70" t="s">
        <v>93</v>
      </c>
      <c r="E96" s="70" t="s">
        <v>93</v>
      </c>
      <c r="F96" s="70" t="s">
        <v>93</v>
      </c>
      <c r="G96" s="70" t="s">
        <v>93</v>
      </c>
      <c r="H96" s="231" t="str">
        <f t="shared" ref="H96:H104" si="59">IF(E96="-","-",IF(AND(E96&lt;=$E$36,E96&gt;=$F$36),E96*$C$36,IF(AND(E96&lt;=$E$37,E96&gt;=$F$37),E96*$C$37,"rango cal. out")))</f>
        <v>-</v>
      </c>
      <c r="I96" s="38" t="e">
        <f t="shared" si="47"/>
        <v>#VALUE!</v>
      </c>
      <c r="J96" s="57" t="str">
        <f t="shared" ref="J96:J104" si="60">IF(H96="-","-",H96/F96*I96)</f>
        <v>-</v>
      </c>
      <c r="K96" s="58" t="e">
        <f t="shared" si="48"/>
        <v>#REF!</v>
      </c>
      <c r="L96" s="91" t="e">
        <f t="shared" si="49"/>
        <v>#VALUE!</v>
      </c>
      <c r="M96" s="69">
        <v>20.7</v>
      </c>
      <c r="N96" s="79">
        <v>52</v>
      </c>
      <c r="O96" s="79">
        <v>1014</v>
      </c>
      <c r="P96" s="70">
        <v>-5.5679999999999998E-9</v>
      </c>
      <c r="Q96" s="79">
        <v>60</v>
      </c>
      <c r="R96" s="92">
        <v>42931</v>
      </c>
      <c r="S96" s="231">
        <f t="shared" si="50"/>
        <v>-5.5735679999999996E-9</v>
      </c>
      <c r="T96" s="38">
        <f t="shared" si="51"/>
        <v>0.99485981823575631</v>
      </c>
      <c r="U96" s="74">
        <f>S96/Q96*T96*EXP(-LN(2)/10990*($E$60-R96))</f>
        <v>-8.3771394576280967E-11</v>
      </c>
      <c r="V96" s="58">
        <f t="shared" si="52"/>
        <v>-8.3771394576280967E-11</v>
      </c>
      <c r="W96" s="58" t="e">
        <f>ABS($A$27*V96*3600)</f>
        <v>#REF!</v>
      </c>
      <c r="X96" s="63">
        <f>ABS($A$28*V96*3600)</f>
        <v>7.5997409159602094E-3</v>
      </c>
      <c r="Y96" s="58">
        <f t="shared" si="55"/>
        <v>0.75997409159602092</v>
      </c>
      <c r="Z96" s="58">
        <f t="shared" si="56"/>
        <v>9.1196890991522509E-3</v>
      </c>
      <c r="AA96" s="58">
        <f t="shared" si="57"/>
        <v>9.1956865083118525E-3</v>
      </c>
      <c r="AB96" s="47">
        <f t="shared" si="58"/>
        <v>9.4996761449502622E-3</v>
      </c>
    </row>
    <row r="97" spans="1:28" x14ac:dyDescent="0.25">
      <c r="A97" s="2626"/>
      <c r="B97" s="70" t="s">
        <v>93</v>
      </c>
      <c r="C97" s="70" t="s">
        <v>93</v>
      </c>
      <c r="D97" s="70" t="s">
        <v>93</v>
      </c>
      <c r="E97" s="70" t="s">
        <v>93</v>
      </c>
      <c r="F97" s="70" t="s">
        <v>93</v>
      </c>
      <c r="G97" s="70" t="s">
        <v>93</v>
      </c>
      <c r="H97" s="231" t="str">
        <f t="shared" si="59"/>
        <v>-</v>
      </c>
      <c r="I97" s="38" t="e">
        <f t="shared" si="47"/>
        <v>#VALUE!</v>
      </c>
      <c r="J97" s="57" t="str">
        <f t="shared" si="60"/>
        <v>-</v>
      </c>
      <c r="K97" s="58" t="e">
        <f t="shared" si="48"/>
        <v>#REF!</v>
      </c>
      <c r="L97" s="91" t="e">
        <f t="shared" si="49"/>
        <v>#VALUE!</v>
      </c>
      <c r="M97" s="69">
        <v>20.7</v>
      </c>
      <c r="N97" s="79">
        <v>52</v>
      </c>
      <c r="O97" s="79">
        <v>1014</v>
      </c>
      <c r="P97" s="70">
        <v>-5.5690000000000001E-9</v>
      </c>
      <c r="Q97" s="79">
        <v>60</v>
      </c>
      <c r="R97" s="92">
        <v>42931</v>
      </c>
      <c r="S97" s="231">
        <f t="shared" si="50"/>
        <v>-5.5745689999999994E-9</v>
      </c>
      <c r="T97" s="38">
        <f t="shared" si="51"/>
        <v>0.99485981823575631</v>
      </c>
      <c r="U97" s="74">
        <f t="shared" ref="U97:U103" si="61">S97/Q97*T97*EXP(-LN(2)/10990*($E$60-R97))</f>
        <v>-8.3786439726168956E-11</v>
      </c>
      <c r="V97" s="58">
        <f t="shared" si="52"/>
        <v>-8.3786439726168956E-11</v>
      </c>
      <c r="W97" s="58" t="e">
        <f t="shared" ref="W97:W104" si="62">ABS($A$27*V97*3600)</f>
        <v>#REF!</v>
      </c>
      <c r="X97" s="63">
        <f t="shared" ref="X97:X104" si="63">ABS($A$28*V97*3600)</f>
        <v>7.601105811958048E-3</v>
      </c>
      <c r="Y97" s="71">
        <f t="shared" si="55"/>
        <v>0.76011058119580477</v>
      </c>
      <c r="Z97" s="58">
        <f t="shared" si="56"/>
        <v>9.1213269743496573E-3</v>
      </c>
      <c r="AA97" s="58">
        <f t="shared" si="57"/>
        <v>9.1973380324692385E-3</v>
      </c>
      <c r="AB97" s="47">
        <f t="shared" si="58"/>
        <v>9.5013822649475596E-3</v>
      </c>
    </row>
    <row r="98" spans="1:28" x14ac:dyDescent="0.25">
      <c r="A98" s="2626"/>
      <c r="B98" s="70" t="s">
        <v>93</v>
      </c>
      <c r="C98" s="70" t="s">
        <v>93</v>
      </c>
      <c r="D98" s="70" t="s">
        <v>93</v>
      </c>
      <c r="E98" s="70" t="s">
        <v>93</v>
      </c>
      <c r="F98" s="70" t="s">
        <v>93</v>
      </c>
      <c r="G98" s="70" t="s">
        <v>93</v>
      </c>
      <c r="H98" s="231" t="str">
        <f t="shared" si="59"/>
        <v>-</v>
      </c>
      <c r="I98" s="38" t="e">
        <f t="shared" si="47"/>
        <v>#VALUE!</v>
      </c>
      <c r="J98" s="57" t="str">
        <f t="shared" si="60"/>
        <v>-</v>
      </c>
      <c r="K98" s="58" t="e">
        <f t="shared" si="48"/>
        <v>#REF!</v>
      </c>
      <c r="L98" s="91" t="e">
        <f t="shared" si="49"/>
        <v>#VALUE!</v>
      </c>
      <c r="M98" s="69">
        <v>20.7</v>
      </c>
      <c r="N98" s="79">
        <v>52</v>
      </c>
      <c r="O98" s="79">
        <v>1014</v>
      </c>
      <c r="P98" s="70">
        <v>-5.5679999999999998E-9</v>
      </c>
      <c r="Q98" s="79">
        <v>60</v>
      </c>
      <c r="R98" s="92">
        <v>42931</v>
      </c>
      <c r="S98" s="231">
        <f t="shared" si="50"/>
        <v>-5.5735679999999996E-9</v>
      </c>
      <c r="T98" s="38">
        <f t="shared" si="51"/>
        <v>0.99485981823575631</v>
      </c>
      <c r="U98" s="74">
        <f t="shared" si="61"/>
        <v>-8.3771394576280967E-11</v>
      </c>
      <c r="V98" s="58">
        <f t="shared" si="52"/>
        <v>-8.3771394576280967E-11</v>
      </c>
      <c r="W98" s="58" t="e">
        <f t="shared" si="62"/>
        <v>#REF!</v>
      </c>
      <c r="X98" s="63">
        <f t="shared" si="63"/>
        <v>7.5997409159602094E-3</v>
      </c>
      <c r="Y98" s="71">
        <f t="shared" si="55"/>
        <v>0.75997409159602092</v>
      </c>
      <c r="Z98" s="58">
        <f t="shared" si="56"/>
        <v>9.1196890991522509E-3</v>
      </c>
      <c r="AA98" s="58">
        <f t="shared" si="57"/>
        <v>9.1956865083118525E-3</v>
      </c>
      <c r="AB98" s="47">
        <f t="shared" si="58"/>
        <v>9.4996761449502622E-3</v>
      </c>
    </row>
    <row r="99" spans="1:28" x14ac:dyDescent="0.25">
      <c r="A99" s="2626"/>
      <c r="B99" s="70" t="s">
        <v>93</v>
      </c>
      <c r="C99" s="70" t="s">
        <v>93</v>
      </c>
      <c r="D99" s="70" t="s">
        <v>93</v>
      </c>
      <c r="E99" s="70" t="s">
        <v>93</v>
      </c>
      <c r="F99" s="70" t="s">
        <v>93</v>
      </c>
      <c r="G99" s="70" t="s">
        <v>93</v>
      </c>
      <c r="H99" s="231" t="str">
        <f t="shared" si="59"/>
        <v>-</v>
      </c>
      <c r="I99" s="38" t="e">
        <f t="shared" si="47"/>
        <v>#VALUE!</v>
      </c>
      <c r="J99" s="57" t="str">
        <f t="shared" si="60"/>
        <v>-</v>
      </c>
      <c r="K99" s="58" t="e">
        <f t="shared" si="48"/>
        <v>#REF!</v>
      </c>
      <c r="L99" s="91" t="e">
        <f t="shared" si="49"/>
        <v>#VALUE!</v>
      </c>
      <c r="M99" s="69">
        <v>20.7</v>
      </c>
      <c r="N99" s="79">
        <v>52</v>
      </c>
      <c r="O99" s="79">
        <v>1014</v>
      </c>
      <c r="P99" s="70">
        <v>-5.5729999999999997E-9</v>
      </c>
      <c r="Q99" s="79">
        <v>60</v>
      </c>
      <c r="R99" s="93">
        <v>42931</v>
      </c>
      <c r="S99" s="231">
        <f t="shared" si="50"/>
        <v>-5.5785729999999994E-9</v>
      </c>
      <c r="T99" s="38">
        <f t="shared" si="51"/>
        <v>0.99485981823575631</v>
      </c>
      <c r="U99" s="74">
        <f t="shared" si="61"/>
        <v>-8.3846620325720888E-11</v>
      </c>
      <c r="V99" s="58">
        <f>IF($J$105="-",U99,U99-$J$105)</f>
        <v>-8.3846620325720888E-11</v>
      </c>
      <c r="W99" s="58" t="e">
        <f t="shared" si="62"/>
        <v>#REF!</v>
      </c>
      <c r="X99" s="63">
        <f t="shared" si="63"/>
        <v>7.6065653959493983E-3</v>
      </c>
      <c r="Y99" s="71">
        <f t="shared" si="55"/>
        <v>0.76065653959493984</v>
      </c>
      <c r="Z99" s="58">
        <f t="shared" si="56"/>
        <v>9.1278784751392776E-3</v>
      </c>
      <c r="AA99" s="58">
        <f t="shared" si="57"/>
        <v>9.203944129098772E-3</v>
      </c>
      <c r="AB99" s="47">
        <f t="shared" si="58"/>
        <v>9.5082067449367477E-3</v>
      </c>
    </row>
    <row r="100" spans="1:28" x14ac:dyDescent="0.25">
      <c r="A100" s="2626"/>
      <c r="B100" s="70" t="s">
        <v>93</v>
      </c>
      <c r="C100" s="70" t="s">
        <v>93</v>
      </c>
      <c r="D100" s="70" t="s">
        <v>93</v>
      </c>
      <c r="E100" s="70" t="s">
        <v>93</v>
      </c>
      <c r="F100" s="70" t="s">
        <v>93</v>
      </c>
      <c r="G100" s="70" t="s">
        <v>93</v>
      </c>
      <c r="H100" s="231" t="str">
        <f t="shared" si="59"/>
        <v>-</v>
      </c>
      <c r="I100" s="38" t="e">
        <f t="shared" si="47"/>
        <v>#VALUE!</v>
      </c>
      <c r="J100" s="57" t="str">
        <f t="shared" si="60"/>
        <v>-</v>
      </c>
      <c r="K100" s="58" t="e">
        <f t="shared" si="48"/>
        <v>#REF!</v>
      </c>
      <c r="L100" s="91" t="e">
        <f t="shared" si="49"/>
        <v>#VALUE!</v>
      </c>
      <c r="M100" s="69">
        <v>20.7</v>
      </c>
      <c r="N100" s="79">
        <v>52</v>
      </c>
      <c r="O100" s="79">
        <v>1014</v>
      </c>
      <c r="P100" s="70">
        <v>-5.5690000000000001E-9</v>
      </c>
      <c r="Q100" s="79">
        <v>60</v>
      </c>
      <c r="R100" s="93">
        <v>42931</v>
      </c>
      <c r="S100" s="231">
        <f t="shared" si="50"/>
        <v>-5.5745689999999994E-9</v>
      </c>
      <c r="T100" s="38">
        <f t="shared" si="51"/>
        <v>0.99485981823575631</v>
      </c>
      <c r="U100" s="74">
        <f t="shared" si="61"/>
        <v>-8.3786439726168956E-11</v>
      </c>
      <c r="V100" s="58">
        <f t="shared" ref="V100:V104" si="64">IF($J$105="-",U100,U100-$J$105)</f>
        <v>-8.3786439726168956E-11</v>
      </c>
      <c r="W100" s="58" t="e">
        <f t="shared" si="62"/>
        <v>#REF!</v>
      </c>
      <c r="X100" s="63">
        <f t="shared" si="63"/>
        <v>7.601105811958048E-3</v>
      </c>
      <c r="Y100" s="71">
        <f t="shared" si="55"/>
        <v>0.76011058119580477</v>
      </c>
      <c r="Z100" s="58">
        <f t="shared" si="56"/>
        <v>9.1213269743496573E-3</v>
      </c>
      <c r="AA100" s="58">
        <f t="shared" si="57"/>
        <v>9.1973380324692385E-3</v>
      </c>
      <c r="AB100" s="47">
        <f t="shared" si="58"/>
        <v>9.5013822649475596E-3</v>
      </c>
    </row>
    <row r="101" spans="1:28" x14ac:dyDescent="0.25">
      <c r="A101" s="2626"/>
      <c r="B101" s="70" t="s">
        <v>93</v>
      </c>
      <c r="C101" s="70" t="s">
        <v>93</v>
      </c>
      <c r="D101" s="70" t="s">
        <v>93</v>
      </c>
      <c r="E101" s="70" t="s">
        <v>93</v>
      </c>
      <c r="F101" s="70" t="s">
        <v>93</v>
      </c>
      <c r="G101" s="70" t="s">
        <v>93</v>
      </c>
      <c r="H101" s="231" t="str">
        <f t="shared" si="59"/>
        <v>-</v>
      </c>
      <c r="I101" s="38" t="e">
        <f t="shared" si="47"/>
        <v>#VALUE!</v>
      </c>
      <c r="J101" s="57" t="str">
        <f t="shared" si="60"/>
        <v>-</v>
      </c>
      <c r="K101" s="58" t="e">
        <f t="shared" si="48"/>
        <v>#REF!</v>
      </c>
      <c r="L101" s="91" t="e">
        <f t="shared" si="49"/>
        <v>#VALUE!</v>
      </c>
      <c r="M101" s="69">
        <v>20.7</v>
      </c>
      <c r="N101" s="79">
        <v>52</v>
      </c>
      <c r="O101" s="79">
        <v>1014</v>
      </c>
      <c r="P101" s="70">
        <v>-5.5690000000000001E-9</v>
      </c>
      <c r="Q101" s="79">
        <v>60</v>
      </c>
      <c r="R101" s="93">
        <v>42931</v>
      </c>
      <c r="S101" s="231">
        <f t="shared" si="50"/>
        <v>-5.5745689999999994E-9</v>
      </c>
      <c r="T101" s="38">
        <f t="shared" si="51"/>
        <v>0.99485981823575631</v>
      </c>
      <c r="U101" s="74">
        <f t="shared" si="61"/>
        <v>-8.3786439726168956E-11</v>
      </c>
      <c r="V101" s="58">
        <f t="shared" si="64"/>
        <v>-8.3786439726168956E-11</v>
      </c>
      <c r="W101" s="58" t="e">
        <f t="shared" si="62"/>
        <v>#REF!</v>
      </c>
      <c r="X101" s="63">
        <f t="shared" si="63"/>
        <v>7.601105811958048E-3</v>
      </c>
      <c r="Y101" s="71">
        <f t="shared" si="55"/>
        <v>0.76011058119580477</v>
      </c>
      <c r="Z101" s="58">
        <f t="shared" si="56"/>
        <v>9.1213269743496573E-3</v>
      </c>
      <c r="AA101" s="58">
        <f t="shared" si="57"/>
        <v>9.1973380324692385E-3</v>
      </c>
      <c r="AB101" s="47">
        <f t="shared" si="58"/>
        <v>9.5013822649475596E-3</v>
      </c>
    </row>
    <row r="102" spans="1:28" x14ac:dyDescent="0.25">
      <c r="A102" s="2626"/>
      <c r="B102" s="70" t="s">
        <v>93</v>
      </c>
      <c r="C102" s="70" t="s">
        <v>93</v>
      </c>
      <c r="D102" s="70" t="s">
        <v>93</v>
      </c>
      <c r="E102" s="70" t="s">
        <v>93</v>
      </c>
      <c r="F102" s="70" t="s">
        <v>93</v>
      </c>
      <c r="G102" s="70" t="s">
        <v>93</v>
      </c>
      <c r="H102" s="231" t="str">
        <f t="shared" si="59"/>
        <v>-</v>
      </c>
      <c r="I102" s="38" t="e">
        <f t="shared" si="47"/>
        <v>#VALUE!</v>
      </c>
      <c r="J102" s="57" t="str">
        <f t="shared" si="60"/>
        <v>-</v>
      </c>
      <c r="K102" s="58" t="e">
        <f t="shared" si="48"/>
        <v>#REF!</v>
      </c>
      <c r="L102" s="91" t="e">
        <f t="shared" si="49"/>
        <v>#VALUE!</v>
      </c>
      <c r="M102" s="69">
        <v>20.7</v>
      </c>
      <c r="N102" s="79">
        <v>52</v>
      </c>
      <c r="O102" s="79">
        <v>1014</v>
      </c>
      <c r="P102" s="70">
        <v>-5.5709999999999999E-9</v>
      </c>
      <c r="Q102" s="79">
        <v>60</v>
      </c>
      <c r="R102" s="93">
        <v>42931</v>
      </c>
      <c r="S102" s="231">
        <f t="shared" si="50"/>
        <v>-5.576570999999999E-9</v>
      </c>
      <c r="T102" s="38">
        <f t="shared" si="51"/>
        <v>0.99485981823575631</v>
      </c>
      <c r="U102" s="74">
        <f t="shared" si="61"/>
        <v>-8.3816530025944909E-11</v>
      </c>
      <c r="V102" s="58">
        <f t="shared" si="64"/>
        <v>-8.3816530025944909E-11</v>
      </c>
      <c r="W102" s="58" t="e">
        <f t="shared" si="62"/>
        <v>#REF!</v>
      </c>
      <c r="X102" s="63">
        <f t="shared" si="63"/>
        <v>7.6038356039537219E-3</v>
      </c>
      <c r="Y102" s="71">
        <f t="shared" si="55"/>
        <v>0.76038356039537214</v>
      </c>
      <c r="Z102" s="58">
        <f t="shared" si="56"/>
        <v>9.1246027247444666E-3</v>
      </c>
      <c r="AA102" s="58">
        <f t="shared" si="57"/>
        <v>9.2006410807840035E-3</v>
      </c>
      <c r="AB102" s="47">
        <f t="shared" si="58"/>
        <v>9.5047945049421528E-3</v>
      </c>
    </row>
    <row r="103" spans="1:28" x14ac:dyDescent="0.25">
      <c r="A103" s="2626"/>
      <c r="B103" s="70" t="s">
        <v>93</v>
      </c>
      <c r="C103" s="70" t="s">
        <v>93</v>
      </c>
      <c r="D103" s="70" t="s">
        <v>93</v>
      </c>
      <c r="E103" s="70" t="s">
        <v>93</v>
      </c>
      <c r="F103" s="70" t="s">
        <v>93</v>
      </c>
      <c r="G103" s="70" t="s">
        <v>93</v>
      </c>
      <c r="H103" s="231" t="str">
        <f t="shared" si="59"/>
        <v>-</v>
      </c>
      <c r="I103" s="38" t="e">
        <f t="shared" si="47"/>
        <v>#VALUE!</v>
      </c>
      <c r="J103" s="57" t="str">
        <f t="shared" si="60"/>
        <v>-</v>
      </c>
      <c r="K103" s="58" t="e">
        <f t="shared" si="48"/>
        <v>#REF!</v>
      </c>
      <c r="L103" s="91" t="e">
        <f t="shared" si="49"/>
        <v>#VALUE!</v>
      </c>
      <c r="M103" s="69">
        <v>20.7</v>
      </c>
      <c r="N103" s="79">
        <v>52</v>
      </c>
      <c r="O103" s="79">
        <v>1014</v>
      </c>
      <c r="P103" s="70">
        <v>-5.574E-9</v>
      </c>
      <c r="Q103" s="79">
        <v>60</v>
      </c>
      <c r="R103" s="93">
        <v>42931</v>
      </c>
      <c r="S103" s="231">
        <f t="shared" si="50"/>
        <v>-5.5795739999999992E-9</v>
      </c>
      <c r="T103" s="38">
        <f t="shared" si="51"/>
        <v>0.99485981823575631</v>
      </c>
      <c r="U103" s="74">
        <f t="shared" si="61"/>
        <v>-8.3861665475608864E-11</v>
      </c>
      <c r="V103" s="58">
        <f t="shared" si="64"/>
        <v>-8.3861665475608864E-11</v>
      </c>
      <c r="W103" s="58" t="e">
        <f t="shared" si="62"/>
        <v>#REF!</v>
      </c>
      <c r="X103" s="63">
        <f t="shared" si="63"/>
        <v>7.6079302919472352E-3</v>
      </c>
      <c r="Y103" s="71">
        <f t="shared" si="55"/>
        <v>0.76079302919472347</v>
      </c>
      <c r="Z103" s="58">
        <f t="shared" si="56"/>
        <v>9.1295163503366823E-3</v>
      </c>
      <c r="AA103" s="58">
        <f t="shared" si="57"/>
        <v>9.2055956532561545E-3</v>
      </c>
      <c r="AB103" s="47">
        <f t="shared" si="58"/>
        <v>9.5099128649340434E-3</v>
      </c>
    </row>
    <row r="104" spans="1:28" ht="15.75" thickBot="1" x14ac:dyDescent="0.3">
      <c r="A104" s="2627"/>
      <c r="B104" s="58" t="s">
        <v>93</v>
      </c>
      <c r="C104" s="58" t="s">
        <v>93</v>
      </c>
      <c r="D104" s="58" t="s">
        <v>93</v>
      </c>
      <c r="E104" s="58" t="s">
        <v>93</v>
      </c>
      <c r="F104" s="58" t="s">
        <v>93</v>
      </c>
      <c r="G104" s="58" t="s">
        <v>93</v>
      </c>
      <c r="H104" s="231" t="str">
        <f t="shared" si="59"/>
        <v>-</v>
      </c>
      <c r="I104" s="38" t="e">
        <f t="shared" si="47"/>
        <v>#VALUE!</v>
      </c>
      <c r="J104" s="57" t="str">
        <f t="shared" si="60"/>
        <v>-</v>
      </c>
      <c r="K104" s="58" t="e">
        <f t="shared" si="48"/>
        <v>#REF!</v>
      </c>
      <c r="L104" s="91" t="e">
        <f t="shared" si="49"/>
        <v>#VALUE!</v>
      </c>
      <c r="M104" s="69">
        <v>20.7</v>
      </c>
      <c r="N104" s="79">
        <v>52</v>
      </c>
      <c r="O104" s="79">
        <v>1014</v>
      </c>
      <c r="P104" s="70">
        <v>-5.5729999999999997E-9</v>
      </c>
      <c r="Q104" s="79">
        <v>60</v>
      </c>
      <c r="R104" s="93">
        <v>42931</v>
      </c>
      <c r="S104" s="231">
        <f t="shared" si="50"/>
        <v>-5.5785729999999994E-9</v>
      </c>
      <c r="T104" s="38">
        <f t="shared" si="51"/>
        <v>0.99485981823575631</v>
      </c>
      <c r="U104" s="74">
        <f>S104/Q104*T104*EXP(-LN(2)/10990*($E$60-R104))</f>
        <v>-8.3846620325720888E-11</v>
      </c>
      <c r="V104" s="58">
        <f t="shared" si="64"/>
        <v>-8.3846620325720888E-11</v>
      </c>
      <c r="W104" s="11" t="e">
        <f t="shared" si="62"/>
        <v>#REF!</v>
      </c>
      <c r="X104" s="65">
        <f t="shared" si="63"/>
        <v>7.6065653959493983E-3</v>
      </c>
      <c r="Y104" s="71">
        <f t="shared" si="55"/>
        <v>0.76065653959493984</v>
      </c>
      <c r="Z104" s="58">
        <f t="shared" si="56"/>
        <v>9.1278784751392776E-3</v>
      </c>
      <c r="AA104" s="58">
        <f t="shared" si="57"/>
        <v>9.203944129098772E-3</v>
      </c>
      <c r="AB104" s="47">
        <f t="shared" si="58"/>
        <v>9.5082067449367477E-3</v>
      </c>
    </row>
    <row r="105" spans="1:28" x14ac:dyDescent="0.25">
      <c r="A105" s="263" t="s">
        <v>61</v>
      </c>
      <c r="B105" s="39" t="e">
        <f>AVERAGE(B95:B104)</f>
        <v>#DIV/0!</v>
      </c>
      <c r="C105" s="242" t="e">
        <f>AVERAGE(C95:C104)</f>
        <v>#DIV/0!</v>
      </c>
      <c r="D105" s="239" t="e">
        <f>AVERAGE(D95:D104)</f>
        <v>#DIV/0!</v>
      </c>
      <c r="E105" s="11" t="e">
        <f>AVERAGE(E95:E104)</f>
        <v>#DIV/0!</v>
      </c>
      <c r="F105" s="236" t="e">
        <f>AVERAGE(F95:F104)</f>
        <v>#DIV/0!</v>
      </c>
      <c r="G105" s="90" t="s">
        <v>93</v>
      </c>
      <c r="H105" s="11" t="str">
        <f>IF(AND(H95="-",H96="-",H97="-",H98="-",H99="-",H100="-",H101="-",H102="-",H103="-",H104="-"),"-",AVERAGE(H95:H104))</f>
        <v>-</v>
      </c>
      <c r="I105" s="38" t="e">
        <f>AVERAGE(I95:I104)</f>
        <v>#VALUE!</v>
      </c>
      <c r="J105" s="75" t="str">
        <f>IF(AND(H95="-",H96="-",H97="-",H98="-",H99="-",H100="-",H101="-",H102="-",H103="-",H104="-"),"-",AVERAGE(J95:J104))</f>
        <v>-</v>
      </c>
      <c r="K105" s="73" t="e">
        <f t="shared" ref="K105:Q105" si="65">AVERAGE(K95:K104)</f>
        <v>#REF!</v>
      </c>
      <c r="L105" s="77" t="e">
        <f t="shared" si="65"/>
        <v>#VALUE!</v>
      </c>
      <c r="M105" s="243">
        <f t="shared" si="65"/>
        <v>20.699999999999996</v>
      </c>
      <c r="N105" s="232">
        <f t="shared" si="65"/>
        <v>52</v>
      </c>
      <c r="O105" s="232">
        <f t="shared" si="65"/>
        <v>1014</v>
      </c>
      <c r="P105" s="58">
        <f t="shared" si="65"/>
        <v>-5.5701999999999996E-9</v>
      </c>
      <c r="Q105" s="232">
        <f t="shared" si="65"/>
        <v>60</v>
      </c>
      <c r="R105" s="90" t="s">
        <v>93</v>
      </c>
      <c r="S105" s="11">
        <f t="shared" ref="S105:T105" si="66">AVERAGE(S95:S104)</f>
        <v>-5.5757701999999985E-9</v>
      </c>
      <c r="T105" s="38">
        <f t="shared" si="66"/>
        <v>0.9948598182357562</v>
      </c>
      <c r="U105" s="63">
        <f>AVERAGE(U95:U104)</f>
        <v>-8.3804493906034525E-11</v>
      </c>
      <c r="V105" s="58">
        <f t="shared" ref="V105:AB105" si="67">AVERAGE(V95:V104)</f>
        <v>-8.3804493906034525E-11</v>
      </c>
      <c r="W105" s="73" t="e">
        <f t="shared" si="67"/>
        <v>#REF!</v>
      </c>
      <c r="X105" s="75">
        <f t="shared" si="67"/>
        <v>7.6027436871554527E-3</v>
      </c>
      <c r="Y105" s="73">
        <f t="shared" si="67"/>
        <v>0.76027436871554532</v>
      </c>
      <c r="Z105" s="73">
        <f t="shared" si="67"/>
        <v>9.1232924245865429E-3</v>
      </c>
      <c r="AA105" s="73">
        <f t="shared" si="67"/>
        <v>9.1993198614580968E-3</v>
      </c>
      <c r="AB105" s="72">
        <f t="shared" si="67"/>
        <v>9.5034296089443158E-3</v>
      </c>
    </row>
    <row r="106" spans="1:28" x14ac:dyDescent="0.25">
      <c r="A106" s="263" t="s">
        <v>62</v>
      </c>
      <c r="B106" s="39">
        <f>STDEVA(B95:B104)</f>
        <v>0</v>
      </c>
      <c r="C106" s="41">
        <f>STDEVA(C95:C104)</f>
        <v>0</v>
      </c>
      <c r="D106" s="42">
        <f>STDEVA(D95:D104)</f>
        <v>0</v>
      </c>
      <c r="E106" s="11">
        <f>STDEVA(E95:E104)</f>
        <v>0</v>
      </c>
      <c r="F106" s="94">
        <f>STDEVA(F95:F104)</f>
        <v>0</v>
      </c>
      <c r="G106" s="40" t="s">
        <v>93</v>
      </c>
      <c r="H106" s="11" t="str">
        <f>IF(H105="-","-",STDEVA(H95:H104))</f>
        <v>-</v>
      </c>
      <c r="I106" s="40" t="e">
        <f t="shared" ref="I106" si="68">STDEVA(I95:I104)</f>
        <v>#VALUE!</v>
      </c>
      <c r="J106" s="63" t="str">
        <f>IF(J105="-","-",STDEVA(J95:J104))</f>
        <v>-</v>
      </c>
      <c r="K106" s="58" t="e">
        <f t="shared" ref="K106:Q106" si="69">STDEVA(K95:K104)</f>
        <v>#REF!</v>
      </c>
      <c r="L106" s="74" t="e">
        <f t="shared" si="69"/>
        <v>#VALUE!</v>
      </c>
      <c r="M106" s="82">
        <f t="shared" si="69"/>
        <v>3.7448890331484813E-15</v>
      </c>
      <c r="N106" s="38">
        <f t="shared" si="69"/>
        <v>0</v>
      </c>
      <c r="O106" s="38">
        <f t="shared" si="69"/>
        <v>0</v>
      </c>
      <c r="P106" s="58">
        <f t="shared" si="69"/>
        <v>2.3475755815544873E-12</v>
      </c>
      <c r="Q106" s="38">
        <f t="shared" si="69"/>
        <v>0</v>
      </c>
      <c r="R106" s="40" t="s">
        <v>93</v>
      </c>
      <c r="S106" s="11">
        <f t="shared" ref="S106:AB106" si="70">STDEVA(S95:S104)</f>
        <v>2.3499231571359837E-12</v>
      </c>
      <c r="T106" s="40">
        <f t="shared" si="70"/>
        <v>1.1702778228589004E-16</v>
      </c>
      <c r="U106" s="63">
        <f t="shared" si="70"/>
        <v>3.5319626497856989E-14</v>
      </c>
      <c r="V106" s="58">
        <f t="shared" si="70"/>
        <v>3.5319626497856989E-14</v>
      </c>
      <c r="W106" s="58" t="e">
        <f t="shared" si="70"/>
        <v>#REF!</v>
      </c>
      <c r="X106" s="63">
        <f t="shared" si="70"/>
        <v>3.2041965158851523E-6</v>
      </c>
      <c r="Y106" s="58">
        <f t="shared" si="70"/>
        <v>3.2041965158851921E-4</v>
      </c>
      <c r="Z106" s="58">
        <f t="shared" si="70"/>
        <v>3.8450358190622714E-6</v>
      </c>
      <c r="AA106" s="58">
        <f t="shared" si="70"/>
        <v>3.8770777842212386E-6</v>
      </c>
      <c r="AB106" s="47">
        <f t="shared" si="70"/>
        <v>4.0052456448562209E-6</v>
      </c>
    </row>
    <row r="107" spans="1:28" ht="15.75" thickBot="1" x14ac:dyDescent="0.3">
      <c r="A107" s="264" t="s">
        <v>63</v>
      </c>
      <c r="B107" s="44" t="e">
        <f>B106/B105*100</f>
        <v>#DIV/0!</v>
      </c>
      <c r="C107" s="45" t="e">
        <f>C106/C105*100</f>
        <v>#DIV/0!</v>
      </c>
      <c r="D107" s="46" t="e">
        <f>D106/D105*100</f>
        <v>#DIV/0!</v>
      </c>
      <c r="E107" s="43" t="e">
        <f>E106/E105*100</f>
        <v>#DIV/0!</v>
      </c>
      <c r="F107" s="95" t="e">
        <f>F106/F105*100</f>
        <v>#DIV/0!</v>
      </c>
      <c r="G107" s="43" t="s">
        <v>93</v>
      </c>
      <c r="H107" s="89" t="str">
        <f>IF(H105="-","-",H106/H105*100)</f>
        <v>-</v>
      </c>
      <c r="I107" s="43" t="e">
        <f t="shared" ref="I107" si="71">I106/I105*100</f>
        <v>#VALUE!</v>
      </c>
      <c r="J107" s="64" t="str">
        <f>IF(J105="-","-",J106/J105*100)</f>
        <v>-</v>
      </c>
      <c r="K107" s="19" t="e">
        <f t="shared" ref="K107:Q107" si="72">K106/K105*100</f>
        <v>#REF!</v>
      </c>
      <c r="L107" s="78" t="e">
        <f t="shared" si="72"/>
        <v>#VALUE!</v>
      </c>
      <c r="M107" s="83">
        <f t="shared" si="72"/>
        <v>1.8091251367867064E-14</v>
      </c>
      <c r="N107" s="81">
        <f t="shared" si="72"/>
        <v>0</v>
      </c>
      <c r="O107" s="81">
        <f t="shared" si="72"/>
        <v>0</v>
      </c>
      <c r="P107" s="19">
        <f t="shared" si="72"/>
        <v>-4.2145265547996261E-2</v>
      </c>
      <c r="Q107" s="81">
        <f t="shared" si="72"/>
        <v>0</v>
      </c>
      <c r="R107" s="43" t="s">
        <v>93</v>
      </c>
      <c r="S107" s="89">
        <f t="shared" ref="S107:AB107" si="73">S106/S105*100</f>
        <v>-4.214526554799522E-2</v>
      </c>
      <c r="T107" s="43">
        <f t="shared" si="73"/>
        <v>1.1763243437997358E-14</v>
      </c>
      <c r="U107" s="64">
        <f t="shared" si="73"/>
        <v>-4.2145265548001506E-2</v>
      </c>
      <c r="V107" s="19">
        <f t="shared" si="73"/>
        <v>-4.2145265548001506E-2</v>
      </c>
      <c r="W107" s="19" t="e">
        <f t="shared" si="73"/>
        <v>#REF!</v>
      </c>
      <c r="X107" s="64">
        <f t="shared" si="73"/>
        <v>4.2145265547995796E-2</v>
      </c>
      <c r="Y107" s="19">
        <f t="shared" si="73"/>
        <v>4.2145265547996316E-2</v>
      </c>
      <c r="Z107" s="19">
        <f t="shared" si="73"/>
        <v>4.2145265547996767E-2</v>
      </c>
      <c r="AA107" s="19">
        <f t="shared" si="73"/>
        <v>4.2145265547998023E-2</v>
      </c>
      <c r="AB107" s="17">
        <f t="shared" si="73"/>
        <v>4.2145265547993485E-2</v>
      </c>
    </row>
    <row r="108" spans="1:28" x14ac:dyDescent="0.25">
      <c r="A108" s="2625" t="s">
        <v>402</v>
      </c>
      <c r="B108" s="76" t="s">
        <v>93</v>
      </c>
      <c r="C108" s="76" t="s">
        <v>93</v>
      </c>
      <c r="D108" s="76" t="s">
        <v>93</v>
      </c>
      <c r="E108" s="76" t="s">
        <v>93</v>
      </c>
      <c r="F108" s="76" t="s">
        <v>93</v>
      </c>
      <c r="G108" s="76" t="s">
        <v>93</v>
      </c>
      <c r="H108" s="231" t="str">
        <f>IF(E108="-","-",IF(AND(E108&lt;=$E$36,E108&gt;=$F$36),E108*$C$36,IF(AND(E108&lt;=$E$37,E108&gt;=$F$37),E108*$C$37,"rango cal. out")))</f>
        <v>-</v>
      </c>
      <c r="I108" s="40" t="e">
        <f t="shared" ref="I108:I117" si="74">((273.2+B108)*$E$26/((273.2+$E$25)*D108))</f>
        <v>#VALUE!</v>
      </c>
      <c r="J108" s="57" t="str">
        <f>IF(H108="-","-",H108/F108*I108)</f>
        <v>-</v>
      </c>
      <c r="K108" s="11" t="e">
        <f t="shared" ref="K108:K117" si="75">ABS($A$27*J108*3600)</f>
        <v>#REF!</v>
      </c>
      <c r="L108" s="97" t="e">
        <f t="shared" ref="L108:L117" si="76">ABS($A$28*J108*3600)</f>
        <v>#VALUE!</v>
      </c>
      <c r="M108" s="68">
        <v>20.7</v>
      </c>
      <c r="N108" s="80">
        <v>52</v>
      </c>
      <c r="O108" s="80">
        <v>1013.8</v>
      </c>
      <c r="P108" s="76">
        <v>-5.5619999999999996E-9</v>
      </c>
      <c r="Q108" s="80">
        <v>60</v>
      </c>
      <c r="R108" s="105">
        <v>42931</v>
      </c>
      <c r="S108" s="231">
        <f t="shared" ref="S108:S117" si="77">IF(AND(P108&lt;=$E$36,P108&gt;=$F$36),P108*$C$36,IF(AND(P108&lt;=$E$37,P108&gt;=$F$37),P108*$C$37,"rango cal. out"))</f>
        <v>-5.5675619999999991E-9</v>
      </c>
      <c r="T108" s="40">
        <f t="shared" ref="T108:T117" si="78">((273.2+M108)*$E$26/((273.2+$E$25)*O108))</f>
        <v>0.9950560817627313</v>
      </c>
      <c r="U108" s="57">
        <f>S108/Q108*T108*EXP(-LN(2)/10990*($E$60-R108))</f>
        <v>-8.3697632085648487E-11</v>
      </c>
      <c r="V108" s="11">
        <f>IF($J$118="-",U108,U108-$J$118)</f>
        <v>-8.3697632085648487E-11</v>
      </c>
      <c r="W108" s="11" t="e">
        <f t="shared" ref="W108" si="79">ABS($A$27*V108*3600)</f>
        <v>#REF!</v>
      </c>
      <c r="X108" s="65">
        <f t="shared" ref="X108" si="80">ABS($A$28*V108*3600)</f>
        <v>7.5930491828100312E-3</v>
      </c>
      <c r="Y108" s="111">
        <f t="shared" ref="Y108:Y117" si="81">X108*$B$51</f>
        <v>0.75930491828100311</v>
      </c>
      <c r="Z108" s="11">
        <f t="shared" ref="Z108:Z117" si="82">X108*$E$43</f>
        <v>9.1116590193720363E-3</v>
      </c>
      <c r="AA108" s="11">
        <f t="shared" ref="AA108:AA117" si="83">X108*$E$45</f>
        <v>9.1875895112001373E-3</v>
      </c>
      <c r="AB108" s="12">
        <f t="shared" ref="AB108:AB117" si="84">X108*$E$44</f>
        <v>9.4913114785125392E-3</v>
      </c>
    </row>
    <row r="109" spans="1:28" x14ac:dyDescent="0.25">
      <c r="A109" s="2626"/>
      <c r="B109" s="70" t="s">
        <v>93</v>
      </c>
      <c r="C109" s="70" t="s">
        <v>93</v>
      </c>
      <c r="D109" s="70" t="s">
        <v>93</v>
      </c>
      <c r="E109" s="70" t="s">
        <v>93</v>
      </c>
      <c r="F109" s="70" t="s">
        <v>93</v>
      </c>
      <c r="G109" s="70" t="s">
        <v>93</v>
      </c>
      <c r="H109" s="231" t="str">
        <f t="shared" ref="H109:H117" si="85">IF(E109="-","-",IF(AND(E109&lt;=$E$36,E109&gt;=$F$36),E109*$C$36,IF(AND(E109&lt;=$E$37,E109&gt;=$F$37),E109*$C$37,"rango cal. out")))</f>
        <v>-</v>
      </c>
      <c r="I109" s="38" t="e">
        <f t="shared" si="74"/>
        <v>#VALUE!</v>
      </c>
      <c r="J109" s="57" t="str">
        <f t="shared" ref="J109:J117" si="86">IF(H109="-","-",H109/F109*I109)</f>
        <v>-</v>
      </c>
      <c r="K109" s="58" t="e">
        <f t="shared" si="75"/>
        <v>#REF!</v>
      </c>
      <c r="L109" s="91" t="e">
        <f t="shared" si="76"/>
        <v>#VALUE!</v>
      </c>
      <c r="M109" s="69">
        <v>20.7</v>
      </c>
      <c r="N109" s="79">
        <v>52</v>
      </c>
      <c r="O109" s="79">
        <v>1013.8</v>
      </c>
      <c r="P109" s="70">
        <v>-5.5599999999999998E-9</v>
      </c>
      <c r="Q109" s="79">
        <v>60</v>
      </c>
      <c r="R109" s="92">
        <v>42931</v>
      </c>
      <c r="S109" s="231">
        <f t="shared" si="77"/>
        <v>-5.5655599999999995E-9</v>
      </c>
      <c r="T109" s="38">
        <f t="shared" si="78"/>
        <v>0.9950560817627313</v>
      </c>
      <c r="U109" s="74">
        <f>S109/Q109*T109*EXP(-LN(2)/10990*($E$60-R109))</f>
        <v>-8.3667535849731326E-11</v>
      </c>
      <c r="V109" s="11">
        <f t="shared" ref="V109:V117" si="87">IF($J$118="-",U109,U109-$J$118)</f>
        <v>-8.3667535849731326E-11</v>
      </c>
      <c r="W109" s="58" t="e">
        <f>ABS($A$27*V109*3600)</f>
        <v>#REF!</v>
      </c>
      <c r="X109" s="63">
        <f>ABS($A$28*V109*3600)</f>
        <v>7.5903188522876254E-3</v>
      </c>
      <c r="Y109" s="58">
        <f t="shared" si="81"/>
        <v>0.75903188522876253</v>
      </c>
      <c r="Z109" s="58">
        <f t="shared" si="82"/>
        <v>9.1083826227451505E-3</v>
      </c>
      <c r="AA109" s="58">
        <f t="shared" si="83"/>
        <v>9.1842858112680271E-3</v>
      </c>
      <c r="AB109" s="47">
        <f t="shared" si="84"/>
        <v>9.4878985653595316E-3</v>
      </c>
    </row>
    <row r="110" spans="1:28" x14ac:dyDescent="0.25">
      <c r="A110" s="2626"/>
      <c r="B110" s="70" t="s">
        <v>93</v>
      </c>
      <c r="C110" s="70" t="s">
        <v>93</v>
      </c>
      <c r="D110" s="70" t="s">
        <v>93</v>
      </c>
      <c r="E110" s="70" t="s">
        <v>93</v>
      </c>
      <c r="F110" s="70" t="s">
        <v>93</v>
      </c>
      <c r="G110" s="70" t="s">
        <v>93</v>
      </c>
      <c r="H110" s="231" t="str">
        <f t="shared" si="85"/>
        <v>-</v>
      </c>
      <c r="I110" s="38" t="e">
        <f t="shared" si="74"/>
        <v>#VALUE!</v>
      </c>
      <c r="J110" s="57" t="str">
        <f t="shared" si="86"/>
        <v>-</v>
      </c>
      <c r="K110" s="58" t="e">
        <f t="shared" si="75"/>
        <v>#REF!</v>
      </c>
      <c r="L110" s="91" t="e">
        <f t="shared" si="76"/>
        <v>#VALUE!</v>
      </c>
      <c r="M110" s="69">
        <v>20.7</v>
      </c>
      <c r="N110" s="79">
        <v>52</v>
      </c>
      <c r="O110" s="79">
        <v>1013.8</v>
      </c>
      <c r="P110" s="70">
        <v>-5.5590000000000003E-9</v>
      </c>
      <c r="Q110" s="79">
        <v>60</v>
      </c>
      <c r="R110" s="92">
        <v>42931</v>
      </c>
      <c r="S110" s="231">
        <f t="shared" si="77"/>
        <v>-5.5645589999999997E-9</v>
      </c>
      <c r="T110" s="38">
        <f t="shared" si="78"/>
        <v>0.9950560817627313</v>
      </c>
      <c r="U110" s="74">
        <f t="shared" ref="U110:U116" si="88">S110/Q110*T110*EXP(-LN(2)/10990*($E$60-R110))</f>
        <v>-8.3652487731772745E-11</v>
      </c>
      <c r="V110" s="11">
        <f t="shared" si="87"/>
        <v>-8.3652487731772745E-11</v>
      </c>
      <c r="W110" s="58" t="e">
        <f t="shared" ref="W110:W117" si="89">ABS($A$27*V110*3600)</f>
        <v>#REF!</v>
      </c>
      <c r="X110" s="63">
        <f t="shared" ref="X110:X117" si="90">ABS($A$28*V110*3600)</f>
        <v>7.5889536870264226E-3</v>
      </c>
      <c r="Y110" s="71">
        <f t="shared" si="81"/>
        <v>0.75889536870264229</v>
      </c>
      <c r="Z110" s="58">
        <f t="shared" si="82"/>
        <v>9.1067444244317067E-3</v>
      </c>
      <c r="AA110" s="58">
        <f t="shared" si="83"/>
        <v>9.1826339613019711E-3</v>
      </c>
      <c r="AB110" s="47">
        <f t="shared" si="84"/>
        <v>9.4861921087830287E-3</v>
      </c>
    </row>
    <row r="111" spans="1:28" x14ac:dyDescent="0.25">
      <c r="A111" s="2626"/>
      <c r="B111" s="70" t="s">
        <v>93</v>
      </c>
      <c r="C111" s="70" t="s">
        <v>93</v>
      </c>
      <c r="D111" s="70" t="s">
        <v>93</v>
      </c>
      <c r="E111" s="70" t="s">
        <v>93</v>
      </c>
      <c r="F111" s="70" t="s">
        <v>93</v>
      </c>
      <c r="G111" s="70" t="s">
        <v>93</v>
      </c>
      <c r="H111" s="231" t="str">
        <f t="shared" si="85"/>
        <v>-</v>
      </c>
      <c r="I111" s="38" t="e">
        <f t="shared" si="74"/>
        <v>#VALUE!</v>
      </c>
      <c r="J111" s="57" t="str">
        <f t="shared" si="86"/>
        <v>-</v>
      </c>
      <c r="K111" s="58" t="e">
        <f t="shared" si="75"/>
        <v>#REF!</v>
      </c>
      <c r="L111" s="91" t="e">
        <f t="shared" si="76"/>
        <v>#VALUE!</v>
      </c>
      <c r="M111" s="69">
        <v>20.7</v>
      </c>
      <c r="N111" s="79">
        <v>52</v>
      </c>
      <c r="O111" s="79">
        <v>1013.8</v>
      </c>
      <c r="P111" s="70">
        <v>-5.5590000000000003E-9</v>
      </c>
      <c r="Q111" s="79">
        <v>60</v>
      </c>
      <c r="R111" s="92">
        <v>42931</v>
      </c>
      <c r="S111" s="231">
        <f t="shared" si="77"/>
        <v>-5.5645589999999997E-9</v>
      </c>
      <c r="T111" s="38">
        <f t="shared" si="78"/>
        <v>0.9950560817627313</v>
      </c>
      <c r="U111" s="74">
        <f t="shared" si="88"/>
        <v>-8.3652487731772745E-11</v>
      </c>
      <c r="V111" s="11">
        <f t="shared" si="87"/>
        <v>-8.3652487731772745E-11</v>
      </c>
      <c r="W111" s="58" t="e">
        <f t="shared" si="89"/>
        <v>#REF!</v>
      </c>
      <c r="X111" s="63">
        <f t="shared" si="90"/>
        <v>7.5889536870264226E-3</v>
      </c>
      <c r="Y111" s="71">
        <f t="shared" si="81"/>
        <v>0.75889536870264229</v>
      </c>
      <c r="Z111" s="58">
        <f t="shared" si="82"/>
        <v>9.1067444244317067E-3</v>
      </c>
      <c r="AA111" s="58">
        <f t="shared" si="83"/>
        <v>9.1826339613019711E-3</v>
      </c>
      <c r="AB111" s="47">
        <f t="shared" si="84"/>
        <v>9.4861921087830287E-3</v>
      </c>
    </row>
    <row r="112" spans="1:28" x14ac:dyDescent="0.25">
      <c r="A112" s="2626"/>
      <c r="B112" s="70" t="s">
        <v>93</v>
      </c>
      <c r="C112" s="70" t="s">
        <v>93</v>
      </c>
      <c r="D112" s="70" t="s">
        <v>93</v>
      </c>
      <c r="E112" s="70" t="s">
        <v>93</v>
      </c>
      <c r="F112" s="70" t="s">
        <v>93</v>
      </c>
      <c r="G112" s="70" t="s">
        <v>93</v>
      </c>
      <c r="H112" s="231" t="str">
        <f t="shared" si="85"/>
        <v>-</v>
      </c>
      <c r="I112" s="38" t="e">
        <f t="shared" si="74"/>
        <v>#VALUE!</v>
      </c>
      <c r="J112" s="57" t="str">
        <f t="shared" si="86"/>
        <v>-</v>
      </c>
      <c r="K112" s="58" t="e">
        <f t="shared" si="75"/>
        <v>#REF!</v>
      </c>
      <c r="L112" s="91" t="e">
        <f t="shared" si="76"/>
        <v>#VALUE!</v>
      </c>
      <c r="M112" s="69">
        <v>20.7</v>
      </c>
      <c r="N112" s="79">
        <v>52</v>
      </c>
      <c r="O112" s="79">
        <v>1013.8</v>
      </c>
      <c r="P112" s="70">
        <v>-5.5610000000000001E-9</v>
      </c>
      <c r="Q112" s="79">
        <v>60</v>
      </c>
      <c r="R112" s="93">
        <v>42931</v>
      </c>
      <c r="S112" s="231">
        <f t="shared" si="77"/>
        <v>-5.5665609999999993E-9</v>
      </c>
      <c r="T112" s="38">
        <f t="shared" si="78"/>
        <v>0.9950560817627313</v>
      </c>
      <c r="U112" s="74">
        <f t="shared" si="88"/>
        <v>-8.3682583967689893E-11</v>
      </c>
      <c r="V112" s="11">
        <f t="shared" si="87"/>
        <v>-8.3682583967689893E-11</v>
      </c>
      <c r="W112" s="58" t="e">
        <f t="shared" si="89"/>
        <v>#REF!</v>
      </c>
      <c r="X112" s="63">
        <f t="shared" si="90"/>
        <v>7.5916840175488274E-3</v>
      </c>
      <c r="Y112" s="71">
        <f t="shared" si="81"/>
        <v>0.75916840175488276</v>
      </c>
      <c r="Z112" s="58">
        <f t="shared" si="82"/>
        <v>9.1100208210585926E-3</v>
      </c>
      <c r="AA112" s="58">
        <f t="shared" si="83"/>
        <v>9.1859376612340813E-3</v>
      </c>
      <c r="AB112" s="47">
        <f t="shared" si="84"/>
        <v>9.4896050219360345E-3</v>
      </c>
    </row>
    <row r="113" spans="1:28" x14ac:dyDescent="0.25">
      <c r="A113" s="2626"/>
      <c r="B113" s="70" t="s">
        <v>93</v>
      </c>
      <c r="C113" s="70" t="s">
        <v>93</v>
      </c>
      <c r="D113" s="70" t="s">
        <v>93</v>
      </c>
      <c r="E113" s="70" t="s">
        <v>93</v>
      </c>
      <c r="F113" s="70" t="s">
        <v>93</v>
      </c>
      <c r="G113" s="70" t="s">
        <v>93</v>
      </c>
      <c r="H113" s="231" t="str">
        <f t="shared" si="85"/>
        <v>-</v>
      </c>
      <c r="I113" s="38" t="e">
        <f t="shared" si="74"/>
        <v>#VALUE!</v>
      </c>
      <c r="J113" s="57" t="str">
        <f t="shared" si="86"/>
        <v>-</v>
      </c>
      <c r="K113" s="58" t="e">
        <f t="shared" si="75"/>
        <v>#REF!</v>
      </c>
      <c r="L113" s="91" t="e">
        <f t="shared" si="76"/>
        <v>#VALUE!</v>
      </c>
      <c r="M113" s="69">
        <v>20.7</v>
      </c>
      <c r="N113" s="79">
        <v>52</v>
      </c>
      <c r="O113" s="79">
        <v>1013.8</v>
      </c>
      <c r="P113" s="70">
        <v>-5.5599999999999998E-9</v>
      </c>
      <c r="Q113" s="79">
        <v>60</v>
      </c>
      <c r="R113" s="93">
        <v>42931</v>
      </c>
      <c r="S113" s="231">
        <f t="shared" si="77"/>
        <v>-5.5655599999999995E-9</v>
      </c>
      <c r="T113" s="38">
        <f t="shared" si="78"/>
        <v>0.9950560817627313</v>
      </c>
      <c r="U113" s="74">
        <f t="shared" si="88"/>
        <v>-8.3667535849731326E-11</v>
      </c>
      <c r="V113" s="11">
        <f t="shared" si="87"/>
        <v>-8.3667535849731326E-11</v>
      </c>
      <c r="W113" s="58" t="e">
        <f t="shared" si="89"/>
        <v>#REF!</v>
      </c>
      <c r="X113" s="63">
        <f t="shared" si="90"/>
        <v>7.5903188522876254E-3</v>
      </c>
      <c r="Y113" s="71">
        <f t="shared" si="81"/>
        <v>0.75903188522876253</v>
      </c>
      <c r="Z113" s="58">
        <f t="shared" si="82"/>
        <v>9.1083826227451505E-3</v>
      </c>
      <c r="AA113" s="58">
        <f t="shared" si="83"/>
        <v>9.1842858112680271E-3</v>
      </c>
      <c r="AB113" s="47">
        <f t="shared" si="84"/>
        <v>9.4878985653595316E-3</v>
      </c>
    </row>
    <row r="114" spans="1:28" x14ac:dyDescent="0.25">
      <c r="A114" s="2626"/>
      <c r="B114" s="70" t="s">
        <v>93</v>
      </c>
      <c r="C114" s="70" t="s">
        <v>93</v>
      </c>
      <c r="D114" s="70" t="s">
        <v>93</v>
      </c>
      <c r="E114" s="70" t="s">
        <v>93</v>
      </c>
      <c r="F114" s="70" t="s">
        <v>93</v>
      </c>
      <c r="G114" s="70" t="s">
        <v>93</v>
      </c>
      <c r="H114" s="231" t="str">
        <f t="shared" si="85"/>
        <v>-</v>
      </c>
      <c r="I114" s="38" t="e">
        <f t="shared" si="74"/>
        <v>#VALUE!</v>
      </c>
      <c r="J114" s="57" t="str">
        <f t="shared" si="86"/>
        <v>-</v>
      </c>
      <c r="K114" s="58" t="e">
        <f t="shared" si="75"/>
        <v>#REF!</v>
      </c>
      <c r="L114" s="91" t="e">
        <f t="shared" si="76"/>
        <v>#VALUE!</v>
      </c>
      <c r="M114" s="69">
        <v>20.7</v>
      </c>
      <c r="N114" s="79">
        <v>52</v>
      </c>
      <c r="O114" s="79">
        <v>1013.8</v>
      </c>
      <c r="P114" s="70">
        <v>-5.5619999999999996E-9</v>
      </c>
      <c r="Q114" s="79">
        <v>60</v>
      </c>
      <c r="R114" s="93">
        <v>42931</v>
      </c>
      <c r="S114" s="231">
        <f t="shared" si="77"/>
        <v>-5.5675619999999991E-9</v>
      </c>
      <c r="T114" s="38">
        <f t="shared" si="78"/>
        <v>0.9950560817627313</v>
      </c>
      <c r="U114" s="74">
        <f t="shared" si="88"/>
        <v>-8.3697632085648487E-11</v>
      </c>
      <c r="V114" s="11">
        <f t="shared" si="87"/>
        <v>-8.3697632085648487E-11</v>
      </c>
      <c r="W114" s="58" t="e">
        <f t="shared" si="89"/>
        <v>#REF!</v>
      </c>
      <c r="X114" s="63">
        <f t="shared" si="90"/>
        <v>7.5930491828100312E-3</v>
      </c>
      <c r="Y114" s="71">
        <f t="shared" si="81"/>
        <v>0.75930491828100311</v>
      </c>
      <c r="Z114" s="58">
        <f t="shared" si="82"/>
        <v>9.1116590193720363E-3</v>
      </c>
      <c r="AA114" s="58">
        <f t="shared" si="83"/>
        <v>9.1875895112001373E-3</v>
      </c>
      <c r="AB114" s="47">
        <f t="shared" si="84"/>
        <v>9.4913114785125392E-3</v>
      </c>
    </row>
    <row r="115" spans="1:28" x14ac:dyDescent="0.25">
      <c r="A115" s="2626"/>
      <c r="B115" s="70" t="s">
        <v>93</v>
      </c>
      <c r="C115" s="70" t="s">
        <v>93</v>
      </c>
      <c r="D115" s="70" t="s">
        <v>93</v>
      </c>
      <c r="E115" s="70" t="s">
        <v>93</v>
      </c>
      <c r="F115" s="70" t="s">
        <v>93</v>
      </c>
      <c r="G115" s="70" t="s">
        <v>93</v>
      </c>
      <c r="H115" s="231" t="str">
        <f t="shared" si="85"/>
        <v>-</v>
      </c>
      <c r="I115" s="38" t="e">
        <f t="shared" si="74"/>
        <v>#VALUE!</v>
      </c>
      <c r="J115" s="57" t="str">
        <f t="shared" si="86"/>
        <v>-</v>
      </c>
      <c r="K115" s="58" t="e">
        <f t="shared" si="75"/>
        <v>#REF!</v>
      </c>
      <c r="L115" s="91" t="e">
        <f t="shared" si="76"/>
        <v>#VALUE!</v>
      </c>
      <c r="M115" s="69">
        <v>20.7</v>
      </c>
      <c r="N115" s="79">
        <v>52</v>
      </c>
      <c r="O115" s="79">
        <v>1013.8</v>
      </c>
      <c r="P115" s="70">
        <v>-5.5610000000000001E-9</v>
      </c>
      <c r="Q115" s="79">
        <v>60</v>
      </c>
      <c r="R115" s="93">
        <v>42931</v>
      </c>
      <c r="S115" s="231">
        <f t="shared" si="77"/>
        <v>-5.5665609999999993E-9</v>
      </c>
      <c r="T115" s="38">
        <f t="shared" si="78"/>
        <v>0.9950560817627313</v>
      </c>
      <c r="U115" s="74">
        <f t="shared" si="88"/>
        <v>-8.3682583967689893E-11</v>
      </c>
      <c r="V115" s="11">
        <f t="shared" si="87"/>
        <v>-8.3682583967689893E-11</v>
      </c>
      <c r="W115" s="58" t="e">
        <f t="shared" si="89"/>
        <v>#REF!</v>
      </c>
      <c r="X115" s="63">
        <f t="shared" si="90"/>
        <v>7.5916840175488274E-3</v>
      </c>
      <c r="Y115" s="71">
        <f t="shared" si="81"/>
        <v>0.75916840175488276</v>
      </c>
      <c r="Z115" s="58">
        <f t="shared" si="82"/>
        <v>9.1100208210585926E-3</v>
      </c>
      <c r="AA115" s="58">
        <f t="shared" si="83"/>
        <v>9.1859376612340813E-3</v>
      </c>
      <c r="AB115" s="47">
        <f t="shared" si="84"/>
        <v>9.4896050219360345E-3</v>
      </c>
    </row>
    <row r="116" spans="1:28" x14ac:dyDescent="0.25">
      <c r="A116" s="2626"/>
      <c r="B116" s="70" t="s">
        <v>93</v>
      </c>
      <c r="C116" s="70" t="s">
        <v>93</v>
      </c>
      <c r="D116" s="70" t="s">
        <v>93</v>
      </c>
      <c r="E116" s="70" t="s">
        <v>93</v>
      </c>
      <c r="F116" s="70" t="s">
        <v>93</v>
      </c>
      <c r="G116" s="70" t="s">
        <v>93</v>
      </c>
      <c r="H116" s="231" t="str">
        <f t="shared" si="85"/>
        <v>-</v>
      </c>
      <c r="I116" s="38" t="e">
        <f t="shared" si="74"/>
        <v>#VALUE!</v>
      </c>
      <c r="J116" s="57" t="str">
        <f t="shared" si="86"/>
        <v>-</v>
      </c>
      <c r="K116" s="58" t="e">
        <f t="shared" si="75"/>
        <v>#REF!</v>
      </c>
      <c r="L116" s="91" t="e">
        <f t="shared" si="76"/>
        <v>#VALUE!</v>
      </c>
      <c r="M116" s="69">
        <v>20.7</v>
      </c>
      <c r="N116" s="79">
        <v>52</v>
      </c>
      <c r="O116" s="79">
        <v>1013.8</v>
      </c>
      <c r="P116" s="70">
        <v>-5.5599999999999998E-9</v>
      </c>
      <c r="Q116" s="79">
        <v>60</v>
      </c>
      <c r="R116" s="93">
        <v>42931</v>
      </c>
      <c r="S116" s="231">
        <f t="shared" si="77"/>
        <v>-5.5655599999999995E-9</v>
      </c>
      <c r="T116" s="38">
        <f t="shared" si="78"/>
        <v>0.9950560817627313</v>
      </c>
      <c r="U116" s="74">
        <f t="shared" si="88"/>
        <v>-8.3667535849731326E-11</v>
      </c>
      <c r="V116" s="11">
        <f t="shared" si="87"/>
        <v>-8.3667535849731326E-11</v>
      </c>
      <c r="W116" s="58" t="e">
        <f t="shared" si="89"/>
        <v>#REF!</v>
      </c>
      <c r="X116" s="63">
        <f t="shared" si="90"/>
        <v>7.5903188522876254E-3</v>
      </c>
      <c r="Y116" s="71">
        <f t="shared" si="81"/>
        <v>0.75903188522876253</v>
      </c>
      <c r="Z116" s="58">
        <f t="shared" si="82"/>
        <v>9.1083826227451505E-3</v>
      </c>
      <c r="AA116" s="58">
        <f t="shared" si="83"/>
        <v>9.1842858112680271E-3</v>
      </c>
      <c r="AB116" s="47">
        <f t="shared" si="84"/>
        <v>9.4878985653595316E-3</v>
      </c>
    </row>
    <row r="117" spans="1:28" ht="15.75" thickBot="1" x14ac:dyDescent="0.3">
      <c r="A117" s="2627"/>
      <c r="B117" s="58" t="s">
        <v>93</v>
      </c>
      <c r="C117" s="58" t="s">
        <v>93</v>
      </c>
      <c r="D117" s="58" t="s">
        <v>93</v>
      </c>
      <c r="E117" s="58" t="s">
        <v>93</v>
      </c>
      <c r="F117" s="58" t="s">
        <v>93</v>
      </c>
      <c r="G117" s="58" t="s">
        <v>93</v>
      </c>
      <c r="H117" s="231" t="str">
        <f t="shared" si="85"/>
        <v>-</v>
      </c>
      <c r="I117" s="38" t="e">
        <f t="shared" si="74"/>
        <v>#VALUE!</v>
      </c>
      <c r="J117" s="57" t="str">
        <f t="shared" si="86"/>
        <v>-</v>
      </c>
      <c r="K117" s="58" t="e">
        <f t="shared" si="75"/>
        <v>#REF!</v>
      </c>
      <c r="L117" s="91" t="e">
        <f t="shared" si="76"/>
        <v>#VALUE!</v>
      </c>
      <c r="M117" s="69">
        <v>20.7</v>
      </c>
      <c r="N117" s="79">
        <v>52</v>
      </c>
      <c r="O117" s="79">
        <v>1013.8</v>
      </c>
      <c r="P117" s="70">
        <v>-5.5599999999999998E-9</v>
      </c>
      <c r="Q117" s="79">
        <v>60</v>
      </c>
      <c r="R117" s="93">
        <v>42931</v>
      </c>
      <c r="S117" s="231">
        <f t="shared" si="77"/>
        <v>-5.5655599999999995E-9</v>
      </c>
      <c r="T117" s="38">
        <f t="shared" si="78"/>
        <v>0.9950560817627313</v>
      </c>
      <c r="U117" s="74">
        <f>S117/Q117*T117*EXP(-LN(2)/10990*($E$60-R117))</f>
        <v>-8.3667535849731326E-11</v>
      </c>
      <c r="V117" s="11">
        <f t="shared" si="87"/>
        <v>-8.3667535849731326E-11</v>
      </c>
      <c r="W117" s="11" t="e">
        <f t="shared" si="89"/>
        <v>#REF!</v>
      </c>
      <c r="X117" s="65">
        <f t="shared" si="90"/>
        <v>7.5903188522876254E-3</v>
      </c>
      <c r="Y117" s="71">
        <f t="shared" si="81"/>
        <v>0.75903188522876253</v>
      </c>
      <c r="Z117" s="58">
        <f t="shared" si="82"/>
        <v>9.1083826227451505E-3</v>
      </c>
      <c r="AA117" s="58">
        <f t="shared" si="83"/>
        <v>9.1842858112680271E-3</v>
      </c>
      <c r="AB117" s="47">
        <f t="shared" si="84"/>
        <v>9.4878985653595316E-3</v>
      </c>
    </row>
    <row r="118" spans="1:28" x14ac:dyDescent="0.25">
      <c r="A118" s="263" t="s">
        <v>61</v>
      </c>
      <c r="B118" s="39" t="e">
        <f>AVERAGE(B108:B117)</f>
        <v>#DIV/0!</v>
      </c>
      <c r="C118" s="242" t="e">
        <f>AVERAGE(C108:C117)</f>
        <v>#DIV/0!</v>
      </c>
      <c r="D118" s="239" t="e">
        <f>AVERAGE(D108:D117)</f>
        <v>#DIV/0!</v>
      </c>
      <c r="E118" s="11" t="e">
        <f>AVERAGE(E108:E117)</f>
        <v>#DIV/0!</v>
      </c>
      <c r="F118" s="236" t="e">
        <f>AVERAGE(F108:F117)</f>
        <v>#DIV/0!</v>
      </c>
      <c r="G118" s="90" t="s">
        <v>93</v>
      </c>
      <c r="H118" s="11" t="str">
        <f>IF(AND(H108="-",H109="-",H110="-",H111="-",H112="-",H113="-",H114="-",H115="-",H116="-",H117="-"),"-",AVERAGE(H108:H117))</f>
        <v>-</v>
      </c>
      <c r="I118" s="38" t="e">
        <f>AVERAGE(I108:I117)</f>
        <v>#VALUE!</v>
      </c>
      <c r="J118" s="75" t="str">
        <f>IF(AND(H108="-",H109="-",H110="-",H111="-",H112="-",H113="-",H114="-",H115="-",H116="-",H117="-"),"-",AVERAGE(J108:J117))</f>
        <v>-</v>
      </c>
      <c r="K118" s="73" t="e">
        <f t="shared" ref="K118:Q118" si="91">AVERAGE(K108:K117)</f>
        <v>#REF!</v>
      </c>
      <c r="L118" s="77" t="e">
        <f t="shared" si="91"/>
        <v>#VALUE!</v>
      </c>
      <c r="M118" s="243">
        <f t="shared" si="91"/>
        <v>20.699999999999996</v>
      </c>
      <c r="N118" s="232">
        <f t="shared" si="91"/>
        <v>52</v>
      </c>
      <c r="O118" s="232">
        <f t="shared" si="91"/>
        <v>1013.8</v>
      </c>
      <c r="P118" s="58">
        <f t="shared" si="91"/>
        <v>-5.5603999999999991E-9</v>
      </c>
      <c r="Q118" s="232">
        <f t="shared" si="91"/>
        <v>60</v>
      </c>
      <c r="R118" s="90" t="s">
        <v>93</v>
      </c>
      <c r="S118" s="11">
        <f t="shared" ref="S118:T118" si="92">AVERAGE(S108:S117)</f>
        <v>-5.565960399999999E-9</v>
      </c>
      <c r="T118" s="38">
        <f t="shared" si="92"/>
        <v>0.99505608176273141</v>
      </c>
      <c r="U118" s="63">
        <f>AVERAGE(U108:U117)</f>
        <v>-8.3673555096914727E-11</v>
      </c>
      <c r="V118" s="58">
        <f t="shared" ref="V118:AB118" si="93">AVERAGE(V108:V117)</f>
        <v>-8.3673555096914727E-11</v>
      </c>
      <c r="W118" s="73" t="e">
        <f t="shared" si="93"/>
        <v>#REF!</v>
      </c>
      <c r="X118" s="75">
        <f t="shared" si="93"/>
        <v>7.5908649183921064E-3</v>
      </c>
      <c r="Y118" s="73">
        <f t="shared" si="93"/>
        <v>0.75908649183921062</v>
      </c>
      <c r="Z118" s="73">
        <f t="shared" si="93"/>
        <v>9.1090379020705263E-3</v>
      </c>
      <c r="AA118" s="73">
        <f t="shared" si="93"/>
        <v>9.1849465512544477E-3</v>
      </c>
      <c r="AB118" s="72">
        <f t="shared" si="93"/>
        <v>9.4885811479901334E-3</v>
      </c>
    </row>
    <row r="119" spans="1:28" x14ac:dyDescent="0.25">
      <c r="A119" s="263" t="s">
        <v>62</v>
      </c>
      <c r="B119" s="39">
        <f>STDEVA(B108:B117)</f>
        <v>0</v>
      </c>
      <c r="C119" s="41">
        <f>STDEVA(C108:C117)</f>
        <v>0</v>
      </c>
      <c r="D119" s="42">
        <f>STDEVA(D108:D117)</f>
        <v>0</v>
      </c>
      <c r="E119" s="11">
        <f>STDEVA(E108:E117)</f>
        <v>0</v>
      </c>
      <c r="F119" s="94">
        <f>STDEVA(F108:F117)</f>
        <v>0</v>
      </c>
      <c r="G119" s="40" t="s">
        <v>93</v>
      </c>
      <c r="H119" s="11" t="str">
        <f>IF(H118="-","-",STDEVA(H108:H117))</f>
        <v>-</v>
      </c>
      <c r="I119" s="40" t="e">
        <f t="shared" ref="I119" si="94">STDEVA(I108:I117)</f>
        <v>#VALUE!</v>
      </c>
      <c r="J119" s="63" t="str">
        <f>IF(J118="-","-",STDEVA(J108:J117))</f>
        <v>-</v>
      </c>
      <c r="K119" s="58" t="e">
        <f t="shared" ref="K119:Q119" si="95">STDEVA(K108:K117)</f>
        <v>#REF!</v>
      </c>
      <c r="L119" s="74" t="e">
        <f t="shared" si="95"/>
        <v>#VALUE!</v>
      </c>
      <c r="M119" s="82">
        <f t="shared" si="95"/>
        <v>3.7448890331484813E-15</v>
      </c>
      <c r="N119" s="38">
        <f t="shared" si="95"/>
        <v>0</v>
      </c>
      <c r="O119" s="38">
        <f t="shared" si="95"/>
        <v>0</v>
      </c>
      <c r="P119" s="58">
        <f t="shared" si="95"/>
        <v>1.0749676997729568E-12</v>
      </c>
      <c r="Q119" s="38">
        <f t="shared" si="95"/>
        <v>0</v>
      </c>
      <c r="R119" s="40" t="s">
        <v>93</v>
      </c>
      <c r="S119" s="11">
        <f t="shared" ref="S119:AB119" si="96">STDEVA(S108:S117)</f>
        <v>1.0760426674726965E-12</v>
      </c>
      <c r="T119" s="40">
        <f t="shared" si="96"/>
        <v>1.1702778228589004E-16</v>
      </c>
      <c r="U119" s="63">
        <f t="shared" si="96"/>
        <v>1.6176240747848398E-14</v>
      </c>
      <c r="V119" s="58">
        <f t="shared" si="96"/>
        <v>1.6176240747848398E-14</v>
      </c>
      <c r="W119" s="58" t="e">
        <f t="shared" si="96"/>
        <v>#REF!</v>
      </c>
      <c r="X119" s="63">
        <f t="shared" si="96"/>
        <v>1.467508560645328E-6</v>
      </c>
      <c r="Y119" s="58">
        <f t="shared" si="96"/>
        <v>1.4675085606452435E-4</v>
      </c>
      <c r="Z119" s="58">
        <f t="shared" si="96"/>
        <v>1.761010272774107E-6</v>
      </c>
      <c r="AA119" s="58">
        <f t="shared" si="96"/>
        <v>1.7756853583807197E-6</v>
      </c>
      <c r="AB119" s="47">
        <f t="shared" si="96"/>
        <v>1.834385700806669E-6</v>
      </c>
    </row>
    <row r="120" spans="1:28" ht="15.75" thickBot="1" x14ac:dyDescent="0.3">
      <c r="A120" s="264" t="s">
        <v>63</v>
      </c>
      <c r="B120" s="44" t="e">
        <f>B119/B118*100</f>
        <v>#DIV/0!</v>
      </c>
      <c r="C120" s="45" t="e">
        <f>C119/C118*100</f>
        <v>#DIV/0!</v>
      </c>
      <c r="D120" s="46" t="e">
        <f>D119/D118*100</f>
        <v>#DIV/0!</v>
      </c>
      <c r="E120" s="43" t="e">
        <f>E119/E118*100</f>
        <v>#DIV/0!</v>
      </c>
      <c r="F120" s="95" t="e">
        <f>F119/F118*100</f>
        <v>#DIV/0!</v>
      </c>
      <c r="G120" s="43" t="s">
        <v>93</v>
      </c>
      <c r="H120" s="89" t="str">
        <f>IF(H118="-","-",H119/H118*100)</f>
        <v>-</v>
      </c>
      <c r="I120" s="43" t="e">
        <f t="shared" ref="I120" si="97">I119/I118*100</f>
        <v>#VALUE!</v>
      </c>
      <c r="J120" s="64" t="str">
        <f>IF(J118="-","-",J119/J118*100)</f>
        <v>-</v>
      </c>
      <c r="K120" s="19" t="e">
        <f t="shared" ref="K120:Q120" si="98">K119/K118*100</f>
        <v>#REF!</v>
      </c>
      <c r="L120" s="78" t="e">
        <f t="shared" si="98"/>
        <v>#VALUE!</v>
      </c>
      <c r="M120" s="83">
        <f t="shared" si="98"/>
        <v>1.8091251367867064E-14</v>
      </c>
      <c r="N120" s="81">
        <f t="shared" si="98"/>
        <v>0</v>
      </c>
      <c r="O120" s="81">
        <f t="shared" si="98"/>
        <v>0</v>
      </c>
      <c r="P120" s="19">
        <f t="shared" si="98"/>
        <v>-1.9332560603067352E-2</v>
      </c>
      <c r="Q120" s="81">
        <f t="shared" si="98"/>
        <v>0</v>
      </c>
      <c r="R120" s="43" t="s">
        <v>93</v>
      </c>
      <c r="S120" s="89">
        <f t="shared" ref="S120:AB120" si="99">S119/S118*100</f>
        <v>-1.9332560603066755E-2</v>
      </c>
      <c r="T120" s="43">
        <f t="shared" si="99"/>
        <v>1.1760923271638775E-14</v>
      </c>
      <c r="U120" s="64">
        <f t="shared" si="99"/>
        <v>-1.9332560603063056E-2</v>
      </c>
      <c r="V120" s="19">
        <f t="shared" si="99"/>
        <v>-1.9332560603063056E-2</v>
      </c>
      <c r="W120" s="19" t="e">
        <f t="shared" si="99"/>
        <v>#REF!</v>
      </c>
      <c r="X120" s="64">
        <f t="shared" si="99"/>
        <v>1.9332560603069919E-2</v>
      </c>
      <c r="Y120" s="19">
        <f t="shared" si="99"/>
        <v>1.9332560603068809E-2</v>
      </c>
      <c r="Z120" s="19">
        <f t="shared" si="99"/>
        <v>1.9332560603066776E-2</v>
      </c>
      <c r="AA120" s="19">
        <f t="shared" si="99"/>
        <v>1.9332560603068538E-2</v>
      </c>
      <c r="AB120" s="17">
        <f t="shared" si="99"/>
        <v>1.9332560603070016E-2</v>
      </c>
    </row>
    <row r="121" spans="1:28" x14ac:dyDescent="0.25">
      <c r="A121" s="2625" t="s">
        <v>403</v>
      </c>
      <c r="B121" s="76" t="s">
        <v>93</v>
      </c>
      <c r="C121" s="76" t="s">
        <v>93</v>
      </c>
      <c r="D121" s="76" t="s">
        <v>93</v>
      </c>
      <c r="E121" s="76" t="s">
        <v>93</v>
      </c>
      <c r="F121" s="76" t="s">
        <v>93</v>
      </c>
      <c r="G121" s="76" t="s">
        <v>93</v>
      </c>
      <c r="H121" s="231" t="str">
        <f>IF(E121="-","-",IF(AND(E121&lt;=$E$36,E121&gt;=$F$36),E121*$C$36,IF(AND(E121&lt;=$E$37,E121&gt;=$F$37),E121*$C$37,"rango cal. out")))</f>
        <v>-</v>
      </c>
      <c r="I121" s="40" t="e">
        <f t="shared" ref="I121:I130" si="100">((273.2+B121)*$E$26/((273.2+$E$25)*D121))</f>
        <v>#VALUE!</v>
      </c>
      <c r="J121" s="57" t="str">
        <f>IF(H121="-","-",H121/F121*I121)</f>
        <v>-</v>
      </c>
      <c r="K121" s="11" t="e">
        <f t="shared" ref="K121:K130" si="101">ABS($A$27*J121*3600)</f>
        <v>#REF!</v>
      </c>
      <c r="L121" s="97" t="e">
        <f t="shared" ref="L121:L130" si="102">ABS($A$28*J121*3600)</f>
        <v>#VALUE!</v>
      </c>
      <c r="M121" s="68">
        <v>20.7</v>
      </c>
      <c r="N121" s="80">
        <v>52</v>
      </c>
      <c r="O121" s="80">
        <v>1013.8</v>
      </c>
      <c r="P121" s="76">
        <v>-5.5709999999999999E-9</v>
      </c>
      <c r="Q121" s="80">
        <v>60</v>
      </c>
      <c r="R121" s="105">
        <v>42931</v>
      </c>
      <c r="S121" s="231">
        <f t="shared" ref="S121:S130" si="103">IF(AND(P121&lt;=$E$36,P121&gt;=$F$36),P121*$C$36,IF(AND(P121&lt;=$E$37,P121&gt;=$F$37),P121*$C$37,"rango cal. out"))</f>
        <v>-5.576570999999999E-9</v>
      </c>
      <c r="T121" s="40">
        <f t="shared" ref="T121:T130" si="104">((273.2+M121)*$E$26/((273.2+$E$25)*O121))</f>
        <v>0.9950560817627313</v>
      </c>
      <c r="U121" s="57">
        <f>S121/Q121*T121*EXP(-LN(2)/10990*($E$60-R121))</f>
        <v>-8.3833065147275748E-11</v>
      </c>
      <c r="V121" s="11">
        <f>IF($J$131="-",U121,U121-$J$131)</f>
        <v>-8.3833065147275748E-11</v>
      </c>
      <c r="W121" s="11" t="e">
        <f t="shared" ref="W121" si="105">ABS($A$27*V121*3600)</f>
        <v>#REF!</v>
      </c>
      <c r="X121" s="65">
        <f t="shared" ref="X121" si="106">ABS($A$28*V121*3600)</f>
        <v>7.6053356701608552E-3</v>
      </c>
      <c r="Y121" s="111">
        <f t="shared" ref="Y121:Y130" si="107">X121*$B$51</f>
        <v>0.76053356701608554</v>
      </c>
      <c r="Z121" s="11">
        <f t="shared" ref="Z121:Z130" si="108">X121*$E$43</f>
        <v>9.1264028041930251E-3</v>
      </c>
      <c r="AA121" s="11">
        <f t="shared" ref="AA121:AA130" si="109">X121*$E$45</f>
        <v>9.2024561608946339E-3</v>
      </c>
      <c r="AB121" s="12">
        <f t="shared" ref="AB121:AB130" si="110">X121*$E$44</f>
        <v>9.5066695877010689E-3</v>
      </c>
    </row>
    <row r="122" spans="1:28" x14ac:dyDescent="0.25">
      <c r="A122" s="2626"/>
      <c r="B122" s="70" t="s">
        <v>93</v>
      </c>
      <c r="C122" s="70" t="s">
        <v>93</v>
      </c>
      <c r="D122" s="70" t="s">
        <v>93</v>
      </c>
      <c r="E122" s="70" t="s">
        <v>93</v>
      </c>
      <c r="F122" s="70" t="s">
        <v>93</v>
      </c>
      <c r="G122" s="70" t="s">
        <v>93</v>
      </c>
      <c r="H122" s="231" t="str">
        <f t="shared" ref="H122:H130" si="111">IF(E122="-","-",IF(AND(E122&lt;=$E$36,E122&gt;=$F$36),E122*$C$36,IF(AND(E122&lt;=$E$37,E122&gt;=$F$37),E122*$C$37,"rango cal. out")))</f>
        <v>-</v>
      </c>
      <c r="I122" s="38" t="e">
        <f t="shared" si="100"/>
        <v>#VALUE!</v>
      </c>
      <c r="J122" s="57" t="str">
        <f t="shared" ref="J122:J130" si="112">IF(H122="-","-",H122/F122*I122)</f>
        <v>-</v>
      </c>
      <c r="K122" s="58" t="e">
        <f t="shared" si="101"/>
        <v>#REF!</v>
      </c>
      <c r="L122" s="91" t="e">
        <f t="shared" si="102"/>
        <v>#VALUE!</v>
      </c>
      <c r="M122" s="69">
        <v>20.7</v>
      </c>
      <c r="N122" s="79">
        <v>52</v>
      </c>
      <c r="O122" s="79">
        <v>1013.8</v>
      </c>
      <c r="P122" s="70">
        <v>-5.5709999999999999E-9</v>
      </c>
      <c r="Q122" s="79">
        <v>60</v>
      </c>
      <c r="R122" s="92">
        <v>42931</v>
      </c>
      <c r="S122" s="231">
        <f t="shared" si="103"/>
        <v>-5.576570999999999E-9</v>
      </c>
      <c r="T122" s="38">
        <f t="shared" si="104"/>
        <v>0.9950560817627313</v>
      </c>
      <c r="U122" s="74">
        <f>S122/Q122*T122*EXP(-LN(2)/10990*($E$60-R122))</f>
        <v>-8.3833065147275748E-11</v>
      </c>
      <c r="V122" s="11">
        <f t="shared" ref="V122:V130" si="113">IF($J$131="-",U122,U122-$J$131)</f>
        <v>-8.3833065147275748E-11</v>
      </c>
      <c r="W122" s="58" t="e">
        <f>ABS($A$27*V122*3600)</f>
        <v>#REF!</v>
      </c>
      <c r="X122" s="63">
        <f>ABS($A$28*V122*3600)</f>
        <v>7.6053356701608552E-3</v>
      </c>
      <c r="Y122" s="58">
        <f t="shared" si="107"/>
        <v>0.76053356701608554</v>
      </c>
      <c r="Z122" s="58">
        <f t="shared" si="108"/>
        <v>9.1264028041930251E-3</v>
      </c>
      <c r="AA122" s="58">
        <f t="shared" si="109"/>
        <v>9.2024561608946339E-3</v>
      </c>
      <c r="AB122" s="47">
        <f t="shared" si="110"/>
        <v>9.5066695877010689E-3</v>
      </c>
    </row>
    <row r="123" spans="1:28" x14ac:dyDescent="0.25">
      <c r="A123" s="2626"/>
      <c r="B123" s="70" t="s">
        <v>93</v>
      </c>
      <c r="C123" s="70" t="s">
        <v>93</v>
      </c>
      <c r="D123" s="70" t="s">
        <v>93</v>
      </c>
      <c r="E123" s="70" t="s">
        <v>93</v>
      </c>
      <c r="F123" s="70" t="s">
        <v>93</v>
      </c>
      <c r="G123" s="70" t="s">
        <v>93</v>
      </c>
      <c r="H123" s="231" t="str">
        <f t="shared" si="111"/>
        <v>-</v>
      </c>
      <c r="I123" s="38" t="e">
        <f t="shared" si="100"/>
        <v>#VALUE!</v>
      </c>
      <c r="J123" s="57" t="str">
        <f t="shared" si="112"/>
        <v>-</v>
      </c>
      <c r="K123" s="58" t="e">
        <f t="shared" si="101"/>
        <v>#REF!</v>
      </c>
      <c r="L123" s="91" t="e">
        <f t="shared" si="102"/>
        <v>#VALUE!</v>
      </c>
      <c r="M123" s="69">
        <v>20.7</v>
      </c>
      <c r="N123" s="79">
        <v>52</v>
      </c>
      <c r="O123" s="79">
        <v>1013.8</v>
      </c>
      <c r="P123" s="70">
        <v>-5.5720000000000002E-9</v>
      </c>
      <c r="Q123" s="79">
        <v>60</v>
      </c>
      <c r="R123" s="92">
        <v>42931</v>
      </c>
      <c r="S123" s="231">
        <f t="shared" si="103"/>
        <v>-5.5775719999999996E-9</v>
      </c>
      <c r="T123" s="38">
        <f t="shared" si="104"/>
        <v>0.9950560817627313</v>
      </c>
      <c r="U123" s="74">
        <f t="shared" ref="U123:U129" si="114">S123/Q123*T123*EXP(-LN(2)/10990*($E$60-R123))</f>
        <v>-8.3848113265234342E-11</v>
      </c>
      <c r="V123" s="11">
        <f t="shared" si="113"/>
        <v>-8.3848113265234342E-11</v>
      </c>
      <c r="W123" s="58" t="e">
        <f t="shared" ref="W123:W130" si="115">ABS($A$27*V123*3600)</f>
        <v>#REF!</v>
      </c>
      <c r="X123" s="63">
        <f t="shared" ref="X123:X130" si="116">ABS($A$28*V123*3600)</f>
        <v>7.6067008354220589E-3</v>
      </c>
      <c r="Y123" s="71">
        <f t="shared" si="107"/>
        <v>0.76067008354220589</v>
      </c>
      <c r="Z123" s="58">
        <f t="shared" si="108"/>
        <v>9.1280410025064707E-3</v>
      </c>
      <c r="AA123" s="58">
        <f t="shared" si="109"/>
        <v>9.2041080108606916E-3</v>
      </c>
      <c r="AB123" s="47">
        <f t="shared" si="110"/>
        <v>9.5083760442775736E-3</v>
      </c>
    </row>
    <row r="124" spans="1:28" x14ac:dyDescent="0.25">
      <c r="A124" s="2626"/>
      <c r="B124" s="70" t="s">
        <v>93</v>
      </c>
      <c r="C124" s="70" t="s">
        <v>93</v>
      </c>
      <c r="D124" s="70" t="s">
        <v>93</v>
      </c>
      <c r="E124" s="70" t="s">
        <v>93</v>
      </c>
      <c r="F124" s="70" t="s">
        <v>93</v>
      </c>
      <c r="G124" s="70" t="s">
        <v>93</v>
      </c>
      <c r="H124" s="231" t="str">
        <f t="shared" si="111"/>
        <v>-</v>
      </c>
      <c r="I124" s="38" t="e">
        <f t="shared" si="100"/>
        <v>#VALUE!</v>
      </c>
      <c r="J124" s="57" t="str">
        <f t="shared" si="112"/>
        <v>-</v>
      </c>
      <c r="K124" s="58" t="e">
        <f t="shared" si="101"/>
        <v>#REF!</v>
      </c>
      <c r="L124" s="91" t="e">
        <f t="shared" si="102"/>
        <v>#VALUE!</v>
      </c>
      <c r="M124" s="69">
        <v>20.7</v>
      </c>
      <c r="N124" s="79">
        <v>52</v>
      </c>
      <c r="O124" s="79">
        <v>1013.8</v>
      </c>
      <c r="P124" s="70">
        <v>-5.5709999999999999E-9</v>
      </c>
      <c r="Q124" s="79">
        <v>60</v>
      </c>
      <c r="R124" s="92">
        <v>42931</v>
      </c>
      <c r="S124" s="231">
        <f t="shared" si="103"/>
        <v>-5.576570999999999E-9</v>
      </c>
      <c r="T124" s="38">
        <f t="shared" si="104"/>
        <v>0.9950560817627313</v>
      </c>
      <c r="U124" s="74">
        <f t="shared" si="114"/>
        <v>-8.3833065147275748E-11</v>
      </c>
      <c r="V124" s="11">
        <f t="shared" si="113"/>
        <v>-8.3833065147275748E-11</v>
      </c>
      <c r="W124" s="58" t="e">
        <f t="shared" si="115"/>
        <v>#REF!</v>
      </c>
      <c r="X124" s="63">
        <f t="shared" si="116"/>
        <v>7.6053356701608552E-3</v>
      </c>
      <c r="Y124" s="71">
        <f t="shared" si="107"/>
        <v>0.76053356701608554</v>
      </c>
      <c r="Z124" s="58">
        <f t="shared" si="108"/>
        <v>9.1264028041930251E-3</v>
      </c>
      <c r="AA124" s="58">
        <f t="shared" si="109"/>
        <v>9.2024561608946339E-3</v>
      </c>
      <c r="AB124" s="47">
        <f t="shared" si="110"/>
        <v>9.5066695877010689E-3</v>
      </c>
    </row>
    <row r="125" spans="1:28" x14ac:dyDescent="0.25">
      <c r="A125" s="2626"/>
      <c r="B125" s="70" t="s">
        <v>93</v>
      </c>
      <c r="C125" s="70" t="s">
        <v>93</v>
      </c>
      <c r="D125" s="70" t="s">
        <v>93</v>
      </c>
      <c r="E125" s="70" t="s">
        <v>93</v>
      </c>
      <c r="F125" s="70" t="s">
        <v>93</v>
      </c>
      <c r="G125" s="70" t="s">
        <v>93</v>
      </c>
      <c r="H125" s="231" t="str">
        <f t="shared" si="111"/>
        <v>-</v>
      </c>
      <c r="I125" s="38" t="e">
        <f t="shared" si="100"/>
        <v>#VALUE!</v>
      </c>
      <c r="J125" s="57" t="str">
        <f t="shared" si="112"/>
        <v>-</v>
      </c>
      <c r="K125" s="58" t="e">
        <f t="shared" si="101"/>
        <v>#REF!</v>
      </c>
      <c r="L125" s="91" t="e">
        <f t="shared" si="102"/>
        <v>#VALUE!</v>
      </c>
      <c r="M125" s="69">
        <v>20.7</v>
      </c>
      <c r="N125" s="79">
        <v>52</v>
      </c>
      <c r="O125" s="79">
        <v>1013.8</v>
      </c>
      <c r="P125" s="70">
        <v>-5.5720000000000002E-9</v>
      </c>
      <c r="Q125" s="79">
        <v>60</v>
      </c>
      <c r="R125" s="93">
        <v>42931</v>
      </c>
      <c r="S125" s="231">
        <f t="shared" si="103"/>
        <v>-5.5775719999999996E-9</v>
      </c>
      <c r="T125" s="38">
        <f t="shared" si="104"/>
        <v>0.9950560817627313</v>
      </c>
      <c r="U125" s="74">
        <f t="shared" si="114"/>
        <v>-8.3848113265234342E-11</v>
      </c>
      <c r="V125" s="11">
        <f t="shared" si="113"/>
        <v>-8.3848113265234342E-11</v>
      </c>
      <c r="W125" s="58" t="e">
        <f t="shared" si="115"/>
        <v>#REF!</v>
      </c>
      <c r="X125" s="63">
        <f t="shared" si="116"/>
        <v>7.6067008354220589E-3</v>
      </c>
      <c r="Y125" s="71">
        <f t="shared" si="107"/>
        <v>0.76067008354220589</v>
      </c>
      <c r="Z125" s="58">
        <f t="shared" si="108"/>
        <v>9.1280410025064707E-3</v>
      </c>
      <c r="AA125" s="58">
        <f t="shared" si="109"/>
        <v>9.2041080108606916E-3</v>
      </c>
      <c r="AB125" s="47">
        <f t="shared" si="110"/>
        <v>9.5083760442775736E-3</v>
      </c>
    </row>
    <row r="126" spans="1:28" x14ac:dyDescent="0.25">
      <c r="A126" s="2626"/>
      <c r="B126" s="70" t="s">
        <v>93</v>
      </c>
      <c r="C126" s="70" t="s">
        <v>93</v>
      </c>
      <c r="D126" s="70" t="s">
        <v>93</v>
      </c>
      <c r="E126" s="70" t="s">
        <v>93</v>
      </c>
      <c r="F126" s="70" t="s">
        <v>93</v>
      </c>
      <c r="G126" s="70" t="s">
        <v>93</v>
      </c>
      <c r="H126" s="231" t="str">
        <f t="shared" si="111"/>
        <v>-</v>
      </c>
      <c r="I126" s="38" t="e">
        <f t="shared" si="100"/>
        <v>#VALUE!</v>
      </c>
      <c r="J126" s="57" t="str">
        <f t="shared" si="112"/>
        <v>-</v>
      </c>
      <c r="K126" s="58" t="e">
        <f t="shared" si="101"/>
        <v>#REF!</v>
      </c>
      <c r="L126" s="91" t="e">
        <f t="shared" si="102"/>
        <v>#VALUE!</v>
      </c>
      <c r="M126" s="69">
        <v>20.7</v>
      </c>
      <c r="N126" s="79">
        <v>52</v>
      </c>
      <c r="O126" s="79">
        <v>1013.8</v>
      </c>
      <c r="P126" s="70">
        <v>-5.5700000000000004E-9</v>
      </c>
      <c r="Q126" s="79">
        <v>60</v>
      </c>
      <c r="R126" s="93">
        <v>42931</v>
      </c>
      <c r="S126" s="231">
        <f t="shared" si="103"/>
        <v>-5.57557E-9</v>
      </c>
      <c r="T126" s="38">
        <f t="shared" si="104"/>
        <v>0.9950560817627313</v>
      </c>
      <c r="U126" s="74">
        <f t="shared" si="114"/>
        <v>-8.3818017029317181E-11</v>
      </c>
      <c r="V126" s="11">
        <f t="shared" si="113"/>
        <v>-8.3818017029317181E-11</v>
      </c>
      <c r="W126" s="58" t="e">
        <f t="shared" si="115"/>
        <v>#REF!</v>
      </c>
      <c r="X126" s="63">
        <f t="shared" si="116"/>
        <v>7.6039705048996549E-3</v>
      </c>
      <c r="Y126" s="71">
        <f t="shared" si="107"/>
        <v>0.76039705048996553</v>
      </c>
      <c r="Z126" s="58">
        <f t="shared" si="108"/>
        <v>9.1247646058795848E-3</v>
      </c>
      <c r="AA126" s="58">
        <f t="shared" si="109"/>
        <v>9.2008043109285814E-3</v>
      </c>
      <c r="AB126" s="47">
        <f t="shared" si="110"/>
        <v>9.5049631311245678E-3</v>
      </c>
    </row>
    <row r="127" spans="1:28" x14ac:dyDescent="0.25">
      <c r="A127" s="2626"/>
      <c r="B127" s="70" t="s">
        <v>93</v>
      </c>
      <c r="C127" s="70" t="s">
        <v>93</v>
      </c>
      <c r="D127" s="70" t="s">
        <v>93</v>
      </c>
      <c r="E127" s="70" t="s">
        <v>93</v>
      </c>
      <c r="F127" s="70" t="s">
        <v>93</v>
      </c>
      <c r="G127" s="70" t="s">
        <v>93</v>
      </c>
      <c r="H127" s="231" t="str">
        <f t="shared" si="111"/>
        <v>-</v>
      </c>
      <c r="I127" s="38" t="e">
        <f t="shared" si="100"/>
        <v>#VALUE!</v>
      </c>
      <c r="J127" s="57" t="str">
        <f t="shared" si="112"/>
        <v>-</v>
      </c>
      <c r="K127" s="58" t="e">
        <f t="shared" si="101"/>
        <v>#REF!</v>
      </c>
      <c r="L127" s="91" t="e">
        <f t="shared" si="102"/>
        <v>#VALUE!</v>
      </c>
      <c r="M127" s="69">
        <v>20.7</v>
      </c>
      <c r="N127" s="79">
        <v>52</v>
      </c>
      <c r="O127" s="79">
        <v>1013.8</v>
      </c>
      <c r="P127" s="70">
        <v>-5.5729999999999997E-9</v>
      </c>
      <c r="Q127" s="79">
        <v>60</v>
      </c>
      <c r="R127" s="93">
        <v>42931</v>
      </c>
      <c r="S127" s="231">
        <f t="shared" si="103"/>
        <v>-5.5785729999999994E-9</v>
      </c>
      <c r="T127" s="38">
        <f t="shared" si="104"/>
        <v>0.9950560817627313</v>
      </c>
      <c r="U127" s="74">
        <f t="shared" si="114"/>
        <v>-8.3863161383192909E-11</v>
      </c>
      <c r="V127" s="11">
        <f t="shared" si="113"/>
        <v>-8.3863161383192909E-11</v>
      </c>
      <c r="W127" s="58" t="e">
        <f t="shared" si="115"/>
        <v>#REF!</v>
      </c>
      <c r="X127" s="63">
        <f t="shared" si="116"/>
        <v>7.6080660006832609E-3</v>
      </c>
      <c r="Y127" s="71">
        <f t="shared" si="107"/>
        <v>0.76080660006832612</v>
      </c>
      <c r="Z127" s="58">
        <f t="shared" si="108"/>
        <v>9.1296792008199127E-3</v>
      </c>
      <c r="AA127" s="58">
        <f t="shared" si="109"/>
        <v>9.2057598608267458E-3</v>
      </c>
      <c r="AB127" s="47">
        <f t="shared" si="110"/>
        <v>9.5100825008540765E-3</v>
      </c>
    </row>
    <row r="128" spans="1:28" x14ac:dyDescent="0.25">
      <c r="A128" s="2626"/>
      <c r="B128" s="70" t="s">
        <v>93</v>
      </c>
      <c r="C128" s="70" t="s">
        <v>93</v>
      </c>
      <c r="D128" s="70" t="s">
        <v>93</v>
      </c>
      <c r="E128" s="70" t="s">
        <v>93</v>
      </c>
      <c r="F128" s="70" t="s">
        <v>93</v>
      </c>
      <c r="G128" s="70" t="s">
        <v>93</v>
      </c>
      <c r="H128" s="231" t="str">
        <f t="shared" si="111"/>
        <v>-</v>
      </c>
      <c r="I128" s="38" t="e">
        <f t="shared" si="100"/>
        <v>#VALUE!</v>
      </c>
      <c r="J128" s="57" t="str">
        <f t="shared" si="112"/>
        <v>-</v>
      </c>
      <c r="K128" s="58" t="e">
        <f t="shared" si="101"/>
        <v>#REF!</v>
      </c>
      <c r="L128" s="91" t="e">
        <f t="shared" si="102"/>
        <v>#VALUE!</v>
      </c>
      <c r="M128" s="69">
        <v>20.7</v>
      </c>
      <c r="N128" s="79">
        <v>52</v>
      </c>
      <c r="O128" s="79">
        <v>1013.8</v>
      </c>
      <c r="P128" s="70">
        <v>-5.5709999999999999E-9</v>
      </c>
      <c r="Q128" s="79">
        <v>60</v>
      </c>
      <c r="R128" s="93">
        <v>42931</v>
      </c>
      <c r="S128" s="231">
        <f t="shared" si="103"/>
        <v>-5.576570999999999E-9</v>
      </c>
      <c r="T128" s="38">
        <f t="shared" si="104"/>
        <v>0.9950560817627313</v>
      </c>
      <c r="U128" s="74">
        <f t="shared" si="114"/>
        <v>-8.3833065147275748E-11</v>
      </c>
      <c r="V128" s="11">
        <f t="shared" si="113"/>
        <v>-8.3833065147275748E-11</v>
      </c>
      <c r="W128" s="58" t="e">
        <f t="shared" si="115"/>
        <v>#REF!</v>
      </c>
      <c r="X128" s="63">
        <f t="shared" si="116"/>
        <v>7.6053356701608552E-3</v>
      </c>
      <c r="Y128" s="71">
        <f t="shared" si="107"/>
        <v>0.76053356701608554</v>
      </c>
      <c r="Z128" s="58">
        <f t="shared" si="108"/>
        <v>9.1264028041930251E-3</v>
      </c>
      <c r="AA128" s="58">
        <f t="shared" si="109"/>
        <v>9.2024561608946339E-3</v>
      </c>
      <c r="AB128" s="47">
        <f t="shared" si="110"/>
        <v>9.5066695877010689E-3</v>
      </c>
    </row>
    <row r="129" spans="1:28" x14ac:dyDescent="0.25">
      <c r="A129" s="2626"/>
      <c r="B129" s="70" t="s">
        <v>93</v>
      </c>
      <c r="C129" s="70" t="s">
        <v>93</v>
      </c>
      <c r="D129" s="70" t="s">
        <v>93</v>
      </c>
      <c r="E129" s="70" t="s">
        <v>93</v>
      </c>
      <c r="F129" s="70" t="s">
        <v>93</v>
      </c>
      <c r="G129" s="70" t="s">
        <v>93</v>
      </c>
      <c r="H129" s="231" t="str">
        <f t="shared" si="111"/>
        <v>-</v>
      </c>
      <c r="I129" s="38" t="e">
        <f t="shared" si="100"/>
        <v>#VALUE!</v>
      </c>
      <c r="J129" s="57" t="str">
        <f t="shared" si="112"/>
        <v>-</v>
      </c>
      <c r="K129" s="58" t="e">
        <f t="shared" si="101"/>
        <v>#REF!</v>
      </c>
      <c r="L129" s="91" t="e">
        <f t="shared" si="102"/>
        <v>#VALUE!</v>
      </c>
      <c r="M129" s="69">
        <v>20.7</v>
      </c>
      <c r="N129" s="79">
        <v>52</v>
      </c>
      <c r="O129" s="79">
        <v>1013.8</v>
      </c>
      <c r="P129" s="70">
        <v>-5.5709999999999999E-9</v>
      </c>
      <c r="Q129" s="79">
        <v>60</v>
      </c>
      <c r="R129" s="93">
        <v>42931</v>
      </c>
      <c r="S129" s="231">
        <f t="shared" si="103"/>
        <v>-5.576570999999999E-9</v>
      </c>
      <c r="T129" s="38">
        <f t="shared" si="104"/>
        <v>0.9950560817627313</v>
      </c>
      <c r="U129" s="74">
        <f t="shared" si="114"/>
        <v>-8.3833065147275748E-11</v>
      </c>
      <c r="V129" s="11">
        <f t="shared" si="113"/>
        <v>-8.3833065147275748E-11</v>
      </c>
      <c r="W129" s="58" t="e">
        <f t="shared" si="115"/>
        <v>#REF!</v>
      </c>
      <c r="X129" s="63">
        <f t="shared" si="116"/>
        <v>7.6053356701608552E-3</v>
      </c>
      <c r="Y129" s="71">
        <f t="shared" si="107"/>
        <v>0.76053356701608554</v>
      </c>
      <c r="Z129" s="58">
        <f t="shared" si="108"/>
        <v>9.1264028041930251E-3</v>
      </c>
      <c r="AA129" s="58">
        <f t="shared" si="109"/>
        <v>9.2024561608946339E-3</v>
      </c>
      <c r="AB129" s="47">
        <f t="shared" si="110"/>
        <v>9.5066695877010689E-3</v>
      </c>
    </row>
    <row r="130" spans="1:28" ht="15.75" thickBot="1" x14ac:dyDescent="0.3">
      <c r="A130" s="2627"/>
      <c r="B130" s="58" t="s">
        <v>93</v>
      </c>
      <c r="C130" s="58" t="s">
        <v>93</v>
      </c>
      <c r="D130" s="58" t="s">
        <v>93</v>
      </c>
      <c r="E130" s="58" t="s">
        <v>93</v>
      </c>
      <c r="F130" s="58" t="s">
        <v>93</v>
      </c>
      <c r="G130" s="58" t="s">
        <v>93</v>
      </c>
      <c r="H130" s="231" t="str">
        <f t="shared" si="111"/>
        <v>-</v>
      </c>
      <c r="I130" s="38" t="e">
        <f t="shared" si="100"/>
        <v>#VALUE!</v>
      </c>
      <c r="J130" s="57" t="str">
        <f t="shared" si="112"/>
        <v>-</v>
      </c>
      <c r="K130" s="58" t="e">
        <f t="shared" si="101"/>
        <v>#REF!</v>
      </c>
      <c r="L130" s="91" t="e">
        <f t="shared" si="102"/>
        <v>#VALUE!</v>
      </c>
      <c r="M130" s="69">
        <v>20.7</v>
      </c>
      <c r="N130" s="79">
        <v>52</v>
      </c>
      <c r="O130" s="79">
        <v>1013.8</v>
      </c>
      <c r="P130" s="70">
        <v>-5.5709999999999999E-9</v>
      </c>
      <c r="Q130" s="79">
        <v>60</v>
      </c>
      <c r="R130" s="93">
        <v>42931</v>
      </c>
      <c r="S130" s="231">
        <f t="shared" si="103"/>
        <v>-5.576570999999999E-9</v>
      </c>
      <c r="T130" s="38">
        <f t="shared" si="104"/>
        <v>0.9950560817627313</v>
      </c>
      <c r="U130" s="74">
        <f>S130/Q130*T130*EXP(-LN(2)/10990*($E$60-R130))</f>
        <v>-8.3833065147275748E-11</v>
      </c>
      <c r="V130" s="11">
        <f t="shared" si="113"/>
        <v>-8.3833065147275748E-11</v>
      </c>
      <c r="W130" s="11" t="e">
        <f t="shared" si="115"/>
        <v>#REF!</v>
      </c>
      <c r="X130" s="65">
        <f t="shared" si="116"/>
        <v>7.6053356701608552E-3</v>
      </c>
      <c r="Y130" s="71">
        <f t="shared" si="107"/>
        <v>0.76053356701608554</v>
      </c>
      <c r="Z130" s="58">
        <f t="shared" si="108"/>
        <v>9.1264028041930251E-3</v>
      </c>
      <c r="AA130" s="58">
        <f t="shared" si="109"/>
        <v>9.2024561608946339E-3</v>
      </c>
      <c r="AB130" s="47">
        <f t="shared" si="110"/>
        <v>9.5066695877010689E-3</v>
      </c>
    </row>
    <row r="131" spans="1:28" x14ac:dyDescent="0.25">
      <c r="A131" s="263" t="s">
        <v>61</v>
      </c>
      <c r="B131" s="39" t="e">
        <f>AVERAGE(B121:B130)</f>
        <v>#DIV/0!</v>
      </c>
      <c r="C131" s="242" t="e">
        <f>AVERAGE(C121:C130)</f>
        <v>#DIV/0!</v>
      </c>
      <c r="D131" s="239" t="e">
        <f>AVERAGE(D121:D130)</f>
        <v>#DIV/0!</v>
      </c>
      <c r="E131" s="11" t="e">
        <f>AVERAGE(E121:E130)</f>
        <v>#DIV/0!</v>
      </c>
      <c r="F131" s="236" t="e">
        <f>AVERAGE(F121:F130)</f>
        <v>#DIV/0!</v>
      </c>
      <c r="G131" s="90" t="s">
        <v>93</v>
      </c>
      <c r="H131" s="11" t="str">
        <f>IF(AND(H121="-",H122="-",H123="-",H124="-",H125="-",H126="-",H127="-",H128="-",H129="-",H130="-"),"-",AVERAGE(H121:H130))</f>
        <v>-</v>
      </c>
      <c r="I131" s="38" t="e">
        <f>AVERAGE(I121:I130)</f>
        <v>#VALUE!</v>
      </c>
      <c r="J131" s="75" t="str">
        <f>IF(AND(H121="-",H122="-",H123="-",H124="-",H125="-",H126="-",H127="-",H128="-",H129="-",H130="-"),"-",AVERAGE(J121:J130))</f>
        <v>-</v>
      </c>
      <c r="K131" s="73" t="e">
        <f t="shared" ref="K131:Q131" si="117">AVERAGE(K121:K130)</f>
        <v>#REF!</v>
      </c>
      <c r="L131" s="77" t="e">
        <f t="shared" si="117"/>
        <v>#VALUE!</v>
      </c>
      <c r="M131" s="243">
        <f t="shared" si="117"/>
        <v>20.699999999999996</v>
      </c>
      <c r="N131" s="232">
        <f t="shared" si="117"/>
        <v>52</v>
      </c>
      <c r="O131" s="232">
        <f t="shared" si="117"/>
        <v>1013.8</v>
      </c>
      <c r="P131" s="58">
        <f t="shared" si="117"/>
        <v>-5.5712999999999996E-9</v>
      </c>
      <c r="Q131" s="232">
        <f t="shared" si="117"/>
        <v>60</v>
      </c>
      <c r="R131" s="90" t="s">
        <v>93</v>
      </c>
      <c r="S131" s="11">
        <f t="shared" ref="S131:T131" si="118">AVERAGE(S121:S130)</f>
        <v>-5.5768712999999988E-9</v>
      </c>
      <c r="T131" s="38">
        <f t="shared" si="118"/>
        <v>0.99505608176273141</v>
      </c>
      <c r="U131" s="63">
        <f>AVERAGE(U121:U130)</f>
        <v>-8.3837579582663332E-11</v>
      </c>
      <c r="V131" s="58">
        <f t="shared" ref="V131:AB131" si="119">AVERAGE(V121:V130)</f>
        <v>-8.3837579582663332E-11</v>
      </c>
      <c r="W131" s="73" t="e">
        <f t="shared" si="119"/>
        <v>#REF!</v>
      </c>
      <c r="X131" s="75">
        <f t="shared" si="119"/>
        <v>7.6057452197392187E-3</v>
      </c>
      <c r="Y131" s="73">
        <f t="shared" si="119"/>
        <v>0.76057452197392161</v>
      </c>
      <c r="Z131" s="73">
        <f t="shared" si="119"/>
        <v>9.1268942636870583E-3</v>
      </c>
      <c r="AA131" s="73">
        <f t="shared" si="119"/>
        <v>9.2029517158844498E-3</v>
      </c>
      <c r="AB131" s="72">
        <f t="shared" si="119"/>
        <v>9.5071815246740195E-3</v>
      </c>
    </row>
    <row r="132" spans="1:28" x14ac:dyDescent="0.25">
      <c r="A132" s="263" t="s">
        <v>62</v>
      </c>
      <c r="B132" s="39">
        <f>STDEVA(B121:B130)</f>
        <v>0</v>
      </c>
      <c r="C132" s="41">
        <f>STDEVA(C121:C130)</f>
        <v>0</v>
      </c>
      <c r="D132" s="42">
        <f>STDEVA(D121:D130)</f>
        <v>0</v>
      </c>
      <c r="E132" s="11">
        <f>STDEVA(E121:E130)</f>
        <v>0</v>
      </c>
      <c r="F132" s="94">
        <f>STDEVA(F121:F130)</f>
        <v>0</v>
      </c>
      <c r="G132" s="40" t="s">
        <v>93</v>
      </c>
      <c r="H132" s="11" t="str">
        <f>IF(H131="-","-",STDEVA(H121:H130))</f>
        <v>-</v>
      </c>
      <c r="I132" s="40" t="e">
        <f t="shared" ref="I132" si="120">STDEVA(I121:I130)</f>
        <v>#VALUE!</v>
      </c>
      <c r="J132" s="63" t="str">
        <f>IF(J131="-","-",STDEVA(J121:J130))</f>
        <v>-</v>
      </c>
      <c r="K132" s="58" t="e">
        <f t="shared" ref="K132:Q132" si="121">STDEVA(K121:K130)</f>
        <v>#REF!</v>
      </c>
      <c r="L132" s="74" t="e">
        <f t="shared" si="121"/>
        <v>#VALUE!</v>
      </c>
      <c r="M132" s="82">
        <f t="shared" si="121"/>
        <v>3.7448890331484813E-15</v>
      </c>
      <c r="N132" s="38">
        <f t="shared" si="121"/>
        <v>0</v>
      </c>
      <c r="O132" s="38">
        <f t="shared" si="121"/>
        <v>0</v>
      </c>
      <c r="P132" s="58">
        <f t="shared" si="121"/>
        <v>8.2327260234848215E-13</v>
      </c>
      <c r="Q132" s="38">
        <f t="shared" si="121"/>
        <v>0</v>
      </c>
      <c r="R132" s="40" t="s">
        <v>93</v>
      </c>
      <c r="S132" s="11">
        <f t="shared" ref="S132:AB132" si="122">STDEVA(S121:S130)</f>
        <v>8.2409587495094808E-13</v>
      </c>
      <c r="T132" s="40">
        <f t="shared" si="122"/>
        <v>1.1702778228589004E-16</v>
      </c>
      <c r="U132" s="63">
        <f t="shared" si="122"/>
        <v>1.2388703232208793E-14</v>
      </c>
      <c r="V132" s="58">
        <f t="shared" si="122"/>
        <v>1.2388703232208793E-14</v>
      </c>
      <c r="W132" s="58" t="e">
        <f t="shared" si="122"/>
        <v>#REF!</v>
      </c>
      <c r="X132" s="63">
        <f t="shared" si="122"/>
        <v>1.1239031572260435E-6</v>
      </c>
      <c r="Y132" s="58">
        <f t="shared" si="122"/>
        <v>1.1239031572259825E-4</v>
      </c>
      <c r="Z132" s="58">
        <f t="shared" si="122"/>
        <v>1.3486837886716081E-6</v>
      </c>
      <c r="AA132" s="58">
        <f t="shared" si="122"/>
        <v>1.3599228202439928E-6</v>
      </c>
      <c r="AB132" s="47">
        <f t="shared" si="122"/>
        <v>1.4048789465328059E-6</v>
      </c>
    </row>
    <row r="133" spans="1:28" ht="15.75" thickBot="1" x14ac:dyDescent="0.3">
      <c r="A133" s="264" t="s">
        <v>63</v>
      </c>
      <c r="B133" s="44" t="e">
        <f>B132/B131*100</f>
        <v>#DIV/0!</v>
      </c>
      <c r="C133" s="45" t="e">
        <f>C132/C131*100</f>
        <v>#DIV/0!</v>
      </c>
      <c r="D133" s="46" t="e">
        <f>D132/D131*100</f>
        <v>#DIV/0!</v>
      </c>
      <c r="E133" s="43" t="e">
        <f>E132/E131*100</f>
        <v>#DIV/0!</v>
      </c>
      <c r="F133" s="95" t="e">
        <f>F132/F131*100</f>
        <v>#DIV/0!</v>
      </c>
      <c r="G133" s="43" t="s">
        <v>93</v>
      </c>
      <c r="H133" s="89" t="str">
        <f>IF(H131="-","-",H132/H131*100)</f>
        <v>-</v>
      </c>
      <c r="I133" s="43" t="e">
        <f t="shared" ref="I133" si="123">I132/I131*100</f>
        <v>#VALUE!</v>
      </c>
      <c r="J133" s="64" t="str">
        <f>IF(J131="-","-",J132/J131*100)</f>
        <v>-</v>
      </c>
      <c r="K133" s="19" t="e">
        <f t="shared" ref="K133:Q133" si="124">K132/K131*100</f>
        <v>#REF!</v>
      </c>
      <c r="L133" s="78" t="e">
        <f t="shared" si="124"/>
        <v>#VALUE!</v>
      </c>
      <c r="M133" s="83">
        <f t="shared" si="124"/>
        <v>1.8091251367867064E-14</v>
      </c>
      <c r="N133" s="81">
        <f t="shared" si="124"/>
        <v>0</v>
      </c>
      <c r="O133" s="81">
        <f t="shared" si="124"/>
        <v>0</v>
      </c>
      <c r="P133" s="19">
        <f t="shared" si="124"/>
        <v>-1.4777028742815541E-2</v>
      </c>
      <c r="Q133" s="81">
        <f t="shared" si="124"/>
        <v>0</v>
      </c>
      <c r="R133" s="43" t="s">
        <v>93</v>
      </c>
      <c r="S133" s="89">
        <f t="shared" ref="S133:AB133" si="125">S132/S131*100</f>
        <v>-1.4777028742817647E-2</v>
      </c>
      <c r="T133" s="43">
        <f t="shared" si="125"/>
        <v>1.1760923271638775E-14</v>
      </c>
      <c r="U133" s="64">
        <f t="shared" si="125"/>
        <v>-1.477702874281289E-2</v>
      </c>
      <c r="V133" s="19">
        <f t="shared" si="125"/>
        <v>-1.477702874281289E-2</v>
      </c>
      <c r="W133" s="19" t="e">
        <f t="shared" si="125"/>
        <v>#REF!</v>
      </c>
      <c r="X133" s="64">
        <f t="shared" si="125"/>
        <v>1.4777028742813701E-2</v>
      </c>
      <c r="Y133" s="19">
        <f t="shared" si="125"/>
        <v>1.4777028742812904E-2</v>
      </c>
      <c r="Z133" s="19">
        <f t="shared" si="125"/>
        <v>1.4777028742817611E-2</v>
      </c>
      <c r="AA133" s="19">
        <f t="shared" si="125"/>
        <v>1.4777028742818927E-2</v>
      </c>
      <c r="AB133" s="17">
        <f t="shared" si="125"/>
        <v>1.4777028742816355E-2</v>
      </c>
    </row>
  </sheetData>
  <sheetProtection password="D8A8"/>
  <mergeCells count="34">
    <mergeCell ref="A82:A91"/>
    <mergeCell ref="A95:A104"/>
    <mergeCell ref="A108:A117"/>
    <mergeCell ref="A121:A130"/>
    <mergeCell ref="AD68:AE68"/>
    <mergeCell ref="AD69:AE69"/>
    <mergeCell ref="AD73:AE73"/>
    <mergeCell ref="AD72:AE72"/>
    <mergeCell ref="AD71:AE71"/>
    <mergeCell ref="A69:A78"/>
    <mergeCell ref="AD70:AE70"/>
    <mergeCell ref="AH69:AH73"/>
    <mergeCell ref="M67:AB67"/>
    <mergeCell ref="A40:E40"/>
    <mergeCell ref="A41:B41"/>
    <mergeCell ref="A42:B43"/>
    <mergeCell ref="A44:B45"/>
    <mergeCell ref="A49:C49"/>
    <mergeCell ref="B67:L67"/>
    <mergeCell ref="M7:AB8"/>
    <mergeCell ref="D34:D35"/>
    <mergeCell ref="E34:F34"/>
    <mergeCell ref="A1:B4"/>
    <mergeCell ref="C1:F4"/>
    <mergeCell ref="A10:D10"/>
    <mergeCell ref="A14:B15"/>
    <mergeCell ref="A23:C24"/>
    <mergeCell ref="E23:F24"/>
    <mergeCell ref="B25:C25"/>
    <mergeCell ref="A32:F33"/>
    <mergeCell ref="H32:I33"/>
    <mergeCell ref="A34:A35"/>
    <mergeCell ref="B34:B35"/>
    <mergeCell ref="C34:C35"/>
  </mergeCells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132"/>
  <sheetViews>
    <sheetView topLeftCell="A70" zoomScale="70" zoomScaleNormal="70" workbookViewId="0">
      <selection activeCell="A27" sqref="A27"/>
    </sheetView>
  </sheetViews>
  <sheetFormatPr baseColWidth="10" defaultColWidth="11.42578125" defaultRowHeight="15" x14ac:dyDescent="0.25"/>
  <cols>
    <col min="1" max="1" width="11.42578125" style="56"/>
    <col min="2" max="3" width="12" style="56" customWidth="1"/>
    <col min="4" max="4" width="13" style="56" customWidth="1"/>
    <col min="5" max="5" width="14.28515625" style="56" customWidth="1"/>
    <col min="6" max="6" width="11.7109375" style="56" customWidth="1"/>
    <col min="7" max="7" width="13.5703125" style="56" customWidth="1"/>
    <col min="8" max="8" width="14.28515625" style="56" customWidth="1"/>
    <col min="9" max="9" width="12" style="56" customWidth="1"/>
    <col min="10" max="12" width="14.85546875" style="56" customWidth="1"/>
    <col min="13" max="13" width="13.28515625" style="56" customWidth="1"/>
    <col min="14" max="15" width="11.42578125" style="56"/>
    <col min="16" max="16" width="14.28515625" style="56" customWidth="1"/>
    <col min="17" max="17" width="9" style="56" customWidth="1"/>
    <col min="18" max="18" width="13.42578125" style="56" customWidth="1"/>
    <col min="19" max="19" width="14.42578125" style="56" customWidth="1"/>
    <col min="20" max="20" width="11.42578125" style="56"/>
    <col min="21" max="21" width="14.28515625" style="56" customWidth="1"/>
    <col min="22" max="23" width="13.85546875" style="56" customWidth="1"/>
    <col min="24" max="32" width="11.42578125" style="56"/>
    <col min="33" max="33" width="12.5703125" style="56" bestFit="1" customWidth="1"/>
    <col min="34" max="16384" width="11.42578125" style="56"/>
  </cols>
  <sheetData>
    <row r="1" spans="1:29" ht="15" customHeight="1" x14ac:dyDescent="0.25">
      <c r="A1" s="2645"/>
      <c r="B1" s="2646"/>
      <c r="C1" s="2253" t="s">
        <v>239</v>
      </c>
      <c r="D1" s="2651"/>
      <c r="E1" s="2651"/>
      <c r="F1" s="2646"/>
      <c r="G1" s="48" t="s">
        <v>68</v>
      </c>
      <c r="H1" s="50" t="s">
        <v>240</v>
      </c>
      <c r="K1"/>
      <c r="L1"/>
      <c r="M1"/>
    </row>
    <row r="2" spans="1:29" ht="15" customHeight="1" x14ac:dyDescent="0.25">
      <c r="A2" s="2647"/>
      <c r="B2" s="2648"/>
      <c r="C2" s="2647"/>
      <c r="D2" s="2652"/>
      <c r="E2" s="2652"/>
      <c r="F2" s="2648"/>
      <c r="G2" s="51" t="s">
        <v>69</v>
      </c>
      <c r="H2" s="52" t="s">
        <v>168</v>
      </c>
      <c r="K2"/>
      <c r="L2"/>
      <c r="M2"/>
    </row>
    <row r="3" spans="1:29" ht="15" customHeight="1" x14ac:dyDescent="0.25">
      <c r="A3" s="2647"/>
      <c r="B3" s="2648"/>
      <c r="C3" s="2647"/>
      <c r="D3" s="2652"/>
      <c r="E3" s="2652"/>
      <c r="F3" s="2648"/>
      <c r="G3" s="51" t="s">
        <v>70</v>
      </c>
      <c r="H3" s="52" t="s">
        <v>72</v>
      </c>
      <c r="K3"/>
      <c r="L3"/>
      <c r="M3"/>
    </row>
    <row r="4" spans="1:29" ht="15" customHeight="1" x14ac:dyDescent="0.25">
      <c r="A4" s="2649"/>
      <c r="B4" s="2650"/>
      <c r="C4" s="2649"/>
      <c r="D4" s="2653"/>
      <c r="E4" s="2653"/>
      <c r="F4" s="2650"/>
      <c r="G4" s="53" t="s">
        <v>71</v>
      </c>
      <c r="H4" s="55" t="s">
        <v>73</v>
      </c>
      <c r="K4"/>
      <c r="L4"/>
      <c r="M4"/>
    </row>
    <row r="6" spans="1:29" ht="15.75" thickBot="1" x14ac:dyDescent="0.3"/>
    <row r="7" spans="1:29" ht="15" customHeight="1" x14ac:dyDescent="0.25">
      <c r="K7" s="67"/>
      <c r="M7" s="2660" t="s">
        <v>666</v>
      </c>
      <c r="N7" s="2661"/>
      <c r="O7" s="2661"/>
      <c r="P7" s="2661"/>
      <c r="Q7" s="2661"/>
      <c r="R7" s="2661"/>
      <c r="S7" s="2661"/>
      <c r="T7" s="2661"/>
      <c r="U7" s="2661"/>
      <c r="V7" s="2661"/>
      <c r="W7" s="2661"/>
      <c r="X7" s="2661"/>
      <c r="Y7" s="2661"/>
      <c r="Z7" s="2661"/>
      <c r="AA7" s="2661"/>
      <c r="AB7" s="2661"/>
      <c r="AC7" s="2662"/>
    </row>
    <row r="8" spans="1:29" ht="15.75" customHeight="1" thickBot="1" x14ac:dyDescent="0.3">
      <c r="K8" s="67"/>
      <c r="M8" s="2663"/>
      <c r="N8" s="2664"/>
      <c r="O8" s="2664"/>
      <c r="P8" s="2664"/>
      <c r="Q8" s="2664"/>
      <c r="R8" s="2664"/>
      <c r="S8" s="2664"/>
      <c r="T8" s="2664"/>
      <c r="U8" s="2664"/>
      <c r="V8" s="2664"/>
      <c r="W8" s="2664"/>
      <c r="X8" s="2664"/>
      <c r="Y8" s="2664"/>
      <c r="Z8" s="2664"/>
      <c r="AA8" s="2664"/>
      <c r="AB8" s="2664"/>
      <c r="AC8" s="2665"/>
    </row>
    <row r="9" spans="1:29" ht="15.75" customHeight="1" thickBot="1" x14ac:dyDescent="0.3">
      <c r="A9" s="67"/>
      <c r="B9" s="67"/>
      <c r="C9" s="67"/>
      <c r="D9" s="67"/>
      <c r="E9" s="67"/>
      <c r="F9" s="67"/>
      <c r="K9" s="67"/>
    </row>
    <row r="10" spans="1:29" ht="15.75" thickBot="1" x14ac:dyDescent="0.3">
      <c r="A10" s="2294" t="s">
        <v>0</v>
      </c>
      <c r="B10" s="2654"/>
      <c r="C10" s="2654"/>
      <c r="D10" s="2655"/>
    </row>
    <row r="11" spans="1:29" x14ac:dyDescent="0.25">
      <c r="A11" s="1" t="s">
        <v>2</v>
      </c>
      <c r="B11" s="2" t="s">
        <v>3</v>
      </c>
      <c r="C11" s="3" t="s">
        <v>4</v>
      </c>
      <c r="D11" s="2" t="s">
        <v>5</v>
      </c>
    </row>
    <row r="12" spans="1:29" ht="15.75" thickBot="1" x14ac:dyDescent="0.3">
      <c r="A12" s="5" t="s">
        <v>9</v>
      </c>
      <c r="B12" s="6">
        <v>42576</v>
      </c>
      <c r="C12" s="269">
        <v>573.5</v>
      </c>
      <c r="D12" s="7">
        <f>573500000000/37000000000</f>
        <v>15.5</v>
      </c>
    </row>
    <row r="13" spans="1:29" ht="15.75" thickBot="1" x14ac:dyDescent="0.3"/>
    <row r="14" spans="1:29" ht="15" customHeight="1" x14ac:dyDescent="0.25">
      <c r="A14" s="2656" t="s">
        <v>1</v>
      </c>
      <c r="B14" s="2657"/>
    </row>
    <row r="15" spans="1:29" ht="15.75" thickBot="1" x14ac:dyDescent="0.3">
      <c r="A15" s="2658"/>
      <c r="B15" s="2659"/>
    </row>
    <row r="16" spans="1:29" x14ac:dyDescent="0.25">
      <c r="A16" s="2" t="s">
        <v>10</v>
      </c>
      <c r="B16" s="8">
        <v>7</v>
      </c>
    </row>
    <row r="17" spans="1:9" x14ac:dyDescent="0.25">
      <c r="A17" s="14" t="s">
        <v>14</v>
      </c>
      <c r="B17" s="15">
        <v>42</v>
      </c>
    </row>
    <row r="18" spans="1:9" x14ac:dyDescent="0.25">
      <c r="A18" s="14" t="s">
        <v>17</v>
      </c>
      <c r="B18" s="15">
        <v>14</v>
      </c>
    </row>
    <row r="19" spans="1:9" x14ac:dyDescent="0.25">
      <c r="A19" s="20" t="s">
        <v>18</v>
      </c>
      <c r="B19" s="21">
        <v>22</v>
      </c>
    </row>
    <row r="20" spans="1:9" ht="15.75" thickBot="1" x14ac:dyDescent="0.3">
      <c r="A20" s="22" t="s">
        <v>19</v>
      </c>
      <c r="B20" s="23">
        <v>17</v>
      </c>
    </row>
    <row r="22" spans="1:9" ht="15.75" thickBot="1" x14ac:dyDescent="0.3"/>
    <row r="23" spans="1:9" ht="15" customHeight="1" x14ac:dyDescent="0.25">
      <c r="A23" s="2239" t="s">
        <v>386</v>
      </c>
      <c r="B23" s="2240"/>
      <c r="C23" s="2241"/>
      <c r="E23" s="2239" t="s">
        <v>385</v>
      </c>
      <c r="F23" s="2241"/>
    </row>
    <row r="24" spans="1:9" ht="15.75" thickBot="1" x14ac:dyDescent="0.3">
      <c r="A24" s="2242"/>
      <c r="B24" s="2243"/>
      <c r="C24" s="2244"/>
      <c r="E24" s="2242"/>
      <c r="F24" s="2244"/>
    </row>
    <row r="25" spans="1:9" ht="15.75" thickBot="1" x14ac:dyDescent="0.3">
      <c r="A25" s="266" t="s">
        <v>349</v>
      </c>
      <c r="B25" s="2666">
        <v>42712</v>
      </c>
      <c r="C25" s="2667"/>
      <c r="E25" s="257">
        <f>'F-LSCD-002 (Dosimetría)'!F32</f>
        <v>22</v>
      </c>
      <c r="F25" s="258" t="str">
        <f>'F-LSCD-002 (Dosimetría)'!G32</f>
        <v>°C</v>
      </c>
    </row>
    <row r="26" spans="1:9" ht="15.75" thickBot="1" x14ac:dyDescent="0.3">
      <c r="A26" s="265" t="s">
        <v>118</v>
      </c>
      <c r="B26" s="256" t="s">
        <v>104</v>
      </c>
      <c r="C26" s="255" t="s">
        <v>310</v>
      </c>
      <c r="E26" s="5">
        <f>'F-LSCD-002 (Dosimetría)'!F33</f>
        <v>1013.25</v>
      </c>
      <c r="F26" s="18" t="str">
        <f>'F-LSCD-002 (Dosimetría)'!G33</f>
        <v>hPa</v>
      </c>
    </row>
    <row r="27" spans="1:9" x14ac:dyDescent="0.25">
      <c r="A27" s="274">
        <v>2797000</v>
      </c>
      <c r="B27" s="277" t="s">
        <v>11</v>
      </c>
      <c r="C27" s="1649">
        <v>1.6E-2</v>
      </c>
    </row>
    <row r="28" spans="1:9" ht="15.75" thickBot="1" x14ac:dyDescent="0.3">
      <c r="A28" s="283">
        <v>24560</v>
      </c>
      <c r="B28" s="269" t="s">
        <v>15</v>
      </c>
      <c r="C28" s="1650">
        <v>1.6E-2</v>
      </c>
    </row>
    <row r="30" spans="1:9" ht="15.75" thickBot="1" x14ac:dyDescent="0.3"/>
    <row r="31" spans="1:9" ht="15" customHeight="1" x14ac:dyDescent="0.25">
      <c r="A31" s="2239" t="s">
        <v>266</v>
      </c>
      <c r="B31" s="2240"/>
      <c r="C31" s="2240"/>
      <c r="D31" s="2240"/>
      <c r="E31" s="2240"/>
      <c r="F31" s="2241"/>
      <c r="H31" s="2239" t="s">
        <v>266</v>
      </c>
      <c r="I31" s="2241"/>
    </row>
    <row r="32" spans="1:9" ht="15.75" thickBot="1" x14ac:dyDescent="0.3">
      <c r="A32" s="2242"/>
      <c r="B32" s="2243"/>
      <c r="C32" s="2243"/>
      <c r="D32" s="2243"/>
      <c r="E32" s="2243"/>
      <c r="F32" s="2244"/>
      <c r="H32" s="2242"/>
      <c r="I32" s="2244"/>
    </row>
    <row r="33" spans="1:9" ht="33.75" customHeight="1" thickBot="1" x14ac:dyDescent="0.3">
      <c r="A33" s="2668" t="s">
        <v>265</v>
      </c>
      <c r="B33" s="2641" t="s">
        <v>6</v>
      </c>
      <c r="C33" s="2639" t="s">
        <v>270</v>
      </c>
      <c r="D33" s="2641" t="s">
        <v>310</v>
      </c>
      <c r="E33" s="2643" t="s">
        <v>271</v>
      </c>
      <c r="F33" s="2644"/>
      <c r="H33" s="259" t="s">
        <v>389</v>
      </c>
      <c r="I33" s="260">
        <f>'F-LSCD-002 (Dosimetría)'!H42</f>
        <v>9.9999999999999998E-13</v>
      </c>
    </row>
    <row r="34" spans="1:9" ht="15.75" thickBot="1" x14ac:dyDescent="0.3">
      <c r="A34" s="2669"/>
      <c r="B34" s="2642"/>
      <c r="C34" s="2640"/>
      <c r="D34" s="2642"/>
      <c r="E34" s="4" t="s">
        <v>272</v>
      </c>
      <c r="F34" s="267" t="s">
        <v>273</v>
      </c>
    </row>
    <row r="35" spans="1:9" ht="15" customHeight="1" x14ac:dyDescent="0.25">
      <c r="A35" s="10" t="s">
        <v>267</v>
      </c>
      <c r="B35" s="11" t="s">
        <v>268</v>
      </c>
      <c r="C35" s="111">
        <v>1.004</v>
      </c>
      <c r="D35" s="111">
        <v>2E-3</v>
      </c>
      <c r="E35" s="233">
        <v>-1.9999999999999999E-11</v>
      </c>
      <c r="F35" s="234">
        <v>-2.2900000000000001E-10</v>
      </c>
    </row>
    <row r="36" spans="1:9" ht="15.75" thickBot="1" x14ac:dyDescent="0.3">
      <c r="A36" s="16" t="s">
        <v>267</v>
      </c>
      <c r="B36" s="19" t="s">
        <v>269</v>
      </c>
      <c r="C36" s="230">
        <v>1.0009999999999999</v>
      </c>
      <c r="D36" s="230">
        <v>1E-3</v>
      </c>
      <c r="E36" s="235">
        <v>-1E-10</v>
      </c>
      <c r="F36" s="17">
        <v>-2.3000000000000001E-8</v>
      </c>
    </row>
    <row r="39" spans="1:9" x14ac:dyDescent="0.25">
      <c r="A39" s="2628" t="s">
        <v>110</v>
      </c>
      <c r="B39" s="2628"/>
      <c r="C39" s="2628"/>
      <c r="D39" s="2628"/>
      <c r="E39" s="2628"/>
    </row>
    <row r="40" spans="1:9" x14ac:dyDescent="0.25">
      <c r="A40" s="2637" t="s">
        <v>102</v>
      </c>
      <c r="B40" s="2638"/>
      <c r="C40" s="270" t="s">
        <v>103</v>
      </c>
      <c r="D40" s="270" t="s">
        <v>104</v>
      </c>
      <c r="E40" s="270" t="s">
        <v>105</v>
      </c>
    </row>
    <row r="41" spans="1:9" ht="18" x14ac:dyDescent="0.25">
      <c r="A41" s="2629" t="s">
        <v>98</v>
      </c>
      <c r="B41" s="2629"/>
      <c r="C41" s="71" t="s">
        <v>143</v>
      </c>
      <c r="D41" s="71" t="s">
        <v>108</v>
      </c>
      <c r="E41" s="102" t="str">
        <f>'F-LSCD-002 (Dosimetría)'!F77</f>
        <v>---</v>
      </c>
    </row>
    <row r="42" spans="1:9" ht="18" x14ac:dyDescent="0.25">
      <c r="A42" s="2629"/>
      <c r="B42" s="2629"/>
      <c r="C42" s="71" t="s">
        <v>106</v>
      </c>
      <c r="D42" s="71" t="s">
        <v>108</v>
      </c>
      <c r="E42" s="279">
        <f>'F-LSCD-002 (Dosimetría)'!F78</f>
        <v>1.2</v>
      </c>
    </row>
    <row r="43" spans="1:9" ht="18" x14ac:dyDescent="0.25">
      <c r="A43" s="2628" t="s">
        <v>101</v>
      </c>
      <c r="B43" s="2628"/>
      <c r="C43" s="103" t="s">
        <v>144</v>
      </c>
      <c r="D43" s="71" t="s">
        <v>108</v>
      </c>
      <c r="E43" s="102">
        <f>'F-LSCD-002 (Dosimetría)'!F79</f>
        <v>1.25</v>
      </c>
    </row>
    <row r="44" spans="1:9" ht="18" x14ac:dyDescent="0.25">
      <c r="A44" s="2628"/>
      <c r="B44" s="2628"/>
      <c r="C44" s="71" t="s">
        <v>107</v>
      </c>
      <c r="D44" s="71" t="s">
        <v>108</v>
      </c>
      <c r="E44" s="102">
        <f>'F-LSCD-002 (Dosimetría)'!F80</f>
        <v>1.21</v>
      </c>
    </row>
    <row r="45" spans="1:9" ht="18" x14ac:dyDescent="0.25">
      <c r="A45" s="104" t="s">
        <v>99</v>
      </c>
      <c r="B45" s="270"/>
      <c r="C45" s="71" t="s">
        <v>144</v>
      </c>
      <c r="D45" s="71" t="s">
        <v>108</v>
      </c>
      <c r="E45" s="102" t="str">
        <f>'F-LSCD-002 (Dosimetría)'!F81</f>
        <v>---</v>
      </c>
    </row>
    <row r="46" spans="1:9" ht="18" x14ac:dyDescent="0.25">
      <c r="A46" s="104" t="s">
        <v>100</v>
      </c>
      <c r="B46" s="270"/>
      <c r="C46" s="71" t="s">
        <v>144</v>
      </c>
      <c r="D46" s="71" t="s">
        <v>108</v>
      </c>
      <c r="E46" s="102" t="str">
        <f>'F-LSCD-002 (Dosimetría)'!F82</f>
        <v>---</v>
      </c>
    </row>
    <row r="48" spans="1:9" x14ac:dyDescent="0.25">
      <c r="A48" s="2629" t="s">
        <v>122</v>
      </c>
      <c r="B48" s="2629"/>
      <c r="C48" s="2629"/>
    </row>
    <row r="49" spans="1:6" x14ac:dyDescent="0.25">
      <c r="A49" s="108" t="s">
        <v>120</v>
      </c>
      <c r="B49" s="107">
        <v>0.877</v>
      </c>
      <c r="C49" s="110" t="s">
        <v>116</v>
      </c>
    </row>
    <row r="50" spans="1:6" x14ac:dyDescent="0.25">
      <c r="A50" s="109" t="s">
        <v>121</v>
      </c>
      <c r="B50" s="107">
        <v>100</v>
      </c>
      <c r="C50" s="110" t="s">
        <v>116</v>
      </c>
    </row>
    <row r="51" spans="1:6" ht="15.75" thickBot="1" x14ac:dyDescent="0.3"/>
    <row r="52" spans="1:6" ht="15.75" thickBot="1" x14ac:dyDescent="0.3">
      <c r="A52" s="32" t="s">
        <v>23</v>
      </c>
      <c r="B52" s="33"/>
      <c r="C52" s="33"/>
      <c r="D52" s="33"/>
      <c r="E52" s="268"/>
      <c r="F52" s="34">
        <v>1.5</v>
      </c>
    </row>
    <row r="54" spans="1:6" ht="15.75" thickBot="1" x14ac:dyDescent="0.3"/>
    <row r="55" spans="1:6" x14ac:dyDescent="0.25">
      <c r="B55" s="24" t="s">
        <v>20</v>
      </c>
      <c r="C55" s="25"/>
      <c r="D55" s="25"/>
      <c r="E55" s="26" t="s">
        <v>9</v>
      </c>
    </row>
    <row r="56" spans="1:6" x14ac:dyDescent="0.25">
      <c r="B56" s="27" t="s">
        <v>21</v>
      </c>
      <c r="C56" s="28"/>
      <c r="D56" s="28"/>
      <c r="E56" s="29">
        <v>15.5</v>
      </c>
    </row>
    <row r="57" spans="1:6" x14ac:dyDescent="0.25">
      <c r="B57" s="27" t="s">
        <v>76</v>
      </c>
      <c r="C57" s="28"/>
      <c r="D57" s="59"/>
      <c r="E57" s="60">
        <v>42576</v>
      </c>
    </row>
    <row r="58" spans="1:6" x14ac:dyDescent="0.25">
      <c r="B58" s="27" t="s">
        <v>77</v>
      </c>
      <c r="C58" s="28"/>
      <c r="D58" s="30"/>
      <c r="E58" s="31">
        <v>42919</v>
      </c>
    </row>
    <row r="59" spans="1:6" x14ac:dyDescent="0.25">
      <c r="B59" s="27" t="s">
        <v>75</v>
      </c>
      <c r="C59" s="28"/>
      <c r="D59" s="30"/>
      <c r="E59" s="31">
        <f>'F-LSCD-002 (Dosimetría)'!F96</f>
        <v>44488</v>
      </c>
    </row>
    <row r="60" spans="1:6" x14ac:dyDescent="0.25">
      <c r="B60" s="27" t="s">
        <v>22</v>
      </c>
      <c r="C60" s="28"/>
      <c r="D60" s="28"/>
      <c r="E60" s="29">
        <f>EXP(-LN(2)*(E59-E57)/10990)</f>
        <v>0.88639623454367944</v>
      </c>
    </row>
    <row r="61" spans="1:6" ht="15.75" thickBot="1" x14ac:dyDescent="0.3">
      <c r="B61" s="35" t="s">
        <v>64</v>
      </c>
      <c r="C61" s="36"/>
      <c r="D61" s="36"/>
      <c r="E61" s="61">
        <f>E60*E56</f>
        <v>13.739141635427032</v>
      </c>
    </row>
    <row r="65" spans="1:35" ht="15.75" thickBot="1" x14ac:dyDescent="0.3"/>
    <row r="66" spans="1:35" ht="15.75" customHeight="1" thickBot="1" x14ac:dyDescent="0.3">
      <c r="B66" s="2676" t="s">
        <v>405</v>
      </c>
      <c r="C66" s="2677"/>
      <c r="D66" s="2677"/>
      <c r="E66" s="2677"/>
      <c r="F66" s="2677"/>
      <c r="G66" s="2677"/>
      <c r="H66" s="2677"/>
      <c r="I66" s="2677"/>
      <c r="J66" s="2677"/>
      <c r="K66" s="2677"/>
      <c r="L66" s="2678"/>
      <c r="M66" s="2384" t="s">
        <v>24</v>
      </c>
      <c r="N66" s="2630"/>
      <c r="O66" s="2630"/>
      <c r="P66" s="2630"/>
      <c r="Q66" s="2630"/>
      <c r="R66" s="2630"/>
      <c r="S66" s="2630"/>
      <c r="T66" s="2630"/>
      <c r="U66" s="2630"/>
      <c r="V66" s="2630"/>
      <c r="W66" s="2630"/>
      <c r="X66" s="2630"/>
      <c r="Y66" s="2630"/>
      <c r="Z66" s="2630"/>
      <c r="AA66" s="2630"/>
      <c r="AB66" s="2630"/>
      <c r="AC66" s="2428"/>
    </row>
    <row r="67" spans="1:35" ht="30.75" thickBot="1" x14ac:dyDescent="0.3">
      <c r="A67" s="85" t="s">
        <v>56</v>
      </c>
      <c r="B67" s="98" t="s">
        <v>57</v>
      </c>
      <c r="C67" s="99" t="s">
        <v>58</v>
      </c>
      <c r="D67" s="99" t="s">
        <v>59</v>
      </c>
      <c r="E67" s="99" t="s">
        <v>264</v>
      </c>
      <c r="F67" s="99" t="s">
        <v>91</v>
      </c>
      <c r="G67" s="99" t="s">
        <v>92</v>
      </c>
      <c r="H67" s="99" t="s">
        <v>263</v>
      </c>
      <c r="I67" s="99" t="s">
        <v>60</v>
      </c>
      <c r="J67" s="100" t="s">
        <v>274</v>
      </c>
      <c r="K67" s="99" t="s">
        <v>7</v>
      </c>
      <c r="L67" s="101" t="s">
        <v>8</v>
      </c>
      <c r="M67" s="98" t="s">
        <v>57</v>
      </c>
      <c r="N67" s="99" t="s">
        <v>58</v>
      </c>
      <c r="O67" s="99" t="s">
        <v>59</v>
      </c>
      <c r="P67" s="100" t="s">
        <v>264</v>
      </c>
      <c r="Q67" s="99" t="s">
        <v>91</v>
      </c>
      <c r="R67" s="99" t="s">
        <v>92</v>
      </c>
      <c r="S67" s="99" t="s">
        <v>263</v>
      </c>
      <c r="T67" s="99" t="s">
        <v>60</v>
      </c>
      <c r="U67" s="100" t="s">
        <v>274</v>
      </c>
      <c r="V67" s="99" t="s">
        <v>94</v>
      </c>
      <c r="W67" s="99" t="s">
        <v>7</v>
      </c>
      <c r="X67" s="99" t="s">
        <v>8</v>
      </c>
      <c r="Y67" s="99" t="s">
        <v>644</v>
      </c>
      <c r="Z67" s="99" t="s">
        <v>119</v>
      </c>
      <c r="AA67" s="99" t="s">
        <v>97</v>
      </c>
      <c r="AB67" s="99" t="s">
        <v>95</v>
      </c>
      <c r="AC67" s="101" t="s">
        <v>96</v>
      </c>
      <c r="AE67" s="2679" t="s">
        <v>407</v>
      </c>
      <c r="AF67" s="2680"/>
      <c r="AG67" s="261" t="s">
        <v>644</v>
      </c>
      <c r="AH67" s="284" t="s">
        <v>408</v>
      </c>
      <c r="AI67" s="262" t="s">
        <v>415</v>
      </c>
    </row>
    <row r="68" spans="1:35" x14ac:dyDescent="0.25">
      <c r="A68" s="2625">
        <v>200</v>
      </c>
      <c r="B68" s="76" t="s">
        <v>93</v>
      </c>
      <c r="C68" s="76" t="s">
        <v>93</v>
      </c>
      <c r="D68" s="76" t="s">
        <v>93</v>
      </c>
      <c r="E68" s="76" t="s">
        <v>93</v>
      </c>
      <c r="F68" s="76" t="s">
        <v>93</v>
      </c>
      <c r="G68" s="76" t="s">
        <v>93</v>
      </c>
      <c r="H68" s="231" t="str">
        <f>IF(E68="-","-",IF(AND(E68&lt;=$E$35,E68&gt;=$F$35),E68*$C$35,IF(AND(E68&lt;=$E$36,E68&gt;=$F$36),E68*$C$36,"rango cal. out")))</f>
        <v>-</v>
      </c>
      <c r="I68" s="40" t="e">
        <f t="shared" ref="I68:I77" si="0">((273.2+B68)*$E$26/((273.2+$E$25)*D68))</f>
        <v>#VALUE!</v>
      </c>
      <c r="J68" s="57" t="str">
        <f>IF(H68="-","-",H68/F68*I68)</f>
        <v>-</v>
      </c>
      <c r="K68" s="11" t="e">
        <f t="shared" ref="K68:K77" si="1">ABS($A$27*J68*3600)</f>
        <v>#VALUE!</v>
      </c>
      <c r="L68" s="97" t="e">
        <f t="shared" ref="L68:L77" si="2">ABS($A$28*J68*3600)</f>
        <v>#VALUE!</v>
      </c>
      <c r="M68" s="68">
        <v>20.5</v>
      </c>
      <c r="N68" s="80">
        <v>52</v>
      </c>
      <c r="O68" s="80">
        <v>1013.3</v>
      </c>
      <c r="P68" s="76">
        <v>-5.5489999999999998E-9</v>
      </c>
      <c r="Q68" s="80">
        <v>60</v>
      </c>
      <c r="R68" s="105">
        <v>42931</v>
      </c>
      <c r="S68" s="231">
        <f t="shared" ref="S68:S77" si="3">IF(AND(P68&lt;=$E$35,P68&gt;=$F$35),P68*$C$35,IF(AND(P68&lt;=$E$36,P68&gt;=$F$36),P68*$C$36,"rango cal. out"))</f>
        <v>-5.5545489999999993E-9</v>
      </c>
      <c r="T68" s="40">
        <f t="shared" ref="T68:T77" si="4">((273.2+M68)*$E$26/((273.2+$E$25)*O68))</f>
        <v>0.99486960618890696</v>
      </c>
      <c r="U68" s="57">
        <f>S68/Q68*T68*EXP(-LN(2)/10990*($E$59-R68))</f>
        <v>-8.3486358102946006E-11</v>
      </c>
      <c r="V68" s="11">
        <f>IF($J$78="-",U68,U68-$J$78)</f>
        <v>-8.3486358102946006E-11</v>
      </c>
      <c r="W68" s="11">
        <f>ABS($A$27*V68*3600)</f>
        <v>0.84064083701018388</v>
      </c>
      <c r="X68" s="65">
        <f t="shared" ref="X68:X77" si="5">ABS($A$28*V68*3600)</f>
        <v>7.3815298380300737E-3</v>
      </c>
      <c r="Y68" s="65">
        <f>W68*Q68/3600</f>
        <v>1.4010680616836397E-2</v>
      </c>
      <c r="Z68" s="111">
        <f t="shared" ref="Z68:Z77" si="6">X68*$B$50</f>
        <v>0.73815298380300742</v>
      </c>
      <c r="AA68" s="11">
        <f t="shared" ref="AA68:AA77" si="7">X68*$E$42</f>
        <v>8.8578358056360888E-3</v>
      </c>
      <c r="AB68" s="11">
        <f t="shared" ref="AB68:AB77" si="8">X68*$E$44</f>
        <v>8.931651104016388E-3</v>
      </c>
      <c r="AC68" s="12">
        <f t="shared" ref="AC68:AC77" si="9">X68*$E$43</f>
        <v>9.2269122975375921E-3</v>
      </c>
      <c r="AE68" s="2681" t="s">
        <v>409</v>
      </c>
      <c r="AF68" s="2682"/>
      <c r="AG68" s="57">
        <f>Y78</f>
        <v>1.4010428126646868E-2</v>
      </c>
      <c r="AH68" s="288">
        <f>ABS(AG68-$AG$68)/$AG$68</f>
        <v>0</v>
      </c>
      <c r="AI68" s="2673">
        <f>MAX(AH68:AH72)</f>
        <v>1.7444898988988669E-2</v>
      </c>
    </row>
    <row r="69" spans="1:35" x14ac:dyDescent="0.25">
      <c r="A69" s="2626"/>
      <c r="B69" s="70" t="s">
        <v>93</v>
      </c>
      <c r="C69" s="70" t="s">
        <v>93</v>
      </c>
      <c r="D69" s="70" t="s">
        <v>93</v>
      </c>
      <c r="E69" s="70" t="s">
        <v>93</v>
      </c>
      <c r="F69" s="70" t="s">
        <v>93</v>
      </c>
      <c r="G69" s="70" t="s">
        <v>93</v>
      </c>
      <c r="H69" s="231" t="str">
        <f t="shared" ref="H69:H77" si="10">IF(E69="-","-",IF(AND(E69&lt;=$E$35,E69&gt;=$F$35),E69*$C$35,IF(AND(E69&lt;=$E$36,E69&gt;=$F$36),E69*$C$36,"rango cal. out")))</f>
        <v>-</v>
      </c>
      <c r="I69" s="38" t="e">
        <f t="shared" si="0"/>
        <v>#VALUE!</v>
      </c>
      <c r="J69" s="57" t="str">
        <f t="shared" ref="J69:J77" si="11">IF(H69="-","-",H69/F69*I69)</f>
        <v>-</v>
      </c>
      <c r="K69" s="58" t="e">
        <f t="shared" si="1"/>
        <v>#VALUE!</v>
      </c>
      <c r="L69" s="91" t="e">
        <f t="shared" si="2"/>
        <v>#VALUE!</v>
      </c>
      <c r="M69" s="69">
        <v>20.5</v>
      </c>
      <c r="N69" s="79">
        <v>52</v>
      </c>
      <c r="O69" s="79">
        <v>1013.3</v>
      </c>
      <c r="P69" s="70">
        <v>-5.5500000000000001E-9</v>
      </c>
      <c r="Q69" s="79">
        <v>60</v>
      </c>
      <c r="R69" s="92">
        <v>42931</v>
      </c>
      <c r="S69" s="231">
        <f t="shared" si="3"/>
        <v>-5.5555499999999991E-9</v>
      </c>
      <c r="T69" s="38">
        <f t="shared" si="4"/>
        <v>0.99486960618890696</v>
      </c>
      <c r="U69" s="74">
        <f>S69/Q69*T69*EXP(-LN(2)/10990*($E$59-R69))</f>
        <v>-8.3501403400856053E-11</v>
      </c>
      <c r="V69" s="58">
        <f t="shared" ref="V69:V77" si="12">IF($J$78="-",U69,U69-$J$78)</f>
        <v>-8.3501403400856053E-11</v>
      </c>
      <c r="W69" s="58">
        <f>ABS($A$27*V69*3600)</f>
        <v>0.84079233112389973</v>
      </c>
      <c r="X69" s="63">
        <f t="shared" si="5"/>
        <v>7.3828600830900893E-3</v>
      </c>
      <c r="Y69" s="65">
        <f t="shared" ref="Y69:Y77" si="13">W69*Q69/3600</f>
        <v>1.4013205518731661E-2</v>
      </c>
      <c r="Z69" s="58">
        <f t="shared" si="6"/>
        <v>0.73828600830900892</v>
      </c>
      <c r="AA69" s="58">
        <f t="shared" si="7"/>
        <v>8.8594320997081068E-3</v>
      </c>
      <c r="AB69" s="58">
        <f t="shared" si="8"/>
        <v>8.9332607005390072E-3</v>
      </c>
      <c r="AC69" s="47">
        <f t="shared" si="9"/>
        <v>9.2285751038626122E-3</v>
      </c>
      <c r="AE69" s="2685" t="s">
        <v>651</v>
      </c>
      <c r="AF69" s="2686"/>
      <c r="AG69" s="74">
        <f>Y91</f>
        <v>1.3808338572443037E-2</v>
      </c>
      <c r="AH69" s="288">
        <f>ABS(AG69-$AG$68)/$AG$68</f>
        <v>1.4424224040625195E-2</v>
      </c>
      <c r="AI69" s="2674"/>
    </row>
    <row r="70" spans="1:35" x14ac:dyDescent="0.25">
      <c r="A70" s="2626"/>
      <c r="B70" s="70" t="s">
        <v>93</v>
      </c>
      <c r="C70" s="70" t="s">
        <v>93</v>
      </c>
      <c r="D70" s="70" t="s">
        <v>93</v>
      </c>
      <c r="E70" s="70" t="s">
        <v>93</v>
      </c>
      <c r="F70" s="70" t="s">
        <v>93</v>
      </c>
      <c r="G70" s="70" t="s">
        <v>93</v>
      </c>
      <c r="H70" s="231" t="str">
        <f t="shared" si="10"/>
        <v>-</v>
      </c>
      <c r="I70" s="38" t="e">
        <f t="shared" si="0"/>
        <v>#VALUE!</v>
      </c>
      <c r="J70" s="57" t="str">
        <f t="shared" si="11"/>
        <v>-</v>
      </c>
      <c r="K70" s="58" t="e">
        <f t="shared" si="1"/>
        <v>#VALUE!</v>
      </c>
      <c r="L70" s="91" t="e">
        <f t="shared" si="2"/>
        <v>#VALUE!</v>
      </c>
      <c r="M70" s="69">
        <v>20.5</v>
      </c>
      <c r="N70" s="79">
        <v>52</v>
      </c>
      <c r="O70" s="79">
        <v>1013.3</v>
      </c>
      <c r="P70" s="70">
        <v>-5.5480000000000003E-9</v>
      </c>
      <c r="Q70" s="79">
        <v>60</v>
      </c>
      <c r="R70" s="92">
        <v>42931</v>
      </c>
      <c r="S70" s="231">
        <f t="shared" si="3"/>
        <v>-5.5535479999999995E-9</v>
      </c>
      <c r="T70" s="38">
        <f t="shared" si="4"/>
        <v>0.99486960618890696</v>
      </c>
      <c r="U70" s="74">
        <f>S70/Q70*T70*EXP(-LN(2)/10990*($E$59-R70))</f>
        <v>-8.3471312805035933E-11</v>
      </c>
      <c r="V70" s="58">
        <f t="shared" si="12"/>
        <v>-8.3471312805035933E-11</v>
      </c>
      <c r="W70" s="58">
        <f t="shared" ref="W70:W77" si="14">ABS($A$27*V70*3600)</f>
        <v>0.84048934289646782</v>
      </c>
      <c r="X70" s="63">
        <f t="shared" si="5"/>
        <v>7.3801995929700564E-3</v>
      </c>
      <c r="Y70" s="65">
        <f t="shared" si="13"/>
        <v>1.400815571494113E-2</v>
      </c>
      <c r="Z70" s="71">
        <f t="shared" si="6"/>
        <v>0.73801995929700559</v>
      </c>
      <c r="AA70" s="58">
        <f t="shared" si="7"/>
        <v>8.8562395115640673E-3</v>
      </c>
      <c r="AB70" s="58">
        <f t="shared" si="8"/>
        <v>8.9300415074937672E-3</v>
      </c>
      <c r="AC70" s="47">
        <f t="shared" si="9"/>
        <v>9.2252494912125702E-3</v>
      </c>
      <c r="AE70" s="2685" t="s">
        <v>652</v>
      </c>
      <c r="AF70" s="2686"/>
      <c r="AG70" s="74">
        <f>Y104</f>
        <v>1.3995026225085741E-2</v>
      </c>
      <c r="AH70" s="288">
        <f>ABS(AG70-$AG$68)/$AG$68</f>
        <v>1.0993169817440794E-3</v>
      </c>
      <c r="AI70" s="2674"/>
    </row>
    <row r="71" spans="1:35" x14ac:dyDescent="0.25">
      <c r="A71" s="2626"/>
      <c r="B71" s="70" t="s">
        <v>93</v>
      </c>
      <c r="C71" s="70" t="s">
        <v>93</v>
      </c>
      <c r="D71" s="70" t="s">
        <v>93</v>
      </c>
      <c r="E71" s="70" t="s">
        <v>93</v>
      </c>
      <c r="F71" s="70" t="s">
        <v>93</v>
      </c>
      <c r="G71" s="70" t="s">
        <v>93</v>
      </c>
      <c r="H71" s="231" t="str">
        <f t="shared" si="10"/>
        <v>-</v>
      </c>
      <c r="I71" s="38" t="e">
        <f t="shared" si="0"/>
        <v>#VALUE!</v>
      </c>
      <c r="J71" s="57" t="str">
        <f t="shared" si="11"/>
        <v>-</v>
      </c>
      <c r="K71" s="58" t="e">
        <f t="shared" si="1"/>
        <v>#VALUE!</v>
      </c>
      <c r="L71" s="91" t="e">
        <f t="shared" si="2"/>
        <v>#VALUE!</v>
      </c>
      <c r="M71" s="69">
        <v>20.5</v>
      </c>
      <c r="N71" s="79">
        <v>52</v>
      </c>
      <c r="O71" s="79">
        <v>1013.3</v>
      </c>
      <c r="P71" s="70">
        <v>-5.547E-9</v>
      </c>
      <c r="Q71" s="79">
        <v>60</v>
      </c>
      <c r="R71" s="92">
        <v>42931</v>
      </c>
      <c r="S71" s="231">
        <f t="shared" si="3"/>
        <v>-5.5525469999999997E-9</v>
      </c>
      <c r="T71" s="38">
        <f t="shared" si="4"/>
        <v>0.99486960618890696</v>
      </c>
      <c r="U71" s="74">
        <f t="shared" ref="U71:U76" si="15">S71/Q71*T71*EXP(-LN(2)/10990*($E$59-R71))</f>
        <v>-8.3456267507125873E-11</v>
      </c>
      <c r="V71" s="58">
        <f t="shared" si="12"/>
        <v>-8.3456267507125873E-11</v>
      </c>
      <c r="W71" s="58">
        <f t="shared" si="14"/>
        <v>0.84033784878275186</v>
      </c>
      <c r="X71" s="63">
        <f t="shared" si="5"/>
        <v>7.3788693479100408E-3</v>
      </c>
      <c r="Y71" s="65">
        <f t="shared" si="13"/>
        <v>1.4005630813045863E-2</v>
      </c>
      <c r="Z71" s="71">
        <f t="shared" si="6"/>
        <v>0.73788693479100409</v>
      </c>
      <c r="AA71" s="58">
        <f t="shared" si="7"/>
        <v>8.8546432174920493E-3</v>
      </c>
      <c r="AB71" s="58">
        <f t="shared" si="8"/>
        <v>8.9284319109711498E-3</v>
      </c>
      <c r="AC71" s="47">
        <f t="shared" si="9"/>
        <v>9.2235866848875518E-3</v>
      </c>
      <c r="AE71" s="2685" t="s">
        <v>653</v>
      </c>
      <c r="AF71" s="2686"/>
      <c r="AG71" s="74">
        <f>Y117</f>
        <v>1.3766017623185028E-2</v>
      </c>
      <c r="AH71" s="288">
        <f>ABS(AG71-$AG$68)/$AG$68</f>
        <v>1.7444898988988669E-2</v>
      </c>
      <c r="AI71" s="2674"/>
    </row>
    <row r="72" spans="1:35" ht="15.75" thickBot="1" x14ac:dyDescent="0.3">
      <c r="A72" s="2626"/>
      <c r="B72" s="70" t="s">
        <v>93</v>
      </c>
      <c r="C72" s="70" t="s">
        <v>93</v>
      </c>
      <c r="D72" s="70" t="s">
        <v>93</v>
      </c>
      <c r="E72" s="70" t="s">
        <v>93</v>
      </c>
      <c r="F72" s="70" t="s">
        <v>93</v>
      </c>
      <c r="G72" s="70" t="s">
        <v>93</v>
      </c>
      <c r="H72" s="231" t="str">
        <f t="shared" si="10"/>
        <v>-</v>
      </c>
      <c r="I72" s="38" t="e">
        <f t="shared" si="0"/>
        <v>#VALUE!</v>
      </c>
      <c r="J72" s="57" t="str">
        <f t="shared" si="11"/>
        <v>-</v>
      </c>
      <c r="K72" s="58" t="e">
        <f t="shared" si="1"/>
        <v>#VALUE!</v>
      </c>
      <c r="L72" s="91" t="e">
        <f t="shared" si="2"/>
        <v>#VALUE!</v>
      </c>
      <c r="M72" s="69">
        <v>20.5</v>
      </c>
      <c r="N72" s="79">
        <v>52</v>
      </c>
      <c r="O72" s="79">
        <v>1013.3</v>
      </c>
      <c r="P72" s="70">
        <v>-5.5500000000000001E-9</v>
      </c>
      <c r="Q72" s="79">
        <v>60</v>
      </c>
      <c r="R72" s="93">
        <v>42931</v>
      </c>
      <c r="S72" s="231">
        <f t="shared" si="3"/>
        <v>-5.5555499999999991E-9</v>
      </c>
      <c r="T72" s="38">
        <f t="shared" si="4"/>
        <v>0.99486960618890696</v>
      </c>
      <c r="U72" s="74">
        <f t="shared" si="15"/>
        <v>-8.3501403400856053E-11</v>
      </c>
      <c r="V72" s="58">
        <f t="shared" si="12"/>
        <v>-8.3501403400856053E-11</v>
      </c>
      <c r="W72" s="58">
        <f t="shared" si="14"/>
        <v>0.84079233112389973</v>
      </c>
      <c r="X72" s="63">
        <f t="shared" si="5"/>
        <v>7.3828600830900893E-3</v>
      </c>
      <c r="Y72" s="65">
        <f t="shared" si="13"/>
        <v>1.4013205518731661E-2</v>
      </c>
      <c r="Z72" s="71">
        <f t="shared" si="6"/>
        <v>0.73828600830900892</v>
      </c>
      <c r="AA72" s="58">
        <f t="shared" si="7"/>
        <v>8.8594320997081068E-3</v>
      </c>
      <c r="AB72" s="58">
        <f t="shared" si="8"/>
        <v>8.9332607005390072E-3</v>
      </c>
      <c r="AC72" s="47">
        <f t="shared" si="9"/>
        <v>9.2285751038626122E-3</v>
      </c>
      <c r="AE72" s="2683" t="s">
        <v>654</v>
      </c>
      <c r="AF72" s="2684"/>
      <c r="AG72" s="78">
        <f>Y130</f>
        <v>1.4007650734562074E-2</v>
      </c>
      <c r="AH72" s="289">
        <f>ABS(AG72-$AG$68)/$AG$68</f>
        <v>1.9823748851127007E-4</v>
      </c>
      <c r="AI72" s="2675"/>
    </row>
    <row r="73" spans="1:35" x14ac:dyDescent="0.25">
      <c r="A73" s="2626"/>
      <c r="B73" s="70" t="s">
        <v>93</v>
      </c>
      <c r="C73" s="70" t="s">
        <v>93</v>
      </c>
      <c r="D73" s="70" t="s">
        <v>93</v>
      </c>
      <c r="E73" s="70" t="s">
        <v>93</v>
      </c>
      <c r="F73" s="70" t="s">
        <v>93</v>
      </c>
      <c r="G73" s="70" t="s">
        <v>93</v>
      </c>
      <c r="H73" s="231" t="str">
        <f t="shared" si="10"/>
        <v>-</v>
      </c>
      <c r="I73" s="38" t="e">
        <f t="shared" si="0"/>
        <v>#VALUE!</v>
      </c>
      <c r="J73" s="57" t="str">
        <f t="shared" si="11"/>
        <v>-</v>
      </c>
      <c r="K73" s="58" t="e">
        <f t="shared" si="1"/>
        <v>#VALUE!</v>
      </c>
      <c r="L73" s="91" t="e">
        <f t="shared" si="2"/>
        <v>#VALUE!</v>
      </c>
      <c r="M73" s="69">
        <v>20.5</v>
      </c>
      <c r="N73" s="79">
        <v>52</v>
      </c>
      <c r="O73" s="79">
        <v>1013.3</v>
      </c>
      <c r="P73" s="70">
        <v>-5.5500000000000001E-9</v>
      </c>
      <c r="Q73" s="79">
        <v>60</v>
      </c>
      <c r="R73" s="93">
        <v>42931</v>
      </c>
      <c r="S73" s="231">
        <f t="shared" si="3"/>
        <v>-5.5555499999999991E-9</v>
      </c>
      <c r="T73" s="38">
        <f t="shared" si="4"/>
        <v>0.99486960618890696</v>
      </c>
      <c r="U73" s="74">
        <f t="shared" si="15"/>
        <v>-8.3501403400856053E-11</v>
      </c>
      <c r="V73" s="58">
        <f>IF($J$78="-",U73,U73-$J$78)</f>
        <v>-8.3501403400856053E-11</v>
      </c>
      <c r="W73" s="58">
        <f t="shared" si="14"/>
        <v>0.84079233112389973</v>
      </c>
      <c r="X73" s="63">
        <f t="shared" si="5"/>
        <v>7.3828600830900893E-3</v>
      </c>
      <c r="Y73" s="65">
        <f t="shared" si="13"/>
        <v>1.4013205518731661E-2</v>
      </c>
      <c r="Z73" s="71">
        <f t="shared" si="6"/>
        <v>0.73828600830900892</v>
      </c>
      <c r="AA73" s="58">
        <f t="shared" si="7"/>
        <v>8.8594320997081068E-3</v>
      </c>
      <c r="AB73" s="58">
        <f t="shared" si="8"/>
        <v>8.9332607005390072E-3</v>
      </c>
      <c r="AC73" s="47">
        <f t="shared" si="9"/>
        <v>9.2285751038626122E-3</v>
      </c>
    </row>
    <row r="74" spans="1:35" x14ac:dyDescent="0.25">
      <c r="A74" s="2626"/>
      <c r="B74" s="70" t="s">
        <v>93</v>
      </c>
      <c r="C74" s="70" t="s">
        <v>93</v>
      </c>
      <c r="D74" s="70" t="s">
        <v>93</v>
      </c>
      <c r="E74" s="70" t="s">
        <v>93</v>
      </c>
      <c r="F74" s="70" t="s">
        <v>93</v>
      </c>
      <c r="G74" s="70" t="s">
        <v>93</v>
      </c>
      <c r="H74" s="231" t="str">
        <f t="shared" si="10"/>
        <v>-</v>
      </c>
      <c r="I74" s="38" t="e">
        <f t="shared" si="0"/>
        <v>#VALUE!</v>
      </c>
      <c r="J74" s="57" t="str">
        <f t="shared" si="11"/>
        <v>-</v>
      </c>
      <c r="K74" s="58" t="e">
        <f t="shared" si="1"/>
        <v>#VALUE!</v>
      </c>
      <c r="L74" s="91" t="e">
        <f t="shared" si="2"/>
        <v>#VALUE!</v>
      </c>
      <c r="M74" s="69">
        <v>20.5</v>
      </c>
      <c r="N74" s="79">
        <v>52</v>
      </c>
      <c r="O74" s="79">
        <v>1013.3</v>
      </c>
      <c r="P74" s="70">
        <v>-5.5489999999999998E-9</v>
      </c>
      <c r="Q74" s="79">
        <v>60</v>
      </c>
      <c r="R74" s="93">
        <v>42931</v>
      </c>
      <c r="S74" s="231">
        <f t="shared" si="3"/>
        <v>-5.5545489999999993E-9</v>
      </c>
      <c r="T74" s="38">
        <f t="shared" si="4"/>
        <v>0.99486960618890696</v>
      </c>
      <c r="U74" s="74">
        <f t="shared" si="15"/>
        <v>-8.3486358102946006E-11</v>
      </c>
      <c r="V74" s="58">
        <f t="shared" si="12"/>
        <v>-8.3486358102946006E-11</v>
      </c>
      <c r="W74" s="58">
        <f t="shared" si="14"/>
        <v>0.84064083701018388</v>
      </c>
      <c r="X74" s="63">
        <f t="shared" si="5"/>
        <v>7.3815298380300737E-3</v>
      </c>
      <c r="Y74" s="65">
        <f t="shared" si="13"/>
        <v>1.4010680616836397E-2</v>
      </c>
      <c r="Z74" s="71">
        <f t="shared" si="6"/>
        <v>0.73815298380300742</v>
      </c>
      <c r="AA74" s="58">
        <f t="shared" si="7"/>
        <v>8.8578358056360888E-3</v>
      </c>
      <c r="AB74" s="58">
        <f t="shared" si="8"/>
        <v>8.931651104016388E-3</v>
      </c>
      <c r="AC74" s="47">
        <f t="shared" si="9"/>
        <v>9.2269122975375921E-3</v>
      </c>
    </row>
    <row r="75" spans="1:35" x14ac:dyDescent="0.25">
      <c r="A75" s="2626"/>
      <c r="B75" s="70" t="s">
        <v>93</v>
      </c>
      <c r="C75" s="70" t="s">
        <v>93</v>
      </c>
      <c r="D75" s="70" t="s">
        <v>93</v>
      </c>
      <c r="E75" s="70" t="s">
        <v>93</v>
      </c>
      <c r="F75" s="70" t="s">
        <v>93</v>
      </c>
      <c r="G75" s="70" t="s">
        <v>93</v>
      </c>
      <c r="H75" s="231" t="str">
        <f t="shared" si="10"/>
        <v>-</v>
      </c>
      <c r="I75" s="38" t="e">
        <f t="shared" si="0"/>
        <v>#VALUE!</v>
      </c>
      <c r="J75" s="57" t="str">
        <f t="shared" si="11"/>
        <v>-</v>
      </c>
      <c r="K75" s="58" t="e">
        <f t="shared" si="1"/>
        <v>#VALUE!</v>
      </c>
      <c r="L75" s="91" t="e">
        <f t="shared" si="2"/>
        <v>#VALUE!</v>
      </c>
      <c r="M75" s="69">
        <v>20.5</v>
      </c>
      <c r="N75" s="79">
        <v>52</v>
      </c>
      <c r="O75" s="79">
        <v>1013.3</v>
      </c>
      <c r="P75" s="70">
        <v>-5.5480000000000003E-9</v>
      </c>
      <c r="Q75" s="79">
        <v>60</v>
      </c>
      <c r="R75" s="93">
        <v>42931</v>
      </c>
      <c r="S75" s="231">
        <f t="shared" si="3"/>
        <v>-5.5535479999999995E-9</v>
      </c>
      <c r="T75" s="38">
        <f t="shared" si="4"/>
        <v>0.99486960618890696</v>
      </c>
      <c r="U75" s="74">
        <f t="shared" si="15"/>
        <v>-8.3471312805035933E-11</v>
      </c>
      <c r="V75" s="58">
        <f>IF($J$78="-",U75,U75-$J$78)</f>
        <v>-8.3471312805035933E-11</v>
      </c>
      <c r="W75" s="58">
        <f t="shared" si="14"/>
        <v>0.84048934289646782</v>
      </c>
      <c r="X75" s="63">
        <f t="shared" si="5"/>
        <v>7.3801995929700564E-3</v>
      </c>
      <c r="Y75" s="65">
        <f t="shared" si="13"/>
        <v>1.400815571494113E-2</v>
      </c>
      <c r="Z75" s="71">
        <f t="shared" si="6"/>
        <v>0.73801995929700559</v>
      </c>
      <c r="AA75" s="58">
        <f t="shared" si="7"/>
        <v>8.8562395115640673E-3</v>
      </c>
      <c r="AB75" s="58">
        <f t="shared" si="8"/>
        <v>8.9300415074937672E-3</v>
      </c>
      <c r="AC75" s="47">
        <f t="shared" si="9"/>
        <v>9.2252494912125702E-3</v>
      </c>
    </row>
    <row r="76" spans="1:35" x14ac:dyDescent="0.25">
      <c r="A76" s="2626"/>
      <c r="B76" s="70" t="s">
        <v>93</v>
      </c>
      <c r="C76" s="70" t="s">
        <v>93</v>
      </c>
      <c r="D76" s="70" t="s">
        <v>93</v>
      </c>
      <c r="E76" s="70" t="s">
        <v>93</v>
      </c>
      <c r="F76" s="70" t="s">
        <v>93</v>
      </c>
      <c r="G76" s="70" t="s">
        <v>93</v>
      </c>
      <c r="H76" s="231" t="str">
        <f t="shared" si="10"/>
        <v>-</v>
      </c>
      <c r="I76" s="38" t="e">
        <f t="shared" si="0"/>
        <v>#VALUE!</v>
      </c>
      <c r="J76" s="57" t="str">
        <f t="shared" si="11"/>
        <v>-</v>
      </c>
      <c r="K76" s="58" t="e">
        <f t="shared" si="1"/>
        <v>#VALUE!</v>
      </c>
      <c r="L76" s="91" t="e">
        <f t="shared" si="2"/>
        <v>#VALUE!</v>
      </c>
      <c r="M76" s="69">
        <v>20.5</v>
      </c>
      <c r="N76" s="79">
        <v>52</v>
      </c>
      <c r="O76" s="79">
        <v>1013.3</v>
      </c>
      <c r="P76" s="70">
        <v>-5.5489999999999998E-9</v>
      </c>
      <c r="Q76" s="79">
        <v>60</v>
      </c>
      <c r="R76" s="93">
        <v>42931</v>
      </c>
      <c r="S76" s="231">
        <f t="shared" si="3"/>
        <v>-5.5545489999999993E-9</v>
      </c>
      <c r="T76" s="38">
        <f t="shared" si="4"/>
        <v>0.99486960618890696</v>
      </c>
      <c r="U76" s="74">
        <f t="shared" si="15"/>
        <v>-8.3486358102946006E-11</v>
      </c>
      <c r="V76" s="58">
        <f t="shared" si="12"/>
        <v>-8.3486358102946006E-11</v>
      </c>
      <c r="W76" s="58">
        <f t="shared" si="14"/>
        <v>0.84064083701018388</v>
      </c>
      <c r="X76" s="63">
        <f t="shared" si="5"/>
        <v>7.3815298380300737E-3</v>
      </c>
      <c r="Y76" s="65">
        <f t="shared" si="13"/>
        <v>1.4010680616836397E-2</v>
      </c>
      <c r="Z76" s="71">
        <f t="shared" si="6"/>
        <v>0.73815298380300742</v>
      </c>
      <c r="AA76" s="58">
        <f t="shared" si="7"/>
        <v>8.8578358056360888E-3</v>
      </c>
      <c r="AB76" s="58">
        <f t="shared" si="8"/>
        <v>8.931651104016388E-3</v>
      </c>
      <c r="AC76" s="47">
        <f t="shared" si="9"/>
        <v>9.2269122975375921E-3</v>
      </c>
    </row>
    <row r="77" spans="1:35" ht="15.75" thickBot="1" x14ac:dyDescent="0.3">
      <c r="A77" s="2627"/>
      <c r="B77" s="58" t="s">
        <v>93</v>
      </c>
      <c r="C77" s="58" t="s">
        <v>93</v>
      </c>
      <c r="D77" s="58" t="s">
        <v>93</v>
      </c>
      <c r="E77" s="58" t="s">
        <v>93</v>
      </c>
      <c r="F77" s="58" t="s">
        <v>93</v>
      </c>
      <c r="G77" s="58" t="s">
        <v>93</v>
      </c>
      <c r="H77" s="231" t="str">
        <f t="shared" si="10"/>
        <v>-</v>
      </c>
      <c r="I77" s="38" t="e">
        <f t="shared" si="0"/>
        <v>#VALUE!</v>
      </c>
      <c r="J77" s="57" t="str">
        <f t="shared" si="11"/>
        <v>-</v>
      </c>
      <c r="K77" s="58" t="e">
        <f t="shared" si="1"/>
        <v>#VALUE!</v>
      </c>
      <c r="L77" s="91" t="e">
        <f t="shared" si="2"/>
        <v>#VALUE!</v>
      </c>
      <c r="M77" s="69">
        <v>20.5</v>
      </c>
      <c r="N77" s="79">
        <v>52</v>
      </c>
      <c r="O77" s="79">
        <v>1013.3</v>
      </c>
      <c r="P77" s="70">
        <v>-5.5489999999999998E-9</v>
      </c>
      <c r="Q77" s="79">
        <v>60</v>
      </c>
      <c r="R77" s="93">
        <v>42931</v>
      </c>
      <c r="S77" s="231">
        <f t="shared" si="3"/>
        <v>-5.5545489999999993E-9</v>
      </c>
      <c r="T77" s="38">
        <f t="shared" si="4"/>
        <v>0.99486960618890696</v>
      </c>
      <c r="U77" s="74">
        <f>S77/Q77*T77*EXP(-LN(2)/10990*($E$59-R77))</f>
        <v>-8.3486358102946006E-11</v>
      </c>
      <c r="V77" s="58">
        <f t="shared" si="12"/>
        <v>-8.3486358102946006E-11</v>
      </c>
      <c r="W77" s="11">
        <f t="shared" si="14"/>
        <v>0.84064083701018388</v>
      </c>
      <c r="X77" s="65">
        <f t="shared" si="5"/>
        <v>7.3815298380300737E-3</v>
      </c>
      <c r="Y77" s="65">
        <f t="shared" si="13"/>
        <v>1.4010680616836397E-2</v>
      </c>
      <c r="Z77" s="71">
        <f t="shared" si="6"/>
        <v>0.73815298380300742</v>
      </c>
      <c r="AA77" s="58">
        <f t="shared" si="7"/>
        <v>8.8578358056360888E-3</v>
      </c>
      <c r="AB77" s="58">
        <f t="shared" si="8"/>
        <v>8.931651104016388E-3</v>
      </c>
      <c r="AC77" s="47">
        <f t="shared" si="9"/>
        <v>9.2269122975375921E-3</v>
      </c>
    </row>
    <row r="78" spans="1:35" x14ac:dyDescent="0.25">
      <c r="A78" s="263" t="s">
        <v>61</v>
      </c>
      <c r="B78" s="39" t="e">
        <f>AVERAGE(B68:B77)</f>
        <v>#DIV/0!</v>
      </c>
      <c r="C78" s="242" t="e">
        <f>AVERAGE(C68:C77)</f>
        <v>#DIV/0!</v>
      </c>
      <c r="D78" s="239" t="e">
        <f>AVERAGE(D68:D77)</f>
        <v>#DIV/0!</v>
      </c>
      <c r="E78" s="11" t="e">
        <f>AVERAGE(E68:E77)</f>
        <v>#DIV/0!</v>
      </c>
      <c r="F78" s="236" t="e">
        <f>AVERAGE(F68:F77)</f>
        <v>#DIV/0!</v>
      </c>
      <c r="G78" s="90" t="s">
        <v>93</v>
      </c>
      <c r="H78" s="11" t="str">
        <f>IF(AND(H68="-",H69="-",H70="-",H71="-",H72="-",H73="-",H74="-",H75="-",H76="-",H77="-"),"-",AVERAGE(H68:H77))</f>
        <v>-</v>
      </c>
      <c r="I78" s="38" t="e">
        <f>AVERAGE(I68:I77)</f>
        <v>#VALUE!</v>
      </c>
      <c r="J78" s="75" t="str">
        <f>IF(AND(H68="-",H69="-",H70="-",H71="-",H72="-",H73="-",H74="-",H75="-",H76="-",H77="-"),"-",AVERAGE(J68:J77))</f>
        <v>-</v>
      </c>
      <c r="K78" s="73" t="e">
        <f t="shared" ref="K78:Q78" si="16">AVERAGE(K68:K77)</f>
        <v>#VALUE!</v>
      </c>
      <c r="L78" s="77" t="e">
        <f t="shared" si="16"/>
        <v>#VALUE!</v>
      </c>
      <c r="M78" s="243">
        <f t="shared" si="16"/>
        <v>20.5</v>
      </c>
      <c r="N78" s="232">
        <f t="shared" si="16"/>
        <v>52</v>
      </c>
      <c r="O78" s="232">
        <f t="shared" si="16"/>
        <v>1013.3</v>
      </c>
      <c r="P78" s="58">
        <f t="shared" si="16"/>
        <v>-5.5488999999999993E-9</v>
      </c>
      <c r="Q78" s="232">
        <f t="shared" si="16"/>
        <v>60</v>
      </c>
      <c r="R78" s="90" t="s">
        <v>93</v>
      </c>
      <c r="S78" s="11">
        <f t="shared" ref="S78:AC78" si="17">AVERAGE(S68:S77)</f>
        <v>-5.5544488999999988E-9</v>
      </c>
      <c r="T78" s="38">
        <f t="shared" si="17"/>
        <v>0.99486960618890685</v>
      </c>
      <c r="U78" s="63">
        <f>AVERAGE(U68:U77)</f>
        <v>-8.3484853573154993E-11</v>
      </c>
      <c r="V78" s="58">
        <f t="shared" si="17"/>
        <v>-8.3484853573154993E-11</v>
      </c>
      <c r="W78" s="73">
        <f t="shared" si="17"/>
        <v>0.84062568759881218</v>
      </c>
      <c r="X78" s="75">
        <f t="shared" si="17"/>
        <v>7.3813968135240712E-3</v>
      </c>
      <c r="Y78" s="75">
        <f t="shared" ref="Y78" si="18">AVERAGE(Y68:Y77)</f>
        <v>1.4010428126646868E-2</v>
      </c>
      <c r="Z78" s="73">
        <f t="shared" si="17"/>
        <v>0.73813968135240726</v>
      </c>
      <c r="AA78" s="73">
        <f t="shared" si="17"/>
        <v>8.8576761762288857E-3</v>
      </c>
      <c r="AB78" s="73">
        <f t="shared" si="17"/>
        <v>8.9314901443641268E-3</v>
      </c>
      <c r="AC78" s="72">
        <f t="shared" si="17"/>
        <v>9.2267460169050929E-3</v>
      </c>
    </row>
    <row r="79" spans="1:35" x14ac:dyDescent="0.25">
      <c r="A79" s="263" t="s">
        <v>62</v>
      </c>
      <c r="B79" s="39">
        <f>STDEVA(B68:B77)</f>
        <v>0</v>
      </c>
      <c r="C79" s="41">
        <f>STDEVA(C68:C77)</f>
        <v>0</v>
      </c>
      <c r="D79" s="42">
        <f>STDEVA(D68:D77)</f>
        <v>0</v>
      </c>
      <c r="E79" s="11">
        <f>STDEVA(E68:E77)</f>
        <v>0</v>
      </c>
      <c r="F79" s="94">
        <f>STDEVA(F68:F77)</f>
        <v>0</v>
      </c>
      <c r="G79" s="40" t="s">
        <v>93</v>
      </c>
      <c r="H79" s="11" t="str">
        <f>IF(H78="-","-",STDEVA(H68:H77))</f>
        <v>-</v>
      </c>
      <c r="I79" s="40" t="e">
        <f t="shared" ref="I79:Q79" si="19">STDEVA(I68:I77)</f>
        <v>#VALUE!</v>
      </c>
      <c r="J79" s="63" t="str">
        <f>IF(J78="-","-",STDEVA(J68:J77))</f>
        <v>-</v>
      </c>
      <c r="K79" s="58" t="e">
        <f t="shared" si="19"/>
        <v>#VALUE!</v>
      </c>
      <c r="L79" s="74" t="e">
        <f t="shared" si="19"/>
        <v>#VALUE!</v>
      </c>
      <c r="M79" s="82">
        <f t="shared" si="19"/>
        <v>0</v>
      </c>
      <c r="N79" s="38">
        <f t="shared" si="19"/>
        <v>0</v>
      </c>
      <c r="O79" s="38">
        <f t="shared" si="19"/>
        <v>0</v>
      </c>
      <c r="P79" s="58">
        <f t="shared" si="19"/>
        <v>9.9442892601171623E-13</v>
      </c>
      <c r="Q79" s="38">
        <f t="shared" si="19"/>
        <v>0</v>
      </c>
      <c r="R79" s="40" t="s">
        <v>93</v>
      </c>
      <c r="S79" s="11">
        <f t="shared" ref="S79:AC79" si="20">STDEVA(S68:S77)</f>
        <v>9.9542335493756439E-13</v>
      </c>
      <c r="T79" s="40">
        <f t="shared" si="20"/>
        <v>1.1702778228589004E-16</v>
      </c>
      <c r="U79" s="63">
        <f t="shared" si="20"/>
        <v>1.4961479442228477E-14</v>
      </c>
      <c r="V79" s="58">
        <f t="shared" si="20"/>
        <v>1.4961479442228477E-14</v>
      </c>
      <c r="W79" s="58">
        <f t="shared" si="20"/>
        <v>1.5065012879966481E-4</v>
      </c>
      <c r="X79" s="63">
        <f t="shared" si="20"/>
        <v>1.3228341663644608E-6</v>
      </c>
      <c r="Y79" s="63">
        <f t="shared" ref="Y79" si="21">STDEVA(Y68:Y77)</f>
        <v>2.5108354799942022E-6</v>
      </c>
      <c r="Z79" s="58">
        <f t="shared" si="20"/>
        <v>1.3228341663645344E-4</v>
      </c>
      <c r="AA79" s="58">
        <f t="shared" si="20"/>
        <v>1.5874009996372368E-6</v>
      </c>
      <c r="AB79" s="58">
        <f t="shared" si="20"/>
        <v>1.6006293413007465E-6</v>
      </c>
      <c r="AC79" s="47">
        <f t="shared" si="20"/>
        <v>1.6535427079556755E-6</v>
      </c>
    </row>
    <row r="80" spans="1:35" ht="15.75" thickBot="1" x14ac:dyDescent="0.3">
      <c r="A80" s="264" t="s">
        <v>63</v>
      </c>
      <c r="B80" s="44" t="e">
        <f>B79/B78*100</f>
        <v>#DIV/0!</v>
      </c>
      <c r="C80" s="45" t="e">
        <f>C79/C78*100</f>
        <v>#DIV/0!</v>
      </c>
      <c r="D80" s="46" t="e">
        <f>D79/D78*100</f>
        <v>#DIV/0!</v>
      </c>
      <c r="E80" s="43" t="e">
        <f>E79/E78*100</f>
        <v>#DIV/0!</v>
      </c>
      <c r="F80" s="95" t="e">
        <f>F79/F78*100</f>
        <v>#DIV/0!</v>
      </c>
      <c r="G80" s="43" t="s">
        <v>93</v>
      </c>
      <c r="H80" s="89" t="str">
        <f>IF(H78="-","-",H79/H78*100)</f>
        <v>-</v>
      </c>
      <c r="I80" s="43" t="e">
        <f t="shared" ref="I80:Q80" si="22">I79/I78*100</f>
        <v>#VALUE!</v>
      </c>
      <c r="J80" s="64" t="str">
        <f>IF(J78="-","-",J79/J78*100)</f>
        <v>-</v>
      </c>
      <c r="K80" s="19" t="e">
        <f t="shared" si="22"/>
        <v>#VALUE!</v>
      </c>
      <c r="L80" s="78" t="e">
        <f t="shared" si="22"/>
        <v>#VALUE!</v>
      </c>
      <c r="M80" s="83">
        <f t="shared" si="22"/>
        <v>0</v>
      </c>
      <c r="N80" s="81">
        <f t="shared" si="22"/>
        <v>0</v>
      </c>
      <c r="O80" s="81">
        <f t="shared" si="22"/>
        <v>0</v>
      </c>
      <c r="P80" s="19">
        <f t="shared" si="22"/>
        <v>-1.7921190254135348E-2</v>
      </c>
      <c r="Q80" s="81">
        <f t="shared" si="22"/>
        <v>0</v>
      </c>
      <c r="R80" s="43" t="s">
        <v>93</v>
      </c>
      <c r="S80" s="89">
        <f t="shared" ref="S80:AC80" si="23">S79/S78*100</f>
        <v>-1.7921190254132406E-2</v>
      </c>
      <c r="T80" s="43">
        <f t="shared" si="23"/>
        <v>1.1763127706171846E-14</v>
      </c>
      <c r="U80" s="64">
        <f t="shared" si="23"/>
        <v>-1.7921190254131823E-2</v>
      </c>
      <c r="V80" s="19">
        <f t="shared" si="23"/>
        <v>-1.7921190254131823E-2</v>
      </c>
      <c r="W80" s="19">
        <f t="shared" si="23"/>
        <v>1.792119025412919E-2</v>
      </c>
      <c r="X80" s="64">
        <f t="shared" si="23"/>
        <v>1.7921190254137079E-2</v>
      </c>
      <c r="Y80" s="64">
        <f t="shared" ref="Y80" si="24">Y79/Y78*100</f>
        <v>1.7921190254127681E-2</v>
      </c>
      <c r="Z80" s="19">
        <f t="shared" si="23"/>
        <v>1.7921190254138075E-2</v>
      </c>
      <c r="AA80" s="19">
        <f t="shared" si="23"/>
        <v>1.7921190254135768E-2</v>
      </c>
      <c r="AB80" s="19">
        <f t="shared" si="23"/>
        <v>1.7921190254134266E-2</v>
      </c>
      <c r="AC80" s="17">
        <f t="shared" si="23"/>
        <v>1.7921190254138152E-2</v>
      </c>
    </row>
    <row r="81" spans="1:29" x14ac:dyDescent="0.25">
      <c r="A81" s="2625" t="s">
        <v>655</v>
      </c>
      <c r="B81" s="76" t="s">
        <v>93</v>
      </c>
      <c r="C81" s="76" t="s">
        <v>93</v>
      </c>
      <c r="D81" s="76" t="s">
        <v>93</v>
      </c>
      <c r="E81" s="76" t="s">
        <v>93</v>
      </c>
      <c r="F81" s="76" t="s">
        <v>93</v>
      </c>
      <c r="G81" s="76" t="s">
        <v>93</v>
      </c>
      <c r="H81" s="231" t="str">
        <f>IF(E81="-","-",IF(AND(E81&lt;=$E$35,E81&gt;=$F$35),E81*$C$35,IF(AND(E81&lt;=$E$36,E81&gt;=$F$36),E81*$C$36,"rango cal. out")))</f>
        <v>-</v>
      </c>
      <c r="I81" s="40" t="e">
        <f t="shared" ref="I81:I90" si="25">((273.2+B81)*$E$26/((273.2+$E$25)*D81))</f>
        <v>#VALUE!</v>
      </c>
      <c r="J81" s="57" t="str">
        <f>IF(H81="-","-",H81/F81*I81)</f>
        <v>-</v>
      </c>
      <c r="K81" s="11" t="e">
        <f t="shared" ref="K81:K90" si="26">ABS($A$27*J81*3600)</f>
        <v>#VALUE!</v>
      </c>
      <c r="L81" s="97" t="e">
        <f t="shared" ref="L81:L90" si="27">ABS($A$28*J81*3600)</f>
        <v>#VALUE!</v>
      </c>
      <c r="M81" s="68">
        <v>20.6</v>
      </c>
      <c r="N81" s="80">
        <v>51</v>
      </c>
      <c r="O81" s="80">
        <v>1013.3</v>
      </c>
      <c r="P81" s="76">
        <v>-5.4659999999999999E-9</v>
      </c>
      <c r="Q81" s="80">
        <v>60</v>
      </c>
      <c r="R81" s="105">
        <v>42931</v>
      </c>
      <c r="S81" s="231">
        <f t="shared" ref="S81:S90" si="28">IF(AND(P81&lt;=$E$35,P81&gt;=$F$35),P81*$C$35,IF(AND(P81&lt;=$E$36,P81&gt;=$F$36),P81*$C$36,"rango cal. out"))</f>
        <v>-5.4714659999999995E-9</v>
      </c>
      <c r="T81" s="40">
        <f t="shared" ref="T81:T90" si="29">((273.2+M81)*$E$26/((273.2+$E$25)*O81))</f>
        <v>0.99520834286108595</v>
      </c>
      <c r="U81" s="57">
        <f>S81/Q81*T81*EXP(-LN(2)/10990*($E$59-R81))</f>
        <v>-8.2265598920631467E-11</v>
      </c>
      <c r="V81" s="11">
        <f>IF($J$91="-",U81,U81-$J$91)</f>
        <v>-8.2265598920631467E-11</v>
      </c>
      <c r="W81" s="11">
        <f t="shared" ref="W81" si="30">ABS($A$27*V81*3600)</f>
        <v>0.82834876865162232</v>
      </c>
      <c r="X81" s="65">
        <f t="shared" ref="X81:X90" si="31">ABS($A$28*V81*3600)</f>
        <v>7.2735951941665516E-3</v>
      </c>
      <c r="Y81" s="65">
        <f>W81*Q81/3600</f>
        <v>1.3805812810860373E-2</v>
      </c>
      <c r="Z81" s="111">
        <f t="shared" ref="Z81:Z90" si="32">X81*$B$50</f>
        <v>0.72735951941665511</v>
      </c>
      <c r="AA81" s="11">
        <f t="shared" ref="AA81:AA90" si="33">X81*$E$42</f>
        <v>8.7283142329998616E-3</v>
      </c>
      <c r="AB81" s="11">
        <f t="shared" ref="AB81:AB90" si="34">X81*$E$44</f>
        <v>8.8010501849415269E-3</v>
      </c>
      <c r="AC81" s="12">
        <f t="shared" ref="AC81:AC90" si="35">X81*$E$43</f>
        <v>9.0919939927081896E-3</v>
      </c>
    </row>
    <row r="82" spans="1:29" x14ac:dyDescent="0.25">
      <c r="A82" s="2626"/>
      <c r="B82" s="70" t="s">
        <v>93</v>
      </c>
      <c r="C82" s="70" t="s">
        <v>93</v>
      </c>
      <c r="D82" s="70" t="s">
        <v>93</v>
      </c>
      <c r="E82" s="70" t="s">
        <v>93</v>
      </c>
      <c r="F82" s="70" t="s">
        <v>93</v>
      </c>
      <c r="G82" s="70" t="s">
        <v>93</v>
      </c>
      <c r="H82" s="231" t="str">
        <f t="shared" ref="H82:H90" si="36">IF(E82="-","-",IF(AND(E82&lt;=$E$35,E82&gt;=$F$35),E82*$C$35,IF(AND(E82&lt;=$E$36,E82&gt;=$F$36),E82*$C$36,"rango cal. out")))</f>
        <v>-</v>
      </c>
      <c r="I82" s="38" t="e">
        <f t="shared" si="25"/>
        <v>#VALUE!</v>
      </c>
      <c r="J82" s="57" t="str">
        <f t="shared" ref="J82:J90" si="37">IF(H82="-","-",H82/F82*I82)</f>
        <v>-</v>
      </c>
      <c r="K82" s="58" t="e">
        <f t="shared" si="26"/>
        <v>#VALUE!</v>
      </c>
      <c r="L82" s="91" t="e">
        <f t="shared" si="27"/>
        <v>#VALUE!</v>
      </c>
      <c r="M82" s="69">
        <v>20.6</v>
      </c>
      <c r="N82" s="79">
        <v>51</v>
      </c>
      <c r="O82" s="79">
        <v>1013.3</v>
      </c>
      <c r="P82" s="70">
        <v>-5.4670000000000002E-9</v>
      </c>
      <c r="Q82" s="79">
        <v>60</v>
      </c>
      <c r="R82" s="92">
        <v>42931</v>
      </c>
      <c r="S82" s="231">
        <f t="shared" si="28"/>
        <v>-5.4724669999999993E-9</v>
      </c>
      <c r="T82" s="38">
        <f t="shared" si="29"/>
        <v>0.99520834286108595</v>
      </c>
      <c r="U82" s="74">
        <f>S82/Q82*T82*EXP(-LN(2)/10990*($E$59-R82))</f>
        <v>-8.228064934121701E-11</v>
      </c>
      <c r="V82" s="11">
        <f t="shared" ref="V82:V90" si="38">IF($J$91="-",U82,U82-$J$91)</f>
        <v>-8.228064934121701E-11</v>
      </c>
      <c r="W82" s="58">
        <f>ABS($A$27*V82*3600)</f>
        <v>0.82850031434658233</v>
      </c>
      <c r="X82" s="63">
        <f t="shared" si="31"/>
        <v>7.2749258921530439E-3</v>
      </c>
      <c r="Y82" s="65">
        <f t="shared" ref="Y82:Y90" si="39">W82*Q82/3600</f>
        <v>1.3808338572443039E-2</v>
      </c>
      <c r="Z82" s="58">
        <f t="shared" si="32"/>
        <v>0.72749258921530435</v>
      </c>
      <c r="AA82" s="58">
        <f t="shared" si="33"/>
        <v>8.7299110705836517E-3</v>
      </c>
      <c r="AB82" s="58">
        <f t="shared" si="34"/>
        <v>8.8026603295051822E-3</v>
      </c>
      <c r="AC82" s="47">
        <f t="shared" si="35"/>
        <v>9.0936573651913058E-3</v>
      </c>
    </row>
    <row r="83" spans="1:29" x14ac:dyDescent="0.25">
      <c r="A83" s="2626"/>
      <c r="B83" s="70" t="s">
        <v>93</v>
      </c>
      <c r="C83" s="70" t="s">
        <v>93</v>
      </c>
      <c r="D83" s="70" t="s">
        <v>93</v>
      </c>
      <c r="E83" s="70" t="s">
        <v>93</v>
      </c>
      <c r="F83" s="70" t="s">
        <v>93</v>
      </c>
      <c r="G83" s="70" t="s">
        <v>93</v>
      </c>
      <c r="H83" s="231" t="str">
        <f t="shared" si="36"/>
        <v>-</v>
      </c>
      <c r="I83" s="38" t="e">
        <f t="shared" si="25"/>
        <v>#VALUE!</v>
      </c>
      <c r="J83" s="57" t="str">
        <f t="shared" si="37"/>
        <v>-</v>
      </c>
      <c r="K83" s="58" t="e">
        <f t="shared" si="26"/>
        <v>#VALUE!</v>
      </c>
      <c r="L83" s="91" t="e">
        <f t="shared" si="27"/>
        <v>#VALUE!</v>
      </c>
      <c r="M83" s="69">
        <v>20.6</v>
      </c>
      <c r="N83" s="79">
        <v>51</v>
      </c>
      <c r="O83" s="79">
        <v>1013.3</v>
      </c>
      <c r="P83" s="70">
        <v>-5.4659999999999999E-9</v>
      </c>
      <c r="Q83" s="79">
        <v>60</v>
      </c>
      <c r="R83" s="92">
        <v>42931</v>
      </c>
      <c r="S83" s="231">
        <f t="shared" si="28"/>
        <v>-5.4714659999999995E-9</v>
      </c>
      <c r="T83" s="38">
        <f t="shared" si="29"/>
        <v>0.99520834286108595</v>
      </c>
      <c r="U83" s="74">
        <f t="shared" ref="U83:U89" si="40">S83/Q83*T83*EXP(-LN(2)/10990*($E$59-R83))</f>
        <v>-8.2265598920631467E-11</v>
      </c>
      <c r="V83" s="11">
        <f t="shared" si="38"/>
        <v>-8.2265598920631467E-11</v>
      </c>
      <c r="W83" s="58">
        <f t="shared" ref="W83:W90" si="41">ABS($A$27*V83*3600)</f>
        <v>0.82834876865162232</v>
      </c>
      <c r="X83" s="63">
        <f t="shared" si="31"/>
        <v>7.2735951941665516E-3</v>
      </c>
      <c r="Y83" s="65">
        <f t="shared" si="39"/>
        <v>1.3805812810860373E-2</v>
      </c>
      <c r="Z83" s="71">
        <f t="shared" si="32"/>
        <v>0.72735951941665511</v>
      </c>
      <c r="AA83" s="58">
        <f t="shared" si="33"/>
        <v>8.7283142329998616E-3</v>
      </c>
      <c r="AB83" s="58">
        <f t="shared" si="34"/>
        <v>8.8010501849415269E-3</v>
      </c>
      <c r="AC83" s="47">
        <f t="shared" si="35"/>
        <v>9.0919939927081896E-3</v>
      </c>
    </row>
    <row r="84" spans="1:29" x14ac:dyDescent="0.25">
      <c r="A84" s="2626"/>
      <c r="B84" s="70" t="s">
        <v>93</v>
      </c>
      <c r="C84" s="70" t="s">
        <v>93</v>
      </c>
      <c r="D84" s="70" t="s">
        <v>93</v>
      </c>
      <c r="E84" s="70" t="s">
        <v>93</v>
      </c>
      <c r="F84" s="70" t="s">
        <v>93</v>
      </c>
      <c r="G84" s="70" t="s">
        <v>93</v>
      </c>
      <c r="H84" s="231" t="str">
        <f t="shared" si="36"/>
        <v>-</v>
      </c>
      <c r="I84" s="38" t="e">
        <f t="shared" si="25"/>
        <v>#VALUE!</v>
      </c>
      <c r="J84" s="57" t="str">
        <f t="shared" si="37"/>
        <v>-</v>
      </c>
      <c r="K84" s="58" t="e">
        <f t="shared" si="26"/>
        <v>#VALUE!</v>
      </c>
      <c r="L84" s="91" t="e">
        <f t="shared" si="27"/>
        <v>#VALUE!</v>
      </c>
      <c r="M84" s="69">
        <v>20.6</v>
      </c>
      <c r="N84" s="79">
        <v>51</v>
      </c>
      <c r="O84" s="79">
        <v>1013.3</v>
      </c>
      <c r="P84" s="70">
        <v>-5.4649999999999996E-9</v>
      </c>
      <c r="Q84" s="79">
        <v>60</v>
      </c>
      <c r="R84" s="92">
        <v>42931</v>
      </c>
      <c r="S84" s="231">
        <f t="shared" si="28"/>
        <v>-5.4704649999999989E-9</v>
      </c>
      <c r="T84" s="38">
        <f t="shared" si="29"/>
        <v>0.99520834286108595</v>
      </c>
      <c r="U84" s="74">
        <f t="shared" si="40"/>
        <v>-8.2250548500045912E-11</v>
      </c>
      <c r="V84" s="11">
        <f t="shared" si="38"/>
        <v>-8.2250548500045912E-11</v>
      </c>
      <c r="W84" s="58">
        <f t="shared" si="41"/>
        <v>0.82819722295666232</v>
      </c>
      <c r="X84" s="63">
        <f t="shared" si="31"/>
        <v>7.2722644961800594E-3</v>
      </c>
      <c r="Y84" s="65">
        <f t="shared" si="39"/>
        <v>1.3803287049277706E-2</v>
      </c>
      <c r="Z84" s="71">
        <f t="shared" si="32"/>
        <v>0.72722644961800598</v>
      </c>
      <c r="AA84" s="58">
        <f t="shared" si="33"/>
        <v>8.7267173954160716E-3</v>
      </c>
      <c r="AB84" s="58">
        <f t="shared" si="34"/>
        <v>8.7994400403778716E-3</v>
      </c>
      <c r="AC84" s="47">
        <f t="shared" si="35"/>
        <v>9.0903306202250733E-3</v>
      </c>
    </row>
    <row r="85" spans="1:29" x14ac:dyDescent="0.25">
      <c r="A85" s="2626"/>
      <c r="B85" s="70" t="s">
        <v>93</v>
      </c>
      <c r="C85" s="70" t="s">
        <v>93</v>
      </c>
      <c r="D85" s="70" t="s">
        <v>93</v>
      </c>
      <c r="E85" s="70" t="s">
        <v>93</v>
      </c>
      <c r="F85" s="70" t="s">
        <v>93</v>
      </c>
      <c r="G85" s="70" t="s">
        <v>93</v>
      </c>
      <c r="H85" s="231" t="str">
        <f t="shared" si="36"/>
        <v>-</v>
      </c>
      <c r="I85" s="38" t="e">
        <f t="shared" si="25"/>
        <v>#VALUE!</v>
      </c>
      <c r="J85" s="57" t="str">
        <f t="shared" si="37"/>
        <v>-</v>
      </c>
      <c r="K85" s="58" t="e">
        <f t="shared" si="26"/>
        <v>#VALUE!</v>
      </c>
      <c r="L85" s="91" t="e">
        <f t="shared" si="27"/>
        <v>#VALUE!</v>
      </c>
      <c r="M85" s="69">
        <v>20.6</v>
      </c>
      <c r="N85" s="79">
        <v>51</v>
      </c>
      <c r="O85" s="79">
        <v>1013.3</v>
      </c>
      <c r="P85" s="70">
        <v>-5.4670000000000002E-9</v>
      </c>
      <c r="Q85" s="79">
        <v>60</v>
      </c>
      <c r="R85" s="93">
        <v>42931</v>
      </c>
      <c r="S85" s="231">
        <f t="shared" si="28"/>
        <v>-5.4724669999999993E-9</v>
      </c>
      <c r="T85" s="38">
        <f t="shared" si="29"/>
        <v>0.99520834286108595</v>
      </c>
      <c r="U85" s="74">
        <f t="shared" si="40"/>
        <v>-8.228064934121701E-11</v>
      </c>
      <c r="V85" s="11">
        <f t="shared" si="38"/>
        <v>-8.228064934121701E-11</v>
      </c>
      <c r="W85" s="58">
        <f t="shared" si="41"/>
        <v>0.82850031434658233</v>
      </c>
      <c r="X85" s="63">
        <f t="shared" si="31"/>
        <v>7.2749258921530439E-3</v>
      </c>
      <c r="Y85" s="65">
        <f t="shared" si="39"/>
        <v>1.3808338572443039E-2</v>
      </c>
      <c r="Z85" s="71">
        <f t="shared" si="32"/>
        <v>0.72749258921530435</v>
      </c>
      <c r="AA85" s="58">
        <f t="shared" si="33"/>
        <v>8.7299110705836517E-3</v>
      </c>
      <c r="AB85" s="58">
        <f t="shared" si="34"/>
        <v>8.8026603295051822E-3</v>
      </c>
      <c r="AC85" s="47">
        <f t="shared" si="35"/>
        <v>9.0936573651913058E-3</v>
      </c>
    </row>
    <row r="86" spans="1:29" x14ac:dyDescent="0.25">
      <c r="A86" s="2626"/>
      <c r="B86" s="70" t="s">
        <v>93</v>
      </c>
      <c r="C86" s="70" t="s">
        <v>93</v>
      </c>
      <c r="D86" s="70" t="s">
        <v>93</v>
      </c>
      <c r="E86" s="70" t="s">
        <v>93</v>
      </c>
      <c r="F86" s="70" t="s">
        <v>93</v>
      </c>
      <c r="G86" s="70" t="s">
        <v>93</v>
      </c>
      <c r="H86" s="231" t="str">
        <f t="shared" si="36"/>
        <v>-</v>
      </c>
      <c r="I86" s="38" t="e">
        <f t="shared" si="25"/>
        <v>#VALUE!</v>
      </c>
      <c r="J86" s="57" t="str">
        <f t="shared" si="37"/>
        <v>-</v>
      </c>
      <c r="K86" s="58" t="e">
        <f t="shared" si="26"/>
        <v>#VALUE!</v>
      </c>
      <c r="L86" s="91" t="e">
        <f t="shared" si="27"/>
        <v>#VALUE!</v>
      </c>
      <c r="M86" s="69">
        <v>20.6</v>
      </c>
      <c r="N86" s="79">
        <v>51</v>
      </c>
      <c r="O86" s="79">
        <v>1013.3</v>
      </c>
      <c r="P86" s="70">
        <v>-5.4670000000000002E-9</v>
      </c>
      <c r="Q86" s="79">
        <v>60</v>
      </c>
      <c r="R86" s="93">
        <v>42931</v>
      </c>
      <c r="S86" s="231">
        <f t="shared" si="28"/>
        <v>-5.4724669999999993E-9</v>
      </c>
      <c r="T86" s="38">
        <f t="shared" si="29"/>
        <v>0.99520834286108595</v>
      </c>
      <c r="U86" s="74">
        <f t="shared" si="40"/>
        <v>-8.228064934121701E-11</v>
      </c>
      <c r="V86" s="11">
        <f t="shared" si="38"/>
        <v>-8.228064934121701E-11</v>
      </c>
      <c r="W86" s="58">
        <f t="shared" si="41"/>
        <v>0.82850031434658233</v>
      </c>
      <c r="X86" s="63">
        <f t="shared" si="31"/>
        <v>7.2749258921530439E-3</v>
      </c>
      <c r="Y86" s="65">
        <f t="shared" si="39"/>
        <v>1.3808338572443039E-2</v>
      </c>
      <c r="Z86" s="71">
        <f t="shared" si="32"/>
        <v>0.72749258921530435</v>
      </c>
      <c r="AA86" s="58">
        <f t="shared" si="33"/>
        <v>8.7299110705836517E-3</v>
      </c>
      <c r="AB86" s="58">
        <f t="shared" si="34"/>
        <v>8.8026603295051822E-3</v>
      </c>
      <c r="AC86" s="47">
        <f t="shared" si="35"/>
        <v>9.0936573651913058E-3</v>
      </c>
    </row>
    <row r="87" spans="1:29" x14ac:dyDescent="0.25">
      <c r="A87" s="2626"/>
      <c r="B87" s="70" t="s">
        <v>93</v>
      </c>
      <c r="C87" s="70" t="s">
        <v>93</v>
      </c>
      <c r="D87" s="70" t="s">
        <v>93</v>
      </c>
      <c r="E87" s="70" t="s">
        <v>93</v>
      </c>
      <c r="F87" s="70" t="s">
        <v>93</v>
      </c>
      <c r="G87" s="70" t="s">
        <v>93</v>
      </c>
      <c r="H87" s="231" t="str">
        <f t="shared" si="36"/>
        <v>-</v>
      </c>
      <c r="I87" s="38" t="e">
        <f t="shared" si="25"/>
        <v>#VALUE!</v>
      </c>
      <c r="J87" s="57" t="str">
        <f t="shared" si="37"/>
        <v>-</v>
      </c>
      <c r="K87" s="58" t="e">
        <f t="shared" si="26"/>
        <v>#VALUE!</v>
      </c>
      <c r="L87" s="91" t="e">
        <f t="shared" si="27"/>
        <v>#VALUE!</v>
      </c>
      <c r="M87" s="69">
        <v>20.6</v>
      </c>
      <c r="N87" s="79">
        <v>51</v>
      </c>
      <c r="O87" s="79">
        <v>1013.3</v>
      </c>
      <c r="P87" s="70">
        <v>-5.4679999999999997E-9</v>
      </c>
      <c r="Q87" s="79">
        <v>60</v>
      </c>
      <c r="R87" s="93">
        <v>42931</v>
      </c>
      <c r="S87" s="231">
        <f t="shared" si="28"/>
        <v>-5.4734679999999991E-9</v>
      </c>
      <c r="T87" s="38">
        <f t="shared" si="29"/>
        <v>0.99520834286108595</v>
      </c>
      <c r="U87" s="74">
        <f t="shared" si="40"/>
        <v>-8.2295699761802565E-11</v>
      </c>
      <c r="V87" s="11">
        <f t="shared" si="38"/>
        <v>-8.2295699761802565E-11</v>
      </c>
      <c r="W87" s="58">
        <f t="shared" si="41"/>
        <v>0.82865186004154245</v>
      </c>
      <c r="X87" s="63">
        <f t="shared" si="31"/>
        <v>7.2762565901395362E-3</v>
      </c>
      <c r="Y87" s="65">
        <f t="shared" si="39"/>
        <v>1.3810864334025707E-2</v>
      </c>
      <c r="Z87" s="71">
        <f t="shared" si="32"/>
        <v>0.7276256590139536</v>
      </c>
      <c r="AA87" s="58">
        <f t="shared" si="33"/>
        <v>8.7315079081674435E-3</v>
      </c>
      <c r="AB87" s="58">
        <f t="shared" si="34"/>
        <v>8.8042704740688392E-3</v>
      </c>
      <c r="AC87" s="47">
        <f t="shared" si="35"/>
        <v>9.0953207376744203E-3</v>
      </c>
    </row>
    <row r="88" spans="1:29" x14ac:dyDescent="0.25">
      <c r="A88" s="2626"/>
      <c r="B88" s="70" t="s">
        <v>93</v>
      </c>
      <c r="C88" s="70" t="s">
        <v>93</v>
      </c>
      <c r="D88" s="70" t="s">
        <v>93</v>
      </c>
      <c r="E88" s="70" t="s">
        <v>93</v>
      </c>
      <c r="F88" s="70" t="s">
        <v>93</v>
      </c>
      <c r="G88" s="70" t="s">
        <v>93</v>
      </c>
      <c r="H88" s="231" t="str">
        <f t="shared" si="36"/>
        <v>-</v>
      </c>
      <c r="I88" s="38" t="e">
        <f t="shared" si="25"/>
        <v>#VALUE!</v>
      </c>
      <c r="J88" s="57" t="str">
        <f t="shared" si="37"/>
        <v>-</v>
      </c>
      <c r="K88" s="58" t="e">
        <f t="shared" si="26"/>
        <v>#VALUE!</v>
      </c>
      <c r="L88" s="91" t="e">
        <f t="shared" si="27"/>
        <v>#VALUE!</v>
      </c>
      <c r="M88" s="69">
        <v>20.6</v>
      </c>
      <c r="N88" s="79">
        <v>51</v>
      </c>
      <c r="O88" s="79">
        <v>1013.3</v>
      </c>
      <c r="P88" s="70">
        <v>-5.469E-9</v>
      </c>
      <c r="Q88" s="79">
        <v>60</v>
      </c>
      <c r="R88" s="93">
        <v>42931</v>
      </c>
      <c r="S88" s="231">
        <f t="shared" si="28"/>
        <v>-5.4744689999999997E-9</v>
      </c>
      <c r="T88" s="38">
        <f t="shared" si="29"/>
        <v>0.99520834286108595</v>
      </c>
      <c r="U88" s="74">
        <f t="shared" si="40"/>
        <v>-8.2310750182388134E-11</v>
      </c>
      <c r="V88" s="11">
        <f t="shared" si="38"/>
        <v>-8.2310750182388134E-11</v>
      </c>
      <c r="W88" s="58">
        <f t="shared" si="41"/>
        <v>0.82880340573650269</v>
      </c>
      <c r="X88" s="63">
        <f t="shared" si="31"/>
        <v>7.2775872881260294E-3</v>
      </c>
      <c r="Y88" s="65">
        <f t="shared" si="39"/>
        <v>1.3813390095608377E-2</v>
      </c>
      <c r="Z88" s="71">
        <f t="shared" si="32"/>
        <v>0.72775872881260295</v>
      </c>
      <c r="AA88" s="58">
        <f t="shared" si="33"/>
        <v>8.7331047457512353E-3</v>
      </c>
      <c r="AB88" s="58">
        <f t="shared" si="34"/>
        <v>8.8058806186324945E-3</v>
      </c>
      <c r="AC88" s="47">
        <f t="shared" si="35"/>
        <v>9.0969841101575365E-3</v>
      </c>
    </row>
    <row r="89" spans="1:29" x14ac:dyDescent="0.25">
      <c r="A89" s="2626"/>
      <c r="B89" s="70" t="s">
        <v>93</v>
      </c>
      <c r="C89" s="70" t="s">
        <v>93</v>
      </c>
      <c r="D89" s="70" t="s">
        <v>93</v>
      </c>
      <c r="E89" s="70" t="s">
        <v>93</v>
      </c>
      <c r="F89" s="70" t="s">
        <v>93</v>
      </c>
      <c r="G89" s="70" t="s">
        <v>93</v>
      </c>
      <c r="H89" s="231" t="str">
        <f t="shared" si="36"/>
        <v>-</v>
      </c>
      <c r="I89" s="38" t="e">
        <f t="shared" si="25"/>
        <v>#VALUE!</v>
      </c>
      <c r="J89" s="57" t="str">
        <f t="shared" si="37"/>
        <v>-</v>
      </c>
      <c r="K89" s="58" t="e">
        <f t="shared" si="26"/>
        <v>#VALUE!</v>
      </c>
      <c r="L89" s="91" t="e">
        <f t="shared" si="27"/>
        <v>#VALUE!</v>
      </c>
      <c r="M89" s="69">
        <v>20.6</v>
      </c>
      <c r="N89" s="79">
        <v>51</v>
      </c>
      <c r="O89" s="79">
        <v>1013.3</v>
      </c>
      <c r="P89" s="70">
        <v>-5.4679999999999997E-9</v>
      </c>
      <c r="Q89" s="79">
        <v>60</v>
      </c>
      <c r="R89" s="93">
        <v>42931</v>
      </c>
      <c r="S89" s="231">
        <f t="shared" si="28"/>
        <v>-5.4734679999999991E-9</v>
      </c>
      <c r="T89" s="38">
        <f t="shared" si="29"/>
        <v>0.99520834286108595</v>
      </c>
      <c r="U89" s="74">
        <f t="shared" si="40"/>
        <v>-8.2295699761802565E-11</v>
      </c>
      <c r="V89" s="11">
        <f t="shared" si="38"/>
        <v>-8.2295699761802565E-11</v>
      </c>
      <c r="W89" s="58">
        <f t="shared" si="41"/>
        <v>0.82865186004154245</v>
      </c>
      <c r="X89" s="63">
        <f t="shared" si="31"/>
        <v>7.2762565901395362E-3</v>
      </c>
      <c r="Y89" s="65">
        <f t="shared" si="39"/>
        <v>1.3810864334025707E-2</v>
      </c>
      <c r="Z89" s="71">
        <f t="shared" si="32"/>
        <v>0.7276256590139536</v>
      </c>
      <c r="AA89" s="58">
        <f t="shared" si="33"/>
        <v>8.7315079081674435E-3</v>
      </c>
      <c r="AB89" s="58">
        <f t="shared" si="34"/>
        <v>8.8042704740688392E-3</v>
      </c>
      <c r="AC89" s="47">
        <f t="shared" si="35"/>
        <v>9.0953207376744203E-3</v>
      </c>
    </row>
    <row r="90" spans="1:29" ht="15.75" thickBot="1" x14ac:dyDescent="0.3">
      <c r="A90" s="2627"/>
      <c r="B90" s="58" t="s">
        <v>93</v>
      </c>
      <c r="C90" s="58" t="s">
        <v>93</v>
      </c>
      <c r="D90" s="58" t="s">
        <v>93</v>
      </c>
      <c r="E90" s="58" t="s">
        <v>93</v>
      </c>
      <c r="F90" s="58" t="s">
        <v>93</v>
      </c>
      <c r="G90" s="58" t="s">
        <v>93</v>
      </c>
      <c r="H90" s="231" t="str">
        <f t="shared" si="36"/>
        <v>-</v>
      </c>
      <c r="I90" s="38" t="e">
        <f t="shared" si="25"/>
        <v>#VALUE!</v>
      </c>
      <c r="J90" s="57" t="str">
        <f t="shared" si="37"/>
        <v>-</v>
      </c>
      <c r="K90" s="58" t="e">
        <f t="shared" si="26"/>
        <v>#VALUE!</v>
      </c>
      <c r="L90" s="91" t="e">
        <f t="shared" si="27"/>
        <v>#VALUE!</v>
      </c>
      <c r="M90" s="69">
        <v>20.6</v>
      </c>
      <c r="N90" s="79">
        <v>51</v>
      </c>
      <c r="O90" s="79">
        <v>1013.3</v>
      </c>
      <c r="P90" s="70">
        <v>-5.4670000000000002E-9</v>
      </c>
      <c r="Q90" s="79">
        <v>60</v>
      </c>
      <c r="R90" s="93">
        <v>42931</v>
      </c>
      <c r="S90" s="231">
        <f t="shared" si="28"/>
        <v>-5.4724669999999993E-9</v>
      </c>
      <c r="T90" s="38">
        <f t="shared" si="29"/>
        <v>0.99520834286108595</v>
      </c>
      <c r="U90" s="74">
        <f>S90/Q90*T90*EXP(-LN(2)/10990*($E$59-R90))</f>
        <v>-8.228064934121701E-11</v>
      </c>
      <c r="V90" s="11">
        <f t="shared" si="38"/>
        <v>-8.228064934121701E-11</v>
      </c>
      <c r="W90" s="11">
        <f t="shared" si="41"/>
        <v>0.82850031434658233</v>
      </c>
      <c r="X90" s="65">
        <f t="shared" si="31"/>
        <v>7.2749258921530439E-3</v>
      </c>
      <c r="Y90" s="65">
        <f t="shared" si="39"/>
        <v>1.3808338572443039E-2</v>
      </c>
      <c r="Z90" s="71">
        <f t="shared" si="32"/>
        <v>0.72749258921530435</v>
      </c>
      <c r="AA90" s="58">
        <f t="shared" si="33"/>
        <v>8.7299110705836517E-3</v>
      </c>
      <c r="AB90" s="58">
        <f t="shared" si="34"/>
        <v>8.8026603295051822E-3</v>
      </c>
      <c r="AC90" s="47">
        <f t="shared" si="35"/>
        <v>9.0936573651913058E-3</v>
      </c>
    </row>
    <row r="91" spans="1:29" x14ac:dyDescent="0.25">
      <c r="A91" s="263" t="s">
        <v>61</v>
      </c>
      <c r="B91" s="39" t="e">
        <f>AVERAGE(B81:B90)</f>
        <v>#DIV/0!</v>
      </c>
      <c r="C91" s="242" t="e">
        <f>AVERAGE(C81:C90)</f>
        <v>#DIV/0!</v>
      </c>
      <c r="D91" s="239" t="e">
        <f>AVERAGE(D81:D90)</f>
        <v>#DIV/0!</v>
      </c>
      <c r="E91" s="11" t="e">
        <f>AVERAGE(E81:E90)</f>
        <v>#DIV/0!</v>
      </c>
      <c r="F91" s="236" t="e">
        <f>AVERAGE(F81:F90)</f>
        <v>#DIV/0!</v>
      </c>
      <c r="G91" s="90" t="s">
        <v>93</v>
      </c>
      <c r="H91" s="11" t="str">
        <f>IF(AND(H81="-",H82="-",H83="-",H84="-",H85="-",H86="-",H87="-",H88="-",H89="-",H90="-"),"-",AVERAGE(H81:H90))</f>
        <v>-</v>
      </c>
      <c r="I91" s="38" t="e">
        <f>AVERAGE(I81:I90)</f>
        <v>#VALUE!</v>
      </c>
      <c r="J91" s="75" t="str">
        <f>IF(AND(H81="-",H82="-",H83="-",H84="-",H85="-",H86="-",H87="-",H88="-",H89="-",H90="-"),"-",AVERAGE(J81:J90))</f>
        <v>-</v>
      </c>
      <c r="K91" s="73" t="e">
        <f t="shared" ref="K91:Q91" si="42">AVERAGE(K81:K90)</f>
        <v>#VALUE!</v>
      </c>
      <c r="L91" s="77" t="e">
        <f t="shared" si="42"/>
        <v>#VALUE!</v>
      </c>
      <c r="M91" s="243">
        <f t="shared" si="42"/>
        <v>20.599999999999998</v>
      </c>
      <c r="N91" s="232">
        <f t="shared" si="42"/>
        <v>51</v>
      </c>
      <c r="O91" s="232">
        <f t="shared" si="42"/>
        <v>1013.3</v>
      </c>
      <c r="P91" s="58">
        <f t="shared" si="42"/>
        <v>-5.4670000000000002E-9</v>
      </c>
      <c r="Q91" s="232">
        <f t="shared" si="42"/>
        <v>60</v>
      </c>
      <c r="R91" s="90" t="s">
        <v>93</v>
      </c>
      <c r="S91" s="11">
        <f t="shared" ref="S91:T91" si="43">AVERAGE(S81:S90)</f>
        <v>-5.4724669999999993E-9</v>
      </c>
      <c r="T91" s="38">
        <f t="shared" si="43"/>
        <v>0.99520834286108584</v>
      </c>
      <c r="U91" s="63">
        <f>AVERAGE(U81:U90)</f>
        <v>-8.228064934121701E-11</v>
      </c>
      <c r="V91" s="58">
        <f t="shared" ref="V91:AC91" si="44">AVERAGE(V81:V90)</f>
        <v>-8.228064934121701E-11</v>
      </c>
      <c r="W91" s="73">
        <f t="shared" si="44"/>
        <v>0.82850031434658233</v>
      </c>
      <c r="X91" s="75">
        <f t="shared" si="44"/>
        <v>7.2749258921530457E-3</v>
      </c>
      <c r="Y91" s="75">
        <f t="shared" si="44"/>
        <v>1.3808338572443037E-2</v>
      </c>
      <c r="Z91" s="73">
        <f t="shared" si="44"/>
        <v>0.72749258921530424</v>
      </c>
      <c r="AA91" s="73">
        <f t="shared" si="44"/>
        <v>8.7299110705836534E-3</v>
      </c>
      <c r="AB91" s="73">
        <f t="shared" si="44"/>
        <v>8.8026603295051822E-3</v>
      </c>
      <c r="AC91" s="72">
        <f t="shared" si="44"/>
        <v>9.0936573651913075E-3</v>
      </c>
    </row>
    <row r="92" spans="1:29" x14ac:dyDescent="0.25">
      <c r="A92" s="263" t="s">
        <v>62</v>
      </c>
      <c r="B92" s="39">
        <f>STDEVA(B81:B90)</f>
        <v>0</v>
      </c>
      <c r="C92" s="41">
        <f>STDEVA(C81:C90)</f>
        <v>0</v>
      </c>
      <c r="D92" s="42">
        <f>STDEVA(D81:D90)</f>
        <v>0</v>
      </c>
      <c r="E92" s="11">
        <f>STDEVA(E81:E90)</f>
        <v>0</v>
      </c>
      <c r="F92" s="94">
        <f>STDEVA(F81:F90)</f>
        <v>0</v>
      </c>
      <c r="G92" s="40" t="s">
        <v>93</v>
      </c>
      <c r="H92" s="11" t="str">
        <f>IF(H91="-","-",STDEVA(H81:H90))</f>
        <v>-</v>
      </c>
      <c r="I92" s="40" t="e">
        <f t="shared" ref="I92" si="45">STDEVA(I81:I90)</f>
        <v>#VALUE!</v>
      </c>
      <c r="J92" s="63" t="str">
        <f>IF(J91="-","-",STDEVA(J81:J90))</f>
        <v>-</v>
      </c>
      <c r="K92" s="58" t="e">
        <f t="shared" ref="K92:Q92" si="46">STDEVA(K81:K90)</f>
        <v>#VALUE!</v>
      </c>
      <c r="L92" s="74" t="e">
        <f t="shared" si="46"/>
        <v>#VALUE!</v>
      </c>
      <c r="M92" s="82">
        <f t="shared" si="46"/>
        <v>3.7448890331484813E-15</v>
      </c>
      <c r="N92" s="38">
        <f t="shared" si="46"/>
        <v>0</v>
      </c>
      <c r="O92" s="38">
        <f t="shared" si="46"/>
        <v>0</v>
      </c>
      <c r="P92" s="58">
        <f t="shared" si="46"/>
        <v>1.1547005383792874E-12</v>
      </c>
      <c r="Q92" s="38">
        <f t="shared" si="46"/>
        <v>0</v>
      </c>
      <c r="R92" s="40" t="s">
        <v>93</v>
      </c>
      <c r="S92" s="11">
        <f t="shared" ref="S92:AC92" si="47">STDEVA(S81:S90)</f>
        <v>1.1558552389177162E-12</v>
      </c>
      <c r="T92" s="40">
        <f t="shared" si="47"/>
        <v>1.1702778228589004E-16</v>
      </c>
      <c r="U92" s="63">
        <f t="shared" si="47"/>
        <v>1.7378728752972552E-14</v>
      </c>
      <c r="V92" s="58">
        <f t="shared" si="47"/>
        <v>1.7378728752972552E-14</v>
      </c>
      <c r="W92" s="58">
        <f t="shared" si="47"/>
        <v>1.7498989555946585E-4</v>
      </c>
      <c r="X92" s="63">
        <f t="shared" si="47"/>
        <v>1.5365576814230076E-6</v>
      </c>
      <c r="Y92" s="63">
        <f t="shared" si="47"/>
        <v>2.9164982593239411E-6</v>
      </c>
      <c r="Z92" s="58">
        <f t="shared" si="47"/>
        <v>1.5365576814230008E-4</v>
      </c>
      <c r="AA92" s="58">
        <f t="shared" si="47"/>
        <v>1.8438692177076089E-6</v>
      </c>
      <c r="AB92" s="58">
        <f t="shared" si="47"/>
        <v>1.8592347945218641E-6</v>
      </c>
      <c r="AC92" s="47">
        <f t="shared" si="47"/>
        <v>1.9206971017788845E-6</v>
      </c>
    </row>
    <row r="93" spans="1:29" ht="15.75" thickBot="1" x14ac:dyDescent="0.3">
      <c r="A93" s="264" t="s">
        <v>63</v>
      </c>
      <c r="B93" s="44" t="e">
        <f>B92/B91*100</f>
        <v>#DIV/0!</v>
      </c>
      <c r="C93" s="45" t="e">
        <f>C92/C91*100</f>
        <v>#DIV/0!</v>
      </c>
      <c r="D93" s="46" t="e">
        <f>D92/D91*100</f>
        <v>#DIV/0!</v>
      </c>
      <c r="E93" s="43" t="e">
        <f>E92/E91*100</f>
        <v>#DIV/0!</v>
      </c>
      <c r="F93" s="95" t="e">
        <f>F92/F91*100</f>
        <v>#DIV/0!</v>
      </c>
      <c r="G93" s="43" t="s">
        <v>93</v>
      </c>
      <c r="H93" s="89" t="str">
        <f>IF(H91="-","-",H92/H91*100)</f>
        <v>-</v>
      </c>
      <c r="I93" s="43" t="e">
        <f t="shared" ref="I93" si="48">I92/I91*100</f>
        <v>#VALUE!</v>
      </c>
      <c r="J93" s="64" t="str">
        <f>IF(J91="-","-",J92/J91*100)</f>
        <v>-</v>
      </c>
      <c r="K93" s="19" t="e">
        <f t="shared" ref="K93:Q93" si="49">K92/K91*100</f>
        <v>#VALUE!</v>
      </c>
      <c r="L93" s="78" t="e">
        <f t="shared" si="49"/>
        <v>#VALUE!</v>
      </c>
      <c r="M93" s="83">
        <f t="shared" si="49"/>
        <v>1.817907297644894E-14</v>
      </c>
      <c r="N93" s="81">
        <f t="shared" si="49"/>
        <v>0</v>
      </c>
      <c r="O93" s="81">
        <f t="shared" si="49"/>
        <v>0</v>
      </c>
      <c r="P93" s="19">
        <f t="shared" si="49"/>
        <v>-2.1121282940905199E-2</v>
      </c>
      <c r="Q93" s="81">
        <f t="shared" si="49"/>
        <v>0</v>
      </c>
      <c r="R93" s="43" t="s">
        <v>93</v>
      </c>
      <c r="S93" s="89">
        <f t="shared" ref="S93:AC93" si="50">S92/S91*100</f>
        <v>-2.1121282940906112E-2</v>
      </c>
      <c r="T93" s="43">
        <f t="shared" si="50"/>
        <v>1.1759123918661232E-14</v>
      </c>
      <c r="U93" s="64">
        <f t="shared" si="50"/>
        <v>-2.1121282940905269E-2</v>
      </c>
      <c r="V93" s="19">
        <f t="shared" si="50"/>
        <v>-2.1121282940905269E-2</v>
      </c>
      <c r="W93" s="19">
        <f t="shared" si="50"/>
        <v>2.1121282940909446E-2</v>
      </c>
      <c r="X93" s="64">
        <f t="shared" si="50"/>
        <v>2.1121282940907826E-2</v>
      </c>
      <c r="Y93" s="64">
        <f t="shared" si="50"/>
        <v>2.1121282940905903E-2</v>
      </c>
      <c r="Z93" s="19">
        <f t="shared" si="50"/>
        <v>2.1121282940907739E-2</v>
      </c>
      <c r="AA93" s="19">
        <f t="shared" si="50"/>
        <v>2.1121282940907826E-2</v>
      </c>
      <c r="AB93" s="19">
        <f t="shared" si="50"/>
        <v>2.1121282940908113E-2</v>
      </c>
      <c r="AC93" s="17">
        <f t="shared" si="50"/>
        <v>2.1121282940909199E-2</v>
      </c>
    </row>
    <row r="94" spans="1:29" x14ac:dyDescent="0.25">
      <c r="A94" s="2625" t="s">
        <v>656</v>
      </c>
      <c r="B94" s="76" t="s">
        <v>93</v>
      </c>
      <c r="C94" s="76" t="s">
        <v>93</v>
      </c>
      <c r="D94" s="76" t="s">
        <v>93</v>
      </c>
      <c r="E94" s="76" t="s">
        <v>93</v>
      </c>
      <c r="F94" s="76" t="s">
        <v>93</v>
      </c>
      <c r="G94" s="76" t="s">
        <v>93</v>
      </c>
      <c r="H94" s="231" t="str">
        <f>IF(E94="-","-",IF(AND(E94&lt;=$E$35,E94&gt;=$F$35),E94*$C$35,IF(AND(E94&lt;=$E$36,E94&gt;=$F$36),E94*$C$36,"rango cal. out")))</f>
        <v>-</v>
      </c>
      <c r="I94" s="40" t="e">
        <f t="shared" ref="I94:I103" si="51">((273.2+B94)*$E$26/((273.2+$E$25)*D94))</f>
        <v>#VALUE!</v>
      </c>
      <c r="J94" s="57" t="str">
        <f>IF(H94="-","-",H94/F94*I94)</f>
        <v>-</v>
      </c>
      <c r="K94" s="11" t="e">
        <f t="shared" ref="K94:K103" si="52">ABS($A$27*J94*3600)</f>
        <v>#VALUE!</v>
      </c>
      <c r="L94" s="97" t="e">
        <f t="shared" ref="L94:L103" si="53">ABS($A$28*J94*3600)</f>
        <v>#VALUE!</v>
      </c>
      <c r="M94" s="68">
        <v>20.5</v>
      </c>
      <c r="N94" s="80">
        <v>52</v>
      </c>
      <c r="O94" s="80">
        <v>1013.3</v>
      </c>
      <c r="P94" s="76">
        <v>-5.5409999999999998E-9</v>
      </c>
      <c r="Q94" s="80">
        <v>60</v>
      </c>
      <c r="R94" s="105">
        <v>42931</v>
      </c>
      <c r="S94" s="231">
        <f t="shared" ref="S94:S103" si="54">IF(AND(P94&lt;=$E$35,P94&gt;=$F$35),P94*$C$35,IF(AND(P94&lt;=$E$36,P94&gt;=$F$36),P94*$C$36,"rango cal. out"))</f>
        <v>-5.5465409999999992E-9</v>
      </c>
      <c r="T94" s="40">
        <f t="shared" ref="T94:T103" si="55">((273.2+M94)*$E$26/((273.2+$E$25)*O94))</f>
        <v>0.99486960618890696</v>
      </c>
      <c r="U94" s="57">
        <f>S94/Q94*T94*EXP(-LN(2)/10990*($E$59-R94))</f>
        <v>-8.3365995719665486E-11</v>
      </c>
      <c r="V94" s="58">
        <f t="shared" ref="V94:V97" si="56">IF($J$104="-",U94,U94-$J$104)</f>
        <v>-8.3365995719665486E-11</v>
      </c>
      <c r="W94" s="11">
        <f t="shared" ref="W94" si="57">ABS($A$27*V94*3600)</f>
        <v>0.83942888410045569</v>
      </c>
      <c r="X94" s="65">
        <f t="shared" ref="X94:X103" si="58">ABS($A$28*V94*3600)</f>
        <v>7.3708878775499437E-3</v>
      </c>
      <c r="Y94" s="65">
        <f>W94*Q94/3600</f>
        <v>1.3990481401674262E-2</v>
      </c>
      <c r="Z94" s="111">
        <f t="shared" ref="Z94:Z103" si="59">X94*$B$50</f>
        <v>0.73708878775499442</v>
      </c>
      <c r="AA94" s="11">
        <f t="shared" ref="AA94:AA103" si="60">X94*$E$42</f>
        <v>8.8450654530599325E-3</v>
      </c>
      <c r="AB94" s="11">
        <f t="shared" ref="AB94:AB103" si="61">X94*$E$44</f>
        <v>8.9187743318354315E-3</v>
      </c>
      <c r="AC94" s="12">
        <f t="shared" ref="AC94:AC103" si="62">X94*$E$43</f>
        <v>9.2136098469374293E-3</v>
      </c>
    </row>
    <row r="95" spans="1:29" x14ac:dyDescent="0.25">
      <c r="A95" s="2626"/>
      <c r="B95" s="70" t="s">
        <v>93</v>
      </c>
      <c r="C95" s="70" t="s">
        <v>93</v>
      </c>
      <c r="D95" s="70" t="s">
        <v>93</v>
      </c>
      <c r="E95" s="70" t="s">
        <v>93</v>
      </c>
      <c r="F95" s="70" t="s">
        <v>93</v>
      </c>
      <c r="G95" s="70" t="s">
        <v>93</v>
      </c>
      <c r="H95" s="231" t="str">
        <f t="shared" ref="H95:H103" si="63">IF(E95="-","-",IF(AND(E95&lt;=$E$35,E95&gt;=$F$35),E95*$C$35,IF(AND(E95&lt;=$E$36,E95&gt;=$F$36),E95*$C$36,"rango cal. out")))</f>
        <v>-</v>
      </c>
      <c r="I95" s="38" t="e">
        <f t="shared" si="51"/>
        <v>#VALUE!</v>
      </c>
      <c r="J95" s="57" t="str">
        <f t="shared" ref="J95:J103" si="64">IF(H95="-","-",H95/F95*I95)</f>
        <v>-</v>
      </c>
      <c r="K95" s="58" t="e">
        <f t="shared" si="52"/>
        <v>#VALUE!</v>
      </c>
      <c r="L95" s="91" t="e">
        <f t="shared" si="53"/>
        <v>#VALUE!</v>
      </c>
      <c r="M95" s="69">
        <v>20.5</v>
      </c>
      <c r="N95" s="79">
        <v>52</v>
      </c>
      <c r="O95" s="79">
        <v>1013.3</v>
      </c>
      <c r="P95" s="70">
        <v>-5.5430000000000004E-9</v>
      </c>
      <c r="Q95" s="79">
        <v>60</v>
      </c>
      <c r="R95" s="92">
        <v>42931</v>
      </c>
      <c r="S95" s="231">
        <f t="shared" si="54"/>
        <v>-5.5485429999999997E-9</v>
      </c>
      <c r="T95" s="38">
        <f t="shared" si="55"/>
        <v>0.99486960618890696</v>
      </c>
      <c r="U95" s="74">
        <f>S95/Q95*T95*EXP(-LN(2)/10990*($E$59-R95))</f>
        <v>-8.3396086315485606E-11</v>
      </c>
      <c r="V95" s="58">
        <f t="shared" si="56"/>
        <v>-8.3396086315485606E-11</v>
      </c>
      <c r="W95" s="58">
        <f>ABS($A$27*V95*3600)</f>
        <v>0.83973187232788771</v>
      </c>
      <c r="X95" s="63">
        <f t="shared" si="58"/>
        <v>7.3735483676699749E-3</v>
      </c>
      <c r="Y95" s="65">
        <f t="shared" ref="Y95:Y103" si="65">W95*Q95/3600</f>
        <v>1.3995531205464795E-2</v>
      </c>
      <c r="Z95" s="58">
        <f t="shared" si="59"/>
        <v>0.73735483676699753</v>
      </c>
      <c r="AA95" s="58">
        <f t="shared" si="60"/>
        <v>8.8482580412039703E-3</v>
      </c>
      <c r="AB95" s="58">
        <f t="shared" si="61"/>
        <v>8.9219935248806698E-3</v>
      </c>
      <c r="AC95" s="47">
        <f t="shared" si="62"/>
        <v>9.2169354595874678E-3</v>
      </c>
    </row>
    <row r="96" spans="1:29" x14ac:dyDescent="0.25">
      <c r="A96" s="2626"/>
      <c r="B96" s="70" t="s">
        <v>93</v>
      </c>
      <c r="C96" s="70" t="s">
        <v>93</v>
      </c>
      <c r="D96" s="70" t="s">
        <v>93</v>
      </c>
      <c r="E96" s="70" t="s">
        <v>93</v>
      </c>
      <c r="F96" s="70" t="s">
        <v>93</v>
      </c>
      <c r="G96" s="70" t="s">
        <v>93</v>
      </c>
      <c r="H96" s="231" t="str">
        <f t="shared" si="63"/>
        <v>-</v>
      </c>
      <c r="I96" s="38" t="e">
        <f t="shared" si="51"/>
        <v>#VALUE!</v>
      </c>
      <c r="J96" s="57" t="str">
        <f t="shared" si="64"/>
        <v>-</v>
      </c>
      <c r="K96" s="58" t="e">
        <f t="shared" si="52"/>
        <v>#VALUE!</v>
      </c>
      <c r="L96" s="91" t="e">
        <f t="shared" si="53"/>
        <v>#VALUE!</v>
      </c>
      <c r="M96" s="69">
        <v>20.5</v>
      </c>
      <c r="N96" s="79">
        <v>52</v>
      </c>
      <c r="O96" s="79">
        <v>1013.3</v>
      </c>
      <c r="P96" s="70">
        <v>-5.5409999999999998E-9</v>
      </c>
      <c r="Q96" s="79">
        <v>60</v>
      </c>
      <c r="R96" s="92">
        <v>42931</v>
      </c>
      <c r="S96" s="231">
        <f t="shared" si="54"/>
        <v>-5.5465409999999992E-9</v>
      </c>
      <c r="T96" s="38">
        <f t="shared" si="55"/>
        <v>0.99486960618890696</v>
      </c>
      <c r="U96" s="74">
        <f t="shared" ref="U96:U102" si="66">S96/Q96*T96*EXP(-LN(2)/10990*($E$59-R96))</f>
        <v>-8.3365995719665486E-11</v>
      </c>
      <c r="V96" s="58">
        <f t="shared" si="56"/>
        <v>-8.3365995719665486E-11</v>
      </c>
      <c r="W96" s="58">
        <f t="shared" ref="W96:W103" si="67">ABS($A$27*V96*3600)</f>
        <v>0.83942888410045569</v>
      </c>
      <c r="X96" s="63">
        <f t="shared" si="58"/>
        <v>7.3708878775499437E-3</v>
      </c>
      <c r="Y96" s="65">
        <f t="shared" si="65"/>
        <v>1.3990481401674262E-2</v>
      </c>
      <c r="Z96" s="71">
        <f t="shared" si="59"/>
        <v>0.73708878775499442</v>
      </c>
      <c r="AA96" s="58">
        <f t="shared" si="60"/>
        <v>8.8450654530599325E-3</v>
      </c>
      <c r="AB96" s="58">
        <f t="shared" si="61"/>
        <v>8.9187743318354315E-3</v>
      </c>
      <c r="AC96" s="47">
        <f t="shared" si="62"/>
        <v>9.2136098469374293E-3</v>
      </c>
    </row>
    <row r="97" spans="1:29" x14ac:dyDescent="0.25">
      <c r="A97" s="2626"/>
      <c r="B97" s="70" t="s">
        <v>93</v>
      </c>
      <c r="C97" s="70" t="s">
        <v>93</v>
      </c>
      <c r="D97" s="70" t="s">
        <v>93</v>
      </c>
      <c r="E97" s="70" t="s">
        <v>93</v>
      </c>
      <c r="F97" s="70" t="s">
        <v>93</v>
      </c>
      <c r="G97" s="70" t="s">
        <v>93</v>
      </c>
      <c r="H97" s="231" t="str">
        <f t="shared" si="63"/>
        <v>-</v>
      </c>
      <c r="I97" s="38" t="e">
        <f t="shared" si="51"/>
        <v>#VALUE!</v>
      </c>
      <c r="J97" s="57" t="str">
        <f t="shared" si="64"/>
        <v>-</v>
      </c>
      <c r="K97" s="58" t="e">
        <f t="shared" si="52"/>
        <v>#VALUE!</v>
      </c>
      <c r="L97" s="91" t="e">
        <f t="shared" si="53"/>
        <v>#VALUE!</v>
      </c>
      <c r="M97" s="69">
        <v>20.5</v>
      </c>
      <c r="N97" s="79">
        <v>52</v>
      </c>
      <c r="O97" s="79">
        <v>1013.3</v>
      </c>
      <c r="P97" s="70">
        <v>-5.5450000000000002E-9</v>
      </c>
      <c r="Q97" s="79">
        <v>60</v>
      </c>
      <c r="R97" s="92">
        <v>42931</v>
      </c>
      <c r="S97" s="231">
        <f t="shared" si="54"/>
        <v>-5.5505449999999993E-9</v>
      </c>
      <c r="T97" s="38">
        <f t="shared" si="55"/>
        <v>0.99486960618890696</v>
      </c>
      <c r="U97" s="74">
        <f t="shared" si="66"/>
        <v>-8.342617691130574E-11</v>
      </c>
      <c r="V97" s="58">
        <f t="shared" si="56"/>
        <v>-8.342617691130574E-11</v>
      </c>
      <c r="W97" s="58">
        <f t="shared" si="67"/>
        <v>0.84003486055531973</v>
      </c>
      <c r="X97" s="63">
        <f t="shared" si="58"/>
        <v>7.3762088577900078E-3</v>
      </c>
      <c r="Y97" s="65">
        <f t="shared" si="65"/>
        <v>1.4000581009255327E-2</v>
      </c>
      <c r="Z97" s="71">
        <f t="shared" si="59"/>
        <v>0.73762088577900076</v>
      </c>
      <c r="AA97" s="58">
        <f t="shared" si="60"/>
        <v>8.8514506293480098E-3</v>
      </c>
      <c r="AB97" s="58">
        <f t="shared" si="61"/>
        <v>8.9252127179259098E-3</v>
      </c>
      <c r="AC97" s="47">
        <f t="shared" si="62"/>
        <v>9.2202610722375098E-3</v>
      </c>
    </row>
    <row r="98" spans="1:29" x14ac:dyDescent="0.25">
      <c r="A98" s="2626"/>
      <c r="B98" s="70" t="s">
        <v>93</v>
      </c>
      <c r="C98" s="70" t="s">
        <v>93</v>
      </c>
      <c r="D98" s="70" t="s">
        <v>93</v>
      </c>
      <c r="E98" s="70" t="s">
        <v>93</v>
      </c>
      <c r="F98" s="70" t="s">
        <v>93</v>
      </c>
      <c r="G98" s="70" t="s">
        <v>93</v>
      </c>
      <c r="H98" s="231" t="str">
        <f t="shared" si="63"/>
        <v>-</v>
      </c>
      <c r="I98" s="38" t="e">
        <f t="shared" si="51"/>
        <v>#VALUE!</v>
      </c>
      <c r="J98" s="57" t="str">
        <f t="shared" si="64"/>
        <v>-</v>
      </c>
      <c r="K98" s="58" t="e">
        <f t="shared" si="52"/>
        <v>#VALUE!</v>
      </c>
      <c r="L98" s="91" t="e">
        <f t="shared" si="53"/>
        <v>#VALUE!</v>
      </c>
      <c r="M98" s="69">
        <v>20.5</v>
      </c>
      <c r="N98" s="79">
        <v>52</v>
      </c>
      <c r="O98" s="79">
        <v>1013.3</v>
      </c>
      <c r="P98" s="70">
        <v>-5.5430000000000004E-9</v>
      </c>
      <c r="Q98" s="79">
        <v>60</v>
      </c>
      <c r="R98" s="93">
        <v>42931</v>
      </c>
      <c r="S98" s="231">
        <f t="shared" si="54"/>
        <v>-5.5485429999999997E-9</v>
      </c>
      <c r="T98" s="38">
        <f t="shared" si="55"/>
        <v>0.99486960618890696</v>
      </c>
      <c r="U98" s="74">
        <f t="shared" si="66"/>
        <v>-8.3396086315485606E-11</v>
      </c>
      <c r="V98" s="58">
        <f>IF($J$104="-",U98,U98-$J$104)</f>
        <v>-8.3396086315485606E-11</v>
      </c>
      <c r="W98" s="58">
        <f t="shared" si="67"/>
        <v>0.83973187232788771</v>
      </c>
      <c r="X98" s="63">
        <f t="shared" si="58"/>
        <v>7.3735483676699749E-3</v>
      </c>
      <c r="Y98" s="65">
        <f t="shared" si="65"/>
        <v>1.3995531205464795E-2</v>
      </c>
      <c r="Z98" s="71">
        <f t="shared" si="59"/>
        <v>0.73735483676699753</v>
      </c>
      <c r="AA98" s="58">
        <f t="shared" si="60"/>
        <v>8.8482580412039703E-3</v>
      </c>
      <c r="AB98" s="58">
        <f t="shared" si="61"/>
        <v>8.9219935248806698E-3</v>
      </c>
      <c r="AC98" s="47">
        <f t="shared" si="62"/>
        <v>9.2169354595874678E-3</v>
      </c>
    </row>
    <row r="99" spans="1:29" x14ac:dyDescent="0.25">
      <c r="A99" s="2626"/>
      <c r="B99" s="70" t="s">
        <v>93</v>
      </c>
      <c r="C99" s="70" t="s">
        <v>93</v>
      </c>
      <c r="D99" s="70" t="s">
        <v>93</v>
      </c>
      <c r="E99" s="70" t="s">
        <v>93</v>
      </c>
      <c r="F99" s="70" t="s">
        <v>93</v>
      </c>
      <c r="G99" s="70" t="s">
        <v>93</v>
      </c>
      <c r="H99" s="231" t="str">
        <f t="shared" si="63"/>
        <v>-</v>
      </c>
      <c r="I99" s="38" t="e">
        <f t="shared" si="51"/>
        <v>#VALUE!</v>
      </c>
      <c r="J99" s="57" t="str">
        <f t="shared" si="64"/>
        <v>-</v>
      </c>
      <c r="K99" s="58" t="e">
        <f t="shared" si="52"/>
        <v>#VALUE!</v>
      </c>
      <c r="L99" s="91" t="e">
        <f t="shared" si="53"/>
        <v>#VALUE!</v>
      </c>
      <c r="M99" s="69">
        <v>20.5</v>
      </c>
      <c r="N99" s="79">
        <v>52</v>
      </c>
      <c r="O99" s="79">
        <v>1013.3</v>
      </c>
      <c r="P99" s="70">
        <v>-5.5420000000000001E-9</v>
      </c>
      <c r="Q99" s="79">
        <v>60</v>
      </c>
      <c r="R99" s="93">
        <v>42931</v>
      </c>
      <c r="S99" s="231">
        <f t="shared" si="54"/>
        <v>-5.5475419999999999E-9</v>
      </c>
      <c r="T99" s="38">
        <f t="shared" si="55"/>
        <v>0.99486960618890696</v>
      </c>
      <c r="U99" s="74">
        <f t="shared" si="66"/>
        <v>-8.3381041017575546E-11</v>
      </c>
      <c r="V99" s="58">
        <f t="shared" ref="V99:V103" si="68">IF($J$104="-",U99,U99-$J$104)</f>
        <v>-8.3381041017575546E-11</v>
      </c>
      <c r="W99" s="58">
        <f t="shared" si="67"/>
        <v>0.83958037821417164</v>
      </c>
      <c r="X99" s="63">
        <f t="shared" si="58"/>
        <v>7.3722181226099593E-3</v>
      </c>
      <c r="Y99" s="65">
        <f t="shared" si="65"/>
        <v>1.3993006303569528E-2</v>
      </c>
      <c r="Z99" s="71">
        <f t="shared" si="59"/>
        <v>0.73722181226099592</v>
      </c>
      <c r="AA99" s="58">
        <f t="shared" si="60"/>
        <v>8.8466617471319505E-3</v>
      </c>
      <c r="AB99" s="58">
        <f t="shared" si="61"/>
        <v>8.9203839283580506E-3</v>
      </c>
      <c r="AC99" s="47">
        <f t="shared" si="62"/>
        <v>9.2152726532624494E-3</v>
      </c>
    </row>
    <row r="100" spans="1:29" x14ac:dyDescent="0.25">
      <c r="A100" s="2626"/>
      <c r="B100" s="70" t="s">
        <v>93</v>
      </c>
      <c r="C100" s="70" t="s">
        <v>93</v>
      </c>
      <c r="D100" s="70" t="s">
        <v>93</v>
      </c>
      <c r="E100" s="70" t="s">
        <v>93</v>
      </c>
      <c r="F100" s="70" t="s">
        <v>93</v>
      </c>
      <c r="G100" s="70" t="s">
        <v>93</v>
      </c>
      <c r="H100" s="231" t="str">
        <f t="shared" si="63"/>
        <v>-</v>
      </c>
      <c r="I100" s="38" t="e">
        <f t="shared" si="51"/>
        <v>#VALUE!</v>
      </c>
      <c r="J100" s="57" t="str">
        <f t="shared" si="64"/>
        <v>-</v>
      </c>
      <c r="K100" s="58" t="e">
        <f t="shared" si="52"/>
        <v>#VALUE!</v>
      </c>
      <c r="L100" s="91" t="e">
        <f t="shared" si="53"/>
        <v>#VALUE!</v>
      </c>
      <c r="M100" s="69">
        <v>20.5</v>
      </c>
      <c r="N100" s="79">
        <v>52</v>
      </c>
      <c r="O100" s="79">
        <v>1013.3</v>
      </c>
      <c r="P100" s="70">
        <v>-5.5450000000000002E-9</v>
      </c>
      <c r="Q100" s="79">
        <v>60</v>
      </c>
      <c r="R100" s="93">
        <v>42931</v>
      </c>
      <c r="S100" s="231">
        <f t="shared" si="54"/>
        <v>-5.5505449999999993E-9</v>
      </c>
      <c r="T100" s="38">
        <f t="shared" si="55"/>
        <v>0.99486960618890696</v>
      </c>
      <c r="U100" s="74">
        <f t="shared" si="66"/>
        <v>-8.342617691130574E-11</v>
      </c>
      <c r="V100" s="58">
        <f t="shared" si="68"/>
        <v>-8.342617691130574E-11</v>
      </c>
      <c r="W100" s="58">
        <f t="shared" si="67"/>
        <v>0.84003486055531973</v>
      </c>
      <c r="X100" s="63">
        <f t="shared" si="58"/>
        <v>7.3762088577900078E-3</v>
      </c>
      <c r="Y100" s="65">
        <f t="shared" si="65"/>
        <v>1.4000581009255327E-2</v>
      </c>
      <c r="Z100" s="71">
        <f t="shared" si="59"/>
        <v>0.73762088577900076</v>
      </c>
      <c r="AA100" s="58">
        <f t="shared" si="60"/>
        <v>8.8514506293480098E-3</v>
      </c>
      <c r="AB100" s="58">
        <f t="shared" si="61"/>
        <v>8.9252127179259098E-3</v>
      </c>
      <c r="AC100" s="47">
        <f t="shared" si="62"/>
        <v>9.2202610722375098E-3</v>
      </c>
    </row>
    <row r="101" spans="1:29" x14ac:dyDescent="0.25">
      <c r="A101" s="2626"/>
      <c r="B101" s="70" t="s">
        <v>93</v>
      </c>
      <c r="C101" s="70" t="s">
        <v>93</v>
      </c>
      <c r="D101" s="70" t="s">
        <v>93</v>
      </c>
      <c r="E101" s="70" t="s">
        <v>93</v>
      </c>
      <c r="F101" s="70" t="s">
        <v>93</v>
      </c>
      <c r="G101" s="70" t="s">
        <v>93</v>
      </c>
      <c r="H101" s="231" t="str">
        <f t="shared" si="63"/>
        <v>-</v>
      </c>
      <c r="I101" s="38" t="e">
        <f t="shared" si="51"/>
        <v>#VALUE!</v>
      </c>
      <c r="J101" s="57" t="str">
        <f t="shared" si="64"/>
        <v>-</v>
      </c>
      <c r="K101" s="58" t="e">
        <f t="shared" si="52"/>
        <v>#VALUE!</v>
      </c>
      <c r="L101" s="91" t="e">
        <f t="shared" si="53"/>
        <v>#VALUE!</v>
      </c>
      <c r="M101" s="69">
        <v>20.5</v>
      </c>
      <c r="N101" s="79">
        <v>52</v>
      </c>
      <c r="O101" s="79">
        <v>1013.3</v>
      </c>
      <c r="P101" s="70">
        <v>-5.5420000000000001E-9</v>
      </c>
      <c r="Q101" s="79">
        <v>60</v>
      </c>
      <c r="R101" s="93">
        <v>42931</v>
      </c>
      <c r="S101" s="231">
        <f t="shared" si="54"/>
        <v>-5.5475419999999999E-9</v>
      </c>
      <c r="T101" s="38">
        <f t="shared" si="55"/>
        <v>0.99486960618890696</v>
      </c>
      <c r="U101" s="74">
        <f t="shared" si="66"/>
        <v>-8.3381041017575546E-11</v>
      </c>
      <c r="V101" s="58">
        <f t="shared" si="68"/>
        <v>-8.3381041017575546E-11</v>
      </c>
      <c r="W101" s="58">
        <f t="shared" si="67"/>
        <v>0.83958037821417164</v>
      </c>
      <c r="X101" s="63">
        <f t="shared" si="58"/>
        <v>7.3722181226099593E-3</v>
      </c>
      <c r="Y101" s="65">
        <f t="shared" si="65"/>
        <v>1.3993006303569528E-2</v>
      </c>
      <c r="Z101" s="71">
        <f t="shared" si="59"/>
        <v>0.73722181226099592</v>
      </c>
      <c r="AA101" s="58">
        <f t="shared" si="60"/>
        <v>8.8466617471319505E-3</v>
      </c>
      <c r="AB101" s="58">
        <f t="shared" si="61"/>
        <v>8.9203839283580506E-3</v>
      </c>
      <c r="AC101" s="47">
        <f t="shared" si="62"/>
        <v>9.2152726532624494E-3</v>
      </c>
    </row>
    <row r="102" spans="1:29" x14ac:dyDescent="0.25">
      <c r="A102" s="2626"/>
      <c r="B102" s="70" t="s">
        <v>93</v>
      </c>
      <c r="C102" s="70" t="s">
        <v>93</v>
      </c>
      <c r="D102" s="70" t="s">
        <v>93</v>
      </c>
      <c r="E102" s="70" t="s">
        <v>93</v>
      </c>
      <c r="F102" s="70" t="s">
        <v>93</v>
      </c>
      <c r="G102" s="70" t="s">
        <v>93</v>
      </c>
      <c r="H102" s="231" t="str">
        <f t="shared" si="63"/>
        <v>-</v>
      </c>
      <c r="I102" s="38" t="e">
        <f t="shared" si="51"/>
        <v>#VALUE!</v>
      </c>
      <c r="J102" s="57" t="str">
        <f t="shared" si="64"/>
        <v>-</v>
      </c>
      <c r="K102" s="58" t="e">
        <f t="shared" si="52"/>
        <v>#VALUE!</v>
      </c>
      <c r="L102" s="91" t="e">
        <f t="shared" si="53"/>
        <v>#VALUE!</v>
      </c>
      <c r="M102" s="69">
        <v>20.5</v>
      </c>
      <c r="N102" s="79">
        <v>52</v>
      </c>
      <c r="O102" s="79">
        <v>1013.3</v>
      </c>
      <c r="P102" s="70">
        <v>-5.5430000000000004E-9</v>
      </c>
      <c r="Q102" s="79">
        <v>60</v>
      </c>
      <c r="R102" s="93">
        <v>42931</v>
      </c>
      <c r="S102" s="231">
        <f t="shared" si="54"/>
        <v>-5.5485429999999997E-9</v>
      </c>
      <c r="T102" s="38">
        <f t="shared" si="55"/>
        <v>0.99486960618890696</v>
      </c>
      <c r="U102" s="74">
        <f t="shared" si="66"/>
        <v>-8.3396086315485606E-11</v>
      </c>
      <c r="V102" s="58">
        <f t="shared" si="68"/>
        <v>-8.3396086315485606E-11</v>
      </c>
      <c r="W102" s="58">
        <f t="shared" si="67"/>
        <v>0.83973187232788771</v>
      </c>
      <c r="X102" s="63">
        <f t="shared" si="58"/>
        <v>7.3735483676699749E-3</v>
      </c>
      <c r="Y102" s="65">
        <f t="shared" si="65"/>
        <v>1.3995531205464795E-2</v>
      </c>
      <c r="Z102" s="71">
        <f t="shared" si="59"/>
        <v>0.73735483676699753</v>
      </c>
      <c r="AA102" s="58">
        <f t="shared" si="60"/>
        <v>8.8482580412039703E-3</v>
      </c>
      <c r="AB102" s="58">
        <f t="shared" si="61"/>
        <v>8.9219935248806698E-3</v>
      </c>
      <c r="AC102" s="47">
        <f t="shared" si="62"/>
        <v>9.2169354595874678E-3</v>
      </c>
    </row>
    <row r="103" spans="1:29" ht="15.75" thickBot="1" x14ac:dyDescent="0.3">
      <c r="A103" s="2627"/>
      <c r="B103" s="58" t="s">
        <v>93</v>
      </c>
      <c r="C103" s="58" t="s">
        <v>93</v>
      </c>
      <c r="D103" s="58" t="s">
        <v>93</v>
      </c>
      <c r="E103" s="58" t="s">
        <v>93</v>
      </c>
      <c r="F103" s="58" t="s">
        <v>93</v>
      </c>
      <c r="G103" s="58" t="s">
        <v>93</v>
      </c>
      <c r="H103" s="231" t="str">
        <f t="shared" si="63"/>
        <v>-</v>
      </c>
      <c r="I103" s="38" t="e">
        <f t="shared" si="51"/>
        <v>#VALUE!</v>
      </c>
      <c r="J103" s="57" t="str">
        <f t="shared" si="64"/>
        <v>-</v>
      </c>
      <c r="K103" s="58" t="e">
        <f t="shared" si="52"/>
        <v>#VALUE!</v>
      </c>
      <c r="L103" s="91" t="e">
        <f t="shared" si="53"/>
        <v>#VALUE!</v>
      </c>
      <c r="M103" s="69">
        <v>20.5</v>
      </c>
      <c r="N103" s="79">
        <v>52</v>
      </c>
      <c r="O103" s="79">
        <v>1013.3</v>
      </c>
      <c r="P103" s="70">
        <v>-5.5430000000000004E-9</v>
      </c>
      <c r="Q103" s="79">
        <v>60</v>
      </c>
      <c r="R103" s="93">
        <v>42931</v>
      </c>
      <c r="S103" s="231">
        <f t="shared" si="54"/>
        <v>-5.5485429999999997E-9</v>
      </c>
      <c r="T103" s="38">
        <f t="shared" si="55"/>
        <v>0.99486960618890696</v>
      </c>
      <c r="U103" s="74">
        <f>S103/Q103*T103*EXP(-LN(2)/10990*($E$59-R103))</f>
        <v>-8.3396086315485606E-11</v>
      </c>
      <c r="V103" s="58">
        <f t="shared" si="68"/>
        <v>-8.3396086315485606E-11</v>
      </c>
      <c r="W103" s="11">
        <f t="shared" si="67"/>
        <v>0.83973187232788771</v>
      </c>
      <c r="X103" s="65">
        <f t="shared" si="58"/>
        <v>7.3735483676699749E-3</v>
      </c>
      <c r="Y103" s="65">
        <f t="shared" si="65"/>
        <v>1.3995531205464795E-2</v>
      </c>
      <c r="Z103" s="71">
        <f t="shared" si="59"/>
        <v>0.73735483676699753</v>
      </c>
      <c r="AA103" s="58">
        <f t="shared" si="60"/>
        <v>8.8482580412039703E-3</v>
      </c>
      <c r="AB103" s="58">
        <f t="shared" si="61"/>
        <v>8.9219935248806698E-3</v>
      </c>
      <c r="AC103" s="47">
        <f t="shared" si="62"/>
        <v>9.2169354595874678E-3</v>
      </c>
    </row>
    <row r="104" spans="1:29" x14ac:dyDescent="0.25">
      <c r="A104" s="263" t="s">
        <v>61</v>
      </c>
      <c r="B104" s="39" t="e">
        <f>AVERAGE(B94:B103)</f>
        <v>#DIV/0!</v>
      </c>
      <c r="C104" s="242" t="e">
        <f>AVERAGE(C94:C103)</f>
        <v>#DIV/0!</v>
      </c>
      <c r="D104" s="239" t="e">
        <f>AVERAGE(D94:D103)</f>
        <v>#DIV/0!</v>
      </c>
      <c r="E104" s="11" t="e">
        <f>AVERAGE(E94:E103)</f>
        <v>#DIV/0!</v>
      </c>
      <c r="F104" s="236" t="e">
        <f>AVERAGE(F94:F103)</f>
        <v>#DIV/0!</v>
      </c>
      <c r="G104" s="90" t="s">
        <v>93</v>
      </c>
      <c r="H104" s="11" t="str">
        <f>IF(AND(H94="-",H95="-",H96="-",H97="-",H98="-",H99="-",H100="-",H101="-",H102="-",H103="-"),"-",AVERAGE(H94:H103))</f>
        <v>-</v>
      </c>
      <c r="I104" s="38" t="e">
        <f>AVERAGE(I94:I103)</f>
        <v>#VALUE!</v>
      </c>
      <c r="J104" s="75" t="str">
        <f>IF(AND(H94="-",H95="-",H96="-",H97="-",H98="-",H99="-",H100="-",H101="-",H102="-",H103="-"),"-",AVERAGE(J94:J103))</f>
        <v>-</v>
      </c>
      <c r="K104" s="73" t="e">
        <f t="shared" ref="K104:Q104" si="69">AVERAGE(K94:K103)</f>
        <v>#VALUE!</v>
      </c>
      <c r="L104" s="77" t="e">
        <f t="shared" si="69"/>
        <v>#VALUE!</v>
      </c>
      <c r="M104" s="243">
        <f t="shared" si="69"/>
        <v>20.5</v>
      </c>
      <c r="N104" s="232">
        <f t="shared" si="69"/>
        <v>52</v>
      </c>
      <c r="O104" s="232">
        <f t="shared" si="69"/>
        <v>1013.3</v>
      </c>
      <c r="P104" s="58">
        <f t="shared" si="69"/>
        <v>-5.5427999999999995E-9</v>
      </c>
      <c r="Q104" s="232">
        <f t="shared" si="69"/>
        <v>60</v>
      </c>
      <c r="R104" s="90" t="s">
        <v>93</v>
      </c>
      <c r="S104" s="11">
        <f t="shared" ref="S104:T104" si="70">AVERAGE(S94:S103)</f>
        <v>-5.5483427999999995E-9</v>
      </c>
      <c r="T104" s="38">
        <f t="shared" si="70"/>
        <v>0.99486960618890685</v>
      </c>
      <c r="U104" s="63">
        <f>AVERAGE(U94:U103)</f>
        <v>-8.3393077255903594E-11</v>
      </c>
      <c r="V104" s="58">
        <f t="shared" ref="V104:AC104" si="71">AVERAGE(V94:V103)</f>
        <v>-8.3393077255903594E-11</v>
      </c>
      <c r="W104" s="73">
        <f t="shared" si="71"/>
        <v>0.83970157350514452</v>
      </c>
      <c r="X104" s="75">
        <f t="shared" si="71"/>
        <v>7.3732823186579716E-3</v>
      </c>
      <c r="Y104" s="75">
        <f t="shared" si="71"/>
        <v>1.3995026225085741E-2</v>
      </c>
      <c r="Z104" s="73">
        <f t="shared" si="71"/>
        <v>0.73732823186579732</v>
      </c>
      <c r="AA104" s="73">
        <f t="shared" si="71"/>
        <v>8.847938782389566E-3</v>
      </c>
      <c r="AB104" s="73">
        <f t="shared" si="71"/>
        <v>8.9216716055761473E-3</v>
      </c>
      <c r="AC104" s="72">
        <f t="shared" si="71"/>
        <v>9.2166028983224658E-3</v>
      </c>
    </row>
    <row r="105" spans="1:29" x14ac:dyDescent="0.25">
      <c r="A105" s="263" t="s">
        <v>62</v>
      </c>
      <c r="B105" s="39">
        <f>STDEVA(B94:B103)</f>
        <v>0</v>
      </c>
      <c r="C105" s="41">
        <f>STDEVA(C94:C103)</f>
        <v>0</v>
      </c>
      <c r="D105" s="42">
        <f>STDEVA(D94:D103)</f>
        <v>0</v>
      </c>
      <c r="E105" s="11">
        <f>STDEVA(E94:E103)</f>
        <v>0</v>
      </c>
      <c r="F105" s="94">
        <f>STDEVA(F94:F103)</f>
        <v>0</v>
      </c>
      <c r="G105" s="40" t="s">
        <v>93</v>
      </c>
      <c r="H105" s="11" t="str">
        <f>IF(H104="-","-",STDEVA(H94:H103))</f>
        <v>-</v>
      </c>
      <c r="I105" s="40" t="e">
        <f t="shared" ref="I105" si="72">STDEVA(I94:I103)</f>
        <v>#VALUE!</v>
      </c>
      <c r="J105" s="63" t="str">
        <f>IF(J104="-","-",STDEVA(J94:J103))</f>
        <v>-</v>
      </c>
      <c r="K105" s="58" t="e">
        <f t="shared" ref="K105:Q105" si="73">STDEVA(K94:K103)</f>
        <v>#VALUE!</v>
      </c>
      <c r="L105" s="74" t="e">
        <f t="shared" si="73"/>
        <v>#VALUE!</v>
      </c>
      <c r="M105" s="82">
        <f t="shared" si="73"/>
        <v>0</v>
      </c>
      <c r="N105" s="38">
        <f t="shared" si="73"/>
        <v>0</v>
      </c>
      <c r="O105" s="38">
        <f t="shared" si="73"/>
        <v>0</v>
      </c>
      <c r="P105" s="58">
        <f t="shared" si="73"/>
        <v>1.3984117975603418E-12</v>
      </c>
      <c r="Q105" s="38">
        <f t="shared" si="73"/>
        <v>0</v>
      </c>
      <c r="R105" s="40" t="s">
        <v>93</v>
      </c>
      <c r="S105" s="11">
        <f t="shared" ref="S105:AC105" si="74">STDEVA(S94:S103)</f>
        <v>1.3998102093577169E-12</v>
      </c>
      <c r="T105" s="40">
        <f t="shared" si="74"/>
        <v>1.1702778228589004E-16</v>
      </c>
      <c r="U105" s="63">
        <f t="shared" si="74"/>
        <v>2.1039522095240356E-14</v>
      </c>
      <c r="V105" s="58">
        <f t="shared" si="74"/>
        <v>2.1039522095240356E-14</v>
      </c>
      <c r="W105" s="58">
        <f t="shared" si="74"/>
        <v>2.1185115588140345E-4</v>
      </c>
      <c r="X105" s="63">
        <f t="shared" si="74"/>
        <v>1.8602303855725869E-6</v>
      </c>
      <c r="Y105" s="63">
        <f t="shared" si="74"/>
        <v>3.530852598022494E-6</v>
      </c>
      <c r="Z105" s="58">
        <f t="shared" si="74"/>
        <v>1.8602303855723908E-4</v>
      </c>
      <c r="AA105" s="58">
        <f t="shared" si="74"/>
        <v>2.2322764626873361E-6</v>
      </c>
      <c r="AB105" s="58">
        <f t="shared" si="74"/>
        <v>2.2508787665430792E-6</v>
      </c>
      <c r="AC105" s="47">
        <f t="shared" si="74"/>
        <v>2.3252879819657754E-6</v>
      </c>
    </row>
    <row r="106" spans="1:29" ht="15.75" thickBot="1" x14ac:dyDescent="0.3">
      <c r="A106" s="264" t="s">
        <v>63</v>
      </c>
      <c r="B106" s="44" t="e">
        <f>B105/B104*100</f>
        <v>#DIV/0!</v>
      </c>
      <c r="C106" s="45" t="e">
        <f>C105/C104*100</f>
        <v>#DIV/0!</v>
      </c>
      <c r="D106" s="46" t="e">
        <f>D105/D104*100</f>
        <v>#DIV/0!</v>
      </c>
      <c r="E106" s="43" t="e">
        <f>E105/E104*100</f>
        <v>#DIV/0!</v>
      </c>
      <c r="F106" s="95" t="e">
        <f>F105/F104*100</f>
        <v>#DIV/0!</v>
      </c>
      <c r="G106" s="43" t="s">
        <v>93</v>
      </c>
      <c r="H106" s="89" t="str">
        <f>IF(H104="-","-",H105/H104*100)</f>
        <v>-</v>
      </c>
      <c r="I106" s="43" t="e">
        <f t="shared" ref="I106" si="75">I105/I104*100</f>
        <v>#VALUE!</v>
      </c>
      <c r="J106" s="64" t="str">
        <f>IF(J104="-","-",J105/J104*100)</f>
        <v>-</v>
      </c>
      <c r="K106" s="19" t="e">
        <f t="shared" ref="K106:Q106" si="76">K105/K104*100</f>
        <v>#VALUE!</v>
      </c>
      <c r="L106" s="78" t="e">
        <f t="shared" si="76"/>
        <v>#VALUE!</v>
      </c>
      <c r="M106" s="83">
        <f t="shared" si="76"/>
        <v>0</v>
      </c>
      <c r="N106" s="81">
        <f t="shared" si="76"/>
        <v>0</v>
      </c>
      <c r="O106" s="81">
        <f t="shared" si="76"/>
        <v>0</v>
      </c>
      <c r="P106" s="19">
        <f t="shared" si="76"/>
        <v>-2.5229338918242441E-2</v>
      </c>
      <c r="Q106" s="81">
        <f t="shared" si="76"/>
        <v>0</v>
      </c>
      <c r="R106" s="43" t="s">
        <v>93</v>
      </c>
      <c r="S106" s="89">
        <f t="shared" ref="S106:AC106" si="77">S105/S104*100</f>
        <v>-2.5229338918239103E-2</v>
      </c>
      <c r="T106" s="43">
        <f t="shared" si="77"/>
        <v>1.1763127706171846E-14</v>
      </c>
      <c r="U106" s="64">
        <f t="shared" si="77"/>
        <v>-2.5229338918238468E-2</v>
      </c>
      <c r="V106" s="19">
        <f t="shared" si="77"/>
        <v>-2.5229338918238468E-2</v>
      </c>
      <c r="W106" s="19">
        <f t="shared" si="77"/>
        <v>2.5229338918239568E-2</v>
      </c>
      <c r="X106" s="64">
        <f t="shared" si="77"/>
        <v>2.5229338918235967E-2</v>
      </c>
      <c r="Y106" s="64">
        <f t="shared" si="77"/>
        <v>2.522933891823316E-2</v>
      </c>
      <c r="Z106" s="19">
        <f t="shared" si="77"/>
        <v>2.5229338918233302E-2</v>
      </c>
      <c r="AA106" s="19">
        <f t="shared" si="77"/>
        <v>2.5229338918238586E-2</v>
      </c>
      <c r="AB106" s="19">
        <f t="shared" si="77"/>
        <v>2.5229338918238756E-2</v>
      </c>
      <c r="AC106" s="17">
        <f t="shared" si="77"/>
        <v>2.5229338918236418E-2</v>
      </c>
    </row>
    <row r="107" spans="1:29" x14ac:dyDescent="0.25">
      <c r="A107" s="2625" t="s">
        <v>657</v>
      </c>
      <c r="B107" s="76" t="s">
        <v>93</v>
      </c>
      <c r="C107" s="76" t="s">
        <v>93</v>
      </c>
      <c r="D107" s="76" t="s">
        <v>93</v>
      </c>
      <c r="E107" s="76" t="s">
        <v>93</v>
      </c>
      <c r="F107" s="76" t="s">
        <v>93</v>
      </c>
      <c r="G107" s="76" t="s">
        <v>93</v>
      </c>
      <c r="H107" s="231" t="str">
        <f>IF(E107="-","-",IF(AND(E107&lt;=$E$35,E107&gt;=$F$35),E107*$C$35,IF(AND(E107&lt;=$E$36,E107&gt;=$F$36),E107*$C$36,"rango cal. out")))</f>
        <v>-</v>
      </c>
      <c r="I107" s="40" t="e">
        <f t="shared" ref="I107:I116" si="78">((273.2+B107)*$E$26/((273.2+$E$25)*D107))</f>
        <v>#VALUE!</v>
      </c>
      <c r="J107" s="57" t="str">
        <f>IF(H107="-","-",H107/F107*I107)</f>
        <v>-</v>
      </c>
      <c r="K107" s="11" t="e">
        <f t="shared" ref="K107:K116" si="79">ABS($A$27*J107*3600)</f>
        <v>#VALUE!</v>
      </c>
      <c r="L107" s="97" t="e">
        <f t="shared" ref="L107:L116" si="80">ABS($A$28*J107*3600)</f>
        <v>#VALUE!</v>
      </c>
      <c r="M107" s="68">
        <v>20.5</v>
      </c>
      <c r="N107" s="80">
        <v>52</v>
      </c>
      <c r="O107" s="80">
        <v>1013.3</v>
      </c>
      <c r="P107" s="76">
        <v>-5.4549999999999999E-9</v>
      </c>
      <c r="Q107" s="80">
        <v>60</v>
      </c>
      <c r="R107" s="105">
        <v>42931</v>
      </c>
      <c r="S107" s="231">
        <f t="shared" ref="S107:S116" si="81">IF(AND(P107&lt;=$E$35,P107&gt;=$F$35),P107*$C$35,IF(AND(P107&lt;=$E$36,P107&gt;=$F$36),P107*$C$36,"rango cal. out"))</f>
        <v>-5.4604549999999992E-9</v>
      </c>
      <c r="T107" s="40">
        <f t="shared" ref="T107:T116" si="82">((273.2+M107)*$E$26/((273.2+$E$25)*O107))</f>
        <v>0.99486960618890696</v>
      </c>
      <c r="U107" s="57">
        <f>S107/Q107*T107*EXP(-LN(2)/10990*($E$59-R107))</f>
        <v>-8.2072100099399972E-11</v>
      </c>
      <c r="V107" s="11">
        <f>IF($J$117="-",U107,U107-$J$117)</f>
        <v>-8.2072100099399972E-11</v>
      </c>
      <c r="W107" s="11">
        <f t="shared" ref="W107" si="83">ABS($A$27*V107*3600)</f>
        <v>0.8264003903208782</v>
      </c>
      <c r="X107" s="65">
        <f t="shared" ref="X107:X116" si="84">ABS($A$28*V107*3600)</f>
        <v>7.2564868023885483E-3</v>
      </c>
      <c r="Y107" s="65">
        <f>W107*Q107/3600</f>
        <v>1.3773339838681304E-2</v>
      </c>
      <c r="Z107" s="111">
        <f t="shared" ref="Z107:Z116" si="85">X107*$B$50</f>
        <v>0.72564868023885487</v>
      </c>
      <c r="AA107" s="11">
        <f t="shared" ref="AA107:AA116" si="86">X107*$E$42</f>
        <v>8.7077841628662583E-3</v>
      </c>
      <c r="AB107" s="11">
        <f t="shared" ref="AB107:AB116" si="87">X107*$E$44</f>
        <v>8.7803490308901427E-3</v>
      </c>
      <c r="AC107" s="12">
        <f t="shared" ref="AC107:AC116" si="88">X107*$E$43</f>
        <v>9.0706085029856852E-3</v>
      </c>
    </row>
    <row r="108" spans="1:29" x14ac:dyDescent="0.25">
      <c r="A108" s="2626"/>
      <c r="B108" s="70" t="s">
        <v>93</v>
      </c>
      <c r="C108" s="70" t="s">
        <v>93</v>
      </c>
      <c r="D108" s="70" t="s">
        <v>93</v>
      </c>
      <c r="E108" s="70" t="s">
        <v>93</v>
      </c>
      <c r="F108" s="70" t="s">
        <v>93</v>
      </c>
      <c r="G108" s="70" t="s">
        <v>93</v>
      </c>
      <c r="H108" s="231" t="str">
        <f t="shared" ref="H108:H116" si="89">IF(E108="-","-",IF(AND(E108&lt;=$E$35,E108&gt;=$F$35),E108*$C$35,IF(AND(E108&lt;=$E$36,E108&gt;=$F$36),E108*$C$36,"rango cal. out")))</f>
        <v>-</v>
      </c>
      <c r="I108" s="38" t="e">
        <f t="shared" si="78"/>
        <v>#VALUE!</v>
      </c>
      <c r="J108" s="57" t="str">
        <f t="shared" ref="J108:J116" si="90">IF(H108="-","-",H108/F108*I108)</f>
        <v>-</v>
      </c>
      <c r="K108" s="58" t="e">
        <f t="shared" si="79"/>
        <v>#VALUE!</v>
      </c>
      <c r="L108" s="91" t="e">
        <f t="shared" si="80"/>
        <v>#VALUE!</v>
      </c>
      <c r="M108" s="69">
        <v>20.5</v>
      </c>
      <c r="N108" s="79">
        <v>52</v>
      </c>
      <c r="O108" s="79">
        <v>1013.3</v>
      </c>
      <c r="P108" s="70">
        <v>-5.4489999999999997E-9</v>
      </c>
      <c r="Q108" s="79">
        <v>60</v>
      </c>
      <c r="R108" s="92">
        <v>42931</v>
      </c>
      <c r="S108" s="231">
        <f t="shared" si="81"/>
        <v>-5.4544489999999988E-9</v>
      </c>
      <c r="T108" s="38">
        <f t="shared" si="82"/>
        <v>0.99486960618890696</v>
      </c>
      <c r="U108" s="74">
        <f>S108/Q108*T108*EXP(-LN(2)/10990*($E$59-R108))</f>
        <v>-8.1981828311939573E-11</v>
      </c>
      <c r="V108" s="11">
        <f t="shared" ref="V108:V116" si="91">IF($J$117="-",U108,U108-$J$117)</f>
        <v>-8.1981828311939573E-11</v>
      </c>
      <c r="W108" s="58">
        <f>ABS($A$27*V108*3600)</f>
        <v>0.82549142563858202</v>
      </c>
      <c r="X108" s="63">
        <f t="shared" si="84"/>
        <v>7.2485053320284496E-3</v>
      </c>
      <c r="Y108" s="65">
        <f t="shared" ref="Y108:Y116" si="92">W108*Q108/3600</f>
        <v>1.3758190427309702E-2</v>
      </c>
      <c r="Z108" s="58">
        <f t="shared" si="85"/>
        <v>0.72485053320284498</v>
      </c>
      <c r="AA108" s="58">
        <f t="shared" si="86"/>
        <v>8.6982063984341398E-3</v>
      </c>
      <c r="AB108" s="58">
        <f t="shared" si="87"/>
        <v>8.7706914517544244E-3</v>
      </c>
      <c r="AC108" s="47">
        <f t="shared" si="88"/>
        <v>9.0606316650355626E-3</v>
      </c>
    </row>
    <row r="109" spans="1:29" x14ac:dyDescent="0.25">
      <c r="A109" s="2626"/>
      <c r="B109" s="70" t="s">
        <v>93</v>
      </c>
      <c r="C109" s="70" t="s">
        <v>93</v>
      </c>
      <c r="D109" s="70" t="s">
        <v>93</v>
      </c>
      <c r="E109" s="70" t="s">
        <v>93</v>
      </c>
      <c r="F109" s="70" t="s">
        <v>93</v>
      </c>
      <c r="G109" s="70" t="s">
        <v>93</v>
      </c>
      <c r="H109" s="231" t="str">
        <f t="shared" si="89"/>
        <v>-</v>
      </c>
      <c r="I109" s="38" t="e">
        <f t="shared" si="78"/>
        <v>#VALUE!</v>
      </c>
      <c r="J109" s="57" t="str">
        <f t="shared" si="90"/>
        <v>-</v>
      </c>
      <c r="K109" s="58" t="e">
        <f t="shared" si="79"/>
        <v>#VALUE!</v>
      </c>
      <c r="L109" s="91" t="e">
        <f t="shared" si="80"/>
        <v>#VALUE!</v>
      </c>
      <c r="M109" s="69">
        <v>20.5</v>
      </c>
      <c r="N109" s="79">
        <v>52</v>
      </c>
      <c r="O109" s="79">
        <v>1013.3</v>
      </c>
      <c r="P109" s="70">
        <v>-5.4519999999999998E-9</v>
      </c>
      <c r="Q109" s="79">
        <v>60</v>
      </c>
      <c r="R109" s="92">
        <v>42931</v>
      </c>
      <c r="S109" s="231">
        <f t="shared" si="81"/>
        <v>-5.457451999999999E-9</v>
      </c>
      <c r="T109" s="38">
        <f t="shared" si="82"/>
        <v>0.99486960618890696</v>
      </c>
      <c r="U109" s="74">
        <f t="shared" ref="U109:U115" si="93">S109/Q109*T109*EXP(-LN(2)/10990*($E$59-R109))</f>
        <v>-8.2026964205669766E-11</v>
      </c>
      <c r="V109" s="11">
        <f t="shared" si="91"/>
        <v>-8.2026964205669766E-11</v>
      </c>
      <c r="W109" s="58">
        <f t="shared" ref="W109:W116" si="94">ABS($A$27*V109*3600)</f>
        <v>0.82594590797973</v>
      </c>
      <c r="X109" s="63">
        <f t="shared" si="84"/>
        <v>7.2524960672084981E-3</v>
      </c>
      <c r="Y109" s="65">
        <f t="shared" si="92"/>
        <v>1.3765765132995501E-2</v>
      </c>
      <c r="Z109" s="71">
        <f t="shared" si="85"/>
        <v>0.72524960672084982</v>
      </c>
      <c r="AA109" s="58">
        <f t="shared" si="86"/>
        <v>8.7029952806501974E-3</v>
      </c>
      <c r="AB109" s="58">
        <f t="shared" si="87"/>
        <v>8.7755202413222818E-3</v>
      </c>
      <c r="AC109" s="47">
        <f t="shared" si="88"/>
        <v>9.065620084010623E-3</v>
      </c>
    </row>
    <row r="110" spans="1:29" x14ac:dyDescent="0.25">
      <c r="A110" s="2626"/>
      <c r="B110" s="70" t="s">
        <v>93</v>
      </c>
      <c r="C110" s="70" t="s">
        <v>93</v>
      </c>
      <c r="D110" s="70" t="s">
        <v>93</v>
      </c>
      <c r="E110" s="70" t="s">
        <v>93</v>
      </c>
      <c r="F110" s="70" t="s">
        <v>93</v>
      </c>
      <c r="G110" s="70" t="s">
        <v>93</v>
      </c>
      <c r="H110" s="231" t="str">
        <f t="shared" si="89"/>
        <v>-</v>
      </c>
      <c r="I110" s="38" t="e">
        <f t="shared" si="78"/>
        <v>#VALUE!</v>
      </c>
      <c r="J110" s="57" t="str">
        <f t="shared" si="90"/>
        <v>-</v>
      </c>
      <c r="K110" s="58" t="e">
        <f t="shared" si="79"/>
        <v>#VALUE!</v>
      </c>
      <c r="L110" s="91" t="e">
        <f t="shared" si="80"/>
        <v>#VALUE!</v>
      </c>
      <c r="M110" s="69">
        <v>20.5</v>
      </c>
      <c r="N110" s="79">
        <v>52</v>
      </c>
      <c r="O110" s="79">
        <v>1013.3</v>
      </c>
      <c r="P110" s="70">
        <v>-5.4519999999999998E-9</v>
      </c>
      <c r="Q110" s="79">
        <v>60</v>
      </c>
      <c r="R110" s="92">
        <v>42931</v>
      </c>
      <c r="S110" s="231">
        <f t="shared" si="81"/>
        <v>-5.457451999999999E-9</v>
      </c>
      <c r="T110" s="38">
        <f t="shared" si="82"/>
        <v>0.99486960618890696</v>
      </c>
      <c r="U110" s="74">
        <f t="shared" si="93"/>
        <v>-8.2026964205669766E-11</v>
      </c>
      <c r="V110" s="11">
        <f t="shared" si="91"/>
        <v>-8.2026964205669766E-11</v>
      </c>
      <c r="W110" s="58">
        <f t="shared" si="94"/>
        <v>0.82594590797973</v>
      </c>
      <c r="X110" s="63">
        <f t="shared" si="84"/>
        <v>7.2524960672084981E-3</v>
      </c>
      <c r="Y110" s="65">
        <f t="shared" si="92"/>
        <v>1.3765765132995501E-2</v>
      </c>
      <c r="Z110" s="71">
        <f t="shared" si="85"/>
        <v>0.72524960672084982</v>
      </c>
      <c r="AA110" s="58">
        <f t="shared" si="86"/>
        <v>8.7029952806501974E-3</v>
      </c>
      <c r="AB110" s="58">
        <f t="shared" si="87"/>
        <v>8.7755202413222818E-3</v>
      </c>
      <c r="AC110" s="47">
        <f t="shared" si="88"/>
        <v>9.065620084010623E-3</v>
      </c>
    </row>
    <row r="111" spans="1:29" x14ac:dyDescent="0.25">
      <c r="A111" s="2626"/>
      <c r="B111" s="70" t="s">
        <v>93</v>
      </c>
      <c r="C111" s="70" t="s">
        <v>93</v>
      </c>
      <c r="D111" s="70" t="s">
        <v>93</v>
      </c>
      <c r="E111" s="70" t="s">
        <v>93</v>
      </c>
      <c r="F111" s="70" t="s">
        <v>93</v>
      </c>
      <c r="G111" s="70" t="s">
        <v>93</v>
      </c>
      <c r="H111" s="231" t="str">
        <f t="shared" si="89"/>
        <v>-</v>
      </c>
      <c r="I111" s="38" t="e">
        <f t="shared" si="78"/>
        <v>#VALUE!</v>
      </c>
      <c r="J111" s="57" t="str">
        <f t="shared" si="90"/>
        <v>-</v>
      </c>
      <c r="K111" s="58" t="e">
        <f t="shared" si="79"/>
        <v>#VALUE!</v>
      </c>
      <c r="L111" s="91" t="e">
        <f t="shared" si="80"/>
        <v>#VALUE!</v>
      </c>
      <c r="M111" s="69">
        <v>20.5</v>
      </c>
      <c r="N111" s="79">
        <v>52</v>
      </c>
      <c r="O111" s="79">
        <v>1013.3</v>
      </c>
      <c r="P111" s="70">
        <v>-5.4510000000000003E-9</v>
      </c>
      <c r="Q111" s="79">
        <v>60</v>
      </c>
      <c r="R111" s="93">
        <v>42931</v>
      </c>
      <c r="S111" s="231">
        <f t="shared" si="81"/>
        <v>-5.456451E-9</v>
      </c>
      <c r="T111" s="38">
        <f t="shared" si="82"/>
        <v>0.99486960618890696</v>
      </c>
      <c r="U111" s="74">
        <f t="shared" si="93"/>
        <v>-8.2011918907759719E-11</v>
      </c>
      <c r="V111" s="11">
        <f t="shared" si="91"/>
        <v>-8.2011918907759719E-11</v>
      </c>
      <c r="W111" s="58">
        <f t="shared" si="94"/>
        <v>0.82579441386601415</v>
      </c>
      <c r="X111" s="63">
        <f t="shared" si="84"/>
        <v>7.2511658221484842E-3</v>
      </c>
      <c r="Y111" s="65">
        <f t="shared" si="92"/>
        <v>1.3763240231100236E-2</v>
      </c>
      <c r="Z111" s="71">
        <f t="shared" si="85"/>
        <v>0.72511658221484843</v>
      </c>
      <c r="AA111" s="58">
        <f t="shared" si="86"/>
        <v>8.7013989865781811E-3</v>
      </c>
      <c r="AB111" s="58">
        <f t="shared" si="87"/>
        <v>8.7739106447996661E-3</v>
      </c>
      <c r="AC111" s="47">
        <f t="shared" si="88"/>
        <v>9.0639572776856046E-3</v>
      </c>
    </row>
    <row r="112" spans="1:29" x14ac:dyDescent="0.25">
      <c r="A112" s="2626"/>
      <c r="B112" s="70" t="s">
        <v>93</v>
      </c>
      <c r="C112" s="70" t="s">
        <v>93</v>
      </c>
      <c r="D112" s="70" t="s">
        <v>93</v>
      </c>
      <c r="E112" s="70" t="s">
        <v>93</v>
      </c>
      <c r="F112" s="70" t="s">
        <v>93</v>
      </c>
      <c r="G112" s="70" t="s">
        <v>93</v>
      </c>
      <c r="H112" s="231" t="str">
        <f t="shared" si="89"/>
        <v>-</v>
      </c>
      <c r="I112" s="38" t="e">
        <f t="shared" si="78"/>
        <v>#VALUE!</v>
      </c>
      <c r="J112" s="57" t="str">
        <f t="shared" si="90"/>
        <v>-</v>
      </c>
      <c r="K112" s="58" t="e">
        <f t="shared" si="79"/>
        <v>#VALUE!</v>
      </c>
      <c r="L112" s="91" t="e">
        <f t="shared" si="80"/>
        <v>#VALUE!</v>
      </c>
      <c r="M112" s="69">
        <v>20.5</v>
      </c>
      <c r="N112" s="79">
        <v>52</v>
      </c>
      <c r="O112" s="79">
        <v>1013.3</v>
      </c>
      <c r="P112" s="70">
        <v>-5.4519999999999998E-9</v>
      </c>
      <c r="Q112" s="79">
        <v>60</v>
      </c>
      <c r="R112" s="93">
        <v>42931</v>
      </c>
      <c r="S112" s="231">
        <f t="shared" si="81"/>
        <v>-5.457451999999999E-9</v>
      </c>
      <c r="T112" s="38">
        <f t="shared" si="82"/>
        <v>0.99486960618890696</v>
      </c>
      <c r="U112" s="74">
        <f t="shared" si="93"/>
        <v>-8.2026964205669766E-11</v>
      </c>
      <c r="V112" s="11">
        <f t="shared" si="91"/>
        <v>-8.2026964205669766E-11</v>
      </c>
      <c r="W112" s="58">
        <f t="shared" si="94"/>
        <v>0.82594590797973</v>
      </c>
      <c r="X112" s="63">
        <f t="shared" si="84"/>
        <v>7.2524960672084981E-3</v>
      </c>
      <c r="Y112" s="65">
        <f t="shared" si="92"/>
        <v>1.3765765132995501E-2</v>
      </c>
      <c r="Z112" s="71">
        <f t="shared" si="85"/>
        <v>0.72524960672084982</v>
      </c>
      <c r="AA112" s="58">
        <f t="shared" si="86"/>
        <v>8.7029952806501974E-3</v>
      </c>
      <c r="AB112" s="58">
        <f t="shared" si="87"/>
        <v>8.7755202413222818E-3</v>
      </c>
      <c r="AC112" s="47">
        <f t="shared" si="88"/>
        <v>9.065620084010623E-3</v>
      </c>
    </row>
    <row r="113" spans="1:29" x14ac:dyDescent="0.25">
      <c r="A113" s="2626"/>
      <c r="B113" s="70" t="s">
        <v>93</v>
      </c>
      <c r="C113" s="70" t="s">
        <v>93</v>
      </c>
      <c r="D113" s="70" t="s">
        <v>93</v>
      </c>
      <c r="E113" s="70" t="s">
        <v>93</v>
      </c>
      <c r="F113" s="70" t="s">
        <v>93</v>
      </c>
      <c r="G113" s="70" t="s">
        <v>93</v>
      </c>
      <c r="H113" s="231" t="str">
        <f t="shared" si="89"/>
        <v>-</v>
      </c>
      <c r="I113" s="38" t="e">
        <f t="shared" si="78"/>
        <v>#VALUE!</v>
      </c>
      <c r="J113" s="57" t="str">
        <f t="shared" si="90"/>
        <v>-</v>
      </c>
      <c r="K113" s="58" t="e">
        <f t="shared" si="79"/>
        <v>#VALUE!</v>
      </c>
      <c r="L113" s="91" t="e">
        <f t="shared" si="80"/>
        <v>#VALUE!</v>
      </c>
      <c r="M113" s="69">
        <v>20.5</v>
      </c>
      <c r="N113" s="79">
        <v>52</v>
      </c>
      <c r="O113" s="79">
        <v>1013.3</v>
      </c>
      <c r="P113" s="70">
        <v>-5.4519999999999998E-9</v>
      </c>
      <c r="Q113" s="79">
        <v>60</v>
      </c>
      <c r="R113" s="93">
        <v>42931</v>
      </c>
      <c r="S113" s="231">
        <f t="shared" si="81"/>
        <v>-5.457451999999999E-9</v>
      </c>
      <c r="T113" s="38">
        <f t="shared" si="82"/>
        <v>0.99486960618890696</v>
      </c>
      <c r="U113" s="74">
        <f t="shared" si="93"/>
        <v>-8.2026964205669766E-11</v>
      </c>
      <c r="V113" s="11">
        <f t="shared" si="91"/>
        <v>-8.2026964205669766E-11</v>
      </c>
      <c r="W113" s="58">
        <f t="shared" si="94"/>
        <v>0.82594590797973</v>
      </c>
      <c r="X113" s="63">
        <f t="shared" si="84"/>
        <v>7.2524960672084981E-3</v>
      </c>
      <c r="Y113" s="65">
        <f t="shared" si="92"/>
        <v>1.3765765132995501E-2</v>
      </c>
      <c r="Z113" s="71">
        <f t="shared" si="85"/>
        <v>0.72524960672084982</v>
      </c>
      <c r="AA113" s="58">
        <f t="shared" si="86"/>
        <v>8.7029952806501974E-3</v>
      </c>
      <c r="AB113" s="58">
        <f t="shared" si="87"/>
        <v>8.7755202413222818E-3</v>
      </c>
      <c r="AC113" s="47">
        <f t="shared" si="88"/>
        <v>9.065620084010623E-3</v>
      </c>
    </row>
    <row r="114" spans="1:29" x14ac:dyDescent="0.25">
      <c r="A114" s="2626"/>
      <c r="B114" s="70" t="s">
        <v>93</v>
      </c>
      <c r="C114" s="70" t="s">
        <v>93</v>
      </c>
      <c r="D114" s="70" t="s">
        <v>93</v>
      </c>
      <c r="E114" s="70" t="s">
        <v>93</v>
      </c>
      <c r="F114" s="70" t="s">
        <v>93</v>
      </c>
      <c r="G114" s="70" t="s">
        <v>93</v>
      </c>
      <c r="H114" s="231" t="str">
        <f t="shared" si="89"/>
        <v>-</v>
      </c>
      <c r="I114" s="38" t="e">
        <f t="shared" si="78"/>
        <v>#VALUE!</v>
      </c>
      <c r="J114" s="57" t="str">
        <f t="shared" si="90"/>
        <v>-</v>
      </c>
      <c r="K114" s="58" t="e">
        <f t="shared" si="79"/>
        <v>#VALUE!</v>
      </c>
      <c r="L114" s="91" t="e">
        <f t="shared" si="80"/>
        <v>#VALUE!</v>
      </c>
      <c r="M114" s="69">
        <v>20.5</v>
      </c>
      <c r="N114" s="79">
        <v>52</v>
      </c>
      <c r="O114" s="79">
        <v>1013.3</v>
      </c>
      <c r="P114" s="70">
        <v>-5.4519999999999998E-9</v>
      </c>
      <c r="Q114" s="79">
        <v>60</v>
      </c>
      <c r="R114" s="93">
        <v>42931</v>
      </c>
      <c r="S114" s="231">
        <f t="shared" si="81"/>
        <v>-5.457451999999999E-9</v>
      </c>
      <c r="T114" s="38">
        <f t="shared" si="82"/>
        <v>0.99486960618890696</v>
      </c>
      <c r="U114" s="74">
        <f t="shared" si="93"/>
        <v>-8.2026964205669766E-11</v>
      </c>
      <c r="V114" s="11">
        <f t="shared" si="91"/>
        <v>-8.2026964205669766E-11</v>
      </c>
      <c r="W114" s="58">
        <f t="shared" si="94"/>
        <v>0.82594590797973</v>
      </c>
      <c r="X114" s="63">
        <f t="shared" si="84"/>
        <v>7.2524960672084981E-3</v>
      </c>
      <c r="Y114" s="65">
        <f t="shared" si="92"/>
        <v>1.3765765132995501E-2</v>
      </c>
      <c r="Z114" s="71">
        <f t="shared" si="85"/>
        <v>0.72524960672084982</v>
      </c>
      <c r="AA114" s="58">
        <f t="shared" si="86"/>
        <v>8.7029952806501974E-3</v>
      </c>
      <c r="AB114" s="58">
        <f t="shared" si="87"/>
        <v>8.7755202413222818E-3</v>
      </c>
      <c r="AC114" s="47">
        <f t="shared" si="88"/>
        <v>9.065620084010623E-3</v>
      </c>
    </row>
    <row r="115" spans="1:29" x14ac:dyDescent="0.25">
      <c r="A115" s="2626"/>
      <c r="B115" s="70" t="s">
        <v>93</v>
      </c>
      <c r="C115" s="70" t="s">
        <v>93</v>
      </c>
      <c r="D115" s="70" t="s">
        <v>93</v>
      </c>
      <c r="E115" s="70" t="s">
        <v>93</v>
      </c>
      <c r="F115" s="70" t="s">
        <v>93</v>
      </c>
      <c r="G115" s="70" t="s">
        <v>93</v>
      </c>
      <c r="H115" s="231" t="str">
        <f t="shared" si="89"/>
        <v>-</v>
      </c>
      <c r="I115" s="38" t="e">
        <f t="shared" si="78"/>
        <v>#VALUE!</v>
      </c>
      <c r="J115" s="57" t="str">
        <f t="shared" si="90"/>
        <v>-</v>
      </c>
      <c r="K115" s="58" t="e">
        <f t="shared" si="79"/>
        <v>#VALUE!</v>
      </c>
      <c r="L115" s="91" t="e">
        <f t="shared" si="80"/>
        <v>#VALUE!</v>
      </c>
      <c r="M115" s="69">
        <v>20.5</v>
      </c>
      <c r="N115" s="79">
        <v>52</v>
      </c>
      <c r="O115" s="79">
        <v>1013.3</v>
      </c>
      <c r="P115" s="70">
        <v>-5.45E-9</v>
      </c>
      <c r="Q115" s="79">
        <v>60</v>
      </c>
      <c r="R115" s="93">
        <v>42931</v>
      </c>
      <c r="S115" s="231">
        <f t="shared" si="81"/>
        <v>-5.4554499999999994E-9</v>
      </c>
      <c r="T115" s="38">
        <f t="shared" si="82"/>
        <v>0.99486960618890696</v>
      </c>
      <c r="U115" s="74">
        <f t="shared" si="93"/>
        <v>-8.1996873609849646E-11</v>
      </c>
      <c r="V115" s="11">
        <f t="shared" si="91"/>
        <v>-8.1996873609849646E-11</v>
      </c>
      <c r="W115" s="58">
        <f t="shared" si="94"/>
        <v>0.82564291975229798</v>
      </c>
      <c r="X115" s="63">
        <f t="shared" si="84"/>
        <v>7.2498355770884669E-3</v>
      </c>
      <c r="Y115" s="65">
        <f t="shared" si="92"/>
        <v>1.3760715329204967E-2</v>
      </c>
      <c r="Z115" s="71">
        <f t="shared" si="85"/>
        <v>0.7249835577088467</v>
      </c>
      <c r="AA115" s="58">
        <f t="shared" si="86"/>
        <v>8.6998026925061596E-3</v>
      </c>
      <c r="AB115" s="58">
        <f t="shared" si="87"/>
        <v>8.7723010482770453E-3</v>
      </c>
      <c r="AC115" s="47">
        <f t="shared" si="88"/>
        <v>9.0622944713605845E-3</v>
      </c>
    </row>
    <row r="116" spans="1:29" ht="15.75" thickBot="1" x14ac:dyDescent="0.3">
      <c r="A116" s="2627"/>
      <c r="B116" s="58" t="s">
        <v>93</v>
      </c>
      <c r="C116" s="58" t="s">
        <v>93</v>
      </c>
      <c r="D116" s="58" t="s">
        <v>93</v>
      </c>
      <c r="E116" s="58" t="s">
        <v>93</v>
      </c>
      <c r="F116" s="58" t="s">
        <v>93</v>
      </c>
      <c r="G116" s="58" t="s">
        <v>93</v>
      </c>
      <c r="H116" s="231" t="str">
        <f t="shared" si="89"/>
        <v>-</v>
      </c>
      <c r="I116" s="38" t="e">
        <f t="shared" si="78"/>
        <v>#VALUE!</v>
      </c>
      <c r="J116" s="57" t="str">
        <f t="shared" si="90"/>
        <v>-</v>
      </c>
      <c r="K116" s="58" t="e">
        <f t="shared" si="79"/>
        <v>#VALUE!</v>
      </c>
      <c r="L116" s="91" t="e">
        <f t="shared" si="80"/>
        <v>#VALUE!</v>
      </c>
      <c r="M116" s="69">
        <v>20.5</v>
      </c>
      <c r="N116" s="79">
        <v>52</v>
      </c>
      <c r="O116" s="79">
        <v>1013.3</v>
      </c>
      <c r="P116" s="70">
        <v>-5.4560000000000002E-9</v>
      </c>
      <c r="Q116" s="79">
        <v>60</v>
      </c>
      <c r="R116" s="93">
        <v>42931</v>
      </c>
      <c r="S116" s="231">
        <f t="shared" si="81"/>
        <v>-5.4614559999999998E-9</v>
      </c>
      <c r="T116" s="38">
        <f t="shared" si="82"/>
        <v>0.99486960618890696</v>
      </c>
      <c r="U116" s="74">
        <f>S116/Q116*T116*EXP(-LN(2)/10990*($E$59-R116))</f>
        <v>-8.2087145397310032E-11</v>
      </c>
      <c r="V116" s="11">
        <f t="shared" si="91"/>
        <v>-8.2087145397310032E-11</v>
      </c>
      <c r="W116" s="11">
        <f t="shared" si="94"/>
        <v>0.82655188443459415</v>
      </c>
      <c r="X116" s="65">
        <f t="shared" si="84"/>
        <v>7.2578170474485639E-3</v>
      </c>
      <c r="Y116" s="65">
        <f t="shared" si="92"/>
        <v>1.3775864740576569E-2</v>
      </c>
      <c r="Z116" s="71">
        <f t="shared" si="85"/>
        <v>0.72578170474485637</v>
      </c>
      <c r="AA116" s="58">
        <f t="shared" si="86"/>
        <v>8.7093804569382764E-3</v>
      </c>
      <c r="AB116" s="58">
        <f t="shared" si="87"/>
        <v>8.7819586274127618E-3</v>
      </c>
      <c r="AC116" s="47">
        <f t="shared" si="88"/>
        <v>9.0722713093107053E-3</v>
      </c>
    </row>
    <row r="117" spans="1:29" x14ac:dyDescent="0.25">
      <c r="A117" s="263" t="s">
        <v>61</v>
      </c>
      <c r="B117" s="39" t="e">
        <f>AVERAGE(B107:B116)</f>
        <v>#DIV/0!</v>
      </c>
      <c r="C117" s="242" t="e">
        <f>AVERAGE(C107:C116)</f>
        <v>#DIV/0!</v>
      </c>
      <c r="D117" s="239" t="e">
        <f>AVERAGE(D107:D116)</f>
        <v>#DIV/0!</v>
      </c>
      <c r="E117" s="11" t="e">
        <f>AVERAGE(E107:E116)</f>
        <v>#DIV/0!</v>
      </c>
      <c r="F117" s="236" t="e">
        <f>AVERAGE(F107:F116)</f>
        <v>#DIV/0!</v>
      </c>
      <c r="G117" s="90" t="s">
        <v>93</v>
      </c>
      <c r="H117" s="11" t="str">
        <f>IF(AND(H107="-",H108="-",H109="-",H110="-",H111="-",H112="-",H113="-",H114="-",H115="-",H116="-"),"-",AVERAGE(H107:H116))</f>
        <v>-</v>
      </c>
      <c r="I117" s="38" t="e">
        <f>AVERAGE(I107:I116)</f>
        <v>#VALUE!</v>
      </c>
      <c r="J117" s="75" t="str">
        <f>IF(AND(H107="-",H108="-",H109="-",H110="-",H111="-",H112="-",H113="-",H114="-",H115="-",H116="-"),"-",AVERAGE(J107:J116))</f>
        <v>-</v>
      </c>
      <c r="K117" s="73" t="e">
        <f t="shared" ref="K117:Q117" si="95">AVERAGE(K107:K116)</f>
        <v>#VALUE!</v>
      </c>
      <c r="L117" s="77" t="e">
        <f t="shared" si="95"/>
        <v>#VALUE!</v>
      </c>
      <c r="M117" s="243">
        <f t="shared" si="95"/>
        <v>20.5</v>
      </c>
      <c r="N117" s="232">
        <f t="shared" si="95"/>
        <v>52</v>
      </c>
      <c r="O117" s="232">
        <f t="shared" si="95"/>
        <v>1013.3</v>
      </c>
      <c r="P117" s="58">
        <f t="shared" si="95"/>
        <v>-5.4521000000000002E-9</v>
      </c>
      <c r="Q117" s="232">
        <f t="shared" si="95"/>
        <v>60</v>
      </c>
      <c r="R117" s="90" t="s">
        <v>93</v>
      </c>
      <c r="S117" s="11">
        <f t="shared" ref="S117:T117" si="96">AVERAGE(S107:S116)</f>
        <v>-5.4575520999999995E-9</v>
      </c>
      <c r="T117" s="38">
        <f t="shared" si="96"/>
        <v>0.99486960618890685</v>
      </c>
      <c r="U117" s="63">
        <f>AVERAGE(U107:U116)</f>
        <v>-8.2028468735460779E-11</v>
      </c>
      <c r="V117" s="58">
        <f t="shared" ref="V117:AC117" si="97">AVERAGE(V107:V116)</f>
        <v>-8.2028468735460779E-11</v>
      </c>
      <c r="W117" s="73">
        <f t="shared" si="97"/>
        <v>0.82596105739110148</v>
      </c>
      <c r="X117" s="75">
        <f t="shared" si="97"/>
        <v>7.2526290917145006E-3</v>
      </c>
      <c r="Y117" s="75">
        <f t="shared" si="97"/>
        <v>1.3766017623185028E-2</v>
      </c>
      <c r="Z117" s="73">
        <f t="shared" si="97"/>
        <v>0.72526290917144998</v>
      </c>
      <c r="AA117" s="73">
        <f t="shared" si="97"/>
        <v>8.7031549100573986E-3</v>
      </c>
      <c r="AB117" s="73">
        <f t="shared" si="97"/>
        <v>8.7756812009745465E-3</v>
      </c>
      <c r="AC117" s="72">
        <f t="shared" si="97"/>
        <v>9.0657863646431257E-3</v>
      </c>
    </row>
    <row r="118" spans="1:29" x14ac:dyDescent="0.25">
      <c r="A118" s="263" t="s">
        <v>62</v>
      </c>
      <c r="B118" s="39">
        <f>STDEVA(B107:B116)</f>
        <v>0</v>
      </c>
      <c r="C118" s="41">
        <f>STDEVA(C107:C116)</f>
        <v>0</v>
      </c>
      <c r="D118" s="42">
        <f>STDEVA(D107:D116)</f>
        <v>0</v>
      </c>
      <c r="E118" s="11">
        <f>STDEVA(E107:E116)</f>
        <v>0</v>
      </c>
      <c r="F118" s="94">
        <f>STDEVA(F107:F116)</f>
        <v>0</v>
      </c>
      <c r="G118" s="40" t="s">
        <v>93</v>
      </c>
      <c r="H118" s="11" t="str">
        <f>IF(H117="-","-",STDEVA(H107:H116))</f>
        <v>-</v>
      </c>
      <c r="I118" s="40" t="e">
        <f t="shared" ref="I118" si="98">STDEVA(I107:I116)</f>
        <v>#VALUE!</v>
      </c>
      <c r="J118" s="63" t="str">
        <f>IF(J117="-","-",STDEVA(J107:J116))</f>
        <v>-</v>
      </c>
      <c r="K118" s="58" t="e">
        <f t="shared" ref="K118:Q118" si="99">STDEVA(K107:K116)</f>
        <v>#VALUE!</v>
      </c>
      <c r="L118" s="74" t="e">
        <f t="shared" si="99"/>
        <v>#VALUE!</v>
      </c>
      <c r="M118" s="82">
        <f t="shared" si="99"/>
        <v>0</v>
      </c>
      <c r="N118" s="38">
        <f t="shared" si="99"/>
        <v>0</v>
      </c>
      <c r="O118" s="38">
        <f t="shared" si="99"/>
        <v>0</v>
      </c>
      <c r="P118" s="58">
        <f t="shared" si="99"/>
        <v>2.0789954839350819E-12</v>
      </c>
      <c r="Q118" s="38">
        <f t="shared" si="99"/>
        <v>0</v>
      </c>
      <c r="R118" s="40" t="s">
        <v>93</v>
      </c>
      <c r="S118" s="11">
        <f t="shared" ref="S118:AC118" si="100">STDEVA(S107:S116)</f>
        <v>2.0810744794191004E-12</v>
      </c>
      <c r="T118" s="40">
        <f t="shared" si="100"/>
        <v>1.1702778228589004E-16</v>
      </c>
      <c r="U118" s="63">
        <f t="shared" si="100"/>
        <v>3.1279106409482686E-14</v>
      </c>
      <c r="V118" s="58">
        <f t="shared" si="100"/>
        <v>3.1279106409482686E-14</v>
      </c>
      <c r="W118" s="58">
        <f t="shared" si="100"/>
        <v>3.1495557825835543E-4</v>
      </c>
      <c r="X118" s="63">
        <f t="shared" si="100"/>
        <v>2.7655734723007337E-6</v>
      </c>
      <c r="Y118" s="63">
        <f t="shared" si="100"/>
        <v>5.2492596376391176E-6</v>
      </c>
      <c r="Z118" s="58">
        <f t="shared" si="100"/>
        <v>2.7655734723006889E-4</v>
      </c>
      <c r="AA118" s="58">
        <f t="shared" si="100"/>
        <v>3.3186881667608907E-6</v>
      </c>
      <c r="AB118" s="58">
        <f t="shared" si="100"/>
        <v>3.3463439014835579E-6</v>
      </c>
      <c r="AC118" s="47">
        <f t="shared" si="100"/>
        <v>3.4569668403757943E-6</v>
      </c>
    </row>
    <row r="119" spans="1:29" ht="15.75" thickBot="1" x14ac:dyDescent="0.3">
      <c r="A119" s="264" t="s">
        <v>63</v>
      </c>
      <c r="B119" s="44" t="e">
        <f>B118/B117*100</f>
        <v>#DIV/0!</v>
      </c>
      <c r="C119" s="45" t="e">
        <f>C118/C117*100</f>
        <v>#DIV/0!</v>
      </c>
      <c r="D119" s="46" t="e">
        <f>D118/D117*100</f>
        <v>#DIV/0!</v>
      </c>
      <c r="E119" s="43" t="e">
        <f>E118/E117*100</f>
        <v>#DIV/0!</v>
      </c>
      <c r="F119" s="95" t="e">
        <f>F118/F117*100</f>
        <v>#DIV/0!</v>
      </c>
      <c r="G119" s="43" t="s">
        <v>93</v>
      </c>
      <c r="H119" s="89" t="str">
        <f>IF(H117="-","-",H118/H117*100)</f>
        <v>-</v>
      </c>
      <c r="I119" s="43" t="e">
        <f t="shared" ref="I119" si="101">I118/I117*100</f>
        <v>#VALUE!</v>
      </c>
      <c r="J119" s="64" t="str">
        <f>IF(J117="-","-",J118/J117*100)</f>
        <v>-</v>
      </c>
      <c r="K119" s="19" t="e">
        <f t="shared" ref="K119:Q119" si="102">K118/K117*100</f>
        <v>#VALUE!</v>
      </c>
      <c r="L119" s="78" t="e">
        <f t="shared" si="102"/>
        <v>#VALUE!</v>
      </c>
      <c r="M119" s="83">
        <f t="shared" si="102"/>
        <v>0</v>
      </c>
      <c r="N119" s="81">
        <f t="shared" si="102"/>
        <v>0</v>
      </c>
      <c r="O119" s="81">
        <f t="shared" si="102"/>
        <v>0</v>
      </c>
      <c r="P119" s="19">
        <f t="shared" si="102"/>
        <v>-3.8132013057997502E-2</v>
      </c>
      <c r="Q119" s="81">
        <f t="shared" si="102"/>
        <v>0</v>
      </c>
      <c r="R119" s="43" t="s">
        <v>93</v>
      </c>
      <c r="S119" s="89">
        <f t="shared" ref="S119:AC119" si="103">S118/S117*100</f>
        <v>-3.8132013057999035E-2</v>
      </c>
      <c r="T119" s="43">
        <f t="shared" si="103"/>
        <v>1.1763127706171846E-14</v>
      </c>
      <c r="U119" s="64">
        <f t="shared" si="103"/>
        <v>-3.8132013057999188E-2</v>
      </c>
      <c r="V119" s="19">
        <f t="shared" si="103"/>
        <v>-3.8132013057999188E-2</v>
      </c>
      <c r="W119" s="19">
        <f t="shared" si="103"/>
        <v>3.8132013057998272E-2</v>
      </c>
      <c r="X119" s="64">
        <f t="shared" si="103"/>
        <v>3.8132013057997981E-2</v>
      </c>
      <c r="Y119" s="64">
        <f t="shared" si="103"/>
        <v>3.8132013057997252E-2</v>
      </c>
      <c r="Z119" s="19">
        <f t="shared" si="103"/>
        <v>3.813201305799737E-2</v>
      </c>
      <c r="AA119" s="19">
        <f t="shared" si="103"/>
        <v>3.8132013057998106E-2</v>
      </c>
      <c r="AB119" s="19">
        <f t="shared" si="103"/>
        <v>3.813201305799422E-2</v>
      </c>
      <c r="AC119" s="17">
        <f t="shared" si="103"/>
        <v>3.8132013057996628E-2</v>
      </c>
    </row>
    <row r="120" spans="1:29" x14ac:dyDescent="0.25">
      <c r="A120" s="2625" t="s">
        <v>658</v>
      </c>
      <c r="B120" s="76" t="s">
        <v>93</v>
      </c>
      <c r="C120" s="76" t="s">
        <v>93</v>
      </c>
      <c r="D120" s="76" t="s">
        <v>93</v>
      </c>
      <c r="E120" s="76" t="s">
        <v>93</v>
      </c>
      <c r="F120" s="76" t="s">
        <v>93</v>
      </c>
      <c r="G120" s="76" t="s">
        <v>93</v>
      </c>
      <c r="H120" s="231" t="str">
        <f>IF(E120="-","-",IF(AND(E120&lt;=$E$35,E120&gt;=$F$35),E120*$C$35,IF(AND(E120&lt;=$E$36,E120&gt;=$F$36),E120*$C$36,"rango cal. out")))</f>
        <v>-</v>
      </c>
      <c r="I120" s="40" t="e">
        <f t="shared" ref="I120:I129" si="104">((273.2+B120)*$E$26/((273.2+$E$25)*D120))</f>
        <v>#VALUE!</v>
      </c>
      <c r="J120" s="57" t="str">
        <f>IF(H120="-","-",H120/F120*I120)</f>
        <v>-</v>
      </c>
      <c r="K120" s="11" t="e">
        <f t="shared" ref="K120:K129" si="105">ABS($A$27*J120*3600)</f>
        <v>#VALUE!</v>
      </c>
      <c r="L120" s="97" t="e">
        <f t="shared" ref="L120:L129" si="106">ABS($A$28*J120*3600)</f>
        <v>#VALUE!</v>
      </c>
      <c r="M120" s="68">
        <v>20.5</v>
      </c>
      <c r="N120" s="80">
        <v>51</v>
      </c>
      <c r="O120" s="80">
        <v>1013.3</v>
      </c>
      <c r="P120" s="76">
        <v>-5.547E-9</v>
      </c>
      <c r="Q120" s="80">
        <v>60</v>
      </c>
      <c r="R120" s="105">
        <v>42931</v>
      </c>
      <c r="S120" s="231">
        <f t="shared" ref="S120:S129" si="107">IF(AND(P120&lt;=$E$35,P120&gt;=$F$35),P120*$C$35,IF(AND(P120&lt;=$E$36,P120&gt;=$F$36),P120*$C$36,"rango cal. out"))</f>
        <v>-5.5525469999999997E-9</v>
      </c>
      <c r="T120" s="40">
        <f t="shared" ref="T120:T129" si="108">((273.2+M120)*$E$26/((273.2+$E$25)*O120))</f>
        <v>0.99486960618890696</v>
      </c>
      <c r="U120" s="57">
        <f>S120/Q120*T120*EXP(-LN(2)/10990*($E$59-R120))</f>
        <v>-8.3456267507125873E-11</v>
      </c>
      <c r="V120" s="11">
        <f>IF($J$130="-",U120,U120-$J$130)</f>
        <v>-8.3456267507125873E-11</v>
      </c>
      <c r="W120" s="11">
        <f t="shared" ref="W120" si="109">ABS($A$27*V120*3600)</f>
        <v>0.84033784878275186</v>
      </c>
      <c r="X120" s="65">
        <f t="shared" ref="X120:X129" si="110">ABS($A$28*V120*3600)</f>
        <v>7.3788693479100408E-3</v>
      </c>
      <c r="Y120" s="65">
        <f>W120*Q120/3600</f>
        <v>1.4005630813045863E-2</v>
      </c>
      <c r="Z120" s="111">
        <f t="shared" ref="Z120:Z129" si="111">X120*$B$50</f>
        <v>0.73788693479100409</v>
      </c>
      <c r="AA120" s="11">
        <f t="shared" ref="AA120:AA129" si="112">X120*$E$42</f>
        <v>8.8546432174920493E-3</v>
      </c>
      <c r="AB120" s="11">
        <f t="shared" ref="AB120:AB129" si="113">X120*$E$44</f>
        <v>8.9284319109711498E-3</v>
      </c>
      <c r="AC120" s="12">
        <f t="shared" ref="AC120:AC129" si="114">X120*$E$43</f>
        <v>9.2235866848875518E-3</v>
      </c>
    </row>
    <row r="121" spans="1:29" x14ac:dyDescent="0.25">
      <c r="A121" s="2626"/>
      <c r="B121" s="70" t="s">
        <v>93</v>
      </c>
      <c r="C121" s="70" t="s">
        <v>93</v>
      </c>
      <c r="D121" s="70" t="s">
        <v>93</v>
      </c>
      <c r="E121" s="70" t="s">
        <v>93</v>
      </c>
      <c r="F121" s="70" t="s">
        <v>93</v>
      </c>
      <c r="G121" s="70" t="s">
        <v>93</v>
      </c>
      <c r="H121" s="231" t="str">
        <f t="shared" ref="H121:H129" si="115">IF(E121="-","-",IF(AND(E121&lt;=$E$35,E121&gt;=$F$35),E121*$C$35,IF(AND(E121&lt;=$E$36,E121&gt;=$F$36),E121*$C$36,"rango cal. out")))</f>
        <v>-</v>
      </c>
      <c r="I121" s="38" t="e">
        <f t="shared" si="104"/>
        <v>#VALUE!</v>
      </c>
      <c r="J121" s="57" t="str">
        <f t="shared" ref="J121:J129" si="116">IF(H121="-","-",H121/F121*I121)</f>
        <v>-</v>
      </c>
      <c r="K121" s="58" t="e">
        <f t="shared" si="105"/>
        <v>#VALUE!</v>
      </c>
      <c r="L121" s="91" t="e">
        <f t="shared" si="106"/>
        <v>#VALUE!</v>
      </c>
      <c r="M121" s="69">
        <v>20.5</v>
      </c>
      <c r="N121" s="79">
        <v>51</v>
      </c>
      <c r="O121" s="79">
        <v>1013.3</v>
      </c>
      <c r="P121" s="70">
        <v>-5.5489999999999998E-9</v>
      </c>
      <c r="Q121" s="79">
        <v>60</v>
      </c>
      <c r="R121" s="92">
        <v>42931</v>
      </c>
      <c r="S121" s="231">
        <f t="shared" si="107"/>
        <v>-5.5545489999999993E-9</v>
      </c>
      <c r="T121" s="38">
        <f t="shared" si="108"/>
        <v>0.99486960618890696</v>
      </c>
      <c r="U121" s="74">
        <f>S121/Q121*T121*EXP(-LN(2)/10990*($E$59-R121))</f>
        <v>-8.3486358102946006E-11</v>
      </c>
      <c r="V121" s="11">
        <f t="shared" ref="V121:V129" si="117">IF($J$130="-",U121,U121-$J$130)</f>
        <v>-8.3486358102946006E-11</v>
      </c>
      <c r="W121" s="58">
        <f>ABS($A$27*V121*3600)</f>
        <v>0.84064083701018388</v>
      </c>
      <c r="X121" s="63">
        <f t="shared" si="110"/>
        <v>7.3815298380300737E-3</v>
      </c>
      <c r="Y121" s="65">
        <f t="shared" ref="Y121:Y129" si="118">W121*Q121/3600</f>
        <v>1.4010680616836397E-2</v>
      </c>
      <c r="Z121" s="58">
        <f t="shared" si="111"/>
        <v>0.73815298380300742</v>
      </c>
      <c r="AA121" s="58">
        <f t="shared" si="112"/>
        <v>8.8578358056360888E-3</v>
      </c>
      <c r="AB121" s="58">
        <f t="shared" si="113"/>
        <v>8.931651104016388E-3</v>
      </c>
      <c r="AC121" s="47">
        <f t="shared" si="114"/>
        <v>9.2269122975375921E-3</v>
      </c>
    </row>
    <row r="122" spans="1:29" x14ac:dyDescent="0.25">
      <c r="A122" s="2626"/>
      <c r="B122" s="70" t="s">
        <v>93</v>
      </c>
      <c r="C122" s="70" t="s">
        <v>93</v>
      </c>
      <c r="D122" s="70" t="s">
        <v>93</v>
      </c>
      <c r="E122" s="70" t="s">
        <v>93</v>
      </c>
      <c r="F122" s="70" t="s">
        <v>93</v>
      </c>
      <c r="G122" s="70" t="s">
        <v>93</v>
      </c>
      <c r="H122" s="231" t="str">
        <f t="shared" si="115"/>
        <v>-</v>
      </c>
      <c r="I122" s="38" t="e">
        <f t="shared" si="104"/>
        <v>#VALUE!</v>
      </c>
      <c r="J122" s="57" t="str">
        <f t="shared" si="116"/>
        <v>-</v>
      </c>
      <c r="K122" s="58" t="e">
        <f t="shared" si="105"/>
        <v>#VALUE!</v>
      </c>
      <c r="L122" s="91" t="e">
        <f t="shared" si="106"/>
        <v>#VALUE!</v>
      </c>
      <c r="M122" s="69">
        <v>20.5</v>
      </c>
      <c r="N122" s="79">
        <v>51</v>
      </c>
      <c r="O122" s="79">
        <v>1013.3</v>
      </c>
      <c r="P122" s="70">
        <v>-5.547E-9</v>
      </c>
      <c r="Q122" s="79">
        <v>60</v>
      </c>
      <c r="R122" s="92">
        <v>42931</v>
      </c>
      <c r="S122" s="231">
        <f t="shared" si="107"/>
        <v>-5.5525469999999997E-9</v>
      </c>
      <c r="T122" s="38">
        <f t="shared" si="108"/>
        <v>0.99486960618890696</v>
      </c>
      <c r="U122" s="74">
        <f t="shared" ref="U122:U128" si="119">S122/Q122*T122*EXP(-LN(2)/10990*($E$59-R122))</f>
        <v>-8.3456267507125873E-11</v>
      </c>
      <c r="V122" s="11">
        <f t="shared" si="117"/>
        <v>-8.3456267507125873E-11</v>
      </c>
      <c r="W122" s="58">
        <f t="shared" ref="W122:W129" si="120">ABS($A$27*V122*3600)</f>
        <v>0.84033784878275186</v>
      </c>
      <c r="X122" s="63">
        <f t="shared" si="110"/>
        <v>7.3788693479100408E-3</v>
      </c>
      <c r="Y122" s="65">
        <f t="shared" si="118"/>
        <v>1.4005630813045863E-2</v>
      </c>
      <c r="Z122" s="71">
        <f t="shared" si="111"/>
        <v>0.73788693479100409</v>
      </c>
      <c r="AA122" s="58">
        <f t="shared" si="112"/>
        <v>8.8546432174920493E-3</v>
      </c>
      <c r="AB122" s="58">
        <f t="shared" si="113"/>
        <v>8.9284319109711498E-3</v>
      </c>
      <c r="AC122" s="47">
        <f t="shared" si="114"/>
        <v>9.2235866848875518E-3</v>
      </c>
    </row>
    <row r="123" spans="1:29" x14ac:dyDescent="0.25">
      <c r="A123" s="2626"/>
      <c r="B123" s="70" t="s">
        <v>93</v>
      </c>
      <c r="C123" s="70" t="s">
        <v>93</v>
      </c>
      <c r="D123" s="70" t="s">
        <v>93</v>
      </c>
      <c r="E123" s="70" t="s">
        <v>93</v>
      </c>
      <c r="F123" s="70" t="s">
        <v>93</v>
      </c>
      <c r="G123" s="70" t="s">
        <v>93</v>
      </c>
      <c r="H123" s="231" t="str">
        <f t="shared" si="115"/>
        <v>-</v>
      </c>
      <c r="I123" s="38" t="e">
        <f t="shared" si="104"/>
        <v>#VALUE!</v>
      </c>
      <c r="J123" s="57" t="str">
        <f t="shared" si="116"/>
        <v>-</v>
      </c>
      <c r="K123" s="58" t="e">
        <f t="shared" si="105"/>
        <v>#VALUE!</v>
      </c>
      <c r="L123" s="91" t="e">
        <f t="shared" si="106"/>
        <v>#VALUE!</v>
      </c>
      <c r="M123" s="69">
        <v>20.5</v>
      </c>
      <c r="N123" s="79">
        <v>51</v>
      </c>
      <c r="O123" s="79">
        <v>1013.3</v>
      </c>
      <c r="P123" s="70">
        <v>-5.5489999999999998E-9</v>
      </c>
      <c r="Q123" s="79">
        <v>60</v>
      </c>
      <c r="R123" s="92">
        <v>42931</v>
      </c>
      <c r="S123" s="231">
        <f t="shared" si="107"/>
        <v>-5.5545489999999993E-9</v>
      </c>
      <c r="T123" s="38">
        <f t="shared" si="108"/>
        <v>0.99486960618890696</v>
      </c>
      <c r="U123" s="74">
        <f t="shared" si="119"/>
        <v>-8.3486358102946006E-11</v>
      </c>
      <c r="V123" s="11">
        <f t="shared" si="117"/>
        <v>-8.3486358102946006E-11</v>
      </c>
      <c r="W123" s="58">
        <f t="shared" si="120"/>
        <v>0.84064083701018388</v>
      </c>
      <c r="X123" s="63">
        <f t="shared" si="110"/>
        <v>7.3815298380300737E-3</v>
      </c>
      <c r="Y123" s="65">
        <f t="shared" si="118"/>
        <v>1.4010680616836397E-2</v>
      </c>
      <c r="Z123" s="71">
        <f t="shared" si="111"/>
        <v>0.73815298380300742</v>
      </c>
      <c r="AA123" s="58">
        <f t="shared" si="112"/>
        <v>8.8578358056360888E-3</v>
      </c>
      <c r="AB123" s="58">
        <f t="shared" si="113"/>
        <v>8.931651104016388E-3</v>
      </c>
      <c r="AC123" s="47">
        <f t="shared" si="114"/>
        <v>9.2269122975375921E-3</v>
      </c>
    </row>
    <row r="124" spans="1:29" x14ac:dyDescent="0.25">
      <c r="A124" s="2626"/>
      <c r="B124" s="70" t="s">
        <v>93</v>
      </c>
      <c r="C124" s="70" t="s">
        <v>93</v>
      </c>
      <c r="D124" s="70" t="s">
        <v>93</v>
      </c>
      <c r="E124" s="70" t="s">
        <v>93</v>
      </c>
      <c r="F124" s="70" t="s">
        <v>93</v>
      </c>
      <c r="G124" s="70" t="s">
        <v>93</v>
      </c>
      <c r="H124" s="231" t="str">
        <f t="shared" si="115"/>
        <v>-</v>
      </c>
      <c r="I124" s="38" t="e">
        <f t="shared" si="104"/>
        <v>#VALUE!</v>
      </c>
      <c r="J124" s="57" t="str">
        <f t="shared" si="116"/>
        <v>-</v>
      </c>
      <c r="K124" s="58" t="e">
        <f t="shared" si="105"/>
        <v>#VALUE!</v>
      </c>
      <c r="L124" s="91" t="e">
        <f t="shared" si="106"/>
        <v>#VALUE!</v>
      </c>
      <c r="M124" s="69">
        <v>20.5</v>
      </c>
      <c r="N124" s="79">
        <v>51</v>
      </c>
      <c r="O124" s="79">
        <v>1013.3</v>
      </c>
      <c r="P124" s="70">
        <v>-5.5459999999999997E-9</v>
      </c>
      <c r="Q124" s="79">
        <v>60</v>
      </c>
      <c r="R124" s="93">
        <v>42931</v>
      </c>
      <c r="S124" s="231">
        <f t="shared" si="107"/>
        <v>-5.5515459999999991E-9</v>
      </c>
      <c r="T124" s="38">
        <f t="shared" si="108"/>
        <v>0.99486960618890696</v>
      </c>
      <c r="U124" s="74">
        <f t="shared" si="119"/>
        <v>-8.34412222092158E-11</v>
      </c>
      <c r="V124" s="11">
        <f t="shared" si="117"/>
        <v>-8.34412222092158E-11</v>
      </c>
      <c r="W124" s="58">
        <f t="shared" si="120"/>
        <v>0.84018635466903568</v>
      </c>
      <c r="X124" s="63">
        <f t="shared" si="110"/>
        <v>7.3775391028500234E-3</v>
      </c>
      <c r="Y124" s="65">
        <f t="shared" si="118"/>
        <v>1.4003105911150594E-2</v>
      </c>
      <c r="Z124" s="71">
        <f t="shared" si="111"/>
        <v>0.73775391028500237</v>
      </c>
      <c r="AA124" s="58">
        <f t="shared" si="112"/>
        <v>8.8530469234200278E-3</v>
      </c>
      <c r="AB124" s="58">
        <f t="shared" si="113"/>
        <v>8.9268223144485289E-3</v>
      </c>
      <c r="AC124" s="47">
        <f t="shared" si="114"/>
        <v>9.2219238785625299E-3</v>
      </c>
    </row>
    <row r="125" spans="1:29" x14ac:dyDescent="0.25">
      <c r="A125" s="2626"/>
      <c r="B125" s="70" t="s">
        <v>93</v>
      </c>
      <c r="C125" s="70" t="s">
        <v>93</v>
      </c>
      <c r="D125" s="70" t="s">
        <v>93</v>
      </c>
      <c r="E125" s="70" t="s">
        <v>93</v>
      </c>
      <c r="F125" s="70" t="s">
        <v>93</v>
      </c>
      <c r="G125" s="70" t="s">
        <v>93</v>
      </c>
      <c r="H125" s="231" t="str">
        <f t="shared" si="115"/>
        <v>-</v>
      </c>
      <c r="I125" s="38" t="e">
        <f t="shared" si="104"/>
        <v>#VALUE!</v>
      </c>
      <c r="J125" s="57" t="str">
        <f t="shared" si="116"/>
        <v>-</v>
      </c>
      <c r="K125" s="58" t="e">
        <f t="shared" si="105"/>
        <v>#VALUE!</v>
      </c>
      <c r="L125" s="91" t="e">
        <f t="shared" si="106"/>
        <v>#VALUE!</v>
      </c>
      <c r="M125" s="69">
        <v>20.5</v>
      </c>
      <c r="N125" s="79">
        <v>51</v>
      </c>
      <c r="O125" s="79">
        <v>1013.3</v>
      </c>
      <c r="P125" s="70">
        <v>-5.547E-9</v>
      </c>
      <c r="Q125" s="79">
        <v>60</v>
      </c>
      <c r="R125" s="93">
        <v>42931</v>
      </c>
      <c r="S125" s="231">
        <f t="shared" si="107"/>
        <v>-5.5525469999999997E-9</v>
      </c>
      <c r="T125" s="38">
        <f t="shared" si="108"/>
        <v>0.99486960618890696</v>
      </c>
      <c r="U125" s="74">
        <f t="shared" si="119"/>
        <v>-8.3456267507125873E-11</v>
      </c>
      <c r="V125" s="11">
        <f t="shared" si="117"/>
        <v>-8.3456267507125873E-11</v>
      </c>
      <c r="W125" s="58">
        <f t="shared" si="120"/>
        <v>0.84033784878275186</v>
      </c>
      <c r="X125" s="63">
        <f t="shared" si="110"/>
        <v>7.3788693479100408E-3</v>
      </c>
      <c r="Y125" s="65">
        <f t="shared" si="118"/>
        <v>1.4005630813045863E-2</v>
      </c>
      <c r="Z125" s="71">
        <f t="shared" si="111"/>
        <v>0.73788693479100409</v>
      </c>
      <c r="AA125" s="58">
        <f t="shared" si="112"/>
        <v>8.8546432174920493E-3</v>
      </c>
      <c r="AB125" s="58">
        <f t="shared" si="113"/>
        <v>8.9284319109711498E-3</v>
      </c>
      <c r="AC125" s="47">
        <f t="shared" si="114"/>
        <v>9.2235866848875518E-3</v>
      </c>
    </row>
    <row r="126" spans="1:29" x14ac:dyDescent="0.25">
      <c r="A126" s="2626"/>
      <c r="B126" s="70" t="s">
        <v>93</v>
      </c>
      <c r="C126" s="70" t="s">
        <v>93</v>
      </c>
      <c r="D126" s="70" t="s">
        <v>93</v>
      </c>
      <c r="E126" s="70" t="s">
        <v>93</v>
      </c>
      <c r="F126" s="70" t="s">
        <v>93</v>
      </c>
      <c r="G126" s="70" t="s">
        <v>93</v>
      </c>
      <c r="H126" s="231" t="str">
        <f t="shared" si="115"/>
        <v>-</v>
      </c>
      <c r="I126" s="38" t="e">
        <f t="shared" si="104"/>
        <v>#VALUE!</v>
      </c>
      <c r="J126" s="57" t="str">
        <f t="shared" si="116"/>
        <v>-</v>
      </c>
      <c r="K126" s="58" t="e">
        <f t="shared" si="105"/>
        <v>#VALUE!</v>
      </c>
      <c r="L126" s="91" t="e">
        <f t="shared" si="106"/>
        <v>#VALUE!</v>
      </c>
      <c r="M126" s="69">
        <v>20.5</v>
      </c>
      <c r="N126" s="79">
        <v>51</v>
      </c>
      <c r="O126" s="79">
        <v>1013.3</v>
      </c>
      <c r="P126" s="70">
        <v>-5.5480000000000003E-9</v>
      </c>
      <c r="Q126" s="79">
        <v>60</v>
      </c>
      <c r="R126" s="93">
        <v>42931</v>
      </c>
      <c r="S126" s="231">
        <f t="shared" si="107"/>
        <v>-5.5535479999999995E-9</v>
      </c>
      <c r="T126" s="38">
        <f t="shared" si="108"/>
        <v>0.99486960618890696</v>
      </c>
      <c r="U126" s="74">
        <f t="shared" si="119"/>
        <v>-8.3471312805035933E-11</v>
      </c>
      <c r="V126" s="11">
        <f t="shared" si="117"/>
        <v>-8.3471312805035933E-11</v>
      </c>
      <c r="W126" s="58">
        <f t="shared" si="120"/>
        <v>0.84048934289646782</v>
      </c>
      <c r="X126" s="63">
        <f t="shared" si="110"/>
        <v>7.3801995929700564E-3</v>
      </c>
      <c r="Y126" s="65">
        <f t="shared" si="118"/>
        <v>1.400815571494113E-2</v>
      </c>
      <c r="Z126" s="71">
        <f t="shared" si="111"/>
        <v>0.73801995929700559</v>
      </c>
      <c r="AA126" s="58">
        <f t="shared" si="112"/>
        <v>8.8562395115640673E-3</v>
      </c>
      <c r="AB126" s="58">
        <f t="shared" si="113"/>
        <v>8.9300415074937672E-3</v>
      </c>
      <c r="AC126" s="47">
        <f t="shared" si="114"/>
        <v>9.2252494912125702E-3</v>
      </c>
    </row>
    <row r="127" spans="1:29" x14ac:dyDescent="0.25">
      <c r="A127" s="2626"/>
      <c r="B127" s="70" t="s">
        <v>93</v>
      </c>
      <c r="C127" s="70" t="s">
        <v>93</v>
      </c>
      <c r="D127" s="70" t="s">
        <v>93</v>
      </c>
      <c r="E127" s="70" t="s">
        <v>93</v>
      </c>
      <c r="F127" s="70" t="s">
        <v>93</v>
      </c>
      <c r="G127" s="70" t="s">
        <v>93</v>
      </c>
      <c r="H127" s="231" t="str">
        <f t="shared" si="115"/>
        <v>-</v>
      </c>
      <c r="I127" s="38" t="e">
        <f t="shared" si="104"/>
        <v>#VALUE!</v>
      </c>
      <c r="J127" s="57" t="str">
        <f t="shared" si="116"/>
        <v>-</v>
      </c>
      <c r="K127" s="58" t="e">
        <f t="shared" si="105"/>
        <v>#VALUE!</v>
      </c>
      <c r="L127" s="91" t="e">
        <f t="shared" si="106"/>
        <v>#VALUE!</v>
      </c>
      <c r="M127" s="69">
        <v>20.5</v>
      </c>
      <c r="N127" s="79">
        <v>51</v>
      </c>
      <c r="O127" s="79">
        <v>1013.3</v>
      </c>
      <c r="P127" s="70">
        <v>-5.5480000000000003E-9</v>
      </c>
      <c r="Q127" s="79">
        <v>60</v>
      </c>
      <c r="R127" s="93">
        <v>42931</v>
      </c>
      <c r="S127" s="231">
        <f t="shared" si="107"/>
        <v>-5.5535479999999995E-9</v>
      </c>
      <c r="T127" s="38">
        <f t="shared" si="108"/>
        <v>0.99486960618890696</v>
      </c>
      <c r="U127" s="74">
        <f t="shared" si="119"/>
        <v>-8.3471312805035933E-11</v>
      </c>
      <c r="V127" s="11">
        <f t="shared" si="117"/>
        <v>-8.3471312805035933E-11</v>
      </c>
      <c r="W127" s="58">
        <f t="shared" si="120"/>
        <v>0.84048934289646782</v>
      </c>
      <c r="X127" s="63">
        <f t="shared" si="110"/>
        <v>7.3801995929700564E-3</v>
      </c>
      <c r="Y127" s="65">
        <f t="shared" si="118"/>
        <v>1.400815571494113E-2</v>
      </c>
      <c r="Z127" s="71">
        <f t="shared" si="111"/>
        <v>0.73801995929700559</v>
      </c>
      <c r="AA127" s="58">
        <f t="shared" si="112"/>
        <v>8.8562395115640673E-3</v>
      </c>
      <c r="AB127" s="58">
        <f t="shared" si="113"/>
        <v>8.9300415074937672E-3</v>
      </c>
      <c r="AC127" s="47">
        <f t="shared" si="114"/>
        <v>9.2252494912125702E-3</v>
      </c>
    </row>
    <row r="128" spans="1:29" x14ac:dyDescent="0.25">
      <c r="A128" s="2626"/>
      <c r="B128" s="70" t="s">
        <v>93</v>
      </c>
      <c r="C128" s="70" t="s">
        <v>93</v>
      </c>
      <c r="D128" s="70" t="s">
        <v>93</v>
      </c>
      <c r="E128" s="70" t="s">
        <v>93</v>
      </c>
      <c r="F128" s="70" t="s">
        <v>93</v>
      </c>
      <c r="G128" s="70" t="s">
        <v>93</v>
      </c>
      <c r="H128" s="231" t="str">
        <f t="shared" si="115"/>
        <v>-</v>
      </c>
      <c r="I128" s="38" t="e">
        <f t="shared" si="104"/>
        <v>#VALUE!</v>
      </c>
      <c r="J128" s="57" t="str">
        <f t="shared" si="116"/>
        <v>-</v>
      </c>
      <c r="K128" s="58" t="e">
        <f t="shared" si="105"/>
        <v>#VALUE!</v>
      </c>
      <c r="L128" s="91" t="e">
        <f t="shared" si="106"/>
        <v>#VALUE!</v>
      </c>
      <c r="M128" s="69">
        <v>20.5</v>
      </c>
      <c r="N128" s="79">
        <v>51</v>
      </c>
      <c r="O128" s="79">
        <v>1013.3</v>
      </c>
      <c r="P128" s="70">
        <v>-5.5489999999999998E-9</v>
      </c>
      <c r="Q128" s="79">
        <v>60</v>
      </c>
      <c r="R128" s="93">
        <v>42931</v>
      </c>
      <c r="S128" s="231">
        <f t="shared" si="107"/>
        <v>-5.5545489999999993E-9</v>
      </c>
      <c r="T128" s="38">
        <f t="shared" si="108"/>
        <v>0.99486960618890696</v>
      </c>
      <c r="U128" s="74">
        <f t="shared" si="119"/>
        <v>-8.3486358102946006E-11</v>
      </c>
      <c r="V128" s="11">
        <f t="shared" si="117"/>
        <v>-8.3486358102946006E-11</v>
      </c>
      <c r="W128" s="58">
        <f t="shared" si="120"/>
        <v>0.84064083701018388</v>
      </c>
      <c r="X128" s="63">
        <f t="shared" si="110"/>
        <v>7.3815298380300737E-3</v>
      </c>
      <c r="Y128" s="65">
        <f t="shared" si="118"/>
        <v>1.4010680616836397E-2</v>
      </c>
      <c r="Z128" s="71">
        <f t="shared" si="111"/>
        <v>0.73815298380300742</v>
      </c>
      <c r="AA128" s="58">
        <f t="shared" si="112"/>
        <v>8.8578358056360888E-3</v>
      </c>
      <c r="AB128" s="58">
        <f t="shared" si="113"/>
        <v>8.931651104016388E-3</v>
      </c>
      <c r="AC128" s="47">
        <f t="shared" si="114"/>
        <v>9.2269122975375921E-3</v>
      </c>
    </row>
    <row r="129" spans="1:29" ht="15.75" thickBot="1" x14ac:dyDescent="0.3">
      <c r="A129" s="2627"/>
      <c r="B129" s="58" t="s">
        <v>93</v>
      </c>
      <c r="C129" s="58" t="s">
        <v>93</v>
      </c>
      <c r="D129" s="58" t="s">
        <v>93</v>
      </c>
      <c r="E129" s="58" t="s">
        <v>93</v>
      </c>
      <c r="F129" s="58" t="s">
        <v>93</v>
      </c>
      <c r="G129" s="58" t="s">
        <v>93</v>
      </c>
      <c r="H129" s="231" t="str">
        <f t="shared" si="115"/>
        <v>-</v>
      </c>
      <c r="I129" s="38" t="e">
        <f t="shared" si="104"/>
        <v>#VALUE!</v>
      </c>
      <c r="J129" s="57" t="str">
        <f t="shared" si="116"/>
        <v>-</v>
      </c>
      <c r="K129" s="58" t="e">
        <f t="shared" si="105"/>
        <v>#VALUE!</v>
      </c>
      <c r="L129" s="91" t="e">
        <f t="shared" si="106"/>
        <v>#VALUE!</v>
      </c>
      <c r="M129" s="69">
        <v>20.5</v>
      </c>
      <c r="N129" s="79">
        <v>51</v>
      </c>
      <c r="O129" s="79">
        <v>1013.3</v>
      </c>
      <c r="P129" s="70">
        <v>-5.5480000000000003E-9</v>
      </c>
      <c r="Q129" s="79">
        <v>60</v>
      </c>
      <c r="R129" s="93">
        <v>42931</v>
      </c>
      <c r="S129" s="231">
        <f t="shared" si="107"/>
        <v>-5.5535479999999995E-9</v>
      </c>
      <c r="T129" s="38">
        <f t="shared" si="108"/>
        <v>0.99486960618890696</v>
      </c>
      <c r="U129" s="74">
        <f>S129/Q129*T129*EXP(-LN(2)/10990*($E$59-R129))</f>
        <v>-8.3471312805035933E-11</v>
      </c>
      <c r="V129" s="11">
        <f t="shared" si="117"/>
        <v>-8.3471312805035933E-11</v>
      </c>
      <c r="W129" s="11">
        <f t="shared" si="120"/>
        <v>0.84048934289646782</v>
      </c>
      <c r="X129" s="65">
        <f t="shared" si="110"/>
        <v>7.3801995929700564E-3</v>
      </c>
      <c r="Y129" s="65">
        <f t="shared" si="118"/>
        <v>1.400815571494113E-2</v>
      </c>
      <c r="Z129" s="71">
        <f t="shared" si="111"/>
        <v>0.73801995929700559</v>
      </c>
      <c r="AA129" s="58">
        <f t="shared" si="112"/>
        <v>8.8562395115640673E-3</v>
      </c>
      <c r="AB129" s="58">
        <f t="shared" si="113"/>
        <v>8.9300415074937672E-3</v>
      </c>
      <c r="AC129" s="47">
        <f t="shared" si="114"/>
        <v>9.2252494912125702E-3</v>
      </c>
    </row>
    <row r="130" spans="1:29" x14ac:dyDescent="0.25">
      <c r="A130" s="263" t="s">
        <v>61</v>
      </c>
      <c r="B130" s="39" t="e">
        <f>AVERAGE(B120:B129)</f>
        <v>#DIV/0!</v>
      </c>
      <c r="C130" s="242" t="e">
        <f>AVERAGE(C120:C129)</f>
        <v>#DIV/0!</v>
      </c>
      <c r="D130" s="239" t="e">
        <f>AVERAGE(D120:D129)</f>
        <v>#DIV/0!</v>
      </c>
      <c r="E130" s="11" t="e">
        <f>AVERAGE(E120:E129)</f>
        <v>#DIV/0!</v>
      </c>
      <c r="F130" s="236" t="e">
        <f>AVERAGE(F120:F129)</f>
        <v>#DIV/0!</v>
      </c>
      <c r="G130" s="90" t="s">
        <v>93</v>
      </c>
      <c r="H130" s="11" t="str">
        <f>IF(AND(H120="-",H121="-",H122="-",H123="-",H124="-",H125="-",H126="-",H127="-",H128="-",H129="-"),"-",AVERAGE(H120:H129))</f>
        <v>-</v>
      </c>
      <c r="I130" s="38" t="e">
        <f>AVERAGE(I120:I129)</f>
        <v>#VALUE!</v>
      </c>
      <c r="J130" s="75" t="str">
        <f>IF(AND(H120="-",H121="-",H122="-",H123="-",H124="-",H125="-",H126="-",H127="-",H128="-",H129="-"),"-",AVERAGE(J120:J129))</f>
        <v>-</v>
      </c>
      <c r="K130" s="73" t="e">
        <f t="shared" ref="K130:Q130" si="121">AVERAGE(K120:K129)</f>
        <v>#VALUE!</v>
      </c>
      <c r="L130" s="77" t="e">
        <f t="shared" si="121"/>
        <v>#VALUE!</v>
      </c>
      <c r="M130" s="243">
        <f t="shared" si="121"/>
        <v>20.5</v>
      </c>
      <c r="N130" s="232">
        <f t="shared" si="121"/>
        <v>51</v>
      </c>
      <c r="O130" s="232">
        <f t="shared" si="121"/>
        <v>1013.3</v>
      </c>
      <c r="P130" s="58">
        <f t="shared" si="121"/>
        <v>-5.5477999999999986E-9</v>
      </c>
      <c r="Q130" s="232">
        <f t="shared" si="121"/>
        <v>60</v>
      </c>
      <c r="R130" s="90" t="s">
        <v>93</v>
      </c>
      <c r="S130" s="11">
        <f t="shared" ref="S130:T130" si="122">AVERAGE(S120:S129)</f>
        <v>-5.5533477999999994E-9</v>
      </c>
      <c r="T130" s="38">
        <f t="shared" si="122"/>
        <v>0.99486960618890685</v>
      </c>
      <c r="U130" s="63">
        <f>AVERAGE(U120:U129)</f>
        <v>-8.3468303745453908E-11</v>
      </c>
      <c r="V130" s="58">
        <f t="shared" ref="V130:AC130" si="123">AVERAGE(V120:V129)</f>
        <v>-8.3468303745453908E-11</v>
      </c>
      <c r="W130" s="73">
        <f t="shared" si="123"/>
        <v>0.84045904407372463</v>
      </c>
      <c r="X130" s="75">
        <f t="shared" si="123"/>
        <v>7.3799335439580531E-3</v>
      </c>
      <c r="Y130" s="75">
        <f t="shared" si="123"/>
        <v>1.4007650734562074E-2</v>
      </c>
      <c r="Z130" s="73">
        <f t="shared" si="123"/>
        <v>0.73799335439580549</v>
      </c>
      <c r="AA130" s="73">
        <f t="shared" si="123"/>
        <v>8.8559202527496664E-3</v>
      </c>
      <c r="AB130" s="73">
        <f t="shared" si="123"/>
        <v>8.9297195881892465E-3</v>
      </c>
      <c r="AC130" s="72">
        <f t="shared" si="123"/>
        <v>9.2249169299475683E-3</v>
      </c>
    </row>
    <row r="131" spans="1:29" x14ac:dyDescent="0.25">
      <c r="A131" s="263" t="s">
        <v>62</v>
      </c>
      <c r="B131" s="39">
        <f>STDEVA(B120:B129)</f>
        <v>0</v>
      </c>
      <c r="C131" s="41">
        <f>STDEVA(C120:C129)</f>
        <v>0</v>
      </c>
      <c r="D131" s="42">
        <f>STDEVA(D120:D129)</f>
        <v>0</v>
      </c>
      <c r="E131" s="11">
        <f>STDEVA(E120:E129)</f>
        <v>0</v>
      </c>
      <c r="F131" s="94">
        <f>STDEVA(F120:F129)</f>
        <v>0</v>
      </c>
      <c r="G131" s="40" t="s">
        <v>93</v>
      </c>
      <c r="H131" s="11" t="str">
        <f>IF(H130="-","-",STDEVA(H120:H129))</f>
        <v>-</v>
      </c>
      <c r="I131" s="40" t="e">
        <f t="shared" ref="I131" si="124">STDEVA(I120:I129)</f>
        <v>#VALUE!</v>
      </c>
      <c r="J131" s="63" t="str">
        <f>IF(J130="-","-",STDEVA(J120:J129))</f>
        <v>-</v>
      </c>
      <c r="K131" s="58" t="e">
        <f t="shared" ref="K131:Q131" si="125">STDEVA(K120:K129)</f>
        <v>#VALUE!</v>
      </c>
      <c r="L131" s="74" t="e">
        <f t="shared" si="125"/>
        <v>#VALUE!</v>
      </c>
      <c r="M131" s="82">
        <f t="shared" si="125"/>
        <v>0</v>
      </c>
      <c r="N131" s="38">
        <f t="shared" si="125"/>
        <v>0</v>
      </c>
      <c r="O131" s="38">
        <f t="shared" si="125"/>
        <v>0</v>
      </c>
      <c r="P131" s="58">
        <f t="shared" si="125"/>
        <v>1.032795558988641E-12</v>
      </c>
      <c r="Q131" s="38">
        <f t="shared" si="125"/>
        <v>0</v>
      </c>
      <c r="R131" s="40" t="s">
        <v>93</v>
      </c>
      <c r="S131" s="11">
        <f t="shared" ref="S131:AC131" si="126">STDEVA(S120:S129)</f>
        <v>1.0338283545475851E-12</v>
      </c>
      <c r="T131" s="40">
        <f t="shared" si="126"/>
        <v>1.1702778228589004E-16</v>
      </c>
      <c r="U131" s="63">
        <f t="shared" si="126"/>
        <v>1.5538716865178676E-14</v>
      </c>
      <c r="V131" s="58">
        <f t="shared" si="126"/>
        <v>1.5538716865178676E-14</v>
      </c>
      <c r="W131" s="58">
        <f t="shared" si="126"/>
        <v>1.5646244785884534E-4</v>
      </c>
      <c r="X131" s="63">
        <f t="shared" si="126"/>
        <v>1.3738711903516925E-6</v>
      </c>
      <c r="Y131" s="63">
        <f t="shared" si="126"/>
        <v>2.6077074643141866E-6</v>
      </c>
      <c r="Z131" s="58">
        <f t="shared" si="126"/>
        <v>1.3738711903517954E-4</v>
      </c>
      <c r="AA131" s="58">
        <f t="shared" si="126"/>
        <v>1.6486454284221206E-6</v>
      </c>
      <c r="AB131" s="58">
        <f t="shared" si="126"/>
        <v>1.6623841403248302E-6</v>
      </c>
      <c r="AC131" s="47">
        <f t="shared" si="126"/>
        <v>1.7173389879392517E-6</v>
      </c>
    </row>
    <row r="132" spans="1:29" ht="15.75" thickBot="1" x14ac:dyDescent="0.3">
      <c r="A132" s="264" t="s">
        <v>63</v>
      </c>
      <c r="B132" s="44" t="e">
        <f>B131/B130*100</f>
        <v>#DIV/0!</v>
      </c>
      <c r="C132" s="45" t="e">
        <f>C131/C130*100</f>
        <v>#DIV/0!</v>
      </c>
      <c r="D132" s="46" t="e">
        <f>D131/D130*100</f>
        <v>#DIV/0!</v>
      </c>
      <c r="E132" s="43" t="e">
        <f>E131/E130*100</f>
        <v>#DIV/0!</v>
      </c>
      <c r="F132" s="95" t="e">
        <f>F131/F130*100</f>
        <v>#DIV/0!</v>
      </c>
      <c r="G132" s="43" t="s">
        <v>93</v>
      </c>
      <c r="H132" s="89" t="str">
        <f>IF(H130="-","-",H131/H130*100)</f>
        <v>-</v>
      </c>
      <c r="I132" s="43" t="e">
        <f t="shared" ref="I132" si="127">I131/I130*100</f>
        <v>#VALUE!</v>
      </c>
      <c r="J132" s="64" t="str">
        <f>IF(J130="-","-",J131/J130*100)</f>
        <v>-</v>
      </c>
      <c r="K132" s="19" t="e">
        <f t="shared" ref="K132:Q132" si="128">K131/K130*100</f>
        <v>#VALUE!</v>
      </c>
      <c r="L132" s="78" t="e">
        <f t="shared" si="128"/>
        <v>#VALUE!</v>
      </c>
      <c r="M132" s="83">
        <f t="shared" si="128"/>
        <v>0</v>
      </c>
      <c r="N132" s="81">
        <f t="shared" si="128"/>
        <v>0</v>
      </c>
      <c r="O132" s="81">
        <f t="shared" si="128"/>
        <v>0</v>
      </c>
      <c r="P132" s="19">
        <f t="shared" si="128"/>
        <v>-1.8616308428361535E-2</v>
      </c>
      <c r="Q132" s="81">
        <f t="shared" si="128"/>
        <v>0</v>
      </c>
      <c r="R132" s="43" t="s">
        <v>93</v>
      </c>
      <c r="S132" s="89">
        <f t="shared" ref="S132:AC132" si="129">S131/S130*100</f>
        <v>-1.861630842836073E-2</v>
      </c>
      <c r="T132" s="43">
        <f t="shared" si="129"/>
        <v>1.1763127706171846E-14</v>
      </c>
      <c r="U132" s="64">
        <f t="shared" si="129"/>
        <v>-1.8616308428365529E-2</v>
      </c>
      <c r="V132" s="19">
        <f t="shared" si="129"/>
        <v>-1.8616308428365529E-2</v>
      </c>
      <c r="W132" s="19">
        <f t="shared" si="129"/>
        <v>1.8616308428364124E-2</v>
      </c>
      <c r="X132" s="64">
        <f t="shared" si="129"/>
        <v>1.8616308428366268E-2</v>
      </c>
      <c r="Y132" s="64">
        <f t="shared" si="129"/>
        <v>1.8616308428364824E-2</v>
      </c>
      <c r="Z132" s="19">
        <f t="shared" si="129"/>
        <v>1.8616308428367659E-2</v>
      </c>
      <c r="AA132" s="19">
        <f t="shared" si="129"/>
        <v>1.8616308428367274E-2</v>
      </c>
      <c r="AB132" s="19">
        <f t="shared" si="129"/>
        <v>1.8616308428358225E-2</v>
      </c>
      <c r="AC132" s="17">
        <f t="shared" si="129"/>
        <v>1.8616308428362319E-2</v>
      </c>
    </row>
  </sheetData>
  <sheetProtection password="D8A8"/>
  <mergeCells count="34">
    <mergeCell ref="A23:C24"/>
    <mergeCell ref="E23:F24"/>
    <mergeCell ref="A1:B4"/>
    <mergeCell ref="C1:F4"/>
    <mergeCell ref="M7:AC8"/>
    <mergeCell ref="A10:D10"/>
    <mergeCell ref="A14:B15"/>
    <mergeCell ref="B25:C25"/>
    <mergeCell ref="A31:F32"/>
    <mergeCell ref="H31:I32"/>
    <mergeCell ref="A33:A34"/>
    <mergeCell ref="B33:B34"/>
    <mergeCell ref="C33:C34"/>
    <mergeCell ref="D33:D34"/>
    <mergeCell ref="E33:F33"/>
    <mergeCell ref="A39:E39"/>
    <mergeCell ref="A40:B40"/>
    <mergeCell ref="A41:B42"/>
    <mergeCell ref="A43:B44"/>
    <mergeCell ref="A48:C48"/>
    <mergeCell ref="AE67:AF67"/>
    <mergeCell ref="A68:A77"/>
    <mergeCell ref="AE68:AF68"/>
    <mergeCell ref="AI68:AI72"/>
    <mergeCell ref="AE69:AF69"/>
    <mergeCell ref="AE70:AF70"/>
    <mergeCell ref="AE71:AF71"/>
    <mergeCell ref="AE72:AF72"/>
    <mergeCell ref="A81:A90"/>
    <mergeCell ref="A94:A103"/>
    <mergeCell ref="A107:A116"/>
    <mergeCell ref="A120:A129"/>
    <mergeCell ref="M66:AC66"/>
    <mergeCell ref="B66:L66"/>
  </mergeCells>
  <pageMargins left="0.7" right="0.7" top="0.75" bottom="0.75" header="0.3" footer="0.3"/>
  <pageSetup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H94"/>
  <sheetViews>
    <sheetView topLeftCell="A58" zoomScale="70" zoomScaleNormal="70" workbookViewId="0">
      <selection activeCell="AH69" sqref="AH69:AH78"/>
    </sheetView>
  </sheetViews>
  <sheetFormatPr baseColWidth="10" defaultColWidth="11.42578125" defaultRowHeight="15" x14ac:dyDescent="0.25"/>
  <cols>
    <col min="1" max="1" width="11.42578125" style="56"/>
    <col min="2" max="3" width="12" style="56" customWidth="1"/>
    <col min="4" max="4" width="13" style="56" customWidth="1"/>
    <col min="5" max="5" width="14.28515625" style="56" customWidth="1"/>
    <col min="6" max="6" width="11.7109375" style="56" customWidth="1"/>
    <col min="7" max="7" width="13.5703125" style="56" customWidth="1"/>
    <col min="8" max="8" width="14.28515625" style="56" customWidth="1"/>
    <col min="9" max="9" width="12" style="56" customWidth="1"/>
    <col min="10" max="12" width="14.85546875" style="56" customWidth="1"/>
    <col min="13" max="13" width="13.28515625" style="56" customWidth="1"/>
    <col min="14" max="15" width="11.42578125" style="56"/>
    <col min="16" max="16" width="14.28515625" style="56" customWidth="1"/>
    <col min="17" max="17" width="9" style="56" customWidth="1"/>
    <col min="18" max="18" width="13.42578125" style="56" customWidth="1"/>
    <col min="19" max="19" width="14.42578125" style="56" customWidth="1"/>
    <col min="20" max="20" width="11.42578125" style="56"/>
    <col min="21" max="21" width="14.28515625" style="56" customWidth="1"/>
    <col min="22" max="23" width="13.85546875" style="56" customWidth="1"/>
    <col min="24" max="31" width="11.42578125" style="56"/>
    <col min="32" max="32" width="12.5703125" style="56" bestFit="1" customWidth="1"/>
    <col min="33" max="16384" width="11.42578125" style="56"/>
  </cols>
  <sheetData>
    <row r="1" spans="1:28" ht="15" customHeight="1" x14ac:dyDescent="0.25">
      <c r="A1" s="2645"/>
      <c r="B1" s="2646"/>
      <c r="C1" s="2253" t="s">
        <v>239</v>
      </c>
      <c r="D1" s="2651"/>
      <c r="E1" s="2651"/>
      <c r="F1" s="2646"/>
      <c r="G1" s="48" t="s">
        <v>68</v>
      </c>
      <c r="H1" s="50" t="s">
        <v>240</v>
      </c>
      <c r="K1"/>
      <c r="L1"/>
      <c r="M1"/>
    </row>
    <row r="2" spans="1:28" ht="15" customHeight="1" x14ac:dyDescent="0.25">
      <c r="A2" s="2647"/>
      <c r="B2" s="2648"/>
      <c r="C2" s="2647"/>
      <c r="D2" s="2652"/>
      <c r="E2" s="2652"/>
      <c r="F2" s="2648"/>
      <c r="G2" s="51" t="s">
        <v>69</v>
      </c>
      <c r="H2" s="52" t="s">
        <v>168</v>
      </c>
      <c r="K2"/>
      <c r="L2"/>
      <c r="M2"/>
    </row>
    <row r="3" spans="1:28" ht="15" customHeight="1" x14ac:dyDescent="0.25">
      <c r="A3" s="2647"/>
      <c r="B3" s="2648"/>
      <c r="C3" s="2647"/>
      <c r="D3" s="2652"/>
      <c r="E3" s="2652"/>
      <c r="F3" s="2648"/>
      <c r="G3" s="51" t="s">
        <v>70</v>
      </c>
      <c r="H3" s="52" t="s">
        <v>72</v>
      </c>
      <c r="K3"/>
      <c r="L3"/>
      <c r="M3"/>
    </row>
    <row r="4" spans="1:28" ht="15" customHeight="1" x14ac:dyDescent="0.25">
      <c r="A4" s="2649"/>
      <c r="B4" s="2650"/>
      <c r="C4" s="2649"/>
      <c r="D4" s="2653"/>
      <c r="E4" s="2653"/>
      <c r="F4" s="2650"/>
      <c r="G4" s="53" t="s">
        <v>71</v>
      </c>
      <c r="H4" s="55" t="s">
        <v>73</v>
      </c>
      <c r="K4"/>
      <c r="L4"/>
      <c r="M4"/>
    </row>
    <row r="6" spans="1:28" ht="15.75" thickBot="1" x14ac:dyDescent="0.3"/>
    <row r="7" spans="1:28" ht="15" customHeight="1" x14ac:dyDescent="0.25">
      <c r="K7" s="67"/>
      <c r="M7" s="2660" t="s">
        <v>421</v>
      </c>
      <c r="N7" s="2661"/>
      <c r="O7" s="2661"/>
      <c r="P7" s="2661"/>
      <c r="Q7" s="2661"/>
      <c r="R7" s="2661"/>
      <c r="S7" s="2661"/>
      <c r="T7" s="2661"/>
      <c r="U7" s="2661"/>
      <c r="V7" s="2661"/>
      <c r="W7" s="2661"/>
      <c r="X7" s="2661"/>
      <c r="Y7" s="2661"/>
      <c r="Z7" s="2661"/>
      <c r="AA7" s="2661"/>
      <c r="AB7" s="2662"/>
    </row>
    <row r="8" spans="1:28" ht="15.75" customHeight="1" thickBot="1" x14ac:dyDescent="0.3">
      <c r="K8" s="67"/>
      <c r="M8" s="2663"/>
      <c r="N8" s="2664"/>
      <c r="O8" s="2664"/>
      <c r="P8" s="2664"/>
      <c r="Q8" s="2664"/>
      <c r="R8" s="2664"/>
      <c r="S8" s="2664"/>
      <c r="T8" s="2664"/>
      <c r="U8" s="2664"/>
      <c r="V8" s="2664"/>
      <c r="W8" s="2664"/>
      <c r="X8" s="2664"/>
      <c r="Y8" s="2664"/>
      <c r="Z8" s="2664"/>
      <c r="AA8" s="2664"/>
      <c r="AB8" s="2665"/>
    </row>
    <row r="9" spans="1:28" ht="15.75" customHeight="1" thickBot="1" x14ac:dyDescent="0.3">
      <c r="A9" s="67"/>
      <c r="B9" s="67"/>
      <c r="C9" s="67"/>
      <c r="D9" s="67"/>
      <c r="E9" s="67"/>
      <c r="F9" s="67"/>
      <c r="K9" s="67"/>
    </row>
    <row r="10" spans="1:28" ht="15.75" thickBot="1" x14ac:dyDescent="0.3">
      <c r="A10" s="2294" t="s">
        <v>0</v>
      </c>
      <c r="B10" s="2654"/>
      <c r="C10" s="2654"/>
      <c r="D10" s="2655"/>
    </row>
    <row r="11" spans="1:28" x14ac:dyDescent="0.25">
      <c r="A11" s="1" t="s">
        <v>2</v>
      </c>
      <c r="B11" s="2" t="s">
        <v>3</v>
      </c>
      <c r="C11" s="3" t="s">
        <v>4</v>
      </c>
      <c r="D11" s="2" t="s">
        <v>5</v>
      </c>
    </row>
    <row r="12" spans="1:28" ht="15.75" thickBot="1" x14ac:dyDescent="0.3">
      <c r="A12" s="5" t="s">
        <v>9</v>
      </c>
      <c r="B12" s="6">
        <v>42576</v>
      </c>
      <c r="C12" s="269">
        <v>573.5</v>
      </c>
      <c r="D12" s="7">
        <f>573500000000/37000000000</f>
        <v>15.5</v>
      </c>
    </row>
    <row r="13" spans="1:28" ht="15.75" thickBot="1" x14ac:dyDescent="0.3"/>
    <row r="14" spans="1:28" ht="15" customHeight="1" x14ac:dyDescent="0.25">
      <c r="A14" s="2656" t="s">
        <v>1</v>
      </c>
      <c r="B14" s="2657"/>
    </row>
    <row r="15" spans="1:28" ht="15.75" thickBot="1" x14ac:dyDescent="0.3">
      <c r="A15" s="2658"/>
      <c r="B15" s="2659"/>
    </row>
    <row r="16" spans="1:28" x14ac:dyDescent="0.25">
      <c r="A16" s="2" t="s">
        <v>10</v>
      </c>
      <c r="B16" s="8">
        <v>7</v>
      </c>
    </row>
    <row r="17" spans="1:9" x14ac:dyDescent="0.25">
      <c r="A17" s="14" t="s">
        <v>14</v>
      </c>
      <c r="B17" s="15">
        <v>42</v>
      </c>
    </row>
    <row r="18" spans="1:9" x14ac:dyDescent="0.25">
      <c r="A18" s="14" t="s">
        <v>17</v>
      </c>
      <c r="B18" s="15">
        <v>14</v>
      </c>
    </row>
    <row r="19" spans="1:9" x14ac:dyDescent="0.25">
      <c r="A19" s="20" t="s">
        <v>18</v>
      </c>
      <c r="B19" s="21">
        <v>22</v>
      </c>
    </row>
    <row r="20" spans="1:9" ht="15.75" thickBot="1" x14ac:dyDescent="0.3">
      <c r="A20" s="22" t="s">
        <v>19</v>
      </c>
      <c r="B20" s="23">
        <v>17</v>
      </c>
    </row>
    <row r="22" spans="1:9" ht="15.75" thickBot="1" x14ac:dyDescent="0.3"/>
    <row r="23" spans="1:9" ht="15" customHeight="1" x14ac:dyDescent="0.25">
      <c r="A23" s="2239" t="s">
        <v>386</v>
      </c>
      <c r="B23" s="2240"/>
      <c r="C23" s="2241"/>
      <c r="E23" s="2239" t="s">
        <v>385</v>
      </c>
      <c r="F23" s="2241"/>
    </row>
    <row r="24" spans="1:9" ht="15.75" thickBot="1" x14ac:dyDescent="0.3">
      <c r="A24" s="2242"/>
      <c r="B24" s="2243"/>
      <c r="C24" s="2244"/>
      <c r="E24" s="2242"/>
      <c r="F24" s="2244"/>
    </row>
    <row r="25" spans="1:9" ht="15.75" thickBot="1" x14ac:dyDescent="0.3">
      <c r="A25" s="266" t="s">
        <v>349</v>
      </c>
      <c r="B25" s="2666">
        <v>42712</v>
      </c>
      <c r="C25" s="2667"/>
      <c r="E25" s="257">
        <f>'F-LSCD-002 (Dosimetría)'!F32</f>
        <v>22</v>
      </c>
      <c r="F25" s="258" t="str">
        <f>'F-LSCD-002 (Dosimetría)'!G32</f>
        <v>°C</v>
      </c>
    </row>
    <row r="26" spans="1:9" ht="15.75" thickBot="1" x14ac:dyDescent="0.3">
      <c r="A26" s="265" t="s">
        <v>118</v>
      </c>
      <c r="B26" s="256" t="s">
        <v>104</v>
      </c>
      <c r="C26" s="255" t="s">
        <v>310</v>
      </c>
      <c r="E26" s="5">
        <f>'F-LSCD-002 (Dosimetría)'!F33</f>
        <v>1013.25</v>
      </c>
      <c r="F26" s="18" t="str">
        <f>'F-LSCD-002 (Dosimetría)'!G33</f>
        <v>hPa</v>
      </c>
    </row>
    <row r="27" spans="1:9" x14ac:dyDescent="0.25">
      <c r="A27" s="274" t="e">
        <f>'F-LSCD-002 (Dosimetría)'!#REF!</f>
        <v>#REF!</v>
      </c>
      <c r="B27" s="277" t="e">
        <f>'F-LSCD-002 (Dosimetría)'!#REF!</f>
        <v>#REF!</v>
      </c>
      <c r="C27" s="253" t="e">
        <f>'F-LSCD-002 (Dosimetría)'!#REF!</f>
        <v>#REF!</v>
      </c>
    </row>
    <row r="28" spans="1:9" x14ac:dyDescent="0.25">
      <c r="A28" s="275">
        <f>'F-LSCD-002 (Dosimetría)'!B34</f>
        <v>25200</v>
      </c>
      <c r="B28" s="278" t="str">
        <f>'F-LSCD-002 (Dosimetría)'!C34</f>
        <v>Gy/C</v>
      </c>
      <c r="C28" s="272">
        <f>'F-LSCD-002 (Dosimetría)'!D34</f>
        <v>8.0000000000000002E-3</v>
      </c>
    </row>
    <row r="29" spans="1:9" ht="15.75" thickBot="1" x14ac:dyDescent="0.3">
      <c r="A29" s="276" t="e">
        <f>'F-LSCD-002 (Dosimetría)'!#REF!</f>
        <v>#REF!</v>
      </c>
      <c r="B29" s="86" t="e">
        <f>'F-LSCD-002 (Dosimetría)'!#REF!</f>
        <v>#REF!</v>
      </c>
      <c r="C29" s="252" t="e">
        <f>'F-LSCD-002 (Dosimetría)'!#REF!</f>
        <v>#REF!</v>
      </c>
    </row>
    <row r="31" spans="1:9" ht="15.75" thickBot="1" x14ac:dyDescent="0.3"/>
    <row r="32" spans="1:9" ht="15" customHeight="1" x14ac:dyDescent="0.25">
      <c r="A32" s="2239" t="s">
        <v>266</v>
      </c>
      <c r="B32" s="2240"/>
      <c r="C32" s="2240"/>
      <c r="D32" s="2240"/>
      <c r="E32" s="2240"/>
      <c r="F32" s="2241"/>
      <c r="H32" s="2239" t="s">
        <v>266</v>
      </c>
      <c r="I32" s="2241"/>
    </row>
    <row r="33" spans="1:9" ht="15.75" thickBot="1" x14ac:dyDescent="0.3">
      <c r="A33" s="2242"/>
      <c r="B33" s="2243"/>
      <c r="C33" s="2243"/>
      <c r="D33" s="2243"/>
      <c r="E33" s="2243"/>
      <c r="F33" s="2244"/>
      <c r="H33" s="2242"/>
      <c r="I33" s="2244"/>
    </row>
    <row r="34" spans="1:9" ht="33.75" customHeight="1" thickBot="1" x14ac:dyDescent="0.3">
      <c r="A34" s="2668" t="s">
        <v>265</v>
      </c>
      <c r="B34" s="2641" t="s">
        <v>6</v>
      </c>
      <c r="C34" s="2639" t="s">
        <v>270</v>
      </c>
      <c r="D34" s="2641" t="s">
        <v>310</v>
      </c>
      <c r="E34" s="2643" t="s">
        <v>271</v>
      </c>
      <c r="F34" s="2644"/>
      <c r="H34" s="259" t="s">
        <v>389</v>
      </c>
      <c r="I34" s="260">
        <f>'F-LSCD-002 (Dosimetría)'!H42</f>
        <v>9.9999999999999998E-13</v>
      </c>
    </row>
    <row r="35" spans="1:9" ht="15.75" thickBot="1" x14ac:dyDescent="0.3">
      <c r="A35" s="2669"/>
      <c r="B35" s="2642"/>
      <c r="C35" s="2640"/>
      <c r="D35" s="2642"/>
      <c r="E35" s="4" t="s">
        <v>272</v>
      </c>
      <c r="F35" s="267" t="s">
        <v>273</v>
      </c>
    </row>
    <row r="36" spans="1:9" ht="15" customHeight="1" x14ac:dyDescent="0.25">
      <c r="A36" s="10" t="s">
        <v>267</v>
      </c>
      <c r="B36" s="11" t="s">
        <v>268</v>
      </c>
      <c r="C36" s="111">
        <v>1.004</v>
      </c>
      <c r="D36" s="111">
        <v>2E-3</v>
      </c>
      <c r="E36" s="233">
        <v>-1.9999999999999999E-11</v>
      </c>
      <c r="F36" s="234">
        <v>-2.2900000000000001E-10</v>
      </c>
    </row>
    <row r="37" spans="1:9" ht="15.75" thickBot="1" x14ac:dyDescent="0.3">
      <c r="A37" s="16" t="s">
        <v>267</v>
      </c>
      <c r="B37" s="19" t="s">
        <v>269</v>
      </c>
      <c r="C37" s="230">
        <v>1.0009999999999999</v>
      </c>
      <c r="D37" s="230">
        <v>1E-3</v>
      </c>
      <c r="E37" s="235">
        <v>-1E-10</v>
      </c>
      <c r="F37" s="17">
        <v>-2.3000000000000001E-8</v>
      </c>
    </row>
    <row r="40" spans="1:9" x14ac:dyDescent="0.25">
      <c r="A40" s="2628" t="s">
        <v>110</v>
      </c>
      <c r="B40" s="2628"/>
      <c r="C40" s="2628"/>
      <c r="D40" s="2628"/>
      <c r="E40" s="2628"/>
    </row>
    <row r="41" spans="1:9" x14ac:dyDescent="0.25">
      <c r="A41" s="2637" t="s">
        <v>102</v>
      </c>
      <c r="B41" s="2638"/>
      <c r="C41" s="270" t="s">
        <v>103</v>
      </c>
      <c r="D41" s="270" t="s">
        <v>104</v>
      </c>
      <c r="E41" s="270" t="s">
        <v>105</v>
      </c>
    </row>
    <row r="42" spans="1:9" ht="18" x14ac:dyDescent="0.25">
      <c r="A42" s="2629" t="s">
        <v>98</v>
      </c>
      <c r="B42" s="2629"/>
      <c r="C42" s="71" t="s">
        <v>143</v>
      </c>
      <c r="D42" s="71" t="s">
        <v>108</v>
      </c>
      <c r="E42" s="102" t="str">
        <f>'F-LSCD-002 (Dosimetría)'!F77</f>
        <v>---</v>
      </c>
    </row>
    <row r="43" spans="1:9" ht="18" x14ac:dyDescent="0.25">
      <c r="A43" s="2629"/>
      <c r="B43" s="2629"/>
      <c r="C43" s="71" t="s">
        <v>106</v>
      </c>
      <c r="D43" s="71" t="s">
        <v>108</v>
      </c>
      <c r="E43" s="279">
        <f>'F-LSCD-002 (Dosimetría)'!F78</f>
        <v>1.2</v>
      </c>
    </row>
    <row r="44" spans="1:9" ht="18" x14ac:dyDescent="0.25">
      <c r="A44" s="2628" t="s">
        <v>101</v>
      </c>
      <c r="B44" s="2628"/>
      <c r="C44" s="103" t="s">
        <v>144</v>
      </c>
      <c r="D44" s="71" t="s">
        <v>108</v>
      </c>
      <c r="E44" s="102">
        <f>'F-LSCD-002 (Dosimetría)'!F79</f>
        <v>1.25</v>
      </c>
    </row>
    <row r="45" spans="1:9" ht="18" x14ac:dyDescent="0.25">
      <c r="A45" s="2628"/>
      <c r="B45" s="2628"/>
      <c r="C45" s="71" t="s">
        <v>107</v>
      </c>
      <c r="D45" s="71" t="s">
        <v>108</v>
      </c>
      <c r="E45" s="102">
        <f>'F-LSCD-002 (Dosimetría)'!F80</f>
        <v>1.21</v>
      </c>
    </row>
    <row r="46" spans="1:9" ht="18" x14ac:dyDescent="0.25">
      <c r="A46" s="104" t="s">
        <v>99</v>
      </c>
      <c r="B46" s="270"/>
      <c r="C46" s="71" t="s">
        <v>144</v>
      </c>
      <c r="D46" s="71" t="s">
        <v>108</v>
      </c>
      <c r="E46" s="102" t="str">
        <f>'F-LSCD-002 (Dosimetría)'!F81</f>
        <v>---</v>
      </c>
    </row>
    <row r="47" spans="1:9" ht="18" x14ac:dyDescent="0.25">
      <c r="A47" s="104" t="s">
        <v>100</v>
      </c>
      <c r="B47" s="270"/>
      <c r="C47" s="71" t="s">
        <v>144</v>
      </c>
      <c r="D47" s="71" t="s">
        <v>108</v>
      </c>
      <c r="E47" s="102" t="str">
        <f>'F-LSCD-002 (Dosimetría)'!F82</f>
        <v>---</v>
      </c>
    </row>
    <row r="49" spans="1:6" x14ac:dyDescent="0.25">
      <c r="A49" s="2629" t="s">
        <v>122</v>
      </c>
      <c r="B49" s="2629"/>
      <c r="C49" s="2629"/>
    </row>
    <row r="50" spans="1:6" x14ac:dyDescent="0.25">
      <c r="A50" s="108" t="s">
        <v>120</v>
      </c>
      <c r="B50" s="107">
        <v>0.877</v>
      </c>
      <c r="C50" s="110" t="s">
        <v>116</v>
      </c>
    </row>
    <row r="51" spans="1:6" x14ac:dyDescent="0.25">
      <c r="A51" s="109" t="s">
        <v>121</v>
      </c>
      <c r="B51" s="107">
        <v>100</v>
      </c>
      <c r="C51" s="110" t="s">
        <v>116</v>
      </c>
    </row>
    <row r="52" spans="1:6" ht="15.75" thickBot="1" x14ac:dyDescent="0.3"/>
    <row r="53" spans="1:6" ht="15.75" thickBot="1" x14ac:dyDescent="0.3">
      <c r="A53" s="32" t="s">
        <v>23</v>
      </c>
      <c r="B53" s="33"/>
      <c r="C53" s="33"/>
      <c r="D53" s="33"/>
      <c r="E53" s="268"/>
      <c r="F53" s="34">
        <v>1.5</v>
      </c>
    </row>
    <row r="55" spans="1:6" ht="15.75" thickBot="1" x14ac:dyDescent="0.3"/>
    <row r="56" spans="1:6" x14ac:dyDescent="0.25">
      <c r="B56" s="24" t="s">
        <v>20</v>
      </c>
      <c r="C56" s="25"/>
      <c r="D56" s="25"/>
      <c r="E56" s="26" t="s">
        <v>9</v>
      </c>
    </row>
    <row r="57" spans="1:6" x14ac:dyDescent="0.25">
      <c r="B57" s="27" t="s">
        <v>21</v>
      </c>
      <c r="C57" s="28"/>
      <c r="D57" s="28"/>
      <c r="E57" s="29">
        <v>15.5</v>
      </c>
    </row>
    <row r="58" spans="1:6" x14ac:dyDescent="0.25">
      <c r="B58" s="27" t="s">
        <v>76</v>
      </c>
      <c r="C58" s="28"/>
      <c r="D58" s="59"/>
      <c r="E58" s="60">
        <v>42576</v>
      </c>
    </row>
    <row r="59" spans="1:6" x14ac:dyDescent="0.25">
      <c r="B59" s="27" t="s">
        <v>77</v>
      </c>
      <c r="C59" s="28"/>
      <c r="D59" s="30"/>
      <c r="E59" s="31">
        <v>42919</v>
      </c>
    </row>
    <row r="60" spans="1:6" x14ac:dyDescent="0.25">
      <c r="B60" s="27" t="s">
        <v>75</v>
      </c>
      <c r="C60" s="28"/>
      <c r="D60" s="30"/>
      <c r="E60" s="31">
        <f>'F-LSCD-002 (Dosimetría)'!F96</f>
        <v>44488</v>
      </c>
    </row>
    <row r="61" spans="1:6" x14ac:dyDescent="0.25">
      <c r="B61" s="27" t="s">
        <v>22</v>
      </c>
      <c r="C61" s="28"/>
      <c r="D61" s="28"/>
      <c r="E61" s="29">
        <f>EXP(-LN(2)*(E60-E58)/10990)</f>
        <v>0.88639623454367944</v>
      </c>
    </row>
    <row r="62" spans="1:6" ht="15.75" thickBot="1" x14ac:dyDescent="0.3">
      <c r="B62" s="35" t="s">
        <v>64</v>
      </c>
      <c r="C62" s="36"/>
      <c r="D62" s="36"/>
      <c r="E62" s="61">
        <f>E61*E57</f>
        <v>13.739141635427032</v>
      </c>
    </row>
    <row r="66" spans="1:34" ht="15.75" thickBot="1" x14ac:dyDescent="0.3"/>
    <row r="67" spans="1:34" ht="15.75" customHeight="1" thickBot="1" x14ac:dyDescent="0.3">
      <c r="B67" s="2676" t="s">
        <v>405</v>
      </c>
      <c r="C67" s="2677"/>
      <c r="D67" s="2677"/>
      <c r="E67" s="2677"/>
      <c r="F67" s="2677"/>
      <c r="G67" s="2677"/>
      <c r="H67" s="2677"/>
      <c r="I67" s="2677"/>
      <c r="J67" s="2677"/>
      <c r="K67" s="2677"/>
      <c r="L67" s="2678"/>
      <c r="M67" s="2384" t="s">
        <v>24</v>
      </c>
      <c r="N67" s="2630"/>
      <c r="O67" s="2630"/>
      <c r="P67" s="2630"/>
      <c r="Q67" s="2630"/>
      <c r="R67" s="2630"/>
      <c r="S67" s="2630"/>
      <c r="T67" s="2630"/>
      <c r="U67" s="2630"/>
      <c r="V67" s="2630"/>
      <c r="W67" s="2630"/>
      <c r="X67" s="2630"/>
      <c r="Y67" s="2630"/>
      <c r="Z67" s="2630"/>
      <c r="AA67" s="2630"/>
      <c r="AB67" s="2428"/>
    </row>
    <row r="68" spans="1:34" ht="30.75" thickBot="1" x14ac:dyDescent="0.3">
      <c r="A68" s="85" t="s">
        <v>56</v>
      </c>
      <c r="B68" s="98" t="s">
        <v>57</v>
      </c>
      <c r="C68" s="99" t="s">
        <v>58</v>
      </c>
      <c r="D68" s="99" t="s">
        <v>59</v>
      </c>
      <c r="E68" s="99" t="s">
        <v>264</v>
      </c>
      <c r="F68" s="99" t="s">
        <v>91</v>
      </c>
      <c r="G68" s="99" t="s">
        <v>92</v>
      </c>
      <c r="H68" s="99" t="s">
        <v>263</v>
      </c>
      <c r="I68" s="99" t="s">
        <v>60</v>
      </c>
      <c r="J68" s="100" t="s">
        <v>274</v>
      </c>
      <c r="K68" s="99" t="s">
        <v>7</v>
      </c>
      <c r="L68" s="101" t="s">
        <v>8</v>
      </c>
      <c r="M68" s="98" t="s">
        <v>57</v>
      </c>
      <c r="N68" s="99" t="s">
        <v>58</v>
      </c>
      <c r="O68" s="99" t="s">
        <v>59</v>
      </c>
      <c r="P68" s="100" t="s">
        <v>264</v>
      </c>
      <c r="Q68" s="99" t="s">
        <v>91</v>
      </c>
      <c r="R68" s="99" t="s">
        <v>92</v>
      </c>
      <c r="S68" s="99" t="s">
        <v>263</v>
      </c>
      <c r="T68" s="99" t="s">
        <v>60</v>
      </c>
      <c r="U68" s="100" t="s">
        <v>274</v>
      </c>
      <c r="V68" s="99" t="s">
        <v>94</v>
      </c>
      <c r="W68" s="99" t="s">
        <v>7</v>
      </c>
      <c r="X68" s="99" t="s">
        <v>8</v>
      </c>
      <c r="Y68" s="99" t="s">
        <v>119</v>
      </c>
      <c r="Z68" s="99" t="s">
        <v>97</v>
      </c>
      <c r="AA68" s="99" t="s">
        <v>95</v>
      </c>
      <c r="AB68" s="101" t="s">
        <v>96</v>
      </c>
      <c r="AD68" s="2679" t="s">
        <v>424</v>
      </c>
      <c r="AE68" s="2680"/>
      <c r="AF68" s="261" t="s">
        <v>414</v>
      </c>
      <c r="AG68" s="284" t="s">
        <v>408</v>
      </c>
      <c r="AH68" s="262" t="s">
        <v>415</v>
      </c>
    </row>
    <row r="69" spans="1:34" x14ac:dyDescent="0.25">
      <c r="A69" s="2625" t="s">
        <v>423</v>
      </c>
      <c r="B69" s="76" t="s">
        <v>93</v>
      </c>
      <c r="C69" s="76" t="s">
        <v>93</v>
      </c>
      <c r="D69" s="76" t="s">
        <v>93</v>
      </c>
      <c r="E69" s="76" t="s">
        <v>93</v>
      </c>
      <c r="F69" s="76" t="s">
        <v>93</v>
      </c>
      <c r="G69" s="76" t="s">
        <v>93</v>
      </c>
      <c r="H69" s="231" t="str">
        <f>IF(E69="-","-",IF(AND(E69&lt;=$E$36,E69&gt;=$F$36),E69*$C$36,IF(AND(E69&lt;=$E$37,E69&gt;=$F$37),E69*$C$37,"rango cal. out")))</f>
        <v>-</v>
      </c>
      <c r="I69" s="40" t="e">
        <f t="shared" ref="I69:I78" si="0">((273.2+B69)*$E$26/((273.2+$E$25)*D69))</f>
        <v>#VALUE!</v>
      </c>
      <c r="J69" s="57" t="str">
        <f>IF(H69="-","-",H69/F69*I69)</f>
        <v>-</v>
      </c>
      <c r="K69" s="11" t="e">
        <f t="shared" ref="K69:K78" si="1">ABS($A$27*J69*3600)</f>
        <v>#REF!</v>
      </c>
      <c r="L69" s="97" t="e">
        <f t="shared" ref="L69:L78" si="2">ABS($A$28*J69*3600)</f>
        <v>#VALUE!</v>
      </c>
      <c r="M69" s="68">
        <v>20.6</v>
      </c>
      <c r="N69" s="80">
        <v>49</v>
      </c>
      <c r="O69" s="80">
        <v>1010.2</v>
      </c>
      <c r="P69" s="76">
        <v>-5.547E-9</v>
      </c>
      <c r="Q69" s="80">
        <v>60</v>
      </c>
      <c r="R69" s="105">
        <v>42964</v>
      </c>
      <c r="S69" s="231">
        <f t="shared" ref="S69:S78" si="3">IF(AND(P69&lt;=$E$36,P69&gt;=$F$36),P69*$C$36,IF(AND(P69&lt;=$E$37,P69&gt;=$F$37),P69*$C$37,"rango cal. out"))</f>
        <v>-5.5525469999999997E-9</v>
      </c>
      <c r="T69" s="40">
        <f t="shared" ref="T69:T78" si="4">((273.2+M69)*$E$26/((273.2+$E$25)*O69))</f>
        <v>0.99826233797380559</v>
      </c>
      <c r="U69" s="57">
        <f>S69/Q69*T69*EXP(-LN(2)/10990*($E$60-R69))</f>
        <v>-8.3915346576779801E-11</v>
      </c>
      <c r="V69" s="11">
        <f>IF($J$79="-",U69,U69-$J$79)</f>
        <v>-8.3915346576779801E-11</v>
      </c>
      <c r="W69" s="11" t="e">
        <f t="shared" ref="W69:W78" si="5">ABS($A$27*V69*3600)</f>
        <v>#REF!</v>
      </c>
      <c r="X69" s="65">
        <f t="shared" ref="X69:X78" si="6">ABS($A$28*V69*3600)</f>
        <v>7.6128002414454629E-3</v>
      </c>
      <c r="Y69" s="111">
        <f>X69*$B$51</f>
        <v>0.76128002414454632</v>
      </c>
      <c r="Z69" s="11">
        <f>X69*$E$43</f>
        <v>9.1353602897345544E-3</v>
      </c>
      <c r="AA69" s="11">
        <f>X69*$E$45</f>
        <v>9.2114882921490102E-3</v>
      </c>
      <c r="AB69" s="12">
        <f>X69*$E$44</f>
        <v>9.5160003018068279E-3</v>
      </c>
      <c r="AD69" s="2687" t="s">
        <v>335</v>
      </c>
      <c r="AE69" s="2688"/>
      <c r="AF69" s="274">
        <f>X82</f>
        <v>7.6141726590119767E-3</v>
      </c>
      <c r="AG69" s="290">
        <f t="shared" ref="AG69:AG78" si="7">ABS(AF69-$X$79)/$X$79</f>
        <v>5.4718801629583219E-4</v>
      </c>
      <c r="AH69" s="2691">
        <f>MAX(AG69:AG78)</f>
        <v>3.9831970439680696E-3</v>
      </c>
    </row>
    <row r="70" spans="1:34" x14ac:dyDescent="0.25">
      <c r="A70" s="2626"/>
      <c r="B70" s="70" t="s">
        <v>93</v>
      </c>
      <c r="C70" s="70" t="s">
        <v>93</v>
      </c>
      <c r="D70" s="70" t="s">
        <v>93</v>
      </c>
      <c r="E70" s="70" t="s">
        <v>93</v>
      </c>
      <c r="F70" s="70" t="s">
        <v>93</v>
      </c>
      <c r="G70" s="70" t="s">
        <v>93</v>
      </c>
      <c r="H70" s="231" t="str">
        <f t="shared" ref="H70:H78" si="8">IF(E70="-","-",IF(AND(E70&lt;=$E$36,E70&gt;=$F$36),E70*$C$36,IF(AND(E70&lt;=$E$37,E70&gt;=$F$37),E70*$C$37,"rango cal. out")))</f>
        <v>-</v>
      </c>
      <c r="I70" s="38" t="e">
        <f t="shared" si="0"/>
        <v>#VALUE!</v>
      </c>
      <c r="J70" s="57" t="str">
        <f t="shared" ref="J70:J78" si="9">IF(H70="-","-",H70/F70*I70)</f>
        <v>-</v>
      </c>
      <c r="K70" s="58" t="e">
        <f t="shared" si="1"/>
        <v>#REF!</v>
      </c>
      <c r="L70" s="91" t="e">
        <f t="shared" si="2"/>
        <v>#VALUE!</v>
      </c>
      <c r="M70" s="69">
        <v>20.6</v>
      </c>
      <c r="N70" s="79">
        <v>49</v>
      </c>
      <c r="O70" s="79">
        <v>1010.2</v>
      </c>
      <c r="P70" s="70">
        <v>-5.5450000000000002E-9</v>
      </c>
      <c r="Q70" s="79">
        <v>60</v>
      </c>
      <c r="R70" s="92">
        <v>42964</v>
      </c>
      <c r="S70" s="231">
        <f t="shared" si="3"/>
        <v>-5.5505449999999993E-9</v>
      </c>
      <c r="T70" s="38">
        <f t="shared" si="4"/>
        <v>0.99826233797380559</v>
      </c>
      <c r="U70" s="74">
        <f>S70/Q70*T70*EXP(-LN(2)/10990*($E$60-R70))</f>
        <v>-8.3885090457588602E-11</v>
      </c>
      <c r="V70" s="58">
        <f t="shared" ref="V70:V78" si="10">IF($J$79="-",U70,U70-$J$79)</f>
        <v>-8.3885090457588602E-11</v>
      </c>
      <c r="W70" s="58" t="e">
        <f>ABS($A$27*V70*3600)</f>
        <v>#REF!</v>
      </c>
      <c r="X70" s="63">
        <f>ABS($A$28*V70*3600)</f>
        <v>7.6100554063124387E-3</v>
      </c>
      <c r="Y70" s="58">
        <f>X70*$B$51</f>
        <v>0.76100554063124382</v>
      </c>
      <c r="Z70" s="58">
        <f>X70*$E$43</f>
        <v>9.1320664875749261E-3</v>
      </c>
      <c r="AA70" s="58">
        <f>X70*$E$45</f>
        <v>9.2081670416380504E-3</v>
      </c>
      <c r="AB70" s="47">
        <f>X70*$E$44</f>
        <v>9.5125692578905477E-3</v>
      </c>
      <c r="AD70" s="2685" t="s">
        <v>335</v>
      </c>
      <c r="AE70" s="2689"/>
      <c r="AF70" s="275">
        <f t="shared" ref="AF70:AF78" si="11">X83</f>
        <v>7.6100554063124387E-3</v>
      </c>
      <c r="AG70" s="291">
        <f t="shared" si="7"/>
        <v>6.156732220663798E-6</v>
      </c>
      <c r="AH70" s="2692"/>
    </row>
    <row r="71" spans="1:34" x14ac:dyDescent="0.25">
      <c r="A71" s="2626"/>
      <c r="B71" s="70" t="s">
        <v>93</v>
      </c>
      <c r="C71" s="70" t="s">
        <v>93</v>
      </c>
      <c r="D71" s="70" t="s">
        <v>93</v>
      </c>
      <c r="E71" s="70" t="s">
        <v>93</v>
      </c>
      <c r="F71" s="70" t="s">
        <v>93</v>
      </c>
      <c r="G71" s="70" t="s">
        <v>93</v>
      </c>
      <c r="H71" s="231" t="str">
        <f t="shared" si="8"/>
        <v>-</v>
      </c>
      <c r="I71" s="38" t="e">
        <f t="shared" si="0"/>
        <v>#VALUE!</v>
      </c>
      <c r="J71" s="57" t="str">
        <f t="shared" si="9"/>
        <v>-</v>
      </c>
      <c r="K71" s="58" t="e">
        <f t="shared" si="1"/>
        <v>#REF!</v>
      </c>
      <c r="L71" s="91" t="e">
        <f t="shared" si="2"/>
        <v>#VALUE!</v>
      </c>
      <c r="M71" s="69">
        <v>20.6</v>
      </c>
      <c r="N71" s="79">
        <v>49</v>
      </c>
      <c r="O71" s="79">
        <v>1010.2</v>
      </c>
      <c r="P71" s="70">
        <v>-5.5480000000000003E-9</v>
      </c>
      <c r="Q71" s="79">
        <v>60</v>
      </c>
      <c r="R71" s="92">
        <v>42964</v>
      </c>
      <c r="S71" s="231">
        <f t="shared" si="3"/>
        <v>-5.5535479999999995E-9</v>
      </c>
      <c r="T71" s="38">
        <f t="shared" si="4"/>
        <v>0.99826233797380559</v>
      </c>
      <c r="U71" s="74">
        <f>S71/Q71*T71*EXP(-LN(2)/10990*($E$60-R71))</f>
        <v>-8.3930474636375407E-11</v>
      </c>
      <c r="V71" s="58">
        <f t="shared" si="10"/>
        <v>-8.3930474636375407E-11</v>
      </c>
      <c r="W71" s="58" t="e">
        <f t="shared" si="5"/>
        <v>#REF!</v>
      </c>
      <c r="X71" s="63">
        <f t="shared" si="6"/>
        <v>7.6141726590119767E-3</v>
      </c>
      <c r="Y71" s="71">
        <f t="shared" ref="Y71:Y77" si="12">X71*$B$51</f>
        <v>0.76141726590119763</v>
      </c>
      <c r="Z71" s="58">
        <f t="shared" ref="Z71:Z77" si="13">X71*$E$43</f>
        <v>9.1370071908143721E-3</v>
      </c>
      <c r="AA71" s="58">
        <f t="shared" ref="AA71:AA77" si="14">X71*$E$45</f>
        <v>9.2131489174044918E-3</v>
      </c>
      <c r="AB71" s="47">
        <f t="shared" ref="AB71:AB77" si="15">X71*$E$44</f>
        <v>9.5177158237649707E-3</v>
      </c>
      <c r="AD71" s="2690" t="s">
        <v>425</v>
      </c>
      <c r="AE71" s="2689"/>
      <c r="AF71" s="275">
        <f t="shared" si="11"/>
        <v>7.6167642766631046E-3</v>
      </c>
      <c r="AG71" s="291">
        <f t="shared" si="7"/>
        <v>8.8774185837088928E-4</v>
      </c>
      <c r="AH71" s="2692"/>
    </row>
    <row r="72" spans="1:34" x14ac:dyDescent="0.25">
      <c r="A72" s="2626"/>
      <c r="B72" s="70" t="s">
        <v>93</v>
      </c>
      <c r="C72" s="70" t="s">
        <v>93</v>
      </c>
      <c r="D72" s="70" t="s">
        <v>93</v>
      </c>
      <c r="E72" s="70" t="s">
        <v>93</v>
      </c>
      <c r="F72" s="70" t="s">
        <v>93</v>
      </c>
      <c r="G72" s="70" t="s">
        <v>93</v>
      </c>
      <c r="H72" s="231" t="str">
        <f t="shared" si="8"/>
        <v>-</v>
      </c>
      <c r="I72" s="38" t="e">
        <f t="shared" si="0"/>
        <v>#VALUE!</v>
      </c>
      <c r="J72" s="57" t="str">
        <f t="shared" si="9"/>
        <v>-</v>
      </c>
      <c r="K72" s="58" t="e">
        <f t="shared" si="1"/>
        <v>#REF!</v>
      </c>
      <c r="L72" s="91" t="e">
        <f t="shared" si="2"/>
        <v>#VALUE!</v>
      </c>
      <c r="M72" s="69">
        <v>20.6</v>
      </c>
      <c r="N72" s="79">
        <v>49</v>
      </c>
      <c r="O72" s="79">
        <v>1010.2</v>
      </c>
      <c r="P72" s="70">
        <v>-5.5459999999999997E-9</v>
      </c>
      <c r="Q72" s="79">
        <v>60</v>
      </c>
      <c r="R72" s="92">
        <v>42964</v>
      </c>
      <c r="S72" s="231">
        <f t="shared" si="3"/>
        <v>-5.5515459999999991E-9</v>
      </c>
      <c r="T72" s="38">
        <f t="shared" si="4"/>
        <v>0.99826233797380559</v>
      </c>
      <c r="U72" s="74">
        <f t="shared" ref="U72:U77" si="16">S72/Q72*T72*EXP(-LN(2)/10990*($E$60-R72))</f>
        <v>-8.3900218517184208E-11</v>
      </c>
      <c r="V72" s="58">
        <f t="shared" si="10"/>
        <v>-8.3900218517184208E-11</v>
      </c>
      <c r="W72" s="58" t="e">
        <f t="shared" si="5"/>
        <v>#REF!</v>
      </c>
      <c r="X72" s="63">
        <f t="shared" si="6"/>
        <v>7.6114278238789508E-3</v>
      </c>
      <c r="Y72" s="71">
        <f t="shared" si="12"/>
        <v>0.76114278238789512</v>
      </c>
      <c r="Z72" s="58">
        <f t="shared" si="13"/>
        <v>9.1337133886547402E-3</v>
      </c>
      <c r="AA72" s="58">
        <f t="shared" si="14"/>
        <v>9.2098276668935303E-3</v>
      </c>
      <c r="AB72" s="47">
        <f t="shared" si="15"/>
        <v>9.5142847798486887E-3</v>
      </c>
      <c r="AD72" s="2690" t="s">
        <v>425</v>
      </c>
      <c r="AE72" s="2689"/>
      <c r="AF72" s="275">
        <f t="shared" si="11"/>
        <v>7.6128002414454629E-3</v>
      </c>
      <c r="AG72" s="291">
        <f t="shared" si="7"/>
        <v>3.668442549372908E-4</v>
      </c>
      <c r="AH72" s="2692"/>
    </row>
    <row r="73" spans="1:34" x14ac:dyDescent="0.25">
      <c r="A73" s="2626"/>
      <c r="B73" s="70" t="s">
        <v>93</v>
      </c>
      <c r="C73" s="70" t="s">
        <v>93</v>
      </c>
      <c r="D73" s="70" t="s">
        <v>93</v>
      </c>
      <c r="E73" s="70" t="s">
        <v>93</v>
      </c>
      <c r="F73" s="70" t="s">
        <v>93</v>
      </c>
      <c r="G73" s="70" t="s">
        <v>93</v>
      </c>
      <c r="H73" s="231" t="str">
        <f t="shared" si="8"/>
        <v>-</v>
      </c>
      <c r="I73" s="38" t="e">
        <f t="shared" si="0"/>
        <v>#VALUE!</v>
      </c>
      <c r="J73" s="57" t="str">
        <f t="shared" si="9"/>
        <v>-</v>
      </c>
      <c r="K73" s="58" t="e">
        <f t="shared" si="1"/>
        <v>#REF!</v>
      </c>
      <c r="L73" s="91" t="e">
        <f t="shared" si="2"/>
        <v>#VALUE!</v>
      </c>
      <c r="M73" s="69">
        <v>20.7</v>
      </c>
      <c r="N73" s="79">
        <v>49</v>
      </c>
      <c r="O73" s="79">
        <v>1010.2</v>
      </c>
      <c r="P73" s="70">
        <v>-5.5420000000000001E-9</v>
      </c>
      <c r="Q73" s="79">
        <v>60</v>
      </c>
      <c r="R73" s="92">
        <v>42964</v>
      </c>
      <c r="S73" s="231">
        <f t="shared" si="3"/>
        <v>-5.5475419999999999E-9</v>
      </c>
      <c r="T73" s="38">
        <f t="shared" si="4"/>
        <v>0.99860211412696198</v>
      </c>
      <c r="U73" s="74">
        <f t="shared" si="16"/>
        <v>-8.3868242598161504E-11</v>
      </c>
      <c r="V73" s="58">
        <f t="shared" si="10"/>
        <v>-8.3868242598161504E-11</v>
      </c>
      <c r="W73" s="58" t="e">
        <f t="shared" si="5"/>
        <v>#REF!</v>
      </c>
      <c r="X73" s="63">
        <f t="shared" si="6"/>
        <v>7.6085269685052118E-3</v>
      </c>
      <c r="Y73" s="71">
        <f t="shared" si="12"/>
        <v>0.76085269685052115</v>
      </c>
      <c r="Z73" s="58">
        <f t="shared" si="13"/>
        <v>9.1302323622062531E-3</v>
      </c>
      <c r="AA73" s="58">
        <f t="shared" si="14"/>
        <v>9.2063176318913052E-3</v>
      </c>
      <c r="AB73" s="47">
        <f t="shared" si="15"/>
        <v>9.5106587106315154E-3</v>
      </c>
      <c r="AD73" s="2690" t="s">
        <v>426</v>
      </c>
      <c r="AE73" s="2689"/>
      <c r="AF73" s="275">
        <f t="shared" si="11"/>
        <v>7.6251519995440779E-3</v>
      </c>
      <c r="AG73" s="291">
        <f t="shared" si="7"/>
        <v>1.9899381071629102E-3</v>
      </c>
      <c r="AH73" s="2692"/>
    </row>
    <row r="74" spans="1:34" x14ac:dyDescent="0.25">
      <c r="A74" s="2626"/>
      <c r="B74" s="70" t="s">
        <v>93</v>
      </c>
      <c r="C74" s="70" t="s">
        <v>93</v>
      </c>
      <c r="D74" s="70" t="s">
        <v>93</v>
      </c>
      <c r="E74" s="70" t="s">
        <v>93</v>
      </c>
      <c r="F74" s="70" t="s">
        <v>93</v>
      </c>
      <c r="G74" s="70" t="s">
        <v>93</v>
      </c>
      <c r="H74" s="231" t="str">
        <f t="shared" si="8"/>
        <v>-</v>
      </c>
      <c r="I74" s="38" t="e">
        <f t="shared" si="0"/>
        <v>#VALUE!</v>
      </c>
      <c r="J74" s="57" t="str">
        <f t="shared" si="9"/>
        <v>-</v>
      </c>
      <c r="K74" s="58" t="e">
        <f t="shared" si="1"/>
        <v>#REF!</v>
      </c>
      <c r="L74" s="91" t="e">
        <f t="shared" si="2"/>
        <v>#VALUE!</v>
      </c>
      <c r="M74" s="69">
        <v>20.7</v>
      </c>
      <c r="N74" s="79">
        <v>49</v>
      </c>
      <c r="O74" s="79">
        <v>1010.2</v>
      </c>
      <c r="P74" s="70">
        <v>-5.5409999999999998E-9</v>
      </c>
      <c r="Q74" s="79">
        <v>60</v>
      </c>
      <c r="R74" s="92">
        <v>42964</v>
      </c>
      <c r="S74" s="231">
        <f t="shared" si="3"/>
        <v>-5.5465409999999992E-9</v>
      </c>
      <c r="T74" s="38">
        <f t="shared" si="4"/>
        <v>0.99860211412696198</v>
      </c>
      <c r="U74" s="74">
        <f t="shared" si="16"/>
        <v>-8.3853109389464619E-11</v>
      </c>
      <c r="V74" s="58">
        <f>IF($J$79="-",U74,U74-$J$79)</f>
        <v>-8.3853109389464619E-11</v>
      </c>
      <c r="W74" s="58" t="e">
        <f t="shared" si="5"/>
        <v>#REF!</v>
      </c>
      <c r="X74" s="63">
        <f t="shared" si="6"/>
        <v>7.6071540838122311E-3</v>
      </c>
      <c r="Y74" s="71">
        <f t="shared" si="12"/>
        <v>0.76071540838122309</v>
      </c>
      <c r="Z74" s="58">
        <f t="shared" si="13"/>
        <v>9.1285849005746777E-3</v>
      </c>
      <c r="AA74" s="58">
        <f t="shared" si="14"/>
        <v>9.204656441412799E-3</v>
      </c>
      <c r="AB74" s="47">
        <f t="shared" si="15"/>
        <v>9.5089426047652893E-3</v>
      </c>
      <c r="AD74" s="2694" t="s">
        <v>426</v>
      </c>
      <c r="AE74" s="2695"/>
      <c r="AF74" s="275">
        <f t="shared" si="11"/>
        <v>7.6196623292780251E-3</v>
      </c>
      <c r="AG74" s="291">
        <f t="shared" si="7"/>
        <v>1.2685630617290861E-3</v>
      </c>
      <c r="AH74" s="2692"/>
    </row>
    <row r="75" spans="1:34" ht="15" customHeight="1" x14ac:dyDescent="0.25">
      <c r="A75" s="2626"/>
      <c r="B75" s="70" t="s">
        <v>93</v>
      </c>
      <c r="C75" s="70" t="s">
        <v>93</v>
      </c>
      <c r="D75" s="70" t="s">
        <v>93</v>
      </c>
      <c r="E75" s="70" t="s">
        <v>93</v>
      </c>
      <c r="F75" s="70" t="s">
        <v>93</v>
      </c>
      <c r="G75" s="70" t="s">
        <v>93</v>
      </c>
      <c r="H75" s="231" t="str">
        <f t="shared" si="8"/>
        <v>-</v>
      </c>
      <c r="I75" s="38" t="e">
        <f t="shared" si="0"/>
        <v>#VALUE!</v>
      </c>
      <c r="J75" s="57" t="str">
        <f t="shared" si="9"/>
        <v>-</v>
      </c>
      <c r="K75" s="58" t="e">
        <f t="shared" si="1"/>
        <v>#REF!</v>
      </c>
      <c r="L75" s="91" t="e">
        <f t="shared" si="2"/>
        <v>#VALUE!</v>
      </c>
      <c r="M75" s="69">
        <v>20.7</v>
      </c>
      <c r="N75" s="79">
        <v>49</v>
      </c>
      <c r="O75" s="79">
        <v>1010.2</v>
      </c>
      <c r="P75" s="70">
        <v>-5.5420000000000001E-9</v>
      </c>
      <c r="Q75" s="79">
        <v>60</v>
      </c>
      <c r="R75" s="92">
        <v>42964</v>
      </c>
      <c r="S75" s="231">
        <f t="shared" si="3"/>
        <v>-5.5475419999999999E-9</v>
      </c>
      <c r="T75" s="38">
        <f t="shared" si="4"/>
        <v>0.99860211412696198</v>
      </c>
      <c r="U75" s="74">
        <f t="shared" si="16"/>
        <v>-8.3868242598161504E-11</v>
      </c>
      <c r="V75" s="58">
        <f t="shared" si="10"/>
        <v>-8.3868242598161504E-11</v>
      </c>
      <c r="W75" s="58" t="e">
        <f t="shared" si="5"/>
        <v>#REF!</v>
      </c>
      <c r="X75" s="63">
        <f t="shared" si="6"/>
        <v>7.6085269685052118E-3</v>
      </c>
      <c r="Y75" s="71">
        <f t="shared" si="12"/>
        <v>0.76085269685052115</v>
      </c>
      <c r="Z75" s="58">
        <f t="shared" si="13"/>
        <v>9.1302323622062531E-3</v>
      </c>
      <c r="AA75" s="58">
        <f t="shared" si="14"/>
        <v>9.2063176318913052E-3</v>
      </c>
      <c r="AB75" s="47">
        <f t="shared" si="15"/>
        <v>9.5106587106315154E-3</v>
      </c>
      <c r="AD75" s="2690" t="s">
        <v>427</v>
      </c>
      <c r="AE75" s="2689"/>
      <c r="AF75" s="275">
        <f t="shared" si="11"/>
        <v>7.6128002414454629E-3</v>
      </c>
      <c r="AG75" s="291">
        <f t="shared" si="7"/>
        <v>3.668442549372908E-4</v>
      </c>
      <c r="AH75" s="2692"/>
    </row>
    <row r="76" spans="1:34" x14ac:dyDescent="0.25">
      <c r="A76" s="2626"/>
      <c r="B76" s="70" t="s">
        <v>93</v>
      </c>
      <c r="C76" s="70" t="s">
        <v>93</v>
      </c>
      <c r="D76" s="70" t="s">
        <v>93</v>
      </c>
      <c r="E76" s="70" t="s">
        <v>93</v>
      </c>
      <c r="F76" s="70" t="s">
        <v>93</v>
      </c>
      <c r="G76" s="70" t="s">
        <v>93</v>
      </c>
      <c r="H76" s="231" t="str">
        <f t="shared" si="8"/>
        <v>-</v>
      </c>
      <c r="I76" s="38" t="e">
        <f t="shared" si="0"/>
        <v>#VALUE!</v>
      </c>
      <c r="J76" s="57" t="str">
        <f t="shared" si="9"/>
        <v>-</v>
      </c>
      <c r="K76" s="58" t="e">
        <f t="shared" si="1"/>
        <v>#REF!</v>
      </c>
      <c r="L76" s="91" t="e">
        <f t="shared" si="2"/>
        <v>#VALUE!</v>
      </c>
      <c r="M76" s="69">
        <v>20.6</v>
      </c>
      <c r="N76" s="79">
        <v>49</v>
      </c>
      <c r="O76" s="79">
        <v>1010.2</v>
      </c>
      <c r="P76" s="70">
        <v>-5.5430000000000004E-9</v>
      </c>
      <c r="Q76" s="79">
        <v>60</v>
      </c>
      <c r="R76" s="92">
        <v>42964</v>
      </c>
      <c r="S76" s="231">
        <f t="shared" si="3"/>
        <v>-5.5485429999999997E-9</v>
      </c>
      <c r="T76" s="38">
        <f t="shared" si="4"/>
        <v>0.99826233797380559</v>
      </c>
      <c r="U76" s="74">
        <f t="shared" si="16"/>
        <v>-8.3854834338397416E-11</v>
      </c>
      <c r="V76" s="58">
        <f>IF($J$79="-",U76,U76-$J$79)</f>
        <v>-8.3854834338397416E-11</v>
      </c>
      <c r="W76" s="58" t="e">
        <f t="shared" si="5"/>
        <v>#REF!</v>
      </c>
      <c r="X76" s="63">
        <f t="shared" si="6"/>
        <v>7.6073105711794127E-3</v>
      </c>
      <c r="Y76" s="71">
        <f t="shared" si="12"/>
        <v>0.76073105711794131</v>
      </c>
      <c r="Z76" s="58">
        <f t="shared" si="13"/>
        <v>9.1287726854152942E-3</v>
      </c>
      <c r="AA76" s="58">
        <f t="shared" si="14"/>
        <v>9.2048457911270889E-3</v>
      </c>
      <c r="AB76" s="47">
        <f t="shared" si="15"/>
        <v>9.5091382139742657E-3</v>
      </c>
      <c r="AD76" s="2690" t="s">
        <v>427</v>
      </c>
      <c r="AE76" s="2689"/>
      <c r="AF76" s="275">
        <f t="shared" si="11"/>
        <v>7.5977036482138246E-3</v>
      </c>
      <c r="AG76" s="291">
        <f t="shared" si="7"/>
        <v>1.6169371200048415E-3</v>
      </c>
      <c r="AH76" s="2692"/>
    </row>
    <row r="77" spans="1:34" x14ac:dyDescent="0.25">
      <c r="A77" s="2626"/>
      <c r="B77" s="70" t="s">
        <v>93</v>
      </c>
      <c r="C77" s="70" t="s">
        <v>93</v>
      </c>
      <c r="D77" s="70" t="s">
        <v>93</v>
      </c>
      <c r="E77" s="70" t="s">
        <v>93</v>
      </c>
      <c r="F77" s="70" t="s">
        <v>93</v>
      </c>
      <c r="G77" s="70" t="s">
        <v>93</v>
      </c>
      <c r="H77" s="231" t="str">
        <f t="shared" si="8"/>
        <v>-</v>
      </c>
      <c r="I77" s="38" t="e">
        <f t="shared" si="0"/>
        <v>#VALUE!</v>
      </c>
      <c r="J77" s="57" t="str">
        <f t="shared" si="9"/>
        <v>-</v>
      </c>
      <c r="K77" s="58" t="e">
        <f t="shared" si="1"/>
        <v>#REF!</v>
      </c>
      <c r="L77" s="91" t="e">
        <f t="shared" si="2"/>
        <v>#VALUE!</v>
      </c>
      <c r="M77" s="69">
        <v>20.6</v>
      </c>
      <c r="N77" s="79">
        <v>49</v>
      </c>
      <c r="O77" s="79">
        <v>1010.2</v>
      </c>
      <c r="P77" s="70">
        <v>-5.5420000000000001E-9</v>
      </c>
      <c r="Q77" s="79">
        <v>60</v>
      </c>
      <c r="R77" s="92">
        <v>42964</v>
      </c>
      <c r="S77" s="231">
        <f t="shared" si="3"/>
        <v>-5.5475419999999999E-9</v>
      </c>
      <c r="T77" s="38">
        <f t="shared" si="4"/>
        <v>0.99826233797380559</v>
      </c>
      <c r="U77" s="74">
        <f t="shared" si="16"/>
        <v>-8.383970627880181E-11</v>
      </c>
      <c r="V77" s="58">
        <f t="shared" si="10"/>
        <v>-8.383970627880181E-11</v>
      </c>
      <c r="W77" s="58" t="e">
        <f t="shared" si="5"/>
        <v>#REF!</v>
      </c>
      <c r="X77" s="63">
        <f t="shared" si="6"/>
        <v>7.6059381536129006E-3</v>
      </c>
      <c r="Y77" s="71">
        <f t="shared" si="12"/>
        <v>0.76059381536129012</v>
      </c>
      <c r="Z77" s="58">
        <f t="shared" si="13"/>
        <v>9.1271257843354801E-3</v>
      </c>
      <c r="AA77" s="58">
        <f t="shared" si="14"/>
        <v>9.203185165871609E-3</v>
      </c>
      <c r="AB77" s="47">
        <f t="shared" si="15"/>
        <v>9.5074226920161264E-3</v>
      </c>
      <c r="AD77" s="2690" t="s">
        <v>428</v>
      </c>
      <c r="AE77" s="2689"/>
      <c r="AF77" s="275">
        <f t="shared" si="11"/>
        <v>7.5796963899525949E-3</v>
      </c>
      <c r="AG77" s="291">
        <f t="shared" si="7"/>
        <v>3.9831970439680696E-3</v>
      </c>
      <c r="AH77" s="2692"/>
    </row>
    <row r="78" spans="1:34" ht="15.75" thickBot="1" x14ac:dyDescent="0.3">
      <c r="A78" s="2627"/>
      <c r="B78" s="58" t="s">
        <v>93</v>
      </c>
      <c r="C78" s="58" t="s">
        <v>93</v>
      </c>
      <c r="D78" s="58" t="s">
        <v>93</v>
      </c>
      <c r="E78" s="58" t="s">
        <v>93</v>
      </c>
      <c r="F78" s="58" t="s">
        <v>93</v>
      </c>
      <c r="G78" s="58" t="s">
        <v>93</v>
      </c>
      <c r="H78" s="231" t="str">
        <f t="shared" si="8"/>
        <v>-</v>
      </c>
      <c r="I78" s="38" t="e">
        <f t="shared" si="0"/>
        <v>#VALUE!</v>
      </c>
      <c r="J78" s="57" t="str">
        <f t="shared" si="9"/>
        <v>-</v>
      </c>
      <c r="K78" s="58" t="e">
        <f t="shared" si="1"/>
        <v>#REF!</v>
      </c>
      <c r="L78" s="91" t="e">
        <f t="shared" si="2"/>
        <v>#VALUE!</v>
      </c>
      <c r="M78" s="69">
        <v>20.6</v>
      </c>
      <c r="N78" s="79">
        <v>49</v>
      </c>
      <c r="O78" s="79">
        <v>1010.2</v>
      </c>
      <c r="P78" s="70">
        <v>-5.5480000000000003E-9</v>
      </c>
      <c r="Q78" s="79">
        <v>60</v>
      </c>
      <c r="R78" s="92">
        <v>42964</v>
      </c>
      <c r="S78" s="231">
        <f t="shared" si="3"/>
        <v>-5.5535479999999995E-9</v>
      </c>
      <c r="T78" s="38">
        <f t="shared" si="4"/>
        <v>0.99826233797380559</v>
      </c>
      <c r="U78" s="74">
        <f>S78/Q78*T78*EXP(-LN(2)/10990*($E$60-R78))</f>
        <v>-8.3930474636375407E-11</v>
      </c>
      <c r="V78" s="58">
        <f t="shared" si="10"/>
        <v>-8.3930474636375407E-11</v>
      </c>
      <c r="W78" s="11" t="e">
        <f t="shared" si="5"/>
        <v>#REF!</v>
      </c>
      <c r="X78" s="65">
        <f t="shared" si="6"/>
        <v>7.6141726590119767E-3</v>
      </c>
      <c r="Y78" s="71">
        <f>X78*$B$51</f>
        <v>0.76141726590119763</v>
      </c>
      <c r="Z78" s="58">
        <f>X78*$E$43</f>
        <v>9.1370071908143721E-3</v>
      </c>
      <c r="AA78" s="58">
        <f>X78*$E$45</f>
        <v>9.2131489174044918E-3</v>
      </c>
      <c r="AB78" s="47">
        <f>X78*$E$44</f>
        <v>9.5177158237649707E-3</v>
      </c>
      <c r="AD78" s="2696" t="s">
        <v>428</v>
      </c>
      <c r="AE78" s="2697"/>
      <c r="AF78" s="283">
        <f t="shared" si="11"/>
        <v>7.5851879287245202E-3</v>
      </c>
      <c r="AG78" s="292">
        <f t="shared" si="7"/>
        <v>3.2615764658440452E-3</v>
      </c>
      <c r="AH78" s="2693"/>
    </row>
    <row r="79" spans="1:34" x14ac:dyDescent="0.25">
      <c r="A79" s="263" t="s">
        <v>61</v>
      </c>
      <c r="B79" s="39" t="e">
        <f>AVERAGE(B69:B78)</f>
        <v>#DIV/0!</v>
      </c>
      <c r="C79" s="242" t="e">
        <f>AVERAGE(C69:C78)</f>
        <v>#DIV/0!</v>
      </c>
      <c r="D79" s="239" t="e">
        <f>AVERAGE(D69:D78)</f>
        <v>#DIV/0!</v>
      </c>
      <c r="E79" s="11" t="e">
        <f>AVERAGE(E69:E78)</f>
        <v>#DIV/0!</v>
      </c>
      <c r="F79" s="236" t="e">
        <f>AVERAGE(F69:F78)</f>
        <v>#DIV/0!</v>
      </c>
      <c r="G79" s="90" t="s">
        <v>93</v>
      </c>
      <c r="H79" s="11" t="str">
        <f>IF(AND(H69="-",H70="-",H71="-",H72="-",H73="-",H74="-",H75="-",H76="-",H77="-",H78="-"),"-",AVERAGE(H69:H78))</f>
        <v>-</v>
      </c>
      <c r="I79" s="38" t="e">
        <f>AVERAGE(I69:I78)</f>
        <v>#VALUE!</v>
      </c>
      <c r="J79" s="75" t="str">
        <f>IF(AND(H69="-",H70="-",H71="-",H72="-",H73="-",H74="-",H75="-",H76="-",H77="-",H78="-"),"-",AVERAGE(J69:J78))</f>
        <v>-</v>
      </c>
      <c r="K79" s="73" t="e">
        <f t="shared" ref="K79:Q79" si="17">AVERAGE(K69:K78)</f>
        <v>#REF!</v>
      </c>
      <c r="L79" s="77" t="e">
        <f t="shared" si="17"/>
        <v>#VALUE!</v>
      </c>
      <c r="M79" s="243">
        <f t="shared" si="17"/>
        <v>20.63</v>
      </c>
      <c r="N79" s="232">
        <f t="shared" si="17"/>
        <v>49</v>
      </c>
      <c r="O79" s="232">
        <f t="shared" si="17"/>
        <v>1010.2</v>
      </c>
      <c r="P79" s="58">
        <f t="shared" si="17"/>
        <v>-5.5444E-9</v>
      </c>
      <c r="Q79" s="232">
        <f t="shared" si="17"/>
        <v>60</v>
      </c>
      <c r="R79" s="90" t="s">
        <v>93</v>
      </c>
      <c r="S79" s="11">
        <f t="shared" ref="S79:AB79" si="18">AVERAGE(S69:S78)</f>
        <v>-5.5499443999999997E-9</v>
      </c>
      <c r="T79" s="38">
        <f t="shared" si="18"/>
        <v>0.99836427081975254</v>
      </c>
      <c r="U79" s="63">
        <f>AVERAGE(U69:U78)</f>
        <v>-8.3884574002729039E-11</v>
      </c>
      <c r="V79" s="58">
        <f t="shared" si="18"/>
        <v>-8.3884574002729039E-11</v>
      </c>
      <c r="W79" s="73" t="e">
        <f t="shared" si="18"/>
        <v>#REF!</v>
      </c>
      <c r="X79" s="75">
        <f t="shared" si="18"/>
        <v>7.6100085535275776E-3</v>
      </c>
      <c r="Y79" s="73">
        <f t="shared" si="18"/>
        <v>0.76100085535275785</v>
      </c>
      <c r="Z79" s="73">
        <f t="shared" si="18"/>
        <v>9.1320102642330914E-3</v>
      </c>
      <c r="AA79" s="73">
        <f t="shared" si="18"/>
        <v>9.208110349768369E-3</v>
      </c>
      <c r="AB79" s="72">
        <f t="shared" si="18"/>
        <v>9.5125106919094725E-3</v>
      </c>
    </row>
    <row r="80" spans="1:34" x14ac:dyDescent="0.25">
      <c r="A80" s="263" t="s">
        <v>62</v>
      </c>
      <c r="B80" s="39">
        <f>STDEVA(B69:B78)</f>
        <v>0</v>
      </c>
      <c r="C80" s="41">
        <f>STDEVA(C69:C78)</f>
        <v>0</v>
      </c>
      <c r="D80" s="42">
        <f>STDEVA(D69:D78)</f>
        <v>0</v>
      </c>
      <c r="E80" s="11">
        <f>STDEVA(E69:E78)</f>
        <v>0</v>
      </c>
      <c r="F80" s="94">
        <f>STDEVA(F69:F78)</f>
        <v>0</v>
      </c>
      <c r="G80" s="40" t="s">
        <v>93</v>
      </c>
      <c r="H80" s="11" t="str">
        <f>IF(H79="-","-",STDEVA(H69:H78))</f>
        <v>-</v>
      </c>
      <c r="I80" s="40" t="e">
        <f t="shared" ref="I80:Q80" si="19">STDEVA(I69:I78)</f>
        <v>#VALUE!</v>
      </c>
      <c r="J80" s="63" t="str">
        <f>IF(J79="-","-",STDEVA(J69:J78))</f>
        <v>-</v>
      </c>
      <c r="K80" s="58" t="e">
        <f t="shared" si="19"/>
        <v>#REF!</v>
      </c>
      <c r="L80" s="74" t="e">
        <f t="shared" si="19"/>
        <v>#VALUE!</v>
      </c>
      <c r="M80" s="82">
        <f t="shared" si="19"/>
        <v>4.8304589153963767E-2</v>
      </c>
      <c r="N80" s="38">
        <f t="shared" si="19"/>
        <v>0</v>
      </c>
      <c r="O80" s="38">
        <f t="shared" si="19"/>
        <v>0</v>
      </c>
      <c r="P80" s="58">
        <f t="shared" si="19"/>
        <v>2.7162065049951561E-12</v>
      </c>
      <c r="Q80" s="38">
        <f t="shared" si="19"/>
        <v>0</v>
      </c>
      <c r="R80" s="40" t="s">
        <v>93</v>
      </c>
      <c r="S80" s="11">
        <f t="shared" ref="S80:AB80" si="20">STDEVA(S69:S78)</f>
        <v>2.7189227115000088E-12</v>
      </c>
      <c r="T80" s="40">
        <f t="shared" si="20"/>
        <v>1.6412747482534053E-4</v>
      </c>
      <c r="U80" s="63">
        <f t="shared" si="20"/>
        <v>3.3043266137478181E-14</v>
      </c>
      <c r="V80" s="58">
        <f t="shared" si="20"/>
        <v>3.3043266137478181E-14</v>
      </c>
      <c r="W80" s="58" t="e">
        <f t="shared" si="20"/>
        <v>#REF!</v>
      </c>
      <c r="X80" s="63">
        <f t="shared" si="20"/>
        <v>2.9976851039917718E-6</v>
      </c>
      <c r="Y80" s="58">
        <f t="shared" si="20"/>
        <v>2.9976851039916272E-4</v>
      </c>
      <c r="Z80" s="58">
        <f t="shared" si="20"/>
        <v>3.5972221247902676E-6</v>
      </c>
      <c r="AA80" s="58">
        <f t="shared" si="20"/>
        <v>3.6271989758303857E-6</v>
      </c>
      <c r="AB80" s="47">
        <f t="shared" si="20"/>
        <v>3.7471063799893972E-6</v>
      </c>
    </row>
    <row r="81" spans="1:28" ht="15.75" thickBot="1" x14ac:dyDescent="0.3">
      <c r="A81" s="264" t="s">
        <v>63</v>
      </c>
      <c r="B81" s="44" t="e">
        <f>B80/B79*100</f>
        <v>#DIV/0!</v>
      </c>
      <c r="C81" s="45" t="e">
        <f>C80/C79*100</f>
        <v>#DIV/0!</v>
      </c>
      <c r="D81" s="46" t="e">
        <f>D80/D79*100</f>
        <v>#DIV/0!</v>
      </c>
      <c r="E81" s="43" t="e">
        <f>E80/E79*100</f>
        <v>#DIV/0!</v>
      </c>
      <c r="F81" s="95" t="e">
        <f>F80/F79*100</f>
        <v>#DIV/0!</v>
      </c>
      <c r="G81" s="43" t="s">
        <v>93</v>
      </c>
      <c r="H81" s="89" t="str">
        <f>IF(H79="-","-",H80/H79*100)</f>
        <v>-</v>
      </c>
      <c r="I81" s="43" t="e">
        <f t="shared" ref="I81:Q81" si="21">I80/I79*100</f>
        <v>#VALUE!</v>
      </c>
      <c r="J81" s="64" t="str">
        <f>IF(J79="-","-",J80/J79*100)</f>
        <v>-</v>
      </c>
      <c r="K81" s="19" t="e">
        <f t="shared" si="21"/>
        <v>#REF!</v>
      </c>
      <c r="L81" s="78" t="e">
        <f t="shared" si="21"/>
        <v>#VALUE!</v>
      </c>
      <c r="M81" s="83">
        <f t="shared" si="21"/>
        <v>0.23414730564209293</v>
      </c>
      <c r="N81" s="81">
        <f t="shared" si="21"/>
        <v>0</v>
      </c>
      <c r="O81" s="81">
        <f t="shared" si="21"/>
        <v>0</v>
      </c>
      <c r="P81" s="19">
        <f t="shared" si="21"/>
        <v>-4.8990089189004327E-2</v>
      </c>
      <c r="Q81" s="81">
        <f t="shared" si="21"/>
        <v>0</v>
      </c>
      <c r="R81" s="43" t="s">
        <v>93</v>
      </c>
      <c r="S81" s="89">
        <f t="shared" ref="S81:AB81" si="22">S80/S79*100</f>
        <v>-4.8990089189001759E-2</v>
      </c>
      <c r="T81" s="43">
        <f t="shared" si="22"/>
        <v>1.6439638278579038E-2</v>
      </c>
      <c r="U81" s="64">
        <f t="shared" si="22"/>
        <v>-3.9391349995296129E-2</v>
      </c>
      <c r="V81" s="19">
        <f t="shared" si="22"/>
        <v>-3.9391349995296129E-2</v>
      </c>
      <c r="W81" s="19" t="e">
        <f t="shared" si="22"/>
        <v>#REF!</v>
      </c>
      <c r="X81" s="64">
        <f t="shared" si="22"/>
        <v>3.9391349995292861E-2</v>
      </c>
      <c r="Y81" s="19">
        <f t="shared" si="22"/>
        <v>3.9391349995290953E-2</v>
      </c>
      <c r="Z81" s="19">
        <f t="shared" si="22"/>
        <v>3.9391349995294422E-2</v>
      </c>
      <c r="AA81" s="19">
        <f t="shared" si="22"/>
        <v>3.9391349995296573E-2</v>
      </c>
      <c r="AB81" s="17">
        <f t="shared" si="22"/>
        <v>3.9391349995289524E-2</v>
      </c>
    </row>
    <row r="82" spans="1:28" ht="15" customHeight="1" x14ac:dyDescent="0.25">
      <c r="A82" s="2625" t="s">
        <v>422</v>
      </c>
      <c r="B82" s="76" t="s">
        <v>93</v>
      </c>
      <c r="C82" s="76" t="s">
        <v>93</v>
      </c>
      <c r="D82" s="76" t="s">
        <v>93</v>
      </c>
      <c r="E82" s="76" t="s">
        <v>93</v>
      </c>
      <c r="F82" s="76" t="s">
        <v>93</v>
      </c>
      <c r="G82" s="76" t="s">
        <v>93</v>
      </c>
      <c r="H82" s="231" t="str">
        <f>IF(E82="-","-",IF(AND(E82&lt;=$E$36,E82&gt;=$F$36),E82*$C$36,IF(AND(E82&lt;=$E$37,E82&gt;=$F$37),E82*$C$37,"rango cal. out")))</f>
        <v>-</v>
      </c>
      <c r="I82" s="40" t="e">
        <f t="shared" ref="I82:I91" si="23">((273.2+B82)*$E$26/((273.2+$E$25)*D82))</f>
        <v>#VALUE!</v>
      </c>
      <c r="J82" s="57" t="str">
        <f>IF(H82="-","-",H82/F82*I82)</f>
        <v>-</v>
      </c>
      <c r="K82" s="11" t="e">
        <f t="shared" ref="K82:K91" si="24">ABS($A$27*J82*3600)</f>
        <v>#REF!</v>
      </c>
      <c r="L82" s="97" t="e">
        <f t="shared" ref="L82:L91" si="25">ABS($A$28*J82*3600)</f>
        <v>#VALUE!</v>
      </c>
      <c r="M82" s="68">
        <v>20.6</v>
      </c>
      <c r="N82" s="80">
        <v>49</v>
      </c>
      <c r="O82" s="80">
        <v>1010.2</v>
      </c>
      <c r="P82" s="76">
        <v>-5.5480000000000003E-9</v>
      </c>
      <c r="Q82" s="80">
        <v>60</v>
      </c>
      <c r="R82" s="105">
        <v>42964</v>
      </c>
      <c r="S82" s="231">
        <f t="shared" ref="S82:S91" si="26">IF(AND(P82&lt;=$E$36,P82&gt;=$F$36),P82*$C$36,IF(AND(P82&lt;=$E$37,P82&gt;=$F$37),P82*$C$37,"rango cal. out"))</f>
        <v>-5.5535479999999995E-9</v>
      </c>
      <c r="T82" s="40">
        <f t="shared" ref="T82:T91" si="27">((273.2+M82)*$E$26/((273.2+$E$25)*O82))</f>
        <v>0.99826233797380559</v>
      </c>
      <c r="U82" s="57">
        <f>S82/Q82*T82*EXP(-LN(2)/10990*($E$60-R82))</f>
        <v>-8.3930474636375407E-11</v>
      </c>
      <c r="V82" s="11">
        <f>IF($J$92="-",U82,U82-$J$92)</f>
        <v>-8.3930474636375407E-11</v>
      </c>
      <c r="W82" s="11" t="e">
        <f t="shared" ref="W82" si="28">ABS($A$27*V82*3600)</f>
        <v>#REF!</v>
      </c>
      <c r="X82" s="65">
        <f t="shared" ref="X82" si="29">ABS($A$28*V82*3600)</f>
        <v>7.6141726590119767E-3</v>
      </c>
      <c r="Y82" s="111">
        <f>X82*$B$51</f>
        <v>0.76141726590119763</v>
      </c>
      <c r="Z82" s="11">
        <f>X82*$E$43</f>
        <v>9.1370071908143721E-3</v>
      </c>
      <c r="AA82" s="11">
        <f>X82*$E$45</f>
        <v>9.2131489174044918E-3</v>
      </c>
      <c r="AB82" s="12">
        <f>X82*$E$44</f>
        <v>9.5177158237649707E-3</v>
      </c>
    </row>
    <row r="83" spans="1:28" x14ac:dyDescent="0.25">
      <c r="A83" s="2626"/>
      <c r="B83" s="70" t="s">
        <v>93</v>
      </c>
      <c r="C83" s="70" t="s">
        <v>93</v>
      </c>
      <c r="D83" s="70" t="s">
        <v>93</v>
      </c>
      <c r="E83" s="70" t="s">
        <v>93</v>
      </c>
      <c r="F83" s="70" t="s">
        <v>93</v>
      </c>
      <c r="G83" s="70" t="s">
        <v>93</v>
      </c>
      <c r="H83" s="231" t="str">
        <f t="shared" ref="H83:H91" si="30">IF(E83="-","-",IF(AND(E83&lt;=$E$36,E83&gt;=$F$36),E83*$C$36,IF(AND(E83&lt;=$E$37,E83&gt;=$F$37),E83*$C$37,"rango cal. out")))</f>
        <v>-</v>
      </c>
      <c r="I83" s="38" t="e">
        <f t="shared" si="23"/>
        <v>#VALUE!</v>
      </c>
      <c r="J83" s="57" t="str">
        <f t="shared" ref="J83:J91" si="31">IF(H83="-","-",H83/F83*I83)</f>
        <v>-</v>
      </c>
      <c r="K83" s="58" t="e">
        <f t="shared" si="24"/>
        <v>#REF!</v>
      </c>
      <c r="L83" s="91" t="e">
        <f t="shared" si="25"/>
        <v>#VALUE!</v>
      </c>
      <c r="M83" s="69">
        <v>20.6</v>
      </c>
      <c r="N83" s="79">
        <v>49</v>
      </c>
      <c r="O83" s="79">
        <v>1010.2</v>
      </c>
      <c r="P83" s="70">
        <v>-5.5450000000000002E-9</v>
      </c>
      <c r="Q83" s="79">
        <v>60</v>
      </c>
      <c r="R83" s="92">
        <v>42964</v>
      </c>
      <c r="S83" s="231">
        <f t="shared" si="26"/>
        <v>-5.5505449999999993E-9</v>
      </c>
      <c r="T83" s="38">
        <f t="shared" si="27"/>
        <v>0.99826233797380559</v>
      </c>
      <c r="U83" s="74">
        <f>S83/Q83*T83*EXP(-LN(2)/10990*($E$60-R83))</f>
        <v>-8.3885090457588602E-11</v>
      </c>
      <c r="V83" s="11">
        <f t="shared" ref="V83:V91" si="32">IF($J$92="-",U83,U83-$J$92)</f>
        <v>-8.3885090457588602E-11</v>
      </c>
      <c r="W83" s="58" t="e">
        <f>ABS($A$27*V83*3600)</f>
        <v>#REF!</v>
      </c>
      <c r="X83" s="63">
        <f>ABS($A$28*V83*3600)</f>
        <v>7.6100554063124387E-3</v>
      </c>
      <c r="Y83" s="58">
        <f>X83*$B$51</f>
        <v>0.76100554063124382</v>
      </c>
      <c r="Z83" s="58">
        <f>X83*$E$43</f>
        <v>9.1320664875749261E-3</v>
      </c>
      <c r="AA83" s="58">
        <f>X83*$E$45</f>
        <v>9.2081670416380504E-3</v>
      </c>
      <c r="AB83" s="47">
        <f>X83*$E$44</f>
        <v>9.5125692578905477E-3</v>
      </c>
    </row>
    <row r="84" spans="1:28" x14ac:dyDescent="0.25">
      <c r="A84" s="2626"/>
      <c r="B84" s="70" t="s">
        <v>93</v>
      </c>
      <c r="C84" s="70" t="s">
        <v>93</v>
      </c>
      <c r="D84" s="70" t="s">
        <v>93</v>
      </c>
      <c r="E84" s="70" t="s">
        <v>93</v>
      </c>
      <c r="F84" s="70" t="s">
        <v>93</v>
      </c>
      <c r="G84" s="70" t="s">
        <v>93</v>
      </c>
      <c r="H84" s="231" t="str">
        <f t="shared" si="30"/>
        <v>-</v>
      </c>
      <c r="I84" s="38" t="e">
        <f t="shared" si="23"/>
        <v>#VALUE!</v>
      </c>
      <c r="J84" s="57" t="str">
        <f t="shared" si="31"/>
        <v>-</v>
      </c>
      <c r="K84" s="58" t="e">
        <f t="shared" si="24"/>
        <v>#REF!</v>
      </c>
      <c r="L84" s="91" t="e">
        <f t="shared" si="25"/>
        <v>#VALUE!</v>
      </c>
      <c r="M84" s="69">
        <v>20.7</v>
      </c>
      <c r="N84" s="79">
        <v>49</v>
      </c>
      <c r="O84" s="79">
        <v>1010.2</v>
      </c>
      <c r="P84" s="70">
        <v>-5.5480000000000003E-9</v>
      </c>
      <c r="Q84" s="79">
        <v>60</v>
      </c>
      <c r="R84" s="92">
        <v>42964</v>
      </c>
      <c r="S84" s="231">
        <f t="shared" si="26"/>
        <v>-5.5535479999999995E-9</v>
      </c>
      <c r="T84" s="38">
        <f t="shared" si="27"/>
        <v>0.99860211412696198</v>
      </c>
      <c r="U84" s="74">
        <f t="shared" ref="U84:U90" si="33">S84/Q84*T84*EXP(-LN(2)/10990*($E$60-R84))</f>
        <v>-8.3959041850342855E-11</v>
      </c>
      <c r="V84" s="11">
        <f t="shared" si="32"/>
        <v>-8.3959041850342855E-11</v>
      </c>
      <c r="W84" s="58" t="e">
        <f t="shared" ref="W84:W91" si="34">ABS($A$27*V84*3600)</f>
        <v>#REF!</v>
      </c>
      <c r="X84" s="63">
        <f t="shared" ref="X84:X91" si="35">ABS($A$28*V84*3600)</f>
        <v>7.6167642766631046E-3</v>
      </c>
      <c r="Y84" s="71">
        <f t="shared" ref="Y84:Y90" si="36">X84*$B$51</f>
        <v>0.7616764276663105</v>
      </c>
      <c r="Z84" s="58">
        <f t="shared" ref="Z84:Z90" si="37">X84*$E$43</f>
        <v>9.1401171319957248E-3</v>
      </c>
      <c r="AA84" s="58">
        <f t="shared" ref="AA84:AA90" si="38">X84*$E$45</f>
        <v>9.2162847747623566E-3</v>
      </c>
      <c r="AB84" s="47">
        <f t="shared" ref="AB84:AB90" si="39">X84*$E$44</f>
        <v>9.5209553458288805E-3</v>
      </c>
    </row>
    <row r="85" spans="1:28" x14ac:dyDescent="0.25">
      <c r="A85" s="2626"/>
      <c r="B85" s="70" t="s">
        <v>93</v>
      </c>
      <c r="C85" s="70" t="s">
        <v>93</v>
      </c>
      <c r="D85" s="70" t="s">
        <v>93</v>
      </c>
      <c r="E85" s="70" t="s">
        <v>93</v>
      </c>
      <c r="F85" s="70" t="s">
        <v>93</v>
      </c>
      <c r="G85" s="70" t="s">
        <v>93</v>
      </c>
      <c r="H85" s="231" t="str">
        <f t="shared" si="30"/>
        <v>-</v>
      </c>
      <c r="I85" s="38" t="e">
        <f t="shared" si="23"/>
        <v>#VALUE!</v>
      </c>
      <c r="J85" s="57" t="str">
        <f t="shared" si="31"/>
        <v>-</v>
      </c>
      <c r="K85" s="58" t="e">
        <f t="shared" si="24"/>
        <v>#REF!</v>
      </c>
      <c r="L85" s="91" t="e">
        <f t="shared" si="25"/>
        <v>#VALUE!</v>
      </c>
      <c r="M85" s="69">
        <v>20.6</v>
      </c>
      <c r="N85" s="79">
        <v>49</v>
      </c>
      <c r="O85" s="79">
        <v>1010.2</v>
      </c>
      <c r="P85" s="70">
        <v>-5.547E-9</v>
      </c>
      <c r="Q85" s="79">
        <v>60</v>
      </c>
      <c r="R85" s="92">
        <v>42964</v>
      </c>
      <c r="S85" s="231">
        <f t="shared" si="26"/>
        <v>-5.5525469999999997E-9</v>
      </c>
      <c r="T85" s="38">
        <f t="shared" si="27"/>
        <v>0.99826233797380559</v>
      </c>
      <c r="U85" s="74">
        <f t="shared" si="33"/>
        <v>-8.3915346576779801E-11</v>
      </c>
      <c r="V85" s="11">
        <f t="shared" si="32"/>
        <v>-8.3915346576779801E-11</v>
      </c>
      <c r="W85" s="58" t="e">
        <f t="shared" si="34"/>
        <v>#REF!</v>
      </c>
      <c r="X85" s="63">
        <f t="shared" si="35"/>
        <v>7.6128002414454629E-3</v>
      </c>
      <c r="Y85" s="71">
        <f t="shared" si="36"/>
        <v>0.76128002414454632</v>
      </c>
      <c r="Z85" s="58">
        <f t="shared" si="37"/>
        <v>9.1353602897345544E-3</v>
      </c>
      <c r="AA85" s="58">
        <f t="shared" si="38"/>
        <v>9.2114882921490102E-3</v>
      </c>
      <c r="AB85" s="47">
        <f t="shared" si="39"/>
        <v>9.5160003018068279E-3</v>
      </c>
    </row>
    <row r="86" spans="1:28" x14ac:dyDescent="0.25">
      <c r="A86" s="2626"/>
      <c r="B86" s="70" t="s">
        <v>93</v>
      </c>
      <c r="C86" s="70" t="s">
        <v>93</v>
      </c>
      <c r="D86" s="70" t="s">
        <v>93</v>
      </c>
      <c r="E86" s="70" t="s">
        <v>93</v>
      </c>
      <c r="F86" s="70" t="s">
        <v>93</v>
      </c>
      <c r="G86" s="70" t="s">
        <v>93</v>
      </c>
      <c r="H86" s="231" t="str">
        <f t="shared" si="30"/>
        <v>-</v>
      </c>
      <c r="I86" s="38" t="e">
        <f t="shared" si="23"/>
        <v>#VALUE!</v>
      </c>
      <c r="J86" s="57" t="str">
        <f t="shared" si="31"/>
        <v>-</v>
      </c>
      <c r="K86" s="58" t="e">
        <f t="shared" si="24"/>
        <v>#REF!</v>
      </c>
      <c r="L86" s="91" t="e">
        <f t="shared" si="25"/>
        <v>#VALUE!</v>
      </c>
      <c r="M86" s="69">
        <v>20.6</v>
      </c>
      <c r="N86" s="79">
        <v>49</v>
      </c>
      <c r="O86" s="79">
        <v>1010.2</v>
      </c>
      <c r="P86" s="70">
        <v>-5.5560000000000003E-9</v>
      </c>
      <c r="Q86" s="79">
        <v>60</v>
      </c>
      <c r="R86" s="92">
        <v>42964</v>
      </c>
      <c r="S86" s="231">
        <f t="shared" si="26"/>
        <v>-5.5615559999999995E-9</v>
      </c>
      <c r="T86" s="38">
        <f t="shared" si="27"/>
        <v>0.99826233797380559</v>
      </c>
      <c r="U86" s="74">
        <f t="shared" si="33"/>
        <v>-8.405149911314019E-11</v>
      </c>
      <c r="V86" s="11">
        <f t="shared" si="32"/>
        <v>-8.405149911314019E-11</v>
      </c>
      <c r="W86" s="58" t="e">
        <f t="shared" si="34"/>
        <v>#REF!</v>
      </c>
      <c r="X86" s="63">
        <f t="shared" si="35"/>
        <v>7.6251519995440779E-3</v>
      </c>
      <c r="Y86" s="71">
        <f t="shared" si="36"/>
        <v>0.76251519995440775</v>
      </c>
      <c r="Z86" s="58">
        <f t="shared" si="37"/>
        <v>9.1501823994528924E-3</v>
      </c>
      <c r="AA86" s="58">
        <f t="shared" si="38"/>
        <v>9.2264339194483343E-3</v>
      </c>
      <c r="AB86" s="47">
        <f t="shared" si="39"/>
        <v>9.5314399994300969E-3</v>
      </c>
    </row>
    <row r="87" spans="1:28" x14ac:dyDescent="0.25">
      <c r="A87" s="2626"/>
      <c r="B87" s="70" t="s">
        <v>93</v>
      </c>
      <c r="C87" s="70" t="s">
        <v>93</v>
      </c>
      <c r="D87" s="70" t="s">
        <v>93</v>
      </c>
      <c r="E87" s="70" t="s">
        <v>93</v>
      </c>
      <c r="F87" s="70" t="s">
        <v>93</v>
      </c>
      <c r="G87" s="70" t="s">
        <v>93</v>
      </c>
      <c r="H87" s="231" t="str">
        <f t="shared" si="30"/>
        <v>-</v>
      </c>
      <c r="I87" s="38" t="e">
        <f t="shared" si="23"/>
        <v>#VALUE!</v>
      </c>
      <c r="J87" s="57" t="str">
        <f t="shared" si="31"/>
        <v>-</v>
      </c>
      <c r="K87" s="58" t="e">
        <f t="shared" si="24"/>
        <v>#REF!</v>
      </c>
      <c r="L87" s="91" t="e">
        <f t="shared" si="25"/>
        <v>#VALUE!</v>
      </c>
      <c r="M87" s="69">
        <v>20.6</v>
      </c>
      <c r="N87" s="79">
        <v>49</v>
      </c>
      <c r="O87" s="79">
        <v>1010.2</v>
      </c>
      <c r="P87" s="70">
        <v>-5.5519999999999999E-9</v>
      </c>
      <c r="Q87" s="79">
        <v>60</v>
      </c>
      <c r="R87" s="92">
        <v>42964</v>
      </c>
      <c r="S87" s="231">
        <f t="shared" si="26"/>
        <v>-5.5575519999999995E-9</v>
      </c>
      <c r="T87" s="38">
        <f t="shared" si="27"/>
        <v>0.99826233797380559</v>
      </c>
      <c r="U87" s="74">
        <f t="shared" si="33"/>
        <v>-8.3990986874757779E-11</v>
      </c>
      <c r="V87" s="11">
        <f t="shared" si="32"/>
        <v>-8.3990986874757779E-11</v>
      </c>
      <c r="W87" s="58" t="e">
        <f t="shared" si="34"/>
        <v>#REF!</v>
      </c>
      <c r="X87" s="63">
        <f t="shared" si="35"/>
        <v>7.6196623292780251E-3</v>
      </c>
      <c r="Y87" s="71">
        <f t="shared" si="36"/>
        <v>0.76196623292780252</v>
      </c>
      <c r="Z87" s="58">
        <f t="shared" si="37"/>
        <v>9.1435947951336305E-3</v>
      </c>
      <c r="AA87" s="58">
        <f t="shared" si="38"/>
        <v>9.2197914184264096E-3</v>
      </c>
      <c r="AB87" s="47">
        <f t="shared" si="39"/>
        <v>9.5245779115975312E-3</v>
      </c>
    </row>
    <row r="88" spans="1:28" x14ac:dyDescent="0.25">
      <c r="A88" s="2626"/>
      <c r="B88" s="70" t="s">
        <v>93</v>
      </c>
      <c r="C88" s="70" t="s">
        <v>93</v>
      </c>
      <c r="D88" s="70" t="s">
        <v>93</v>
      </c>
      <c r="E88" s="70" t="s">
        <v>93</v>
      </c>
      <c r="F88" s="70" t="s">
        <v>93</v>
      </c>
      <c r="G88" s="70" t="s">
        <v>93</v>
      </c>
      <c r="H88" s="231" t="str">
        <f t="shared" si="30"/>
        <v>-</v>
      </c>
      <c r="I88" s="38" t="e">
        <f t="shared" si="23"/>
        <v>#VALUE!</v>
      </c>
      <c r="J88" s="57" t="str">
        <f t="shared" si="31"/>
        <v>-</v>
      </c>
      <c r="K88" s="58" t="e">
        <f t="shared" si="24"/>
        <v>#REF!</v>
      </c>
      <c r="L88" s="91" t="e">
        <f t="shared" si="25"/>
        <v>#VALUE!</v>
      </c>
      <c r="M88" s="69">
        <v>20.6</v>
      </c>
      <c r="N88" s="79">
        <v>49</v>
      </c>
      <c r="O88" s="79">
        <v>1010.2</v>
      </c>
      <c r="P88" s="70">
        <v>-5.547E-9</v>
      </c>
      <c r="Q88" s="79">
        <v>60</v>
      </c>
      <c r="R88" s="92">
        <v>42964</v>
      </c>
      <c r="S88" s="231">
        <f t="shared" si="26"/>
        <v>-5.5525469999999997E-9</v>
      </c>
      <c r="T88" s="38">
        <f t="shared" si="27"/>
        <v>0.99826233797380559</v>
      </c>
      <c r="U88" s="74">
        <f t="shared" si="33"/>
        <v>-8.3915346576779801E-11</v>
      </c>
      <c r="V88" s="11">
        <f t="shared" si="32"/>
        <v>-8.3915346576779801E-11</v>
      </c>
      <c r="W88" s="58" t="e">
        <f t="shared" si="34"/>
        <v>#REF!</v>
      </c>
      <c r="X88" s="63">
        <f t="shared" si="35"/>
        <v>7.6128002414454629E-3</v>
      </c>
      <c r="Y88" s="71">
        <f t="shared" si="36"/>
        <v>0.76128002414454632</v>
      </c>
      <c r="Z88" s="58">
        <f t="shared" si="37"/>
        <v>9.1353602897345544E-3</v>
      </c>
      <c r="AA88" s="58">
        <f t="shared" si="38"/>
        <v>9.2114882921490102E-3</v>
      </c>
      <c r="AB88" s="47">
        <f t="shared" si="39"/>
        <v>9.5160003018068279E-3</v>
      </c>
    </row>
    <row r="89" spans="1:28" x14ac:dyDescent="0.25">
      <c r="A89" s="2626"/>
      <c r="B89" s="70" t="s">
        <v>93</v>
      </c>
      <c r="C89" s="70" t="s">
        <v>93</v>
      </c>
      <c r="D89" s="70" t="s">
        <v>93</v>
      </c>
      <c r="E89" s="70" t="s">
        <v>93</v>
      </c>
      <c r="F89" s="70" t="s">
        <v>93</v>
      </c>
      <c r="G89" s="70" t="s">
        <v>93</v>
      </c>
      <c r="H89" s="231" t="str">
        <f t="shared" si="30"/>
        <v>-</v>
      </c>
      <c r="I89" s="38" t="e">
        <f t="shared" si="23"/>
        <v>#VALUE!</v>
      </c>
      <c r="J89" s="57" t="str">
        <f t="shared" si="31"/>
        <v>-</v>
      </c>
      <c r="K89" s="58" t="e">
        <f t="shared" si="24"/>
        <v>#REF!</v>
      </c>
      <c r="L89" s="91" t="e">
        <f t="shared" si="25"/>
        <v>#VALUE!</v>
      </c>
      <c r="M89" s="69">
        <v>20.6</v>
      </c>
      <c r="N89" s="79">
        <v>49</v>
      </c>
      <c r="O89" s="79">
        <v>1010.2</v>
      </c>
      <c r="P89" s="70">
        <v>-5.5359999999999999E-9</v>
      </c>
      <c r="Q89" s="79">
        <v>60</v>
      </c>
      <c r="R89" s="92">
        <v>42964</v>
      </c>
      <c r="S89" s="231">
        <f t="shared" si="26"/>
        <v>-5.5415359999999994E-9</v>
      </c>
      <c r="T89" s="38">
        <f t="shared" si="27"/>
        <v>0.99826233797380559</v>
      </c>
      <c r="U89" s="74">
        <f t="shared" si="33"/>
        <v>-8.3748937921228226E-11</v>
      </c>
      <c r="V89" s="11">
        <f t="shared" si="32"/>
        <v>-8.3748937921228226E-11</v>
      </c>
      <c r="W89" s="58" t="e">
        <f t="shared" si="34"/>
        <v>#REF!</v>
      </c>
      <c r="X89" s="63">
        <f t="shared" si="35"/>
        <v>7.5977036482138246E-3</v>
      </c>
      <c r="Y89" s="71">
        <f t="shared" si="36"/>
        <v>0.75977036482138249</v>
      </c>
      <c r="Z89" s="58">
        <f t="shared" si="37"/>
        <v>9.1172443778565898E-3</v>
      </c>
      <c r="AA89" s="58">
        <f t="shared" si="38"/>
        <v>9.1932214143387279E-3</v>
      </c>
      <c r="AB89" s="47">
        <f t="shared" si="39"/>
        <v>9.4971295602672805E-3</v>
      </c>
    </row>
    <row r="90" spans="1:28" x14ac:dyDescent="0.25">
      <c r="A90" s="2626"/>
      <c r="B90" s="70" t="s">
        <v>93</v>
      </c>
      <c r="C90" s="70" t="s">
        <v>93</v>
      </c>
      <c r="D90" s="70" t="s">
        <v>93</v>
      </c>
      <c r="E90" s="70" t="s">
        <v>93</v>
      </c>
      <c r="F90" s="70" t="s">
        <v>93</v>
      </c>
      <c r="G90" s="70" t="s">
        <v>93</v>
      </c>
      <c r="H90" s="231" t="str">
        <f t="shared" si="30"/>
        <v>-</v>
      </c>
      <c r="I90" s="38" t="e">
        <f t="shared" si="23"/>
        <v>#VALUE!</v>
      </c>
      <c r="J90" s="57" t="str">
        <f t="shared" si="31"/>
        <v>-</v>
      </c>
      <c r="K90" s="58" t="e">
        <f t="shared" si="24"/>
        <v>#REF!</v>
      </c>
      <c r="L90" s="91" t="e">
        <f t="shared" si="25"/>
        <v>#VALUE!</v>
      </c>
      <c r="M90" s="69">
        <v>20.7</v>
      </c>
      <c r="N90" s="79">
        <v>50</v>
      </c>
      <c r="O90" s="79">
        <v>1010.2</v>
      </c>
      <c r="P90" s="70">
        <v>-5.5210000000000003E-9</v>
      </c>
      <c r="Q90" s="79">
        <v>60</v>
      </c>
      <c r="R90" s="92">
        <v>42964</v>
      </c>
      <c r="S90" s="231">
        <f t="shared" si="26"/>
        <v>-5.526521E-9</v>
      </c>
      <c r="T90" s="38">
        <f t="shared" si="27"/>
        <v>0.99860211412696198</v>
      </c>
      <c r="U90" s="74">
        <f t="shared" si="33"/>
        <v>-8.3550445215526836E-11</v>
      </c>
      <c r="V90" s="11">
        <f t="shared" si="32"/>
        <v>-8.3550445215526836E-11</v>
      </c>
      <c r="W90" s="58" t="e">
        <f t="shared" si="34"/>
        <v>#REF!</v>
      </c>
      <c r="X90" s="63">
        <f t="shared" si="35"/>
        <v>7.5796963899525949E-3</v>
      </c>
      <c r="Y90" s="71">
        <f t="shared" si="36"/>
        <v>0.75796963899525949</v>
      </c>
      <c r="Z90" s="58">
        <f t="shared" si="37"/>
        <v>9.0956356679431135E-3</v>
      </c>
      <c r="AA90" s="58">
        <f t="shared" si="38"/>
        <v>9.1714326318426392E-3</v>
      </c>
      <c r="AB90" s="47">
        <f t="shared" si="39"/>
        <v>9.4746204874407436E-3</v>
      </c>
    </row>
    <row r="91" spans="1:28" ht="15.75" thickBot="1" x14ac:dyDescent="0.3">
      <c r="A91" s="2627"/>
      <c r="B91" s="58" t="s">
        <v>93</v>
      </c>
      <c r="C91" s="58" t="s">
        <v>93</v>
      </c>
      <c r="D91" s="58" t="s">
        <v>93</v>
      </c>
      <c r="E91" s="58" t="s">
        <v>93</v>
      </c>
      <c r="F91" s="58" t="s">
        <v>93</v>
      </c>
      <c r="G91" s="58" t="s">
        <v>93</v>
      </c>
      <c r="H91" s="231" t="str">
        <f t="shared" si="30"/>
        <v>-</v>
      </c>
      <c r="I91" s="38" t="e">
        <f t="shared" si="23"/>
        <v>#VALUE!</v>
      </c>
      <c r="J91" s="57" t="str">
        <f t="shared" si="31"/>
        <v>-</v>
      </c>
      <c r="K91" s="58" t="e">
        <f t="shared" si="24"/>
        <v>#REF!</v>
      </c>
      <c r="L91" s="91" t="e">
        <f t="shared" si="25"/>
        <v>#VALUE!</v>
      </c>
      <c r="M91" s="69">
        <v>20.7</v>
      </c>
      <c r="N91" s="79">
        <v>49</v>
      </c>
      <c r="O91" s="79">
        <v>1010.2</v>
      </c>
      <c r="P91" s="70">
        <v>-5.5249999999999998E-9</v>
      </c>
      <c r="Q91" s="79">
        <v>60</v>
      </c>
      <c r="R91" s="92">
        <v>42964</v>
      </c>
      <c r="S91" s="231">
        <f t="shared" si="26"/>
        <v>-5.5305249999999992E-9</v>
      </c>
      <c r="T91" s="38">
        <f t="shared" si="27"/>
        <v>0.99860211412696198</v>
      </c>
      <c r="U91" s="74">
        <f>S91/Q91*T91*EXP(-LN(2)/10990*($E$60-R91))</f>
        <v>-8.3610978050314377E-11</v>
      </c>
      <c r="V91" s="11">
        <f t="shared" si="32"/>
        <v>-8.3610978050314377E-11</v>
      </c>
      <c r="W91" s="11" t="e">
        <f t="shared" si="34"/>
        <v>#REF!</v>
      </c>
      <c r="X91" s="65">
        <f t="shared" si="35"/>
        <v>7.5851879287245202E-3</v>
      </c>
      <c r="Y91" s="71">
        <f>X91*$B$51</f>
        <v>0.75851879287245205</v>
      </c>
      <c r="Z91" s="58">
        <f>X91*$E$43</f>
        <v>9.1022255144694239E-3</v>
      </c>
      <c r="AA91" s="58">
        <f>X91*$E$45</f>
        <v>9.1780773937566694E-3</v>
      </c>
      <c r="AB91" s="47">
        <f>X91*$E$44</f>
        <v>9.4814849109056496E-3</v>
      </c>
    </row>
    <row r="92" spans="1:28" x14ac:dyDescent="0.25">
      <c r="A92" s="263" t="s">
        <v>61</v>
      </c>
      <c r="B92" s="39" t="e">
        <f>AVERAGE(B82:B91)</f>
        <v>#DIV/0!</v>
      </c>
      <c r="C92" s="242" t="e">
        <f>AVERAGE(C82:C91)</f>
        <v>#DIV/0!</v>
      </c>
      <c r="D92" s="239" t="e">
        <f>AVERAGE(D82:D91)</f>
        <v>#DIV/0!</v>
      </c>
      <c r="E92" s="11" t="e">
        <f>AVERAGE(E82:E91)</f>
        <v>#DIV/0!</v>
      </c>
      <c r="F92" s="236" t="e">
        <f>AVERAGE(F82:F91)</f>
        <v>#DIV/0!</v>
      </c>
      <c r="G92" s="90" t="s">
        <v>93</v>
      </c>
      <c r="H92" s="11" t="str">
        <f>IF(AND(H82="-",H83="-",H84="-",H85="-",H86="-",H87="-",H88="-",H89="-",H90="-",H91="-"),"-",AVERAGE(H82:H91))</f>
        <v>-</v>
      </c>
      <c r="I92" s="38" t="e">
        <f>AVERAGE(I82:I91)</f>
        <v>#VALUE!</v>
      </c>
      <c r="J92" s="75" t="str">
        <f>IF(AND(H82="-",H83="-",H84="-",H85="-",H86="-",H87="-",H88="-",H89="-",H90="-",H91="-"),"-",AVERAGE(J82:J91))</f>
        <v>-</v>
      </c>
      <c r="K92" s="73" t="e">
        <f t="shared" ref="K92:Q92" si="40">AVERAGE(K82:K91)</f>
        <v>#REF!</v>
      </c>
      <c r="L92" s="77" t="e">
        <f t="shared" si="40"/>
        <v>#VALUE!</v>
      </c>
      <c r="M92" s="243">
        <f t="shared" si="40"/>
        <v>20.629999999999995</v>
      </c>
      <c r="N92" s="232">
        <f t="shared" si="40"/>
        <v>49.1</v>
      </c>
      <c r="O92" s="232">
        <f t="shared" si="40"/>
        <v>1010.2</v>
      </c>
      <c r="P92" s="58">
        <f t="shared" si="40"/>
        <v>-5.5424999999999998E-9</v>
      </c>
      <c r="Q92" s="232">
        <f t="shared" si="40"/>
        <v>60</v>
      </c>
      <c r="R92" s="90" t="s">
        <v>93</v>
      </c>
      <c r="S92" s="11">
        <f t="shared" ref="S92:T92" si="41">AVERAGE(S82:S91)</f>
        <v>-5.5480424999999998E-9</v>
      </c>
      <c r="T92" s="38">
        <f t="shared" si="41"/>
        <v>0.99836427081975254</v>
      </c>
      <c r="U92" s="63">
        <f>AVERAGE(U82:U91)</f>
        <v>-8.3855814727283389E-11</v>
      </c>
      <c r="V92" s="58">
        <f t="shared" ref="V92:AB92" si="42">AVERAGE(V82:V91)</f>
        <v>-8.3855814727283389E-11</v>
      </c>
      <c r="W92" s="73" t="e">
        <f t="shared" si="42"/>
        <v>#REF!</v>
      </c>
      <c r="X92" s="75">
        <f t="shared" si="42"/>
        <v>7.6073995120591502E-3</v>
      </c>
      <c r="Y92" s="73">
        <f t="shared" si="42"/>
        <v>0.76073995120591487</v>
      </c>
      <c r="Z92" s="73">
        <f t="shared" si="42"/>
        <v>9.1288794144709778E-3</v>
      </c>
      <c r="AA92" s="73">
        <f t="shared" si="42"/>
        <v>9.2049534095915708E-3</v>
      </c>
      <c r="AB92" s="72">
        <f t="shared" si="42"/>
        <v>9.5092493900739376E-3</v>
      </c>
    </row>
    <row r="93" spans="1:28" x14ac:dyDescent="0.25">
      <c r="A93" s="263" t="s">
        <v>62</v>
      </c>
      <c r="B93" s="39">
        <f>STDEVA(B82:B91)</f>
        <v>0</v>
      </c>
      <c r="C93" s="41">
        <f>STDEVA(C82:C91)</f>
        <v>0</v>
      </c>
      <c r="D93" s="42">
        <f>STDEVA(D82:D91)</f>
        <v>0</v>
      </c>
      <c r="E93" s="11">
        <f>STDEVA(E82:E91)</f>
        <v>0</v>
      </c>
      <c r="F93" s="94">
        <f>STDEVA(F82:F91)</f>
        <v>0</v>
      </c>
      <c r="G93" s="40" t="s">
        <v>93</v>
      </c>
      <c r="H93" s="11" t="str">
        <f>IF(H92="-","-",STDEVA(H82:H91))</f>
        <v>-</v>
      </c>
      <c r="I93" s="40" t="e">
        <f t="shared" ref="I93" si="43">STDEVA(I82:I91)</f>
        <v>#VALUE!</v>
      </c>
      <c r="J93" s="63" t="str">
        <f>IF(J92="-","-",STDEVA(J82:J91))</f>
        <v>-</v>
      </c>
      <c r="K93" s="58" t="e">
        <f t="shared" ref="K93:Q93" si="44">STDEVA(K82:K91)</f>
        <v>#REF!</v>
      </c>
      <c r="L93" s="74" t="e">
        <f t="shared" si="44"/>
        <v>#VALUE!</v>
      </c>
      <c r="M93" s="82">
        <f t="shared" si="44"/>
        <v>4.8304589153963767E-2</v>
      </c>
      <c r="N93" s="38">
        <f t="shared" si="44"/>
        <v>0.31622776601683794</v>
      </c>
      <c r="O93" s="38">
        <f t="shared" si="44"/>
        <v>0</v>
      </c>
      <c r="P93" s="58">
        <f t="shared" si="44"/>
        <v>1.150120766605744E-11</v>
      </c>
      <c r="Q93" s="38">
        <f t="shared" si="44"/>
        <v>0</v>
      </c>
      <c r="R93" s="40" t="s">
        <v>93</v>
      </c>
      <c r="S93" s="11">
        <f t="shared" ref="S93:AB93" si="45">STDEVA(S82:S91)</f>
        <v>1.1512708873723447E-11</v>
      </c>
      <c r="T93" s="40">
        <f t="shared" si="45"/>
        <v>1.6412747482534053E-4</v>
      </c>
      <c r="U93" s="63">
        <f t="shared" si="45"/>
        <v>1.6511180341675592E-13</v>
      </c>
      <c r="V93" s="58">
        <f t="shared" si="45"/>
        <v>1.6511180341675592E-13</v>
      </c>
      <c r="W93" s="58" t="e">
        <f t="shared" si="45"/>
        <v>#REF!</v>
      </c>
      <c r="X93" s="63">
        <f t="shared" si="45"/>
        <v>1.4978942805967992E-5</v>
      </c>
      <c r="Y93" s="58">
        <f t="shared" si="45"/>
        <v>1.4978942805967896E-3</v>
      </c>
      <c r="Z93" s="58">
        <f t="shared" si="45"/>
        <v>1.7974731367161448E-5</v>
      </c>
      <c r="AA93" s="58">
        <f t="shared" si="45"/>
        <v>1.8124520795221335E-5</v>
      </c>
      <c r="AB93" s="47">
        <f t="shared" si="45"/>
        <v>1.8723678507459944E-5</v>
      </c>
    </row>
    <row r="94" spans="1:28" ht="15.75" thickBot="1" x14ac:dyDescent="0.3">
      <c r="A94" s="264" t="s">
        <v>63</v>
      </c>
      <c r="B94" s="44" t="e">
        <f>B93/B92*100</f>
        <v>#DIV/0!</v>
      </c>
      <c r="C94" s="45" t="e">
        <f>C93/C92*100</f>
        <v>#DIV/0!</v>
      </c>
      <c r="D94" s="46" t="e">
        <f>D93/D92*100</f>
        <v>#DIV/0!</v>
      </c>
      <c r="E94" s="43" t="e">
        <f>E93/E92*100</f>
        <v>#DIV/0!</v>
      </c>
      <c r="F94" s="95" t="e">
        <f>F93/F92*100</f>
        <v>#DIV/0!</v>
      </c>
      <c r="G94" s="43" t="s">
        <v>93</v>
      </c>
      <c r="H94" s="89" t="str">
        <f>IF(H92="-","-",H93/H92*100)</f>
        <v>-</v>
      </c>
      <c r="I94" s="43" t="e">
        <f t="shared" ref="I94" si="46">I93/I92*100</f>
        <v>#VALUE!</v>
      </c>
      <c r="J94" s="64" t="str">
        <f>IF(J92="-","-",J93/J92*100)</f>
        <v>-</v>
      </c>
      <c r="K94" s="19" t="e">
        <f t="shared" ref="K94:Q94" si="47">K93/K92*100</f>
        <v>#REF!</v>
      </c>
      <c r="L94" s="78" t="e">
        <f t="shared" si="47"/>
        <v>#VALUE!</v>
      </c>
      <c r="M94" s="83">
        <f t="shared" si="47"/>
        <v>0.23414730564209296</v>
      </c>
      <c r="N94" s="81">
        <f t="shared" si="47"/>
        <v>0.64404840329294899</v>
      </c>
      <c r="O94" s="81">
        <f t="shared" si="47"/>
        <v>0</v>
      </c>
      <c r="P94" s="19">
        <f t="shared" si="47"/>
        <v>-0.20750938504388705</v>
      </c>
      <c r="Q94" s="81">
        <f t="shared" si="47"/>
        <v>0</v>
      </c>
      <c r="R94" s="43" t="s">
        <v>93</v>
      </c>
      <c r="S94" s="89">
        <f t="shared" ref="S94:AB94" si="48">S93/S92*100</f>
        <v>-0.20750938504388614</v>
      </c>
      <c r="T94" s="43">
        <f t="shared" si="48"/>
        <v>1.6439638278579038E-2</v>
      </c>
      <c r="U94" s="64">
        <f t="shared" si="48"/>
        <v>-0.1968996472739952</v>
      </c>
      <c r="V94" s="19">
        <f t="shared" si="48"/>
        <v>-0.1968996472739952</v>
      </c>
      <c r="W94" s="19" t="e">
        <f t="shared" si="48"/>
        <v>#REF!</v>
      </c>
      <c r="X94" s="64">
        <f t="shared" si="48"/>
        <v>0.19689964727399381</v>
      </c>
      <c r="Y94" s="19">
        <f t="shared" si="48"/>
        <v>0.19689964727399256</v>
      </c>
      <c r="Z94" s="19">
        <f t="shared" si="48"/>
        <v>0.19689964727399228</v>
      </c>
      <c r="AA94" s="19">
        <f t="shared" si="48"/>
        <v>0.1968996472739945</v>
      </c>
      <c r="AB94" s="17">
        <f t="shared" si="48"/>
        <v>0.19689964727399334</v>
      </c>
    </row>
  </sheetData>
  <sheetProtection password="D8A8"/>
  <mergeCells count="36">
    <mergeCell ref="AH69:AH78"/>
    <mergeCell ref="A82:A91"/>
    <mergeCell ref="AD74:AE74"/>
    <mergeCell ref="AD75:AE75"/>
    <mergeCell ref="AD76:AE76"/>
    <mergeCell ref="AD77:AE77"/>
    <mergeCell ref="AD78:AE78"/>
    <mergeCell ref="A44:B45"/>
    <mergeCell ref="A49:C49"/>
    <mergeCell ref="M67:AB67"/>
    <mergeCell ref="AD68:AE68"/>
    <mergeCell ref="A69:A78"/>
    <mergeCell ref="AD69:AE69"/>
    <mergeCell ref="AD70:AE70"/>
    <mergeCell ref="AD71:AE71"/>
    <mergeCell ref="AD72:AE72"/>
    <mergeCell ref="AD73:AE73"/>
    <mergeCell ref="B67:L67"/>
    <mergeCell ref="A23:C24"/>
    <mergeCell ref="E23:F24"/>
    <mergeCell ref="A40:E40"/>
    <mergeCell ref="A41:B41"/>
    <mergeCell ref="A42:B43"/>
    <mergeCell ref="B25:C25"/>
    <mergeCell ref="A32:F33"/>
    <mergeCell ref="H32:I33"/>
    <mergeCell ref="A34:A35"/>
    <mergeCell ref="B34:B35"/>
    <mergeCell ref="C34:C35"/>
    <mergeCell ref="D34:D35"/>
    <mergeCell ref="E34:F34"/>
    <mergeCell ref="A1:B4"/>
    <mergeCell ref="C1:F4"/>
    <mergeCell ref="A10:D10"/>
    <mergeCell ref="A14:B15"/>
    <mergeCell ref="M7:AB8"/>
  </mergeCells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C93"/>
  <sheetViews>
    <sheetView topLeftCell="G55" zoomScale="70" zoomScaleNormal="70" workbookViewId="0">
      <selection activeCell="O35" sqref="O35"/>
    </sheetView>
  </sheetViews>
  <sheetFormatPr baseColWidth="10" defaultColWidth="11.42578125" defaultRowHeight="15" x14ac:dyDescent="0.25"/>
  <cols>
    <col min="1" max="1" width="11.42578125" style="56"/>
    <col min="2" max="3" width="12" style="56" customWidth="1"/>
    <col min="4" max="4" width="13" style="56" customWidth="1"/>
    <col min="5" max="5" width="14.28515625" style="56" customWidth="1"/>
    <col min="6" max="6" width="11.7109375" style="56" customWidth="1"/>
    <col min="7" max="7" width="13.5703125" style="56" customWidth="1"/>
    <col min="8" max="8" width="14.28515625" style="56" customWidth="1"/>
    <col min="9" max="9" width="12" style="56" customWidth="1"/>
    <col min="10" max="12" width="14.85546875" style="56" customWidth="1"/>
    <col min="13" max="13" width="13.28515625" style="56" customWidth="1"/>
    <col min="14" max="15" width="11.42578125" style="56"/>
    <col min="16" max="16" width="14.28515625" style="56" customWidth="1"/>
    <col min="17" max="17" width="9" style="56" customWidth="1"/>
    <col min="18" max="18" width="13.42578125" style="56" customWidth="1"/>
    <col min="19" max="19" width="14.42578125" style="56" customWidth="1"/>
    <col min="20" max="20" width="11.42578125" style="56"/>
    <col min="21" max="21" width="14.28515625" style="56" customWidth="1"/>
    <col min="22" max="23" width="13.85546875" style="56" customWidth="1"/>
    <col min="24" max="16384" width="11.42578125" style="56"/>
  </cols>
  <sheetData>
    <row r="1" spans="1:29" ht="15" customHeight="1" x14ac:dyDescent="0.25">
      <c r="A1" s="2645"/>
      <c r="B1" s="2646"/>
      <c r="C1" s="2253" t="s">
        <v>239</v>
      </c>
      <c r="D1" s="2651"/>
      <c r="E1" s="2651"/>
      <c r="F1" s="2646"/>
      <c r="G1" s="48" t="s">
        <v>68</v>
      </c>
      <c r="H1" s="50" t="s">
        <v>240</v>
      </c>
      <c r="K1"/>
      <c r="L1"/>
      <c r="M1"/>
    </row>
    <row r="2" spans="1:29" ht="15" customHeight="1" x14ac:dyDescent="0.25">
      <c r="A2" s="2647"/>
      <c r="B2" s="2648"/>
      <c r="C2" s="2647"/>
      <c r="D2" s="2652"/>
      <c r="E2" s="2652"/>
      <c r="F2" s="2648"/>
      <c r="G2" s="51" t="s">
        <v>69</v>
      </c>
      <c r="H2" s="52" t="s">
        <v>168</v>
      </c>
      <c r="K2"/>
      <c r="L2"/>
      <c r="M2"/>
    </row>
    <row r="3" spans="1:29" ht="15" customHeight="1" x14ac:dyDescent="0.25">
      <c r="A3" s="2647"/>
      <c r="B3" s="2648"/>
      <c r="C3" s="2647"/>
      <c r="D3" s="2652"/>
      <c r="E3" s="2652"/>
      <c r="F3" s="2648"/>
      <c r="G3" s="51" t="s">
        <v>70</v>
      </c>
      <c r="H3" s="52" t="s">
        <v>72</v>
      </c>
      <c r="K3"/>
      <c r="L3"/>
      <c r="M3"/>
    </row>
    <row r="4" spans="1:29" ht="15" customHeight="1" x14ac:dyDescent="0.25">
      <c r="A4" s="2649"/>
      <c r="B4" s="2650"/>
      <c r="C4" s="2649"/>
      <c r="D4" s="2653"/>
      <c r="E4" s="2653"/>
      <c r="F4" s="2650"/>
      <c r="G4" s="53" t="s">
        <v>71</v>
      </c>
      <c r="H4" s="55" t="s">
        <v>73</v>
      </c>
      <c r="K4"/>
      <c r="L4"/>
      <c r="M4"/>
    </row>
    <row r="6" spans="1:29" ht="15.75" thickBot="1" x14ac:dyDescent="0.3"/>
    <row r="7" spans="1:29" ht="15" customHeight="1" x14ac:dyDescent="0.25">
      <c r="K7" s="67"/>
      <c r="M7" s="2660" t="s">
        <v>659</v>
      </c>
      <c r="N7" s="2661"/>
      <c r="O7" s="2661"/>
      <c r="P7" s="2661"/>
      <c r="Q7" s="2661"/>
      <c r="R7" s="2661"/>
      <c r="S7" s="2661"/>
      <c r="T7" s="2661"/>
      <c r="U7" s="2661"/>
      <c r="V7" s="2661"/>
      <c r="W7" s="2661"/>
      <c r="X7" s="2661"/>
      <c r="Y7" s="2661"/>
      <c r="Z7" s="2661"/>
      <c r="AA7" s="2661"/>
      <c r="AB7" s="2661"/>
      <c r="AC7" s="2662"/>
    </row>
    <row r="8" spans="1:29" ht="15.75" customHeight="1" thickBot="1" x14ac:dyDescent="0.3">
      <c r="K8" s="67"/>
      <c r="M8" s="2663"/>
      <c r="N8" s="2664"/>
      <c r="O8" s="2664"/>
      <c r="P8" s="2664"/>
      <c r="Q8" s="2664"/>
      <c r="R8" s="2664"/>
      <c r="S8" s="2664"/>
      <c r="T8" s="2664"/>
      <c r="U8" s="2664"/>
      <c r="V8" s="2664"/>
      <c r="W8" s="2664"/>
      <c r="X8" s="2664"/>
      <c r="Y8" s="2664"/>
      <c r="Z8" s="2664"/>
      <c r="AA8" s="2664"/>
      <c r="AB8" s="2664"/>
      <c r="AC8" s="2665"/>
    </row>
    <row r="9" spans="1:29" ht="15.75" customHeight="1" thickBot="1" x14ac:dyDescent="0.3">
      <c r="A9" s="67"/>
      <c r="B9" s="67"/>
      <c r="C9" s="67"/>
      <c r="D9" s="67"/>
      <c r="E9" s="67"/>
      <c r="F9" s="67"/>
      <c r="K9" s="67"/>
    </row>
    <row r="10" spans="1:29" ht="15.75" thickBot="1" x14ac:dyDescent="0.3">
      <c r="A10" s="2294" t="s">
        <v>0</v>
      </c>
      <c r="B10" s="2654"/>
      <c r="C10" s="2654"/>
      <c r="D10" s="2655"/>
    </row>
    <row r="11" spans="1:29" x14ac:dyDescent="0.25">
      <c r="A11" s="1" t="s">
        <v>2</v>
      </c>
      <c r="B11" s="2" t="s">
        <v>3</v>
      </c>
      <c r="C11" s="3" t="s">
        <v>4</v>
      </c>
      <c r="D11" s="2" t="s">
        <v>5</v>
      </c>
    </row>
    <row r="12" spans="1:29" ht="15.75" thickBot="1" x14ac:dyDescent="0.3">
      <c r="A12" s="5" t="s">
        <v>9</v>
      </c>
      <c r="B12" s="6">
        <v>42576</v>
      </c>
      <c r="C12" s="269">
        <v>573.5</v>
      </c>
      <c r="D12" s="7">
        <f>573500000000/37000000000</f>
        <v>15.5</v>
      </c>
    </row>
    <row r="13" spans="1:29" ht="15.75" thickBot="1" x14ac:dyDescent="0.3"/>
    <row r="14" spans="1:29" ht="15" customHeight="1" x14ac:dyDescent="0.25">
      <c r="A14" s="2656" t="s">
        <v>1</v>
      </c>
      <c r="B14" s="2657"/>
    </row>
    <row r="15" spans="1:29" ht="15.75" thickBot="1" x14ac:dyDescent="0.3">
      <c r="A15" s="2658"/>
      <c r="B15" s="2659"/>
    </row>
    <row r="16" spans="1:29" x14ac:dyDescent="0.25">
      <c r="A16" s="2" t="s">
        <v>10</v>
      </c>
      <c r="B16" s="8">
        <v>7</v>
      </c>
    </row>
    <row r="17" spans="1:9" x14ac:dyDescent="0.25">
      <c r="A17" s="14" t="s">
        <v>14</v>
      </c>
      <c r="B17" s="15">
        <v>42</v>
      </c>
    </row>
    <row r="18" spans="1:9" x14ac:dyDescent="0.25">
      <c r="A18" s="14" t="s">
        <v>17</v>
      </c>
      <c r="B18" s="15">
        <v>14</v>
      </c>
    </row>
    <row r="19" spans="1:9" x14ac:dyDescent="0.25">
      <c r="A19" s="20" t="s">
        <v>18</v>
      </c>
      <c r="B19" s="21">
        <v>22</v>
      </c>
    </row>
    <row r="20" spans="1:9" ht="15.75" thickBot="1" x14ac:dyDescent="0.3">
      <c r="A20" s="22" t="s">
        <v>19</v>
      </c>
      <c r="B20" s="23">
        <v>17</v>
      </c>
    </row>
    <row r="22" spans="1:9" ht="15.75" thickBot="1" x14ac:dyDescent="0.3"/>
    <row r="23" spans="1:9" ht="15" customHeight="1" x14ac:dyDescent="0.25">
      <c r="A23" s="2239" t="s">
        <v>386</v>
      </c>
      <c r="B23" s="2240"/>
      <c r="C23" s="2241"/>
      <c r="E23" s="2239" t="s">
        <v>385</v>
      </c>
      <c r="F23" s="2241"/>
    </row>
    <row r="24" spans="1:9" ht="15.75" thickBot="1" x14ac:dyDescent="0.3">
      <c r="A24" s="2242"/>
      <c r="B24" s="2243"/>
      <c r="C24" s="2244"/>
      <c r="E24" s="2242"/>
      <c r="F24" s="2244"/>
    </row>
    <row r="25" spans="1:9" ht="15.75" thickBot="1" x14ac:dyDescent="0.3">
      <c r="A25" s="266" t="s">
        <v>349</v>
      </c>
      <c r="B25" s="2666">
        <v>42712</v>
      </c>
      <c r="C25" s="2667"/>
      <c r="E25" s="257">
        <f>'F-LSCD-002 (Dosimetría)'!F32</f>
        <v>22</v>
      </c>
      <c r="F25" s="258" t="str">
        <f>'F-LSCD-002 (Dosimetría)'!G32</f>
        <v>°C</v>
      </c>
    </row>
    <row r="26" spans="1:9" ht="15.75" thickBot="1" x14ac:dyDescent="0.3">
      <c r="A26" s="265" t="s">
        <v>118</v>
      </c>
      <c r="B26" s="256" t="s">
        <v>104</v>
      </c>
      <c r="C26" s="255" t="s">
        <v>310</v>
      </c>
      <c r="E26" s="5">
        <f>'F-LSCD-002 (Dosimetría)'!F33</f>
        <v>1013.25</v>
      </c>
      <c r="F26" s="18" t="str">
        <f>'F-LSCD-002 (Dosimetría)'!G33</f>
        <v>hPa</v>
      </c>
    </row>
    <row r="27" spans="1:9" x14ac:dyDescent="0.25">
      <c r="A27" s="274" t="e">
        <f>'F-LSCD-002 (Dosimetría)'!#REF!</f>
        <v>#REF!</v>
      </c>
      <c r="B27" s="277" t="e">
        <f>'F-LSCD-002 (Dosimetría)'!#REF!</f>
        <v>#REF!</v>
      </c>
      <c r="C27" s="253" t="e">
        <f>'F-LSCD-002 (Dosimetría)'!#REF!</f>
        <v>#REF!</v>
      </c>
    </row>
    <row r="28" spans="1:9" x14ac:dyDescent="0.25">
      <c r="A28" s="275">
        <f>'F-LSCD-002 (Dosimetría)'!B34</f>
        <v>25200</v>
      </c>
      <c r="B28" s="278" t="str">
        <f>'F-LSCD-002 (Dosimetría)'!C34</f>
        <v>Gy/C</v>
      </c>
      <c r="C28" s="272">
        <f>'F-LSCD-002 (Dosimetría)'!D34</f>
        <v>8.0000000000000002E-3</v>
      </c>
    </row>
    <row r="29" spans="1:9" ht="15.75" thickBot="1" x14ac:dyDescent="0.3">
      <c r="A29" s="276" t="e">
        <f>'F-LSCD-002 (Dosimetría)'!#REF!</f>
        <v>#REF!</v>
      </c>
      <c r="B29" s="86" t="e">
        <f>'F-LSCD-002 (Dosimetría)'!#REF!</f>
        <v>#REF!</v>
      </c>
      <c r="C29" s="252" t="e">
        <f>'F-LSCD-002 (Dosimetría)'!#REF!</f>
        <v>#REF!</v>
      </c>
    </row>
    <row r="31" spans="1:9" ht="15.75" thickBot="1" x14ac:dyDescent="0.3"/>
    <row r="32" spans="1:9" ht="15" customHeight="1" x14ac:dyDescent="0.25">
      <c r="A32" s="2239" t="s">
        <v>266</v>
      </c>
      <c r="B32" s="2240"/>
      <c r="C32" s="2240"/>
      <c r="D32" s="2240"/>
      <c r="E32" s="2240"/>
      <c r="F32" s="2241"/>
      <c r="H32" s="2239" t="s">
        <v>266</v>
      </c>
      <c r="I32" s="2241"/>
    </row>
    <row r="33" spans="1:9" ht="15.75" thickBot="1" x14ac:dyDescent="0.3">
      <c r="A33" s="2242"/>
      <c r="B33" s="2243"/>
      <c r="C33" s="2243"/>
      <c r="D33" s="2243"/>
      <c r="E33" s="2243"/>
      <c r="F33" s="2244"/>
      <c r="H33" s="2242"/>
      <c r="I33" s="2244"/>
    </row>
    <row r="34" spans="1:9" ht="33.75" customHeight="1" thickBot="1" x14ac:dyDescent="0.3">
      <c r="A34" s="2668" t="s">
        <v>265</v>
      </c>
      <c r="B34" s="2641" t="s">
        <v>6</v>
      </c>
      <c r="C34" s="2639" t="s">
        <v>270</v>
      </c>
      <c r="D34" s="2641" t="s">
        <v>310</v>
      </c>
      <c r="E34" s="2643" t="s">
        <v>271</v>
      </c>
      <c r="F34" s="2644"/>
      <c r="H34" s="259" t="s">
        <v>389</v>
      </c>
      <c r="I34" s="260">
        <f>'F-LSCD-002 (Dosimetría)'!H42</f>
        <v>9.9999999999999998E-13</v>
      </c>
    </row>
    <row r="35" spans="1:9" ht="15.75" thickBot="1" x14ac:dyDescent="0.3">
      <c r="A35" s="2669"/>
      <c r="B35" s="2642"/>
      <c r="C35" s="2640"/>
      <c r="D35" s="2642"/>
      <c r="E35" s="4" t="s">
        <v>272</v>
      </c>
      <c r="F35" s="267" t="s">
        <v>273</v>
      </c>
    </row>
    <row r="36" spans="1:9" ht="15" customHeight="1" x14ac:dyDescent="0.25">
      <c r="A36" s="10" t="s">
        <v>267</v>
      </c>
      <c r="B36" s="11" t="s">
        <v>268</v>
      </c>
      <c r="C36" s="111">
        <v>1.004</v>
      </c>
      <c r="D36" s="111">
        <v>2E-3</v>
      </c>
      <c r="E36" s="233">
        <v>-1.9999999999999999E-11</v>
      </c>
      <c r="F36" s="234">
        <v>-2.2900000000000001E-10</v>
      </c>
    </row>
    <row r="37" spans="1:9" ht="15.75" thickBot="1" x14ac:dyDescent="0.3">
      <c r="A37" s="16" t="s">
        <v>267</v>
      </c>
      <c r="B37" s="19" t="s">
        <v>269</v>
      </c>
      <c r="C37" s="230">
        <v>1.0009999999999999</v>
      </c>
      <c r="D37" s="230">
        <v>1E-3</v>
      </c>
      <c r="E37" s="235">
        <v>-1E-10</v>
      </c>
      <c r="F37" s="17">
        <v>-2.3000000000000001E-8</v>
      </c>
    </row>
    <row r="40" spans="1:9" x14ac:dyDescent="0.25">
      <c r="A40" s="2628" t="s">
        <v>110</v>
      </c>
      <c r="B40" s="2628"/>
      <c r="C40" s="2628"/>
      <c r="D40" s="2628"/>
      <c r="E40" s="2628"/>
    </row>
    <row r="41" spans="1:9" x14ac:dyDescent="0.25">
      <c r="A41" s="2637" t="s">
        <v>102</v>
      </c>
      <c r="B41" s="2638"/>
      <c r="C41" s="270" t="s">
        <v>103</v>
      </c>
      <c r="D41" s="270" t="s">
        <v>104</v>
      </c>
      <c r="E41" s="270" t="s">
        <v>105</v>
      </c>
    </row>
    <row r="42" spans="1:9" ht="18" x14ac:dyDescent="0.25">
      <c r="A42" s="2629" t="s">
        <v>98</v>
      </c>
      <c r="B42" s="2629"/>
      <c r="C42" s="71" t="s">
        <v>143</v>
      </c>
      <c r="D42" s="71" t="s">
        <v>108</v>
      </c>
      <c r="E42" s="102" t="str">
        <f>'F-LSCD-002 (Dosimetría)'!F77</f>
        <v>---</v>
      </c>
    </row>
    <row r="43" spans="1:9" ht="18" x14ac:dyDescent="0.25">
      <c r="A43" s="2629"/>
      <c r="B43" s="2629"/>
      <c r="C43" s="71" t="s">
        <v>106</v>
      </c>
      <c r="D43" s="71" t="s">
        <v>108</v>
      </c>
      <c r="E43" s="279">
        <f>'F-LSCD-002 (Dosimetría)'!F78</f>
        <v>1.2</v>
      </c>
    </row>
    <row r="44" spans="1:9" ht="18" x14ac:dyDescent="0.25">
      <c r="A44" s="2628" t="s">
        <v>101</v>
      </c>
      <c r="B44" s="2628"/>
      <c r="C44" s="103" t="s">
        <v>144</v>
      </c>
      <c r="D44" s="71" t="s">
        <v>108</v>
      </c>
      <c r="E44" s="102">
        <f>'F-LSCD-002 (Dosimetría)'!F79</f>
        <v>1.25</v>
      </c>
    </row>
    <row r="45" spans="1:9" ht="18" x14ac:dyDescent="0.25">
      <c r="A45" s="2628"/>
      <c r="B45" s="2628"/>
      <c r="C45" s="71" t="s">
        <v>107</v>
      </c>
      <c r="D45" s="71" t="s">
        <v>108</v>
      </c>
      <c r="E45" s="102">
        <f>'F-LSCD-002 (Dosimetría)'!F80</f>
        <v>1.21</v>
      </c>
    </row>
    <row r="46" spans="1:9" ht="18" x14ac:dyDescent="0.25">
      <c r="A46" s="104" t="s">
        <v>99</v>
      </c>
      <c r="B46" s="270"/>
      <c r="C46" s="71" t="s">
        <v>144</v>
      </c>
      <c r="D46" s="71" t="s">
        <v>108</v>
      </c>
      <c r="E46" s="102" t="str">
        <f>'F-LSCD-002 (Dosimetría)'!F81</f>
        <v>---</v>
      </c>
    </row>
    <row r="47" spans="1:9" ht="18" x14ac:dyDescent="0.25">
      <c r="A47" s="104" t="s">
        <v>100</v>
      </c>
      <c r="B47" s="270"/>
      <c r="C47" s="71" t="s">
        <v>144</v>
      </c>
      <c r="D47" s="71" t="s">
        <v>108</v>
      </c>
      <c r="E47" s="102" t="str">
        <f>'F-LSCD-002 (Dosimetría)'!F82</f>
        <v>---</v>
      </c>
    </row>
    <row r="49" spans="1:6" x14ac:dyDescent="0.25">
      <c r="A49" s="2629" t="s">
        <v>122</v>
      </c>
      <c r="B49" s="2629"/>
      <c r="C49" s="2629"/>
    </row>
    <row r="50" spans="1:6" x14ac:dyDescent="0.25">
      <c r="A50" s="108" t="s">
        <v>120</v>
      </c>
      <c r="B50" s="107">
        <v>0.877</v>
      </c>
      <c r="C50" s="110" t="s">
        <v>116</v>
      </c>
    </row>
    <row r="51" spans="1:6" x14ac:dyDescent="0.25">
      <c r="A51" s="109" t="s">
        <v>121</v>
      </c>
      <c r="B51" s="107">
        <v>100</v>
      </c>
      <c r="C51" s="110" t="s">
        <v>116</v>
      </c>
    </row>
    <row r="52" spans="1:6" ht="15.75" thickBot="1" x14ac:dyDescent="0.3"/>
    <row r="53" spans="1:6" ht="15.75" thickBot="1" x14ac:dyDescent="0.3">
      <c r="A53" s="32" t="s">
        <v>23</v>
      </c>
      <c r="B53" s="33"/>
      <c r="C53" s="33"/>
      <c r="D53" s="33"/>
      <c r="E53" s="268"/>
      <c r="F53" s="34">
        <v>1.5</v>
      </c>
    </row>
    <row r="55" spans="1:6" ht="15.75" thickBot="1" x14ac:dyDescent="0.3"/>
    <row r="56" spans="1:6" x14ac:dyDescent="0.25">
      <c r="B56" s="24" t="s">
        <v>20</v>
      </c>
      <c r="C56" s="25"/>
      <c r="D56" s="25"/>
      <c r="E56" s="26" t="s">
        <v>9</v>
      </c>
    </row>
    <row r="57" spans="1:6" x14ac:dyDescent="0.25">
      <c r="B57" s="27" t="s">
        <v>21</v>
      </c>
      <c r="C57" s="28"/>
      <c r="D57" s="28"/>
      <c r="E57" s="29">
        <v>15.5</v>
      </c>
    </row>
    <row r="58" spans="1:6" x14ac:dyDescent="0.25">
      <c r="B58" s="27" t="s">
        <v>76</v>
      </c>
      <c r="C58" s="28"/>
      <c r="D58" s="59"/>
      <c r="E58" s="60">
        <v>42576</v>
      </c>
    </row>
    <row r="59" spans="1:6" x14ac:dyDescent="0.25">
      <c r="B59" s="27" t="s">
        <v>77</v>
      </c>
      <c r="C59" s="28"/>
      <c r="D59" s="30"/>
      <c r="E59" s="31">
        <v>42919</v>
      </c>
    </row>
    <row r="60" spans="1:6" x14ac:dyDescent="0.25">
      <c r="B60" s="27" t="s">
        <v>75</v>
      </c>
      <c r="C60" s="28"/>
      <c r="D60" s="30"/>
      <c r="E60" s="31">
        <f>'F-LSCD-002 (Dosimetría)'!F96</f>
        <v>44488</v>
      </c>
    </row>
    <row r="61" spans="1:6" x14ac:dyDescent="0.25">
      <c r="B61" s="27" t="s">
        <v>22</v>
      </c>
      <c r="C61" s="28"/>
      <c r="D61" s="28"/>
      <c r="E61" s="29">
        <f>EXP(-LN(2)*(E60-E58)/10990)</f>
        <v>0.88639623454367944</v>
      </c>
    </row>
    <row r="62" spans="1:6" ht="15.75" thickBot="1" x14ac:dyDescent="0.3">
      <c r="B62" s="35" t="s">
        <v>64</v>
      </c>
      <c r="C62" s="36"/>
      <c r="D62" s="36"/>
      <c r="E62" s="61">
        <f>E61*E57</f>
        <v>13.739141635427032</v>
      </c>
    </row>
    <row r="66" spans="1:29" ht="15.75" thickBot="1" x14ac:dyDescent="0.3"/>
    <row r="67" spans="1:29" ht="15.75" customHeight="1" thickBot="1" x14ac:dyDescent="0.3">
      <c r="B67" s="2676" t="s">
        <v>405</v>
      </c>
      <c r="C67" s="2677"/>
      <c r="D67" s="2677"/>
      <c r="E67" s="2677"/>
      <c r="F67" s="2677"/>
      <c r="G67" s="2677"/>
      <c r="H67" s="2677"/>
      <c r="I67" s="2677"/>
      <c r="J67" s="2677"/>
      <c r="K67" s="2677"/>
      <c r="L67" s="2678"/>
      <c r="M67" s="2670" t="s">
        <v>24</v>
      </c>
      <c r="N67" s="2671"/>
      <c r="O67" s="2671"/>
      <c r="P67" s="2671"/>
      <c r="Q67" s="2671"/>
      <c r="R67" s="2671"/>
      <c r="S67" s="2671"/>
      <c r="T67" s="2671"/>
      <c r="U67" s="2671"/>
      <c r="V67" s="2671"/>
      <c r="W67" s="2671"/>
      <c r="X67" s="2671"/>
      <c r="Y67" s="2671"/>
      <c r="Z67" s="2671"/>
      <c r="AA67" s="2671"/>
      <c r="AB67" s="2671"/>
      <c r="AC67" s="2672"/>
    </row>
    <row r="68" spans="1:29" ht="30.75" thickBot="1" x14ac:dyDescent="0.3">
      <c r="A68" s="85" t="s">
        <v>56</v>
      </c>
      <c r="B68" s="98" t="s">
        <v>57</v>
      </c>
      <c r="C68" s="99" t="s">
        <v>58</v>
      </c>
      <c r="D68" s="99" t="s">
        <v>59</v>
      </c>
      <c r="E68" s="99" t="s">
        <v>264</v>
      </c>
      <c r="F68" s="99" t="s">
        <v>91</v>
      </c>
      <c r="G68" s="99" t="s">
        <v>92</v>
      </c>
      <c r="H68" s="99" t="s">
        <v>263</v>
      </c>
      <c r="I68" s="99" t="s">
        <v>60</v>
      </c>
      <c r="J68" s="100" t="s">
        <v>274</v>
      </c>
      <c r="K68" s="99" t="s">
        <v>7</v>
      </c>
      <c r="L68" s="101" t="s">
        <v>8</v>
      </c>
      <c r="M68" s="98" t="s">
        <v>57</v>
      </c>
      <c r="N68" s="99" t="s">
        <v>58</v>
      </c>
      <c r="O68" s="99" t="s">
        <v>59</v>
      </c>
      <c r="P68" s="100" t="s">
        <v>264</v>
      </c>
      <c r="Q68" s="99" t="s">
        <v>91</v>
      </c>
      <c r="R68" s="99" t="s">
        <v>92</v>
      </c>
      <c r="S68" s="99" t="s">
        <v>263</v>
      </c>
      <c r="T68" s="99" t="s">
        <v>60</v>
      </c>
      <c r="U68" s="100" t="s">
        <v>274</v>
      </c>
      <c r="V68" s="99" t="s">
        <v>94</v>
      </c>
      <c r="W68" s="99" t="s">
        <v>7</v>
      </c>
      <c r="X68" s="99" t="s">
        <v>8</v>
      </c>
      <c r="Y68" s="99" t="s">
        <v>644</v>
      </c>
      <c r="Z68" s="99" t="s">
        <v>119</v>
      </c>
      <c r="AA68" s="99" t="s">
        <v>97</v>
      </c>
      <c r="AB68" s="99" t="s">
        <v>95</v>
      </c>
      <c r="AC68" s="101" t="s">
        <v>96</v>
      </c>
    </row>
    <row r="69" spans="1:29" ht="15" customHeight="1" x14ac:dyDescent="0.25">
      <c r="A69" s="416" t="s">
        <v>423</v>
      </c>
      <c r="B69" s="76" t="s">
        <v>93</v>
      </c>
      <c r="C69" s="76" t="s">
        <v>93</v>
      </c>
      <c r="D69" s="76" t="s">
        <v>93</v>
      </c>
      <c r="E69" s="76" t="s">
        <v>93</v>
      </c>
      <c r="F69" s="76" t="s">
        <v>93</v>
      </c>
      <c r="G69" s="76" t="s">
        <v>93</v>
      </c>
      <c r="H69" s="231" t="str">
        <f>IF(E69="-","-",IF(AND(E69&lt;=$E$36,E69&gt;=$F$36),E69*$C$36,IF(AND(E69&lt;=$E$37,E69&gt;=$F$37),E69*$C$37,"rango cal. out")))</f>
        <v>-</v>
      </c>
      <c r="I69" s="40" t="e">
        <f t="shared" ref="I69" si="0">((273.2+B69)*$E$26/((273.2+$E$25)*D69))</f>
        <v>#VALUE!</v>
      </c>
      <c r="J69" s="57" t="str">
        <f>IF(H69="-","-",H69/F69*I69)</f>
        <v>-</v>
      </c>
      <c r="K69" s="11" t="e">
        <f t="shared" ref="K69" si="1">ABS($A$27*J69*3600)</f>
        <v>#REF!</v>
      </c>
      <c r="L69" s="97" t="e">
        <f t="shared" ref="L69" si="2">ABS($A$28*J69*3600)</f>
        <v>#VALUE!</v>
      </c>
      <c r="M69" s="68">
        <v>20.5</v>
      </c>
      <c r="N69" s="80">
        <v>49</v>
      </c>
      <c r="O69" s="80">
        <v>1010.2</v>
      </c>
      <c r="P69" s="76">
        <v>5.554E-8</v>
      </c>
      <c r="Q69" s="80">
        <v>600</v>
      </c>
      <c r="R69" s="105">
        <v>42931</v>
      </c>
      <c r="S69" s="231">
        <f>IF(AND(P69&lt;=$E$36,P69&gt;=$F$36),P69*$C$36,IF(AND(P69&lt;=$E$37,P69&gt;=$F$37),P69*$C$37,P69*$C$37))</f>
        <v>5.5595539999999996E-8</v>
      </c>
      <c r="T69" s="40">
        <f t="shared" ref="T69" si="3">((273.2+M69)*$E$26/((273.2+$E$25)*O69))</f>
        <v>0.99792256182064887</v>
      </c>
      <c r="U69" s="57">
        <f>S69/Q69*T69*EXP(-LN(2)/10990*($E$60-R69))</f>
        <v>8.3818009965924103E-11</v>
      </c>
      <c r="V69" s="11">
        <f>IF($J$70="-",U69,U69-$J$70)</f>
        <v>8.3818009965924103E-11</v>
      </c>
      <c r="W69" s="11" t="e">
        <f>ABS($A$27*V69*3600)</f>
        <v>#REF!</v>
      </c>
      <c r="X69" s="65">
        <f>ABS($A$28*V69*3600)</f>
        <v>7.6039698641086348E-3</v>
      </c>
      <c r="Y69" s="65">
        <f>X69*Q69/3600</f>
        <v>1.2673283106847725E-3</v>
      </c>
      <c r="Z69" s="111">
        <f>X69*$B$51</f>
        <v>0.76039698641086351</v>
      </c>
      <c r="AA69" s="11">
        <f>X69*$E$43</f>
        <v>9.1247638369303611E-3</v>
      </c>
      <c r="AB69" s="11">
        <f>X69*$E$45</f>
        <v>9.200803535571447E-3</v>
      </c>
      <c r="AC69" s="12">
        <f>X69*$E$44</f>
        <v>9.5049623301357942E-3</v>
      </c>
    </row>
    <row r="70" spans="1:29" x14ac:dyDescent="0.25">
      <c r="A70" s="263" t="s">
        <v>61</v>
      </c>
      <c r="B70" s="39" t="e">
        <f>AVERAGE(B69:B69)</f>
        <v>#DIV/0!</v>
      </c>
      <c r="C70" s="242" t="e">
        <f>AVERAGE(C69:C69)</f>
        <v>#DIV/0!</v>
      </c>
      <c r="D70" s="239" t="e">
        <f>AVERAGE(D69:D69)</f>
        <v>#DIV/0!</v>
      </c>
      <c r="E70" s="11" t="e">
        <f>AVERAGE(E69:E69)</f>
        <v>#DIV/0!</v>
      </c>
      <c r="F70" s="236" t="e">
        <f>AVERAGE(F69:F69)</f>
        <v>#DIV/0!</v>
      </c>
      <c r="G70" s="90" t="s">
        <v>93</v>
      </c>
      <c r="H70" s="11" t="e">
        <f>IF(AND(H69="-",#REF!="-",#REF!="-",#REF!="-",#REF!="-",#REF!="-",#REF!="-",#REF!="-",#REF!="-",#REF!="-"),"-",AVERAGE(H69:H69))</f>
        <v>#REF!</v>
      </c>
      <c r="I70" s="38" t="e">
        <f>AVERAGE(I69:I69)</f>
        <v>#VALUE!</v>
      </c>
      <c r="J70" s="75" t="s">
        <v>93</v>
      </c>
      <c r="K70" s="73" t="e">
        <f>AVERAGE(K69:K69)</f>
        <v>#REF!</v>
      </c>
      <c r="L70" s="77" t="e">
        <f>AVERAGE(L69:L69)</f>
        <v>#VALUE!</v>
      </c>
      <c r="M70" s="243">
        <v>20.6</v>
      </c>
      <c r="N70" s="232">
        <f>AVERAGE(N69:N69)</f>
        <v>49</v>
      </c>
      <c r="O70" s="232">
        <f>AVERAGE(O69:O69)</f>
        <v>1010.2</v>
      </c>
      <c r="P70" s="58">
        <f>AVERAGE(P69:P69)</f>
        <v>5.554E-8</v>
      </c>
      <c r="Q70" s="232">
        <f>AVERAGE(Q69:Q69)</f>
        <v>600</v>
      </c>
      <c r="R70" s="90" t="s">
        <v>93</v>
      </c>
      <c r="S70" s="11">
        <f t="shared" ref="S70:AC70" si="4">AVERAGE(S69:S69)</f>
        <v>5.5595539999999996E-8</v>
      </c>
      <c r="T70" s="38">
        <f t="shared" si="4"/>
        <v>0.99792256182064887</v>
      </c>
      <c r="U70" s="63">
        <f t="shared" si="4"/>
        <v>8.3818009965924103E-11</v>
      </c>
      <c r="V70" s="58">
        <f t="shared" si="4"/>
        <v>8.3818009965924103E-11</v>
      </c>
      <c r="W70" s="73" t="e">
        <f t="shared" si="4"/>
        <v>#REF!</v>
      </c>
      <c r="X70" s="75">
        <f t="shared" si="4"/>
        <v>7.6039698641086348E-3</v>
      </c>
      <c r="Y70" s="75">
        <f t="shared" si="4"/>
        <v>1.2673283106847725E-3</v>
      </c>
      <c r="Z70" s="73">
        <f t="shared" si="4"/>
        <v>0.76039698641086351</v>
      </c>
      <c r="AA70" s="73">
        <f t="shared" si="4"/>
        <v>9.1247638369303611E-3</v>
      </c>
      <c r="AB70" s="73">
        <f t="shared" si="4"/>
        <v>9.200803535571447E-3</v>
      </c>
      <c r="AC70" s="72">
        <f t="shared" si="4"/>
        <v>9.5049623301357942E-3</v>
      </c>
    </row>
    <row r="71" spans="1:29" x14ac:dyDescent="0.25">
      <c r="A71" s="263" t="s">
        <v>62</v>
      </c>
      <c r="B71" s="39" t="e">
        <f>STDEVA(B69:B69)</f>
        <v>#DIV/0!</v>
      </c>
      <c r="C71" s="41" t="e">
        <f>STDEVA(C69:C69)</f>
        <v>#DIV/0!</v>
      </c>
      <c r="D71" s="42" t="e">
        <f>STDEVA(D69:D69)</f>
        <v>#DIV/0!</v>
      </c>
      <c r="E71" s="11" t="e">
        <f>STDEVA(E69:E69)</f>
        <v>#DIV/0!</v>
      </c>
      <c r="F71" s="94" t="e">
        <f>STDEVA(F69:F69)</f>
        <v>#DIV/0!</v>
      </c>
      <c r="G71" s="40" t="s">
        <v>93</v>
      </c>
      <c r="H71" s="11" t="e">
        <f>IF(H70="-","-",STDEVA(H69:H69))</f>
        <v>#REF!</v>
      </c>
      <c r="I71" s="40" t="e">
        <f>STDEVA(I69:I69)</f>
        <v>#VALUE!</v>
      </c>
      <c r="J71" s="63" t="str">
        <f>IF(J70="-","-",STDEVA(J69:J69))</f>
        <v>-</v>
      </c>
      <c r="K71" s="58" t="e">
        <f t="shared" ref="K71:Q71" si="5">STDEVA(K69:K69)</f>
        <v>#REF!</v>
      </c>
      <c r="L71" s="74" t="e">
        <f t="shared" si="5"/>
        <v>#VALUE!</v>
      </c>
      <c r="M71" s="82" t="e">
        <f t="shared" si="5"/>
        <v>#DIV/0!</v>
      </c>
      <c r="N71" s="38" t="e">
        <f t="shared" si="5"/>
        <v>#DIV/0!</v>
      </c>
      <c r="O71" s="38" t="e">
        <f t="shared" si="5"/>
        <v>#DIV/0!</v>
      </c>
      <c r="P71" s="58" t="e">
        <f t="shared" si="5"/>
        <v>#DIV/0!</v>
      </c>
      <c r="Q71" s="38" t="e">
        <f t="shared" si="5"/>
        <v>#DIV/0!</v>
      </c>
      <c r="R71" s="40" t="s">
        <v>93</v>
      </c>
      <c r="S71" s="11" t="e">
        <f t="shared" ref="S71:AC71" si="6">STDEVA(S69:S69)</f>
        <v>#DIV/0!</v>
      </c>
      <c r="T71" s="40" t="e">
        <f t="shared" si="6"/>
        <v>#DIV/0!</v>
      </c>
      <c r="U71" s="63" t="e">
        <f t="shared" si="6"/>
        <v>#DIV/0!</v>
      </c>
      <c r="V71" s="58" t="e">
        <f t="shared" si="6"/>
        <v>#DIV/0!</v>
      </c>
      <c r="W71" s="58" t="e">
        <f t="shared" si="6"/>
        <v>#REF!</v>
      </c>
      <c r="X71" s="63" t="e">
        <f t="shared" si="6"/>
        <v>#DIV/0!</v>
      </c>
      <c r="Y71" s="63" t="e">
        <f t="shared" si="6"/>
        <v>#DIV/0!</v>
      </c>
      <c r="Z71" s="58" t="e">
        <f t="shared" si="6"/>
        <v>#DIV/0!</v>
      </c>
      <c r="AA71" s="58" t="e">
        <f t="shared" si="6"/>
        <v>#DIV/0!</v>
      </c>
      <c r="AB71" s="58" t="e">
        <f t="shared" si="6"/>
        <v>#DIV/0!</v>
      </c>
      <c r="AC71" s="47" t="e">
        <f t="shared" si="6"/>
        <v>#DIV/0!</v>
      </c>
    </row>
    <row r="72" spans="1:29" ht="15.75" thickBot="1" x14ac:dyDescent="0.3">
      <c r="A72" s="264" t="s">
        <v>63</v>
      </c>
      <c r="B72" s="44" t="e">
        <f>B71/B70*100</f>
        <v>#DIV/0!</v>
      </c>
      <c r="C72" s="45" t="e">
        <f>C71/C70*100</f>
        <v>#DIV/0!</v>
      </c>
      <c r="D72" s="46" t="e">
        <f>D71/D70*100</f>
        <v>#DIV/0!</v>
      </c>
      <c r="E72" s="43" t="e">
        <f>E71/E70*100</f>
        <v>#DIV/0!</v>
      </c>
      <c r="F72" s="95" t="e">
        <f>F71/F70*100</f>
        <v>#DIV/0!</v>
      </c>
      <c r="G72" s="43" t="s">
        <v>93</v>
      </c>
      <c r="H72" s="89" t="e">
        <f>IF(H70="-","-",H71/H70*100)</f>
        <v>#REF!</v>
      </c>
      <c r="I72" s="43" t="e">
        <f t="shared" ref="I72:Q72" si="7">I71/I70*100</f>
        <v>#VALUE!</v>
      </c>
      <c r="J72" s="64" t="str">
        <f>IF(J70="-","-",J71/J70*100)</f>
        <v>-</v>
      </c>
      <c r="K72" s="19" t="e">
        <f t="shared" si="7"/>
        <v>#REF!</v>
      </c>
      <c r="L72" s="78" t="e">
        <f t="shared" si="7"/>
        <v>#VALUE!</v>
      </c>
      <c r="M72" s="83" t="e">
        <f t="shared" si="7"/>
        <v>#DIV/0!</v>
      </c>
      <c r="N72" s="81" t="e">
        <f t="shared" si="7"/>
        <v>#DIV/0!</v>
      </c>
      <c r="O72" s="81" t="e">
        <f t="shared" si="7"/>
        <v>#DIV/0!</v>
      </c>
      <c r="P72" s="19" t="e">
        <f t="shared" si="7"/>
        <v>#DIV/0!</v>
      </c>
      <c r="Q72" s="81" t="e">
        <f t="shared" si="7"/>
        <v>#DIV/0!</v>
      </c>
      <c r="R72" s="43" t="s">
        <v>93</v>
      </c>
      <c r="S72" s="89" t="e">
        <f t="shared" ref="S72:AC72" si="8">S71/S70*100</f>
        <v>#DIV/0!</v>
      </c>
      <c r="T72" s="43" t="e">
        <f t="shared" si="8"/>
        <v>#DIV/0!</v>
      </c>
      <c r="U72" s="64" t="e">
        <f t="shared" si="8"/>
        <v>#DIV/0!</v>
      </c>
      <c r="V72" s="19" t="e">
        <f t="shared" si="8"/>
        <v>#DIV/0!</v>
      </c>
      <c r="W72" s="19" t="e">
        <f t="shared" si="8"/>
        <v>#REF!</v>
      </c>
      <c r="X72" s="64" t="e">
        <f t="shared" si="8"/>
        <v>#DIV/0!</v>
      </c>
      <c r="Y72" s="64" t="e">
        <f t="shared" si="8"/>
        <v>#DIV/0!</v>
      </c>
      <c r="Z72" s="19" t="e">
        <f t="shared" si="8"/>
        <v>#DIV/0!</v>
      </c>
      <c r="AA72" s="19" t="e">
        <f t="shared" si="8"/>
        <v>#DIV/0!</v>
      </c>
      <c r="AB72" s="19" t="e">
        <f t="shared" si="8"/>
        <v>#DIV/0!</v>
      </c>
      <c r="AC72" s="17" t="e">
        <f t="shared" si="8"/>
        <v>#DIV/0!</v>
      </c>
    </row>
    <row r="73" spans="1:29" ht="15" customHeight="1" x14ac:dyDescent="0.25">
      <c r="A73" s="2625" t="s">
        <v>660</v>
      </c>
      <c r="B73" s="76" t="s">
        <v>93</v>
      </c>
      <c r="C73" s="76" t="s">
        <v>93</v>
      </c>
      <c r="D73" s="76" t="s">
        <v>93</v>
      </c>
      <c r="E73" s="76" t="s">
        <v>93</v>
      </c>
      <c r="F73" s="76" t="s">
        <v>93</v>
      </c>
      <c r="G73" s="76" t="s">
        <v>93</v>
      </c>
      <c r="H73" s="231" t="str">
        <f>IF(E73="-","-",IF(AND(E73&lt;=$E$36,E73&gt;=$F$36),E73*$C$36,IF(AND(E73&lt;=$E$37,E73&gt;=$F$37),E73*$C$37,"rango cal. out")))</f>
        <v>-</v>
      </c>
      <c r="I73" s="40" t="e">
        <f t="shared" ref="I73:I82" si="9">((273.2+B73)*$E$26/((273.2+$E$25)*D73))</f>
        <v>#VALUE!</v>
      </c>
      <c r="J73" s="57" t="str">
        <f>IF(H73="-","-",H73/F73*I73)</f>
        <v>-</v>
      </c>
      <c r="K73" s="11" t="e">
        <f t="shared" ref="K73:K82" si="10">ABS($A$27*J73*3600)</f>
        <v>#REF!</v>
      </c>
      <c r="L73" s="97" t="e">
        <f t="shared" ref="L73:L82" si="11">ABS($A$28*J73*3600)</f>
        <v>#VALUE!</v>
      </c>
      <c r="M73" s="68">
        <v>20.6</v>
      </c>
      <c r="N73" s="80">
        <v>49</v>
      </c>
      <c r="O73" s="80">
        <v>1010.2</v>
      </c>
      <c r="P73" s="76">
        <v>-5.5539999999999996E-9</v>
      </c>
      <c r="Q73" s="80">
        <v>60</v>
      </c>
      <c r="R73" s="105">
        <v>42931</v>
      </c>
      <c r="S73" s="231">
        <f t="shared" ref="S73:S82" si="12">IF(AND(P73&lt;=$E$36,P73&gt;=$F$36),P73*$C$36,IF(AND(P73&lt;=$E$37,P73&gt;=$F$37),P73*$C$37,"rango cal. out"))</f>
        <v>-5.5595539999999991E-9</v>
      </c>
      <c r="T73" s="40">
        <f t="shared" ref="T73:T82" si="13">((273.2+M73)*$E$26/((273.2+$E$25)*O73))</f>
        <v>0.99826233797380559</v>
      </c>
      <c r="U73" s="57">
        <f>S73/Q73*T73*EXP(-LN(2)/10990*($E$60-R73))</f>
        <v>-8.384654861419308E-11</v>
      </c>
      <c r="V73" s="11">
        <f>IF($J$83="-",U73,U73-$J$83)</f>
        <v>-8.384654861419308E-11</v>
      </c>
      <c r="W73" s="11" t="e">
        <f t="shared" ref="W73" si="14">ABS($A$27*V73*3600)</f>
        <v>#REF!</v>
      </c>
      <c r="X73" s="65">
        <f t="shared" ref="X73" si="15">ABS($A$28*V73*3600)</f>
        <v>7.6065588902795968E-3</v>
      </c>
      <c r="Y73" s="65">
        <f>X73*Q73/3600</f>
        <v>1.2677598150465994E-4</v>
      </c>
      <c r="Z73" s="111">
        <f>X73*$B$51</f>
        <v>0.76065588902795966</v>
      </c>
      <c r="AA73" s="11">
        <f>X73*$E$43</f>
        <v>9.1278706683355151E-3</v>
      </c>
      <c r="AB73" s="11">
        <f>X73*$E$45</f>
        <v>9.2039362572383116E-3</v>
      </c>
      <c r="AC73" s="12">
        <f>X73*$E$44</f>
        <v>9.5081986128494958E-3</v>
      </c>
    </row>
    <row r="74" spans="1:29" x14ac:dyDescent="0.25">
      <c r="A74" s="2626"/>
      <c r="B74" s="70" t="s">
        <v>93</v>
      </c>
      <c r="C74" s="70" t="s">
        <v>93</v>
      </c>
      <c r="D74" s="70" t="s">
        <v>93</v>
      </c>
      <c r="E74" s="70" t="s">
        <v>93</v>
      </c>
      <c r="F74" s="70" t="s">
        <v>93</v>
      </c>
      <c r="G74" s="70" t="s">
        <v>93</v>
      </c>
      <c r="H74" s="231" t="str">
        <f t="shared" ref="H74:H82" si="16">IF(E74="-","-",IF(AND(E74&lt;=$E$36,E74&gt;=$F$36),E74*$C$36,IF(AND(E74&lt;=$E$37,E74&gt;=$F$37),E74*$C$37,"rango cal. out")))</f>
        <v>-</v>
      </c>
      <c r="I74" s="38" t="e">
        <f t="shared" si="9"/>
        <v>#VALUE!</v>
      </c>
      <c r="J74" s="57" t="str">
        <f t="shared" ref="J74:J82" si="17">IF(H74="-","-",H74/F74*I74)</f>
        <v>-</v>
      </c>
      <c r="K74" s="58" t="e">
        <f t="shared" si="10"/>
        <v>#REF!</v>
      </c>
      <c r="L74" s="91" t="e">
        <f t="shared" si="11"/>
        <v>#VALUE!</v>
      </c>
      <c r="M74" s="69">
        <v>20.6</v>
      </c>
      <c r="N74" s="79">
        <v>49</v>
      </c>
      <c r="O74" s="79">
        <v>1010.2</v>
      </c>
      <c r="P74" s="70">
        <v>-5.5519999999999999E-9</v>
      </c>
      <c r="Q74" s="79">
        <v>60</v>
      </c>
      <c r="R74" s="92">
        <v>42931</v>
      </c>
      <c r="S74" s="231">
        <f t="shared" si="12"/>
        <v>-5.5575519999999995E-9</v>
      </c>
      <c r="T74" s="38">
        <f t="shared" si="13"/>
        <v>0.99826233797380559</v>
      </c>
      <c r="U74" s="74">
        <f>S74/Q74*T74*EXP(-LN(2)/10990*($E$60-R74))</f>
        <v>-8.3816355402592705E-11</v>
      </c>
      <c r="V74" s="11">
        <f t="shared" ref="V74:V82" si="18">IF($J$83="-",U74,U74-$J$83)</f>
        <v>-8.3816355402592705E-11</v>
      </c>
      <c r="W74" s="58" t="e">
        <f>ABS($A$27*V74*3600)</f>
        <v>#REF!</v>
      </c>
      <c r="X74" s="63">
        <f>ABS($A$28*V74*3600)</f>
        <v>7.6038197621232104E-3</v>
      </c>
      <c r="Y74" s="65">
        <f t="shared" ref="Y74:Y82" si="19">X74*Q74/3600</f>
        <v>1.2673032936872018E-4</v>
      </c>
      <c r="Z74" s="58">
        <f>X74*$B$51</f>
        <v>0.76038197621232106</v>
      </c>
      <c r="AA74" s="58">
        <f>X74*$E$43</f>
        <v>9.1245837145478518E-3</v>
      </c>
      <c r="AB74" s="58">
        <f>X74*$E$45</f>
        <v>9.2006219121690842E-3</v>
      </c>
      <c r="AC74" s="47">
        <f>X74*$E$44</f>
        <v>9.5047747026540137E-3</v>
      </c>
    </row>
    <row r="75" spans="1:29" x14ac:dyDescent="0.25">
      <c r="A75" s="2626"/>
      <c r="B75" s="70" t="s">
        <v>93</v>
      </c>
      <c r="C75" s="70" t="s">
        <v>93</v>
      </c>
      <c r="D75" s="70" t="s">
        <v>93</v>
      </c>
      <c r="E75" s="70" t="s">
        <v>93</v>
      </c>
      <c r="F75" s="70" t="s">
        <v>93</v>
      </c>
      <c r="G75" s="70" t="s">
        <v>93</v>
      </c>
      <c r="H75" s="231" t="str">
        <f t="shared" si="16"/>
        <v>-</v>
      </c>
      <c r="I75" s="38" t="e">
        <f t="shared" si="9"/>
        <v>#VALUE!</v>
      </c>
      <c r="J75" s="57" t="str">
        <f t="shared" si="17"/>
        <v>-</v>
      </c>
      <c r="K75" s="58" t="e">
        <f t="shared" si="10"/>
        <v>#REF!</v>
      </c>
      <c r="L75" s="91" t="e">
        <f t="shared" si="11"/>
        <v>#VALUE!</v>
      </c>
      <c r="M75" s="69">
        <v>20.7</v>
      </c>
      <c r="N75" s="79">
        <v>49</v>
      </c>
      <c r="O75" s="79">
        <v>1010.2</v>
      </c>
      <c r="P75" s="70">
        <v>-5.5530000000000002E-9</v>
      </c>
      <c r="Q75" s="79">
        <v>60</v>
      </c>
      <c r="R75" s="92">
        <v>42931</v>
      </c>
      <c r="S75" s="231">
        <f t="shared" si="12"/>
        <v>-5.5585529999999993E-9</v>
      </c>
      <c r="T75" s="38">
        <f t="shared" si="13"/>
        <v>0.99860211412696198</v>
      </c>
      <c r="U75" s="74">
        <f t="shared" ref="U75:U81" si="20">S75/Q75*T75*EXP(-LN(2)/10990*($E$60-R75))</f>
        <v>-8.38599855182664E-11</v>
      </c>
      <c r="V75" s="11">
        <f t="shared" si="18"/>
        <v>-8.38599855182664E-11</v>
      </c>
      <c r="W75" s="58" t="e">
        <f t="shared" ref="W75:W82" si="21">ABS($A$27*V75*3600)</f>
        <v>#REF!</v>
      </c>
      <c r="X75" s="63">
        <f t="shared" ref="X75:X82" si="22">ABS($A$28*V75*3600)</f>
        <v>7.6077778862171279E-3</v>
      </c>
      <c r="Y75" s="65">
        <f t="shared" si="19"/>
        <v>1.2679629810361881E-4</v>
      </c>
      <c r="Z75" s="71">
        <f t="shared" ref="Z75:Z81" si="23">X75*$B$51</f>
        <v>0.76077778862171275</v>
      </c>
      <c r="AA75" s="58">
        <f t="shared" ref="AA75:AA81" si="24">X75*$E$43</f>
        <v>9.1293334634605528E-3</v>
      </c>
      <c r="AB75" s="58">
        <f t="shared" ref="AB75:AB81" si="25">X75*$E$45</f>
        <v>9.2054112423227245E-3</v>
      </c>
      <c r="AC75" s="47">
        <f t="shared" ref="AC75:AC81" si="26">X75*$E$44</f>
        <v>9.5097223577714097E-3</v>
      </c>
    </row>
    <row r="76" spans="1:29" ht="15" customHeight="1" x14ac:dyDescent="0.25">
      <c r="A76" s="2626"/>
      <c r="B76" s="70" t="s">
        <v>93</v>
      </c>
      <c r="C76" s="70" t="s">
        <v>93</v>
      </c>
      <c r="D76" s="70" t="s">
        <v>93</v>
      </c>
      <c r="E76" s="70" t="s">
        <v>93</v>
      </c>
      <c r="F76" s="70" t="s">
        <v>93</v>
      </c>
      <c r="G76" s="70" t="s">
        <v>93</v>
      </c>
      <c r="H76" s="231" t="str">
        <f t="shared" si="16"/>
        <v>-</v>
      </c>
      <c r="I76" s="38" t="e">
        <f t="shared" si="9"/>
        <v>#VALUE!</v>
      </c>
      <c r="J76" s="57" t="str">
        <f t="shared" si="17"/>
        <v>-</v>
      </c>
      <c r="K76" s="58" t="e">
        <f t="shared" si="10"/>
        <v>#REF!</v>
      </c>
      <c r="L76" s="91" t="e">
        <f t="shared" si="11"/>
        <v>#VALUE!</v>
      </c>
      <c r="M76" s="69">
        <v>20.6</v>
      </c>
      <c r="N76" s="79">
        <v>49</v>
      </c>
      <c r="O76" s="79">
        <v>1010.2</v>
      </c>
      <c r="P76" s="70">
        <v>-5.5519999999999999E-9</v>
      </c>
      <c r="Q76" s="79">
        <v>60</v>
      </c>
      <c r="R76" s="92">
        <v>42931</v>
      </c>
      <c r="S76" s="231">
        <f t="shared" si="12"/>
        <v>-5.5575519999999995E-9</v>
      </c>
      <c r="T76" s="38">
        <f t="shared" si="13"/>
        <v>0.99826233797380559</v>
      </c>
      <c r="U76" s="74">
        <f t="shared" si="20"/>
        <v>-8.3816355402592705E-11</v>
      </c>
      <c r="V76" s="11">
        <f t="shared" si="18"/>
        <v>-8.3816355402592705E-11</v>
      </c>
      <c r="W76" s="58" t="e">
        <f t="shared" si="21"/>
        <v>#REF!</v>
      </c>
      <c r="X76" s="63">
        <f t="shared" si="22"/>
        <v>7.6038197621232104E-3</v>
      </c>
      <c r="Y76" s="65">
        <f t="shared" si="19"/>
        <v>1.2673032936872018E-4</v>
      </c>
      <c r="Z76" s="71">
        <f t="shared" si="23"/>
        <v>0.76038197621232106</v>
      </c>
      <c r="AA76" s="58">
        <f t="shared" si="24"/>
        <v>9.1245837145478518E-3</v>
      </c>
      <c r="AB76" s="58">
        <f t="shared" si="25"/>
        <v>9.2006219121690842E-3</v>
      </c>
      <c r="AC76" s="47">
        <f t="shared" si="26"/>
        <v>9.5047747026540137E-3</v>
      </c>
    </row>
    <row r="77" spans="1:29" ht="15" customHeight="1" x14ac:dyDescent="0.25">
      <c r="A77" s="2626"/>
      <c r="B77" s="70" t="s">
        <v>93</v>
      </c>
      <c r="C77" s="70" t="s">
        <v>93</v>
      </c>
      <c r="D77" s="70" t="s">
        <v>93</v>
      </c>
      <c r="E77" s="70" t="s">
        <v>93</v>
      </c>
      <c r="F77" s="70" t="s">
        <v>93</v>
      </c>
      <c r="G77" s="70" t="s">
        <v>93</v>
      </c>
      <c r="H77" s="231" t="str">
        <f t="shared" si="16"/>
        <v>-</v>
      </c>
      <c r="I77" s="38" t="e">
        <f t="shared" si="9"/>
        <v>#VALUE!</v>
      </c>
      <c r="J77" s="57" t="str">
        <f t="shared" si="17"/>
        <v>-</v>
      </c>
      <c r="K77" s="58" t="e">
        <f t="shared" si="10"/>
        <v>#REF!</v>
      </c>
      <c r="L77" s="91" t="e">
        <f t="shared" si="11"/>
        <v>#VALUE!</v>
      </c>
      <c r="M77" s="69">
        <v>20.6</v>
      </c>
      <c r="N77" s="79">
        <v>49</v>
      </c>
      <c r="O77" s="79">
        <v>1010.2</v>
      </c>
      <c r="P77" s="70">
        <v>-5.5539999999999996E-9</v>
      </c>
      <c r="Q77" s="79">
        <v>60</v>
      </c>
      <c r="R77" s="92">
        <v>42931</v>
      </c>
      <c r="S77" s="231">
        <f t="shared" si="12"/>
        <v>-5.5595539999999991E-9</v>
      </c>
      <c r="T77" s="38">
        <f t="shared" si="13"/>
        <v>0.99826233797380559</v>
      </c>
      <c r="U77" s="74">
        <f t="shared" si="20"/>
        <v>-8.384654861419308E-11</v>
      </c>
      <c r="V77" s="11">
        <f t="shared" si="18"/>
        <v>-8.384654861419308E-11</v>
      </c>
      <c r="W77" s="58" t="e">
        <f t="shared" si="21"/>
        <v>#REF!</v>
      </c>
      <c r="X77" s="63">
        <f t="shared" si="22"/>
        <v>7.6065588902795968E-3</v>
      </c>
      <c r="Y77" s="65">
        <f t="shared" si="19"/>
        <v>1.2677598150465994E-4</v>
      </c>
      <c r="Z77" s="71">
        <f t="shared" si="23"/>
        <v>0.76065588902795966</v>
      </c>
      <c r="AA77" s="58">
        <f t="shared" si="24"/>
        <v>9.1278706683355151E-3</v>
      </c>
      <c r="AB77" s="58">
        <f t="shared" si="25"/>
        <v>9.2039362572383116E-3</v>
      </c>
      <c r="AC77" s="47">
        <f t="shared" si="26"/>
        <v>9.5081986128494958E-3</v>
      </c>
    </row>
    <row r="78" spans="1:29" ht="15" customHeight="1" x14ac:dyDescent="0.25">
      <c r="A78" s="2626"/>
      <c r="B78" s="70" t="s">
        <v>93</v>
      </c>
      <c r="C78" s="70" t="s">
        <v>93</v>
      </c>
      <c r="D78" s="70" t="s">
        <v>93</v>
      </c>
      <c r="E78" s="70" t="s">
        <v>93</v>
      </c>
      <c r="F78" s="70" t="s">
        <v>93</v>
      </c>
      <c r="G78" s="70" t="s">
        <v>93</v>
      </c>
      <c r="H78" s="231" t="str">
        <f t="shared" si="16"/>
        <v>-</v>
      </c>
      <c r="I78" s="38" t="e">
        <f t="shared" si="9"/>
        <v>#VALUE!</v>
      </c>
      <c r="J78" s="57" t="str">
        <f t="shared" si="17"/>
        <v>-</v>
      </c>
      <c r="K78" s="58" t="e">
        <f t="shared" si="10"/>
        <v>#REF!</v>
      </c>
      <c r="L78" s="91" t="e">
        <f t="shared" si="11"/>
        <v>#VALUE!</v>
      </c>
      <c r="M78" s="69">
        <v>20.6</v>
      </c>
      <c r="N78" s="79">
        <v>49</v>
      </c>
      <c r="O78" s="79">
        <v>1010.2</v>
      </c>
      <c r="P78" s="70">
        <v>-5.5519999999999999E-9</v>
      </c>
      <c r="Q78" s="79">
        <v>60</v>
      </c>
      <c r="R78" s="92">
        <v>42931</v>
      </c>
      <c r="S78" s="231">
        <f t="shared" si="12"/>
        <v>-5.5575519999999995E-9</v>
      </c>
      <c r="T78" s="38">
        <f t="shared" si="13"/>
        <v>0.99826233797380559</v>
      </c>
      <c r="U78" s="74">
        <f t="shared" si="20"/>
        <v>-8.3816355402592705E-11</v>
      </c>
      <c r="V78" s="11">
        <f t="shared" si="18"/>
        <v>-8.3816355402592705E-11</v>
      </c>
      <c r="W78" s="58" t="e">
        <f t="shared" si="21"/>
        <v>#REF!</v>
      </c>
      <c r="X78" s="63">
        <f t="shared" si="22"/>
        <v>7.6038197621232104E-3</v>
      </c>
      <c r="Y78" s="65">
        <f>X78*Q78/3600</f>
        <v>1.2673032936872018E-4</v>
      </c>
      <c r="Z78" s="71">
        <f t="shared" si="23"/>
        <v>0.76038197621232106</v>
      </c>
      <c r="AA78" s="58">
        <f t="shared" si="24"/>
        <v>9.1245837145478518E-3</v>
      </c>
      <c r="AB78" s="58">
        <f t="shared" si="25"/>
        <v>9.2006219121690842E-3</v>
      </c>
      <c r="AC78" s="47">
        <f t="shared" si="26"/>
        <v>9.5047747026540137E-3</v>
      </c>
    </row>
    <row r="79" spans="1:29" x14ac:dyDescent="0.25">
      <c r="A79" s="2626"/>
      <c r="B79" s="70" t="s">
        <v>93</v>
      </c>
      <c r="C79" s="70" t="s">
        <v>93</v>
      </c>
      <c r="D79" s="70" t="s">
        <v>93</v>
      </c>
      <c r="E79" s="70" t="s">
        <v>93</v>
      </c>
      <c r="F79" s="70" t="s">
        <v>93</v>
      </c>
      <c r="G79" s="70" t="s">
        <v>93</v>
      </c>
      <c r="H79" s="231" t="str">
        <f t="shared" si="16"/>
        <v>-</v>
      </c>
      <c r="I79" s="38" t="e">
        <f t="shared" si="9"/>
        <v>#VALUE!</v>
      </c>
      <c r="J79" s="57" t="str">
        <f t="shared" si="17"/>
        <v>-</v>
      </c>
      <c r="K79" s="58" t="e">
        <f t="shared" si="10"/>
        <v>#REF!</v>
      </c>
      <c r="L79" s="91" t="e">
        <f t="shared" si="11"/>
        <v>#VALUE!</v>
      </c>
      <c r="M79" s="69">
        <v>20.6</v>
      </c>
      <c r="N79" s="79">
        <v>49</v>
      </c>
      <c r="O79" s="79">
        <v>1010.2</v>
      </c>
      <c r="P79" s="70">
        <v>-5.5530000000000002E-9</v>
      </c>
      <c r="Q79" s="79">
        <v>60</v>
      </c>
      <c r="R79" s="92">
        <v>42931</v>
      </c>
      <c r="S79" s="231">
        <f t="shared" si="12"/>
        <v>-5.5585529999999993E-9</v>
      </c>
      <c r="T79" s="38">
        <f t="shared" si="13"/>
        <v>0.99826233797380559</v>
      </c>
      <c r="U79" s="74">
        <f t="shared" si="20"/>
        <v>-8.3831452008392892E-11</v>
      </c>
      <c r="V79" s="11">
        <f t="shared" si="18"/>
        <v>-8.3831452008392892E-11</v>
      </c>
      <c r="W79" s="58" t="e">
        <f t="shared" si="21"/>
        <v>#REF!</v>
      </c>
      <c r="X79" s="63">
        <f t="shared" si="22"/>
        <v>7.6051893262014027E-3</v>
      </c>
      <c r="Y79" s="65">
        <f t="shared" si="19"/>
        <v>1.2675315543669006E-4</v>
      </c>
      <c r="Z79" s="71">
        <f t="shared" si="23"/>
        <v>0.76051893262014025</v>
      </c>
      <c r="AA79" s="58">
        <f t="shared" si="24"/>
        <v>9.1262271914416826E-3</v>
      </c>
      <c r="AB79" s="58">
        <f t="shared" si="25"/>
        <v>9.2022790847036979E-3</v>
      </c>
      <c r="AC79" s="47">
        <f t="shared" si="26"/>
        <v>9.5064866577517539E-3</v>
      </c>
    </row>
    <row r="80" spans="1:29" ht="15" customHeight="1" x14ac:dyDescent="0.25">
      <c r="A80" s="2626"/>
      <c r="B80" s="70" t="s">
        <v>93</v>
      </c>
      <c r="C80" s="70" t="s">
        <v>93</v>
      </c>
      <c r="D80" s="70" t="s">
        <v>93</v>
      </c>
      <c r="E80" s="70" t="s">
        <v>93</v>
      </c>
      <c r="F80" s="70" t="s">
        <v>93</v>
      </c>
      <c r="G80" s="70" t="s">
        <v>93</v>
      </c>
      <c r="H80" s="231" t="str">
        <f t="shared" si="16"/>
        <v>-</v>
      </c>
      <c r="I80" s="38" t="e">
        <f t="shared" si="9"/>
        <v>#VALUE!</v>
      </c>
      <c r="J80" s="57" t="str">
        <f t="shared" si="17"/>
        <v>-</v>
      </c>
      <c r="K80" s="58" t="e">
        <f t="shared" si="10"/>
        <v>#REF!</v>
      </c>
      <c r="L80" s="91" t="e">
        <f t="shared" si="11"/>
        <v>#VALUE!</v>
      </c>
      <c r="M80" s="69">
        <v>20.6</v>
      </c>
      <c r="N80" s="79">
        <v>49</v>
      </c>
      <c r="O80" s="79">
        <v>1010.2</v>
      </c>
      <c r="P80" s="70">
        <v>-5.5519999999999999E-9</v>
      </c>
      <c r="Q80" s="79">
        <v>60</v>
      </c>
      <c r="R80" s="92">
        <v>42931</v>
      </c>
      <c r="S80" s="231">
        <f t="shared" si="12"/>
        <v>-5.5575519999999995E-9</v>
      </c>
      <c r="T80" s="38">
        <f t="shared" si="13"/>
        <v>0.99826233797380559</v>
      </c>
      <c r="U80" s="74">
        <f t="shared" si="20"/>
        <v>-8.3816355402592705E-11</v>
      </c>
      <c r="V80" s="11">
        <f t="shared" si="18"/>
        <v>-8.3816355402592705E-11</v>
      </c>
      <c r="W80" s="58" t="e">
        <f t="shared" si="21"/>
        <v>#REF!</v>
      </c>
      <c r="X80" s="63">
        <f t="shared" si="22"/>
        <v>7.6038197621232104E-3</v>
      </c>
      <c r="Y80" s="65">
        <f t="shared" si="19"/>
        <v>1.2673032936872018E-4</v>
      </c>
      <c r="Z80" s="71">
        <f t="shared" si="23"/>
        <v>0.76038197621232106</v>
      </c>
      <c r="AA80" s="58">
        <f t="shared" si="24"/>
        <v>9.1245837145478518E-3</v>
      </c>
      <c r="AB80" s="58">
        <f t="shared" si="25"/>
        <v>9.2006219121690842E-3</v>
      </c>
      <c r="AC80" s="47">
        <f t="shared" si="26"/>
        <v>9.5047747026540137E-3</v>
      </c>
    </row>
    <row r="81" spans="1:29" ht="15" customHeight="1" x14ac:dyDescent="0.25">
      <c r="A81" s="2626"/>
      <c r="B81" s="70" t="s">
        <v>93</v>
      </c>
      <c r="C81" s="70" t="s">
        <v>93</v>
      </c>
      <c r="D81" s="70" t="s">
        <v>93</v>
      </c>
      <c r="E81" s="70" t="s">
        <v>93</v>
      </c>
      <c r="F81" s="70" t="s">
        <v>93</v>
      </c>
      <c r="G81" s="70" t="s">
        <v>93</v>
      </c>
      <c r="H81" s="231" t="str">
        <f t="shared" si="16"/>
        <v>-</v>
      </c>
      <c r="I81" s="38" t="e">
        <f t="shared" si="9"/>
        <v>#VALUE!</v>
      </c>
      <c r="J81" s="57" t="str">
        <f t="shared" si="17"/>
        <v>-</v>
      </c>
      <c r="K81" s="58" t="e">
        <f t="shared" si="10"/>
        <v>#REF!</v>
      </c>
      <c r="L81" s="91" t="e">
        <f t="shared" si="11"/>
        <v>#VALUE!</v>
      </c>
      <c r="M81" s="69">
        <v>20.7</v>
      </c>
      <c r="N81" s="79">
        <v>50</v>
      </c>
      <c r="O81" s="79">
        <v>1010.2</v>
      </c>
      <c r="P81" s="70">
        <v>-5.5539999999999996E-9</v>
      </c>
      <c r="Q81" s="79">
        <v>60</v>
      </c>
      <c r="R81" s="92">
        <v>42931</v>
      </c>
      <c r="S81" s="231">
        <f t="shared" si="12"/>
        <v>-5.5595539999999991E-9</v>
      </c>
      <c r="T81" s="38">
        <f t="shared" si="13"/>
        <v>0.99860211412696198</v>
      </c>
      <c r="U81" s="74">
        <f t="shared" si="20"/>
        <v>-8.3875087262462017E-11</v>
      </c>
      <c r="V81" s="11">
        <f t="shared" si="18"/>
        <v>-8.3875087262462017E-11</v>
      </c>
      <c r="W81" s="58" t="e">
        <f t="shared" si="21"/>
        <v>#REF!</v>
      </c>
      <c r="X81" s="63">
        <f t="shared" si="22"/>
        <v>7.6091479164505536E-3</v>
      </c>
      <c r="Y81" s="65">
        <f t="shared" si="19"/>
        <v>1.2681913194084258E-4</v>
      </c>
      <c r="Z81" s="71">
        <f t="shared" si="23"/>
        <v>0.76091479164505538</v>
      </c>
      <c r="AA81" s="58">
        <f t="shared" si="24"/>
        <v>9.130977499740664E-3</v>
      </c>
      <c r="AB81" s="58">
        <f t="shared" si="25"/>
        <v>9.2070689789051693E-3</v>
      </c>
      <c r="AC81" s="47">
        <f t="shared" si="26"/>
        <v>9.5114348955631922E-3</v>
      </c>
    </row>
    <row r="82" spans="1:29" ht="15.75" customHeight="1" thickBot="1" x14ac:dyDescent="0.3">
      <c r="A82" s="2627"/>
      <c r="B82" s="58" t="s">
        <v>93</v>
      </c>
      <c r="C82" s="58" t="s">
        <v>93</v>
      </c>
      <c r="D82" s="58" t="s">
        <v>93</v>
      </c>
      <c r="E82" s="58" t="s">
        <v>93</v>
      </c>
      <c r="F82" s="58" t="s">
        <v>93</v>
      </c>
      <c r="G82" s="58" t="s">
        <v>93</v>
      </c>
      <c r="H82" s="231" t="str">
        <f t="shared" si="16"/>
        <v>-</v>
      </c>
      <c r="I82" s="38" t="e">
        <f t="shared" si="9"/>
        <v>#VALUE!</v>
      </c>
      <c r="J82" s="57" t="str">
        <f t="shared" si="17"/>
        <v>-</v>
      </c>
      <c r="K82" s="58" t="e">
        <f t="shared" si="10"/>
        <v>#REF!</v>
      </c>
      <c r="L82" s="91" t="e">
        <f t="shared" si="11"/>
        <v>#VALUE!</v>
      </c>
      <c r="M82" s="69">
        <v>20.7</v>
      </c>
      <c r="N82" s="79">
        <v>49</v>
      </c>
      <c r="O82" s="79">
        <v>1010.2</v>
      </c>
      <c r="P82" s="70">
        <v>-5.5530000000000002E-9</v>
      </c>
      <c r="Q82" s="79">
        <v>60</v>
      </c>
      <c r="R82" s="92">
        <v>42931</v>
      </c>
      <c r="S82" s="231">
        <f t="shared" si="12"/>
        <v>-5.5585529999999993E-9</v>
      </c>
      <c r="T82" s="38">
        <f t="shared" si="13"/>
        <v>0.99860211412696198</v>
      </c>
      <c r="U82" s="74">
        <f>S82/Q82*T82*EXP(-LN(2)/10990*($E$60-R82))</f>
        <v>-8.38599855182664E-11</v>
      </c>
      <c r="V82" s="11">
        <f t="shared" si="18"/>
        <v>-8.38599855182664E-11</v>
      </c>
      <c r="W82" s="11" t="e">
        <f t="shared" si="21"/>
        <v>#REF!</v>
      </c>
      <c r="X82" s="65">
        <f t="shared" si="22"/>
        <v>7.6077778862171279E-3</v>
      </c>
      <c r="Y82" s="65">
        <f t="shared" si="19"/>
        <v>1.2679629810361881E-4</v>
      </c>
      <c r="Z82" s="71">
        <f>X82*$B$51</f>
        <v>0.76077778862171275</v>
      </c>
      <c r="AA82" s="58">
        <f>X82*$E$43</f>
        <v>9.1293334634605528E-3</v>
      </c>
      <c r="AB82" s="58">
        <f>X82*$E$45</f>
        <v>9.2054112423227245E-3</v>
      </c>
      <c r="AC82" s="47">
        <f>X82*$E$44</f>
        <v>9.5097223577714097E-3</v>
      </c>
    </row>
    <row r="83" spans="1:29" x14ac:dyDescent="0.25">
      <c r="A83" s="263" t="s">
        <v>61</v>
      </c>
      <c r="B83" s="39" t="e">
        <f>AVERAGE(B73:B82)</f>
        <v>#DIV/0!</v>
      </c>
      <c r="C83" s="242" t="e">
        <f>AVERAGE(C73:C82)</f>
        <v>#DIV/0!</v>
      </c>
      <c r="D83" s="239" t="e">
        <f>AVERAGE(D73:D82)</f>
        <v>#DIV/0!</v>
      </c>
      <c r="E83" s="11" t="e">
        <f>AVERAGE(E73:E82)</f>
        <v>#DIV/0!</v>
      </c>
      <c r="F83" s="236" t="e">
        <f>AVERAGE(F73:F82)</f>
        <v>#DIV/0!</v>
      </c>
      <c r="G83" s="90" t="s">
        <v>93</v>
      </c>
      <c r="H83" s="11" t="str">
        <f>IF(AND(H73="-",H74="-",H75="-",H76="-",H77="-",H78="-",H79="-",H80="-",H81="-",H82="-"),"-",AVERAGE(H73:H82))</f>
        <v>-</v>
      </c>
      <c r="I83" s="38" t="e">
        <f>AVERAGE(I73:I82)</f>
        <v>#VALUE!</v>
      </c>
      <c r="J83" s="75" t="str">
        <f>IF(AND(H73="-",H74="-",H75="-",H76="-",H77="-",H78="-",H79="-",H80="-",H81="-",H82="-"),"-",AVERAGE(J73:J82))</f>
        <v>-</v>
      </c>
      <c r="K83" s="73" t="e">
        <f t="shared" ref="K83:Q83" si="27">AVERAGE(K73:K82)</f>
        <v>#REF!</v>
      </c>
      <c r="L83" s="77" t="e">
        <f t="shared" si="27"/>
        <v>#VALUE!</v>
      </c>
      <c r="M83" s="243">
        <f t="shared" si="27"/>
        <v>20.629999999999995</v>
      </c>
      <c r="N83" s="232">
        <f t="shared" si="27"/>
        <v>49.1</v>
      </c>
      <c r="O83" s="232">
        <f t="shared" si="27"/>
        <v>1010.2</v>
      </c>
      <c r="P83" s="58">
        <f t="shared" si="27"/>
        <v>-5.5529000000000005E-9</v>
      </c>
      <c r="Q83" s="232">
        <f t="shared" si="27"/>
        <v>60</v>
      </c>
      <c r="R83" s="90" t="s">
        <v>93</v>
      </c>
      <c r="S83" s="11">
        <f t="shared" ref="S83:T83" si="28">AVERAGE(S73:S82)</f>
        <v>-5.5584528999999988E-9</v>
      </c>
      <c r="T83" s="38">
        <f t="shared" si="28"/>
        <v>0.99836427081975254</v>
      </c>
      <c r="U83" s="63">
        <f>AVERAGE(U73:U82)</f>
        <v>-8.3838502914614475E-11</v>
      </c>
      <c r="V83" s="58">
        <f t="shared" ref="V83:AC83" si="29">AVERAGE(V73:V82)</f>
        <v>-8.3838502914614475E-11</v>
      </c>
      <c r="W83" s="73" t="e">
        <f t="shared" si="29"/>
        <v>#REF!</v>
      </c>
      <c r="X83" s="75">
        <f t="shared" si="29"/>
        <v>7.605828984413825E-3</v>
      </c>
      <c r="Y83" s="75">
        <f t="shared" ref="Y83" si="30">AVERAGE(Y73:Y82)</f>
        <v>1.2676381640689709E-4</v>
      </c>
      <c r="Z83" s="73">
        <f t="shared" si="29"/>
        <v>0.7605828984413826</v>
      </c>
      <c r="AA83" s="73">
        <f t="shared" si="29"/>
        <v>9.1269947812965876E-3</v>
      </c>
      <c r="AB83" s="73">
        <f t="shared" si="29"/>
        <v>9.2030530711407262E-3</v>
      </c>
      <c r="AC83" s="72">
        <f t="shared" si="29"/>
        <v>9.5072862305172791E-3</v>
      </c>
    </row>
    <row r="84" spans="1:29" x14ac:dyDescent="0.25">
      <c r="A84" s="263" t="s">
        <v>62</v>
      </c>
      <c r="B84" s="39">
        <f>STDEVA(B73:B82)</f>
        <v>0</v>
      </c>
      <c r="C84" s="41">
        <f>STDEVA(C73:C82)</f>
        <v>0</v>
      </c>
      <c r="D84" s="42">
        <f>STDEVA(D73:D82)</f>
        <v>0</v>
      </c>
      <c r="E84" s="11">
        <f>STDEVA(E73:E82)</f>
        <v>0</v>
      </c>
      <c r="F84" s="94">
        <f>STDEVA(F73:F82)</f>
        <v>0</v>
      </c>
      <c r="G84" s="40" t="s">
        <v>93</v>
      </c>
      <c r="H84" s="11" t="str">
        <f>IF(H83="-","-",STDEVA(H73:H82))</f>
        <v>-</v>
      </c>
      <c r="I84" s="40" t="e">
        <f t="shared" ref="I84" si="31">STDEVA(I73:I82)</f>
        <v>#VALUE!</v>
      </c>
      <c r="J84" s="63" t="str">
        <f>IF(J83="-","-",STDEVA(J73:J82))</f>
        <v>-</v>
      </c>
      <c r="K84" s="58" t="e">
        <f t="shared" ref="K84:Q84" si="32">STDEVA(K73:K82)</f>
        <v>#REF!</v>
      </c>
      <c r="L84" s="74" t="e">
        <f t="shared" si="32"/>
        <v>#VALUE!</v>
      </c>
      <c r="M84" s="82">
        <f t="shared" si="32"/>
        <v>4.8304589153963767E-2</v>
      </c>
      <c r="N84" s="38">
        <f t="shared" si="32"/>
        <v>0.31622776601683794</v>
      </c>
      <c r="O84" s="38">
        <f t="shared" si="32"/>
        <v>0</v>
      </c>
      <c r="P84" s="58">
        <f t="shared" si="32"/>
        <v>8.7559503577083536E-13</v>
      </c>
      <c r="Q84" s="38">
        <f t="shared" si="32"/>
        <v>0</v>
      </c>
      <c r="R84" s="40" t="s">
        <v>93</v>
      </c>
      <c r="S84" s="11">
        <f t="shared" ref="S84:AC84" si="33">STDEVA(S73:S82)</f>
        <v>8.7647063080650756E-13</v>
      </c>
      <c r="T84" s="40">
        <f t="shared" si="33"/>
        <v>1.6412747482534053E-4</v>
      </c>
      <c r="U84" s="63">
        <f t="shared" si="33"/>
        <v>2.21174893686298E-14</v>
      </c>
      <c r="V84" s="58">
        <f t="shared" si="33"/>
        <v>2.21174893686298E-14</v>
      </c>
      <c r="W84" s="58" t="e">
        <f t="shared" si="33"/>
        <v>#REF!</v>
      </c>
      <c r="X84" s="63">
        <f t="shared" si="33"/>
        <v>2.0064986355219752E-6</v>
      </c>
      <c r="Y84" s="63">
        <f t="shared" ref="Y84" si="34">STDEVA(Y73:Y82)</f>
        <v>3.3441643925369001E-8</v>
      </c>
      <c r="Z84" s="58">
        <f t="shared" si="33"/>
        <v>2.0064986355217948E-4</v>
      </c>
      <c r="AA84" s="58">
        <f t="shared" si="33"/>
        <v>2.4077983626264057E-6</v>
      </c>
      <c r="AB84" s="58">
        <f t="shared" si="33"/>
        <v>2.427863348981555E-6</v>
      </c>
      <c r="AC84" s="47">
        <f t="shared" si="33"/>
        <v>2.5081232944021392E-6</v>
      </c>
    </row>
    <row r="85" spans="1:29" ht="15.75" thickBot="1" x14ac:dyDescent="0.3">
      <c r="A85" s="264" t="s">
        <v>63</v>
      </c>
      <c r="B85" s="44" t="e">
        <f>B84/B83*100</f>
        <v>#DIV/0!</v>
      </c>
      <c r="C85" s="45" t="e">
        <f>C84/C83*100</f>
        <v>#DIV/0!</v>
      </c>
      <c r="D85" s="46" t="e">
        <f>D84/D83*100</f>
        <v>#DIV/0!</v>
      </c>
      <c r="E85" s="43" t="e">
        <f>E84/E83*100</f>
        <v>#DIV/0!</v>
      </c>
      <c r="F85" s="95" t="e">
        <f>F84/F83*100</f>
        <v>#DIV/0!</v>
      </c>
      <c r="G85" s="43" t="s">
        <v>93</v>
      </c>
      <c r="H85" s="89" t="str">
        <f>IF(H83="-","-",H84/H83*100)</f>
        <v>-</v>
      </c>
      <c r="I85" s="43" t="e">
        <f t="shared" ref="I85" si="35">I84/I83*100</f>
        <v>#VALUE!</v>
      </c>
      <c r="J85" s="64" t="str">
        <f>IF(J83="-","-",J84/J83*100)</f>
        <v>-</v>
      </c>
      <c r="K85" s="19" t="e">
        <f t="shared" ref="K85:Q85" si="36">K84/K83*100</f>
        <v>#REF!</v>
      </c>
      <c r="L85" s="78" t="e">
        <f t="shared" si="36"/>
        <v>#VALUE!</v>
      </c>
      <c r="M85" s="83">
        <f t="shared" si="36"/>
        <v>0.23414730564209296</v>
      </c>
      <c r="N85" s="81">
        <f t="shared" si="36"/>
        <v>0.64404840329294899</v>
      </c>
      <c r="O85" s="81">
        <f t="shared" si="36"/>
        <v>0</v>
      </c>
      <c r="P85" s="19">
        <f t="shared" si="36"/>
        <v>-1.5768247866355153E-2</v>
      </c>
      <c r="Q85" s="81">
        <f t="shared" si="36"/>
        <v>0</v>
      </c>
      <c r="R85" s="43" t="s">
        <v>93</v>
      </c>
      <c r="S85" s="89">
        <f t="shared" ref="S85:AC85" si="37">S84/S83*100</f>
        <v>-1.5768247866353384E-2</v>
      </c>
      <c r="T85" s="43">
        <f t="shared" si="37"/>
        <v>1.6439638278579038E-2</v>
      </c>
      <c r="U85" s="64">
        <f t="shared" si="37"/>
        <v>-2.6381064307834087E-2</v>
      </c>
      <c r="V85" s="19">
        <f t="shared" si="37"/>
        <v>-2.6381064307834087E-2</v>
      </c>
      <c r="W85" s="19" t="e">
        <f t="shared" si="37"/>
        <v>#REF!</v>
      </c>
      <c r="X85" s="64">
        <f t="shared" si="37"/>
        <v>2.6381064307832509E-2</v>
      </c>
      <c r="Y85" s="64">
        <f t="shared" ref="Y85" si="38">Y84/Y83*100</f>
        <v>2.638106430783467E-2</v>
      </c>
      <c r="Z85" s="19">
        <f t="shared" si="37"/>
        <v>2.6381064307830129E-2</v>
      </c>
      <c r="AA85" s="19">
        <f t="shared" si="37"/>
        <v>2.6381064307832904E-2</v>
      </c>
      <c r="AB85" s="19">
        <f t="shared" si="37"/>
        <v>2.6381064307832134E-2</v>
      </c>
      <c r="AC85" s="17">
        <f t="shared" si="37"/>
        <v>2.6381064307829043E-2</v>
      </c>
    </row>
    <row r="90" spans="1:29" x14ac:dyDescent="0.25">
      <c r="P90" s="13"/>
      <c r="V90" s="13"/>
    </row>
    <row r="91" spans="1:29" x14ac:dyDescent="0.25">
      <c r="Y91" s="558"/>
    </row>
    <row r="93" spans="1:29" x14ac:dyDescent="0.25">
      <c r="S93" s="13"/>
      <c r="U93" s="13"/>
    </row>
  </sheetData>
  <sheetProtection password="D8A8"/>
  <mergeCells count="23">
    <mergeCell ref="A23:C24"/>
    <mergeCell ref="E23:F24"/>
    <mergeCell ref="A1:B4"/>
    <mergeCell ref="C1:F4"/>
    <mergeCell ref="M7:AC8"/>
    <mergeCell ref="A10:D10"/>
    <mergeCell ref="A14:B15"/>
    <mergeCell ref="B25:C25"/>
    <mergeCell ref="A32:F33"/>
    <mergeCell ref="H32:I33"/>
    <mergeCell ref="A34:A35"/>
    <mergeCell ref="B34:B35"/>
    <mergeCell ref="C34:C35"/>
    <mergeCell ref="D34:D35"/>
    <mergeCell ref="E34:F34"/>
    <mergeCell ref="A73:A82"/>
    <mergeCell ref="M67:AC67"/>
    <mergeCell ref="A40:E40"/>
    <mergeCell ref="A41:B41"/>
    <mergeCell ref="A42:B43"/>
    <mergeCell ref="A44:B45"/>
    <mergeCell ref="A49:C49"/>
    <mergeCell ref="B67:L67"/>
  </mergeCells>
  <pageMargins left="0.7" right="0.7" top="0.75" bottom="0.75" header="0.3" footer="0.3"/>
  <pageSetup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>
    <pageSetUpPr fitToPage="1"/>
  </sheetPr>
  <dimension ref="A1:S264"/>
  <sheetViews>
    <sheetView topLeftCell="A17" workbookViewId="0">
      <selection activeCell="M36" sqref="M36"/>
    </sheetView>
  </sheetViews>
  <sheetFormatPr baseColWidth="10" defaultColWidth="11.42578125" defaultRowHeight="15" x14ac:dyDescent="0.25"/>
  <cols>
    <col min="1" max="2" width="11.42578125" style="1045"/>
    <col min="3" max="6" width="12.7109375" style="1045" bestFit="1" customWidth="1"/>
    <col min="7" max="7" width="11.42578125" style="1045"/>
    <col min="8" max="9" width="12" style="1045" bestFit="1" customWidth="1"/>
    <col min="10" max="10" width="11.42578125" style="1045"/>
    <col min="11" max="13" width="12.7109375" style="1045" bestFit="1" customWidth="1"/>
    <col min="14" max="15" width="14.28515625" style="1045" customWidth="1"/>
    <col min="16" max="16" width="11.42578125" style="1045"/>
    <col min="17" max="17" width="12.140625" style="1045" customWidth="1"/>
    <col min="18" max="18" width="11.42578125" style="1045"/>
    <col min="19" max="19" width="12.140625" style="1045" customWidth="1"/>
    <col min="20" max="16384" width="11.42578125" style="1045"/>
  </cols>
  <sheetData>
    <row r="1" spans="1:19" ht="15" customHeight="1" x14ac:dyDescent="0.25">
      <c r="A1" s="1040"/>
      <c r="B1" s="1041"/>
      <c r="C1" s="1042"/>
      <c r="D1" s="2605" t="s">
        <v>555</v>
      </c>
      <c r="E1" s="2606"/>
      <c r="F1" s="2606"/>
      <c r="G1" s="2606"/>
      <c r="H1" s="2606"/>
      <c r="I1" s="2606"/>
      <c r="J1" s="2606"/>
      <c r="K1" s="2606"/>
      <c r="L1" s="2606"/>
      <c r="M1" s="2606"/>
      <c r="N1" s="2606"/>
      <c r="O1" s="2606"/>
      <c r="P1" s="2606"/>
      <c r="Q1" s="2607"/>
      <c r="R1" s="1043" t="s">
        <v>68</v>
      </c>
      <c r="S1" s="1044" t="s">
        <v>556</v>
      </c>
    </row>
    <row r="2" spans="1:19" ht="15" customHeight="1" x14ac:dyDescent="0.25">
      <c r="A2" s="1046"/>
      <c r="C2" s="1047"/>
      <c r="D2" s="2608"/>
      <c r="E2" s="2609"/>
      <c r="F2" s="2609"/>
      <c r="G2" s="2609"/>
      <c r="H2" s="2609"/>
      <c r="I2" s="2609"/>
      <c r="J2" s="2609"/>
      <c r="K2" s="2609"/>
      <c r="L2" s="2609"/>
      <c r="M2" s="2609"/>
      <c r="N2" s="2609"/>
      <c r="O2" s="2609"/>
      <c r="P2" s="2609"/>
      <c r="Q2" s="2610"/>
      <c r="R2" s="1048" t="s">
        <v>69</v>
      </c>
      <c r="S2" s="1049" t="s">
        <v>174</v>
      </c>
    </row>
    <row r="3" spans="1:19" ht="15" customHeight="1" x14ac:dyDescent="0.25">
      <c r="A3" s="1046"/>
      <c r="C3" s="1047"/>
      <c r="D3" s="2608"/>
      <c r="E3" s="2609"/>
      <c r="F3" s="2609"/>
      <c r="G3" s="2609"/>
      <c r="H3" s="2609"/>
      <c r="I3" s="2609"/>
      <c r="J3" s="2609"/>
      <c r="K3" s="2609"/>
      <c r="L3" s="2609"/>
      <c r="M3" s="2609"/>
      <c r="N3" s="2609"/>
      <c r="O3" s="2609"/>
      <c r="P3" s="2609"/>
      <c r="Q3" s="2610"/>
      <c r="R3" s="1048" t="s">
        <v>70</v>
      </c>
      <c r="S3" s="1049" t="s">
        <v>72</v>
      </c>
    </row>
    <row r="4" spans="1:19" ht="15" customHeight="1" x14ac:dyDescent="0.25">
      <c r="A4" s="1050"/>
      <c r="B4" s="1051"/>
      <c r="C4" s="1052"/>
      <c r="D4" s="2611"/>
      <c r="E4" s="2612"/>
      <c r="F4" s="2612"/>
      <c r="G4" s="2612"/>
      <c r="H4" s="2612"/>
      <c r="I4" s="2612"/>
      <c r="J4" s="2612"/>
      <c r="K4" s="2612"/>
      <c r="L4" s="2612"/>
      <c r="M4" s="2612"/>
      <c r="N4" s="2612"/>
      <c r="O4" s="2612"/>
      <c r="P4" s="2612"/>
      <c r="Q4" s="2613"/>
      <c r="R4" s="1053" t="s">
        <v>71</v>
      </c>
      <c r="S4" s="1054" t="s">
        <v>73</v>
      </c>
    </row>
    <row r="5" spans="1:19" s="1055" customFormat="1" x14ac:dyDescent="0.25"/>
    <row r="7" spans="1:19" ht="18.75" x14ac:dyDescent="0.25">
      <c r="A7" s="2422" t="s">
        <v>1003</v>
      </c>
      <c r="B7" s="2614"/>
      <c r="C7" s="2614"/>
      <c r="D7" s="2614"/>
      <c r="E7" s="2614"/>
      <c r="F7" s="2614"/>
      <c r="G7" s="2614"/>
      <c r="H7" s="2614"/>
      <c r="I7" s="2614"/>
      <c r="J7" s="2614"/>
      <c r="K7" s="2614"/>
      <c r="L7" s="2614"/>
      <c r="M7" s="2614"/>
      <c r="N7" s="2614"/>
      <c r="O7" s="2614"/>
      <c r="P7" s="2614"/>
      <c r="Q7" s="2614"/>
      <c r="R7" s="2614"/>
      <c r="S7" s="2614"/>
    </row>
    <row r="9" spans="1:19" x14ac:dyDescent="0.25">
      <c r="A9" s="1056" t="s">
        <v>545</v>
      </c>
    </row>
    <row r="11" spans="1:19" x14ac:dyDescent="0.25">
      <c r="A11" s="1057" t="s">
        <v>350</v>
      </c>
      <c r="B11" s="1045" t="s">
        <v>353</v>
      </c>
    </row>
    <row r="12" spans="1:19" x14ac:dyDescent="0.25">
      <c r="A12" s="1057" t="s">
        <v>351</v>
      </c>
      <c r="B12" s="1045" t="s">
        <v>354</v>
      </c>
    </row>
    <row r="13" spans="1:19" x14ac:dyDescent="0.25">
      <c r="A13" s="1057" t="s">
        <v>352</v>
      </c>
      <c r="B13" s="1058" t="s">
        <v>355</v>
      </c>
    </row>
    <row r="14" spans="1:19" x14ac:dyDescent="0.25">
      <c r="A14" s="1057" t="s">
        <v>547</v>
      </c>
      <c r="B14" s="1058" t="s">
        <v>548</v>
      </c>
    </row>
    <row r="16" spans="1:19" ht="15.75" thickBot="1" x14ac:dyDescent="0.3"/>
    <row r="17" spans="1:19" ht="15.75" thickBot="1" x14ac:dyDescent="0.3">
      <c r="A17" s="1056"/>
      <c r="M17" s="2615" t="s">
        <v>348</v>
      </c>
      <c r="N17" s="2616"/>
      <c r="O17" s="2615" t="s">
        <v>458</v>
      </c>
      <c r="P17" s="2617"/>
      <c r="Q17" s="2618" t="s">
        <v>557</v>
      </c>
      <c r="R17" s="2620" t="s">
        <v>558</v>
      </c>
      <c r="S17" s="2618" t="s">
        <v>559</v>
      </c>
    </row>
    <row r="18" spans="1:19" ht="45.75" thickBot="1" x14ac:dyDescent="0.3">
      <c r="A18" s="1059" t="s">
        <v>542</v>
      </c>
      <c r="B18" s="2622" t="s">
        <v>524</v>
      </c>
      <c r="C18" s="2623"/>
      <c r="D18" s="2623"/>
      <c r="E18" s="2623"/>
      <c r="F18" s="2624"/>
      <c r="G18" s="1060" t="s">
        <v>525</v>
      </c>
      <c r="H18" s="1061" t="s">
        <v>560</v>
      </c>
      <c r="I18" s="1062" t="s">
        <v>526</v>
      </c>
      <c r="J18" s="1059" t="s">
        <v>117</v>
      </c>
      <c r="K18" s="1063" t="s">
        <v>347</v>
      </c>
      <c r="L18" s="1064" t="s">
        <v>546</v>
      </c>
      <c r="M18" s="1065" t="s">
        <v>118</v>
      </c>
      <c r="N18" s="1060" t="s">
        <v>117</v>
      </c>
      <c r="O18" s="1065" t="s">
        <v>105</v>
      </c>
      <c r="P18" s="1066" t="s">
        <v>104</v>
      </c>
      <c r="Q18" s="2619"/>
      <c r="R18" s="2621"/>
      <c r="S18" s="2619"/>
    </row>
    <row r="19" spans="1:19" ht="18" x14ac:dyDescent="0.25">
      <c r="A19" s="1067">
        <v>1</v>
      </c>
      <c r="B19" s="2599" t="s">
        <v>576</v>
      </c>
      <c r="C19" s="2600"/>
      <c r="D19" s="2600"/>
      <c r="E19" s="2600"/>
      <c r="F19" s="2601"/>
      <c r="G19" s="1068" t="s">
        <v>682</v>
      </c>
      <c r="H19" s="1456" t="s">
        <v>451</v>
      </c>
      <c r="I19" s="1457">
        <f>C109</f>
        <v>2.4526248129736573E-4</v>
      </c>
      <c r="J19" s="1067" t="str">
        <f>D109</f>
        <v>Gy</v>
      </c>
      <c r="K19" s="1069" t="s">
        <v>373</v>
      </c>
      <c r="L19" s="1070">
        <f>IF(K19="normal (k=1)",1,IF(K19="normal (k=2)",2,IF(K19="normal (k=3)",3,IF(K19="rectangular",SQRT(3),IF(K19="triangular",SQRT(6),IF(K19="Prob. U",SQRT(2),"no definido"))))))</f>
        <v>2</v>
      </c>
      <c r="M19" s="1071">
        <f>C116</f>
        <v>1</v>
      </c>
      <c r="N19" s="1072" t="str">
        <f>D116</f>
        <v>-</v>
      </c>
      <c r="O19" s="1073">
        <f t="shared" ref="O19:O27" si="0">I19*M19/L19</f>
        <v>1.2263124064868286E-4</v>
      </c>
      <c r="P19" s="1074" t="s">
        <v>645</v>
      </c>
      <c r="Q19" s="1075">
        <f t="shared" ref="Q19:Q27" si="1">O19/$C$90</f>
        <v>8.9678169276660395E-3</v>
      </c>
      <c r="R19" s="1076">
        <f>Q19*100</f>
        <v>0.89678169276660391</v>
      </c>
      <c r="S19" s="1077">
        <f t="shared" ref="S19:S27" si="2">ABS(O19^2/$O$29^2*100)</f>
        <v>71.516060079231764</v>
      </c>
    </row>
    <row r="20" spans="1:19" ht="18" x14ac:dyDescent="0.25">
      <c r="A20" s="1078">
        <v>2</v>
      </c>
      <c r="B20" s="2599" t="s">
        <v>341</v>
      </c>
      <c r="C20" s="2600"/>
      <c r="D20" s="2600"/>
      <c r="E20" s="2600"/>
      <c r="F20" s="2601"/>
      <c r="G20" s="1079" t="s">
        <v>618</v>
      </c>
      <c r="H20" s="1453" t="s">
        <v>451</v>
      </c>
      <c r="I20" s="1086">
        <f>C125</f>
        <v>1.1927594102701006E-4</v>
      </c>
      <c r="J20" s="1078" t="str">
        <f>D125</f>
        <v>Gy</v>
      </c>
      <c r="K20" s="1080" t="s">
        <v>370</v>
      </c>
      <c r="L20" s="1081">
        <f t="shared" ref="L20:L26" si="3">IF(K20="normal (k=1)",1,IF(K20="normal (k=2)",2,IF(K20="normal (k=3)",3,IF(K20="rectangular",SQRT(3),IF(K20="triangular",SQRT(6),IF(K20="Prob. U",SQRT(2),"no definido"))))))</f>
        <v>1.7320508075688772</v>
      </c>
      <c r="M20" s="1082">
        <f>C135</f>
        <v>1</v>
      </c>
      <c r="N20" s="1083" t="str">
        <f>D116</f>
        <v>-</v>
      </c>
      <c r="O20" s="1084">
        <f t="shared" si="0"/>
        <v>6.8863996659790188E-5</v>
      </c>
      <c r="P20" s="1085" t="s">
        <v>645</v>
      </c>
      <c r="Q20" s="1086">
        <f t="shared" si="1"/>
        <v>5.0359085636392199E-3</v>
      </c>
      <c r="R20" s="1087">
        <f t="shared" ref="R20:R27" si="4">Q20*100</f>
        <v>0.50359085636392198</v>
      </c>
      <c r="S20" s="1088">
        <f t="shared" si="2"/>
        <v>22.552037501451071</v>
      </c>
    </row>
    <row r="21" spans="1:19" ht="18" x14ac:dyDescent="0.25">
      <c r="A21" s="1078">
        <v>3</v>
      </c>
      <c r="B21" s="2599" t="s">
        <v>639</v>
      </c>
      <c r="C21" s="2600"/>
      <c r="D21" s="2600"/>
      <c r="E21" s="2600"/>
      <c r="F21" s="2601"/>
      <c r="G21" s="1079" t="s">
        <v>803</v>
      </c>
      <c r="H21" s="1453" t="s">
        <v>451</v>
      </c>
      <c r="I21" s="1086">
        <f>C144</f>
        <v>1.630000157393327E-2</v>
      </c>
      <c r="J21" s="1078" t="str">
        <f>D144</f>
        <v>s</v>
      </c>
      <c r="K21" s="1080" t="s">
        <v>370</v>
      </c>
      <c r="L21" s="1081">
        <f t="shared" si="3"/>
        <v>1.7320508075688772</v>
      </c>
      <c r="M21" s="1082">
        <f>C154</f>
        <v>2.6750561686121773E-4</v>
      </c>
      <c r="N21" s="1083" t="str">
        <f>D154</f>
        <v>Gy/s</v>
      </c>
      <c r="O21" s="1084">
        <f t="shared" si="0"/>
        <v>2.5174446135295864E-6</v>
      </c>
      <c r="P21" s="1085" t="s">
        <v>645</v>
      </c>
      <c r="Q21" s="1086">
        <f t="shared" si="1"/>
        <v>1.8409650183959705E-4</v>
      </c>
      <c r="R21" s="1087">
        <f t="shared" si="4"/>
        <v>1.8409650183959705E-2</v>
      </c>
      <c r="S21" s="1088">
        <f t="shared" si="2"/>
        <v>3.0138468892579508E-2</v>
      </c>
    </row>
    <row r="22" spans="1:19" s="730" customFormat="1" ht="18" x14ac:dyDescent="0.25">
      <c r="A22" s="741">
        <v>4</v>
      </c>
      <c r="B22" s="2594" t="s">
        <v>993</v>
      </c>
      <c r="C22" s="2595"/>
      <c r="D22" s="2595"/>
      <c r="E22" s="2595"/>
      <c r="F22" s="2558"/>
      <c r="G22" s="1454" t="s">
        <v>620</v>
      </c>
      <c r="H22" s="781" t="s">
        <v>451</v>
      </c>
      <c r="I22" s="1086">
        <f>$C$167</f>
        <v>4.1023961621966358E-5</v>
      </c>
      <c r="J22" s="1078" t="str">
        <f>D167</f>
        <v>Gy</v>
      </c>
      <c r="K22" s="1080" t="s">
        <v>370</v>
      </c>
      <c r="L22" s="1081">
        <f t="shared" si="3"/>
        <v>1.7320508075688772</v>
      </c>
      <c r="M22" s="1082">
        <f>C174</f>
        <v>1</v>
      </c>
      <c r="N22" s="1083" t="str">
        <f>D174</f>
        <v>-</v>
      </c>
      <c r="O22" s="1084">
        <f t="shared" si="0"/>
        <v>2.3685195285667155E-5</v>
      </c>
      <c r="P22" s="373" t="s">
        <v>645</v>
      </c>
      <c r="Q22" s="1086">
        <f t="shared" si="1"/>
        <v>1.7320586018238504E-3</v>
      </c>
      <c r="R22" s="1087">
        <f t="shared" si="4"/>
        <v>0.17320586018238504</v>
      </c>
      <c r="S22" s="1088">
        <f t="shared" si="2"/>
        <v>2.6678123351552832</v>
      </c>
    </row>
    <row r="23" spans="1:19" s="730" customFormat="1" ht="18" x14ac:dyDescent="0.25">
      <c r="A23" s="741">
        <v>5</v>
      </c>
      <c r="B23" s="2593" t="s">
        <v>429</v>
      </c>
      <c r="C23" s="2559"/>
      <c r="D23" s="2559"/>
      <c r="E23" s="2559"/>
      <c r="F23" s="2555"/>
      <c r="G23" s="1454" t="s">
        <v>621</v>
      </c>
      <c r="H23" s="781" t="s">
        <v>451</v>
      </c>
      <c r="I23" s="1086">
        <f>$C$183</f>
        <v>2.7234297889324675E-5</v>
      </c>
      <c r="J23" s="1078" t="str">
        <f>D183</f>
        <v>Gy</v>
      </c>
      <c r="K23" s="1080" t="s">
        <v>370</v>
      </c>
      <c r="L23" s="1081">
        <f t="shared" si="3"/>
        <v>1.7320508075688772</v>
      </c>
      <c r="M23" s="1082">
        <f>C193</f>
        <v>1</v>
      </c>
      <c r="N23" s="374" t="str">
        <f>D193</f>
        <v>-</v>
      </c>
      <c r="O23" s="1084">
        <f t="shared" si="0"/>
        <v>1.572372921759206E-5</v>
      </c>
      <c r="P23" s="373" t="s">
        <v>645</v>
      </c>
      <c r="Q23" s="1086">
        <f t="shared" si="1"/>
        <v>1.1498499427851435E-3</v>
      </c>
      <c r="R23" s="1087">
        <f t="shared" si="4"/>
        <v>0.11498499427851434</v>
      </c>
      <c r="S23" s="1088">
        <f t="shared" si="2"/>
        <v>1.1757431272490408</v>
      </c>
    </row>
    <row r="24" spans="1:19" s="730" customFormat="1" ht="18" x14ac:dyDescent="0.25">
      <c r="A24" s="741">
        <v>6</v>
      </c>
      <c r="B24" s="2594" t="s">
        <v>986</v>
      </c>
      <c r="C24" s="2595"/>
      <c r="D24" s="2595"/>
      <c r="E24" s="2595"/>
      <c r="F24" s="2558"/>
      <c r="G24" s="1454" t="s">
        <v>622</v>
      </c>
      <c r="H24" s="781" t="s">
        <v>451</v>
      </c>
      <c r="I24" s="1086">
        <f>$C$204</f>
        <v>7.5148254867849623E-6</v>
      </c>
      <c r="J24" s="1078" t="str">
        <f>D204</f>
        <v>Gy</v>
      </c>
      <c r="K24" s="1080" t="s">
        <v>373</v>
      </c>
      <c r="L24" s="1081">
        <f t="shared" si="3"/>
        <v>2</v>
      </c>
      <c r="M24" s="1082">
        <f>C211</f>
        <v>1</v>
      </c>
      <c r="N24" s="1083" t="str">
        <f>D211</f>
        <v>-</v>
      </c>
      <c r="O24" s="1084">
        <f t="shared" si="0"/>
        <v>3.7574127433924812E-6</v>
      </c>
      <c r="P24" s="373" t="s">
        <v>645</v>
      </c>
      <c r="Q24" s="1086">
        <f t="shared" si="1"/>
        <v>2.7477329126071348E-4</v>
      </c>
      <c r="R24" s="1087">
        <f t="shared" si="4"/>
        <v>2.747732912607135E-2</v>
      </c>
      <c r="S24" s="1088">
        <f t="shared" si="2"/>
        <v>6.7139661059362074E-2</v>
      </c>
    </row>
    <row r="25" spans="1:19" s="730" customFormat="1" ht="18" x14ac:dyDescent="0.25">
      <c r="A25" s="741">
        <v>7</v>
      </c>
      <c r="B25" s="2593" t="s">
        <v>511</v>
      </c>
      <c r="C25" s="2559"/>
      <c r="D25" s="2559"/>
      <c r="E25" s="2559"/>
      <c r="F25" s="2555"/>
      <c r="G25" s="1454" t="s">
        <v>623</v>
      </c>
      <c r="H25" s="781" t="s">
        <v>451</v>
      </c>
      <c r="I25" s="1086">
        <f>$C$222</f>
        <v>6.8321716134430929E-6</v>
      </c>
      <c r="J25" s="1078" t="str">
        <f>$D$222</f>
        <v>Gy</v>
      </c>
      <c r="K25" s="1080" t="s">
        <v>370</v>
      </c>
      <c r="L25" s="1081">
        <f t="shared" si="3"/>
        <v>1.7320508075688772</v>
      </c>
      <c r="M25" s="1082">
        <f>C229</f>
        <v>1</v>
      </c>
      <c r="N25" s="1083" t="str">
        <f>D229</f>
        <v>-</v>
      </c>
      <c r="O25" s="1084">
        <f t="shared" si="0"/>
        <v>3.94455612017109E-6</v>
      </c>
      <c r="P25" s="373" t="s">
        <v>645</v>
      </c>
      <c r="Q25" s="1086">
        <f t="shared" si="1"/>
        <v>2.8845877249125679E-4</v>
      </c>
      <c r="R25" s="1087">
        <f t="shared" si="4"/>
        <v>2.8845877249125677E-2</v>
      </c>
      <c r="S25" s="1088">
        <f t="shared" si="2"/>
        <v>7.3994189088649964E-2</v>
      </c>
    </row>
    <row r="26" spans="1:19" ht="18" x14ac:dyDescent="0.25">
      <c r="A26" s="1078">
        <v>8</v>
      </c>
      <c r="B26" s="2594" t="s">
        <v>1000</v>
      </c>
      <c r="C26" s="2600"/>
      <c r="D26" s="2600"/>
      <c r="E26" s="2600"/>
      <c r="F26" s="2601"/>
      <c r="G26" s="1079" t="s">
        <v>804</v>
      </c>
      <c r="H26" s="1453" t="s">
        <v>451</v>
      </c>
      <c r="I26" s="1086">
        <f>C238</f>
        <v>0.13</v>
      </c>
      <c r="J26" s="1078" t="str">
        <f>D238</f>
        <v>s</v>
      </c>
      <c r="K26" s="1080" t="s">
        <v>370</v>
      </c>
      <c r="L26" s="1081">
        <f t="shared" si="3"/>
        <v>1.7320508075688772</v>
      </c>
      <c r="M26" s="1082">
        <f>C245</f>
        <v>2.6750561686121773E-4</v>
      </c>
      <c r="N26" s="1089" t="str">
        <f>D245</f>
        <v>Gy/s</v>
      </c>
      <c r="O26" s="1084">
        <f t="shared" si="0"/>
        <v>2.0077777187592925E-5</v>
      </c>
      <c r="P26" s="1085" t="s">
        <v>645</v>
      </c>
      <c r="Q26" s="1086">
        <f t="shared" si="1"/>
        <v>1.4682541673750632E-3</v>
      </c>
      <c r="R26" s="1087">
        <f t="shared" si="4"/>
        <v>0.14682541673750632</v>
      </c>
      <c r="S26" s="1088">
        <f t="shared" si="2"/>
        <v>1.9170462791994942</v>
      </c>
    </row>
    <row r="27" spans="1:19" ht="18.75" thickBot="1" x14ac:dyDescent="0.3">
      <c r="A27" s="1090">
        <v>9</v>
      </c>
      <c r="B27" s="2602" t="s">
        <v>642</v>
      </c>
      <c r="C27" s="2603"/>
      <c r="D27" s="2603"/>
      <c r="E27" s="2603"/>
      <c r="F27" s="2604"/>
      <c r="G27" s="1091" t="s">
        <v>805</v>
      </c>
      <c r="H27" s="1452" t="s">
        <v>451</v>
      </c>
      <c r="I27" s="1098">
        <f>C256</f>
        <v>5.0000000000000001E-4</v>
      </c>
      <c r="J27" s="1090" t="str">
        <f>D256</f>
        <v>s</v>
      </c>
      <c r="K27" s="1092" t="s">
        <v>370</v>
      </c>
      <c r="L27" s="1093">
        <f>IF(K27="normal (k=1)",1,IF(K27="normal (k=2)",2,IF(K27="normal (k=3)",3,IF(K27="rectangular",SQRT(3),IF(K27="triangular",SQRT(6),IF(K27="Prob. U",SQRT(2),"no definido"))))))</f>
        <v>1.7320508075688772</v>
      </c>
      <c r="M27" s="1094">
        <f>C263</f>
        <v>2.6750561686121773E-4</v>
      </c>
      <c r="N27" s="1095" t="str">
        <f>D263</f>
        <v>Gy/s</v>
      </c>
      <c r="O27" s="1096">
        <f t="shared" si="0"/>
        <v>7.7222219952280485E-8</v>
      </c>
      <c r="P27" s="1097" t="s">
        <v>645</v>
      </c>
      <c r="Q27" s="1098">
        <f t="shared" si="1"/>
        <v>5.6471314129810129E-6</v>
      </c>
      <c r="R27" s="1099">
        <f t="shared" si="4"/>
        <v>5.6471314129810126E-4</v>
      </c>
      <c r="S27" s="1100">
        <f t="shared" si="2"/>
        <v>2.8358672769223291E-5</v>
      </c>
    </row>
    <row r="28" spans="1:19" ht="15.75" thickBot="1" x14ac:dyDescent="0.3">
      <c r="G28" s="1101"/>
      <c r="M28" s="1102"/>
      <c r="O28" s="1102"/>
      <c r="Q28" s="1103"/>
      <c r="R28" s="1102"/>
      <c r="S28" s="1102"/>
    </row>
    <row r="29" spans="1:19" x14ac:dyDescent="0.25">
      <c r="M29" s="1104"/>
      <c r="N29" s="1105" t="s">
        <v>543</v>
      </c>
      <c r="O29" s="1106">
        <f>SQRT(SUMSQ(O19:O27))</f>
        <v>1.4501046050606337E-4</v>
      </c>
      <c r="P29" s="1076" t="s">
        <v>645</v>
      </c>
      <c r="Q29" s="1102"/>
      <c r="R29" s="1103"/>
      <c r="S29" s="1103"/>
    </row>
    <row r="30" spans="1:19" x14ac:dyDescent="0.25">
      <c r="M30" s="1107"/>
      <c r="N30" s="1108" t="s">
        <v>544</v>
      </c>
      <c r="O30" s="1109" t="s">
        <v>373</v>
      </c>
      <c r="P30" s="1110"/>
      <c r="Q30" s="1102"/>
      <c r="S30" s="1103"/>
    </row>
    <row r="31" spans="1:19" x14ac:dyDescent="0.25">
      <c r="M31" s="1111"/>
      <c r="N31" s="1112" t="s">
        <v>561</v>
      </c>
      <c r="O31" s="1113">
        <f>IF(O30="normal (k=1)",1,IF(O30="normal (k=2)",2,IF(O30="normal (k=3)",3,IF(O30="rectangular",SQRT(3),IF(O30="triangular",SQRT(6),IF(O30="Prob. U",SQRT(2),"no definido"))))))</f>
        <v>2</v>
      </c>
      <c r="P31" s="1087"/>
      <c r="Q31" s="1102"/>
    </row>
    <row r="32" spans="1:19" ht="18" x14ac:dyDescent="0.25">
      <c r="A32" s="1056"/>
      <c r="M32" s="1114"/>
      <c r="N32" s="1108" t="s">
        <v>649</v>
      </c>
      <c r="O32" s="1115">
        <f>O29*O31</f>
        <v>2.9002092101212674E-4</v>
      </c>
      <c r="P32" s="1110" t="s">
        <v>645</v>
      </c>
      <c r="Q32" s="1102"/>
    </row>
    <row r="33" spans="1:17" ht="18.75" thickBot="1" x14ac:dyDescent="0.3">
      <c r="A33" s="1056"/>
      <c r="M33" s="1116"/>
      <c r="N33" s="1117" t="s">
        <v>649</v>
      </c>
      <c r="O33" s="1458">
        <f>O32/C90</f>
        <v>2.1208743474110649E-2</v>
      </c>
      <c r="P33" s="1118"/>
      <c r="Q33" s="1102"/>
    </row>
    <row r="34" spans="1:17" x14ac:dyDescent="0.25">
      <c r="A34" s="1056"/>
      <c r="N34" s="1119"/>
      <c r="O34" s="1102"/>
      <c r="P34" s="1102"/>
      <c r="Q34" s="1102"/>
    </row>
    <row r="35" spans="1:17" x14ac:dyDescent="0.25">
      <c r="A35" s="1056"/>
      <c r="N35" s="1119"/>
      <c r="O35" s="1102"/>
      <c r="P35" s="1102"/>
      <c r="Q35" s="1102"/>
    </row>
    <row r="36" spans="1:17" x14ac:dyDescent="0.25">
      <c r="A36" s="1056"/>
      <c r="N36" s="1119"/>
      <c r="O36" s="1102"/>
      <c r="P36" s="1102"/>
      <c r="Q36" s="1102"/>
    </row>
    <row r="37" spans="1:17" x14ac:dyDescent="0.25">
      <c r="A37" s="1056"/>
      <c r="N37" s="1119"/>
      <c r="O37" s="1102"/>
      <c r="P37" s="1102"/>
      <c r="Q37" s="1102"/>
    </row>
    <row r="38" spans="1:17" x14ac:dyDescent="0.25">
      <c r="A38" s="1056"/>
      <c r="N38" s="1119"/>
      <c r="O38" s="1102"/>
      <c r="P38" s="1102"/>
      <c r="Q38" s="1102"/>
    </row>
    <row r="39" spans="1:17" x14ac:dyDescent="0.25">
      <c r="A39" s="1056"/>
      <c r="N39" s="1119"/>
      <c r="O39" s="1102"/>
      <c r="P39" s="1102"/>
      <c r="Q39" s="1102"/>
    </row>
    <row r="40" spans="1:17" x14ac:dyDescent="0.25">
      <c r="A40" s="1056"/>
      <c r="N40" s="1119"/>
      <c r="O40" s="1102"/>
      <c r="P40" s="1102"/>
      <c r="Q40" s="1102"/>
    </row>
    <row r="41" spans="1:17" x14ac:dyDescent="0.25">
      <c r="A41" s="1056"/>
      <c r="N41" s="1119"/>
      <c r="O41" s="1102"/>
      <c r="P41" s="1102"/>
      <c r="Q41" s="1102"/>
    </row>
    <row r="42" spans="1:17" x14ac:dyDescent="0.25">
      <c r="A42" s="1056"/>
      <c r="N42" s="1119"/>
      <c r="O42" s="1102"/>
      <c r="P42" s="1102"/>
      <c r="Q42" s="1102"/>
    </row>
    <row r="43" spans="1:17" x14ac:dyDescent="0.25">
      <c r="A43" s="1056"/>
      <c r="N43" s="1119"/>
      <c r="O43" s="1102"/>
      <c r="P43" s="1102"/>
      <c r="Q43" s="1102"/>
    </row>
    <row r="44" spans="1:17" x14ac:dyDescent="0.25">
      <c r="A44" s="1056"/>
      <c r="N44" s="1119"/>
      <c r="O44" s="1102"/>
      <c r="P44" s="1102"/>
      <c r="Q44" s="1102"/>
    </row>
    <row r="45" spans="1:17" x14ac:dyDescent="0.25">
      <c r="A45" s="1056"/>
      <c r="N45" s="1119"/>
      <c r="O45" s="1102"/>
      <c r="P45" s="1102"/>
      <c r="Q45" s="1102"/>
    </row>
    <row r="46" spans="1:17" x14ac:dyDescent="0.25">
      <c r="A46" s="1056"/>
      <c r="N46" s="1119"/>
      <c r="O46" s="1102"/>
      <c r="P46" s="1102"/>
      <c r="Q46" s="1102"/>
    </row>
    <row r="47" spans="1:17" x14ac:dyDescent="0.25">
      <c r="A47" s="1056"/>
      <c r="N47" s="1119"/>
      <c r="O47" s="1102"/>
      <c r="P47" s="1102"/>
      <c r="Q47" s="1102"/>
    </row>
    <row r="48" spans="1:17" x14ac:dyDescent="0.25">
      <c r="A48" s="1056"/>
      <c r="N48" s="1119"/>
      <c r="O48" s="1102"/>
      <c r="P48" s="1102"/>
      <c r="Q48" s="1102"/>
    </row>
    <row r="49" spans="1:17" x14ac:dyDescent="0.25">
      <c r="A49" s="1056"/>
      <c r="N49" s="1119"/>
      <c r="O49" s="1102"/>
      <c r="P49" s="1102"/>
      <c r="Q49" s="1102"/>
    </row>
    <row r="50" spans="1:17" x14ac:dyDescent="0.25">
      <c r="A50" s="1056"/>
      <c r="N50" s="1119"/>
      <c r="O50" s="1102"/>
      <c r="P50" s="1102"/>
      <c r="Q50" s="1102"/>
    </row>
    <row r="51" spans="1:17" x14ac:dyDescent="0.25">
      <c r="A51" s="1056"/>
      <c r="N51" s="1119"/>
      <c r="O51" s="1102"/>
      <c r="P51" s="1102"/>
      <c r="Q51" s="1102"/>
    </row>
    <row r="52" spans="1:17" x14ac:dyDescent="0.25">
      <c r="A52" s="1056"/>
      <c r="N52" s="1119"/>
      <c r="O52" s="1102"/>
      <c r="P52" s="1102"/>
      <c r="Q52" s="1102"/>
    </row>
    <row r="53" spans="1:17" x14ac:dyDescent="0.25">
      <c r="A53" s="1056"/>
      <c r="N53" s="1119"/>
      <c r="O53" s="1102"/>
      <c r="P53" s="1102"/>
      <c r="Q53" s="1102"/>
    </row>
    <row r="54" spans="1:17" x14ac:dyDescent="0.25">
      <c r="A54" s="1056"/>
      <c r="N54" s="1119"/>
      <c r="O54" s="1102"/>
      <c r="P54" s="1102"/>
      <c r="Q54" s="1102"/>
    </row>
    <row r="55" spans="1:17" x14ac:dyDescent="0.25">
      <c r="A55" s="1056"/>
      <c r="N55" s="1119"/>
      <c r="O55" s="1102"/>
      <c r="P55" s="1102"/>
      <c r="Q55" s="1102"/>
    </row>
    <row r="56" spans="1:17" x14ac:dyDescent="0.25">
      <c r="A56" s="1056"/>
      <c r="N56" s="1119"/>
      <c r="O56" s="1102"/>
      <c r="P56" s="1102"/>
      <c r="Q56" s="1102"/>
    </row>
    <row r="57" spans="1:17" x14ac:dyDescent="0.25">
      <c r="A57" s="1056"/>
      <c r="N57" s="1119"/>
      <c r="O57" s="1102"/>
      <c r="P57" s="1102"/>
      <c r="Q57" s="1102"/>
    </row>
    <row r="58" spans="1:17" x14ac:dyDescent="0.25">
      <c r="A58" s="1056"/>
      <c r="N58" s="1119"/>
      <c r="O58" s="1102"/>
      <c r="P58" s="1102"/>
      <c r="Q58" s="1102"/>
    </row>
    <row r="59" spans="1:17" x14ac:dyDescent="0.25">
      <c r="A59" s="1056"/>
      <c r="N59" s="1119"/>
      <c r="O59" s="1102"/>
      <c r="P59" s="1102"/>
      <c r="Q59" s="1102"/>
    </row>
    <row r="60" spans="1:17" x14ac:dyDescent="0.25">
      <c r="A60" s="1056"/>
      <c r="N60" s="1119"/>
      <c r="O60" s="1102"/>
      <c r="P60" s="1102"/>
      <c r="Q60" s="1102"/>
    </row>
    <row r="61" spans="1:17" x14ac:dyDescent="0.25">
      <c r="A61" s="1056"/>
      <c r="N61" s="1119"/>
      <c r="O61" s="1102"/>
      <c r="P61" s="1102"/>
      <c r="Q61" s="1102"/>
    </row>
    <row r="62" spans="1:17" ht="15.75" thickBot="1" x14ac:dyDescent="0.3">
      <c r="A62" s="1056"/>
      <c r="N62" s="1119"/>
      <c r="O62" s="1102"/>
      <c r="P62" s="1102"/>
      <c r="Q62" s="1102"/>
    </row>
    <row r="63" spans="1:17" x14ac:dyDescent="0.25">
      <c r="A63" s="1120"/>
      <c r="B63" s="1121"/>
      <c r="C63" s="1121"/>
      <c r="D63" s="1121"/>
      <c r="E63" s="1121"/>
      <c r="F63" s="1122"/>
      <c r="N63" s="1119"/>
      <c r="O63" s="1102"/>
      <c r="P63" s="1102"/>
      <c r="Q63" s="1102"/>
    </row>
    <row r="64" spans="1:17" x14ac:dyDescent="0.25">
      <c r="A64" s="1123" t="s">
        <v>462</v>
      </c>
      <c r="B64" s="1124"/>
      <c r="C64" s="1124"/>
      <c r="D64" s="1124"/>
      <c r="E64" s="1124"/>
      <c r="F64" s="1125"/>
      <c r="N64" s="1119"/>
      <c r="O64" s="1102"/>
      <c r="P64" s="1102"/>
      <c r="Q64" s="1102"/>
    </row>
    <row r="65" spans="1:16" x14ac:dyDescent="0.25">
      <c r="A65" s="1126"/>
      <c r="B65" s="1124"/>
      <c r="C65" s="1124"/>
      <c r="D65" s="1124"/>
      <c r="E65" s="1124"/>
      <c r="F65" s="1125"/>
    </row>
    <row r="66" spans="1:16" x14ac:dyDescent="0.25">
      <c r="A66" s="1126"/>
      <c r="B66" s="1127"/>
      <c r="C66" s="1124"/>
      <c r="D66" s="1124"/>
      <c r="E66" s="1124"/>
      <c r="F66" s="1125"/>
    </row>
    <row r="67" spans="1:16" x14ac:dyDescent="0.25">
      <c r="A67" s="1126"/>
      <c r="B67" s="1124"/>
      <c r="C67" s="1124"/>
      <c r="D67" s="1124"/>
      <c r="E67" s="1124"/>
      <c r="F67" s="1125"/>
      <c r="N67" s="1102"/>
      <c r="O67" s="1102"/>
      <c r="P67" s="1102"/>
    </row>
    <row r="68" spans="1:16" x14ac:dyDescent="0.25">
      <c r="A68" s="1126"/>
      <c r="B68" s="1124"/>
      <c r="C68" s="1124"/>
      <c r="D68" s="1124"/>
      <c r="E68" s="1124"/>
      <c r="F68" s="1125"/>
      <c r="N68" s="1102"/>
      <c r="O68" s="1102"/>
      <c r="P68" s="1102"/>
    </row>
    <row r="69" spans="1:16" x14ac:dyDescent="0.25">
      <c r="A69" s="1126"/>
      <c r="B69" s="1124"/>
      <c r="C69" s="1124"/>
      <c r="D69" s="1124"/>
      <c r="E69" s="1124"/>
      <c r="F69" s="1125"/>
      <c r="N69" s="1102"/>
      <c r="O69" s="1102"/>
      <c r="P69" s="1102"/>
    </row>
    <row r="70" spans="1:16" x14ac:dyDescent="0.25">
      <c r="A70" s="1126"/>
      <c r="B70" s="1124"/>
      <c r="C70" s="1124"/>
      <c r="D70" s="1124"/>
      <c r="E70" s="1124"/>
      <c r="F70" s="1125"/>
      <c r="N70" s="1102"/>
      <c r="O70" s="1102"/>
      <c r="P70" s="1102"/>
    </row>
    <row r="71" spans="1:16" x14ac:dyDescent="0.25">
      <c r="A71" s="1126"/>
      <c r="B71" s="1124"/>
      <c r="C71" s="1124"/>
      <c r="D71" s="1124"/>
      <c r="E71" s="1124"/>
      <c r="F71" s="1125"/>
      <c r="N71" s="1102"/>
      <c r="O71" s="1102"/>
      <c r="P71" s="1102"/>
    </row>
    <row r="72" spans="1:16" x14ac:dyDescent="0.25">
      <c r="A72" s="1126"/>
      <c r="B72" s="1124" t="s">
        <v>465</v>
      </c>
      <c r="C72" s="1124"/>
      <c r="D72" s="1124"/>
      <c r="E72" s="1124"/>
      <c r="F72" s="1125"/>
      <c r="N72" s="1102"/>
      <c r="O72" s="1102"/>
      <c r="P72" s="1102"/>
    </row>
    <row r="73" spans="1:16" x14ac:dyDescent="0.25">
      <c r="A73" s="1126"/>
      <c r="B73" s="1124"/>
      <c r="C73" s="1127"/>
      <c r="D73" s="1124"/>
      <c r="E73" s="1124"/>
      <c r="F73" s="1125"/>
      <c r="N73" s="1102"/>
      <c r="O73" s="1102"/>
      <c r="P73" s="1102"/>
    </row>
    <row r="74" spans="1:16" x14ac:dyDescent="0.25">
      <c r="A74" s="1126"/>
      <c r="B74" s="1127"/>
      <c r="C74" s="1124"/>
      <c r="D74" s="1124"/>
      <c r="E74" s="1124"/>
      <c r="F74" s="1125"/>
      <c r="N74" s="1102"/>
      <c r="O74" s="1102"/>
      <c r="P74" s="1102"/>
    </row>
    <row r="75" spans="1:16" x14ac:dyDescent="0.25">
      <c r="A75" s="1126"/>
      <c r="B75" s="1124"/>
      <c r="C75" s="1124"/>
      <c r="D75" s="1124"/>
      <c r="E75" s="1124"/>
      <c r="F75" s="1125"/>
      <c r="N75" s="1102"/>
      <c r="O75" s="1102"/>
      <c r="P75" s="1102"/>
    </row>
    <row r="76" spans="1:16" x14ac:dyDescent="0.25">
      <c r="A76" s="1126"/>
      <c r="B76" s="1124"/>
      <c r="C76" s="1124"/>
      <c r="D76" s="1124"/>
      <c r="E76" s="1124"/>
      <c r="F76" s="1125"/>
      <c r="N76" s="1102"/>
      <c r="O76" s="1102"/>
      <c r="P76" s="1102"/>
    </row>
    <row r="77" spans="1:16" x14ac:dyDescent="0.25">
      <c r="A77" s="1126"/>
      <c r="B77" s="1124" t="s">
        <v>376</v>
      </c>
      <c r="C77" s="1124"/>
      <c r="D77" s="1124"/>
      <c r="E77" s="1124"/>
      <c r="F77" s="1125"/>
    </row>
    <row r="78" spans="1:16" x14ac:dyDescent="0.25">
      <c r="A78" s="1126"/>
      <c r="B78" s="1124"/>
      <c r="C78" s="1124"/>
      <c r="D78" s="1124"/>
      <c r="E78" s="1124"/>
      <c r="F78" s="1125"/>
    </row>
    <row r="79" spans="1:16" ht="18" x14ac:dyDescent="0.25">
      <c r="A79" s="1126"/>
      <c r="B79" s="1124" t="s">
        <v>379</v>
      </c>
      <c r="C79" s="1128">
        <f>'F-LSCD-002 (Dosimetría)'!B34</f>
        <v>25200</v>
      </c>
      <c r="D79" s="1124" t="str">
        <f>'F-LSCD-002 (Dosimetría)'!C34</f>
        <v>Gy/C</v>
      </c>
      <c r="E79" s="1124"/>
      <c r="F79" s="1125"/>
    </row>
    <row r="80" spans="1:16" ht="18" x14ac:dyDescent="0.25">
      <c r="A80" s="1126"/>
      <c r="B80" s="1129" t="s">
        <v>629</v>
      </c>
      <c r="C80" s="1124">
        <f>'F-LSCD-002 (Dosimetría)'!D44</f>
        <v>1.0009999999999999</v>
      </c>
      <c r="D80" s="1124" t="s">
        <v>384</v>
      </c>
      <c r="E80" s="1124"/>
      <c r="F80" s="1125"/>
    </row>
    <row r="81" spans="1:16" ht="18" x14ac:dyDescent="0.25">
      <c r="A81" s="1126"/>
      <c r="B81" s="1129" t="s">
        <v>630</v>
      </c>
      <c r="C81" s="1130">
        <v>1</v>
      </c>
      <c r="D81" s="1124"/>
      <c r="E81" s="1124"/>
      <c r="F81" s="1125"/>
    </row>
    <row r="82" spans="1:16" x14ac:dyDescent="0.25">
      <c r="A82" s="1126"/>
      <c r="B82" s="1129" t="s">
        <v>472</v>
      </c>
      <c r="C82" s="1128">
        <f>'F-LSCD-002 (Tasa Kar-Aleph)'!E101</f>
        <v>-5.5878999999999997E-9</v>
      </c>
      <c r="D82" s="1124" t="s">
        <v>368</v>
      </c>
      <c r="E82" s="1124"/>
      <c r="F82" s="1125"/>
    </row>
    <row r="83" spans="1:16" x14ac:dyDescent="0.25">
      <c r="A83" s="1126"/>
      <c r="B83" s="1124" t="s">
        <v>473</v>
      </c>
      <c r="C83" s="1131">
        <f>'F-LSCD-002 (Dosimetría)'!F144</f>
        <v>60</v>
      </c>
      <c r="D83" s="1124" t="s">
        <v>369</v>
      </c>
      <c r="E83" s="1124"/>
      <c r="F83" s="1125"/>
    </row>
    <row r="84" spans="1:16" ht="18" x14ac:dyDescent="0.25">
      <c r="A84" s="1126"/>
      <c r="B84" s="1124" t="s">
        <v>380</v>
      </c>
      <c r="C84" s="1124">
        <f>'F-LSCD-002 (Dosimetría)'!F33</f>
        <v>1013.25</v>
      </c>
      <c r="D84" s="1124" t="str">
        <f>'F-LSCD-002 (Dosimetría)'!G33</f>
        <v>hPa</v>
      </c>
      <c r="E84" s="1124"/>
      <c r="F84" s="1125"/>
    </row>
    <row r="85" spans="1:16" x14ac:dyDescent="0.25">
      <c r="A85" s="1126"/>
      <c r="B85" s="1129" t="s">
        <v>381</v>
      </c>
      <c r="C85" s="1131">
        <f>'F-LSCD-002 (Dosimetría)'!D144</f>
        <v>1010</v>
      </c>
      <c r="D85" s="1124" t="str">
        <f>D84</f>
        <v>hPa</v>
      </c>
      <c r="E85" s="1124"/>
      <c r="F85" s="1125"/>
    </row>
    <row r="86" spans="1:16" ht="18" x14ac:dyDescent="0.25">
      <c r="A86" s="1126"/>
      <c r="B86" s="1124" t="s">
        <v>383</v>
      </c>
      <c r="C86" s="1124">
        <f>'F-LSCD-002 (Dosimetría)'!F32</f>
        <v>22</v>
      </c>
      <c r="D86" s="1124" t="str">
        <f>'F-LSCD-002 (Dosimetría)'!G32</f>
        <v>°C</v>
      </c>
      <c r="E86" s="1124"/>
      <c r="F86" s="1125"/>
    </row>
    <row r="87" spans="1:16" x14ac:dyDescent="0.25">
      <c r="A87" s="1126"/>
      <c r="B87" s="1129" t="s">
        <v>382</v>
      </c>
      <c r="C87" s="1124">
        <f>'F-LSCD-002 (Dosimetría)'!B144</f>
        <v>20.209999999999997</v>
      </c>
      <c r="D87" s="1124" t="str">
        <f>D86</f>
        <v>°C</v>
      </c>
      <c r="E87" s="1124"/>
      <c r="F87" s="1125"/>
      <c r="H87" s="1102"/>
    </row>
    <row r="88" spans="1:16" x14ac:dyDescent="0.25">
      <c r="A88" s="1126"/>
      <c r="B88" s="1132" t="s">
        <v>400</v>
      </c>
      <c r="C88" s="1128">
        <f>'F-LSCD-002 (Dosimetría)'!N144</f>
        <v>7.1848635272250602E-3</v>
      </c>
      <c r="D88" s="1124" t="s">
        <v>8</v>
      </c>
      <c r="E88" s="1124"/>
      <c r="F88" s="1125"/>
    </row>
    <row r="89" spans="1:16" ht="18" x14ac:dyDescent="0.25">
      <c r="A89" s="1126"/>
      <c r="B89" s="1132" t="s">
        <v>806</v>
      </c>
      <c r="C89" s="1128">
        <f>'F-LSCD-004'!T41*60</f>
        <v>6851.7004158363188</v>
      </c>
      <c r="D89" s="1124" t="s">
        <v>369</v>
      </c>
      <c r="E89" s="1124"/>
      <c r="F89" s="1125"/>
    </row>
    <row r="90" spans="1:16" x14ac:dyDescent="0.25">
      <c r="A90" s="1126"/>
      <c r="B90" s="1132" t="s">
        <v>648</v>
      </c>
      <c r="C90" s="1128">
        <f>C88*C89/3600</f>
        <v>1.3674592338115318E-2</v>
      </c>
      <c r="D90" s="1124" t="s">
        <v>645</v>
      </c>
      <c r="E90" s="1124"/>
      <c r="F90" s="1125"/>
    </row>
    <row r="91" spans="1:16" x14ac:dyDescent="0.25">
      <c r="A91" s="1126"/>
      <c r="B91" s="1132" t="s">
        <v>417</v>
      </c>
      <c r="C91" s="1133">
        <f>'F-LSCD-002 (Dosimetría)'!A134/100</f>
        <v>2</v>
      </c>
      <c r="D91" s="1124" t="s">
        <v>418</v>
      </c>
      <c r="E91" s="1124"/>
      <c r="F91" s="1125"/>
    </row>
    <row r="92" spans="1:16" ht="15.75" thickBot="1" x14ac:dyDescent="0.3">
      <c r="A92" s="1134"/>
      <c r="B92" s="1135"/>
      <c r="C92" s="1135"/>
      <c r="D92" s="1135"/>
      <c r="E92" s="1135"/>
      <c r="F92" s="1136"/>
      <c r="N92" s="1102"/>
      <c r="O92" s="1102"/>
      <c r="P92" s="1102"/>
    </row>
    <row r="93" spans="1:16" x14ac:dyDescent="0.25">
      <c r="A93" s="1137"/>
      <c r="B93" s="1121"/>
      <c r="C93" s="1121"/>
      <c r="D93" s="1121"/>
      <c r="E93" s="1121"/>
      <c r="F93" s="1122"/>
      <c r="N93" s="1102"/>
      <c r="O93" s="1102"/>
      <c r="P93" s="1102"/>
    </row>
    <row r="94" spans="1:16" x14ac:dyDescent="0.25">
      <c r="A94" s="1123" t="s">
        <v>458</v>
      </c>
      <c r="B94" s="1124"/>
      <c r="C94" s="1124"/>
      <c r="D94" s="1124"/>
      <c r="E94" s="1124"/>
      <c r="F94" s="1125"/>
      <c r="N94" s="1102"/>
      <c r="O94" s="1102"/>
      <c r="P94" s="1102"/>
    </row>
    <row r="95" spans="1:16" x14ac:dyDescent="0.25">
      <c r="A95" s="1126"/>
      <c r="B95" s="1124"/>
      <c r="C95" s="1127"/>
      <c r="D95" s="1124"/>
      <c r="E95" s="1124"/>
      <c r="F95" s="1125"/>
      <c r="N95" s="1102"/>
      <c r="O95" s="1102"/>
      <c r="P95" s="1102"/>
    </row>
    <row r="96" spans="1:16" x14ac:dyDescent="0.25">
      <c r="A96" s="1126"/>
      <c r="B96" s="1127"/>
      <c r="C96" s="1124"/>
      <c r="D96" s="1124"/>
      <c r="E96" s="1124"/>
      <c r="F96" s="1125"/>
      <c r="N96" s="1102"/>
      <c r="O96" s="1102"/>
      <c r="P96" s="1102"/>
    </row>
    <row r="97" spans="1:16" x14ac:dyDescent="0.25">
      <c r="A97" s="1126"/>
      <c r="B97" s="1124"/>
      <c r="C97" s="1124"/>
      <c r="D97" s="1124"/>
      <c r="E97" s="1124"/>
      <c r="F97" s="1125"/>
      <c r="N97" s="1102"/>
      <c r="O97" s="1102"/>
      <c r="P97" s="1102"/>
    </row>
    <row r="98" spans="1:16" ht="15.75" thickBot="1" x14ac:dyDescent="0.3">
      <c r="A98" s="1134"/>
      <c r="B98" s="1135"/>
      <c r="C98" s="1135"/>
      <c r="D98" s="1135"/>
      <c r="E98" s="1135"/>
      <c r="F98" s="1136"/>
      <c r="N98" s="1102"/>
      <c r="O98" s="1102"/>
      <c r="P98" s="1102"/>
    </row>
    <row r="99" spans="1:16" ht="15.75" thickBot="1" x14ac:dyDescent="0.3">
      <c r="N99" s="1102"/>
      <c r="O99" s="1102"/>
      <c r="P99" s="1102"/>
    </row>
    <row r="100" spans="1:16" ht="15.75" thickBot="1" x14ac:dyDescent="0.3">
      <c r="A100" s="2596" t="s">
        <v>463</v>
      </c>
      <c r="B100" s="2597"/>
      <c r="C100" s="2597"/>
      <c r="D100" s="2597"/>
      <c r="E100" s="2597"/>
      <c r="F100" s="2597"/>
      <c r="G100" s="2597"/>
      <c r="H100" s="2597"/>
      <c r="I100" s="2597"/>
      <c r="J100" s="2597"/>
      <c r="K100" s="2597"/>
      <c r="L100" s="2597"/>
      <c r="M100" s="2598"/>
      <c r="N100" s="1102"/>
      <c r="O100" s="1102"/>
      <c r="P100" s="1102"/>
    </row>
    <row r="101" spans="1:16" ht="15.75" thickBot="1" x14ac:dyDescent="0.3">
      <c r="N101" s="1102"/>
      <c r="O101" s="1102"/>
      <c r="P101" s="1102"/>
    </row>
    <row r="102" spans="1:16" x14ac:dyDescent="0.25">
      <c r="A102" s="1138"/>
      <c r="B102" s="1139"/>
      <c r="C102" s="1139"/>
      <c r="D102" s="1139"/>
      <c r="E102" s="1139"/>
      <c r="F102" s="1139"/>
      <c r="G102" s="1139"/>
      <c r="H102" s="1139"/>
      <c r="I102" s="1139"/>
      <c r="J102" s="1139"/>
      <c r="K102" s="1139"/>
      <c r="L102" s="1139"/>
      <c r="M102" s="1140"/>
      <c r="N102" s="1102"/>
      <c r="O102" s="1102"/>
      <c r="P102" s="1102"/>
    </row>
    <row r="103" spans="1:16" x14ac:dyDescent="0.25">
      <c r="A103" s="1141" t="s">
        <v>575</v>
      </c>
      <c r="B103" s="1142"/>
      <c r="C103" s="1142"/>
      <c r="D103" s="1142"/>
      <c r="E103" s="1142"/>
      <c r="F103" s="1142"/>
      <c r="G103" s="1142"/>
      <c r="H103" s="1142"/>
      <c r="I103" s="1142"/>
      <c r="J103" s="1142"/>
      <c r="K103" s="1143"/>
      <c r="L103" s="1142"/>
      <c r="M103" s="1144"/>
    </row>
    <row r="104" spans="1:16" x14ac:dyDescent="0.25">
      <c r="A104" s="1145"/>
      <c r="B104" s="1142"/>
      <c r="C104" s="1142"/>
      <c r="D104" s="1142"/>
      <c r="E104" s="1142"/>
      <c r="F104" s="1142"/>
      <c r="G104" s="1142"/>
      <c r="H104" s="1142"/>
      <c r="I104" s="1142"/>
      <c r="J104" s="1142"/>
      <c r="K104" s="1142"/>
      <c r="L104" s="1142"/>
      <c r="M104" s="1144"/>
    </row>
    <row r="105" spans="1:16" x14ac:dyDescent="0.25">
      <c r="A105" s="1141" t="s">
        <v>475</v>
      </c>
      <c r="B105" s="1142"/>
      <c r="C105" s="1142"/>
      <c r="D105" s="1142"/>
      <c r="E105" s="1142"/>
      <c r="F105" s="1142"/>
      <c r="G105" s="1142"/>
      <c r="H105" s="1142"/>
      <c r="I105" s="1142"/>
      <c r="J105" s="1142"/>
      <c r="K105" s="1142"/>
      <c r="L105" s="1142"/>
      <c r="M105" s="1144"/>
    </row>
    <row r="106" spans="1:16" x14ac:dyDescent="0.25">
      <c r="A106" s="1145"/>
      <c r="B106" s="1142"/>
      <c r="C106" s="1142"/>
      <c r="D106" s="1142"/>
      <c r="E106" s="1142"/>
      <c r="F106" s="1142"/>
      <c r="G106" s="1142"/>
      <c r="H106" s="1142"/>
      <c r="I106" s="1142"/>
      <c r="J106" s="1142"/>
      <c r="K106" s="1142"/>
      <c r="L106" s="1142"/>
      <c r="M106" s="1144"/>
    </row>
    <row r="107" spans="1:16" x14ac:dyDescent="0.25">
      <c r="A107" s="1145"/>
      <c r="B107" s="1142" t="s">
        <v>464</v>
      </c>
      <c r="C107" s="1146" t="s">
        <v>650</v>
      </c>
      <c r="D107" s="1142"/>
      <c r="E107" s="1142"/>
      <c r="F107" s="1142"/>
      <c r="G107" s="1146"/>
      <c r="H107" s="1142"/>
      <c r="I107" s="1142"/>
      <c r="J107" s="1142"/>
      <c r="K107" s="1142"/>
      <c r="L107" s="1142"/>
      <c r="M107" s="1144"/>
    </row>
    <row r="108" spans="1:16" x14ac:dyDescent="0.25">
      <c r="A108" s="1145"/>
      <c r="B108" s="1142"/>
      <c r="C108" s="1142"/>
      <c r="D108" s="1142"/>
      <c r="E108" s="1142"/>
      <c r="F108" s="1142"/>
      <c r="G108" s="1142"/>
      <c r="H108" s="1142"/>
      <c r="I108" s="1142"/>
      <c r="J108" s="1142"/>
      <c r="K108" s="1142"/>
      <c r="L108" s="1142"/>
      <c r="M108" s="1144"/>
    </row>
    <row r="109" spans="1:16" x14ac:dyDescent="0.25">
      <c r="A109" s="1145"/>
      <c r="B109" s="1142" t="s">
        <v>464</v>
      </c>
      <c r="C109" s="1147">
        <f>C90*'Incert. Dos.'!O40</f>
        <v>2.4526248129736573E-4</v>
      </c>
      <c r="D109" s="1146" t="s">
        <v>645</v>
      </c>
      <c r="E109" s="1142"/>
      <c r="F109" s="1142"/>
      <c r="G109" s="1142"/>
      <c r="H109" s="1142"/>
      <c r="I109" s="1142"/>
      <c r="J109" s="1142"/>
      <c r="K109" s="1142"/>
      <c r="L109" s="1142"/>
      <c r="M109" s="1144"/>
    </row>
    <row r="110" spans="1:16" x14ac:dyDescent="0.25">
      <c r="A110" s="1145"/>
      <c r="B110" s="1146"/>
      <c r="C110" s="1142"/>
      <c r="D110" s="1142"/>
      <c r="E110" s="1142"/>
      <c r="F110" s="1142"/>
      <c r="G110" s="1142"/>
      <c r="H110" s="1142"/>
      <c r="I110" s="1142"/>
      <c r="J110" s="1142"/>
      <c r="K110" s="1142"/>
      <c r="L110" s="1142"/>
      <c r="M110" s="1144"/>
    </row>
    <row r="111" spans="1:16" x14ac:dyDescent="0.25">
      <c r="A111" s="1141" t="s">
        <v>476</v>
      </c>
      <c r="B111" s="1146"/>
      <c r="C111" s="1142"/>
      <c r="D111" s="1142"/>
      <c r="E111" s="1142"/>
      <c r="F111" s="1142"/>
      <c r="G111" s="1142"/>
      <c r="H111" s="1142"/>
      <c r="I111" s="1142"/>
      <c r="J111" s="1142"/>
      <c r="K111" s="1142"/>
      <c r="L111" s="1142"/>
      <c r="M111" s="1144"/>
    </row>
    <row r="112" spans="1:16" x14ac:dyDescent="0.25">
      <c r="A112" s="1145"/>
      <c r="B112" s="1146"/>
      <c r="C112" s="1142"/>
      <c r="D112" s="1142"/>
      <c r="E112" s="1142"/>
      <c r="F112" s="1142"/>
      <c r="G112" s="1142"/>
      <c r="H112" s="1142"/>
      <c r="I112" s="1142"/>
      <c r="J112" s="1142"/>
      <c r="K112" s="1142"/>
      <c r="L112" s="1142"/>
      <c r="M112" s="1144"/>
    </row>
    <row r="113" spans="1:13" x14ac:dyDescent="0.25">
      <c r="A113" s="1145"/>
      <c r="B113" s="1142"/>
      <c r="C113" s="1148"/>
      <c r="D113" s="1142"/>
      <c r="E113" s="1142"/>
      <c r="F113" s="1142"/>
      <c r="G113" s="1142"/>
      <c r="H113" s="1142"/>
      <c r="I113" s="1142"/>
      <c r="J113" s="1142"/>
      <c r="K113" s="1142"/>
      <c r="L113" s="1142"/>
      <c r="M113" s="1144"/>
    </row>
    <row r="114" spans="1:13" x14ac:dyDescent="0.25">
      <c r="A114" s="1145"/>
      <c r="B114" s="1142"/>
      <c r="C114" s="1142"/>
      <c r="D114" s="1142"/>
      <c r="E114" s="1142"/>
      <c r="F114" s="1142"/>
      <c r="G114" s="1142"/>
      <c r="H114" s="1142"/>
      <c r="I114" s="1142"/>
      <c r="J114" s="1142"/>
      <c r="K114" s="1142"/>
      <c r="L114" s="1142"/>
      <c r="M114" s="1144"/>
    </row>
    <row r="115" spans="1:13" x14ac:dyDescent="0.25">
      <c r="A115" s="1145"/>
      <c r="B115" s="1142"/>
      <c r="C115" s="1142"/>
      <c r="D115" s="1142"/>
      <c r="E115" s="1142"/>
      <c r="F115" s="1142"/>
      <c r="G115" s="1142"/>
      <c r="H115" s="1142"/>
      <c r="I115" s="1142"/>
      <c r="J115" s="1142"/>
      <c r="K115" s="1142"/>
      <c r="L115" s="1142"/>
      <c r="M115" s="1144"/>
    </row>
    <row r="116" spans="1:13" ht="18" x14ac:dyDescent="0.25">
      <c r="A116" s="1145"/>
      <c r="B116" s="1142" t="s">
        <v>591</v>
      </c>
      <c r="C116" s="1143">
        <v>1</v>
      </c>
      <c r="D116" s="1146" t="s">
        <v>93</v>
      </c>
      <c r="E116" s="1142"/>
      <c r="F116" s="1142"/>
      <c r="G116" s="1142"/>
      <c r="H116" s="1142"/>
      <c r="I116" s="1142"/>
      <c r="J116" s="1142"/>
      <c r="K116" s="1142"/>
      <c r="L116" s="1142"/>
      <c r="M116" s="1144"/>
    </row>
    <row r="117" spans="1:13" ht="15.75" thickBot="1" x14ac:dyDescent="0.3">
      <c r="A117" s="1149"/>
      <c r="B117" s="1150"/>
      <c r="C117" s="1150"/>
      <c r="D117" s="1150"/>
      <c r="E117" s="1150"/>
      <c r="F117" s="1150"/>
      <c r="G117" s="1150"/>
      <c r="H117" s="1150"/>
      <c r="I117" s="1150"/>
      <c r="J117" s="1150"/>
      <c r="K117" s="1150"/>
      <c r="L117" s="1150"/>
      <c r="M117" s="1151"/>
    </row>
    <row r="118" spans="1:13" x14ac:dyDescent="0.25">
      <c r="A118" s="1138"/>
      <c r="B118" s="1139"/>
      <c r="C118" s="1152"/>
      <c r="D118" s="1139"/>
      <c r="E118" s="1139"/>
      <c r="F118" s="1139"/>
      <c r="G118" s="1139"/>
      <c r="H118" s="1139"/>
      <c r="I118" s="1139"/>
      <c r="J118" s="1139"/>
      <c r="K118" s="1139"/>
      <c r="L118" s="1139"/>
      <c r="M118" s="1140"/>
    </row>
    <row r="119" spans="1:13" x14ac:dyDescent="0.25">
      <c r="A119" s="1141" t="s">
        <v>604</v>
      </c>
      <c r="B119" s="1142"/>
      <c r="C119" s="1142"/>
      <c r="D119" s="1142"/>
      <c r="E119" s="1142"/>
      <c r="F119" s="1142"/>
      <c r="G119" s="1142"/>
      <c r="H119" s="1142"/>
      <c r="I119" s="1142"/>
      <c r="J119" s="1142"/>
      <c r="K119" s="1142"/>
      <c r="L119" s="1142"/>
      <c r="M119" s="1144"/>
    </row>
    <row r="120" spans="1:13" x14ac:dyDescent="0.25">
      <c r="A120" s="1141"/>
      <c r="B120" s="1142"/>
      <c r="C120" s="1142"/>
      <c r="D120" s="1142"/>
      <c r="E120" s="1142"/>
      <c r="F120" s="1142"/>
      <c r="G120" s="1142"/>
      <c r="H120" s="1142"/>
      <c r="I120" s="1142"/>
      <c r="J120" s="1142"/>
      <c r="K120" s="1142"/>
      <c r="L120" s="1142"/>
      <c r="M120" s="1144"/>
    </row>
    <row r="121" spans="1:13" x14ac:dyDescent="0.25">
      <c r="A121" s="1141" t="s">
        <v>477</v>
      </c>
      <c r="B121" s="1142"/>
      <c r="C121" s="1142"/>
      <c r="D121" s="1142"/>
      <c r="E121" s="1142"/>
      <c r="F121" s="1142"/>
      <c r="G121" s="1142"/>
      <c r="H121" s="1142"/>
      <c r="I121" s="1142"/>
      <c r="J121" s="1142"/>
      <c r="K121" s="1142"/>
      <c r="L121" s="1142"/>
      <c r="M121" s="1144"/>
    </row>
    <row r="122" spans="1:13" x14ac:dyDescent="0.25">
      <c r="A122" s="1145"/>
      <c r="B122" s="1142"/>
      <c r="C122" s="1142"/>
      <c r="D122" s="1142"/>
      <c r="E122" s="1142"/>
      <c r="F122" s="1142"/>
      <c r="G122" s="1142"/>
      <c r="H122" s="1142"/>
      <c r="I122" s="1142"/>
      <c r="J122" s="1142"/>
      <c r="K122" s="1142"/>
      <c r="L122" s="1142"/>
      <c r="M122" s="1144"/>
    </row>
    <row r="123" spans="1:13" x14ac:dyDescent="0.25">
      <c r="A123" s="1145"/>
      <c r="B123" s="1142" t="s">
        <v>464</v>
      </c>
      <c r="C123" s="1146" t="s">
        <v>661</v>
      </c>
      <c r="D123" s="1142"/>
      <c r="E123" s="1142"/>
      <c r="F123" s="1142"/>
      <c r="G123" s="1142"/>
      <c r="H123" s="1142"/>
      <c r="I123" s="1142"/>
      <c r="J123" s="1142"/>
      <c r="K123" s="1142"/>
      <c r="L123" s="1142"/>
      <c r="M123" s="1144"/>
    </row>
    <row r="124" spans="1:13" x14ac:dyDescent="0.25">
      <c r="A124" s="1145"/>
      <c r="B124" s="1142"/>
      <c r="C124" s="1142"/>
      <c r="D124" s="1142"/>
      <c r="E124" s="1142"/>
      <c r="F124" s="1142"/>
      <c r="G124" s="1142"/>
      <c r="H124" s="1142"/>
      <c r="I124" s="1142"/>
      <c r="J124" s="1142"/>
      <c r="K124" s="1142"/>
      <c r="L124" s="1142"/>
      <c r="M124" s="1144"/>
    </row>
    <row r="125" spans="1:13" x14ac:dyDescent="0.25">
      <c r="A125" s="1145"/>
      <c r="B125" s="1142" t="s">
        <v>464</v>
      </c>
      <c r="C125" s="1143">
        <f>'F-LSCD-002 (homog irrad dosím)'!AI68/2*C90</f>
        <v>1.1927594102701006E-4</v>
      </c>
      <c r="D125" s="1146" t="s">
        <v>645</v>
      </c>
      <c r="E125" s="1142"/>
      <c r="F125" s="1142"/>
      <c r="G125" s="1142"/>
      <c r="H125" s="1142"/>
      <c r="I125" s="1142"/>
      <c r="J125" s="1142"/>
      <c r="K125" s="1142"/>
      <c r="L125" s="1142"/>
      <c r="M125" s="1144"/>
    </row>
    <row r="126" spans="1:13" x14ac:dyDescent="0.25">
      <c r="A126" s="1145"/>
      <c r="B126" s="1142"/>
      <c r="C126" s="1142"/>
      <c r="D126" s="1142"/>
      <c r="E126" s="1142"/>
      <c r="F126" s="1142"/>
      <c r="G126" s="1142"/>
      <c r="H126" s="1142"/>
      <c r="I126" s="1142"/>
      <c r="J126" s="1142"/>
      <c r="K126" s="1142"/>
      <c r="L126" s="1142"/>
      <c r="M126" s="1144"/>
    </row>
    <row r="127" spans="1:13" x14ac:dyDescent="0.25">
      <c r="A127" s="1145"/>
      <c r="B127" s="1146" t="s">
        <v>397</v>
      </c>
      <c r="C127" s="1142"/>
      <c r="D127" s="1142"/>
      <c r="E127" s="1142"/>
      <c r="F127" s="1142"/>
      <c r="G127" s="1142"/>
      <c r="H127" s="1142"/>
      <c r="I127" s="1142"/>
      <c r="J127" s="1142"/>
      <c r="K127" s="1142"/>
      <c r="L127" s="1142"/>
      <c r="M127" s="1144"/>
    </row>
    <row r="128" spans="1:13" x14ac:dyDescent="0.25">
      <c r="A128" s="1145"/>
      <c r="B128" s="1146" t="s">
        <v>416</v>
      </c>
      <c r="C128" s="1142"/>
      <c r="D128" s="1142"/>
      <c r="E128" s="1142"/>
      <c r="F128" s="1142"/>
      <c r="G128" s="1142"/>
      <c r="H128" s="1142"/>
      <c r="I128" s="1142"/>
      <c r="J128" s="1142"/>
      <c r="K128" s="1142"/>
      <c r="L128" s="1142"/>
      <c r="M128" s="1144"/>
    </row>
    <row r="129" spans="1:13" x14ac:dyDescent="0.25">
      <c r="A129" s="1145"/>
      <c r="B129" s="1146"/>
      <c r="C129" s="1142"/>
      <c r="D129" s="1142"/>
      <c r="E129" s="1142"/>
      <c r="F129" s="1142"/>
      <c r="G129" s="1142"/>
      <c r="H129" s="1142"/>
      <c r="I129" s="1142"/>
      <c r="J129" s="1142"/>
      <c r="K129" s="1142"/>
      <c r="L129" s="1142"/>
      <c r="M129" s="1144"/>
    </row>
    <row r="130" spans="1:13" x14ac:dyDescent="0.25">
      <c r="A130" s="1141" t="s">
        <v>578</v>
      </c>
      <c r="B130" s="1142"/>
      <c r="C130" s="1143"/>
      <c r="D130" s="1142"/>
      <c r="E130" s="1142"/>
      <c r="F130" s="1142"/>
      <c r="G130" s="1142"/>
      <c r="H130" s="1142"/>
      <c r="I130" s="1142"/>
      <c r="J130" s="1142"/>
      <c r="K130" s="1142"/>
      <c r="L130" s="1142"/>
      <c r="M130" s="1144"/>
    </row>
    <row r="131" spans="1:13" x14ac:dyDescent="0.25">
      <c r="A131" s="1142"/>
      <c r="B131" s="1142"/>
      <c r="C131" s="1142"/>
      <c r="D131" s="1142"/>
      <c r="E131" s="1142"/>
      <c r="F131" s="1142"/>
      <c r="G131" s="1142"/>
      <c r="H131" s="1142"/>
      <c r="I131" s="1142"/>
      <c r="J131" s="1142"/>
      <c r="K131" s="1142"/>
      <c r="L131" s="1142"/>
      <c r="M131" s="1144"/>
    </row>
    <row r="132" spans="1:13" x14ac:dyDescent="0.25">
      <c r="A132" s="1142"/>
      <c r="B132" s="1142"/>
      <c r="C132" s="1142"/>
      <c r="D132" s="1142"/>
      <c r="E132" s="1142"/>
      <c r="F132" s="1142"/>
      <c r="G132" s="1142"/>
      <c r="H132" s="1142"/>
      <c r="I132" s="1142"/>
      <c r="J132" s="1142"/>
      <c r="K132" s="1142"/>
      <c r="L132" s="1142"/>
      <c r="M132" s="1144"/>
    </row>
    <row r="133" spans="1:13" x14ac:dyDescent="0.25">
      <c r="A133" s="1142"/>
      <c r="B133" s="1142"/>
      <c r="C133" s="1142"/>
      <c r="D133" s="1142"/>
      <c r="E133" s="1142"/>
      <c r="F133" s="1142"/>
      <c r="G133" s="1142"/>
      <c r="H133" s="1142"/>
      <c r="I133" s="1142"/>
      <c r="J133" s="1142"/>
      <c r="K133" s="1142"/>
      <c r="L133" s="1142"/>
      <c r="M133" s="1144"/>
    </row>
    <row r="134" spans="1:13" x14ac:dyDescent="0.25">
      <c r="A134" s="1145"/>
      <c r="B134" s="1146"/>
      <c r="C134" s="1142"/>
      <c r="D134" s="1142"/>
      <c r="E134" s="1142"/>
      <c r="F134" s="1142"/>
      <c r="G134" s="1142"/>
      <c r="H134" s="1142"/>
      <c r="I134" s="1142"/>
      <c r="J134" s="1142"/>
      <c r="K134" s="1142"/>
      <c r="L134" s="1142"/>
      <c r="M134" s="1144"/>
    </row>
    <row r="135" spans="1:13" ht="18" x14ac:dyDescent="0.25">
      <c r="A135" s="1145"/>
      <c r="B135" s="1142" t="s">
        <v>489</v>
      </c>
      <c r="C135" s="1142">
        <v>1</v>
      </c>
      <c r="D135" s="1142"/>
      <c r="E135" s="1142"/>
      <c r="F135" s="1142"/>
      <c r="G135" s="1142"/>
      <c r="H135" s="1142"/>
      <c r="I135" s="1142"/>
      <c r="J135" s="1142"/>
      <c r="K135" s="1142"/>
      <c r="L135" s="1142"/>
      <c r="M135" s="1144"/>
    </row>
    <row r="136" spans="1:13" ht="15.75" thickBot="1" x14ac:dyDescent="0.3">
      <c r="A136" s="1149"/>
      <c r="B136" s="1150"/>
      <c r="C136" s="1150"/>
      <c r="D136" s="1150"/>
      <c r="E136" s="1150"/>
      <c r="F136" s="1150"/>
      <c r="G136" s="1150"/>
      <c r="H136" s="1150"/>
      <c r="I136" s="1150"/>
      <c r="J136" s="1150"/>
      <c r="K136" s="1150"/>
      <c r="L136" s="1150"/>
      <c r="M136" s="1151"/>
    </row>
    <row r="137" spans="1:13" x14ac:dyDescent="0.25">
      <c r="A137" s="1138"/>
      <c r="B137" s="1153"/>
      <c r="C137" s="1139"/>
      <c r="D137" s="1139"/>
      <c r="E137" s="1139"/>
      <c r="F137" s="1139"/>
      <c r="G137" s="1139"/>
      <c r="H137" s="1139"/>
      <c r="I137" s="1139"/>
      <c r="J137" s="1139"/>
      <c r="K137" s="1139"/>
      <c r="L137" s="1139"/>
      <c r="M137" s="1140"/>
    </row>
    <row r="138" spans="1:13" x14ac:dyDescent="0.25">
      <c r="A138" s="1141" t="s">
        <v>643</v>
      </c>
      <c r="B138" s="1146"/>
      <c r="C138" s="1142"/>
      <c r="D138" s="1142"/>
      <c r="E138" s="1142"/>
      <c r="F138" s="1142"/>
      <c r="G138" s="1143"/>
      <c r="H138" s="1142"/>
      <c r="I138" s="1142"/>
      <c r="J138" s="1142"/>
      <c r="K138" s="1142"/>
      <c r="L138" s="1142"/>
      <c r="M138" s="1144"/>
    </row>
    <row r="139" spans="1:13" x14ac:dyDescent="0.25">
      <c r="A139" s="1141"/>
      <c r="B139" s="1146"/>
      <c r="C139" s="1142"/>
      <c r="D139" s="1142"/>
      <c r="E139" s="1142"/>
      <c r="F139" s="1142"/>
      <c r="G139" s="1142"/>
      <c r="H139" s="1142"/>
      <c r="I139" s="1142"/>
      <c r="J139" s="1142"/>
      <c r="K139" s="1142"/>
      <c r="L139" s="1142"/>
      <c r="M139" s="1144"/>
    </row>
    <row r="140" spans="1:13" x14ac:dyDescent="0.25">
      <c r="A140" s="1141" t="s">
        <v>480</v>
      </c>
      <c r="B140" s="1146"/>
      <c r="C140" s="1142"/>
      <c r="D140" s="1142"/>
      <c r="E140" s="1142"/>
      <c r="F140" s="1142"/>
      <c r="G140" s="1142"/>
      <c r="H140" s="1142"/>
      <c r="I140" s="1142"/>
      <c r="J140" s="1142"/>
      <c r="K140" s="1142"/>
      <c r="L140" s="1142"/>
      <c r="M140" s="1144"/>
    </row>
    <row r="141" spans="1:13" x14ac:dyDescent="0.25">
      <c r="A141" s="1141"/>
      <c r="B141" s="1146"/>
      <c r="C141" s="1142"/>
      <c r="D141" s="1142"/>
      <c r="E141" s="1142"/>
      <c r="F141" s="1142"/>
      <c r="G141" s="1142"/>
      <c r="H141" s="1142"/>
      <c r="I141" s="1142"/>
      <c r="J141" s="1142"/>
      <c r="K141" s="1142"/>
      <c r="L141" s="1142"/>
      <c r="M141" s="1144"/>
    </row>
    <row r="142" spans="1:13" ht="18" x14ac:dyDescent="0.25">
      <c r="A142" s="1141"/>
      <c r="B142" s="1142" t="s">
        <v>464</v>
      </c>
      <c r="C142" s="1154" t="s">
        <v>807</v>
      </c>
      <c r="D142" s="1142"/>
      <c r="E142" s="1142"/>
      <c r="F142" s="1142"/>
      <c r="G142" s="1142"/>
      <c r="H142" s="1142"/>
      <c r="I142" s="1142"/>
      <c r="J142" s="1142"/>
      <c r="K142" s="1142"/>
      <c r="L142" s="1142"/>
      <c r="M142" s="1144"/>
    </row>
    <row r="143" spans="1:13" x14ac:dyDescent="0.25">
      <c r="A143" s="1141"/>
      <c r="B143" s="1146"/>
      <c r="C143" s="1142"/>
      <c r="D143" s="1142"/>
      <c r="E143" s="1142"/>
      <c r="F143" s="1142"/>
      <c r="G143" s="1142"/>
      <c r="H143" s="1142"/>
      <c r="I143" s="1142"/>
      <c r="J143" s="1142"/>
      <c r="K143" s="1142"/>
      <c r="L143" s="1142"/>
      <c r="M143" s="1144"/>
    </row>
    <row r="144" spans="1:13" x14ac:dyDescent="0.25">
      <c r="A144" s="1145"/>
      <c r="B144" s="1142" t="s">
        <v>464</v>
      </c>
      <c r="C144" s="1143">
        <f>'F-LSCD-002 (Tiempo tránsito ob)'!Q69*(SUM('F-LSCD-002 (Tiempo tránsito ob)'!Y73:Y82)-'F-LSCD-002 (Tiempo tránsito ob)'!Y69)/(COUNT('F-LSCD-002 (Tiempo tránsito ob)'!O73:O82)*'F-LSCD-002 (Tiempo tránsito ob)'!Y69-SUM('F-LSCD-002 (Tiempo tránsito ob)'!Y73:Y82))</f>
        <v>1.630000157393327E-2</v>
      </c>
      <c r="D144" s="1146" t="s">
        <v>369</v>
      </c>
      <c r="E144" s="1142"/>
      <c r="F144" s="1146"/>
      <c r="G144" s="1142"/>
      <c r="H144" s="1142"/>
      <c r="I144" s="1142"/>
      <c r="J144" s="1142"/>
      <c r="K144" s="1142"/>
      <c r="L144" s="1142"/>
      <c r="M144" s="1144"/>
    </row>
    <row r="145" spans="1:13" x14ac:dyDescent="0.25">
      <c r="A145" s="1145"/>
      <c r="B145" s="1142"/>
      <c r="C145" s="1143"/>
      <c r="D145" s="1146"/>
      <c r="E145" s="1142"/>
      <c r="F145" s="1142"/>
      <c r="G145" s="1142"/>
      <c r="H145" s="1142"/>
      <c r="I145" s="1142"/>
      <c r="J145" s="1142"/>
      <c r="K145" s="1142"/>
      <c r="L145" s="1142"/>
      <c r="M145" s="1144"/>
    </row>
    <row r="146" spans="1:13" x14ac:dyDescent="0.25">
      <c r="A146" s="1145"/>
      <c r="B146" s="1142" t="s">
        <v>397</v>
      </c>
      <c r="C146" s="1143"/>
      <c r="D146" s="1146"/>
      <c r="E146" s="1142"/>
      <c r="F146" s="1142"/>
      <c r="G146" s="1142"/>
      <c r="H146" s="1142"/>
      <c r="I146" s="1142"/>
      <c r="J146" s="1142"/>
      <c r="K146" s="1142"/>
      <c r="L146" s="1142"/>
      <c r="M146" s="1144"/>
    </row>
    <row r="147" spans="1:13" x14ac:dyDescent="0.25">
      <c r="A147" s="1145"/>
      <c r="B147" s="1146" t="s">
        <v>640</v>
      </c>
      <c r="C147" s="1143"/>
      <c r="D147" s="1146"/>
      <c r="E147" s="1142"/>
      <c r="F147" s="1142"/>
      <c r="G147" s="1142"/>
      <c r="H147" s="1142"/>
      <c r="I147" s="1142"/>
      <c r="J147" s="1142"/>
      <c r="K147" s="1142"/>
      <c r="L147" s="1142"/>
      <c r="M147" s="1144"/>
    </row>
    <row r="148" spans="1:13" x14ac:dyDescent="0.25">
      <c r="A148" s="1145"/>
      <c r="B148" s="1142"/>
      <c r="C148" s="1142"/>
      <c r="D148" s="1146"/>
      <c r="E148" s="1142"/>
      <c r="F148" s="1142"/>
      <c r="G148" s="1142"/>
      <c r="H148" s="1142"/>
      <c r="I148" s="1142"/>
      <c r="J148" s="1142"/>
      <c r="K148" s="1142"/>
      <c r="L148" s="1142"/>
      <c r="M148" s="1144"/>
    </row>
    <row r="149" spans="1:13" x14ac:dyDescent="0.25">
      <c r="A149" s="1141" t="s">
        <v>488</v>
      </c>
      <c r="B149" s="1142"/>
      <c r="C149" s="1142"/>
      <c r="D149" s="1146"/>
      <c r="E149" s="1142"/>
      <c r="F149" s="1142"/>
      <c r="G149" s="1142"/>
      <c r="H149" s="1142"/>
      <c r="I149" s="1142"/>
      <c r="J149" s="1142"/>
      <c r="K149" s="1142"/>
      <c r="L149" s="1142"/>
      <c r="M149" s="1144"/>
    </row>
    <row r="150" spans="1:13" x14ac:dyDescent="0.25">
      <c r="A150" s="1145"/>
      <c r="B150" s="1142"/>
      <c r="C150" s="1142"/>
      <c r="D150" s="1146"/>
      <c r="E150" s="1142"/>
      <c r="F150" s="1142"/>
      <c r="G150" s="1142"/>
      <c r="H150" s="1142"/>
      <c r="I150" s="1142"/>
      <c r="J150" s="1142"/>
      <c r="K150" s="1142"/>
      <c r="L150" s="1142"/>
      <c r="M150" s="1144"/>
    </row>
    <row r="151" spans="1:13" x14ac:dyDescent="0.25">
      <c r="A151" s="1145"/>
      <c r="B151" s="1142"/>
      <c r="C151" s="1142"/>
      <c r="D151" s="1146"/>
      <c r="E151" s="1142"/>
      <c r="F151" s="1142"/>
      <c r="G151" s="1142"/>
      <c r="H151" s="1142"/>
      <c r="I151" s="1142"/>
      <c r="J151" s="1142"/>
      <c r="K151" s="1142"/>
      <c r="L151" s="1142"/>
      <c r="M151" s="1144"/>
    </row>
    <row r="152" spans="1:13" x14ac:dyDescent="0.25">
      <c r="A152" s="1145"/>
      <c r="B152" s="1142"/>
      <c r="C152" s="1142"/>
      <c r="D152" s="1146"/>
      <c r="E152" s="1142"/>
      <c r="F152" s="1142"/>
      <c r="G152" s="1142"/>
      <c r="H152" s="1142"/>
      <c r="I152" s="1142"/>
      <c r="J152" s="1142"/>
      <c r="K152" s="1142"/>
      <c r="L152" s="1142"/>
      <c r="M152" s="1144"/>
    </row>
    <row r="153" spans="1:13" x14ac:dyDescent="0.25">
      <c r="A153" s="1145"/>
      <c r="B153" s="1142"/>
      <c r="C153" s="1142"/>
      <c r="D153" s="1146"/>
      <c r="E153" s="1142"/>
      <c r="F153" s="1142"/>
      <c r="G153" s="1142"/>
      <c r="H153" s="1142"/>
      <c r="I153" s="1142"/>
      <c r="J153" s="1142"/>
      <c r="K153" s="1142"/>
      <c r="L153" s="1142"/>
      <c r="M153" s="1144"/>
    </row>
    <row r="154" spans="1:13" ht="18" x14ac:dyDescent="0.25">
      <c r="A154" s="1145"/>
      <c r="B154" s="1155" t="s">
        <v>808</v>
      </c>
      <c r="C154" s="1143">
        <f>-(C82/C83^2)*((273.2+C87)*C84)/((273.2+C86)*C85)*C79*C80*C81*C89</f>
        <v>2.6750561686121773E-4</v>
      </c>
      <c r="D154" s="1146" t="s">
        <v>641</v>
      </c>
      <c r="E154" s="1142"/>
      <c r="F154" s="1142"/>
      <c r="G154" s="1142"/>
      <c r="H154" s="1142"/>
      <c r="I154" s="1142"/>
      <c r="J154" s="1142"/>
      <c r="K154" s="1142"/>
      <c r="L154" s="1142"/>
      <c r="M154" s="1144"/>
    </row>
    <row r="155" spans="1:13" ht="15.75" thickBot="1" x14ac:dyDescent="0.3">
      <c r="A155" s="1149"/>
      <c r="B155" s="1150"/>
      <c r="C155" s="1150"/>
      <c r="D155" s="1150"/>
      <c r="E155" s="1150"/>
      <c r="F155" s="1150"/>
      <c r="G155" s="1150"/>
      <c r="H155" s="1150"/>
      <c r="I155" s="1150"/>
      <c r="J155" s="1150"/>
      <c r="K155" s="1150"/>
      <c r="L155" s="1150"/>
      <c r="M155" s="1151"/>
    </row>
    <row r="156" spans="1:13" s="730" customFormat="1" x14ac:dyDescent="0.25">
      <c r="A156" s="747"/>
      <c r="B156" s="748"/>
      <c r="C156" s="748"/>
      <c r="D156" s="748"/>
      <c r="E156" s="748"/>
      <c r="F156" s="748"/>
      <c r="G156" s="748"/>
      <c r="H156" s="748"/>
      <c r="I156" s="748"/>
      <c r="J156" s="748"/>
      <c r="K156" s="748"/>
      <c r="L156" s="748"/>
      <c r="M156" s="749"/>
    </row>
    <row r="157" spans="1:13" s="730" customFormat="1" x14ac:dyDescent="0.25">
      <c r="A157" s="323" t="s">
        <v>994</v>
      </c>
      <c r="B157" s="751"/>
      <c r="C157" s="751"/>
      <c r="D157" s="751"/>
      <c r="E157" s="751"/>
      <c r="F157" s="751"/>
      <c r="G157" s="751"/>
      <c r="H157" s="751"/>
      <c r="I157" s="751"/>
      <c r="J157" s="751"/>
      <c r="K157" s="751"/>
      <c r="L157" s="751"/>
      <c r="M157" s="752"/>
    </row>
    <row r="158" spans="1:13" s="730" customFormat="1" x14ac:dyDescent="0.25">
      <c r="A158" s="750"/>
      <c r="B158" s="751"/>
      <c r="C158" s="751"/>
      <c r="D158" s="751"/>
      <c r="E158" s="751"/>
      <c r="F158" s="751"/>
      <c r="G158" s="751"/>
      <c r="H158" s="751"/>
      <c r="I158" s="751"/>
      <c r="J158" s="751"/>
      <c r="K158" s="751"/>
      <c r="L158" s="751"/>
      <c r="M158" s="752"/>
    </row>
    <row r="159" spans="1:13" s="730" customFormat="1" x14ac:dyDescent="0.25">
      <c r="A159" s="750" t="s">
        <v>482</v>
      </c>
      <c r="B159" s="751"/>
      <c r="C159" s="751"/>
      <c r="D159" s="751"/>
      <c r="E159" s="751"/>
      <c r="F159" s="751"/>
      <c r="G159" s="751"/>
      <c r="H159" s="751"/>
      <c r="I159" s="751"/>
      <c r="J159" s="751"/>
      <c r="K159" s="751"/>
      <c r="L159" s="751"/>
      <c r="M159" s="752"/>
    </row>
    <row r="160" spans="1:13" s="730" customFormat="1" x14ac:dyDescent="0.25">
      <c r="A160" s="750"/>
      <c r="B160" s="751"/>
      <c r="C160" s="751"/>
      <c r="D160" s="751"/>
      <c r="E160" s="751"/>
      <c r="F160" s="751"/>
      <c r="G160" s="751"/>
      <c r="H160" s="751"/>
      <c r="I160" s="751"/>
      <c r="J160" s="751"/>
      <c r="K160" s="751"/>
      <c r="L160" s="751"/>
      <c r="M160" s="752"/>
    </row>
    <row r="161" spans="1:13" s="730" customFormat="1" x14ac:dyDescent="0.25">
      <c r="A161" s="753"/>
      <c r="B161" s="354" t="s">
        <v>995</v>
      </c>
      <c r="C161" s="751"/>
      <c r="D161" s="751"/>
      <c r="E161" s="751"/>
      <c r="F161" s="751"/>
      <c r="G161" s="751"/>
      <c r="H161" s="751"/>
      <c r="I161" s="751">
        <v>3</v>
      </c>
      <c r="J161" s="754" t="s">
        <v>449</v>
      </c>
      <c r="K161" s="751"/>
      <c r="L161" s="751"/>
      <c r="M161" s="752"/>
    </row>
    <row r="162" spans="1:13" s="730" customFormat="1" x14ac:dyDescent="0.25">
      <c r="A162" s="753"/>
      <c r="B162" s="751"/>
      <c r="C162" s="751"/>
      <c r="D162" s="751"/>
      <c r="E162" s="751"/>
      <c r="F162" s="751"/>
      <c r="G162" s="751"/>
      <c r="H162" s="751"/>
      <c r="I162" s="751"/>
      <c r="J162" s="751"/>
      <c r="K162" s="751"/>
      <c r="L162" s="751"/>
      <c r="M162" s="752"/>
    </row>
    <row r="163" spans="1:13" s="730" customFormat="1" x14ac:dyDescent="0.25">
      <c r="A163" s="753"/>
      <c r="B163" s="751" t="s">
        <v>464</v>
      </c>
      <c r="C163" s="754" t="str">
        <f>"(Kerma en aire teórico a "&amp;C91-I161/1000&amp;" m - kerma en aire teórico a "&amp;C91+I161/1000&amp;" m)/2"</f>
        <v>(Kerma en aire teórico a 1.997 m - kerma en aire teórico a 2.003 m)/2</v>
      </c>
      <c r="D163" s="751"/>
      <c r="E163" s="751"/>
      <c r="F163" s="751"/>
      <c r="G163" s="751"/>
      <c r="H163" s="751"/>
      <c r="I163" s="751"/>
      <c r="J163" s="751"/>
      <c r="K163" s="751"/>
      <c r="L163" s="751"/>
      <c r="M163" s="752"/>
    </row>
    <row r="164" spans="1:13" s="730" customFormat="1" x14ac:dyDescent="0.25">
      <c r="A164" s="753"/>
      <c r="B164" s="751"/>
      <c r="C164" s="751"/>
      <c r="D164" s="751"/>
      <c r="E164" s="751"/>
      <c r="F164" s="751"/>
      <c r="G164" s="751"/>
      <c r="H164" s="751"/>
      <c r="I164" s="751"/>
      <c r="J164" s="751"/>
      <c r="K164" s="751"/>
      <c r="L164" s="751"/>
      <c r="M164" s="752"/>
    </row>
    <row r="165" spans="1:13" s="730" customFormat="1" x14ac:dyDescent="0.25">
      <c r="A165" s="753"/>
      <c r="B165" s="754" t="s">
        <v>419</v>
      </c>
      <c r="C165" s="751"/>
      <c r="D165" s="751"/>
      <c r="E165" s="751"/>
      <c r="F165" s="751"/>
      <c r="G165" s="751"/>
      <c r="H165" s="751"/>
      <c r="I165" s="751"/>
      <c r="J165" s="751"/>
      <c r="K165" s="751"/>
      <c r="L165" s="751"/>
      <c r="M165" s="752"/>
    </row>
    <row r="166" spans="1:13" s="730" customFormat="1" x14ac:dyDescent="0.25">
      <c r="A166" s="753"/>
      <c r="B166" s="751"/>
      <c r="C166" s="751"/>
      <c r="D166" s="751"/>
      <c r="E166" s="751"/>
      <c r="F166" s="760"/>
      <c r="G166" s="751"/>
      <c r="H166" s="751"/>
      <c r="I166" s="751"/>
      <c r="J166" s="751"/>
      <c r="K166" s="751"/>
      <c r="L166" s="751"/>
      <c r="M166" s="752"/>
    </row>
    <row r="167" spans="1:13" s="730" customFormat="1" x14ac:dyDescent="0.25">
      <c r="A167" s="753"/>
      <c r="B167" s="751" t="s">
        <v>464</v>
      </c>
      <c r="C167" s="760">
        <f>((C90*C91^2/((C91-I161/1000)^2)-C90*C91^2/(C91+I161/1000)^2))/2</f>
        <v>4.1023961621966358E-5</v>
      </c>
      <c r="D167" s="354" t="s">
        <v>645</v>
      </c>
      <c r="E167" s="751"/>
      <c r="F167" s="751"/>
      <c r="G167" s="762"/>
      <c r="H167" s="751"/>
      <c r="I167" s="751"/>
      <c r="J167" s="751"/>
      <c r="K167" s="751"/>
      <c r="L167" s="751"/>
      <c r="M167" s="752"/>
    </row>
    <row r="168" spans="1:13" s="730" customFormat="1" x14ac:dyDescent="0.25">
      <c r="A168" s="753"/>
      <c r="B168" s="751"/>
      <c r="C168" s="755"/>
      <c r="D168" s="754"/>
      <c r="E168" s="751"/>
      <c r="F168" s="751"/>
      <c r="G168" s="751"/>
      <c r="H168" s="751"/>
      <c r="I168" s="751"/>
      <c r="J168" s="751"/>
      <c r="K168" s="751"/>
      <c r="L168" s="751"/>
      <c r="M168" s="752"/>
    </row>
    <row r="169" spans="1:13" s="423" customFormat="1" x14ac:dyDescent="0.25">
      <c r="A169" s="323" t="s">
        <v>486</v>
      </c>
      <c r="B169" s="523"/>
      <c r="C169" s="527"/>
      <c r="D169" s="523"/>
      <c r="E169" s="523"/>
      <c r="F169" s="523"/>
      <c r="G169" s="547"/>
      <c r="H169" s="523"/>
      <c r="I169" s="523"/>
      <c r="J169" s="523"/>
      <c r="K169" s="523"/>
      <c r="L169" s="523"/>
      <c r="M169" s="524"/>
    </row>
    <row r="170" spans="1:13" s="423" customFormat="1" x14ac:dyDescent="0.25">
      <c r="A170" s="523"/>
      <c r="B170" s="523"/>
      <c r="C170" s="527"/>
      <c r="D170" s="523"/>
      <c r="E170" s="523"/>
      <c r="F170" s="523"/>
      <c r="G170" s="547"/>
      <c r="H170" s="523"/>
      <c r="I170" s="523"/>
      <c r="J170" s="523"/>
      <c r="K170" s="523"/>
      <c r="L170" s="523"/>
      <c r="M170" s="524"/>
    </row>
    <row r="171" spans="1:13" s="423" customFormat="1" x14ac:dyDescent="0.25">
      <c r="A171" s="523"/>
      <c r="B171" s="523"/>
      <c r="C171" s="527"/>
      <c r="D171" s="523"/>
      <c r="E171" s="523"/>
      <c r="F171" s="523"/>
      <c r="G171" s="547"/>
      <c r="H171" s="523"/>
      <c r="I171" s="523"/>
      <c r="J171" s="523"/>
      <c r="K171" s="523"/>
      <c r="L171" s="523"/>
      <c r="M171" s="524"/>
    </row>
    <row r="172" spans="1:13" s="423" customFormat="1" x14ac:dyDescent="0.25">
      <c r="A172" s="523"/>
      <c r="B172" s="523"/>
      <c r="C172" s="527"/>
      <c r="D172" s="523"/>
      <c r="E172" s="523"/>
      <c r="F172" s="523"/>
      <c r="G172" s="547"/>
      <c r="H172" s="523"/>
      <c r="I172" s="523"/>
      <c r="J172" s="523"/>
      <c r="K172" s="523"/>
      <c r="L172" s="523"/>
      <c r="M172" s="524"/>
    </row>
    <row r="173" spans="1:13" s="423" customFormat="1" x14ac:dyDescent="0.25">
      <c r="A173" s="525"/>
      <c r="B173" s="523"/>
      <c r="C173" s="527"/>
      <c r="D173" s="523"/>
      <c r="E173" s="523"/>
      <c r="F173" s="523"/>
      <c r="G173" s="547"/>
      <c r="H173" s="523"/>
      <c r="I173" s="523"/>
      <c r="J173" s="523"/>
      <c r="K173" s="523"/>
      <c r="L173" s="523"/>
      <c r="M173" s="524"/>
    </row>
    <row r="174" spans="1:13" s="423" customFormat="1" ht="18" x14ac:dyDescent="0.25">
      <c r="A174" s="525"/>
      <c r="B174" s="545" t="s">
        <v>632</v>
      </c>
      <c r="C174" s="523">
        <v>1</v>
      </c>
      <c r="D174" s="324" t="s">
        <v>93</v>
      </c>
      <c r="E174" s="523"/>
      <c r="F174" s="523"/>
      <c r="G174" s="548"/>
      <c r="H174" s="523"/>
      <c r="I174" s="523"/>
      <c r="J174" s="523"/>
      <c r="K174" s="523"/>
      <c r="L174" s="523"/>
      <c r="M174" s="524"/>
    </row>
    <row r="175" spans="1:13" s="730" customFormat="1" ht="15.75" thickBot="1" x14ac:dyDescent="0.3">
      <c r="A175" s="756"/>
      <c r="B175" s="763"/>
      <c r="C175" s="757"/>
      <c r="D175" s="757"/>
      <c r="E175" s="757"/>
      <c r="F175" s="757"/>
      <c r="G175" s="764"/>
      <c r="H175" s="757"/>
      <c r="I175" s="757"/>
      <c r="J175" s="757"/>
      <c r="K175" s="757"/>
      <c r="L175" s="757"/>
      <c r="M175" s="758"/>
    </row>
    <row r="176" spans="1:13" s="730" customFormat="1" x14ac:dyDescent="0.25">
      <c r="A176" s="747"/>
      <c r="B176" s="748"/>
      <c r="C176" s="748"/>
      <c r="D176" s="748"/>
      <c r="E176" s="748"/>
      <c r="F176" s="748"/>
      <c r="G176" s="765"/>
      <c r="H176" s="748"/>
      <c r="I176" s="748"/>
      <c r="J176" s="748"/>
      <c r="K176" s="748"/>
      <c r="L176" s="748"/>
      <c r="M176" s="749"/>
    </row>
    <row r="177" spans="1:13" s="730" customFormat="1" x14ac:dyDescent="0.25">
      <c r="A177" s="750" t="s">
        <v>608</v>
      </c>
      <c r="B177" s="751"/>
      <c r="C177" s="751"/>
      <c r="D177" s="751"/>
      <c r="E177" s="751"/>
      <c r="F177" s="751"/>
      <c r="G177" s="766"/>
      <c r="H177" s="751"/>
      <c r="I177" s="751"/>
      <c r="J177" s="751"/>
      <c r="K177" s="751"/>
      <c r="L177" s="751"/>
      <c r="M177" s="752"/>
    </row>
    <row r="178" spans="1:13" s="730" customFormat="1" x14ac:dyDescent="0.25">
      <c r="A178" s="750"/>
      <c r="B178" s="751"/>
      <c r="C178" s="751"/>
      <c r="D178" s="751"/>
      <c r="E178" s="751"/>
      <c r="F178" s="751"/>
      <c r="G178" s="766"/>
      <c r="H178" s="751"/>
      <c r="I178" s="751"/>
      <c r="J178" s="751"/>
      <c r="K178" s="751"/>
      <c r="L178" s="751"/>
      <c r="M178" s="752"/>
    </row>
    <row r="179" spans="1:13" s="730" customFormat="1" x14ac:dyDescent="0.25">
      <c r="A179" s="750" t="s">
        <v>485</v>
      </c>
      <c r="B179" s="751"/>
      <c r="C179" s="751"/>
      <c r="D179" s="751"/>
      <c r="E179" s="751"/>
      <c r="F179" s="751"/>
      <c r="G179" s="766"/>
      <c r="H179" s="751"/>
      <c r="I179" s="751"/>
      <c r="J179" s="751"/>
      <c r="K179" s="751"/>
      <c r="L179" s="751"/>
      <c r="M179" s="752"/>
    </row>
    <row r="180" spans="1:13" s="730" customFormat="1" x14ac:dyDescent="0.25">
      <c r="A180" s="753"/>
      <c r="B180" s="751"/>
      <c r="C180" s="751"/>
      <c r="D180" s="751"/>
      <c r="E180" s="751"/>
      <c r="F180" s="751"/>
      <c r="G180" s="766"/>
      <c r="H180" s="751"/>
      <c r="I180" s="751"/>
      <c r="J180" s="751"/>
      <c r="K180" s="751"/>
      <c r="L180" s="751"/>
      <c r="M180" s="752"/>
    </row>
    <row r="181" spans="1:13" s="730" customFormat="1" x14ac:dyDescent="0.25">
      <c r="A181" s="753"/>
      <c r="B181" s="751" t="s">
        <v>464</v>
      </c>
      <c r="C181" s="354" t="s">
        <v>996</v>
      </c>
      <c r="D181" s="751"/>
      <c r="E181" s="751"/>
      <c r="F181" s="751"/>
      <c r="G181" s="766"/>
      <c r="H181" s="751"/>
      <c r="I181" s="751"/>
      <c r="J181" s="751"/>
      <c r="K181" s="751"/>
      <c r="L181" s="751"/>
      <c r="M181" s="752"/>
    </row>
    <row r="182" spans="1:13" s="730" customFormat="1" x14ac:dyDescent="0.25">
      <c r="A182" s="753"/>
      <c r="B182" s="751"/>
      <c r="C182" s="751"/>
      <c r="D182" s="751"/>
      <c r="E182" s="751"/>
      <c r="F182" s="751"/>
      <c r="G182" s="766"/>
      <c r="H182" s="751"/>
      <c r="I182" s="751"/>
      <c r="J182" s="751"/>
      <c r="K182" s="751"/>
      <c r="L182" s="751"/>
      <c r="M182" s="752"/>
    </row>
    <row r="183" spans="1:13" s="730" customFormat="1" x14ac:dyDescent="0.25">
      <c r="A183" s="753"/>
      <c r="B183" s="751" t="s">
        <v>464</v>
      </c>
      <c r="C183" s="1455">
        <f>'F-LSCD-002 (Pos. fuente)'!AH69*C90/2</f>
        <v>2.7234297889324675E-5</v>
      </c>
      <c r="D183" s="354" t="s">
        <v>645</v>
      </c>
      <c r="E183" s="751"/>
      <c r="F183" s="751"/>
      <c r="G183" s="766"/>
      <c r="H183" s="751"/>
      <c r="I183" s="751"/>
      <c r="J183" s="751"/>
      <c r="K183" s="751"/>
      <c r="L183" s="751"/>
      <c r="M183" s="752"/>
    </row>
    <row r="184" spans="1:13" s="730" customFormat="1" x14ac:dyDescent="0.25">
      <c r="A184" s="753"/>
      <c r="B184" s="751"/>
      <c r="C184" s="760"/>
      <c r="D184" s="754"/>
      <c r="E184" s="751"/>
      <c r="F184" s="751"/>
      <c r="G184" s="766"/>
      <c r="H184" s="751"/>
      <c r="I184" s="751"/>
      <c r="J184" s="751"/>
      <c r="K184" s="751"/>
      <c r="L184" s="751"/>
      <c r="M184" s="752"/>
    </row>
    <row r="185" spans="1:13" s="730" customFormat="1" x14ac:dyDescent="0.25">
      <c r="A185" s="753"/>
      <c r="B185" s="754" t="s">
        <v>397</v>
      </c>
      <c r="C185" s="751"/>
      <c r="D185" s="751"/>
      <c r="E185" s="751"/>
      <c r="F185" s="751"/>
      <c r="G185" s="751"/>
      <c r="H185" s="751"/>
      <c r="I185" s="751"/>
      <c r="J185" s="751"/>
      <c r="K185" s="751"/>
      <c r="L185" s="751"/>
      <c r="M185" s="752"/>
    </row>
    <row r="186" spans="1:13" s="730" customFormat="1" x14ac:dyDescent="0.25">
      <c r="A186" s="753"/>
      <c r="B186" s="754" t="s">
        <v>416</v>
      </c>
      <c r="C186" s="751"/>
      <c r="D186" s="751"/>
      <c r="E186" s="751"/>
      <c r="F186" s="751"/>
      <c r="G186" s="751"/>
      <c r="H186" s="751"/>
      <c r="I186" s="751"/>
      <c r="J186" s="751"/>
      <c r="K186" s="751"/>
      <c r="L186" s="751"/>
      <c r="M186" s="752"/>
    </row>
    <row r="187" spans="1:13" s="730" customFormat="1" x14ac:dyDescent="0.25">
      <c r="A187" s="753"/>
      <c r="B187" s="751"/>
      <c r="C187" s="755"/>
      <c r="D187" s="754"/>
      <c r="E187" s="751"/>
      <c r="F187" s="751"/>
      <c r="G187" s="751"/>
      <c r="H187" s="751"/>
      <c r="I187" s="751"/>
      <c r="J187" s="751"/>
      <c r="K187" s="751"/>
      <c r="L187" s="751"/>
      <c r="M187" s="752"/>
    </row>
    <row r="188" spans="1:13" s="423" customFormat="1" x14ac:dyDescent="0.25">
      <c r="A188" s="323" t="s">
        <v>487</v>
      </c>
      <c r="B188" s="526"/>
      <c r="C188" s="523"/>
      <c r="D188" s="523"/>
      <c r="E188" s="523"/>
      <c r="F188" s="523"/>
      <c r="G188" s="523"/>
      <c r="H188" s="523"/>
      <c r="I188" s="523"/>
      <c r="J188" s="523"/>
      <c r="K188" s="523"/>
      <c r="L188" s="523"/>
      <c r="M188" s="524"/>
    </row>
    <row r="189" spans="1:13" s="423" customFormat="1" x14ac:dyDescent="0.25">
      <c r="A189" s="525"/>
      <c r="B189" s="526"/>
      <c r="C189" s="523"/>
      <c r="D189" s="523"/>
      <c r="E189" s="523"/>
      <c r="F189" s="523"/>
      <c r="G189" s="523"/>
      <c r="H189" s="523"/>
      <c r="I189" s="523"/>
      <c r="J189" s="523"/>
      <c r="K189" s="523"/>
      <c r="L189" s="523"/>
      <c r="M189" s="524"/>
    </row>
    <row r="190" spans="1:13" s="423" customFormat="1" x14ac:dyDescent="0.25">
      <c r="A190" s="525"/>
      <c r="B190" s="523"/>
      <c r="C190" s="523"/>
      <c r="D190" s="523"/>
      <c r="E190" s="523"/>
      <c r="F190" s="523"/>
      <c r="G190" s="523"/>
      <c r="H190" s="523"/>
      <c r="I190" s="523"/>
      <c r="J190" s="523"/>
      <c r="K190" s="523"/>
      <c r="L190" s="523"/>
      <c r="M190" s="524"/>
    </row>
    <row r="191" spans="1:13" s="423" customFormat="1" x14ac:dyDescent="0.25">
      <c r="A191" s="525"/>
      <c r="B191" s="526"/>
      <c r="C191" s="523"/>
      <c r="D191" s="523"/>
      <c r="E191" s="523"/>
      <c r="F191" s="523"/>
      <c r="G191" s="523"/>
      <c r="H191" s="523"/>
      <c r="I191" s="523"/>
      <c r="J191" s="523"/>
      <c r="K191" s="523"/>
      <c r="L191" s="523"/>
      <c r="M191" s="524"/>
    </row>
    <row r="192" spans="1:13" s="423" customFormat="1" x14ac:dyDescent="0.25">
      <c r="A192" s="525"/>
      <c r="B192" s="526"/>
      <c r="C192" s="523"/>
      <c r="D192" s="523"/>
      <c r="E192" s="523"/>
      <c r="F192" s="523"/>
      <c r="G192" s="523"/>
      <c r="H192" s="523"/>
      <c r="I192" s="523"/>
      <c r="J192" s="523"/>
      <c r="K192" s="523"/>
      <c r="L192" s="523"/>
      <c r="M192" s="524"/>
    </row>
    <row r="193" spans="1:13" s="423" customFormat="1" ht="18" x14ac:dyDescent="0.25">
      <c r="A193" s="525"/>
      <c r="B193" s="545" t="s">
        <v>633</v>
      </c>
      <c r="C193" s="523">
        <v>1</v>
      </c>
      <c r="D193" s="324" t="s">
        <v>93</v>
      </c>
      <c r="E193" s="523"/>
      <c r="F193" s="523"/>
      <c r="G193" s="523"/>
      <c r="H193" s="523"/>
      <c r="I193" s="523"/>
      <c r="J193" s="523"/>
      <c r="K193" s="523"/>
      <c r="L193" s="523"/>
      <c r="M193" s="524"/>
    </row>
    <row r="194" spans="1:13" s="730" customFormat="1" ht="15.75" thickBot="1" x14ac:dyDescent="0.3">
      <c r="A194" s="756"/>
      <c r="B194" s="763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8"/>
    </row>
    <row r="195" spans="1:13" s="423" customFormat="1" x14ac:dyDescent="0.25">
      <c r="A195" s="519"/>
      <c r="B195" s="544"/>
      <c r="C195" s="520"/>
      <c r="D195" s="520"/>
      <c r="E195" s="520"/>
      <c r="F195" s="520"/>
      <c r="G195" s="520"/>
      <c r="H195" s="520"/>
      <c r="I195" s="520"/>
      <c r="J195" s="520"/>
      <c r="K195" s="520"/>
      <c r="L195" s="520"/>
      <c r="M195" s="521"/>
    </row>
    <row r="196" spans="1:13" s="423" customFormat="1" x14ac:dyDescent="0.25">
      <c r="A196" s="323" t="s">
        <v>992</v>
      </c>
      <c r="B196" s="526"/>
      <c r="C196" s="523"/>
      <c r="D196" s="523"/>
      <c r="E196" s="523"/>
      <c r="F196" s="523"/>
      <c r="G196" s="523"/>
      <c r="H196" s="523"/>
      <c r="I196" s="523"/>
      <c r="J196" s="523"/>
      <c r="K196" s="523"/>
      <c r="L196" s="523"/>
      <c r="M196" s="524"/>
    </row>
    <row r="197" spans="1:13" s="423" customFormat="1" x14ac:dyDescent="0.25">
      <c r="A197" s="522"/>
      <c r="B197" s="526"/>
      <c r="C197" s="523"/>
      <c r="D197" s="523"/>
      <c r="E197" s="523"/>
      <c r="F197" s="523"/>
      <c r="G197" s="523"/>
      <c r="H197" s="523"/>
      <c r="I197" s="523"/>
      <c r="J197" s="523"/>
      <c r="K197" s="523"/>
      <c r="L197" s="523"/>
      <c r="M197" s="524"/>
    </row>
    <row r="198" spans="1:13" s="423" customFormat="1" x14ac:dyDescent="0.25">
      <c r="A198" s="323" t="s">
        <v>494</v>
      </c>
      <c r="B198" s="526"/>
      <c r="C198" s="523"/>
      <c r="D198" s="523"/>
      <c r="E198" s="523"/>
      <c r="F198" s="523"/>
      <c r="G198" s="523"/>
      <c r="H198" s="523"/>
      <c r="I198" s="523"/>
      <c r="J198" s="523"/>
      <c r="K198" s="523"/>
      <c r="L198" s="523"/>
      <c r="M198" s="524"/>
    </row>
    <row r="199" spans="1:13" s="423" customFormat="1" x14ac:dyDescent="0.25">
      <c r="A199" s="522"/>
      <c r="B199" s="526"/>
      <c r="C199" s="523"/>
      <c r="D199" s="523"/>
      <c r="E199" s="523"/>
      <c r="F199" s="523"/>
      <c r="G199" s="523"/>
      <c r="H199" s="523"/>
      <c r="I199" s="523"/>
      <c r="J199" s="523"/>
      <c r="K199" s="523"/>
      <c r="L199" s="523"/>
      <c r="M199" s="524"/>
    </row>
    <row r="200" spans="1:13" s="423" customFormat="1" x14ac:dyDescent="0.25">
      <c r="A200" s="522"/>
      <c r="B200" s="526" t="s">
        <v>453</v>
      </c>
      <c r="C200" s="523"/>
      <c r="D200" s="523"/>
      <c r="E200" s="523"/>
      <c r="F200" s="523">
        <v>1.1000000000000001</v>
      </c>
      <c r="G200" s="526" t="s">
        <v>449</v>
      </c>
      <c r="H200" s="523"/>
      <c r="I200" s="523"/>
      <c r="J200" s="523"/>
      <c r="K200" s="523"/>
      <c r="L200" s="523"/>
      <c r="M200" s="524"/>
    </row>
    <row r="201" spans="1:13" s="423" customFormat="1" x14ac:dyDescent="0.25">
      <c r="A201" s="522"/>
      <c r="B201" s="526"/>
      <c r="C201" s="523"/>
      <c r="D201" s="523"/>
      <c r="E201" s="523"/>
      <c r="F201" s="523"/>
      <c r="G201" s="523"/>
      <c r="H201" s="523"/>
      <c r="I201" s="523"/>
      <c r="J201" s="523"/>
      <c r="K201" s="523"/>
      <c r="L201" s="523"/>
      <c r="M201" s="524"/>
    </row>
    <row r="202" spans="1:13" s="423" customFormat="1" x14ac:dyDescent="0.25">
      <c r="A202" s="522"/>
      <c r="B202" s="523" t="s">
        <v>464</v>
      </c>
      <c r="C202" s="526" t="str">
        <f>"(Kerma en aire medido a "&amp;C91&amp;" m - Kerma en aire teórico a "&amp;C91+F200/1000&amp;" m)/2"</f>
        <v>(Kerma en aire medido a 2 m - Kerma en aire teórico a 2.0011 m)/2</v>
      </c>
      <c r="D202" s="523"/>
      <c r="E202" s="523"/>
      <c r="F202" s="523"/>
      <c r="G202" s="523"/>
      <c r="H202" s="523"/>
      <c r="I202" s="523"/>
      <c r="J202" s="523"/>
      <c r="K202" s="523"/>
      <c r="L202" s="523"/>
      <c r="M202" s="524"/>
    </row>
    <row r="203" spans="1:13" s="423" customFormat="1" x14ac:dyDescent="0.25">
      <c r="A203" s="522"/>
      <c r="B203" s="523"/>
      <c r="C203" s="526"/>
      <c r="D203" s="523"/>
      <c r="E203" s="523"/>
      <c r="F203" s="523"/>
      <c r="G203" s="523"/>
      <c r="H203" s="523"/>
      <c r="I203" s="523"/>
      <c r="J203" s="523"/>
      <c r="K203" s="523"/>
      <c r="L203" s="523"/>
      <c r="M203" s="524"/>
    </row>
    <row r="204" spans="1:13" s="423" customFormat="1" x14ac:dyDescent="0.25">
      <c r="A204" s="522"/>
      <c r="B204" s="523" t="s">
        <v>464</v>
      </c>
      <c r="C204" s="527">
        <f>(C90-(C90*C91^2/(C91+F200/1000)^2))/2</f>
        <v>7.5148254867849623E-6</v>
      </c>
      <c r="D204" s="354" t="s">
        <v>645</v>
      </c>
      <c r="E204" s="523"/>
      <c r="F204" s="523"/>
      <c r="G204" s="523"/>
      <c r="H204" s="523"/>
      <c r="I204" s="523"/>
      <c r="J204" s="523"/>
      <c r="K204" s="523"/>
      <c r="L204" s="523"/>
      <c r="M204" s="524"/>
    </row>
    <row r="205" spans="1:13" s="423" customFormat="1" x14ac:dyDescent="0.25">
      <c r="A205" s="522"/>
      <c r="B205" s="523"/>
      <c r="C205" s="527"/>
      <c r="D205" s="523"/>
      <c r="E205" s="523"/>
      <c r="F205" s="523"/>
      <c r="G205" s="523"/>
      <c r="H205" s="523"/>
      <c r="I205" s="523"/>
      <c r="J205" s="523"/>
      <c r="K205" s="523"/>
      <c r="L205" s="523"/>
      <c r="M205" s="524"/>
    </row>
    <row r="206" spans="1:13" s="423" customFormat="1" x14ac:dyDescent="0.25">
      <c r="A206" s="323" t="s">
        <v>495</v>
      </c>
      <c r="B206" s="523"/>
      <c r="C206" s="527"/>
      <c r="D206" s="523"/>
      <c r="E206" s="523"/>
      <c r="F206" s="523"/>
      <c r="G206" s="523"/>
      <c r="H206" s="523"/>
      <c r="I206" s="523"/>
      <c r="J206" s="523"/>
      <c r="K206" s="523"/>
      <c r="L206" s="523"/>
      <c r="M206" s="524"/>
    </row>
    <row r="207" spans="1:13" s="423" customFormat="1" x14ac:dyDescent="0.25">
      <c r="A207" s="522"/>
      <c r="B207" s="523"/>
      <c r="C207" s="527"/>
      <c r="D207" s="523"/>
      <c r="E207" s="523"/>
      <c r="F207" s="523"/>
      <c r="G207" s="523"/>
      <c r="H207" s="523"/>
      <c r="I207" s="523"/>
      <c r="J207" s="523"/>
      <c r="K207" s="523"/>
      <c r="L207" s="523"/>
      <c r="M207" s="524"/>
    </row>
    <row r="208" spans="1:13" s="423" customFormat="1" x14ac:dyDescent="0.25">
      <c r="A208" s="522"/>
      <c r="B208" s="523"/>
      <c r="C208" s="527"/>
      <c r="D208" s="523"/>
      <c r="E208" s="523"/>
      <c r="F208" s="523"/>
      <c r="G208" s="523"/>
      <c r="H208" s="523"/>
      <c r="I208" s="523"/>
      <c r="J208" s="523"/>
      <c r="K208" s="523"/>
      <c r="L208" s="523"/>
      <c r="M208" s="524"/>
    </row>
    <row r="209" spans="1:13" s="423" customFormat="1" x14ac:dyDescent="0.25">
      <c r="A209" s="522"/>
      <c r="B209" s="523"/>
      <c r="C209" s="527"/>
      <c r="D209" s="523"/>
      <c r="E209" s="523"/>
      <c r="F209" s="523"/>
      <c r="G209" s="523"/>
      <c r="H209" s="523"/>
      <c r="I209" s="523"/>
      <c r="J209" s="523"/>
      <c r="K209" s="523"/>
      <c r="L209" s="523"/>
      <c r="M209" s="524"/>
    </row>
    <row r="210" spans="1:13" s="423" customFormat="1" x14ac:dyDescent="0.25">
      <c r="A210" s="522"/>
      <c r="B210" s="523"/>
      <c r="C210" s="526"/>
      <c r="D210" s="523"/>
      <c r="E210" s="523"/>
      <c r="F210" s="523"/>
      <c r="G210" s="523"/>
      <c r="H210" s="523"/>
      <c r="I210" s="523"/>
      <c r="J210" s="523"/>
      <c r="K210" s="523"/>
      <c r="L210" s="523"/>
      <c r="M210" s="524"/>
    </row>
    <row r="211" spans="1:13" s="423" customFormat="1" ht="18" x14ac:dyDescent="0.25">
      <c r="A211" s="522"/>
      <c r="B211" s="545" t="s">
        <v>634</v>
      </c>
      <c r="C211" s="523">
        <v>1</v>
      </c>
      <c r="D211" s="324" t="s">
        <v>93</v>
      </c>
      <c r="E211" s="523"/>
      <c r="F211" s="523"/>
      <c r="G211" s="523"/>
      <c r="H211" s="523"/>
      <c r="I211" s="523"/>
      <c r="J211" s="523"/>
      <c r="K211" s="523"/>
      <c r="L211" s="523"/>
      <c r="M211" s="524"/>
    </row>
    <row r="212" spans="1:13" s="423" customFormat="1" ht="15.75" thickBot="1" x14ac:dyDescent="0.3">
      <c r="A212" s="552"/>
      <c r="B212" s="530"/>
      <c r="C212" s="543"/>
      <c r="D212" s="530"/>
      <c r="E212" s="530"/>
      <c r="F212" s="530"/>
      <c r="G212" s="530"/>
      <c r="H212" s="530"/>
      <c r="I212" s="530"/>
      <c r="J212" s="530"/>
      <c r="K212" s="530"/>
      <c r="L212" s="530"/>
      <c r="M212" s="531"/>
    </row>
    <row r="213" spans="1:13" s="423" customFormat="1" x14ac:dyDescent="0.25">
      <c r="A213" s="553"/>
      <c r="B213" s="520"/>
      <c r="C213" s="544"/>
      <c r="D213" s="520"/>
      <c r="E213" s="520"/>
      <c r="F213" s="520"/>
      <c r="G213" s="520"/>
      <c r="H213" s="520"/>
      <c r="I213" s="520"/>
      <c r="J213" s="520"/>
      <c r="K213" s="520"/>
      <c r="L213" s="520"/>
      <c r="M213" s="521"/>
    </row>
    <row r="214" spans="1:13" s="423" customFormat="1" x14ac:dyDescent="0.25">
      <c r="A214" s="323" t="s">
        <v>678</v>
      </c>
      <c r="B214" s="526"/>
      <c r="C214" s="523"/>
      <c r="D214" s="523"/>
      <c r="E214" s="523"/>
      <c r="F214" s="523"/>
      <c r="G214" s="523"/>
      <c r="H214" s="523"/>
      <c r="I214" s="523"/>
      <c r="J214" s="523"/>
      <c r="K214" s="523"/>
      <c r="L214" s="523"/>
      <c r="M214" s="524"/>
    </row>
    <row r="215" spans="1:13" s="423" customFormat="1" x14ac:dyDescent="0.25">
      <c r="A215" s="522"/>
      <c r="B215" s="526"/>
      <c r="C215" s="523"/>
      <c r="D215" s="523"/>
      <c r="E215" s="523"/>
      <c r="F215" s="523"/>
      <c r="G215" s="523"/>
      <c r="H215" s="523"/>
      <c r="I215" s="523"/>
      <c r="J215" s="523"/>
      <c r="K215" s="523"/>
      <c r="L215" s="523"/>
      <c r="M215" s="524"/>
    </row>
    <row r="216" spans="1:13" s="423" customFormat="1" x14ac:dyDescent="0.25">
      <c r="A216" s="323" t="s">
        <v>498</v>
      </c>
      <c r="B216" s="526"/>
      <c r="C216" s="523"/>
      <c r="D216" s="523"/>
      <c r="E216" s="523"/>
      <c r="F216" s="523"/>
      <c r="G216" s="523"/>
      <c r="H216" s="523"/>
      <c r="I216" s="523"/>
      <c r="J216" s="523"/>
      <c r="K216" s="523"/>
      <c r="L216" s="523"/>
      <c r="M216" s="524"/>
    </row>
    <row r="217" spans="1:13" s="423" customFormat="1" x14ac:dyDescent="0.25">
      <c r="A217" s="522"/>
      <c r="B217" s="526"/>
      <c r="C217" s="523"/>
      <c r="D217" s="523"/>
      <c r="E217" s="523"/>
      <c r="F217" s="523"/>
      <c r="G217" s="523"/>
      <c r="H217" s="523"/>
      <c r="I217" s="523"/>
      <c r="J217" s="523"/>
      <c r="K217" s="523"/>
      <c r="L217" s="523"/>
      <c r="M217" s="524"/>
    </row>
    <row r="218" spans="1:13" s="423" customFormat="1" x14ac:dyDescent="0.25">
      <c r="A218" s="522"/>
      <c r="B218" s="526" t="s">
        <v>454</v>
      </c>
      <c r="C218" s="523"/>
      <c r="D218" s="523"/>
      <c r="E218" s="523"/>
      <c r="F218" s="523">
        <f>'F-LSCD-002 (Dosimetría)'!D66</f>
        <v>1</v>
      </c>
      <c r="G218" s="523" t="s">
        <v>449</v>
      </c>
      <c r="H218" s="523"/>
      <c r="I218" s="523"/>
      <c r="J218" s="523"/>
      <c r="K218" s="523"/>
      <c r="L218" s="523"/>
      <c r="M218" s="524"/>
    </row>
    <row r="219" spans="1:13" s="423" customFormat="1" x14ac:dyDescent="0.25">
      <c r="A219" s="522"/>
      <c r="B219" s="526"/>
      <c r="C219" s="523"/>
      <c r="D219" s="523"/>
      <c r="E219" s="523"/>
      <c r="F219" s="523"/>
      <c r="G219" s="523"/>
      <c r="H219" s="523"/>
      <c r="I219" s="523"/>
      <c r="J219" s="523"/>
      <c r="K219" s="523"/>
      <c r="L219" s="523"/>
      <c r="M219" s="524"/>
    </row>
    <row r="220" spans="1:13" s="423" customFormat="1" x14ac:dyDescent="0.25">
      <c r="A220" s="522"/>
      <c r="B220" s="523" t="s">
        <v>464</v>
      </c>
      <c r="C220" s="526" t="str">
        <f>"(Kerma en aire medido a "&amp;C91&amp;" m - Kerma en aire teórico a "&amp;C91+F218/1000&amp;" m)/2"</f>
        <v>(Kerma en aire medido a 2 m - Kerma en aire teórico a 2.001 m)/2</v>
      </c>
      <c r="D220" s="523"/>
      <c r="E220" s="523"/>
      <c r="F220" s="523"/>
      <c r="G220" s="523"/>
      <c r="H220" s="523"/>
      <c r="I220" s="523"/>
      <c r="J220" s="523"/>
      <c r="K220" s="523"/>
      <c r="L220" s="523"/>
      <c r="M220" s="524"/>
    </row>
    <row r="221" spans="1:13" s="423" customFormat="1" x14ac:dyDescent="0.25">
      <c r="A221" s="522"/>
      <c r="B221" s="526"/>
      <c r="C221" s="523"/>
      <c r="D221" s="523"/>
      <c r="E221" s="523"/>
      <c r="F221" s="523"/>
      <c r="G221" s="523"/>
      <c r="H221" s="523"/>
      <c r="I221" s="523"/>
      <c r="J221" s="523"/>
      <c r="K221" s="523"/>
      <c r="L221" s="523"/>
      <c r="M221" s="524"/>
    </row>
    <row r="222" spans="1:13" s="423" customFormat="1" x14ac:dyDescent="0.25">
      <c r="A222" s="522"/>
      <c r="B222" s="523" t="s">
        <v>464</v>
      </c>
      <c r="C222" s="527">
        <f>(C90-(C90*C91^2/(C91+F218/1000)^2))/2</f>
        <v>6.8321716134430929E-6</v>
      </c>
      <c r="D222" s="354" t="s">
        <v>645</v>
      </c>
      <c r="E222" s="523"/>
      <c r="F222" s="523"/>
      <c r="G222" s="523"/>
      <c r="H222" s="523"/>
      <c r="I222" s="523"/>
      <c r="J222" s="523"/>
      <c r="K222" s="523"/>
      <c r="L222" s="523"/>
      <c r="M222" s="524"/>
    </row>
    <row r="223" spans="1:13" s="423" customFormat="1" x14ac:dyDescent="0.25">
      <c r="A223" s="522"/>
      <c r="B223" s="523"/>
      <c r="C223" s="527"/>
      <c r="D223" s="523"/>
      <c r="E223" s="523"/>
      <c r="F223" s="523"/>
      <c r="G223" s="523"/>
      <c r="H223" s="523"/>
      <c r="I223" s="523"/>
      <c r="J223" s="523"/>
      <c r="K223" s="523"/>
      <c r="L223" s="523"/>
      <c r="M223" s="524"/>
    </row>
    <row r="224" spans="1:13" s="423" customFormat="1" x14ac:dyDescent="0.25">
      <c r="A224" s="323" t="s">
        <v>499</v>
      </c>
      <c r="B224" s="523"/>
      <c r="C224" s="527"/>
      <c r="D224" s="523"/>
      <c r="E224" s="523"/>
      <c r="F224" s="523"/>
      <c r="G224" s="523"/>
      <c r="H224" s="523"/>
      <c r="I224" s="523"/>
      <c r="J224" s="523"/>
      <c r="K224" s="523"/>
      <c r="L224" s="523"/>
      <c r="M224" s="524"/>
    </row>
    <row r="225" spans="1:13" s="423" customFormat="1" x14ac:dyDescent="0.25">
      <c r="A225" s="522"/>
      <c r="B225" s="523"/>
      <c r="C225" s="527"/>
      <c r="D225" s="523"/>
      <c r="E225" s="523"/>
      <c r="F225" s="523"/>
      <c r="G225" s="523"/>
      <c r="H225" s="523"/>
      <c r="I225" s="523"/>
      <c r="J225" s="523"/>
      <c r="K225" s="523"/>
      <c r="L225" s="523"/>
      <c r="M225" s="524"/>
    </row>
    <row r="226" spans="1:13" s="423" customFormat="1" x14ac:dyDescent="0.25">
      <c r="A226" s="522"/>
      <c r="B226" s="523"/>
      <c r="C226" s="527"/>
      <c r="D226" s="523"/>
      <c r="E226" s="523"/>
      <c r="F226" s="523"/>
      <c r="G226" s="523"/>
      <c r="H226" s="523"/>
      <c r="I226" s="523"/>
      <c r="J226" s="523"/>
      <c r="K226" s="523"/>
      <c r="L226" s="523"/>
      <c r="M226" s="524"/>
    </row>
    <row r="227" spans="1:13" s="423" customFormat="1" x14ac:dyDescent="0.25">
      <c r="A227" s="522"/>
      <c r="B227" s="523"/>
      <c r="C227" s="527"/>
      <c r="D227" s="523"/>
      <c r="E227" s="523"/>
      <c r="F227" s="523"/>
      <c r="G227" s="523"/>
      <c r="H227" s="523"/>
      <c r="I227" s="523"/>
      <c r="J227" s="523"/>
      <c r="K227" s="523"/>
      <c r="L227" s="523"/>
      <c r="M227" s="524"/>
    </row>
    <row r="228" spans="1:13" s="423" customFormat="1" x14ac:dyDescent="0.25">
      <c r="A228" s="522"/>
      <c r="B228" s="523"/>
      <c r="C228" s="527"/>
      <c r="D228" s="523"/>
      <c r="E228" s="523"/>
      <c r="F228" s="523"/>
      <c r="G228" s="523"/>
      <c r="H228" s="523"/>
      <c r="I228" s="523"/>
      <c r="J228" s="523"/>
      <c r="K228" s="523"/>
      <c r="L228" s="523"/>
      <c r="M228" s="524"/>
    </row>
    <row r="229" spans="1:13" s="423" customFormat="1" ht="18" x14ac:dyDescent="0.25">
      <c r="A229" s="522"/>
      <c r="B229" s="523" t="s">
        <v>510</v>
      </c>
      <c r="C229" s="523">
        <v>1</v>
      </c>
      <c r="D229" s="324" t="s">
        <v>93</v>
      </c>
      <c r="E229" s="523"/>
      <c r="F229" s="523"/>
      <c r="G229" s="523"/>
      <c r="H229" s="523"/>
      <c r="I229" s="523"/>
      <c r="J229" s="523"/>
      <c r="K229" s="523"/>
      <c r="L229" s="523"/>
      <c r="M229" s="524"/>
    </row>
    <row r="230" spans="1:13" s="423" customFormat="1" ht="15.75" thickBot="1" x14ac:dyDescent="0.3">
      <c r="A230" s="552"/>
      <c r="B230" s="530"/>
      <c r="C230" s="554"/>
      <c r="D230" s="530"/>
      <c r="E230" s="530"/>
      <c r="F230" s="530"/>
      <c r="G230" s="530"/>
      <c r="H230" s="530"/>
      <c r="I230" s="530"/>
      <c r="J230" s="530"/>
      <c r="K230" s="530"/>
      <c r="L230" s="530"/>
      <c r="M230" s="531"/>
    </row>
    <row r="231" spans="1:13" ht="16.5" customHeight="1" x14ac:dyDescent="0.25">
      <c r="A231" s="1138"/>
      <c r="B231" s="1156"/>
      <c r="C231" s="1139"/>
      <c r="D231" s="1139"/>
      <c r="E231" s="1139"/>
      <c r="F231" s="1139"/>
      <c r="G231" s="1139"/>
      <c r="H231" s="1139"/>
      <c r="I231" s="1139"/>
      <c r="J231" s="1139"/>
      <c r="K231" s="1139"/>
      <c r="L231" s="1139"/>
      <c r="M231" s="1140"/>
    </row>
    <row r="232" spans="1:13" x14ac:dyDescent="0.25">
      <c r="A232" s="323" t="s">
        <v>1001</v>
      </c>
      <c r="B232" s="1146"/>
      <c r="C232" s="1142"/>
      <c r="D232" s="1142"/>
      <c r="E232" s="1142"/>
      <c r="F232" s="1142"/>
      <c r="G232" s="1142"/>
      <c r="H232" s="1142"/>
      <c r="I232" s="1142"/>
      <c r="J232" s="1142"/>
      <c r="K232" s="1142"/>
      <c r="L232" s="1142"/>
      <c r="M232" s="1144"/>
    </row>
    <row r="233" spans="1:13" x14ac:dyDescent="0.25">
      <c r="A233" s="1141"/>
      <c r="B233" s="1146"/>
      <c r="C233" s="1142"/>
      <c r="D233" s="1142"/>
      <c r="E233" s="1142"/>
      <c r="F233" s="1142"/>
      <c r="G233" s="1142"/>
      <c r="H233" s="1142"/>
      <c r="I233" s="1142"/>
      <c r="J233" s="1142"/>
      <c r="K233" s="1142"/>
      <c r="L233" s="1142"/>
      <c r="M233" s="1144"/>
    </row>
    <row r="234" spans="1:13" x14ac:dyDescent="0.25">
      <c r="A234" s="323" t="s">
        <v>502</v>
      </c>
      <c r="B234" s="1146"/>
      <c r="C234" s="1142"/>
      <c r="D234" s="1142"/>
      <c r="E234" s="1142"/>
      <c r="F234" s="1142"/>
      <c r="G234" s="1142"/>
      <c r="H234" s="1142"/>
      <c r="I234" s="1142"/>
      <c r="J234" s="1142"/>
      <c r="K234" s="1142"/>
      <c r="L234" s="1142"/>
      <c r="M234" s="1144"/>
    </row>
    <row r="235" spans="1:13" x14ac:dyDescent="0.25">
      <c r="A235" s="1141"/>
      <c r="B235" s="1146"/>
      <c r="C235" s="1142"/>
      <c r="D235" s="1142"/>
      <c r="E235" s="1142"/>
      <c r="F235" s="1142"/>
      <c r="G235" s="1142"/>
      <c r="H235" s="1142"/>
      <c r="I235" s="1142"/>
      <c r="J235" s="1142"/>
      <c r="K235" s="1142"/>
      <c r="L235" s="1142"/>
      <c r="M235" s="1144"/>
    </row>
    <row r="236" spans="1:13" x14ac:dyDescent="0.25">
      <c r="A236" s="1141"/>
      <c r="B236" s="1142" t="s">
        <v>464</v>
      </c>
      <c r="C236" s="1146" t="s">
        <v>455</v>
      </c>
      <c r="D236" s="1142"/>
      <c r="E236" s="1142"/>
      <c r="F236" s="1142"/>
      <c r="G236" s="1142"/>
      <c r="H236" s="1142"/>
      <c r="I236" s="1142"/>
      <c r="J236" s="1142"/>
      <c r="K236" s="1142"/>
      <c r="L236" s="1142"/>
      <c r="M236" s="1144"/>
    </row>
    <row r="237" spans="1:13" x14ac:dyDescent="0.25">
      <c r="A237" s="1141"/>
      <c r="B237" s="1142"/>
      <c r="C237" s="1146"/>
      <c r="D237" s="1142"/>
      <c r="E237" s="1142"/>
      <c r="F237" s="1142"/>
      <c r="G237" s="1142"/>
      <c r="H237" s="1142"/>
      <c r="I237" s="1142"/>
      <c r="J237" s="1142"/>
      <c r="K237" s="1142"/>
      <c r="L237" s="1142"/>
      <c r="M237" s="1144"/>
    </row>
    <row r="238" spans="1:13" x14ac:dyDescent="0.25">
      <c r="A238" s="1141"/>
      <c r="B238" s="1142" t="s">
        <v>464</v>
      </c>
      <c r="C238" s="1143">
        <v>0.13</v>
      </c>
      <c r="D238" s="1146" t="s">
        <v>369</v>
      </c>
      <c r="E238" s="1142"/>
      <c r="F238" s="1142"/>
      <c r="G238" s="1142"/>
      <c r="H238" s="1142"/>
      <c r="I238" s="1142"/>
      <c r="J238" s="1142"/>
      <c r="K238" s="1142"/>
      <c r="L238" s="1142"/>
      <c r="M238" s="1144"/>
    </row>
    <row r="239" spans="1:13" x14ac:dyDescent="0.25">
      <c r="A239" s="1141"/>
      <c r="B239" s="1142"/>
      <c r="C239" s="1143"/>
      <c r="D239" s="1142"/>
      <c r="E239" s="1142"/>
      <c r="F239" s="1142"/>
      <c r="G239" s="1142"/>
      <c r="H239" s="1142"/>
      <c r="I239" s="1142"/>
      <c r="J239" s="1142"/>
      <c r="K239" s="1142"/>
      <c r="L239" s="1142"/>
      <c r="M239" s="1144"/>
    </row>
    <row r="240" spans="1:13" x14ac:dyDescent="0.25">
      <c r="A240" s="323" t="s">
        <v>503</v>
      </c>
      <c r="B240" s="1142"/>
      <c r="C240" s="1143"/>
      <c r="D240" s="1142"/>
      <c r="E240" s="1142"/>
      <c r="F240" s="1142"/>
      <c r="G240" s="1142"/>
      <c r="H240" s="1142"/>
      <c r="I240" s="1142"/>
      <c r="J240" s="1142"/>
      <c r="K240" s="1142"/>
      <c r="L240" s="1142"/>
      <c r="M240" s="1144"/>
    </row>
    <row r="241" spans="1:13" x14ac:dyDescent="0.25">
      <c r="A241" s="1141"/>
      <c r="B241" s="1142"/>
      <c r="C241" s="1143"/>
      <c r="D241" s="1142"/>
      <c r="E241" s="1142"/>
      <c r="F241" s="1142"/>
      <c r="G241" s="1142"/>
      <c r="H241" s="1142"/>
      <c r="I241" s="1142"/>
      <c r="J241" s="1142"/>
      <c r="K241" s="1142"/>
      <c r="L241" s="1142"/>
      <c r="M241" s="1144"/>
    </row>
    <row r="242" spans="1:13" x14ac:dyDescent="0.25">
      <c r="A242" s="1141"/>
      <c r="B242" s="1142"/>
      <c r="C242" s="1143"/>
      <c r="D242" s="1142"/>
      <c r="E242" s="1142"/>
      <c r="F242" s="1142"/>
      <c r="G242" s="1142"/>
      <c r="H242" s="1142"/>
      <c r="I242" s="1142"/>
      <c r="J242" s="1142"/>
      <c r="K242" s="1142"/>
      <c r="L242" s="1142"/>
      <c r="M242" s="1144"/>
    </row>
    <row r="243" spans="1:13" x14ac:dyDescent="0.25">
      <c r="A243" s="1141"/>
      <c r="B243" s="1142"/>
      <c r="C243" s="1143"/>
      <c r="D243" s="1142"/>
      <c r="E243" s="1142"/>
      <c r="F243" s="1142"/>
      <c r="G243" s="1142"/>
      <c r="H243" s="1142"/>
      <c r="I243" s="1142"/>
      <c r="J243" s="1142"/>
      <c r="K243" s="1142"/>
      <c r="L243" s="1142"/>
      <c r="M243" s="1144"/>
    </row>
    <row r="244" spans="1:13" x14ac:dyDescent="0.25">
      <c r="A244" s="1141"/>
      <c r="B244" s="1142"/>
      <c r="C244" s="1146"/>
      <c r="D244" s="1142"/>
      <c r="E244" s="1142"/>
      <c r="F244" s="1142"/>
      <c r="G244" s="1142"/>
      <c r="H244" s="1142"/>
      <c r="I244" s="1142"/>
      <c r="J244" s="1142"/>
      <c r="K244" s="1142"/>
      <c r="L244" s="1142"/>
      <c r="M244" s="1144"/>
    </row>
    <row r="245" spans="1:13" ht="18" x14ac:dyDescent="0.25">
      <c r="A245" s="1141"/>
      <c r="B245" s="1155" t="s">
        <v>809</v>
      </c>
      <c r="C245" s="1143">
        <f>-(C82/C83^2)*((273.2+C87)*C84)/((273.2+C86)*C85)*C79*C80*C81*C89</f>
        <v>2.6750561686121773E-4</v>
      </c>
      <c r="D245" s="1142" t="s">
        <v>641</v>
      </c>
      <c r="E245" s="1142"/>
      <c r="F245" s="1142"/>
      <c r="G245" s="1142"/>
      <c r="H245" s="1142"/>
      <c r="I245" s="1142"/>
      <c r="J245" s="1142"/>
      <c r="K245" s="1142"/>
      <c r="L245" s="1142"/>
      <c r="M245" s="1144"/>
    </row>
    <row r="246" spans="1:13" ht="15.75" thickBot="1" x14ac:dyDescent="0.3">
      <c r="A246" s="1157"/>
      <c r="B246" s="1150"/>
      <c r="C246" s="1158"/>
      <c r="D246" s="1150"/>
      <c r="E246" s="1150"/>
      <c r="F246" s="1150"/>
      <c r="G246" s="1150"/>
      <c r="H246" s="1150"/>
      <c r="I246" s="1150"/>
      <c r="J246" s="1150"/>
      <c r="K246" s="1150"/>
      <c r="L246" s="1150"/>
      <c r="M246" s="1151"/>
    </row>
    <row r="247" spans="1:13" x14ac:dyDescent="0.25">
      <c r="A247" s="1159"/>
      <c r="B247" s="1139"/>
      <c r="C247" s="1156"/>
      <c r="D247" s="1139"/>
      <c r="E247" s="1139"/>
      <c r="F247" s="1139"/>
      <c r="G247" s="1139"/>
      <c r="H247" s="1139"/>
      <c r="I247" s="1139"/>
      <c r="J247" s="1139"/>
      <c r="K247" s="1139"/>
      <c r="L247" s="1139"/>
      <c r="M247" s="1140"/>
    </row>
    <row r="248" spans="1:13" x14ac:dyDescent="0.25">
      <c r="A248" s="323" t="s">
        <v>1002</v>
      </c>
      <c r="B248" s="1146"/>
      <c r="C248" s="1142"/>
      <c r="D248" s="1142"/>
      <c r="E248" s="1142"/>
      <c r="F248" s="1142"/>
      <c r="G248" s="1142"/>
      <c r="H248" s="1142"/>
      <c r="I248" s="1142"/>
      <c r="J248" s="1142"/>
      <c r="K248" s="1142"/>
      <c r="L248" s="1142"/>
      <c r="M248" s="1144"/>
    </row>
    <row r="249" spans="1:13" x14ac:dyDescent="0.25">
      <c r="A249" s="1141"/>
      <c r="B249" s="1146"/>
      <c r="C249" s="1142"/>
      <c r="D249" s="1142"/>
      <c r="E249" s="1142"/>
      <c r="F249" s="1142"/>
      <c r="G249" s="1142"/>
      <c r="H249" s="1142"/>
      <c r="I249" s="1142"/>
      <c r="J249" s="1142"/>
      <c r="K249" s="1142"/>
      <c r="L249" s="1142"/>
      <c r="M249" s="1144"/>
    </row>
    <row r="250" spans="1:13" x14ac:dyDescent="0.25">
      <c r="A250" s="323" t="s">
        <v>504</v>
      </c>
      <c r="B250" s="1146"/>
      <c r="C250" s="1142"/>
      <c r="D250" s="1142"/>
      <c r="E250" s="1142"/>
      <c r="F250" s="1142"/>
      <c r="G250" s="1142"/>
      <c r="H250" s="1142"/>
      <c r="I250" s="1142"/>
      <c r="J250" s="1142"/>
      <c r="K250" s="1142"/>
      <c r="L250" s="1142"/>
      <c r="M250" s="1144"/>
    </row>
    <row r="251" spans="1:13" x14ac:dyDescent="0.25">
      <c r="A251" s="1141"/>
      <c r="B251" s="1146"/>
      <c r="C251" s="1142"/>
      <c r="D251" s="1142"/>
      <c r="E251" s="1142"/>
      <c r="F251" s="1142"/>
      <c r="G251" s="1142"/>
      <c r="H251" s="1142"/>
      <c r="I251" s="1142"/>
      <c r="J251" s="1142"/>
      <c r="K251" s="1142"/>
      <c r="L251" s="1142"/>
      <c r="M251" s="1144"/>
    </row>
    <row r="252" spans="1:13" x14ac:dyDescent="0.25">
      <c r="A252" s="1141"/>
      <c r="B252" s="1146" t="s">
        <v>646</v>
      </c>
      <c r="C252" s="1142"/>
      <c r="D252" s="1142"/>
      <c r="E252" s="1142"/>
      <c r="F252" s="1142">
        <v>1E-3</v>
      </c>
      <c r="G252" s="1142" t="s">
        <v>369</v>
      </c>
      <c r="H252" s="1142"/>
      <c r="I252" s="1142"/>
      <c r="J252" s="1142"/>
      <c r="K252" s="1142"/>
      <c r="L252" s="1142"/>
      <c r="M252" s="1144"/>
    </row>
    <row r="253" spans="1:13" x14ac:dyDescent="0.25">
      <c r="A253" s="1141"/>
      <c r="B253" s="1146"/>
      <c r="C253" s="1142"/>
      <c r="D253" s="1142"/>
      <c r="E253" s="1142"/>
      <c r="F253" s="1142"/>
      <c r="G253" s="1142"/>
      <c r="H253" s="1142"/>
      <c r="I253" s="1142"/>
      <c r="J253" s="1142"/>
      <c r="K253" s="1142"/>
      <c r="L253" s="1142"/>
      <c r="M253" s="1144"/>
    </row>
    <row r="254" spans="1:13" x14ac:dyDescent="0.25">
      <c r="A254" s="1141"/>
      <c r="B254" s="1142" t="s">
        <v>464</v>
      </c>
      <c r="C254" s="1146" t="s">
        <v>399</v>
      </c>
      <c r="D254" s="1142"/>
      <c r="E254" s="1142"/>
      <c r="F254" s="1142"/>
      <c r="G254" s="1142"/>
      <c r="H254" s="1142"/>
      <c r="I254" s="1142"/>
      <c r="J254" s="1142"/>
      <c r="K254" s="1142"/>
      <c r="L254" s="1142"/>
      <c r="M254" s="1144"/>
    </row>
    <row r="255" spans="1:13" x14ac:dyDescent="0.25">
      <c r="A255" s="1141"/>
      <c r="B255" s="1146"/>
      <c r="C255" s="1142"/>
      <c r="D255" s="1142"/>
      <c r="E255" s="1142"/>
      <c r="F255" s="1142"/>
      <c r="G255" s="1142"/>
      <c r="H255" s="1142"/>
      <c r="I255" s="1142"/>
      <c r="J255" s="1142"/>
      <c r="K255" s="1142"/>
      <c r="L255" s="1142"/>
      <c r="M255" s="1144"/>
    </row>
    <row r="256" spans="1:13" x14ac:dyDescent="0.25">
      <c r="A256" s="1141"/>
      <c r="B256" s="1142" t="s">
        <v>464</v>
      </c>
      <c r="C256" s="1143">
        <f>F252/2</f>
        <v>5.0000000000000001E-4</v>
      </c>
      <c r="D256" s="1146" t="s">
        <v>369</v>
      </c>
      <c r="E256" s="1142"/>
      <c r="F256" s="1142"/>
      <c r="G256" s="1142"/>
      <c r="H256" s="1142"/>
      <c r="I256" s="1142"/>
      <c r="J256" s="1142"/>
      <c r="K256" s="1142"/>
      <c r="L256" s="1142"/>
      <c r="M256" s="1144"/>
    </row>
    <row r="257" spans="1:13" x14ac:dyDescent="0.25">
      <c r="A257" s="1141"/>
      <c r="B257" s="1142"/>
      <c r="C257" s="1143"/>
      <c r="D257" s="1142"/>
      <c r="E257" s="1142"/>
      <c r="F257" s="1142"/>
      <c r="G257" s="1142"/>
      <c r="H257" s="1142"/>
      <c r="I257" s="1142"/>
      <c r="J257" s="1142"/>
      <c r="K257" s="1142"/>
      <c r="L257" s="1142"/>
      <c r="M257" s="1144"/>
    </row>
    <row r="258" spans="1:13" x14ac:dyDescent="0.25">
      <c r="A258" s="323" t="s">
        <v>505</v>
      </c>
      <c r="B258" s="1142"/>
      <c r="C258" s="1143"/>
      <c r="D258" s="1142"/>
      <c r="E258" s="1142"/>
      <c r="F258" s="1142"/>
      <c r="G258" s="1142"/>
      <c r="H258" s="1142"/>
      <c r="I258" s="1142"/>
      <c r="J258" s="1142"/>
      <c r="K258" s="1142"/>
      <c r="L258" s="1142"/>
      <c r="M258" s="1144"/>
    </row>
    <row r="259" spans="1:13" x14ac:dyDescent="0.25">
      <c r="A259" s="1141"/>
      <c r="B259" s="1142"/>
      <c r="C259" s="1143"/>
      <c r="D259" s="1142"/>
      <c r="E259" s="1142"/>
      <c r="F259" s="1142"/>
      <c r="G259" s="1142"/>
      <c r="H259" s="1142"/>
      <c r="I259" s="1142"/>
      <c r="J259" s="1142"/>
      <c r="K259" s="1142"/>
      <c r="L259" s="1142"/>
      <c r="M259" s="1144"/>
    </row>
    <row r="260" spans="1:13" x14ac:dyDescent="0.25">
      <c r="A260" s="1141"/>
      <c r="B260" s="1142"/>
      <c r="C260" s="1143"/>
      <c r="D260" s="1142"/>
      <c r="E260" s="1142"/>
      <c r="F260" s="1142"/>
      <c r="G260" s="1142"/>
      <c r="H260" s="1142"/>
      <c r="I260" s="1142"/>
      <c r="J260" s="1142"/>
      <c r="K260" s="1142"/>
      <c r="L260" s="1142"/>
      <c r="M260" s="1144"/>
    </row>
    <row r="261" spans="1:13" x14ac:dyDescent="0.25">
      <c r="A261" s="1141"/>
      <c r="B261" s="1142"/>
      <c r="C261" s="1143"/>
      <c r="D261" s="1142"/>
      <c r="E261" s="1142"/>
      <c r="F261" s="1142"/>
      <c r="G261" s="1142"/>
      <c r="H261" s="1142"/>
      <c r="I261" s="1142"/>
      <c r="J261" s="1142"/>
      <c r="K261" s="1142"/>
      <c r="L261" s="1142"/>
      <c r="M261" s="1144"/>
    </row>
    <row r="262" spans="1:13" x14ac:dyDescent="0.25">
      <c r="A262" s="1141"/>
      <c r="B262" s="1142"/>
      <c r="C262" s="1143"/>
      <c r="D262" s="1142"/>
      <c r="E262" s="1142"/>
      <c r="F262" s="1142"/>
      <c r="G262" s="1142"/>
      <c r="H262" s="1142"/>
      <c r="I262" s="1142"/>
      <c r="J262" s="1142"/>
      <c r="K262" s="1142"/>
      <c r="L262" s="1142"/>
      <c r="M262" s="1144"/>
    </row>
    <row r="263" spans="1:13" ht="18" x14ac:dyDescent="0.25">
      <c r="A263" s="1141"/>
      <c r="B263" s="1142" t="s">
        <v>647</v>
      </c>
      <c r="C263" s="1143">
        <f>-(C82/C83^2)*((273.2+C87)*C84)/((273.2+C86)*C85)*C79*C80*C81*C89</f>
        <v>2.6750561686121773E-4</v>
      </c>
      <c r="D263" s="1142" t="s">
        <v>641</v>
      </c>
      <c r="E263" s="1142"/>
      <c r="F263" s="1142"/>
      <c r="G263" s="1142"/>
      <c r="H263" s="1142"/>
      <c r="I263" s="1142"/>
      <c r="J263" s="1142"/>
      <c r="K263" s="1142"/>
      <c r="L263" s="1142"/>
      <c r="M263" s="1144"/>
    </row>
    <row r="264" spans="1:13" ht="15.75" thickBot="1" x14ac:dyDescent="0.3">
      <c r="A264" s="1157"/>
      <c r="B264" s="1150"/>
      <c r="C264" s="1160"/>
      <c r="D264" s="1150"/>
      <c r="E264" s="1150"/>
      <c r="F264" s="1150"/>
      <c r="G264" s="1150"/>
      <c r="H264" s="1150"/>
      <c r="I264" s="1150"/>
      <c r="J264" s="1150"/>
      <c r="K264" s="1150"/>
      <c r="L264" s="1150"/>
      <c r="M264" s="1151"/>
    </row>
  </sheetData>
  <sheetProtection password="D8A8"/>
  <mergeCells count="18">
    <mergeCell ref="B25:F25"/>
    <mergeCell ref="B26:F26"/>
    <mergeCell ref="B27:F27"/>
    <mergeCell ref="A100:M100"/>
    <mergeCell ref="B19:F19"/>
    <mergeCell ref="B20:F20"/>
    <mergeCell ref="B21:F21"/>
    <mergeCell ref="B22:F22"/>
    <mergeCell ref="B23:F23"/>
    <mergeCell ref="B24:F24"/>
    <mergeCell ref="D1:Q4"/>
    <mergeCell ref="A7:S7"/>
    <mergeCell ref="M17:N17"/>
    <mergeCell ref="O17:P17"/>
    <mergeCell ref="Q17:Q18"/>
    <mergeCell ref="R17:R18"/>
    <mergeCell ref="S17:S18"/>
    <mergeCell ref="B18:F18"/>
  </mergeCells>
  <dataValidations count="1">
    <dataValidation type="list" allowBlank="1" showInputMessage="1" showErrorMessage="1" sqref="O30" xr:uid="{00000000-0002-0000-0D00-000000000000}">
      <formula1>#REF!</formula1>
    </dataValidation>
  </dataValidations>
  <pageMargins left="0.7" right="0.7" top="0.75" bottom="0.75" header="0.3" footer="0.3"/>
  <pageSetup paperSize="9" scale="37" fitToHeight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D00-000001000000}">
          <x14:formula1>
            <xm:f>'Datos varios'!$B$35:$B$40</xm:f>
          </x14:formula1>
          <xm:sqref>K19:K28</xm:sqref>
        </x14:dataValidation>
        <x14:dataValidation type="list" allowBlank="1" showInputMessage="1" showErrorMessage="1" xr:uid="{00000000-0002-0000-0D00-000002000000}">
          <x14:formula1>
            <xm:f>'Datos varios'!$B$19:$B$32</xm:f>
          </x14:formula1>
          <xm:sqref>J19:J28</xm:sqref>
        </x14:dataValidation>
        <x14:dataValidation type="list" allowBlank="1" showInputMessage="1" showErrorMessage="1" xr:uid="{00000000-0002-0000-0D00-000003000000}">
          <x14:formula1>
            <xm:f>'Datos varios'!$B$43:$B$44</xm:f>
          </x14:formula1>
          <xm:sqref>H19:H28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6">
    <pageSetUpPr fitToPage="1"/>
  </sheetPr>
  <dimension ref="A1:S284"/>
  <sheetViews>
    <sheetView topLeftCell="A15" workbookViewId="0">
      <selection activeCell="N37" sqref="N37"/>
    </sheetView>
  </sheetViews>
  <sheetFormatPr baseColWidth="10" defaultColWidth="11.42578125" defaultRowHeight="15" x14ac:dyDescent="0.25"/>
  <cols>
    <col min="1" max="2" width="11.42578125" style="1045"/>
    <col min="3" max="6" width="12.7109375" style="1045" bestFit="1" customWidth="1"/>
    <col min="7" max="7" width="11.42578125" style="1045"/>
    <col min="8" max="9" width="12" style="1045" bestFit="1" customWidth="1"/>
    <col min="10" max="10" width="11.42578125" style="1045"/>
    <col min="11" max="13" width="12.7109375" style="1045" bestFit="1" customWidth="1"/>
    <col min="14" max="15" width="14.28515625" style="1045" customWidth="1"/>
    <col min="16" max="16" width="11.42578125" style="1045"/>
    <col min="17" max="17" width="12.140625" style="1045" customWidth="1"/>
    <col min="18" max="18" width="11.42578125" style="1045"/>
    <col min="19" max="19" width="12.140625" style="1045" customWidth="1"/>
    <col min="20" max="16384" width="11.42578125" style="1045"/>
  </cols>
  <sheetData>
    <row r="1" spans="1:19" ht="15" customHeight="1" x14ac:dyDescent="0.25">
      <c r="A1" s="1040"/>
      <c r="B1" s="1041"/>
      <c r="C1" s="1042"/>
      <c r="D1" s="2605" t="s">
        <v>555</v>
      </c>
      <c r="E1" s="2606"/>
      <c r="F1" s="2606"/>
      <c r="G1" s="2606"/>
      <c r="H1" s="2606"/>
      <c r="I1" s="2606"/>
      <c r="J1" s="2606"/>
      <c r="K1" s="2606"/>
      <c r="L1" s="2606"/>
      <c r="M1" s="2606"/>
      <c r="N1" s="2606"/>
      <c r="O1" s="2606"/>
      <c r="P1" s="2606"/>
      <c r="Q1" s="2607"/>
      <c r="R1" s="1043" t="s">
        <v>68</v>
      </c>
      <c r="S1" s="1044" t="s">
        <v>556</v>
      </c>
    </row>
    <row r="2" spans="1:19" ht="15" customHeight="1" x14ac:dyDescent="0.25">
      <c r="A2" s="1046"/>
      <c r="C2" s="1047"/>
      <c r="D2" s="2608"/>
      <c r="E2" s="2609"/>
      <c r="F2" s="2609"/>
      <c r="G2" s="2609"/>
      <c r="H2" s="2609"/>
      <c r="I2" s="2609"/>
      <c r="J2" s="2609"/>
      <c r="K2" s="2609"/>
      <c r="L2" s="2609"/>
      <c r="M2" s="2609"/>
      <c r="N2" s="2609"/>
      <c r="O2" s="2609"/>
      <c r="P2" s="2609"/>
      <c r="Q2" s="2610"/>
      <c r="R2" s="1048" t="s">
        <v>69</v>
      </c>
      <c r="S2" s="1049" t="s">
        <v>174</v>
      </c>
    </row>
    <row r="3" spans="1:19" ht="15" customHeight="1" x14ac:dyDescent="0.25">
      <c r="A3" s="1046"/>
      <c r="C3" s="1047"/>
      <c r="D3" s="2608"/>
      <c r="E3" s="2609"/>
      <c r="F3" s="2609"/>
      <c r="G3" s="2609"/>
      <c r="H3" s="2609"/>
      <c r="I3" s="2609"/>
      <c r="J3" s="2609"/>
      <c r="K3" s="2609"/>
      <c r="L3" s="2609"/>
      <c r="M3" s="2609"/>
      <c r="N3" s="2609"/>
      <c r="O3" s="2609"/>
      <c r="P3" s="2609"/>
      <c r="Q3" s="2610"/>
      <c r="R3" s="1048" t="s">
        <v>70</v>
      </c>
      <c r="S3" s="1049" t="s">
        <v>72</v>
      </c>
    </row>
    <row r="4" spans="1:19" ht="15" customHeight="1" x14ac:dyDescent="0.25">
      <c r="A4" s="1050"/>
      <c r="B4" s="1051"/>
      <c r="C4" s="1052"/>
      <c r="D4" s="2611"/>
      <c r="E4" s="2612"/>
      <c r="F4" s="2612"/>
      <c r="G4" s="2612"/>
      <c r="H4" s="2612"/>
      <c r="I4" s="2612"/>
      <c r="J4" s="2612"/>
      <c r="K4" s="2612"/>
      <c r="L4" s="2612"/>
      <c r="M4" s="2612"/>
      <c r="N4" s="2612"/>
      <c r="O4" s="2612"/>
      <c r="P4" s="2612"/>
      <c r="Q4" s="2613"/>
      <c r="R4" s="1053" t="s">
        <v>71</v>
      </c>
      <c r="S4" s="1054" t="s">
        <v>73</v>
      </c>
    </row>
    <row r="5" spans="1:19" s="1055" customFormat="1" x14ac:dyDescent="0.25"/>
    <row r="7" spans="1:19" ht="18.75" x14ac:dyDescent="0.25">
      <c r="A7" s="2422" t="s">
        <v>1009</v>
      </c>
      <c r="B7" s="2614"/>
      <c r="C7" s="2614"/>
      <c r="D7" s="2614"/>
      <c r="E7" s="2614"/>
      <c r="F7" s="2614"/>
      <c r="G7" s="2614"/>
      <c r="H7" s="2614"/>
      <c r="I7" s="2614"/>
      <c r="J7" s="2614"/>
      <c r="K7" s="2614"/>
      <c r="L7" s="2614"/>
      <c r="M7" s="2614"/>
      <c r="N7" s="2614"/>
      <c r="O7" s="2614"/>
      <c r="P7" s="2614"/>
      <c r="Q7" s="2614"/>
      <c r="R7" s="2614"/>
      <c r="S7" s="2614"/>
    </row>
    <row r="9" spans="1:19" x14ac:dyDescent="0.25">
      <c r="A9" s="1056" t="s">
        <v>545</v>
      </c>
    </row>
    <row r="11" spans="1:19" x14ac:dyDescent="0.25">
      <c r="A11" s="1057" t="s">
        <v>350</v>
      </c>
      <c r="B11" s="1045" t="s">
        <v>353</v>
      </c>
    </row>
    <row r="12" spans="1:19" x14ac:dyDescent="0.25">
      <c r="A12" s="1057" t="s">
        <v>351</v>
      </c>
      <c r="B12" s="1045" t="s">
        <v>354</v>
      </c>
    </row>
    <row r="13" spans="1:19" x14ac:dyDescent="0.25">
      <c r="A13" s="1057" t="s">
        <v>352</v>
      </c>
      <c r="B13" s="1058" t="s">
        <v>355</v>
      </c>
    </row>
    <row r="14" spans="1:19" x14ac:dyDescent="0.25">
      <c r="A14" s="1057" t="s">
        <v>547</v>
      </c>
      <c r="B14" s="1058" t="s">
        <v>548</v>
      </c>
    </row>
    <row r="16" spans="1:19" ht="15.75" thickBot="1" x14ac:dyDescent="0.3"/>
    <row r="17" spans="1:19" ht="15.75" thickBot="1" x14ac:dyDescent="0.3">
      <c r="A17" s="1056"/>
      <c r="M17" s="2615" t="s">
        <v>348</v>
      </c>
      <c r="N17" s="2616"/>
      <c r="O17" s="2615" t="s">
        <v>458</v>
      </c>
      <c r="P17" s="2617"/>
      <c r="Q17" s="2618" t="s">
        <v>557</v>
      </c>
      <c r="R17" s="2620" t="s">
        <v>558</v>
      </c>
      <c r="S17" s="2618" t="s">
        <v>559</v>
      </c>
    </row>
    <row r="18" spans="1:19" ht="45.75" thickBot="1" x14ac:dyDescent="0.3">
      <c r="A18" s="1059" t="s">
        <v>542</v>
      </c>
      <c r="B18" s="2622" t="s">
        <v>524</v>
      </c>
      <c r="C18" s="2623"/>
      <c r="D18" s="2623"/>
      <c r="E18" s="2623"/>
      <c r="F18" s="2624"/>
      <c r="G18" s="1060" t="s">
        <v>525</v>
      </c>
      <c r="H18" s="1061" t="s">
        <v>560</v>
      </c>
      <c r="I18" s="1062" t="s">
        <v>526</v>
      </c>
      <c r="J18" s="1059" t="s">
        <v>117</v>
      </c>
      <c r="K18" s="1063" t="s">
        <v>347</v>
      </c>
      <c r="L18" s="1064" t="s">
        <v>546</v>
      </c>
      <c r="M18" s="1065" t="s">
        <v>118</v>
      </c>
      <c r="N18" s="1060" t="s">
        <v>117</v>
      </c>
      <c r="O18" s="1065" t="s">
        <v>105</v>
      </c>
      <c r="P18" s="1066" t="s">
        <v>104</v>
      </c>
      <c r="Q18" s="2619"/>
      <c r="R18" s="2621"/>
      <c r="S18" s="2619"/>
    </row>
    <row r="19" spans="1:19" ht="18" x14ac:dyDescent="0.25">
      <c r="A19" s="1067">
        <v>1</v>
      </c>
      <c r="B19" s="2599" t="s">
        <v>576</v>
      </c>
      <c r="C19" s="2600"/>
      <c r="D19" s="2600"/>
      <c r="E19" s="2600"/>
      <c r="F19" s="2601"/>
      <c r="G19" s="1068" t="s">
        <v>682</v>
      </c>
      <c r="H19" s="1456" t="s">
        <v>451</v>
      </c>
      <c r="I19" s="1457">
        <f>C110</f>
        <v>2.4526248129736573E-4</v>
      </c>
      <c r="J19" s="1067" t="str">
        <f>D110</f>
        <v>Gy</v>
      </c>
      <c r="K19" s="1069" t="s">
        <v>373</v>
      </c>
      <c r="L19" s="1070">
        <f>IF(K19="normal (k=1)",1,IF(K19="normal (k=2)",2,IF(K19="normal (k=3)",3,IF(K19="rectangular",SQRT(3),IF(K19="triangular",SQRT(6),IF(K19="Prob. U",SQRT(2),"no definido"))))))</f>
        <v>2</v>
      </c>
      <c r="M19" s="1071">
        <f>C117</f>
        <v>1</v>
      </c>
      <c r="N19" s="1072" t="str">
        <f>D117</f>
        <v>-</v>
      </c>
      <c r="O19" s="1073">
        <f t="shared" ref="O19:O26" si="0">I19*M19/L19</f>
        <v>1.2263124064868286E-4</v>
      </c>
      <c r="P19" s="1074" t="s">
        <v>645</v>
      </c>
      <c r="Q19" s="1075">
        <f t="shared" ref="Q19:Q28" si="1">O19/$C$91</f>
        <v>8.9678169276660395E-3</v>
      </c>
      <c r="R19" s="1076">
        <f>Q19*100</f>
        <v>0.89678169276660391</v>
      </c>
      <c r="S19" s="1077">
        <f t="shared" ref="S19:S28" si="2">ABS(O19^2/$O$30^2*100)</f>
        <v>71.516057245076396</v>
      </c>
    </row>
    <row r="20" spans="1:19" ht="18" x14ac:dyDescent="0.25">
      <c r="A20" s="1078">
        <v>2</v>
      </c>
      <c r="B20" s="2599" t="s">
        <v>341</v>
      </c>
      <c r="C20" s="2600"/>
      <c r="D20" s="2600"/>
      <c r="E20" s="2600"/>
      <c r="F20" s="2601"/>
      <c r="G20" s="1079" t="s">
        <v>618</v>
      </c>
      <c r="H20" s="1453" t="s">
        <v>451</v>
      </c>
      <c r="I20" s="1086">
        <f>C126</f>
        <v>1.1927594102701006E-4</v>
      </c>
      <c r="J20" s="1078" t="str">
        <f>D126</f>
        <v>Gy</v>
      </c>
      <c r="K20" s="1080" t="s">
        <v>370</v>
      </c>
      <c r="L20" s="1081">
        <f t="shared" ref="L20:L26" si="3">IF(K20="normal (k=1)",1,IF(K20="normal (k=2)",2,IF(K20="normal (k=3)",3,IF(K20="rectangular",SQRT(3),IF(K20="triangular",SQRT(6),IF(K20="Prob. U",SQRT(2),"no definido"))))))</f>
        <v>1.7320508075688772</v>
      </c>
      <c r="M20" s="1082">
        <f>C136</f>
        <v>1</v>
      </c>
      <c r="N20" s="1083" t="str">
        <f>D117</f>
        <v>-</v>
      </c>
      <c r="O20" s="1084">
        <f t="shared" si="0"/>
        <v>6.8863996659790188E-5</v>
      </c>
      <c r="P20" s="1085" t="s">
        <v>645</v>
      </c>
      <c r="Q20" s="1086">
        <f t="shared" si="1"/>
        <v>5.0359085636392199E-3</v>
      </c>
      <c r="R20" s="1087">
        <f t="shared" ref="R20:R28" si="4">Q20*100</f>
        <v>0.50359085636392198</v>
      </c>
      <c r="S20" s="1088">
        <f t="shared" si="2"/>
        <v>22.552036607722055</v>
      </c>
    </row>
    <row r="21" spans="1:19" ht="18" x14ac:dyDescent="0.25">
      <c r="A21" s="1078">
        <v>3</v>
      </c>
      <c r="B21" s="2599" t="s">
        <v>639</v>
      </c>
      <c r="C21" s="2600"/>
      <c r="D21" s="2600"/>
      <c r="E21" s="2600"/>
      <c r="F21" s="2601"/>
      <c r="G21" s="1079" t="s">
        <v>803</v>
      </c>
      <c r="H21" s="1453" t="s">
        <v>451</v>
      </c>
      <c r="I21" s="1086">
        <f>C145</f>
        <v>1.630000157393327E-2</v>
      </c>
      <c r="J21" s="1078" t="str">
        <f>D145</f>
        <v>s</v>
      </c>
      <c r="K21" s="1080" t="s">
        <v>370</v>
      </c>
      <c r="L21" s="1081">
        <f t="shared" si="3"/>
        <v>1.7320508075688772</v>
      </c>
      <c r="M21" s="1082">
        <f>C155</f>
        <v>2.6750561686121773E-4</v>
      </c>
      <c r="N21" s="1083" t="str">
        <f>D155</f>
        <v>Gy/s</v>
      </c>
      <c r="O21" s="1084">
        <f t="shared" si="0"/>
        <v>2.5174446135295864E-6</v>
      </c>
      <c r="P21" s="1085" t="s">
        <v>645</v>
      </c>
      <c r="Q21" s="1086">
        <f t="shared" si="1"/>
        <v>1.8409650183959705E-4</v>
      </c>
      <c r="R21" s="1087">
        <f t="shared" si="4"/>
        <v>1.8409650183959705E-2</v>
      </c>
      <c r="S21" s="1088">
        <f t="shared" si="2"/>
        <v>3.013846769820298E-2</v>
      </c>
    </row>
    <row r="22" spans="1:19" s="730" customFormat="1" ht="18" x14ac:dyDescent="0.25">
      <c r="A22" s="741">
        <v>4</v>
      </c>
      <c r="B22" s="2594" t="s">
        <v>993</v>
      </c>
      <c r="C22" s="2595"/>
      <c r="D22" s="2595"/>
      <c r="E22" s="2595"/>
      <c r="F22" s="2558"/>
      <c r="G22" s="1454" t="s">
        <v>620</v>
      </c>
      <c r="H22" s="781" t="s">
        <v>451</v>
      </c>
      <c r="I22" s="1086">
        <f>$C$168</f>
        <v>4.1023961621966358E-5</v>
      </c>
      <c r="J22" s="1078" t="str">
        <f>D168</f>
        <v>Gy</v>
      </c>
      <c r="K22" s="1080" t="s">
        <v>370</v>
      </c>
      <c r="L22" s="1081">
        <f t="shared" si="3"/>
        <v>1.7320508075688772</v>
      </c>
      <c r="M22" s="1082">
        <f>C175</f>
        <v>1</v>
      </c>
      <c r="N22" s="1083" t="str">
        <f>D175</f>
        <v>-</v>
      </c>
      <c r="O22" s="1084">
        <f t="shared" si="0"/>
        <v>2.3685195285667155E-5</v>
      </c>
      <c r="P22" s="373" t="s">
        <v>645</v>
      </c>
      <c r="Q22" s="1086">
        <f t="shared" si="1"/>
        <v>1.7320586018238504E-3</v>
      </c>
      <c r="R22" s="1087">
        <f t="shared" si="4"/>
        <v>0.17320586018238504</v>
      </c>
      <c r="S22" s="1088">
        <f t="shared" si="2"/>
        <v>2.6678122294308539</v>
      </c>
    </row>
    <row r="23" spans="1:19" s="730" customFormat="1" ht="18" x14ac:dyDescent="0.25">
      <c r="A23" s="741">
        <v>5</v>
      </c>
      <c r="B23" s="2593" t="s">
        <v>429</v>
      </c>
      <c r="C23" s="2559"/>
      <c r="D23" s="2559"/>
      <c r="E23" s="2559"/>
      <c r="F23" s="2555"/>
      <c r="G23" s="1454" t="s">
        <v>621</v>
      </c>
      <c r="H23" s="781" t="s">
        <v>451</v>
      </c>
      <c r="I23" s="1086">
        <f>$C$184</f>
        <v>2.7234297889324675E-5</v>
      </c>
      <c r="J23" s="1078" t="str">
        <f>D184</f>
        <v>Gy</v>
      </c>
      <c r="K23" s="1080" t="s">
        <v>370</v>
      </c>
      <c r="L23" s="1081">
        <f t="shared" si="3"/>
        <v>1.7320508075688772</v>
      </c>
      <c r="M23" s="1082">
        <f>C194</f>
        <v>1</v>
      </c>
      <c r="N23" s="374" t="str">
        <f>D194</f>
        <v>-</v>
      </c>
      <c r="O23" s="1084">
        <f t="shared" si="0"/>
        <v>1.572372921759206E-5</v>
      </c>
      <c r="P23" s="373" t="s">
        <v>645</v>
      </c>
      <c r="Q23" s="1086">
        <f t="shared" si="1"/>
        <v>1.1498499427851435E-3</v>
      </c>
      <c r="R23" s="1087">
        <f t="shared" si="4"/>
        <v>0.11498499427851434</v>
      </c>
      <c r="S23" s="1088">
        <f t="shared" si="2"/>
        <v>1.1757430806547697</v>
      </c>
    </row>
    <row r="24" spans="1:19" s="730" customFormat="1" ht="18" x14ac:dyDescent="0.25">
      <c r="A24" s="741">
        <v>6</v>
      </c>
      <c r="B24" s="2594" t="s">
        <v>986</v>
      </c>
      <c r="C24" s="2595"/>
      <c r="D24" s="2595"/>
      <c r="E24" s="2595"/>
      <c r="F24" s="2558"/>
      <c r="G24" s="1454" t="s">
        <v>622</v>
      </c>
      <c r="H24" s="781" t="s">
        <v>451</v>
      </c>
      <c r="I24" s="1086">
        <f>$C$205</f>
        <v>7.5148254867849623E-6</v>
      </c>
      <c r="J24" s="1078" t="str">
        <f>D205</f>
        <v>Gy</v>
      </c>
      <c r="K24" s="1080" t="s">
        <v>373</v>
      </c>
      <c r="L24" s="1081">
        <f t="shared" si="3"/>
        <v>2</v>
      </c>
      <c r="M24" s="1082">
        <f>C212</f>
        <v>1</v>
      </c>
      <c r="N24" s="1083" t="str">
        <f>D212</f>
        <v>-</v>
      </c>
      <c r="O24" s="1084">
        <f t="shared" si="0"/>
        <v>3.7574127433924812E-6</v>
      </c>
      <c r="P24" s="373" t="s">
        <v>645</v>
      </c>
      <c r="Q24" s="1086">
        <f t="shared" si="1"/>
        <v>2.7477329126071348E-4</v>
      </c>
      <c r="R24" s="1087">
        <f t="shared" si="4"/>
        <v>2.747732912607135E-2</v>
      </c>
      <c r="S24" s="1088">
        <f t="shared" si="2"/>
        <v>6.7139658398641805E-2</v>
      </c>
    </row>
    <row r="25" spans="1:19" s="730" customFormat="1" ht="18" x14ac:dyDescent="0.25">
      <c r="A25" s="741">
        <v>7</v>
      </c>
      <c r="B25" s="2593" t="s">
        <v>511</v>
      </c>
      <c r="C25" s="2559"/>
      <c r="D25" s="2559"/>
      <c r="E25" s="2559"/>
      <c r="F25" s="2555"/>
      <c r="G25" s="1454" t="s">
        <v>623</v>
      </c>
      <c r="H25" s="781" t="s">
        <v>451</v>
      </c>
      <c r="I25" s="1086">
        <f>$C$223</f>
        <v>6.8321716134430929E-6</v>
      </c>
      <c r="J25" s="1078" t="str">
        <f>$D$223</f>
        <v>Gy</v>
      </c>
      <c r="K25" s="1080" t="s">
        <v>370</v>
      </c>
      <c r="L25" s="1081">
        <f t="shared" si="3"/>
        <v>1.7320508075688772</v>
      </c>
      <c r="M25" s="1082">
        <f>C230</f>
        <v>1</v>
      </c>
      <c r="N25" s="1083" t="str">
        <f>D230</f>
        <v>-</v>
      </c>
      <c r="O25" s="1084">
        <f t="shared" si="0"/>
        <v>3.94455612017109E-6</v>
      </c>
      <c r="P25" s="373" t="s">
        <v>645</v>
      </c>
      <c r="Q25" s="1086">
        <f t="shared" si="1"/>
        <v>2.8845877249125679E-4</v>
      </c>
      <c r="R25" s="1087">
        <f t="shared" si="4"/>
        <v>2.8845877249125677E-2</v>
      </c>
      <c r="S25" s="1088">
        <f t="shared" si="2"/>
        <v>7.3994186156287264E-2</v>
      </c>
    </row>
    <row r="26" spans="1:19" ht="18" x14ac:dyDescent="0.25">
      <c r="A26" s="1078">
        <v>8</v>
      </c>
      <c r="B26" s="2594" t="s">
        <v>1000</v>
      </c>
      <c r="C26" s="2600"/>
      <c r="D26" s="2600"/>
      <c r="E26" s="2600"/>
      <c r="F26" s="2601"/>
      <c r="G26" s="1079" t="s">
        <v>804</v>
      </c>
      <c r="H26" s="1453" t="s">
        <v>451</v>
      </c>
      <c r="I26" s="1086">
        <f>C239</f>
        <v>0.13</v>
      </c>
      <c r="J26" s="1078" t="str">
        <f>D239</f>
        <v>s</v>
      </c>
      <c r="K26" s="1080" t="s">
        <v>370</v>
      </c>
      <c r="L26" s="1081">
        <f t="shared" si="3"/>
        <v>1.7320508075688772</v>
      </c>
      <c r="M26" s="1082">
        <f>C246</f>
        <v>2.6750561686121773E-4</v>
      </c>
      <c r="N26" s="1089" t="str">
        <f>D246</f>
        <v>Gy/s</v>
      </c>
      <c r="O26" s="1084">
        <f t="shared" si="0"/>
        <v>2.0077777187592925E-5</v>
      </c>
      <c r="P26" s="1085" t="s">
        <v>645</v>
      </c>
      <c r="Q26" s="1086">
        <f t="shared" si="1"/>
        <v>1.4682541673750632E-3</v>
      </c>
      <c r="R26" s="1087">
        <f t="shared" si="4"/>
        <v>0.14682541673750632</v>
      </c>
      <c r="S26" s="1088">
        <f t="shared" si="2"/>
        <v>1.9170462032276496</v>
      </c>
    </row>
    <row r="27" spans="1:19" ht="18" x14ac:dyDescent="0.25">
      <c r="A27" s="1078">
        <v>9</v>
      </c>
      <c r="B27" s="2599" t="s">
        <v>642</v>
      </c>
      <c r="C27" s="2600"/>
      <c r="D27" s="2600"/>
      <c r="E27" s="2600"/>
      <c r="F27" s="2601"/>
      <c r="G27" s="1079" t="s">
        <v>805</v>
      </c>
      <c r="H27" s="1453" t="s">
        <v>451</v>
      </c>
      <c r="I27" s="1086">
        <f>C257</f>
        <v>5.0000000000000001E-4</v>
      </c>
      <c r="J27" s="1078" t="str">
        <f>D257</f>
        <v>s</v>
      </c>
      <c r="K27" s="1080" t="s">
        <v>370</v>
      </c>
      <c r="L27" s="1081">
        <f>IF(K27="normal (k=1)",1,IF(K27="normal (k=2)",2,IF(K27="normal (k=3)",3,IF(K27="rectangular",SQRT(3),IF(K27="triangular",SQRT(6),IF(K27="Prob. U",SQRT(2),"no definido"))))))</f>
        <v>1.7320508075688772</v>
      </c>
      <c r="M27" s="1082">
        <f>C264</f>
        <v>2.6750561686121773E-4</v>
      </c>
      <c r="N27" s="1083" t="str">
        <f>D264</f>
        <v>Gy/s</v>
      </c>
      <c r="O27" s="1084">
        <f>I27*M27/L27</f>
        <v>7.7222219952280485E-8</v>
      </c>
      <c r="P27" s="1085" t="s">
        <v>645</v>
      </c>
      <c r="Q27" s="1086">
        <f t="shared" si="1"/>
        <v>5.6471314129810129E-6</v>
      </c>
      <c r="R27" s="1087">
        <f t="shared" si="4"/>
        <v>5.6471314129810126E-4</v>
      </c>
      <c r="S27" s="1470">
        <f t="shared" si="2"/>
        <v>2.8358671645379438E-5</v>
      </c>
    </row>
    <row r="28" spans="1:19" ht="18.75" thickBot="1" x14ac:dyDescent="0.3">
      <c r="A28" s="1460">
        <v>10</v>
      </c>
      <c r="B28" s="2417" t="s">
        <v>1004</v>
      </c>
      <c r="C28" s="2698"/>
      <c r="D28" s="2698"/>
      <c r="E28" s="2698"/>
      <c r="F28" s="2699"/>
      <c r="G28" s="409" t="s">
        <v>1008</v>
      </c>
      <c r="H28" s="1461" t="s">
        <v>451</v>
      </c>
      <c r="I28" s="1462">
        <f>C275</f>
        <v>4.9999999999999998E-8</v>
      </c>
      <c r="J28" s="1460" t="str">
        <f>D275</f>
        <v>Gy</v>
      </c>
      <c r="K28" s="1463" t="s">
        <v>370</v>
      </c>
      <c r="L28" s="1464">
        <f>IF(K28="normal (k=1)",1,IF(K28="normal (k=2)",2,IF(K28="normal (k=3)",3,IF(K28="rectangular",SQRT(3),IF(K28="triangular",SQRT(6),IF(K28="Prob. U",SQRT(2),"no definido"))))))</f>
        <v>1.7320508075688772</v>
      </c>
      <c r="M28" s="1465">
        <f>C282</f>
        <v>1</v>
      </c>
      <c r="N28" s="1466" t="str">
        <f>D282</f>
        <v>-</v>
      </c>
      <c r="O28" s="1467">
        <f>I28*M28/L28</f>
        <v>2.8867513459481289E-8</v>
      </c>
      <c r="P28" s="1468" t="s">
        <v>645</v>
      </c>
      <c r="Q28" s="1462">
        <f t="shared" si="1"/>
        <v>2.1110328370827261E-6</v>
      </c>
      <c r="R28" s="1469">
        <f t="shared" si="4"/>
        <v>2.1110328370827262E-4</v>
      </c>
      <c r="S28" s="1100">
        <f t="shared" si="2"/>
        <v>3.962963508305514E-6</v>
      </c>
    </row>
    <row r="29" spans="1:19" ht="15.75" thickBot="1" x14ac:dyDescent="0.3">
      <c r="G29" s="1101"/>
      <c r="M29" s="1102"/>
      <c r="O29" s="1102"/>
      <c r="Q29" s="1103"/>
      <c r="R29" s="1102"/>
      <c r="S29" s="1102"/>
    </row>
    <row r="30" spans="1:19" x14ac:dyDescent="0.25">
      <c r="M30" s="1104"/>
      <c r="N30" s="1105" t="s">
        <v>543</v>
      </c>
      <c r="O30" s="1106">
        <f>SQRT(SUMSQ(O19:O28))</f>
        <v>1.4501046337941928E-4</v>
      </c>
      <c r="P30" s="1076" t="s">
        <v>645</v>
      </c>
      <c r="Q30" s="1102"/>
      <c r="R30" s="1103"/>
      <c r="S30" s="1103"/>
    </row>
    <row r="31" spans="1:19" x14ac:dyDescent="0.25">
      <c r="M31" s="1107"/>
      <c r="N31" s="1108" t="s">
        <v>544</v>
      </c>
      <c r="O31" s="1109" t="s">
        <v>373</v>
      </c>
      <c r="P31" s="1110"/>
      <c r="Q31" s="1102"/>
      <c r="S31" s="1103"/>
    </row>
    <row r="32" spans="1:19" x14ac:dyDescent="0.25">
      <c r="M32" s="1111"/>
      <c r="N32" s="1112" t="s">
        <v>561</v>
      </c>
      <c r="O32" s="1113">
        <f>IF(O31="normal (k=1)",1,IF(O31="normal (k=2)",2,IF(O31="normal (k=3)",3,IF(O31="rectangular",SQRT(3),IF(O31="triangular",SQRT(6),IF(O31="Prob. U",SQRT(2),"no definido"))))))</f>
        <v>2</v>
      </c>
      <c r="P32" s="1087"/>
      <c r="Q32" s="1102"/>
    </row>
    <row r="33" spans="1:17" ht="18" x14ac:dyDescent="0.25">
      <c r="A33" s="1056"/>
      <c r="M33" s="1114"/>
      <c r="N33" s="1108" t="s">
        <v>649</v>
      </c>
      <c r="O33" s="1115">
        <f>O30*O32</f>
        <v>2.9002092675883855E-4</v>
      </c>
      <c r="P33" s="1110" t="s">
        <v>645</v>
      </c>
      <c r="Q33" s="1102"/>
    </row>
    <row r="34" spans="1:17" ht="18.75" thickBot="1" x14ac:dyDescent="0.3">
      <c r="A34" s="1056"/>
      <c r="M34" s="1116"/>
      <c r="N34" s="1117" t="s">
        <v>649</v>
      </c>
      <c r="O34" s="1458">
        <f>O33/C91</f>
        <v>2.1208743894358045E-2</v>
      </c>
      <c r="P34" s="1118"/>
      <c r="Q34" s="1102"/>
    </row>
    <row r="35" spans="1:17" x14ac:dyDescent="0.25">
      <c r="A35" s="1056"/>
      <c r="N35" s="1119"/>
      <c r="O35" s="1102"/>
      <c r="P35" s="1102"/>
      <c r="Q35" s="1102"/>
    </row>
    <row r="36" spans="1:17" x14ac:dyDescent="0.25">
      <c r="A36" s="1056"/>
      <c r="N36" s="1119"/>
      <c r="O36" s="1102"/>
      <c r="P36" s="1102"/>
      <c r="Q36" s="1102"/>
    </row>
    <row r="37" spans="1:17" x14ac:dyDescent="0.25">
      <c r="A37" s="1056"/>
      <c r="N37" s="1119"/>
      <c r="O37" s="1102"/>
      <c r="P37" s="1102"/>
      <c r="Q37" s="1102"/>
    </row>
    <row r="38" spans="1:17" x14ac:dyDescent="0.25">
      <c r="A38" s="1056"/>
      <c r="N38" s="1119"/>
      <c r="O38" s="1102"/>
      <c r="P38" s="1102"/>
      <c r="Q38" s="1102"/>
    </row>
    <row r="39" spans="1:17" x14ac:dyDescent="0.25">
      <c r="A39" s="1056"/>
      <c r="N39" s="1119"/>
      <c r="O39" s="1102"/>
      <c r="P39" s="1102"/>
      <c r="Q39" s="1102"/>
    </row>
    <row r="40" spans="1:17" x14ac:dyDescent="0.25">
      <c r="A40" s="1056"/>
      <c r="N40" s="1119"/>
      <c r="O40" s="1102"/>
      <c r="P40" s="1102"/>
      <c r="Q40" s="1102"/>
    </row>
    <row r="41" spans="1:17" x14ac:dyDescent="0.25">
      <c r="A41" s="1056"/>
      <c r="N41" s="1119"/>
      <c r="O41" s="1102"/>
      <c r="P41" s="1102"/>
      <c r="Q41" s="1102"/>
    </row>
    <row r="42" spans="1:17" x14ac:dyDescent="0.25">
      <c r="A42" s="1056"/>
      <c r="N42" s="1119"/>
      <c r="O42" s="1102"/>
      <c r="P42" s="1102"/>
      <c r="Q42" s="1102"/>
    </row>
    <row r="43" spans="1:17" x14ac:dyDescent="0.25">
      <c r="A43" s="1056"/>
      <c r="N43" s="1119"/>
      <c r="O43" s="1102"/>
      <c r="P43" s="1102"/>
      <c r="Q43" s="1102"/>
    </row>
    <row r="44" spans="1:17" x14ac:dyDescent="0.25">
      <c r="A44" s="1056"/>
      <c r="N44" s="1119"/>
      <c r="O44" s="1102"/>
      <c r="P44" s="1102"/>
      <c r="Q44" s="1102"/>
    </row>
    <row r="45" spans="1:17" x14ac:dyDescent="0.25">
      <c r="A45" s="1056"/>
      <c r="N45" s="1119"/>
      <c r="O45" s="1102"/>
      <c r="P45" s="1102"/>
      <c r="Q45" s="1102"/>
    </row>
    <row r="46" spans="1:17" x14ac:dyDescent="0.25">
      <c r="A46" s="1056"/>
      <c r="N46" s="1119"/>
      <c r="O46" s="1102"/>
      <c r="P46" s="1102"/>
      <c r="Q46" s="1102"/>
    </row>
    <row r="47" spans="1:17" x14ac:dyDescent="0.25">
      <c r="A47" s="1056"/>
      <c r="N47" s="1119"/>
      <c r="O47" s="1102"/>
      <c r="P47" s="1102"/>
      <c r="Q47" s="1102"/>
    </row>
    <row r="48" spans="1:17" x14ac:dyDescent="0.25">
      <c r="A48" s="1056"/>
      <c r="N48" s="1119"/>
      <c r="O48" s="1102"/>
      <c r="P48" s="1102"/>
      <c r="Q48" s="1102"/>
    </row>
    <row r="49" spans="1:17" x14ac:dyDescent="0.25">
      <c r="A49" s="1056"/>
      <c r="N49" s="1119"/>
      <c r="O49" s="1102"/>
      <c r="P49" s="1102"/>
      <c r="Q49" s="1102"/>
    </row>
    <row r="50" spans="1:17" x14ac:dyDescent="0.25">
      <c r="A50" s="1056"/>
      <c r="N50" s="1119"/>
      <c r="O50" s="1102"/>
      <c r="P50" s="1102"/>
      <c r="Q50" s="1102"/>
    </row>
    <row r="51" spans="1:17" x14ac:dyDescent="0.25">
      <c r="A51" s="1056"/>
      <c r="N51" s="1119"/>
      <c r="O51" s="1102"/>
      <c r="P51" s="1102"/>
      <c r="Q51" s="1102"/>
    </row>
    <row r="52" spans="1:17" x14ac:dyDescent="0.25">
      <c r="A52" s="1056"/>
      <c r="N52" s="1119"/>
      <c r="O52" s="1102"/>
      <c r="P52" s="1102"/>
      <c r="Q52" s="1102"/>
    </row>
    <row r="53" spans="1:17" x14ac:dyDescent="0.25">
      <c r="A53" s="1056"/>
      <c r="N53" s="1119"/>
      <c r="O53" s="1102"/>
      <c r="P53" s="1102"/>
      <c r="Q53" s="1102"/>
    </row>
    <row r="54" spans="1:17" x14ac:dyDescent="0.25">
      <c r="A54" s="1056"/>
      <c r="N54" s="1119"/>
      <c r="O54" s="1102"/>
      <c r="P54" s="1102"/>
      <c r="Q54" s="1102"/>
    </row>
    <row r="55" spans="1:17" x14ac:dyDescent="0.25">
      <c r="A55" s="1056"/>
      <c r="N55" s="1119"/>
      <c r="O55" s="1102"/>
      <c r="P55" s="1102"/>
      <c r="Q55" s="1102"/>
    </row>
    <row r="56" spans="1:17" x14ac:dyDescent="0.25">
      <c r="A56" s="1056"/>
      <c r="N56" s="1119"/>
      <c r="O56" s="1102"/>
      <c r="P56" s="1102"/>
      <c r="Q56" s="1102"/>
    </row>
    <row r="57" spans="1:17" x14ac:dyDescent="0.25">
      <c r="A57" s="1056"/>
      <c r="N57" s="1119"/>
      <c r="O57" s="1102"/>
      <c r="P57" s="1102"/>
      <c r="Q57" s="1102"/>
    </row>
    <row r="58" spans="1:17" x14ac:dyDescent="0.25">
      <c r="A58" s="1056"/>
      <c r="N58" s="1119"/>
      <c r="O58" s="1102"/>
      <c r="P58" s="1102"/>
      <c r="Q58" s="1102"/>
    </row>
    <row r="59" spans="1:17" x14ac:dyDescent="0.25">
      <c r="A59" s="1056"/>
      <c r="N59" s="1119"/>
      <c r="O59" s="1102"/>
      <c r="P59" s="1102"/>
      <c r="Q59" s="1102"/>
    </row>
    <row r="60" spans="1:17" x14ac:dyDescent="0.25">
      <c r="A60" s="1056"/>
      <c r="N60" s="1119"/>
      <c r="O60" s="1102"/>
      <c r="P60" s="1102"/>
      <c r="Q60" s="1102"/>
    </row>
    <row r="61" spans="1:17" x14ac:dyDescent="0.25">
      <c r="A61" s="1056"/>
      <c r="N61" s="1119"/>
      <c r="O61" s="1102"/>
      <c r="P61" s="1102"/>
      <c r="Q61" s="1102"/>
    </row>
    <row r="62" spans="1:17" x14ac:dyDescent="0.25">
      <c r="A62" s="1056"/>
      <c r="N62" s="1119"/>
      <c r="O62" s="1102"/>
      <c r="P62" s="1102"/>
      <c r="Q62" s="1102"/>
    </row>
    <row r="63" spans="1:17" ht="15.75" thickBot="1" x14ac:dyDescent="0.3">
      <c r="A63" s="1056"/>
      <c r="N63" s="1119"/>
      <c r="O63" s="1102"/>
      <c r="P63" s="1102"/>
      <c r="Q63" s="1102"/>
    </row>
    <row r="64" spans="1:17" x14ac:dyDescent="0.25">
      <c r="A64" s="1120"/>
      <c r="B64" s="1121"/>
      <c r="C64" s="1121"/>
      <c r="D64" s="1121"/>
      <c r="E64" s="1121"/>
      <c r="F64" s="1122"/>
      <c r="N64" s="1119"/>
      <c r="O64" s="1102"/>
      <c r="P64" s="1102"/>
      <c r="Q64" s="1102"/>
    </row>
    <row r="65" spans="1:17" x14ac:dyDescent="0.25">
      <c r="A65" s="1123" t="s">
        <v>462</v>
      </c>
      <c r="B65" s="1124"/>
      <c r="C65" s="1124"/>
      <c r="D65" s="1124"/>
      <c r="E65" s="1124"/>
      <c r="F65" s="1125"/>
      <c r="N65" s="1119"/>
      <c r="O65" s="1102"/>
      <c r="P65" s="1102"/>
      <c r="Q65" s="1102"/>
    </row>
    <row r="66" spans="1:17" x14ac:dyDescent="0.25">
      <c r="A66" s="1126"/>
      <c r="B66" s="1124"/>
      <c r="C66" s="1124"/>
      <c r="D66" s="1124"/>
      <c r="E66" s="1124"/>
      <c r="F66" s="1125"/>
    </row>
    <row r="67" spans="1:17" x14ac:dyDescent="0.25">
      <c r="A67" s="1126"/>
      <c r="B67" s="1127"/>
      <c r="C67" s="1124"/>
      <c r="D67" s="1124"/>
      <c r="E67" s="1124"/>
      <c r="F67" s="1125"/>
    </row>
    <row r="68" spans="1:17" x14ac:dyDescent="0.25">
      <c r="A68" s="1126"/>
      <c r="B68" s="1124"/>
      <c r="C68" s="1124"/>
      <c r="D68" s="1124"/>
      <c r="E68" s="1124"/>
      <c r="F68" s="1125"/>
      <c r="N68" s="1102"/>
      <c r="O68" s="1102"/>
      <c r="P68" s="1102"/>
    </row>
    <row r="69" spans="1:17" x14ac:dyDescent="0.25">
      <c r="A69" s="1126"/>
      <c r="B69" s="1124"/>
      <c r="C69" s="1124"/>
      <c r="D69" s="1124"/>
      <c r="E69" s="1124"/>
      <c r="F69" s="1125"/>
      <c r="N69" s="1102"/>
      <c r="O69" s="1102"/>
      <c r="P69" s="1102"/>
    </row>
    <row r="70" spans="1:17" x14ac:dyDescent="0.25">
      <c r="A70" s="1126"/>
      <c r="B70" s="1124"/>
      <c r="C70" s="1124"/>
      <c r="D70" s="1124"/>
      <c r="E70" s="1124"/>
      <c r="F70" s="1125"/>
      <c r="N70" s="1102"/>
      <c r="O70" s="1102"/>
      <c r="P70" s="1102"/>
    </row>
    <row r="71" spans="1:17" x14ac:dyDescent="0.25">
      <c r="A71" s="1126"/>
      <c r="B71" s="1124"/>
      <c r="C71" s="1124"/>
      <c r="D71" s="1124"/>
      <c r="E71" s="1124"/>
      <c r="F71" s="1125"/>
      <c r="N71" s="1102"/>
      <c r="O71" s="1102"/>
      <c r="P71" s="1102"/>
    </row>
    <row r="72" spans="1:17" x14ac:dyDescent="0.25">
      <c r="A72" s="1126"/>
      <c r="B72" s="1124"/>
      <c r="C72" s="1124"/>
      <c r="D72" s="1124"/>
      <c r="E72" s="1124"/>
      <c r="F72" s="1125"/>
      <c r="N72" s="1102"/>
      <c r="O72" s="1102"/>
      <c r="P72" s="1102"/>
    </row>
    <row r="73" spans="1:17" x14ac:dyDescent="0.25">
      <c r="A73" s="1126"/>
      <c r="B73" s="1124" t="s">
        <v>465</v>
      </c>
      <c r="C73" s="1124"/>
      <c r="D73" s="1124"/>
      <c r="E73" s="1124"/>
      <c r="F73" s="1125"/>
      <c r="N73" s="1102"/>
      <c r="O73" s="1102"/>
      <c r="P73" s="1102"/>
    </row>
    <row r="74" spans="1:17" x14ac:dyDescent="0.25">
      <c r="A74" s="1126"/>
      <c r="B74" s="1124"/>
      <c r="C74" s="1127"/>
      <c r="D74" s="1124"/>
      <c r="E74" s="1124"/>
      <c r="F74" s="1125"/>
      <c r="N74" s="1102"/>
      <c r="O74" s="1102"/>
      <c r="P74" s="1102"/>
    </row>
    <row r="75" spans="1:17" x14ac:dyDescent="0.25">
      <c r="A75" s="1126"/>
      <c r="B75" s="1127"/>
      <c r="C75" s="1124"/>
      <c r="D75" s="1124"/>
      <c r="E75" s="1124"/>
      <c r="F75" s="1125"/>
      <c r="N75" s="1102"/>
      <c r="O75" s="1102"/>
      <c r="P75" s="1102"/>
    </row>
    <row r="76" spans="1:17" x14ac:dyDescent="0.25">
      <c r="A76" s="1126"/>
      <c r="B76" s="1124"/>
      <c r="C76" s="1124"/>
      <c r="D76" s="1124"/>
      <c r="E76" s="1124"/>
      <c r="F76" s="1125"/>
      <c r="N76" s="1102"/>
      <c r="O76" s="1102"/>
      <c r="P76" s="1102"/>
    </row>
    <row r="77" spans="1:17" x14ac:dyDescent="0.25">
      <c r="A77" s="1126"/>
      <c r="B77" s="1124"/>
      <c r="C77" s="1124"/>
      <c r="D77" s="1124"/>
      <c r="E77" s="1124"/>
      <c r="F77" s="1125"/>
      <c r="N77" s="1102"/>
      <c r="O77" s="1102"/>
      <c r="P77" s="1102"/>
    </row>
    <row r="78" spans="1:17" x14ac:dyDescent="0.25">
      <c r="A78" s="1126"/>
      <c r="B78" s="1124" t="s">
        <v>376</v>
      </c>
      <c r="C78" s="1124"/>
      <c r="D78" s="1124"/>
      <c r="E78" s="1124"/>
      <c r="F78" s="1125"/>
    </row>
    <row r="79" spans="1:17" x14ac:dyDescent="0.25">
      <c r="A79" s="1126"/>
      <c r="B79" s="1124"/>
      <c r="C79" s="1124"/>
      <c r="D79" s="1124"/>
      <c r="E79" s="1124"/>
      <c r="F79" s="1125"/>
    </row>
    <row r="80" spans="1:17" ht="18" x14ac:dyDescent="0.25">
      <c r="A80" s="1126"/>
      <c r="B80" s="1124" t="s">
        <v>379</v>
      </c>
      <c r="C80" s="1128">
        <f>'F-LSCD-002 (Dosimetría)'!B34</f>
        <v>25200</v>
      </c>
      <c r="D80" s="1124" t="str">
        <f>'F-LSCD-002 (Dosimetría)'!C34</f>
        <v>Gy/C</v>
      </c>
      <c r="E80" s="1124"/>
      <c r="F80" s="1125"/>
    </row>
    <row r="81" spans="1:16" ht="18" x14ac:dyDescent="0.25">
      <c r="A81" s="1126"/>
      <c r="B81" s="1129" t="s">
        <v>629</v>
      </c>
      <c r="C81" s="1124">
        <f>'F-LSCD-002 (Dosimetría)'!D44</f>
        <v>1.0009999999999999</v>
      </c>
      <c r="D81" s="1124" t="s">
        <v>384</v>
      </c>
      <c r="E81" s="1124"/>
      <c r="F81" s="1125"/>
    </row>
    <row r="82" spans="1:16" ht="18" x14ac:dyDescent="0.25">
      <c r="A82" s="1126"/>
      <c r="B82" s="1129" t="s">
        <v>630</v>
      </c>
      <c r="C82" s="1130">
        <v>1</v>
      </c>
      <c r="D82" s="1124"/>
      <c r="E82" s="1124"/>
      <c r="F82" s="1125"/>
    </row>
    <row r="83" spans="1:16" x14ac:dyDescent="0.25">
      <c r="A83" s="1126"/>
      <c r="B83" s="1129" t="s">
        <v>472</v>
      </c>
      <c r="C83" s="1128">
        <f>'F-LSCD-002 (Tasa Kar-Aleph)'!E101</f>
        <v>-5.5878999999999997E-9</v>
      </c>
      <c r="D83" s="1124" t="s">
        <v>368</v>
      </c>
      <c r="E83" s="1124"/>
      <c r="F83" s="1125"/>
    </row>
    <row r="84" spans="1:16" x14ac:dyDescent="0.25">
      <c r="A84" s="1126"/>
      <c r="B84" s="1124" t="s">
        <v>473</v>
      </c>
      <c r="C84" s="1131">
        <f>'F-LSCD-002 (Dosimetría)'!F144</f>
        <v>60</v>
      </c>
      <c r="D84" s="1124" t="s">
        <v>369</v>
      </c>
      <c r="E84" s="1124"/>
      <c r="F84" s="1125"/>
    </row>
    <row r="85" spans="1:16" ht="18" x14ac:dyDescent="0.25">
      <c r="A85" s="1126"/>
      <c r="B85" s="1124" t="s">
        <v>380</v>
      </c>
      <c r="C85" s="1124">
        <f>'F-LSCD-002 (Dosimetría)'!F33</f>
        <v>1013.25</v>
      </c>
      <c r="D85" s="1124" t="str">
        <f>'F-LSCD-002 (Dosimetría)'!G33</f>
        <v>hPa</v>
      </c>
      <c r="E85" s="1124"/>
      <c r="F85" s="1125"/>
    </row>
    <row r="86" spans="1:16" x14ac:dyDescent="0.25">
      <c r="A86" s="1126"/>
      <c r="B86" s="1129" t="s">
        <v>381</v>
      </c>
      <c r="C86" s="1131">
        <f>'F-LSCD-002 (Dosimetría)'!D144</f>
        <v>1010</v>
      </c>
      <c r="D86" s="1124" t="str">
        <f>D85</f>
        <v>hPa</v>
      </c>
      <c r="E86" s="1124"/>
      <c r="F86" s="1125"/>
    </row>
    <row r="87" spans="1:16" ht="18" x14ac:dyDescent="0.25">
      <c r="A87" s="1126"/>
      <c r="B87" s="1124" t="s">
        <v>383</v>
      </c>
      <c r="C87" s="1124">
        <f>'F-LSCD-002 (Dosimetría)'!F32</f>
        <v>22</v>
      </c>
      <c r="D87" s="1124" t="str">
        <f>'F-LSCD-002 (Dosimetría)'!G32</f>
        <v>°C</v>
      </c>
      <c r="E87" s="1124"/>
      <c r="F87" s="1125"/>
    </row>
    <row r="88" spans="1:16" x14ac:dyDescent="0.25">
      <c r="A88" s="1126"/>
      <c r="B88" s="1129" t="s">
        <v>382</v>
      </c>
      <c r="C88" s="1124">
        <f>'F-LSCD-002 (Dosimetría)'!B144</f>
        <v>20.209999999999997</v>
      </c>
      <c r="D88" s="1124" t="str">
        <f>D87</f>
        <v>°C</v>
      </c>
      <c r="E88" s="1124"/>
      <c r="F88" s="1125"/>
      <c r="H88" s="1102"/>
    </row>
    <row r="89" spans="1:16" x14ac:dyDescent="0.25">
      <c r="A89" s="1126"/>
      <c r="B89" s="1132" t="s">
        <v>400</v>
      </c>
      <c r="C89" s="1128">
        <f>'F-LSCD-002 (Dosimetría)'!N144</f>
        <v>7.1848635272250602E-3</v>
      </c>
      <c r="D89" s="1124" t="s">
        <v>8</v>
      </c>
      <c r="E89" s="1124"/>
      <c r="F89" s="1125"/>
    </row>
    <row r="90" spans="1:16" ht="18" x14ac:dyDescent="0.25">
      <c r="A90" s="1126"/>
      <c r="B90" s="1132" t="s">
        <v>806</v>
      </c>
      <c r="C90" s="1128">
        <f>'F-LSCD-004'!T41*60</f>
        <v>6851.7004158363188</v>
      </c>
      <c r="D90" s="1124" t="s">
        <v>369</v>
      </c>
      <c r="E90" s="1124"/>
      <c r="F90" s="1125"/>
    </row>
    <row r="91" spans="1:16" x14ac:dyDescent="0.25">
      <c r="A91" s="1126"/>
      <c r="B91" s="1132" t="s">
        <v>648</v>
      </c>
      <c r="C91" s="1128">
        <f>C89*C90/3600</f>
        <v>1.3674592338115318E-2</v>
      </c>
      <c r="D91" s="1124" t="s">
        <v>645</v>
      </c>
      <c r="E91" s="1124"/>
      <c r="F91" s="1125"/>
    </row>
    <row r="92" spans="1:16" x14ac:dyDescent="0.25">
      <c r="A92" s="1126"/>
      <c r="B92" s="1132" t="s">
        <v>417</v>
      </c>
      <c r="C92" s="1133">
        <f>'F-LSCD-002 (Dosimetría)'!A134/100</f>
        <v>2</v>
      </c>
      <c r="D92" s="1124" t="s">
        <v>418</v>
      </c>
      <c r="E92" s="1124"/>
      <c r="F92" s="1125"/>
    </row>
    <row r="93" spans="1:16" ht="15.75" thickBot="1" x14ac:dyDescent="0.3">
      <c r="A93" s="1134"/>
      <c r="B93" s="1135"/>
      <c r="C93" s="1135"/>
      <c r="D93" s="1135"/>
      <c r="E93" s="1135"/>
      <c r="F93" s="1136"/>
      <c r="N93" s="1102"/>
      <c r="O93" s="1102"/>
      <c r="P93" s="1102"/>
    </row>
    <row r="94" spans="1:16" x14ac:dyDescent="0.25">
      <c r="A94" s="1137"/>
      <c r="B94" s="1121"/>
      <c r="C94" s="1121"/>
      <c r="D94" s="1121"/>
      <c r="E94" s="1121"/>
      <c r="F94" s="1122"/>
      <c r="N94" s="1102"/>
      <c r="O94" s="1102"/>
      <c r="P94" s="1102"/>
    </row>
    <row r="95" spans="1:16" x14ac:dyDescent="0.25">
      <c r="A95" s="1123" t="s">
        <v>458</v>
      </c>
      <c r="B95" s="1124"/>
      <c r="C95" s="1124"/>
      <c r="D95" s="1124"/>
      <c r="E95" s="1124"/>
      <c r="F95" s="1125"/>
      <c r="N95" s="1102"/>
      <c r="O95" s="1102"/>
      <c r="P95" s="1102"/>
    </row>
    <row r="96" spans="1:16" x14ac:dyDescent="0.25">
      <c r="A96" s="1126"/>
      <c r="B96" s="1124"/>
      <c r="C96" s="1127"/>
      <c r="D96" s="1124"/>
      <c r="E96" s="1124"/>
      <c r="F96" s="1125"/>
      <c r="N96" s="1102"/>
      <c r="O96" s="1102"/>
      <c r="P96" s="1102"/>
    </row>
    <row r="97" spans="1:16" x14ac:dyDescent="0.25">
      <c r="A97" s="1126"/>
      <c r="B97" s="1127"/>
      <c r="C97" s="1124"/>
      <c r="D97" s="1124"/>
      <c r="E97" s="1124"/>
      <c r="F97" s="1125"/>
      <c r="N97" s="1102"/>
      <c r="O97" s="1102"/>
      <c r="P97" s="1102"/>
    </row>
    <row r="98" spans="1:16" x14ac:dyDescent="0.25">
      <c r="A98" s="1126"/>
      <c r="B98" s="1124"/>
      <c r="C98" s="1124"/>
      <c r="D98" s="1124"/>
      <c r="E98" s="1124"/>
      <c r="F98" s="1125"/>
      <c r="N98" s="1102"/>
      <c r="O98" s="1102"/>
      <c r="P98" s="1102"/>
    </row>
    <row r="99" spans="1:16" ht="15.75" thickBot="1" x14ac:dyDescent="0.3">
      <c r="A99" s="1134"/>
      <c r="B99" s="1135"/>
      <c r="C99" s="1135"/>
      <c r="D99" s="1135"/>
      <c r="E99" s="1135"/>
      <c r="F99" s="1136"/>
      <c r="N99" s="1102"/>
      <c r="O99" s="1102"/>
      <c r="P99" s="1102"/>
    </row>
    <row r="100" spans="1:16" ht="15.75" thickBot="1" x14ac:dyDescent="0.3">
      <c r="N100" s="1102"/>
      <c r="O100" s="1102"/>
      <c r="P100" s="1102"/>
    </row>
    <row r="101" spans="1:16" ht="15.75" thickBot="1" x14ac:dyDescent="0.3">
      <c r="A101" s="2596" t="s">
        <v>463</v>
      </c>
      <c r="B101" s="2597"/>
      <c r="C101" s="2597"/>
      <c r="D101" s="2597"/>
      <c r="E101" s="2597"/>
      <c r="F101" s="2597"/>
      <c r="G101" s="2597"/>
      <c r="H101" s="2597"/>
      <c r="I101" s="2597"/>
      <c r="J101" s="2597"/>
      <c r="K101" s="2597"/>
      <c r="L101" s="2597"/>
      <c r="M101" s="2598"/>
      <c r="N101" s="1102"/>
      <c r="O101" s="1102"/>
      <c r="P101" s="1102"/>
    </row>
    <row r="102" spans="1:16" ht="15.75" thickBot="1" x14ac:dyDescent="0.3">
      <c r="N102" s="1102"/>
      <c r="O102" s="1102"/>
      <c r="P102" s="1102"/>
    </row>
    <row r="103" spans="1:16" x14ac:dyDescent="0.25">
      <c r="A103" s="1138"/>
      <c r="B103" s="1139"/>
      <c r="C103" s="1139"/>
      <c r="D103" s="1139"/>
      <c r="E103" s="1139"/>
      <c r="F103" s="1139"/>
      <c r="G103" s="1139"/>
      <c r="H103" s="1139"/>
      <c r="I103" s="1139"/>
      <c r="J103" s="1139"/>
      <c r="K103" s="1139"/>
      <c r="L103" s="1139"/>
      <c r="M103" s="1140"/>
      <c r="N103" s="1102"/>
      <c r="O103" s="1102"/>
      <c r="P103" s="1102"/>
    </row>
    <row r="104" spans="1:16" x14ac:dyDescent="0.25">
      <c r="A104" s="1141" t="s">
        <v>575</v>
      </c>
      <c r="B104" s="1142"/>
      <c r="C104" s="1142"/>
      <c r="D104" s="1142"/>
      <c r="E104" s="1142"/>
      <c r="F104" s="1142"/>
      <c r="G104" s="1142"/>
      <c r="H104" s="1142"/>
      <c r="I104" s="1142"/>
      <c r="J104" s="1142"/>
      <c r="K104" s="1143"/>
      <c r="L104" s="1142"/>
      <c r="M104" s="1144"/>
    </row>
    <row r="105" spans="1:16" x14ac:dyDescent="0.25">
      <c r="A105" s="1145"/>
      <c r="B105" s="1142"/>
      <c r="C105" s="1142"/>
      <c r="D105" s="1142"/>
      <c r="E105" s="1142"/>
      <c r="F105" s="1142"/>
      <c r="G105" s="1142"/>
      <c r="H105" s="1142"/>
      <c r="I105" s="1142"/>
      <c r="J105" s="1142"/>
      <c r="K105" s="1142"/>
      <c r="L105" s="1142"/>
      <c r="M105" s="1144"/>
    </row>
    <row r="106" spans="1:16" x14ac:dyDescent="0.25">
      <c r="A106" s="1141" t="s">
        <v>475</v>
      </c>
      <c r="B106" s="1142"/>
      <c r="C106" s="1142"/>
      <c r="D106" s="1142"/>
      <c r="E106" s="1142"/>
      <c r="F106" s="1142"/>
      <c r="G106" s="1142"/>
      <c r="H106" s="1142"/>
      <c r="I106" s="1142"/>
      <c r="J106" s="1142"/>
      <c r="K106" s="1142"/>
      <c r="L106" s="1142"/>
      <c r="M106" s="1144"/>
    </row>
    <row r="107" spans="1:16" x14ac:dyDescent="0.25">
      <c r="A107" s="1145"/>
      <c r="B107" s="1142"/>
      <c r="C107" s="1142"/>
      <c r="D107" s="1142"/>
      <c r="E107" s="1142"/>
      <c r="F107" s="1142"/>
      <c r="G107" s="1142"/>
      <c r="H107" s="1142"/>
      <c r="I107" s="1142"/>
      <c r="J107" s="1142"/>
      <c r="K107" s="1142"/>
      <c r="L107" s="1142"/>
      <c r="M107" s="1144"/>
    </row>
    <row r="108" spans="1:16" x14ac:dyDescent="0.25">
      <c r="A108" s="1145"/>
      <c r="B108" s="1142" t="s">
        <v>464</v>
      </c>
      <c r="C108" s="1146" t="s">
        <v>650</v>
      </c>
      <c r="D108" s="1142"/>
      <c r="E108" s="1142"/>
      <c r="F108" s="1142"/>
      <c r="G108" s="1146"/>
      <c r="H108" s="1142"/>
      <c r="I108" s="1142"/>
      <c r="J108" s="1142"/>
      <c r="K108" s="1142"/>
      <c r="L108" s="1142"/>
      <c r="M108" s="1144"/>
    </row>
    <row r="109" spans="1:16" x14ac:dyDescent="0.25">
      <c r="A109" s="1145"/>
      <c r="B109" s="1142"/>
      <c r="C109" s="1142"/>
      <c r="D109" s="1142"/>
      <c r="E109" s="1142"/>
      <c r="F109" s="1142"/>
      <c r="G109" s="1142"/>
      <c r="H109" s="1142"/>
      <c r="I109" s="1142"/>
      <c r="J109" s="1142"/>
      <c r="K109" s="1142"/>
      <c r="L109" s="1142"/>
      <c r="M109" s="1144"/>
    </row>
    <row r="110" spans="1:16" x14ac:dyDescent="0.25">
      <c r="A110" s="1145"/>
      <c r="B110" s="1142" t="s">
        <v>464</v>
      </c>
      <c r="C110" s="1147">
        <f>C91*'Incert. Dos.'!O40</f>
        <v>2.4526248129736573E-4</v>
      </c>
      <c r="D110" s="1146" t="s">
        <v>645</v>
      </c>
      <c r="E110" s="1142"/>
      <c r="F110" s="1142"/>
      <c r="G110" s="1142"/>
      <c r="H110" s="1142"/>
      <c r="I110" s="1142"/>
      <c r="J110" s="1142"/>
      <c r="K110" s="1142"/>
      <c r="L110" s="1142"/>
      <c r="M110" s="1144"/>
    </row>
    <row r="111" spans="1:16" x14ac:dyDescent="0.25">
      <c r="A111" s="1145"/>
      <c r="B111" s="1146"/>
      <c r="C111" s="1142"/>
      <c r="D111" s="1142"/>
      <c r="E111" s="1142"/>
      <c r="F111" s="1142"/>
      <c r="G111" s="1142"/>
      <c r="H111" s="1142"/>
      <c r="I111" s="1142"/>
      <c r="J111" s="1142"/>
      <c r="K111" s="1142"/>
      <c r="L111" s="1142"/>
      <c r="M111" s="1144"/>
    </row>
    <row r="112" spans="1:16" x14ac:dyDescent="0.25">
      <c r="A112" s="1141" t="s">
        <v>476</v>
      </c>
      <c r="B112" s="1146"/>
      <c r="C112" s="1142"/>
      <c r="D112" s="1142"/>
      <c r="E112" s="1142"/>
      <c r="F112" s="1142"/>
      <c r="G112" s="1142"/>
      <c r="H112" s="1142"/>
      <c r="I112" s="1142"/>
      <c r="J112" s="1142"/>
      <c r="K112" s="1142"/>
      <c r="L112" s="1142"/>
      <c r="M112" s="1144"/>
    </row>
    <row r="113" spans="1:13" x14ac:dyDescent="0.25">
      <c r="A113" s="1145"/>
      <c r="B113" s="1146"/>
      <c r="C113" s="1142"/>
      <c r="D113" s="1142"/>
      <c r="E113" s="1142"/>
      <c r="F113" s="1142"/>
      <c r="G113" s="1142"/>
      <c r="H113" s="1142"/>
      <c r="I113" s="1142"/>
      <c r="J113" s="1142"/>
      <c r="K113" s="1142"/>
      <c r="L113" s="1142"/>
      <c r="M113" s="1144"/>
    </row>
    <row r="114" spans="1:13" x14ac:dyDescent="0.25">
      <c r="A114" s="1145"/>
      <c r="B114" s="1142"/>
      <c r="C114" s="1148"/>
      <c r="D114" s="1142"/>
      <c r="E114" s="1142"/>
      <c r="F114" s="1142"/>
      <c r="G114" s="1142"/>
      <c r="H114" s="1142"/>
      <c r="I114" s="1142"/>
      <c r="J114" s="1142"/>
      <c r="K114" s="1142"/>
      <c r="L114" s="1142"/>
      <c r="M114" s="1144"/>
    </row>
    <row r="115" spans="1:13" x14ac:dyDescent="0.25">
      <c r="A115" s="1145"/>
      <c r="B115" s="1142"/>
      <c r="C115" s="1142"/>
      <c r="D115" s="1142"/>
      <c r="E115" s="1142"/>
      <c r="F115" s="1142"/>
      <c r="G115" s="1142"/>
      <c r="H115" s="1142"/>
      <c r="I115" s="1142"/>
      <c r="J115" s="1142"/>
      <c r="K115" s="1142"/>
      <c r="L115" s="1142"/>
      <c r="M115" s="1144"/>
    </row>
    <row r="116" spans="1:13" x14ac:dyDescent="0.25">
      <c r="A116" s="1145"/>
      <c r="B116" s="1142"/>
      <c r="C116" s="1142"/>
      <c r="D116" s="1142"/>
      <c r="E116" s="1142"/>
      <c r="F116" s="1142"/>
      <c r="G116" s="1142"/>
      <c r="H116" s="1142"/>
      <c r="I116" s="1142"/>
      <c r="J116" s="1142"/>
      <c r="K116" s="1142"/>
      <c r="L116" s="1142"/>
      <c r="M116" s="1144"/>
    </row>
    <row r="117" spans="1:13" ht="18" x14ac:dyDescent="0.25">
      <c r="A117" s="1145"/>
      <c r="B117" s="1142" t="s">
        <v>591</v>
      </c>
      <c r="C117" s="1143">
        <v>1</v>
      </c>
      <c r="D117" s="1146" t="s">
        <v>93</v>
      </c>
      <c r="E117" s="1142"/>
      <c r="F117" s="1142"/>
      <c r="G117" s="1142"/>
      <c r="H117" s="1142"/>
      <c r="I117" s="1142"/>
      <c r="J117" s="1142"/>
      <c r="K117" s="1142"/>
      <c r="L117" s="1142"/>
      <c r="M117" s="1144"/>
    </row>
    <row r="118" spans="1:13" ht="15.75" thickBot="1" x14ac:dyDescent="0.3">
      <c r="A118" s="1149"/>
      <c r="B118" s="1150"/>
      <c r="C118" s="1150"/>
      <c r="D118" s="1150"/>
      <c r="E118" s="1150"/>
      <c r="F118" s="1150"/>
      <c r="G118" s="1150"/>
      <c r="H118" s="1150"/>
      <c r="I118" s="1150"/>
      <c r="J118" s="1150"/>
      <c r="K118" s="1150"/>
      <c r="L118" s="1150"/>
      <c r="M118" s="1151"/>
    </row>
    <row r="119" spans="1:13" x14ac:dyDescent="0.25">
      <c r="A119" s="1138"/>
      <c r="B119" s="1139"/>
      <c r="C119" s="1152"/>
      <c r="D119" s="1139"/>
      <c r="E119" s="1139"/>
      <c r="F119" s="1139"/>
      <c r="G119" s="1139"/>
      <c r="H119" s="1139"/>
      <c r="I119" s="1139"/>
      <c r="J119" s="1139"/>
      <c r="K119" s="1139"/>
      <c r="L119" s="1139"/>
      <c r="M119" s="1140"/>
    </row>
    <row r="120" spans="1:13" x14ac:dyDescent="0.25">
      <c r="A120" s="1141" t="s">
        <v>604</v>
      </c>
      <c r="B120" s="1142"/>
      <c r="C120" s="1142"/>
      <c r="D120" s="1142"/>
      <c r="E120" s="1142"/>
      <c r="F120" s="1142"/>
      <c r="G120" s="1142"/>
      <c r="H120" s="1142"/>
      <c r="I120" s="1142"/>
      <c r="J120" s="1142"/>
      <c r="K120" s="1142"/>
      <c r="L120" s="1142"/>
      <c r="M120" s="1144"/>
    </row>
    <row r="121" spans="1:13" x14ac:dyDescent="0.25">
      <c r="A121" s="1141"/>
      <c r="B121" s="1142"/>
      <c r="C121" s="1142"/>
      <c r="D121" s="1142"/>
      <c r="E121" s="1142"/>
      <c r="F121" s="1142"/>
      <c r="G121" s="1142"/>
      <c r="H121" s="1142"/>
      <c r="I121" s="1142"/>
      <c r="J121" s="1142"/>
      <c r="K121" s="1142"/>
      <c r="L121" s="1142"/>
      <c r="M121" s="1144"/>
    </row>
    <row r="122" spans="1:13" x14ac:dyDescent="0.25">
      <c r="A122" s="1141" t="s">
        <v>477</v>
      </c>
      <c r="B122" s="1142"/>
      <c r="C122" s="1142"/>
      <c r="D122" s="1142"/>
      <c r="E122" s="1142"/>
      <c r="F122" s="1142"/>
      <c r="G122" s="1142"/>
      <c r="H122" s="1142"/>
      <c r="I122" s="1142"/>
      <c r="J122" s="1142"/>
      <c r="K122" s="1142"/>
      <c r="L122" s="1142"/>
      <c r="M122" s="1144"/>
    </row>
    <row r="123" spans="1:13" x14ac:dyDescent="0.25">
      <c r="A123" s="1145"/>
      <c r="B123" s="1142"/>
      <c r="C123" s="1142"/>
      <c r="D123" s="1142"/>
      <c r="E123" s="1142"/>
      <c r="F123" s="1142"/>
      <c r="G123" s="1142"/>
      <c r="H123" s="1142"/>
      <c r="I123" s="1142"/>
      <c r="J123" s="1142"/>
      <c r="K123" s="1142"/>
      <c r="L123" s="1142"/>
      <c r="M123" s="1144"/>
    </row>
    <row r="124" spans="1:13" x14ac:dyDescent="0.25">
      <c r="A124" s="1145"/>
      <c r="B124" s="1142" t="s">
        <v>464</v>
      </c>
      <c r="C124" s="1146" t="s">
        <v>661</v>
      </c>
      <c r="D124" s="1142"/>
      <c r="E124" s="1142"/>
      <c r="F124" s="1142"/>
      <c r="G124" s="1142"/>
      <c r="H124" s="1142"/>
      <c r="I124" s="1142"/>
      <c r="J124" s="1142"/>
      <c r="K124" s="1142"/>
      <c r="L124" s="1142"/>
      <c r="M124" s="1144"/>
    </row>
    <row r="125" spans="1:13" x14ac:dyDescent="0.25">
      <c r="A125" s="1145"/>
      <c r="B125" s="1142"/>
      <c r="C125" s="1142"/>
      <c r="D125" s="1142"/>
      <c r="E125" s="1142"/>
      <c r="F125" s="1142"/>
      <c r="G125" s="1142"/>
      <c r="H125" s="1142"/>
      <c r="I125" s="1142"/>
      <c r="J125" s="1142"/>
      <c r="K125" s="1142"/>
      <c r="L125" s="1142"/>
      <c r="M125" s="1144"/>
    </row>
    <row r="126" spans="1:13" x14ac:dyDescent="0.25">
      <c r="A126" s="1145"/>
      <c r="B126" s="1142" t="s">
        <v>464</v>
      </c>
      <c r="C126" s="1143">
        <f>'F-LSCD-002 (homog irrad dosím)'!AI68/2*C91</f>
        <v>1.1927594102701006E-4</v>
      </c>
      <c r="D126" s="1146" t="s">
        <v>645</v>
      </c>
      <c r="E126" s="1142"/>
      <c r="F126" s="1142"/>
      <c r="G126" s="1142"/>
      <c r="H126" s="1142"/>
      <c r="I126" s="1142"/>
      <c r="J126" s="1142"/>
      <c r="K126" s="1142"/>
      <c r="L126" s="1142"/>
      <c r="M126" s="1144"/>
    </row>
    <row r="127" spans="1:13" x14ac:dyDescent="0.25">
      <c r="A127" s="1145"/>
      <c r="B127" s="1142"/>
      <c r="C127" s="1142"/>
      <c r="D127" s="1142"/>
      <c r="E127" s="1142"/>
      <c r="F127" s="1142"/>
      <c r="G127" s="1142"/>
      <c r="H127" s="1142"/>
      <c r="I127" s="1142"/>
      <c r="J127" s="1142"/>
      <c r="K127" s="1142"/>
      <c r="L127" s="1142"/>
      <c r="M127" s="1144"/>
    </row>
    <row r="128" spans="1:13" x14ac:dyDescent="0.25">
      <c r="A128" s="1145"/>
      <c r="B128" s="1146" t="s">
        <v>397</v>
      </c>
      <c r="C128" s="1142"/>
      <c r="D128" s="1142"/>
      <c r="E128" s="1142"/>
      <c r="F128" s="1142"/>
      <c r="G128" s="1142"/>
      <c r="H128" s="1142"/>
      <c r="I128" s="1142"/>
      <c r="J128" s="1142"/>
      <c r="K128" s="1142"/>
      <c r="L128" s="1142"/>
      <c r="M128" s="1144"/>
    </row>
    <row r="129" spans="1:13" x14ac:dyDescent="0.25">
      <c r="A129" s="1145"/>
      <c r="B129" s="1146" t="s">
        <v>416</v>
      </c>
      <c r="C129" s="1142"/>
      <c r="D129" s="1142"/>
      <c r="E129" s="1142"/>
      <c r="F129" s="1142"/>
      <c r="G129" s="1142"/>
      <c r="H129" s="1142"/>
      <c r="I129" s="1142"/>
      <c r="J129" s="1142"/>
      <c r="K129" s="1142"/>
      <c r="L129" s="1142"/>
      <c r="M129" s="1144"/>
    </row>
    <row r="130" spans="1:13" x14ac:dyDescent="0.25">
      <c r="A130" s="1145"/>
      <c r="B130" s="1146"/>
      <c r="C130" s="1142"/>
      <c r="D130" s="1142"/>
      <c r="E130" s="1142"/>
      <c r="F130" s="1142"/>
      <c r="G130" s="1142"/>
      <c r="H130" s="1142"/>
      <c r="I130" s="1142"/>
      <c r="J130" s="1142"/>
      <c r="K130" s="1142"/>
      <c r="L130" s="1142"/>
      <c r="M130" s="1144"/>
    </row>
    <row r="131" spans="1:13" x14ac:dyDescent="0.25">
      <c r="A131" s="1141" t="s">
        <v>578</v>
      </c>
      <c r="B131" s="1142"/>
      <c r="C131" s="1143"/>
      <c r="D131" s="1142"/>
      <c r="E131" s="1142"/>
      <c r="F131" s="1142"/>
      <c r="G131" s="1142"/>
      <c r="H131" s="1142"/>
      <c r="I131" s="1142"/>
      <c r="J131" s="1142"/>
      <c r="K131" s="1142"/>
      <c r="L131" s="1142"/>
      <c r="M131" s="1144"/>
    </row>
    <row r="132" spans="1:13" x14ac:dyDescent="0.25">
      <c r="A132" s="1142"/>
      <c r="B132" s="1142"/>
      <c r="C132" s="1142"/>
      <c r="D132" s="1142"/>
      <c r="E132" s="1142"/>
      <c r="F132" s="1142"/>
      <c r="G132" s="1142"/>
      <c r="H132" s="1142"/>
      <c r="I132" s="1142"/>
      <c r="J132" s="1142"/>
      <c r="K132" s="1142"/>
      <c r="L132" s="1142"/>
      <c r="M132" s="1144"/>
    </row>
    <row r="133" spans="1:13" x14ac:dyDescent="0.25">
      <c r="A133" s="1142"/>
      <c r="B133" s="1142"/>
      <c r="C133" s="1142"/>
      <c r="D133" s="1142"/>
      <c r="E133" s="1142"/>
      <c r="F133" s="1142"/>
      <c r="G133" s="1142"/>
      <c r="H133" s="1142"/>
      <c r="I133" s="1142"/>
      <c r="J133" s="1142"/>
      <c r="K133" s="1142"/>
      <c r="L133" s="1142"/>
      <c r="M133" s="1144"/>
    </row>
    <row r="134" spans="1:13" x14ac:dyDescent="0.25">
      <c r="A134" s="1142"/>
      <c r="B134" s="1142"/>
      <c r="C134" s="1142"/>
      <c r="D134" s="1142"/>
      <c r="E134" s="1142"/>
      <c r="F134" s="1142"/>
      <c r="G134" s="1142"/>
      <c r="H134" s="1142"/>
      <c r="I134" s="1142"/>
      <c r="J134" s="1142"/>
      <c r="K134" s="1142"/>
      <c r="L134" s="1142"/>
      <c r="M134" s="1144"/>
    </row>
    <row r="135" spans="1:13" x14ac:dyDescent="0.25">
      <c r="A135" s="1145"/>
      <c r="B135" s="1146"/>
      <c r="C135" s="1142"/>
      <c r="D135" s="1142"/>
      <c r="E135" s="1142"/>
      <c r="F135" s="1142"/>
      <c r="G135" s="1142"/>
      <c r="H135" s="1142"/>
      <c r="I135" s="1142"/>
      <c r="J135" s="1142"/>
      <c r="K135" s="1142"/>
      <c r="L135" s="1142"/>
      <c r="M135" s="1144"/>
    </row>
    <row r="136" spans="1:13" ht="18" x14ac:dyDescent="0.25">
      <c r="A136" s="1145"/>
      <c r="B136" s="1142" t="s">
        <v>489</v>
      </c>
      <c r="C136" s="1142">
        <v>1</v>
      </c>
      <c r="D136" s="1142"/>
      <c r="E136" s="1142"/>
      <c r="F136" s="1142"/>
      <c r="G136" s="1142"/>
      <c r="H136" s="1142"/>
      <c r="I136" s="1142"/>
      <c r="J136" s="1142"/>
      <c r="K136" s="1142"/>
      <c r="L136" s="1142"/>
      <c r="M136" s="1144"/>
    </row>
    <row r="137" spans="1:13" ht="15.75" thickBot="1" x14ac:dyDescent="0.3">
      <c r="A137" s="1149"/>
      <c r="B137" s="1150"/>
      <c r="C137" s="1150"/>
      <c r="D137" s="1150"/>
      <c r="E137" s="1150"/>
      <c r="F137" s="1150"/>
      <c r="G137" s="1150"/>
      <c r="H137" s="1150"/>
      <c r="I137" s="1150"/>
      <c r="J137" s="1150"/>
      <c r="K137" s="1150"/>
      <c r="L137" s="1150"/>
      <c r="M137" s="1151"/>
    </row>
    <row r="138" spans="1:13" x14ac:dyDescent="0.25">
      <c r="A138" s="1138"/>
      <c r="B138" s="1153"/>
      <c r="C138" s="1139"/>
      <c r="D138" s="1139"/>
      <c r="E138" s="1139"/>
      <c r="F138" s="1139"/>
      <c r="G138" s="1139"/>
      <c r="H138" s="1139"/>
      <c r="I138" s="1139"/>
      <c r="J138" s="1139"/>
      <c r="K138" s="1139"/>
      <c r="L138" s="1139"/>
      <c r="M138" s="1140"/>
    </row>
    <row r="139" spans="1:13" x14ac:dyDescent="0.25">
      <c r="A139" s="1141" t="s">
        <v>643</v>
      </c>
      <c r="B139" s="1146"/>
      <c r="C139" s="1142"/>
      <c r="D139" s="1142"/>
      <c r="E139" s="1142"/>
      <c r="F139" s="1142"/>
      <c r="G139" s="1143"/>
      <c r="H139" s="1142"/>
      <c r="I139" s="1142"/>
      <c r="J139" s="1142"/>
      <c r="K139" s="1142"/>
      <c r="L139" s="1142"/>
      <c r="M139" s="1144"/>
    </row>
    <row r="140" spans="1:13" x14ac:dyDescent="0.25">
      <c r="A140" s="1141"/>
      <c r="B140" s="1146"/>
      <c r="C140" s="1142"/>
      <c r="D140" s="1142"/>
      <c r="E140" s="1142"/>
      <c r="F140" s="1142"/>
      <c r="G140" s="1142"/>
      <c r="H140" s="1142"/>
      <c r="I140" s="1142"/>
      <c r="J140" s="1142"/>
      <c r="K140" s="1142"/>
      <c r="L140" s="1142"/>
      <c r="M140" s="1144"/>
    </row>
    <row r="141" spans="1:13" x14ac:dyDescent="0.25">
      <c r="A141" s="1141" t="s">
        <v>480</v>
      </c>
      <c r="B141" s="1146"/>
      <c r="C141" s="1142"/>
      <c r="D141" s="1142"/>
      <c r="E141" s="1142"/>
      <c r="F141" s="1142"/>
      <c r="G141" s="1142"/>
      <c r="H141" s="1142"/>
      <c r="I141" s="1142"/>
      <c r="J141" s="1142"/>
      <c r="K141" s="1142"/>
      <c r="L141" s="1142"/>
      <c r="M141" s="1144"/>
    </row>
    <row r="142" spans="1:13" x14ac:dyDescent="0.25">
      <c r="A142" s="1141"/>
      <c r="B142" s="1146"/>
      <c r="C142" s="1142"/>
      <c r="D142" s="1142"/>
      <c r="E142" s="1142"/>
      <c r="F142" s="1142"/>
      <c r="G142" s="1142"/>
      <c r="H142" s="1142"/>
      <c r="I142" s="1142"/>
      <c r="J142" s="1142"/>
      <c r="K142" s="1142"/>
      <c r="L142" s="1142"/>
      <c r="M142" s="1144"/>
    </row>
    <row r="143" spans="1:13" ht="18" x14ac:dyDescent="0.25">
      <c r="A143" s="1141"/>
      <c r="B143" s="1142" t="s">
        <v>464</v>
      </c>
      <c r="C143" s="1154" t="s">
        <v>807</v>
      </c>
      <c r="D143" s="1142"/>
      <c r="E143" s="1142"/>
      <c r="F143" s="1142"/>
      <c r="G143" s="1142"/>
      <c r="H143" s="1142"/>
      <c r="I143" s="1142"/>
      <c r="J143" s="1142"/>
      <c r="K143" s="1142"/>
      <c r="L143" s="1142"/>
      <c r="M143" s="1144"/>
    </row>
    <row r="144" spans="1:13" x14ac:dyDescent="0.25">
      <c r="A144" s="1141"/>
      <c r="B144" s="1146"/>
      <c r="C144" s="1142"/>
      <c r="D144" s="1142"/>
      <c r="E144" s="1142"/>
      <c r="F144" s="1142"/>
      <c r="G144" s="1142"/>
      <c r="H144" s="1142"/>
      <c r="I144" s="1142"/>
      <c r="J144" s="1142"/>
      <c r="K144" s="1142"/>
      <c r="L144" s="1142"/>
      <c r="M144" s="1144"/>
    </row>
    <row r="145" spans="1:13" x14ac:dyDescent="0.25">
      <c r="A145" s="1145"/>
      <c r="B145" s="1142" t="s">
        <v>464</v>
      </c>
      <c r="C145" s="1143">
        <f>'F-LSCD-002 (Tiempo tránsito ob)'!Q69*(SUM('F-LSCD-002 (Tiempo tránsito ob)'!Y73:Y82)-'F-LSCD-002 (Tiempo tránsito ob)'!Y69)/(COUNT('F-LSCD-002 (Tiempo tránsito ob)'!O73:O82)*'F-LSCD-002 (Tiempo tránsito ob)'!Y69-SUM('F-LSCD-002 (Tiempo tránsito ob)'!Y73:Y82))</f>
        <v>1.630000157393327E-2</v>
      </c>
      <c r="D145" s="1146" t="s">
        <v>369</v>
      </c>
      <c r="E145" s="1142"/>
      <c r="F145" s="1146"/>
      <c r="G145" s="1142"/>
      <c r="H145" s="1142"/>
      <c r="I145" s="1142"/>
      <c r="J145" s="1142"/>
      <c r="K145" s="1142"/>
      <c r="L145" s="1142"/>
      <c r="M145" s="1144"/>
    </row>
    <row r="146" spans="1:13" x14ac:dyDescent="0.25">
      <c r="A146" s="1145"/>
      <c r="B146" s="1142"/>
      <c r="C146" s="1143"/>
      <c r="D146" s="1146"/>
      <c r="E146" s="1142"/>
      <c r="F146" s="1142"/>
      <c r="G146" s="1142"/>
      <c r="H146" s="1142"/>
      <c r="I146" s="1142"/>
      <c r="J146" s="1142"/>
      <c r="K146" s="1142"/>
      <c r="L146" s="1142"/>
      <c r="M146" s="1144"/>
    </row>
    <row r="147" spans="1:13" x14ac:dyDescent="0.25">
      <c r="A147" s="1145"/>
      <c r="B147" s="1142" t="s">
        <v>397</v>
      </c>
      <c r="C147" s="1143"/>
      <c r="D147" s="1146"/>
      <c r="E147" s="1142"/>
      <c r="F147" s="1142"/>
      <c r="G147" s="1142"/>
      <c r="H147" s="1142"/>
      <c r="I147" s="1142"/>
      <c r="J147" s="1142"/>
      <c r="K147" s="1142"/>
      <c r="L147" s="1142"/>
      <c r="M147" s="1144"/>
    </row>
    <row r="148" spans="1:13" x14ac:dyDescent="0.25">
      <c r="A148" s="1145"/>
      <c r="B148" s="1146" t="s">
        <v>640</v>
      </c>
      <c r="C148" s="1143"/>
      <c r="D148" s="1146"/>
      <c r="E148" s="1142"/>
      <c r="F148" s="1142"/>
      <c r="G148" s="1142"/>
      <c r="H148" s="1142"/>
      <c r="I148" s="1142"/>
      <c r="J148" s="1142"/>
      <c r="K148" s="1142"/>
      <c r="L148" s="1142"/>
      <c r="M148" s="1144"/>
    </row>
    <row r="149" spans="1:13" x14ac:dyDescent="0.25">
      <c r="A149" s="1145"/>
      <c r="B149" s="1142"/>
      <c r="C149" s="1142"/>
      <c r="D149" s="1146"/>
      <c r="E149" s="1142"/>
      <c r="F149" s="1142"/>
      <c r="G149" s="1142"/>
      <c r="H149" s="1142"/>
      <c r="I149" s="1142"/>
      <c r="J149" s="1142"/>
      <c r="K149" s="1142"/>
      <c r="L149" s="1142"/>
      <c r="M149" s="1144"/>
    </row>
    <row r="150" spans="1:13" x14ac:dyDescent="0.25">
      <c r="A150" s="1141" t="s">
        <v>488</v>
      </c>
      <c r="B150" s="1142"/>
      <c r="C150" s="1142"/>
      <c r="D150" s="1146"/>
      <c r="E150" s="1142"/>
      <c r="F150" s="1142"/>
      <c r="G150" s="1142"/>
      <c r="H150" s="1142"/>
      <c r="I150" s="1142"/>
      <c r="J150" s="1142"/>
      <c r="K150" s="1142"/>
      <c r="L150" s="1142"/>
      <c r="M150" s="1144"/>
    </row>
    <row r="151" spans="1:13" x14ac:dyDescent="0.25">
      <c r="A151" s="1145"/>
      <c r="B151" s="1142"/>
      <c r="C151" s="1142"/>
      <c r="D151" s="1146"/>
      <c r="E151" s="1142"/>
      <c r="F151" s="1142"/>
      <c r="G151" s="1142"/>
      <c r="H151" s="1142"/>
      <c r="I151" s="1142"/>
      <c r="J151" s="1142"/>
      <c r="K151" s="1142"/>
      <c r="L151" s="1142"/>
      <c r="M151" s="1144"/>
    </row>
    <row r="152" spans="1:13" x14ac:dyDescent="0.25">
      <c r="A152" s="1145"/>
      <c r="B152" s="1142"/>
      <c r="C152" s="1142"/>
      <c r="D152" s="1146"/>
      <c r="E152" s="1142"/>
      <c r="F152" s="1142"/>
      <c r="G152" s="1142"/>
      <c r="H152" s="1142"/>
      <c r="I152" s="1142"/>
      <c r="J152" s="1142"/>
      <c r="K152" s="1142"/>
      <c r="L152" s="1142"/>
      <c r="M152" s="1144"/>
    </row>
    <row r="153" spans="1:13" x14ac:dyDescent="0.25">
      <c r="A153" s="1145"/>
      <c r="B153" s="1142"/>
      <c r="C153" s="1142"/>
      <c r="D153" s="1146"/>
      <c r="E153" s="1142"/>
      <c r="F153" s="1142"/>
      <c r="G153" s="1142"/>
      <c r="H153" s="1142"/>
      <c r="I153" s="1142"/>
      <c r="J153" s="1142"/>
      <c r="K153" s="1142"/>
      <c r="L153" s="1142"/>
      <c r="M153" s="1144"/>
    </row>
    <row r="154" spans="1:13" x14ac:dyDescent="0.25">
      <c r="A154" s="1145"/>
      <c r="B154" s="1142"/>
      <c r="C154" s="1142"/>
      <c r="D154" s="1146"/>
      <c r="E154" s="1142"/>
      <c r="F154" s="1142"/>
      <c r="G154" s="1142"/>
      <c r="H154" s="1142"/>
      <c r="I154" s="1142"/>
      <c r="J154" s="1142"/>
      <c r="K154" s="1142"/>
      <c r="L154" s="1142"/>
      <c r="M154" s="1144"/>
    </row>
    <row r="155" spans="1:13" ht="18" x14ac:dyDescent="0.25">
      <c r="A155" s="1145"/>
      <c r="B155" s="1155" t="s">
        <v>808</v>
      </c>
      <c r="C155" s="1143">
        <f>-(C83/C84^2)*((273.2+C88)*C85)/((273.2+C87)*C86)*C80*C81*C82*C90</f>
        <v>2.6750561686121773E-4</v>
      </c>
      <c r="D155" s="1146" t="s">
        <v>641</v>
      </c>
      <c r="E155" s="1142"/>
      <c r="F155" s="1142"/>
      <c r="G155" s="1142"/>
      <c r="H155" s="1142"/>
      <c r="I155" s="1142"/>
      <c r="J155" s="1142"/>
      <c r="K155" s="1142"/>
      <c r="L155" s="1142"/>
      <c r="M155" s="1144"/>
    </row>
    <row r="156" spans="1:13" ht="15.75" thickBot="1" x14ac:dyDescent="0.3">
      <c r="A156" s="1149"/>
      <c r="B156" s="1150"/>
      <c r="C156" s="1150"/>
      <c r="D156" s="1150"/>
      <c r="E156" s="1150"/>
      <c r="F156" s="1150"/>
      <c r="G156" s="1150"/>
      <c r="H156" s="1150"/>
      <c r="I156" s="1150"/>
      <c r="J156" s="1150"/>
      <c r="K156" s="1150"/>
      <c r="L156" s="1150"/>
      <c r="M156" s="1151"/>
    </row>
    <row r="157" spans="1:13" s="730" customFormat="1" x14ac:dyDescent="0.25">
      <c r="A157" s="747"/>
      <c r="B157" s="748"/>
      <c r="C157" s="748"/>
      <c r="D157" s="748"/>
      <c r="E157" s="748"/>
      <c r="F157" s="748"/>
      <c r="G157" s="748"/>
      <c r="H157" s="748"/>
      <c r="I157" s="748"/>
      <c r="J157" s="748"/>
      <c r="K157" s="748"/>
      <c r="L157" s="748"/>
      <c r="M157" s="749"/>
    </row>
    <row r="158" spans="1:13" s="730" customFormat="1" x14ac:dyDescent="0.25">
      <c r="A158" s="323" t="s">
        <v>994</v>
      </c>
      <c r="B158" s="751"/>
      <c r="C158" s="751"/>
      <c r="D158" s="751"/>
      <c r="E158" s="751"/>
      <c r="F158" s="751"/>
      <c r="G158" s="751"/>
      <c r="H158" s="751"/>
      <c r="I158" s="751"/>
      <c r="J158" s="751"/>
      <c r="K158" s="751"/>
      <c r="L158" s="751"/>
      <c r="M158" s="752"/>
    </row>
    <row r="159" spans="1:13" s="730" customFormat="1" x14ac:dyDescent="0.25">
      <c r="A159" s="750"/>
      <c r="B159" s="751"/>
      <c r="C159" s="751"/>
      <c r="D159" s="751"/>
      <c r="E159" s="751"/>
      <c r="F159" s="751"/>
      <c r="G159" s="751"/>
      <c r="H159" s="751"/>
      <c r="I159" s="751"/>
      <c r="J159" s="751"/>
      <c r="K159" s="751"/>
      <c r="L159" s="751"/>
      <c r="M159" s="752"/>
    </row>
    <row r="160" spans="1:13" s="730" customFormat="1" x14ac:dyDescent="0.25">
      <c r="A160" s="750" t="s">
        <v>482</v>
      </c>
      <c r="B160" s="751"/>
      <c r="C160" s="751"/>
      <c r="D160" s="751"/>
      <c r="E160" s="751"/>
      <c r="F160" s="751"/>
      <c r="G160" s="751"/>
      <c r="H160" s="751"/>
      <c r="I160" s="751"/>
      <c r="J160" s="751"/>
      <c r="K160" s="751"/>
      <c r="L160" s="751"/>
      <c r="M160" s="752"/>
    </row>
    <row r="161" spans="1:13" s="730" customFormat="1" x14ac:dyDescent="0.25">
      <c r="A161" s="750"/>
      <c r="B161" s="751"/>
      <c r="C161" s="751"/>
      <c r="D161" s="751"/>
      <c r="E161" s="751"/>
      <c r="F161" s="751"/>
      <c r="G161" s="751"/>
      <c r="H161" s="751"/>
      <c r="I161" s="751"/>
      <c r="J161" s="751"/>
      <c r="K161" s="751"/>
      <c r="L161" s="751"/>
      <c r="M161" s="752"/>
    </row>
    <row r="162" spans="1:13" s="730" customFormat="1" x14ac:dyDescent="0.25">
      <c r="A162" s="753"/>
      <c r="B162" s="354" t="s">
        <v>995</v>
      </c>
      <c r="C162" s="751"/>
      <c r="D162" s="751"/>
      <c r="E162" s="751"/>
      <c r="F162" s="751"/>
      <c r="G162" s="751"/>
      <c r="H162" s="751"/>
      <c r="I162" s="751">
        <v>3</v>
      </c>
      <c r="J162" s="754" t="s">
        <v>449</v>
      </c>
      <c r="K162" s="751"/>
      <c r="L162" s="751"/>
      <c r="M162" s="752"/>
    </row>
    <row r="163" spans="1:13" s="730" customFormat="1" x14ac:dyDescent="0.25">
      <c r="A163" s="753"/>
      <c r="B163" s="751"/>
      <c r="C163" s="751"/>
      <c r="D163" s="751"/>
      <c r="E163" s="751"/>
      <c r="F163" s="751"/>
      <c r="G163" s="751"/>
      <c r="H163" s="751"/>
      <c r="I163" s="751"/>
      <c r="J163" s="751"/>
      <c r="K163" s="751"/>
      <c r="L163" s="751"/>
      <c r="M163" s="752"/>
    </row>
    <row r="164" spans="1:13" s="730" customFormat="1" x14ac:dyDescent="0.25">
      <c r="A164" s="753"/>
      <c r="B164" s="751" t="s">
        <v>464</v>
      </c>
      <c r="C164" s="754" t="str">
        <f>"(Kerma en aire teórico a "&amp;C92-I162/1000&amp;" m - kerma en aire teórico a "&amp;C92+I162/1000&amp;" m)/2"</f>
        <v>(Kerma en aire teórico a 1.997 m - kerma en aire teórico a 2.003 m)/2</v>
      </c>
      <c r="D164" s="751"/>
      <c r="E164" s="751"/>
      <c r="F164" s="751"/>
      <c r="G164" s="751"/>
      <c r="H164" s="751"/>
      <c r="I164" s="751"/>
      <c r="J164" s="751"/>
      <c r="K164" s="751"/>
      <c r="L164" s="751"/>
      <c r="M164" s="752"/>
    </row>
    <row r="165" spans="1:13" s="730" customFormat="1" x14ac:dyDescent="0.25">
      <c r="A165" s="753"/>
      <c r="B165" s="751"/>
      <c r="C165" s="751"/>
      <c r="D165" s="751"/>
      <c r="E165" s="751"/>
      <c r="F165" s="751"/>
      <c r="G165" s="751"/>
      <c r="H165" s="751"/>
      <c r="I165" s="751"/>
      <c r="J165" s="751"/>
      <c r="K165" s="751"/>
      <c r="L165" s="751"/>
      <c r="M165" s="752"/>
    </row>
    <row r="166" spans="1:13" s="730" customFormat="1" x14ac:dyDescent="0.25">
      <c r="A166" s="753"/>
      <c r="B166" s="754" t="s">
        <v>419</v>
      </c>
      <c r="C166" s="751"/>
      <c r="D166" s="751"/>
      <c r="E166" s="751"/>
      <c r="F166" s="751"/>
      <c r="G166" s="751"/>
      <c r="H166" s="751"/>
      <c r="I166" s="751"/>
      <c r="J166" s="751"/>
      <c r="K166" s="751"/>
      <c r="L166" s="751"/>
      <c r="M166" s="752"/>
    </row>
    <row r="167" spans="1:13" s="730" customFormat="1" x14ac:dyDescent="0.25">
      <c r="A167" s="753"/>
      <c r="B167" s="751"/>
      <c r="C167" s="751"/>
      <c r="D167" s="751"/>
      <c r="E167" s="751"/>
      <c r="F167" s="760"/>
      <c r="G167" s="751"/>
      <c r="H167" s="751"/>
      <c r="I167" s="751"/>
      <c r="J167" s="751"/>
      <c r="K167" s="751"/>
      <c r="L167" s="751"/>
      <c r="M167" s="752"/>
    </row>
    <row r="168" spans="1:13" s="730" customFormat="1" x14ac:dyDescent="0.25">
      <c r="A168" s="753"/>
      <c r="B168" s="751" t="s">
        <v>464</v>
      </c>
      <c r="C168" s="760">
        <f>((C91*C92^2/((C92-I162/1000)^2)-C91*C92^2/(C92+I162/1000)^2))/2</f>
        <v>4.1023961621966358E-5</v>
      </c>
      <c r="D168" s="354" t="s">
        <v>645</v>
      </c>
      <c r="E168" s="751"/>
      <c r="F168" s="751"/>
      <c r="G168" s="762"/>
      <c r="H168" s="751"/>
      <c r="I168" s="751"/>
      <c r="J168" s="751"/>
      <c r="K168" s="751"/>
      <c r="L168" s="751"/>
      <c r="M168" s="752"/>
    </row>
    <row r="169" spans="1:13" s="730" customFormat="1" x14ac:dyDescent="0.25">
      <c r="A169" s="753"/>
      <c r="B169" s="751"/>
      <c r="C169" s="755"/>
      <c r="D169" s="754"/>
      <c r="E169" s="751"/>
      <c r="F169" s="751"/>
      <c r="G169" s="751"/>
      <c r="H169" s="751"/>
      <c r="I169" s="751"/>
      <c r="J169" s="751"/>
      <c r="K169" s="751"/>
      <c r="L169" s="751"/>
      <c r="M169" s="752"/>
    </row>
    <row r="170" spans="1:13" s="423" customFormat="1" x14ac:dyDescent="0.25">
      <c r="A170" s="323" t="s">
        <v>486</v>
      </c>
      <c r="B170" s="523"/>
      <c r="C170" s="527"/>
      <c r="D170" s="523"/>
      <c r="E170" s="523"/>
      <c r="F170" s="523"/>
      <c r="G170" s="547"/>
      <c r="H170" s="523"/>
      <c r="I170" s="523"/>
      <c r="J170" s="523"/>
      <c r="K170" s="523"/>
      <c r="L170" s="523"/>
      <c r="M170" s="524"/>
    </row>
    <row r="171" spans="1:13" s="423" customFormat="1" x14ac:dyDescent="0.25">
      <c r="A171" s="523"/>
      <c r="B171" s="523"/>
      <c r="C171" s="527"/>
      <c r="D171" s="523"/>
      <c r="E171" s="523"/>
      <c r="F171" s="523"/>
      <c r="G171" s="547"/>
      <c r="H171" s="523"/>
      <c r="I171" s="523"/>
      <c r="J171" s="523"/>
      <c r="K171" s="523"/>
      <c r="L171" s="523"/>
      <c r="M171" s="524"/>
    </row>
    <row r="172" spans="1:13" s="423" customFormat="1" x14ac:dyDescent="0.25">
      <c r="A172" s="523"/>
      <c r="B172" s="523"/>
      <c r="C172" s="527"/>
      <c r="D172" s="523"/>
      <c r="E172" s="523"/>
      <c r="F172" s="523"/>
      <c r="G172" s="547"/>
      <c r="H172" s="523"/>
      <c r="I172" s="523"/>
      <c r="J172" s="523"/>
      <c r="K172" s="523"/>
      <c r="L172" s="523"/>
      <c r="M172" s="524"/>
    </row>
    <row r="173" spans="1:13" s="423" customFormat="1" x14ac:dyDescent="0.25">
      <c r="A173" s="523"/>
      <c r="B173" s="523"/>
      <c r="C173" s="527"/>
      <c r="D173" s="523"/>
      <c r="E173" s="523"/>
      <c r="F173" s="523"/>
      <c r="G173" s="547"/>
      <c r="H173" s="523"/>
      <c r="I173" s="523"/>
      <c r="J173" s="523"/>
      <c r="K173" s="523"/>
      <c r="L173" s="523"/>
      <c r="M173" s="524"/>
    </row>
    <row r="174" spans="1:13" s="423" customFormat="1" x14ac:dyDescent="0.25">
      <c r="A174" s="525"/>
      <c r="B174" s="523"/>
      <c r="C174" s="527"/>
      <c r="D174" s="523"/>
      <c r="E174" s="523"/>
      <c r="F174" s="523"/>
      <c r="G174" s="547"/>
      <c r="H174" s="523"/>
      <c r="I174" s="523"/>
      <c r="J174" s="523"/>
      <c r="K174" s="523"/>
      <c r="L174" s="523"/>
      <c r="M174" s="524"/>
    </row>
    <row r="175" spans="1:13" s="423" customFormat="1" ht="18" x14ac:dyDescent="0.25">
      <c r="A175" s="525"/>
      <c r="B175" s="545" t="s">
        <v>632</v>
      </c>
      <c r="C175" s="523">
        <v>1</v>
      </c>
      <c r="D175" s="324" t="s">
        <v>93</v>
      </c>
      <c r="E175" s="523"/>
      <c r="F175" s="523"/>
      <c r="G175" s="548"/>
      <c r="H175" s="523"/>
      <c r="I175" s="523"/>
      <c r="J175" s="523"/>
      <c r="K175" s="523"/>
      <c r="L175" s="523"/>
      <c r="M175" s="524"/>
    </row>
    <row r="176" spans="1:13" s="730" customFormat="1" ht="15.75" thickBot="1" x14ac:dyDescent="0.3">
      <c r="A176" s="756"/>
      <c r="B176" s="763"/>
      <c r="C176" s="757"/>
      <c r="D176" s="757"/>
      <c r="E176" s="757"/>
      <c r="F176" s="757"/>
      <c r="G176" s="764"/>
      <c r="H176" s="757"/>
      <c r="I176" s="757"/>
      <c r="J176" s="757"/>
      <c r="K176" s="757"/>
      <c r="L176" s="757"/>
      <c r="M176" s="758"/>
    </row>
    <row r="177" spans="1:13" s="730" customFormat="1" x14ac:dyDescent="0.25">
      <c r="A177" s="747"/>
      <c r="B177" s="748"/>
      <c r="C177" s="748"/>
      <c r="D177" s="748"/>
      <c r="E177" s="748"/>
      <c r="F177" s="748"/>
      <c r="G177" s="765"/>
      <c r="H177" s="748"/>
      <c r="I177" s="748"/>
      <c r="J177" s="748"/>
      <c r="K177" s="748"/>
      <c r="L177" s="748"/>
      <c r="M177" s="749"/>
    </row>
    <row r="178" spans="1:13" s="730" customFormat="1" x14ac:dyDescent="0.25">
      <c r="A178" s="750" t="s">
        <v>608</v>
      </c>
      <c r="B178" s="751"/>
      <c r="C178" s="751"/>
      <c r="D178" s="751"/>
      <c r="E178" s="751"/>
      <c r="F178" s="751"/>
      <c r="G178" s="766"/>
      <c r="H178" s="751"/>
      <c r="I178" s="751"/>
      <c r="J178" s="751"/>
      <c r="K178" s="751"/>
      <c r="L178" s="751"/>
      <c r="M178" s="752"/>
    </row>
    <row r="179" spans="1:13" s="730" customFormat="1" x14ac:dyDescent="0.25">
      <c r="A179" s="750"/>
      <c r="B179" s="751"/>
      <c r="C179" s="751"/>
      <c r="D179" s="751"/>
      <c r="E179" s="751"/>
      <c r="F179" s="751"/>
      <c r="G179" s="766"/>
      <c r="H179" s="751"/>
      <c r="I179" s="751"/>
      <c r="J179" s="751"/>
      <c r="K179" s="751"/>
      <c r="L179" s="751"/>
      <c r="M179" s="752"/>
    </row>
    <row r="180" spans="1:13" s="730" customFormat="1" x14ac:dyDescent="0.25">
      <c r="A180" s="750" t="s">
        <v>485</v>
      </c>
      <c r="B180" s="751"/>
      <c r="C180" s="751"/>
      <c r="D180" s="751"/>
      <c r="E180" s="751"/>
      <c r="F180" s="751"/>
      <c r="G180" s="766"/>
      <c r="H180" s="751"/>
      <c r="I180" s="751"/>
      <c r="J180" s="751"/>
      <c r="K180" s="751"/>
      <c r="L180" s="751"/>
      <c r="M180" s="752"/>
    </row>
    <row r="181" spans="1:13" s="730" customFormat="1" x14ac:dyDescent="0.25">
      <c r="A181" s="753"/>
      <c r="B181" s="751"/>
      <c r="C181" s="751"/>
      <c r="D181" s="751"/>
      <c r="E181" s="751"/>
      <c r="F181" s="751"/>
      <c r="G181" s="766"/>
      <c r="H181" s="751"/>
      <c r="I181" s="751"/>
      <c r="J181" s="751"/>
      <c r="K181" s="751"/>
      <c r="L181" s="751"/>
      <c r="M181" s="752"/>
    </row>
    <row r="182" spans="1:13" s="730" customFormat="1" x14ac:dyDescent="0.25">
      <c r="A182" s="753"/>
      <c r="B182" s="751" t="s">
        <v>464</v>
      </c>
      <c r="C182" s="354" t="s">
        <v>996</v>
      </c>
      <c r="D182" s="751"/>
      <c r="E182" s="751"/>
      <c r="F182" s="751"/>
      <c r="G182" s="766"/>
      <c r="H182" s="751"/>
      <c r="I182" s="751"/>
      <c r="J182" s="751"/>
      <c r="K182" s="751"/>
      <c r="L182" s="751"/>
      <c r="M182" s="752"/>
    </row>
    <row r="183" spans="1:13" s="730" customFormat="1" x14ac:dyDescent="0.25">
      <c r="A183" s="753"/>
      <c r="B183" s="751"/>
      <c r="C183" s="751"/>
      <c r="D183" s="751"/>
      <c r="E183" s="751"/>
      <c r="F183" s="751"/>
      <c r="G183" s="766"/>
      <c r="H183" s="751"/>
      <c r="I183" s="751"/>
      <c r="J183" s="751"/>
      <c r="K183" s="751"/>
      <c r="L183" s="751"/>
      <c r="M183" s="752"/>
    </row>
    <row r="184" spans="1:13" s="730" customFormat="1" x14ac:dyDescent="0.25">
      <c r="A184" s="753"/>
      <c r="B184" s="751" t="s">
        <v>464</v>
      </c>
      <c r="C184" s="1455">
        <f>'F-LSCD-002 (Pos. fuente)'!AH69*C91/2</f>
        <v>2.7234297889324675E-5</v>
      </c>
      <c r="D184" s="354" t="s">
        <v>645</v>
      </c>
      <c r="E184" s="751"/>
      <c r="F184" s="751"/>
      <c r="G184" s="766"/>
      <c r="H184" s="751"/>
      <c r="I184" s="751"/>
      <c r="J184" s="751"/>
      <c r="K184" s="751"/>
      <c r="L184" s="751"/>
      <c r="M184" s="752"/>
    </row>
    <row r="185" spans="1:13" s="730" customFormat="1" x14ac:dyDescent="0.25">
      <c r="A185" s="753"/>
      <c r="B185" s="751"/>
      <c r="C185" s="760"/>
      <c r="D185" s="754"/>
      <c r="E185" s="751"/>
      <c r="F185" s="751"/>
      <c r="G185" s="766"/>
      <c r="H185" s="751"/>
      <c r="I185" s="751"/>
      <c r="J185" s="751"/>
      <c r="K185" s="751"/>
      <c r="L185" s="751"/>
      <c r="M185" s="752"/>
    </row>
    <row r="186" spans="1:13" s="730" customFormat="1" x14ac:dyDescent="0.25">
      <c r="A186" s="753"/>
      <c r="B186" s="754" t="s">
        <v>397</v>
      </c>
      <c r="C186" s="751"/>
      <c r="D186" s="751"/>
      <c r="E186" s="751"/>
      <c r="F186" s="751"/>
      <c r="G186" s="751"/>
      <c r="H186" s="751"/>
      <c r="I186" s="751"/>
      <c r="J186" s="751"/>
      <c r="K186" s="751"/>
      <c r="L186" s="751"/>
      <c r="M186" s="752"/>
    </row>
    <row r="187" spans="1:13" s="730" customFormat="1" x14ac:dyDescent="0.25">
      <c r="A187" s="753"/>
      <c r="B187" s="754" t="s">
        <v>416</v>
      </c>
      <c r="C187" s="751"/>
      <c r="D187" s="751"/>
      <c r="E187" s="751"/>
      <c r="F187" s="751"/>
      <c r="G187" s="751"/>
      <c r="H187" s="751"/>
      <c r="I187" s="751"/>
      <c r="J187" s="751"/>
      <c r="K187" s="751"/>
      <c r="L187" s="751"/>
      <c r="M187" s="752"/>
    </row>
    <row r="188" spans="1:13" s="730" customFormat="1" x14ac:dyDescent="0.25">
      <c r="A188" s="753"/>
      <c r="B188" s="751"/>
      <c r="C188" s="755"/>
      <c r="D188" s="754"/>
      <c r="E188" s="751"/>
      <c r="F188" s="751"/>
      <c r="G188" s="751"/>
      <c r="H188" s="751"/>
      <c r="I188" s="751"/>
      <c r="J188" s="751"/>
      <c r="K188" s="751"/>
      <c r="L188" s="751"/>
      <c r="M188" s="752"/>
    </row>
    <row r="189" spans="1:13" s="423" customFormat="1" x14ac:dyDescent="0.25">
      <c r="A189" s="323" t="s">
        <v>487</v>
      </c>
      <c r="B189" s="526"/>
      <c r="C189" s="523"/>
      <c r="D189" s="523"/>
      <c r="E189" s="523"/>
      <c r="F189" s="523"/>
      <c r="G189" s="523"/>
      <c r="H189" s="523"/>
      <c r="I189" s="523"/>
      <c r="J189" s="523"/>
      <c r="K189" s="523"/>
      <c r="L189" s="523"/>
      <c r="M189" s="524"/>
    </row>
    <row r="190" spans="1:13" s="423" customFormat="1" x14ac:dyDescent="0.25">
      <c r="A190" s="525"/>
      <c r="B190" s="526"/>
      <c r="C190" s="523"/>
      <c r="D190" s="523"/>
      <c r="E190" s="523"/>
      <c r="F190" s="523"/>
      <c r="G190" s="523"/>
      <c r="H190" s="523"/>
      <c r="I190" s="523"/>
      <c r="J190" s="523"/>
      <c r="K190" s="523"/>
      <c r="L190" s="523"/>
      <c r="M190" s="524"/>
    </row>
    <row r="191" spans="1:13" s="423" customFormat="1" x14ac:dyDescent="0.25">
      <c r="A191" s="525"/>
      <c r="B191" s="523"/>
      <c r="C191" s="523"/>
      <c r="D191" s="523"/>
      <c r="E191" s="523"/>
      <c r="F191" s="523"/>
      <c r="G191" s="523"/>
      <c r="H191" s="523"/>
      <c r="I191" s="523"/>
      <c r="J191" s="523"/>
      <c r="K191" s="523"/>
      <c r="L191" s="523"/>
      <c r="M191" s="524"/>
    </row>
    <row r="192" spans="1:13" s="423" customFormat="1" x14ac:dyDescent="0.25">
      <c r="A192" s="525"/>
      <c r="B192" s="526"/>
      <c r="C192" s="523"/>
      <c r="D192" s="523"/>
      <c r="E192" s="523"/>
      <c r="F192" s="523"/>
      <c r="G192" s="523"/>
      <c r="H192" s="523"/>
      <c r="I192" s="523"/>
      <c r="J192" s="523"/>
      <c r="K192" s="523"/>
      <c r="L192" s="523"/>
      <c r="M192" s="524"/>
    </row>
    <row r="193" spans="1:13" s="423" customFormat="1" x14ac:dyDescent="0.25">
      <c r="A193" s="525"/>
      <c r="B193" s="526"/>
      <c r="C193" s="523"/>
      <c r="D193" s="523"/>
      <c r="E193" s="523"/>
      <c r="F193" s="523"/>
      <c r="G193" s="523"/>
      <c r="H193" s="523"/>
      <c r="I193" s="523"/>
      <c r="J193" s="523"/>
      <c r="K193" s="523"/>
      <c r="L193" s="523"/>
      <c r="M193" s="524"/>
    </row>
    <row r="194" spans="1:13" s="423" customFormat="1" ht="18" x14ac:dyDescent="0.25">
      <c r="A194" s="525"/>
      <c r="B194" s="545" t="s">
        <v>633</v>
      </c>
      <c r="C194" s="523">
        <v>1</v>
      </c>
      <c r="D194" s="324" t="s">
        <v>93</v>
      </c>
      <c r="E194" s="523"/>
      <c r="F194" s="523"/>
      <c r="G194" s="523"/>
      <c r="H194" s="523"/>
      <c r="I194" s="523"/>
      <c r="J194" s="523"/>
      <c r="K194" s="523"/>
      <c r="L194" s="523"/>
      <c r="M194" s="524"/>
    </row>
    <row r="195" spans="1:13" s="730" customFormat="1" ht="15.75" thickBot="1" x14ac:dyDescent="0.3">
      <c r="A195" s="756"/>
      <c r="B195" s="763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8"/>
    </row>
    <row r="196" spans="1:13" s="423" customFormat="1" x14ac:dyDescent="0.25">
      <c r="A196" s="519"/>
      <c r="B196" s="544"/>
      <c r="C196" s="520"/>
      <c r="D196" s="520"/>
      <c r="E196" s="520"/>
      <c r="F196" s="520"/>
      <c r="G196" s="520"/>
      <c r="H196" s="520"/>
      <c r="I196" s="520"/>
      <c r="J196" s="520"/>
      <c r="K196" s="520"/>
      <c r="L196" s="520"/>
      <c r="M196" s="521"/>
    </row>
    <row r="197" spans="1:13" s="423" customFormat="1" x14ac:dyDescent="0.25">
      <c r="A197" s="323" t="s">
        <v>992</v>
      </c>
      <c r="B197" s="526"/>
      <c r="C197" s="523"/>
      <c r="D197" s="523"/>
      <c r="E197" s="523"/>
      <c r="F197" s="523"/>
      <c r="G197" s="523"/>
      <c r="H197" s="523"/>
      <c r="I197" s="523"/>
      <c r="J197" s="523"/>
      <c r="K197" s="523"/>
      <c r="L197" s="523"/>
      <c r="M197" s="524"/>
    </row>
    <row r="198" spans="1:13" s="423" customFormat="1" x14ac:dyDescent="0.25">
      <c r="A198" s="522"/>
      <c r="B198" s="526"/>
      <c r="C198" s="523"/>
      <c r="D198" s="523"/>
      <c r="E198" s="523"/>
      <c r="F198" s="523"/>
      <c r="G198" s="523"/>
      <c r="H198" s="523"/>
      <c r="I198" s="523"/>
      <c r="J198" s="523"/>
      <c r="K198" s="523"/>
      <c r="L198" s="523"/>
      <c r="M198" s="524"/>
    </row>
    <row r="199" spans="1:13" s="423" customFormat="1" x14ac:dyDescent="0.25">
      <c r="A199" s="323" t="s">
        <v>494</v>
      </c>
      <c r="B199" s="526"/>
      <c r="C199" s="523"/>
      <c r="D199" s="523"/>
      <c r="E199" s="523"/>
      <c r="F199" s="523"/>
      <c r="G199" s="523"/>
      <c r="H199" s="523"/>
      <c r="I199" s="523"/>
      <c r="J199" s="523"/>
      <c r="K199" s="523"/>
      <c r="L199" s="523"/>
      <c r="M199" s="524"/>
    </row>
    <row r="200" spans="1:13" s="423" customFormat="1" x14ac:dyDescent="0.25">
      <c r="A200" s="522"/>
      <c r="B200" s="526"/>
      <c r="C200" s="523"/>
      <c r="D200" s="523"/>
      <c r="E200" s="523"/>
      <c r="F200" s="523"/>
      <c r="G200" s="523"/>
      <c r="H200" s="523"/>
      <c r="I200" s="523"/>
      <c r="J200" s="523"/>
      <c r="K200" s="523"/>
      <c r="L200" s="523"/>
      <c r="M200" s="524"/>
    </row>
    <row r="201" spans="1:13" s="423" customFormat="1" x14ac:dyDescent="0.25">
      <c r="A201" s="522"/>
      <c r="B201" s="526" t="s">
        <v>453</v>
      </c>
      <c r="C201" s="523"/>
      <c r="D201" s="523"/>
      <c r="E201" s="523"/>
      <c r="F201" s="523">
        <v>1.1000000000000001</v>
      </c>
      <c r="G201" s="526" t="s">
        <v>449</v>
      </c>
      <c r="H201" s="523"/>
      <c r="I201" s="523"/>
      <c r="J201" s="523"/>
      <c r="K201" s="523"/>
      <c r="L201" s="523"/>
      <c r="M201" s="524"/>
    </row>
    <row r="202" spans="1:13" s="423" customFormat="1" x14ac:dyDescent="0.25">
      <c r="A202" s="522"/>
      <c r="B202" s="526"/>
      <c r="C202" s="523"/>
      <c r="D202" s="523"/>
      <c r="E202" s="523"/>
      <c r="F202" s="523"/>
      <c r="G202" s="523"/>
      <c r="H202" s="523"/>
      <c r="I202" s="523"/>
      <c r="J202" s="523"/>
      <c r="K202" s="523"/>
      <c r="L202" s="523"/>
      <c r="M202" s="524"/>
    </row>
    <row r="203" spans="1:13" s="423" customFormat="1" x14ac:dyDescent="0.25">
      <c r="A203" s="522"/>
      <c r="B203" s="523" t="s">
        <v>464</v>
      </c>
      <c r="C203" s="526" t="str">
        <f>"(Kerma en aire medido a "&amp;C92&amp;" m - Kerma en aire teórico a "&amp;C92+F201/1000&amp;" m)/2"</f>
        <v>(Kerma en aire medido a 2 m - Kerma en aire teórico a 2.0011 m)/2</v>
      </c>
      <c r="D203" s="523"/>
      <c r="E203" s="523"/>
      <c r="F203" s="523"/>
      <c r="G203" s="523"/>
      <c r="H203" s="523"/>
      <c r="I203" s="523"/>
      <c r="J203" s="523"/>
      <c r="K203" s="523"/>
      <c r="L203" s="523"/>
      <c r="M203" s="524"/>
    </row>
    <row r="204" spans="1:13" s="423" customFormat="1" x14ac:dyDescent="0.25">
      <c r="A204" s="522"/>
      <c r="B204" s="523"/>
      <c r="C204" s="526"/>
      <c r="D204" s="523"/>
      <c r="E204" s="523"/>
      <c r="F204" s="523"/>
      <c r="G204" s="523"/>
      <c r="H204" s="523"/>
      <c r="I204" s="523"/>
      <c r="J204" s="523"/>
      <c r="K204" s="523"/>
      <c r="L204" s="523"/>
      <c r="M204" s="524"/>
    </row>
    <row r="205" spans="1:13" s="423" customFormat="1" x14ac:dyDescent="0.25">
      <c r="A205" s="522"/>
      <c r="B205" s="523" t="s">
        <v>464</v>
      </c>
      <c r="C205" s="527">
        <f>(C91-(C91*C92^2/(C92+F201/1000)^2))/2</f>
        <v>7.5148254867849623E-6</v>
      </c>
      <c r="D205" s="354" t="s">
        <v>645</v>
      </c>
      <c r="E205" s="523"/>
      <c r="F205" s="523"/>
      <c r="G205" s="523"/>
      <c r="H205" s="523"/>
      <c r="I205" s="523"/>
      <c r="J205" s="523"/>
      <c r="K205" s="523"/>
      <c r="L205" s="523"/>
      <c r="M205" s="524"/>
    </row>
    <row r="206" spans="1:13" s="423" customFormat="1" x14ac:dyDescent="0.25">
      <c r="A206" s="522"/>
      <c r="B206" s="523"/>
      <c r="C206" s="527"/>
      <c r="D206" s="523"/>
      <c r="E206" s="523"/>
      <c r="F206" s="523"/>
      <c r="G206" s="523"/>
      <c r="H206" s="523"/>
      <c r="I206" s="523"/>
      <c r="J206" s="523"/>
      <c r="K206" s="523"/>
      <c r="L206" s="523"/>
      <c r="M206" s="524"/>
    </row>
    <row r="207" spans="1:13" s="423" customFormat="1" x14ac:dyDescent="0.25">
      <c r="A207" s="323" t="s">
        <v>495</v>
      </c>
      <c r="B207" s="523"/>
      <c r="C207" s="527"/>
      <c r="D207" s="523"/>
      <c r="E207" s="523"/>
      <c r="F207" s="523"/>
      <c r="G207" s="523"/>
      <c r="H207" s="523"/>
      <c r="I207" s="523"/>
      <c r="J207" s="523"/>
      <c r="K207" s="523"/>
      <c r="L207" s="523"/>
      <c r="M207" s="524"/>
    </row>
    <row r="208" spans="1:13" s="423" customFormat="1" x14ac:dyDescent="0.25">
      <c r="A208" s="522"/>
      <c r="B208" s="523"/>
      <c r="C208" s="527"/>
      <c r="D208" s="523"/>
      <c r="E208" s="523"/>
      <c r="F208" s="523"/>
      <c r="G208" s="523"/>
      <c r="H208" s="523"/>
      <c r="I208" s="523"/>
      <c r="J208" s="523"/>
      <c r="K208" s="523"/>
      <c r="L208" s="523"/>
      <c r="M208" s="524"/>
    </row>
    <row r="209" spans="1:13" s="423" customFormat="1" x14ac:dyDescent="0.25">
      <c r="A209" s="522"/>
      <c r="B209" s="523"/>
      <c r="C209" s="527"/>
      <c r="D209" s="523"/>
      <c r="E209" s="523"/>
      <c r="F209" s="523"/>
      <c r="G209" s="523"/>
      <c r="H209" s="523"/>
      <c r="I209" s="523"/>
      <c r="J209" s="523"/>
      <c r="K209" s="523"/>
      <c r="L209" s="523"/>
      <c r="M209" s="524"/>
    </row>
    <row r="210" spans="1:13" s="423" customFormat="1" x14ac:dyDescent="0.25">
      <c r="A210" s="522"/>
      <c r="B210" s="523"/>
      <c r="C210" s="527"/>
      <c r="D210" s="523"/>
      <c r="E210" s="523"/>
      <c r="F210" s="523"/>
      <c r="G210" s="523"/>
      <c r="H210" s="523"/>
      <c r="I210" s="523"/>
      <c r="J210" s="523"/>
      <c r="K210" s="523"/>
      <c r="L210" s="523"/>
      <c r="M210" s="524"/>
    </row>
    <row r="211" spans="1:13" s="423" customFormat="1" x14ac:dyDescent="0.25">
      <c r="A211" s="522"/>
      <c r="B211" s="523"/>
      <c r="C211" s="526"/>
      <c r="D211" s="523"/>
      <c r="E211" s="523"/>
      <c r="F211" s="523"/>
      <c r="G211" s="523"/>
      <c r="H211" s="523"/>
      <c r="I211" s="523"/>
      <c r="J211" s="523"/>
      <c r="K211" s="523"/>
      <c r="L211" s="523"/>
      <c r="M211" s="524"/>
    </row>
    <row r="212" spans="1:13" s="423" customFormat="1" ht="18" x14ac:dyDescent="0.25">
      <c r="A212" s="522"/>
      <c r="B212" s="545" t="s">
        <v>634</v>
      </c>
      <c r="C212" s="523">
        <v>1</v>
      </c>
      <c r="D212" s="324" t="s">
        <v>93</v>
      </c>
      <c r="E212" s="523"/>
      <c r="F212" s="523"/>
      <c r="G212" s="523"/>
      <c r="H212" s="523"/>
      <c r="I212" s="523"/>
      <c r="J212" s="523"/>
      <c r="K212" s="523"/>
      <c r="L212" s="523"/>
      <c r="M212" s="524"/>
    </row>
    <row r="213" spans="1:13" s="423" customFormat="1" ht="15.75" thickBot="1" x14ac:dyDescent="0.3">
      <c r="A213" s="552"/>
      <c r="B213" s="530"/>
      <c r="C213" s="543"/>
      <c r="D213" s="530"/>
      <c r="E213" s="530"/>
      <c r="F213" s="530"/>
      <c r="G213" s="530"/>
      <c r="H213" s="530"/>
      <c r="I213" s="530"/>
      <c r="J213" s="530"/>
      <c r="K213" s="530"/>
      <c r="L213" s="530"/>
      <c r="M213" s="531"/>
    </row>
    <row r="214" spans="1:13" s="423" customFormat="1" x14ac:dyDescent="0.25">
      <c r="A214" s="553"/>
      <c r="B214" s="520"/>
      <c r="C214" s="544"/>
      <c r="D214" s="520"/>
      <c r="E214" s="520"/>
      <c r="F214" s="520"/>
      <c r="G214" s="520"/>
      <c r="H214" s="520"/>
      <c r="I214" s="520"/>
      <c r="J214" s="520"/>
      <c r="K214" s="520"/>
      <c r="L214" s="520"/>
      <c r="M214" s="521"/>
    </row>
    <row r="215" spans="1:13" s="423" customFormat="1" x14ac:dyDescent="0.25">
      <c r="A215" s="323" t="s">
        <v>678</v>
      </c>
      <c r="B215" s="526"/>
      <c r="C215" s="523"/>
      <c r="D215" s="523"/>
      <c r="E215" s="523"/>
      <c r="F215" s="523"/>
      <c r="G215" s="523"/>
      <c r="H215" s="523"/>
      <c r="I215" s="523"/>
      <c r="J215" s="523"/>
      <c r="K215" s="523"/>
      <c r="L215" s="523"/>
      <c r="M215" s="524"/>
    </row>
    <row r="216" spans="1:13" s="423" customFormat="1" x14ac:dyDescent="0.25">
      <c r="A216" s="522"/>
      <c r="B216" s="526"/>
      <c r="C216" s="523"/>
      <c r="D216" s="523"/>
      <c r="E216" s="523"/>
      <c r="F216" s="523"/>
      <c r="G216" s="523"/>
      <c r="H216" s="523"/>
      <c r="I216" s="523"/>
      <c r="J216" s="523"/>
      <c r="K216" s="523"/>
      <c r="L216" s="523"/>
      <c r="M216" s="524"/>
    </row>
    <row r="217" spans="1:13" s="423" customFormat="1" x14ac:dyDescent="0.25">
      <c r="A217" s="323" t="s">
        <v>498</v>
      </c>
      <c r="B217" s="526"/>
      <c r="C217" s="523"/>
      <c r="D217" s="523"/>
      <c r="E217" s="523"/>
      <c r="F217" s="523"/>
      <c r="G217" s="523"/>
      <c r="H217" s="523"/>
      <c r="I217" s="523"/>
      <c r="J217" s="523"/>
      <c r="K217" s="523"/>
      <c r="L217" s="523"/>
      <c r="M217" s="524"/>
    </row>
    <row r="218" spans="1:13" s="423" customFormat="1" x14ac:dyDescent="0.25">
      <c r="A218" s="522"/>
      <c r="B218" s="526"/>
      <c r="C218" s="523"/>
      <c r="D218" s="523"/>
      <c r="E218" s="523"/>
      <c r="F218" s="523"/>
      <c r="G218" s="523"/>
      <c r="H218" s="523"/>
      <c r="I218" s="523"/>
      <c r="J218" s="523"/>
      <c r="K218" s="523"/>
      <c r="L218" s="523"/>
      <c r="M218" s="524"/>
    </row>
    <row r="219" spans="1:13" s="423" customFormat="1" x14ac:dyDescent="0.25">
      <c r="A219" s="522"/>
      <c r="B219" s="526" t="s">
        <v>454</v>
      </c>
      <c r="C219" s="523"/>
      <c r="D219" s="523"/>
      <c r="E219" s="523"/>
      <c r="F219" s="523">
        <f>'F-LSCD-002 (Dosimetría)'!D66</f>
        <v>1</v>
      </c>
      <c r="G219" s="523" t="s">
        <v>449</v>
      </c>
      <c r="H219" s="523"/>
      <c r="I219" s="523"/>
      <c r="J219" s="523"/>
      <c r="K219" s="523"/>
      <c r="L219" s="523"/>
      <c r="M219" s="524"/>
    </row>
    <row r="220" spans="1:13" s="423" customFormat="1" x14ac:dyDescent="0.25">
      <c r="A220" s="522"/>
      <c r="B220" s="526"/>
      <c r="C220" s="523"/>
      <c r="D220" s="523"/>
      <c r="E220" s="523"/>
      <c r="F220" s="523"/>
      <c r="G220" s="523"/>
      <c r="H220" s="523"/>
      <c r="I220" s="523"/>
      <c r="J220" s="523"/>
      <c r="K220" s="523"/>
      <c r="L220" s="523"/>
      <c r="M220" s="524"/>
    </row>
    <row r="221" spans="1:13" s="423" customFormat="1" x14ac:dyDescent="0.25">
      <c r="A221" s="522"/>
      <c r="B221" s="523" t="s">
        <v>464</v>
      </c>
      <c r="C221" s="526" t="str">
        <f>"(Kerma en aire medido a "&amp;C92&amp;" m - Kerma en aire teórico a "&amp;C92+F219/1000&amp;" m)/2"</f>
        <v>(Kerma en aire medido a 2 m - Kerma en aire teórico a 2.001 m)/2</v>
      </c>
      <c r="D221" s="523"/>
      <c r="E221" s="523"/>
      <c r="F221" s="523"/>
      <c r="G221" s="523"/>
      <c r="H221" s="523"/>
      <c r="I221" s="523"/>
      <c r="J221" s="523"/>
      <c r="K221" s="523"/>
      <c r="L221" s="523"/>
      <c r="M221" s="524"/>
    </row>
    <row r="222" spans="1:13" s="423" customFormat="1" x14ac:dyDescent="0.25">
      <c r="A222" s="522"/>
      <c r="B222" s="526"/>
      <c r="C222" s="523"/>
      <c r="D222" s="523"/>
      <c r="E222" s="523"/>
      <c r="F222" s="523"/>
      <c r="G222" s="523"/>
      <c r="H222" s="523"/>
      <c r="I222" s="523"/>
      <c r="J222" s="523"/>
      <c r="K222" s="523"/>
      <c r="L222" s="523"/>
      <c r="M222" s="524"/>
    </row>
    <row r="223" spans="1:13" s="423" customFormat="1" x14ac:dyDescent="0.25">
      <c r="A223" s="522"/>
      <c r="B223" s="523" t="s">
        <v>464</v>
      </c>
      <c r="C223" s="527">
        <f>(C91-(C91*C92^2/(C92+F219/1000)^2))/2</f>
        <v>6.8321716134430929E-6</v>
      </c>
      <c r="D223" s="354" t="s">
        <v>645</v>
      </c>
      <c r="E223" s="523"/>
      <c r="F223" s="523"/>
      <c r="G223" s="523"/>
      <c r="H223" s="523"/>
      <c r="I223" s="523"/>
      <c r="J223" s="523"/>
      <c r="K223" s="523"/>
      <c r="L223" s="523"/>
      <c r="M223" s="524"/>
    </row>
    <row r="224" spans="1:13" s="423" customFormat="1" x14ac:dyDescent="0.25">
      <c r="A224" s="522"/>
      <c r="B224" s="523"/>
      <c r="C224" s="527"/>
      <c r="D224" s="523"/>
      <c r="E224" s="523"/>
      <c r="F224" s="523"/>
      <c r="G224" s="523"/>
      <c r="H224" s="523"/>
      <c r="I224" s="523"/>
      <c r="J224" s="523"/>
      <c r="K224" s="523"/>
      <c r="L224" s="523"/>
      <c r="M224" s="524"/>
    </row>
    <row r="225" spans="1:13" s="423" customFormat="1" x14ac:dyDescent="0.25">
      <c r="A225" s="323" t="s">
        <v>499</v>
      </c>
      <c r="B225" s="523"/>
      <c r="C225" s="527"/>
      <c r="D225" s="523"/>
      <c r="E225" s="523"/>
      <c r="F225" s="523"/>
      <c r="G225" s="523"/>
      <c r="H225" s="523"/>
      <c r="I225" s="523"/>
      <c r="J225" s="523"/>
      <c r="K225" s="523"/>
      <c r="L225" s="523"/>
      <c r="M225" s="524"/>
    </row>
    <row r="226" spans="1:13" s="423" customFormat="1" x14ac:dyDescent="0.25">
      <c r="A226" s="522"/>
      <c r="B226" s="523"/>
      <c r="C226" s="527"/>
      <c r="D226" s="523"/>
      <c r="E226" s="523"/>
      <c r="F226" s="523"/>
      <c r="G226" s="523"/>
      <c r="H226" s="523"/>
      <c r="I226" s="523"/>
      <c r="J226" s="523"/>
      <c r="K226" s="523"/>
      <c r="L226" s="523"/>
      <c r="M226" s="524"/>
    </row>
    <row r="227" spans="1:13" s="423" customFormat="1" x14ac:dyDescent="0.25">
      <c r="A227" s="522"/>
      <c r="B227" s="523"/>
      <c r="C227" s="527"/>
      <c r="D227" s="523"/>
      <c r="E227" s="523"/>
      <c r="F227" s="523"/>
      <c r="G227" s="523"/>
      <c r="H227" s="523"/>
      <c r="I227" s="523"/>
      <c r="J227" s="523"/>
      <c r="K227" s="523"/>
      <c r="L227" s="523"/>
      <c r="M227" s="524"/>
    </row>
    <row r="228" spans="1:13" s="423" customFormat="1" x14ac:dyDescent="0.25">
      <c r="A228" s="522"/>
      <c r="B228" s="523"/>
      <c r="C228" s="527"/>
      <c r="D228" s="523"/>
      <c r="E228" s="523"/>
      <c r="F228" s="523"/>
      <c r="G228" s="523"/>
      <c r="H228" s="523"/>
      <c r="I228" s="523"/>
      <c r="J228" s="523"/>
      <c r="K228" s="523"/>
      <c r="L228" s="523"/>
      <c r="M228" s="524"/>
    </row>
    <row r="229" spans="1:13" s="423" customFormat="1" x14ac:dyDescent="0.25">
      <c r="A229" s="522"/>
      <c r="B229" s="523"/>
      <c r="C229" s="527"/>
      <c r="D229" s="523"/>
      <c r="E229" s="523"/>
      <c r="F229" s="523"/>
      <c r="G229" s="523"/>
      <c r="H229" s="523"/>
      <c r="I229" s="523"/>
      <c r="J229" s="523"/>
      <c r="K229" s="523"/>
      <c r="L229" s="523"/>
      <c r="M229" s="524"/>
    </row>
    <row r="230" spans="1:13" s="423" customFormat="1" ht="18" x14ac:dyDescent="0.25">
      <c r="A230" s="522"/>
      <c r="B230" s="523" t="s">
        <v>510</v>
      </c>
      <c r="C230" s="523">
        <v>1</v>
      </c>
      <c r="D230" s="324" t="s">
        <v>93</v>
      </c>
      <c r="E230" s="523"/>
      <c r="F230" s="523"/>
      <c r="G230" s="523"/>
      <c r="H230" s="523"/>
      <c r="I230" s="523"/>
      <c r="J230" s="523"/>
      <c r="K230" s="523"/>
      <c r="L230" s="523"/>
      <c r="M230" s="524"/>
    </row>
    <row r="231" spans="1:13" s="423" customFormat="1" ht="15.75" thickBot="1" x14ac:dyDescent="0.3">
      <c r="A231" s="552"/>
      <c r="B231" s="530"/>
      <c r="C231" s="554"/>
      <c r="D231" s="530"/>
      <c r="E231" s="530"/>
      <c r="F231" s="530"/>
      <c r="G231" s="530"/>
      <c r="H231" s="530"/>
      <c r="I231" s="530"/>
      <c r="J231" s="530"/>
      <c r="K231" s="530"/>
      <c r="L231" s="530"/>
      <c r="M231" s="531"/>
    </row>
    <row r="232" spans="1:13" ht="16.5" customHeight="1" x14ac:dyDescent="0.25">
      <c r="A232" s="1138"/>
      <c r="B232" s="1156"/>
      <c r="C232" s="1139"/>
      <c r="D232" s="1139"/>
      <c r="E232" s="1139"/>
      <c r="F232" s="1139"/>
      <c r="G232" s="1139"/>
      <c r="H232" s="1139"/>
      <c r="I232" s="1139"/>
      <c r="J232" s="1139"/>
      <c r="K232" s="1139"/>
      <c r="L232" s="1139"/>
      <c r="M232" s="1140"/>
    </row>
    <row r="233" spans="1:13" x14ac:dyDescent="0.25">
      <c r="A233" s="323" t="s">
        <v>1001</v>
      </c>
      <c r="B233" s="1146"/>
      <c r="C233" s="1142"/>
      <c r="D233" s="1142"/>
      <c r="E233" s="1142"/>
      <c r="F233" s="1142"/>
      <c r="G233" s="1142"/>
      <c r="H233" s="1142"/>
      <c r="I233" s="1142"/>
      <c r="J233" s="1142"/>
      <c r="K233" s="1142"/>
      <c r="L233" s="1142"/>
      <c r="M233" s="1144"/>
    </row>
    <row r="234" spans="1:13" x14ac:dyDescent="0.25">
      <c r="A234" s="1141"/>
      <c r="B234" s="1146"/>
      <c r="C234" s="1142"/>
      <c r="D234" s="1142"/>
      <c r="E234" s="1142"/>
      <c r="F234" s="1142"/>
      <c r="G234" s="1142"/>
      <c r="H234" s="1142"/>
      <c r="I234" s="1142"/>
      <c r="J234" s="1142"/>
      <c r="K234" s="1142"/>
      <c r="L234" s="1142"/>
      <c r="M234" s="1144"/>
    </row>
    <row r="235" spans="1:13" x14ac:dyDescent="0.25">
      <c r="A235" s="323" t="s">
        <v>502</v>
      </c>
      <c r="B235" s="1146"/>
      <c r="C235" s="1142"/>
      <c r="D235" s="1142"/>
      <c r="E235" s="1142"/>
      <c r="F235" s="1142"/>
      <c r="G235" s="1142"/>
      <c r="H235" s="1142"/>
      <c r="I235" s="1142"/>
      <c r="J235" s="1142"/>
      <c r="K235" s="1142"/>
      <c r="L235" s="1142"/>
      <c r="M235" s="1144"/>
    </row>
    <row r="236" spans="1:13" x14ac:dyDescent="0.25">
      <c r="A236" s="1141"/>
      <c r="B236" s="1146"/>
      <c r="C236" s="1142"/>
      <c r="D236" s="1142"/>
      <c r="E236" s="1142"/>
      <c r="F236" s="1142"/>
      <c r="G236" s="1142"/>
      <c r="H236" s="1142"/>
      <c r="I236" s="1142"/>
      <c r="J236" s="1142"/>
      <c r="K236" s="1142"/>
      <c r="L236" s="1142"/>
      <c r="M236" s="1144"/>
    </row>
    <row r="237" spans="1:13" x14ac:dyDescent="0.25">
      <c r="A237" s="1141"/>
      <c r="B237" s="1142" t="s">
        <v>464</v>
      </c>
      <c r="C237" s="1146" t="s">
        <v>455</v>
      </c>
      <c r="D237" s="1142"/>
      <c r="E237" s="1142"/>
      <c r="F237" s="1142"/>
      <c r="G237" s="1142"/>
      <c r="H237" s="1142"/>
      <c r="I237" s="1142"/>
      <c r="J237" s="1142"/>
      <c r="K237" s="1142"/>
      <c r="L237" s="1142"/>
      <c r="M237" s="1144"/>
    </row>
    <row r="238" spans="1:13" x14ac:dyDescent="0.25">
      <c r="A238" s="1141"/>
      <c r="B238" s="1142"/>
      <c r="C238" s="1146"/>
      <c r="D238" s="1142"/>
      <c r="E238" s="1142"/>
      <c r="F238" s="1142"/>
      <c r="G238" s="1142"/>
      <c r="H238" s="1142"/>
      <c r="I238" s="1142"/>
      <c r="J238" s="1142"/>
      <c r="K238" s="1142"/>
      <c r="L238" s="1142"/>
      <c r="M238" s="1144"/>
    </row>
    <row r="239" spans="1:13" x14ac:dyDescent="0.25">
      <c r="A239" s="1141"/>
      <c r="B239" s="1142" t="s">
        <v>464</v>
      </c>
      <c r="C239" s="1143">
        <v>0.13</v>
      </c>
      <c r="D239" s="1146" t="s">
        <v>369</v>
      </c>
      <c r="E239" s="1142"/>
      <c r="F239" s="1142"/>
      <c r="G239" s="1142"/>
      <c r="H239" s="1142"/>
      <c r="I239" s="1142"/>
      <c r="J239" s="1142"/>
      <c r="K239" s="1142"/>
      <c r="L239" s="1142"/>
      <c r="M239" s="1144"/>
    </row>
    <row r="240" spans="1:13" x14ac:dyDescent="0.25">
      <c r="A240" s="1141"/>
      <c r="B240" s="1142"/>
      <c r="C240" s="1143"/>
      <c r="D240" s="1142"/>
      <c r="E240" s="1142"/>
      <c r="F240" s="1142"/>
      <c r="G240" s="1142"/>
      <c r="H240" s="1142"/>
      <c r="I240" s="1142"/>
      <c r="J240" s="1142"/>
      <c r="K240" s="1142"/>
      <c r="L240" s="1142"/>
      <c r="M240" s="1144"/>
    </row>
    <row r="241" spans="1:13" x14ac:dyDescent="0.25">
      <c r="A241" s="323" t="s">
        <v>503</v>
      </c>
      <c r="B241" s="1142"/>
      <c r="C241" s="1143"/>
      <c r="D241" s="1142"/>
      <c r="E241" s="1142"/>
      <c r="F241" s="1142"/>
      <c r="G241" s="1142"/>
      <c r="H241" s="1142"/>
      <c r="I241" s="1142"/>
      <c r="J241" s="1142"/>
      <c r="K241" s="1142"/>
      <c r="L241" s="1142"/>
      <c r="M241" s="1144"/>
    </row>
    <row r="242" spans="1:13" x14ac:dyDescent="0.25">
      <c r="A242" s="1141"/>
      <c r="B242" s="1142"/>
      <c r="C242" s="1143"/>
      <c r="D242" s="1142"/>
      <c r="E242" s="1142"/>
      <c r="F242" s="1142"/>
      <c r="G242" s="1142"/>
      <c r="H242" s="1142"/>
      <c r="I242" s="1142"/>
      <c r="J242" s="1142"/>
      <c r="K242" s="1142"/>
      <c r="L242" s="1142"/>
      <c r="M242" s="1144"/>
    </row>
    <row r="243" spans="1:13" x14ac:dyDescent="0.25">
      <c r="A243" s="1141"/>
      <c r="B243" s="1142"/>
      <c r="C243" s="1143"/>
      <c r="D243" s="1142"/>
      <c r="E243" s="1142"/>
      <c r="F243" s="1142"/>
      <c r="G243" s="1142"/>
      <c r="H243" s="1142"/>
      <c r="I243" s="1142"/>
      <c r="J243" s="1142"/>
      <c r="K243" s="1142"/>
      <c r="L243" s="1142"/>
      <c r="M243" s="1144"/>
    </row>
    <row r="244" spans="1:13" x14ac:dyDescent="0.25">
      <c r="A244" s="1141"/>
      <c r="B244" s="1142"/>
      <c r="C244" s="1143"/>
      <c r="D244" s="1142"/>
      <c r="E244" s="1142"/>
      <c r="F244" s="1142"/>
      <c r="G244" s="1142"/>
      <c r="H244" s="1142"/>
      <c r="I244" s="1142"/>
      <c r="J244" s="1142"/>
      <c r="K244" s="1142"/>
      <c r="L244" s="1142"/>
      <c r="M244" s="1144"/>
    </row>
    <row r="245" spans="1:13" x14ac:dyDescent="0.25">
      <c r="A245" s="1141"/>
      <c r="B245" s="1142"/>
      <c r="C245" s="1146"/>
      <c r="D245" s="1142"/>
      <c r="E245" s="1142"/>
      <c r="F245" s="1142"/>
      <c r="G245" s="1142"/>
      <c r="H245" s="1142"/>
      <c r="I245" s="1142"/>
      <c r="J245" s="1142"/>
      <c r="K245" s="1142"/>
      <c r="L245" s="1142"/>
      <c r="M245" s="1144"/>
    </row>
    <row r="246" spans="1:13" ht="18" x14ac:dyDescent="0.25">
      <c r="A246" s="1141"/>
      <c r="B246" s="1155" t="s">
        <v>809</v>
      </c>
      <c r="C246" s="1143">
        <f>-(C83/C84^2)*((273.2+C88)*C85)/((273.2+C87)*C86)*C80*C81*C82*C90</f>
        <v>2.6750561686121773E-4</v>
      </c>
      <c r="D246" s="1142" t="s">
        <v>641</v>
      </c>
      <c r="E246" s="1142"/>
      <c r="F246" s="1142"/>
      <c r="G246" s="1142"/>
      <c r="H246" s="1142"/>
      <c r="I246" s="1142"/>
      <c r="J246" s="1142"/>
      <c r="K246" s="1142"/>
      <c r="L246" s="1142"/>
      <c r="M246" s="1144"/>
    </row>
    <row r="247" spans="1:13" ht="15.75" thickBot="1" x14ac:dyDescent="0.3">
      <c r="A247" s="1157"/>
      <c r="B247" s="1150"/>
      <c r="C247" s="1158"/>
      <c r="D247" s="1150"/>
      <c r="E247" s="1150"/>
      <c r="F247" s="1150"/>
      <c r="G247" s="1150"/>
      <c r="H247" s="1150"/>
      <c r="I247" s="1150"/>
      <c r="J247" s="1150"/>
      <c r="K247" s="1150"/>
      <c r="L247" s="1150"/>
      <c r="M247" s="1151"/>
    </row>
    <row r="248" spans="1:13" x14ac:dyDescent="0.25">
      <c r="A248" s="1159"/>
      <c r="B248" s="1139"/>
      <c r="C248" s="1156"/>
      <c r="D248" s="1139"/>
      <c r="E248" s="1139"/>
      <c r="F248" s="1139"/>
      <c r="G248" s="1139"/>
      <c r="H248" s="1139"/>
      <c r="I248" s="1139"/>
      <c r="J248" s="1139"/>
      <c r="K248" s="1139"/>
      <c r="L248" s="1139"/>
      <c r="M248" s="1140"/>
    </row>
    <row r="249" spans="1:13" x14ac:dyDescent="0.25">
      <c r="A249" s="323" t="s">
        <v>1002</v>
      </c>
      <c r="B249" s="1146"/>
      <c r="C249" s="1142"/>
      <c r="D249" s="1142"/>
      <c r="E249" s="1142"/>
      <c r="F249" s="1142"/>
      <c r="G249" s="1142"/>
      <c r="H249" s="1142"/>
      <c r="I249" s="1142"/>
      <c r="J249" s="1142"/>
      <c r="K249" s="1142"/>
      <c r="L249" s="1142"/>
      <c r="M249" s="1144"/>
    </row>
    <row r="250" spans="1:13" x14ac:dyDescent="0.25">
      <c r="A250" s="1141"/>
      <c r="B250" s="1146"/>
      <c r="C250" s="1142"/>
      <c r="D250" s="1142"/>
      <c r="E250" s="1142"/>
      <c r="F250" s="1142"/>
      <c r="G250" s="1142"/>
      <c r="H250" s="1142"/>
      <c r="I250" s="1142"/>
      <c r="J250" s="1142"/>
      <c r="K250" s="1142"/>
      <c r="L250" s="1142"/>
      <c r="M250" s="1144"/>
    </row>
    <row r="251" spans="1:13" x14ac:dyDescent="0.25">
      <c r="A251" s="323" t="s">
        <v>504</v>
      </c>
      <c r="B251" s="1146"/>
      <c r="C251" s="1142"/>
      <c r="D251" s="1142"/>
      <c r="E251" s="1142"/>
      <c r="F251" s="1142"/>
      <c r="G251" s="1142"/>
      <c r="H251" s="1142"/>
      <c r="I251" s="1142"/>
      <c r="J251" s="1142"/>
      <c r="K251" s="1142"/>
      <c r="L251" s="1142"/>
      <c r="M251" s="1144"/>
    </row>
    <row r="252" spans="1:13" x14ac:dyDescent="0.25">
      <c r="A252" s="1141"/>
      <c r="B252" s="1146"/>
      <c r="C252" s="1142"/>
      <c r="D252" s="1142"/>
      <c r="E252" s="1142"/>
      <c r="F252" s="1142"/>
      <c r="G252" s="1142"/>
      <c r="H252" s="1142"/>
      <c r="I252" s="1142"/>
      <c r="J252" s="1142"/>
      <c r="K252" s="1142"/>
      <c r="L252" s="1142"/>
      <c r="M252" s="1144"/>
    </row>
    <row r="253" spans="1:13" x14ac:dyDescent="0.25">
      <c r="A253" s="1141"/>
      <c r="B253" s="1146" t="s">
        <v>646</v>
      </c>
      <c r="C253" s="1142"/>
      <c r="D253" s="1142"/>
      <c r="E253" s="1142"/>
      <c r="F253" s="1142">
        <v>1E-3</v>
      </c>
      <c r="G253" s="1142" t="s">
        <v>369</v>
      </c>
      <c r="H253" s="1142"/>
      <c r="I253" s="1142"/>
      <c r="J253" s="1142"/>
      <c r="K253" s="1142"/>
      <c r="L253" s="1142"/>
      <c r="M253" s="1144"/>
    </row>
    <row r="254" spans="1:13" x14ac:dyDescent="0.25">
      <c r="A254" s="1141"/>
      <c r="B254" s="1146"/>
      <c r="C254" s="1142"/>
      <c r="D254" s="1142"/>
      <c r="E254" s="1142"/>
      <c r="F254" s="1142"/>
      <c r="G254" s="1142"/>
      <c r="H254" s="1142"/>
      <c r="I254" s="1142"/>
      <c r="J254" s="1142"/>
      <c r="K254" s="1142"/>
      <c r="L254" s="1142"/>
      <c r="M254" s="1144"/>
    </row>
    <row r="255" spans="1:13" x14ac:dyDescent="0.25">
      <c r="A255" s="1141"/>
      <c r="B255" s="1142" t="s">
        <v>464</v>
      </c>
      <c r="C255" s="1146" t="s">
        <v>399</v>
      </c>
      <c r="D255" s="1142"/>
      <c r="E255" s="1142"/>
      <c r="F255" s="1142"/>
      <c r="G255" s="1142"/>
      <c r="H255" s="1142"/>
      <c r="I255" s="1142"/>
      <c r="J255" s="1142"/>
      <c r="K255" s="1142"/>
      <c r="L255" s="1142"/>
      <c r="M255" s="1144"/>
    </row>
    <row r="256" spans="1:13" x14ac:dyDescent="0.25">
      <c r="A256" s="1141"/>
      <c r="B256" s="1146"/>
      <c r="C256" s="1142"/>
      <c r="D256" s="1142"/>
      <c r="E256" s="1142"/>
      <c r="F256" s="1142"/>
      <c r="G256" s="1142"/>
      <c r="H256" s="1142"/>
      <c r="I256" s="1142"/>
      <c r="J256" s="1142"/>
      <c r="K256" s="1142"/>
      <c r="L256" s="1142"/>
      <c r="M256" s="1144"/>
    </row>
    <row r="257" spans="1:13" x14ac:dyDescent="0.25">
      <c r="A257" s="1141"/>
      <c r="B257" s="1142" t="s">
        <v>464</v>
      </c>
      <c r="C257" s="1143">
        <f>F253/2</f>
        <v>5.0000000000000001E-4</v>
      </c>
      <c r="D257" s="1146" t="s">
        <v>369</v>
      </c>
      <c r="E257" s="1142"/>
      <c r="F257" s="1142"/>
      <c r="G257" s="1142"/>
      <c r="H257" s="1142"/>
      <c r="I257" s="1142"/>
      <c r="J257" s="1142"/>
      <c r="K257" s="1142"/>
      <c r="L257" s="1142"/>
      <c r="M257" s="1144"/>
    </row>
    <row r="258" spans="1:13" x14ac:dyDescent="0.25">
      <c r="A258" s="1141"/>
      <c r="B258" s="1142"/>
      <c r="C258" s="1143"/>
      <c r="D258" s="1142"/>
      <c r="E258" s="1142"/>
      <c r="F258" s="1142"/>
      <c r="G258" s="1142"/>
      <c r="H258" s="1142"/>
      <c r="I258" s="1142"/>
      <c r="J258" s="1142"/>
      <c r="K258" s="1142"/>
      <c r="L258" s="1142"/>
      <c r="M258" s="1144"/>
    </row>
    <row r="259" spans="1:13" x14ac:dyDescent="0.25">
      <c r="A259" s="323" t="s">
        <v>505</v>
      </c>
      <c r="B259" s="1142"/>
      <c r="C259" s="1143"/>
      <c r="D259" s="1142"/>
      <c r="E259" s="1142"/>
      <c r="F259" s="1142"/>
      <c r="G259" s="1142"/>
      <c r="H259" s="1142"/>
      <c r="I259" s="1142"/>
      <c r="J259" s="1142"/>
      <c r="K259" s="1142"/>
      <c r="L259" s="1142"/>
      <c r="M259" s="1144"/>
    </row>
    <row r="260" spans="1:13" x14ac:dyDescent="0.25">
      <c r="A260" s="1141"/>
      <c r="B260" s="1142"/>
      <c r="C260" s="1143"/>
      <c r="D260" s="1142"/>
      <c r="E260" s="1142"/>
      <c r="F260" s="1142"/>
      <c r="G260" s="1142"/>
      <c r="H260" s="1142"/>
      <c r="I260" s="1142"/>
      <c r="J260" s="1142"/>
      <c r="K260" s="1142"/>
      <c r="L260" s="1142"/>
      <c r="M260" s="1144"/>
    </row>
    <row r="261" spans="1:13" x14ac:dyDescent="0.25">
      <c r="A261" s="1141"/>
      <c r="B261" s="1142"/>
      <c r="C261" s="1143"/>
      <c r="D261" s="1142"/>
      <c r="E261" s="1142"/>
      <c r="F261" s="1142"/>
      <c r="G261" s="1142"/>
      <c r="H261" s="1142"/>
      <c r="I261" s="1142"/>
      <c r="J261" s="1142"/>
      <c r="K261" s="1142"/>
      <c r="L261" s="1142"/>
      <c r="M261" s="1144"/>
    </row>
    <row r="262" spans="1:13" x14ac:dyDescent="0.25">
      <c r="A262" s="1141"/>
      <c r="B262" s="1142"/>
      <c r="C262" s="1143"/>
      <c r="D262" s="1142"/>
      <c r="E262" s="1142"/>
      <c r="F262" s="1142"/>
      <c r="G262" s="1142"/>
      <c r="H262" s="1142"/>
      <c r="I262" s="1142"/>
      <c r="J262" s="1142"/>
      <c r="K262" s="1142"/>
      <c r="L262" s="1142"/>
      <c r="M262" s="1144"/>
    </row>
    <row r="263" spans="1:13" x14ac:dyDescent="0.25">
      <c r="A263" s="1141"/>
      <c r="B263" s="1142"/>
      <c r="C263" s="1143"/>
      <c r="D263" s="1142"/>
      <c r="E263" s="1142"/>
      <c r="F263" s="1142"/>
      <c r="G263" s="1142"/>
      <c r="H263" s="1142"/>
      <c r="I263" s="1142"/>
      <c r="J263" s="1142"/>
      <c r="K263" s="1142"/>
      <c r="L263" s="1142"/>
      <c r="M263" s="1144"/>
    </row>
    <row r="264" spans="1:13" ht="18" x14ac:dyDescent="0.25">
      <c r="A264" s="1141"/>
      <c r="B264" s="1142" t="s">
        <v>647</v>
      </c>
      <c r="C264" s="1143">
        <f>-(C83/C84^2)*((273.2+C88)*C85)/((273.2+C87)*C86)*C80*C81*C82*C90</f>
        <v>2.6750561686121773E-4</v>
      </c>
      <c r="D264" s="1142" t="s">
        <v>641</v>
      </c>
      <c r="E264" s="1142"/>
      <c r="F264" s="1142"/>
      <c r="G264" s="1142"/>
      <c r="H264" s="1142"/>
      <c r="I264" s="1142"/>
      <c r="J264" s="1142"/>
      <c r="K264" s="1142"/>
      <c r="L264" s="1142"/>
      <c r="M264" s="1144"/>
    </row>
    <row r="265" spans="1:13" ht="15.75" thickBot="1" x14ac:dyDescent="0.3">
      <c r="A265" s="1157"/>
      <c r="B265" s="1150"/>
      <c r="C265" s="1160"/>
      <c r="D265" s="1150"/>
      <c r="E265" s="1150"/>
      <c r="F265" s="1150"/>
      <c r="G265" s="1150"/>
      <c r="H265" s="1150"/>
      <c r="I265" s="1150"/>
      <c r="J265" s="1150"/>
      <c r="K265" s="1150"/>
      <c r="L265" s="1150"/>
      <c r="M265" s="1151"/>
    </row>
    <row r="266" spans="1:13" s="730" customFormat="1" x14ac:dyDescent="0.25">
      <c r="A266" s="747"/>
      <c r="B266" s="773"/>
      <c r="C266" s="748"/>
      <c r="D266" s="748"/>
      <c r="E266" s="748"/>
      <c r="F266" s="748"/>
      <c r="G266" s="748"/>
      <c r="H266" s="748"/>
      <c r="I266" s="748"/>
      <c r="J266" s="748"/>
      <c r="K266" s="748"/>
      <c r="L266" s="748"/>
      <c r="M266" s="749"/>
    </row>
    <row r="267" spans="1:13" s="730" customFormat="1" x14ac:dyDescent="0.25">
      <c r="A267" s="323" t="s">
        <v>1010</v>
      </c>
      <c r="B267" s="754"/>
      <c r="C267" s="751"/>
      <c r="D267" s="751"/>
      <c r="E267" s="751"/>
      <c r="F267" s="751"/>
      <c r="G267" s="751"/>
      <c r="H267" s="751"/>
      <c r="I267" s="751"/>
      <c r="J267" s="751"/>
      <c r="K267" s="751"/>
      <c r="L267" s="751"/>
      <c r="M267" s="752"/>
    </row>
    <row r="268" spans="1:13" s="730" customFormat="1" x14ac:dyDescent="0.25">
      <c r="A268" s="750"/>
      <c r="B268" s="754"/>
      <c r="C268" s="751"/>
      <c r="D268" s="751"/>
      <c r="E268" s="751"/>
      <c r="F268" s="751"/>
      <c r="G268" s="751"/>
      <c r="H268" s="751"/>
      <c r="I268" s="751"/>
      <c r="J268" s="751"/>
      <c r="K268" s="751"/>
      <c r="L268" s="751"/>
      <c r="M268" s="752"/>
    </row>
    <row r="269" spans="1:13" s="730" customFormat="1" x14ac:dyDescent="0.25">
      <c r="A269" s="323" t="s">
        <v>508</v>
      </c>
      <c r="B269" s="754"/>
      <c r="C269" s="751"/>
      <c r="D269" s="751"/>
      <c r="E269" s="751"/>
      <c r="F269" s="751"/>
      <c r="G269" s="751"/>
      <c r="H269" s="751"/>
      <c r="I269" s="751"/>
      <c r="J269" s="751"/>
      <c r="K269" s="751"/>
      <c r="L269" s="751"/>
      <c r="M269" s="752"/>
    </row>
    <row r="270" spans="1:13" s="730" customFormat="1" x14ac:dyDescent="0.25">
      <c r="A270" s="323"/>
      <c r="B270" s="754"/>
      <c r="C270" s="751"/>
      <c r="D270" s="751"/>
      <c r="E270" s="751"/>
      <c r="F270" s="751"/>
      <c r="G270" s="751"/>
      <c r="H270" s="751"/>
      <c r="I270" s="751"/>
      <c r="J270" s="751"/>
      <c r="K270" s="751"/>
      <c r="L270" s="751"/>
      <c r="M270" s="752"/>
    </row>
    <row r="271" spans="1:13" s="730" customFormat="1" x14ac:dyDescent="0.25">
      <c r="A271" s="323"/>
      <c r="B271" s="354" t="s">
        <v>1006</v>
      </c>
      <c r="C271" s="751"/>
      <c r="D271" s="751"/>
      <c r="E271" s="751"/>
      <c r="F271" s="1471">
        <v>9.9999999999999995E-8</v>
      </c>
      <c r="G271" s="354" t="s">
        <v>645</v>
      </c>
      <c r="H271" s="751"/>
      <c r="I271" s="751"/>
      <c r="J271" s="751"/>
      <c r="K271" s="751"/>
      <c r="L271" s="751"/>
      <c r="M271" s="752"/>
    </row>
    <row r="272" spans="1:13" s="730" customFormat="1" x14ac:dyDescent="0.25">
      <c r="A272" s="750"/>
      <c r="B272" s="754"/>
      <c r="C272" s="751"/>
      <c r="D272" s="751"/>
      <c r="E272" s="751"/>
      <c r="F272" s="751"/>
      <c r="G272" s="751"/>
      <c r="H272" s="751"/>
      <c r="I272" s="751"/>
      <c r="J272" s="751"/>
      <c r="K272" s="751"/>
      <c r="L272" s="751"/>
      <c r="M272" s="752"/>
    </row>
    <row r="273" spans="1:15" s="730" customFormat="1" x14ac:dyDescent="0.25">
      <c r="A273" s="750"/>
      <c r="B273" s="751" t="s">
        <v>464</v>
      </c>
      <c r="C273" s="754" t="s">
        <v>399</v>
      </c>
      <c r="D273" s="751"/>
      <c r="E273" s="751"/>
      <c r="F273" s="751"/>
      <c r="G273" s="751"/>
      <c r="H273" s="751"/>
      <c r="I273" s="751"/>
      <c r="J273" s="751"/>
      <c r="K273" s="751"/>
      <c r="L273" s="751"/>
      <c r="M273" s="752"/>
    </row>
    <row r="274" spans="1:15" s="730" customFormat="1" x14ac:dyDescent="0.25">
      <c r="A274" s="750"/>
      <c r="B274" s="751"/>
      <c r="C274" s="754"/>
      <c r="D274" s="751"/>
      <c r="E274" s="751"/>
      <c r="F274" s="751"/>
      <c r="G274" s="751"/>
      <c r="H274" s="751"/>
      <c r="I274" s="751"/>
      <c r="J274" s="751"/>
      <c r="K274" s="751"/>
      <c r="L274" s="751"/>
      <c r="M274" s="752"/>
    </row>
    <row r="275" spans="1:15" s="730" customFormat="1" x14ac:dyDescent="0.25">
      <c r="A275" s="750"/>
      <c r="B275" s="324" t="s">
        <v>464</v>
      </c>
      <c r="C275" s="754">
        <f>F271/2</f>
        <v>4.9999999999999998E-8</v>
      </c>
      <c r="D275" s="324" t="s">
        <v>645</v>
      </c>
      <c r="E275" s="751"/>
      <c r="F275" s="751"/>
      <c r="G275" s="751"/>
      <c r="H275" s="751"/>
      <c r="I275" s="751"/>
      <c r="J275" s="751"/>
      <c r="K275" s="751"/>
      <c r="L275" s="751"/>
      <c r="M275" s="752"/>
    </row>
    <row r="276" spans="1:15" s="730" customFormat="1" x14ac:dyDescent="0.25">
      <c r="A276" s="750"/>
      <c r="B276" s="754"/>
      <c r="C276" s="751"/>
      <c r="D276" s="751"/>
      <c r="E276" s="751"/>
      <c r="F276" s="751"/>
      <c r="G276" s="751"/>
      <c r="H276" s="751"/>
      <c r="I276" s="751"/>
      <c r="J276" s="751"/>
      <c r="K276" s="751"/>
      <c r="L276" s="751"/>
      <c r="M276" s="752"/>
    </row>
    <row r="277" spans="1:15" s="730" customFormat="1" x14ac:dyDescent="0.25">
      <c r="A277" s="323" t="s">
        <v>509</v>
      </c>
      <c r="B277" s="751"/>
      <c r="C277" s="755"/>
      <c r="D277" s="754"/>
      <c r="E277" s="751"/>
      <c r="F277" s="751"/>
      <c r="G277" s="751"/>
      <c r="H277" s="751"/>
      <c r="I277" s="751"/>
      <c r="J277" s="751"/>
      <c r="K277" s="751"/>
      <c r="L277" s="751"/>
      <c r="M277" s="752"/>
    </row>
    <row r="278" spans="1:15" s="730" customFormat="1" x14ac:dyDescent="0.25">
      <c r="A278" s="750"/>
      <c r="B278" s="751"/>
      <c r="C278" s="755"/>
      <c r="D278" s="754"/>
      <c r="E278" s="751"/>
      <c r="F278" s="751"/>
      <c r="G278" s="751"/>
      <c r="H278" s="751"/>
      <c r="I278" s="751"/>
      <c r="J278" s="751"/>
      <c r="K278" s="751"/>
      <c r="L278" s="751"/>
      <c r="M278" s="752"/>
    </row>
    <row r="279" spans="1:15" s="730" customFormat="1" x14ac:dyDescent="0.25">
      <c r="A279" s="750"/>
      <c r="B279" s="754"/>
      <c r="C279" s="755"/>
      <c r="D279" s="754"/>
      <c r="E279" s="751"/>
      <c r="F279" s="751"/>
      <c r="G279" s="751"/>
      <c r="H279" s="751"/>
      <c r="I279" s="751"/>
      <c r="J279" s="751"/>
      <c r="K279" s="751"/>
      <c r="L279" s="751"/>
      <c r="M279" s="752"/>
    </row>
    <row r="280" spans="1:15" s="730" customFormat="1" x14ac:dyDescent="0.25">
      <c r="A280" s="750"/>
      <c r="B280" s="751"/>
      <c r="C280" s="755"/>
      <c r="D280" s="754"/>
      <c r="E280" s="751"/>
      <c r="F280" s="751"/>
      <c r="G280" s="751"/>
      <c r="H280" s="751"/>
      <c r="I280" s="751"/>
      <c r="J280" s="751"/>
      <c r="K280" s="751"/>
      <c r="L280" s="751"/>
      <c r="M280" s="752"/>
    </row>
    <row r="281" spans="1:15" s="730" customFormat="1" x14ac:dyDescent="0.25">
      <c r="A281" s="750"/>
      <c r="B281" s="751"/>
      <c r="C281" s="755"/>
      <c r="D281" s="754"/>
      <c r="E281" s="751"/>
      <c r="F281" s="751"/>
      <c r="G281" s="751"/>
      <c r="H281" s="751"/>
      <c r="I281" s="751"/>
      <c r="J281" s="751"/>
      <c r="K281" s="751"/>
      <c r="L281" s="751"/>
      <c r="M281" s="752"/>
    </row>
    <row r="282" spans="1:15" s="730" customFormat="1" ht="18" x14ac:dyDescent="0.25">
      <c r="A282" s="750"/>
      <c r="B282" s="329" t="s">
        <v>1007</v>
      </c>
      <c r="C282" s="885">
        <v>1</v>
      </c>
      <c r="D282" s="354" t="s">
        <v>93</v>
      </c>
      <c r="E282" s="751"/>
      <c r="F282" s="751"/>
      <c r="G282" s="751"/>
      <c r="H282" s="751"/>
      <c r="I282" s="751"/>
      <c r="J282" s="751"/>
      <c r="K282" s="751"/>
      <c r="L282" s="751"/>
      <c r="M282" s="752"/>
    </row>
    <row r="283" spans="1:15" s="730" customFormat="1" ht="15.75" thickBot="1" x14ac:dyDescent="0.3">
      <c r="A283" s="756"/>
      <c r="B283" s="757"/>
      <c r="C283" s="757"/>
      <c r="D283" s="757"/>
      <c r="E283" s="757"/>
      <c r="F283" s="757"/>
      <c r="G283" s="757"/>
      <c r="H283" s="757"/>
      <c r="I283" s="757"/>
      <c r="J283" s="757"/>
      <c r="K283" s="757"/>
      <c r="L283" s="757"/>
      <c r="M283" s="758"/>
    </row>
    <row r="284" spans="1:15" x14ac:dyDescent="0.25">
      <c r="N284" s="730"/>
      <c r="O284" s="730"/>
    </row>
  </sheetData>
  <sheetProtection password="D8A8"/>
  <mergeCells count="19">
    <mergeCell ref="B25:F25"/>
    <mergeCell ref="B26:F26"/>
    <mergeCell ref="B27:F27"/>
    <mergeCell ref="B28:F28"/>
    <mergeCell ref="A101:M101"/>
    <mergeCell ref="B24:F24"/>
    <mergeCell ref="D1:Q4"/>
    <mergeCell ref="A7:S7"/>
    <mergeCell ref="M17:N17"/>
    <mergeCell ref="O17:P17"/>
    <mergeCell ref="Q17:Q18"/>
    <mergeCell ref="R17:R18"/>
    <mergeCell ref="S17:S18"/>
    <mergeCell ref="B18:F18"/>
    <mergeCell ref="B19:F19"/>
    <mergeCell ref="B20:F20"/>
    <mergeCell ref="B21:F21"/>
    <mergeCell ref="B22:F22"/>
    <mergeCell ref="B23:F23"/>
  </mergeCells>
  <dataValidations count="1">
    <dataValidation type="list" allowBlank="1" showInputMessage="1" showErrorMessage="1" sqref="O31" xr:uid="{00000000-0002-0000-0E00-000000000000}">
      <formula1>#REF!</formula1>
    </dataValidation>
  </dataValidations>
  <pageMargins left="0.7" right="0.7" top="0.75" bottom="0.75" header="0.3" footer="0.3"/>
  <pageSetup paperSize="9" scale="37" fitToHeight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1000000}">
          <x14:formula1>
            <xm:f>'Datos varios'!$B$43:$B$44</xm:f>
          </x14:formula1>
          <xm:sqref>H19:H29</xm:sqref>
        </x14:dataValidation>
        <x14:dataValidation type="list" allowBlank="1" showInputMessage="1" showErrorMessage="1" xr:uid="{00000000-0002-0000-0E00-000002000000}">
          <x14:formula1>
            <xm:f>'Datos varios'!$B$19:$B$32</xm:f>
          </x14:formula1>
          <xm:sqref>J19:J29</xm:sqref>
        </x14:dataValidation>
        <x14:dataValidation type="list" allowBlank="1" showInputMessage="1" showErrorMessage="1" xr:uid="{00000000-0002-0000-0E00-000003000000}">
          <x14:formula1>
            <xm:f>'Datos varios'!$B$35:$B$40</xm:f>
          </x14:formula1>
          <xm:sqref>K19:K29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EJ302"/>
  <sheetViews>
    <sheetView topLeftCell="A73" workbookViewId="0">
      <selection activeCell="C90" sqref="C90"/>
    </sheetView>
  </sheetViews>
  <sheetFormatPr baseColWidth="10" defaultColWidth="11.42578125" defaultRowHeight="15" x14ac:dyDescent="0.25"/>
  <cols>
    <col min="1" max="2" width="11.42578125" style="1045"/>
    <col min="3" max="6" width="12.7109375" style="1045" bestFit="1" customWidth="1"/>
    <col min="7" max="9" width="12" style="1045" bestFit="1" customWidth="1"/>
    <col min="10" max="10" width="11.42578125" style="1045"/>
    <col min="11" max="13" width="12.7109375" style="1045" bestFit="1" customWidth="1"/>
    <col min="14" max="15" width="14.28515625" style="1045" customWidth="1"/>
    <col min="16" max="16" width="11.42578125" style="1045"/>
    <col min="17" max="17" width="12.140625" style="1045" customWidth="1"/>
    <col min="18" max="18" width="11.42578125" style="1045"/>
    <col min="19" max="19" width="12.140625" style="1045" customWidth="1"/>
    <col min="20" max="23" width="11.42578125" style="1045"/>
    <col min="24" max="24" width="12.85546875" style="1045" customWidth="1"/>
    <col min="25" max="25" width="13.85546875" style="1045" customWidth="1"/>
    <col min="26" max="34" width="11.42578125" style="1045"/>
    <col min="35" max="35" width="14" style="1045" customWidth="1"/>
    <col min="36" max="36" width="13.42578125" style="1045" customWidth="1"/>
    <col min="37" max="45" width="11.42578125" style="1045"/>
    <col min="46" max="46" width="13.42578125" style="1045" customWidth="1"/>
    <col min="47" max="47" width="14.140625" style="1045" customWidth="1"/>
    <col min="48" max="56" width="11.42578125" style="1045"/>
    <col min="57" max="57" width="13.42578125" style="1045" customWidth="1"/>
    <col min="58" max="58" width="13.7109375" style="1045" customWidth="1"/>
    <col min="59" max="67" width="11.42578125" style="1045"/>
    <col min="68" max="68" width="15.140625" style="1045" customWidth="1"/>
    <col min="69" max="69" width="12.140625" style="1045" customWidth="1"/>
    <col min="70" max="78" width="11.42578125" style="1045"/>
    <col min="79" max="79" width="13" style="1045" customWidth="1"/>
    <col min="80" max="80" width="13.85546875" style="1045" customWidth="1"/>
    <col min="81" max="89" width="11.42578125" style="1045"/>
    <col min="90" max="90" width="13.140625" style="1045" customWidth="1"/>
    <col min="91" max="91" width="14.28515625" style="1045" customWidth="1"/>
    <col min="92" max="100" width="11.42578125" style="1045"/>
    <col min="101" max="101" width="13.140625" style="1045" customWidth="1"/>
    <col min="102" max="102" width="14.28515625" style="1045" customWidth="1"/>
    <col min="103" max="111" width="11.42578125" style="1045"/>
    <col min="112" max="112" width="13.5703125" style="1045" customWidth="1"/>
    <col min="113" max="113" width="13.42578125" style="1045" customWidth="1"/>
    <col min="114" max="122" width="11.42578125" style="1045"/>
    <col min="123" max="123" width="13.7109375" style="1045" customWidth="1"/>
    <col min="124" max="124" width="13.85546875" style="1045" customWidth="1"/>
    <col min="125" max="133" width="11.42578125" style="1045"/>
    <col min="134" max="134" width="13.140625" style="1045" customWidth="1"/>
    <col min="135" max="135" width="13.5703125" style="1045" customWidth="1"/>
    <col min="136" max="16384" width="11.42578125" style="1045"/>
  </cols>
  <sheetData>
    <row r="1" spans="1:140" ht="15" customHeight="1" x14ac:dyDescent="0.25">
      <c r="A1" s="1040"/>
      <c r="B1" s="1041"/>
      <c r="C1" s="1042"/>
      <c r="D1" s="2605" t="s">
        <v>555</v>
      </c>
      <c r="E1" s="2606"/>
      <c r="F1" s="2606"/>
      <c r="G1" s="2606"/>
      <c r="H1" s="2606"/>
      <c r="I1" s="2606"/>
      <c r="J1" s="2606"/>
      <c r="K1" s="2606"/>
      <c r="L1" s="2606"/>
      <c r="M1" s="2606"/>
      <c r="N1" s="2606"/>
      <c r="O1" s="2606"/>
      <c r="P1" s="2606"/>
      <c r="Q1" s="2607"/>
      <c r="R1" s="1043" t="s">
        <v>68</v>
      </c>
      <c r="S1" s="1044" t="s">
        <v>556</v>
      </c>
    </row>
    <row r="2" spans="1:140" ht="15" customHeight="1" x14ac:dyDescent="0.25">
      <c r="A2" s="1046"/>
      <c r="C2" s="1047"/>
      <c r="D2" s="2608"/>
      <c r="E2" s="2609"/>
      <c r="F2" s="2609"/>
      <c r="G2" s="2609"/>
      <c r="H2" s="2609"/>
      <c r="I2" s="2609"/>
      <c r="J2" s="2609"/>
      <c r="K2" s="2609"/>
      <c r="L2" s="2609"/>
      <c r="M2" s="2609"/>
      <c r="N2" s="2609"/>
      <c r="O2" s="2609"/>
      <c r="P2" s="2609"/>
      <c r="Q2" s="2610"/>
      <c r="R2" s="1048" t="s">
        <v>69</v>
      </c>
      <c r="S2" s="1866" t="s">
        <v>1231</v>
      </c>
    </row>
    <row r="3" spans="1:140" ht="15" customHeight="1" x14ac:dyDescent="0.25">
      <c r="A3" s="1046"/>
      <c r="C3" s="1047"/>
      <c r="D3" s="2608"/>
      <c r="E3" s="2609"/>
      <c r="F3" s="2609"/>
      <c r="G3" s="2609"/>
      <c r="H3" s="2609"/>
      <c r="I3" s="2609"/>
      <c r="J3" s="2609"/>
      <c r="K3" s="2609"/>
      <c r="L3" s="2609"/>
      <c r="M3" s="2609"/>
      <c r="N3" s="2609"/>
      <c r="O3" s="2609"/>
      <c r="P3" s="2609"/>
      <c r="Q3" s="2610"/>
      <c r="R3" s="1048" t="s">
        <v>70</v>
      </c>
      <c r="S3" s="1049" t="s">
        <v>72</v>
      </c>
    </row>
    <row r="4" spans="1:140" ht="15" customHeight="1" x14ac:dyDescent="0.25">
      <c r="A4" s="1050"/>
      <c r="B4" s="1051"/>
      <c r="C4" s="1052"/>
      <c r="D4" s="2611"/>
      <c r="E4" s="2612"/>
      <c r="F4" s="2612"/>
      <c r="G4" s="2612"/>
      <c r="H4" s="2612"/>
      <c r="I4" s="2612"/>
      <c r="J4" s="2612"/>
      <c r="K4" s="2612"/>
      <c r="L4" s="2612"/>
      <c r="M4" s="2612"/>
      <c r="N4" s="2612"/>
      <c r="O4" s="2612"/>
      <c r="P4" s="2612"/>
      <c r="Q4" s="2613"/>
      <c r="R4" s="1053" t="s">
        <v>71</v>
      </c>
      <c r="S4" s="1054" t="s">
        <v>73</v>
      </c>
    </row>
    <row r="5" spans="1:140" s="1055" customFormat="1" x14ac:dyDescent="0.25"/>
    <row r="7" spans="1:140" ht="18.75" x14ac:dyDescent="0.25">
      <c r="A7" s="2422" t="s">
        <v>1143</v>
      </c>
      <c r="B7" s="2614"/>
      <c r="C7" s="2614"/>
      <c r="D7" s="2614"/>
      <c r="E7" s="2614"/>
      <c r="F7" s="2614"/>
      <c r="G7" s="2614"/>
      <c r="H7" s="2614"/>
      <c r="I7" s="2614"/>
      <c r="J7" s="2614"/>
      <c r="K7" s="2614"/>
      <c r="L7" s="2614"/>
      <c r="M7" s="2614"/>
      <c r="N7" s="2614"/>
      <c r="O7" s="2614"/>
      <c r="P7" s="2614"/>
      <c r="Q7" s="2614"/>
      <c r="R7" s="2614"/>
      <c r="S7" s="2614"/>
    </row>
    <row r="9" spans="1:140" x14ac:dyDescent="0.25">
      <c r="A9" s="1056" t="s">
        <v>545</v>
      </c>
    </row>
    <row r="11" spans="1:140" x14ac:dyDescent="0.25">
      <c r="A11" s="1057" t="s">
        <v>350</v>
      </c>
      <c r="B11" s="1045" t="s">
        <v>353</v>
      </c>
    </row>
    <row r="12" spans="1:140" x14ac:dyDescent="0.25">
      <c r="A12" s="1057" t="s">
        <v>351</v>
      </c>
      <c r="B12" s="1045" t="s">
        <v>354</v>
      </c>
    </row>
    <row r="13" spans="1:140" x14ac:dyDescent="0.25">
      <c r="A13" s="1057" t="s">
        <v>352</v>
      </c>
      <c r="B13" s="1058" t="s">
        <v>355</v>
      </c>
    </row>
    <row r="14" spans="1:140" x14ac:dyDescent="0.25">
      <c r="A14" s="1057" t="s">
        <v>547</v>
      </c>
      <c r="B14" s="1058" t="s">
        <v>548</v>
      </c>
    </row>
    <row r="15" spans="1:140" ht="15.75" thickBot="1" x14ac:dyDescent="0.3"/>
    <row r="16" spans="1:140" ht="15.75" thickBot="1" x14ac:dyDescent="0.3">
      <c r="I16" s="2414" t="s">
        <v>693</v>
      </c>
      <c r="J16" s="2597"/>
      <c r="K16" s="2597"/>
      <c r="L16" s="2597"/>
      <c r="M16" s="2597"/>
      <c r="N16" s="2597"/>
      <c r="O16" s="2597"/>
      <c r="P16" s="2597"/>
      <c r="Q16" s="2597"/>
      <c r="R16" s="2597"/>
      <c r="S16" s="2598"/>
      <c r="T16" s="2414" t="s">
        <v>694</v>
      </c>
      <c r="U16" s="2597"/>
      <c r="V16" s="2597"/>
      <c r="W16" s="2597"/>
      <c r="X16" s="2597"/>
      <c r="Y16" s="2597"/>
      <c r="Z16" s="2597"/>
      <c r="AA16" s="2597"/>
      <c r="AB16" s="2597"/>
      <c r="AC16" s="2597"/>
      <c r="AD16" s="2598"/>
      <c r="AE16" s="2414" t="s">
        <v>695</v>
      </c>
      <c r="AF16" s="2597"/>
      <c r="AG16" s="2597"/>
      <c r="AH16" s="2597"/>
      <c r="AI16" s="2597"/>
      <c r="AJ16" s="2597"/>
      <c r="AK16" s="2597"/>
      <c r="AL16" s="2597"/>
      <c r="AM16" s="2597"/>
      <c r="AN16" s="2597"/>
      <c r="AO16" s="2598"/>
      <c r="AP16" s="2414" t="s">
        <v>696</v>
      </c>
      <c r="AQ16" s="2597"/>
      <c r="AR16" s="2597"/>
      <c r="AS16" s="2597"/>
      <c r="AT16" s="2597"/>
      <c r="AU16" s="2597"/>
      <c r="AV16" s="2597"/>
      <c r="AW16" s="2597"/>
      <c r="AX16" s="2597"/>
      <c r="AY16" s="2597"/>
      <c r="AZ16" s="2598"/>
      <c r="BA16" s="2414" t="s">
        <v>697</v>
      </c>
      <c r="BB16" s="2597"/>
      <c r="BC16" s="2597"/>
      <c r="BD16" s="2597"/>
      <c r="BE16" s="2597"/>
      <c r="BF16" s="2597"/>
      <c r="BG16" s="2597"/>
      <c r="BH16" s="2597"/>
      <c r="BI16" s="2597"/>
      <c r="BJ16" s="2597"/>
      <c r="BK16" s="2598"/>
      <c r="BL16" s="2414" t="s">
        <v>698</v>
      </c>
      <c r="BM16" s="2597"/>
      <c r="BN16" s="2597"/>
      <c r="BO16" s="2597"/>
      <c r="BP16" s="2597"/>
      <c r="BQ16" s="2597"/>
      <c r="BR16" s="2597"/>
      <c r="BS16" s="2597"/>
      <c r="BT16" s="2597"/>
      <c r="BU16" s="2597"/>
      <c r="BV16" s="2598"/>
      <c r="BW16" s="2414" t="s">
        <v>699</v>
      </c>
      <c r="BX16" s="2597"/>
      <c r="BY16" s="2597"/>
      <c r="BZ16" s="2597"/>
      <c r="CA16" s="2597"/>
      <c r="CB16" s="2597"/>
      <c r="CC16" s="2597"/>
      <c r="CD16" s="2597"/>
      <c r="CE16" s="2597"/>
      <c r="CF16" s="2597"/>
      <c r="CG16" s="2598"/>
      <c r="CH16" s="2414" t="s">
        <v>700</v>
      </c>
      <c r="CI16" s="2597"/>
      <c r="CJ16" s="2597"/>
      <c r="CK16" s="2597"/>
      <c r="CL16" s="2597"/>
      <c r="CM16" s="2597"/>
      <c r="CN16" s="2597"/>
      <c r="CO16" s="2597"/>
      <c r="CP16" s="2597"/>
      <c r="CQ16" s="2597"/>
      <c r="CR16" s="2598"/>
      <c r="CS16" s="2414" t="s">
        <v>704</v>
      </c>
      <c r="CT16" s="2597"/>
      <c r="CU16" s="2597"/>
      <c r="CV16" s="2597"/>
      <c r="CW16" s="2597"/>
      <c r="CX16" s="2597"/>
      <c r="CY16" s="2597"/>
      <c r="CZ16" s="2597"/>
      <c r="DA16" s="2597"/>
      <c r="DB16" s="2597"/>
      <c r="DC16" s="2598"/>
      <c r="DD16" s="2414" t="s">
        <v>847</v>
      </c>
      <c r="DE16" s="2597"/>
      <c r="DF16" s="2597"/>
      <c r="DG16" s="2597"/>
      <c r="DH16" s="2597"/>
      <c r="DI16" s="2597"/>
      <c r="DJ16" s="2597"/>
      <c r="DK16" s="2597"/>
      <c r="DL16" s="2597"/>
      <c r="DM16" s="2597"/>
      <c r="DN16" s="2598"/>
      <c r="DO16" s="2414" t="s">
        <v>848</v>
      </c>
      <c r="DP16" s="2597"/>
      <c r="DQ16" s="2597"/>
      <c r="DR16" s="2597"/>
      <c r="DS16" s="2597"/>
      <c r="DT16" s="2597"/>
      <c r="DU16" s="2597"/>
      <c r="DV16" s="2597"/>
      <c r="DW16" s="2597"/>
      <c r="DX16" s="2597"/>
      <c r="DY16" s="2598"/>
      <c r="DZ16" s="2414" t="s">
        <v>849</v>
      </c>
      <c r="EA16" s="2597"/>
      <c r="EB16" s="2597"/>
      <c r="EC16" s="2597"/>
      <c r="ED16" s="2597"/>
      <c r="EE16" s="2597"/>
      <c r="EF16" s="2597"/>
      <c r="EG16" s="2597"/>
      <c r="EH16" s="2597"/>
      <c r="EI16" s="2597"/>
      <c r="EJ16" s="2598"/>
    </row>
    <row r="17" spans="1:140" ht="15.75" thickBot="1" x14ac:dyDescent="0.3">
      <c r="A17" s="2700" t="s">
        <v>542</v>
      </c>
      <c r="B17" s="2702" t="s">
        <v>524</v>
      </c>
      <c r="C17" s="2703"/>
      <c r="D17" s="2703"/>
      <c r="E17" s="2703"/>
      <c r="F17" s="2704"/>
      <c r="G17" s="2700" t="s">
        <v>525</v>
      </c>
      <c r="H17" s="2618" t="s">
        <v>560</v>
      </c>
      <c r="I17" s="2618" t="s">
        <v>526</v>
      </c>
      <c r="J17" s="2700" t="s">
        <v>117</v>
      </c>
      <c r="K17" s="2618" t="s">
        <v>347</v>
      </c>
      <c r="L17" s="2618" t="s">
        <v>546</v>
      </c>
      <c r="M17" s="2615" t="s">
        <v>348</v>
      </c>
      <c r="N17" s="2616"/>
      <c r="O17" s="2615" t="s">
        <v>458</v>
      </c>
      <c r="P17" s="2617"/>
      <c r="Q17" s="2618" t="s">
        <v>557</v>
      </c>
      <c r="R17" s="2620" t="s">
        <v>558</v>
      </c>
      <c r="S17" s="2618" t="s">
        <v>559</v>
      </c>
      <c r="T17" s="2618" t="s">
        <v>526</v>
      </c>
      <c r="U17" s="2700" t="s">
        <v>117</v>
      </c>
      <c r="V17" s="2618" t="s">
        <v>347</v>
      </c>
      <c r="W17" s="2618" t="s">
        <v>546</v>
      </c>
      <c r="X17" s="2615" t="s">
        <v>348</v>
      </c>
      <c r="Y17" s="2616"/>
      <c r="Z17" s="2615" t="s">
        <v>458</v>
      </c>
      <c r="AA17" s="2617"/>
      <c r="AB17" s="2618" t="s">
        <v>557</v>
      </c>
      <c r="AC17" s="2620" t="s">
        <v>558</v>
      </c>
      <c r="AD17" s="2618" t="s">
        <v>559</v>
      </c>
      <c r="AE17" s="2618" t="s">
        <v>526</v>
      </c>
      <c r="AF17" s="2700" t="s">
        <v>117</v>
      </c>
      <c r="AG17" s="2618" t="s">
        <v>347</v>
      </c>
      <c r="AH17" s="2618" t="s">
        <v>546</v>
      </c>
      <c r="AI17" s="2615" t="s">
        <v>348</v>
      </c>
      <c r="AJ17" s="2616"/>
      <c r="AK17" s="2615" t="s">
        <v>458</v>
      </c>
      <c r="AL17" s="2617"/>
      <c r="AM17" s="2618" t="s">
        <v>557</v>
      </c>
      <c r="AN17" s="2620" t="s">
        <v>558</v>
      </c>
      <c r="AO17" s="2618" t="s">
        <v>559</v>
      </c>
      <c r="AP17" s="2618" t="s">
        <v>526</v>
      </c>
      <c r="AQ17" s="2700" t="s">
        <v>117</v>
      </c>
      <c r="AR17" s="2618" t="s">
        <v>347</v>
      </c>
      <c r="AS17" s="2618" t="s">
        <v>546</v>
      </c>
      <c r="AT17" s="2615" t="s">
        <v>348</v>
      </c>
      <c r="AU17" s="2616"/>
      <c r="AV17" s="2615" t="s">
        <v>458</v>
      </c>
      <c r="AW17" s="2617"/>
      <c r="AX17" s="2618" t="s">
        <v>557</v>
      </c>
      <c r="AY17" s="2620" t="s">
        <v>558</v>
      </c>
      <c r="AZ17" s="2618" t="s">
        <v>559</v>
      </c>
      <c r="BA17" s="2618" t="s">
        <v>526</v>
      </c>
      <c r="BB17" s="2700" t="s">
        <v>117</v>
      </c>
      <c r="BC17" s="2618" t="s">
        <v>347</v>
      </c>
      <c r="BD17" s="2618" t="s">
        <v>546</v>
      </c>
      <c r="BE17" s="2615" t="s">
        <v>348</v>
      </c>
      <c r="BF17" s="2616"/>
      <c r="BG17" s="2615" t="s">
        <v>458</v>
      </c>
      <c r="BH17" s="2617"/>
      <c r="BI17" s="2618" t="s">
        <v>557</v>
      </c>
      <c r="BJ17" s="2620" t="s">
        <v>558</v>
      </c>
      <c r="BK17" s="2618" t="s">
        <v>559</v>
      </c>
      <c r="BL17" s="2618" t="s">
        <v>526</v>
      </c>
      <c r="BM17" s="2700" t="s">
        <v>117</v>
      </c>
      <c r="BN17" s="2618" t="s">
        <v>347</v>
      </c>
      <c r="BO17" s="2618" t="s">
        <v>546</v>
      </c>
      <c r="BP17" s="2615" t="s">
        <v>348</v>
      </c>
      <c r="BQ17" s="2616"/>
      <c r="BR17" s="2615" t="s">
        <v>458</v>
      </c>
      <c r="BS17" s="2617"/>
      <c r="BT17" s="2618" t="s">
        <v>557</v>
      </c>
      <c r="BU17" s="2620" t="s">
        <v>558</v>
      </c>
      <c r="BV17" s="2618" t="s">
        <v>559</v>
      </c>
      <c r="BW17" s="2618" t="s">
        <v>526</v>
      </c>
      <c r="BX17" s="2700" t="s">
        <v>117</v>
      </c>
      <c r="BY17" s="2618" t="s">
        <v>347</v>
      </c>
      <c r="BZ17" s="2618" t="s">
        <v>546</v>
      </c>
      <c r="CA17" s="2615" t="s">
        <v>348</v>
      </c>
      <c r="CB17" s="2616"/>
      <c r="CC17" s="2615" t="s">
        <v>458</v>
      </c>
      <c r="CD17" s="2617"/>
      <c r="CE17" s="2618" t="s">
        <v>557</v>
      </c>
      <c r="CF17" s="2620" t="s">
        <v>558</v>
      </c>
      <c r="CG17" s="2618" t="s">
        <v>559</v>
      </c>
      <c r="CH17" s="2618" t="s">
        <v>526</v>
      </c>
      <c r="CI17" s="2700" t="s">
        <v>117</v>
      </c>
      <c r="CJ17" s="2618" t="s">
        <v>347</v>
      </c>
      <c r="CK17" s="2618" t="s">
        <v>546</v>
      </c>
      <c r="CL17" s="2615" t="s">
        <v>348</v>
      </c>
      <c r="CM17" s="2616"/>
      <c r="CN17" s="2615" t="s">
        <v>458</v>
      </c>
      <c r="CO17" s="2617"/>
      <c r="CP17" s="2618" t="s">
        <v>557</v>
      </c>
      <c r="CQ17" s="2620" t="s">
        <v>558</v>
      </c>
      <c r="CR17" s="2618" t="s">
        <v>559</v>
      </c>
      <c r="CS17" s="2618" t="s">
        <v>526</v>
      </c>
      <c r="CT17" s="2700" t="s">
        <v>117</v>
      </c>
      <c r="CU17" s="2618" t="s">
        <v>347</v>
      </c>
      <c r="CV17" s="2618" t="s">
        <v>546</v>
      </c>
      <c r="CW17" s="2615" t="s">
        <v>348</v>
      </c>
      <c r="CX17" s="2616"/>
      <c r="CY17" s="2615" t="s">
        <v>458</v>
      </c>
      <c r="CZ17" s="2617"/>
      <c r="DA17" s="2618" t="s">
        <v>557</v>
      </c>
      <c r="DB17" s="2620" t="s">
        <v>558</v>
      </c>
      <c r="DC17" s="2618" t="s">
        <v>559</v>
      </c>
      <c r="DD17" s="2618" t="s">
        <v>526</v>
      </c>
      <c r="DE17" s="2700" t="s">
        <v>117</v>
      </c>
      <c r="DF17" s="2618" t="s">
        <v>347</v>
      </c>
      <c r="DG17" s="2618" t="s">
        <v>546</v>
      </c>
      <c r="DH17" s="2615" t="s">
        <v>348</v>
      </c>
      <c r="DI17" s="2616"/>
      <c r="DJ17" s="2615" t="s">
        <v>458</v>
      </c>
      <c r="DK17" s="2617"/>
      <c r="DL17" s="2618" t="s">
        <v>557</v>
      </c>
      <c r="DM17" s="2620" t="s">
        <v>558</v>
      </c>
      <c r="DN17" s="2618" t="s">
        <v>559</v>
      </c>
      <c r="DO17" s="2618" t="s">
        <v>526</v>
      </c>
      <c r="DP17" s="2700" t="s">
        <v>117</v>
      </c>
      <c r="DQ17" s="2618" t="s">
        <v>347</v>
      </c>
      <c r="DR17" s="2618" t="s">
        <v>546</v>
      </c>
      <c r="DS17" s="2615" t="s">
        <v>348</v>
      </c>
      <c r="DT17" s="2616"/>
      <c r="DU17" s="2615" t="s">
        <v>458</v>
      </c>
      <c r="DV17" s="2617"/>
      <c r="DW17" s="2618" t="s">
        <v>557</v>
      </c>
      <c r="DX17" s="2620" t="s">
        <v>558</v>
      </c>
      <c r="DY17" s="2618" t="s">
        <v>559</v>
      </c>
      <c r="DZ17" s="2618" t="s">
        <v>526</v>
      </c>
      <c r="EA17" s="2700" t="s">
        <v>117</v>
      </c>
      <c r="EB17" s="2618" t="s">
        <v>347</v>
      </c>
      <c r="EC17" s="2618" t="s">
        <v>546</v>
      </c>
      <c r="ED17" s="2615" t="s">
        <v>348</v>
      </c>
      <c r="EE17" s="2616"/>
      <c r="EF17" s="2615" t="s">
        <v>458</v>
      </c>
      <c r="EG17" s="2617"/>
      <c r="EH17" s="2618" t="s">
        <v>557</v>
      </c>
      <c r="EI17" s="2620" t="s">
        <v>558</v>
      </c>
      <c r="EJ17" s="2618" t="s">
        <v>559</v>
      </c>
    </row>
    <row r="18" spans="1:140" ht="30.75" customHeight="1" thickBot="1" x14ac:dyDescent="0.3">
      <c r="A18" s="2701"/>
      <c r="B18" s="2705"/>
      <c r="C18" s="2706"/>
      <c r="D18" s="2706"/>
      <c r="E18" s="2706"/>
      <c r="F18" s="2707"/>
      <c r="G18" s="2701"/>
      <c r="H18" s="2619"/>
      <c r="I18" s="2619"/>
      <c r="J18" s="2701"/>
      <c r="K18" s="2619"/>
      <c r="L18" s="2619"/>
      <c r="M18" s="1065" t="s">
        <v>118</v>
      </c>
      <c r="N18" s="1060" t="s">
        <v>117</v>
      </c>
      <c r="O18" s="1065" t="s">
        <v>105</v>
      </c>
      <c r="P18" s="1066" t="s">
        <v>104</v>
      </c>
      <c r="Q18" s="2619"/>
      <c r="R18" s="2621"/>
      <c r="S18" s="2619"/>
      <c r="T18" s="2619"/>
      <c r="U18" s="2701"/>
      <c r="V18" s="2619"/>
      <c r="W18" s="2619"/>
      <c r="X18" s="1065" t="s">
        <v>118</v>
      </c>
      <c r="Y18" s="1060" t="s">
        <v>117</v>
      </c>
      <c r="Z18" s="1065" t="s">
        <v>105</v>
      </c>
      <c r="AA18" s="1066" t="s">
        <v>104</v>
      </c>
      <c r="AB18" s="2619"/>
      <c r="AC18" s="2621"/>
      <c r="AD18" s="2619"/>
      <c r="AE18" s="2619"/>
      <c r="AF18" s="2701"/>
      <c r="AG18" s="2619"/>
      <c r="AH18" s="2619"/>
      <c r="AI18" s="1065" t="s">
        <v>118</v>
      </c>
      <c r="AJ18" s="1060" t="s">
        <v>117</v>
      </c>
      <c r="AK18" s="1065" t="s">
        <v>105</v>
      </c>
      <c r="AL18" s="1066" t="s">
        <v>104</v>
      </c>
      <c r="AM18" s="2619"/>
      <c r="AN18" s="2621"/>
      <c r="AO18" s="2619"/>
      <c r="AP18" s="2619"/>
      <c r="AQ18" s="2701"/>
      <c r="AR18" s="2619"/>
      <c r="AS18" s="2619"/>
      <c r="AT18" s="1065" t="s">
        <v>118</v>
      </c>
      <c r="AU18" s="1060" t="s">
        <v>117</v>
      </c>
      <c r="AV18" s="1065" t="s">
        <v>105</v>
      </c>
      <c r="AW18" s="1066" t="s">
        <v>104</v>
      </c>
      <c r="AX18" s="2619"/>
      <c r="AY18" s="2621"/>
      <c r="AZ18" s="2619"/>
      <c r="BA18" s="2619"/>
      <c r="BB18" s="2701"/>
      <c r="BC18" s="2619"/>
      <c r="BD18" s="2619"/>
      <c r="BE18" s="1065" t="s">
        <v>118</v>
      </c>
      <c r="BF18" s="1060" t="s">
        <v>117</v>
      </c>
      <c r="BG18" s="1065" t="s">
        <v>105</v>
      </c>
      <c r="BH18" s="1066" t="s">
        <v>104</v>
      </c>
      <c r="BI18" s="2619"/>
      <c r="BJ18" s="2621"/>
      <c r="BK18" s="2619"/>
      <c r="BL18" s="2619"/>
      <c r="BM18" s="2701"/>
      <c r="BN18" s="2619"/>
      <c r="BO18" s="2619"/>
      <c r="BP18" s="1065" t="s">
        <v>118</v>
      </c>
      <c r="BQ18" s="1060" t="s">
        <v>117</v>
      </c>
      <c r="BR18" s="1065" t="s">
        <v>105</v>
      </c>
      <c r="BS18" s="1066" t="s">
        <v>104</v>
      </c>
      <c r="BT18" s="2619"/>
      <c r="BU18" s="2621"/>
      <c r="BV18" s="2619"/>
      <c r="BW18" s="2619"/>
      <c r="BX18" s="2701"/>
      <c r="BY18" s="2619"/>
      <c r="BZ18" s="2619"/>
      <c r="CA18" s="1065" t="s">
        <v>118</v>
      </c>
      <c r="CB18" s="1060" t="s">
        <v>117</v>
      </c>
      <c r="CC18" s="1065" t="s">
        <v>105</v>
      </c>
      <c r="CD18" s="1066" t="s">
        <v>104</v>
      </c>
      <c r="CE18" s="2619"/>
      <c r="CF18" s="2621"/>
      <c r="CG18" s="2619"/>
      <c r="CH18" s="2619"/>
      <c r="CI18" s="2701"/>
      <c r="CJ18" s="2619"/>
      <c r="CK18" s="2619"/>
      <c r="CL18" s="1065" t="s">
        <v>118</v>
      </c>
      <c r="CM18" s="1060" t="s">
        <v>117</v>
      </c>
      <c r="CN18" s="1065" t="s">
        <v>105</v>
      </c>
      <c r="CO18" s="1066" t="s">
        <v>104</v>
      </c>
      <c r="CP18" s="2619"/>
      <c r="CQ18" s="2621"/>
      <c r="CR18" s="2619"/>
      <c r="CS18" s="2619"/>
      <c r="CT18" s="2701"/>
      <c r="CU18" s="2619"/>
      <c r="CV18" s="2619"/>
      <c r="CW18" s="1065" t="s">
        <v>118</v>
      </c>
      <c r="CX18" s="1060" t="s">
        <v>117</v>
      </c>
      <c r="CY18" s="1065" t="s">
        <v>105</v>
      </c>
      <c r="CZ18" s="1066" t="s">
        <v>104</v>
      </c>
      <c r="DA18" s="2619"/>
      <c r="DB18" s="2621"/>
      <c r="DC18" s="2619"/>
      <c r="DD18" s="2619"/>
      <c r="DE18" s="2701"/>
      <c r="DF18" s="2619"/>
      <c r="DG18" s="2619"/>
      <c r="DH18" s="1065" t="s">
        <v>118</v>
      </c>
      <c r="DI18" s="1060" t="s">
        <v>117</v>
      </c>
      <c r="DJ18" s="1065" t="s">
        <v>105</v>
      </c>
      <c r="DK18" s="1066" t="s">
        <v>104</v>
      </c>
      <c r="DL18" s="2619"/>
      <c r="DM18" s="2621"/>
      <c r="DN18" s="2619"/>
      <c r="DO18" s="2619"/>
      <c r="DP18" s="2701"/>
      <c r="DQ18" s="2619"/>
      <c r="DR18" s="2619"/>
      <c r="DS18" s="1065" t="s">
        <v>118</v>
      </c>
      <c r="DT18" s="1060" t="s">
        <v>117</v>
      </c>
      <c r="DU18" s="1065" t="s">
        <v>105</v>
      </c>
      <c r="DV18" s="1066" t="s">
        <v>104</v>
      </c>
      <c r="DW18" s="2619"/>
      <c r="DX18" s="2621"/>
      <c r="DY18" s="2619"/>
      <c r="DZ18" s="2619"/>
      <c r="EA18" s="2701"/>
      <c r="EB18" s="2619"/>
      <c r="EC18" s="2619"/>
      <c r="ED18" s="1065" t="s">
        <v>118</v>
      </c>
      <c r="EE18" s="1060" t="s">
        <v>117</v>
      </c>
      <c r="EF18" s="1065" t="s">
        <v>105</v>
      </c>
      <c r="EG18" s="1066" t="s">
        <v>104</v>
      </c>
      <c r="EH18" s="2619"/>
      <c r="EI18" s="2621"/>
      <c r="EJ18" s="2619"/>
    </row>
    <row r="19" spans="1:140" ht="18" x14ac:dyDescent="0.25">
      <c r="A19" s="1067">
        <v>1</v>
      </c>
      <c r="B19" s="2599" t="s">
        <v>576</v>
      </c>
      <c r="C19" s="2600"/>
      <c r="D19" s="2600"/>
      <c r="E19" s="2600"/>
      <c r="F19" s="2601"/>
      <c r="G19" s="1068" t="s">
        <v>682</v>
      </c>
      <c r="H19" s="1456" t="s">
        <v>451</v>
      </c>
      <c r="I19" s="1597">
        <f>$C$110</f>
        <v>2.4526248129736573E-4</v>
      </c>
      <c r="J19" s="1598" t="str">
        <f>$D$110</f>
        <v>Gy</v>
      </c>
      <c r="K19" s="1599" t="s">
        <v>373</v>
      </c>
      <c r="L19" s="1600">
        <f>IF(K19="normal (k=1)",1,IF(K19="normal (k=2)",2,IF(K19="normal (k=3)",3,IF(K19="rectangular",SQRT(3),IF(K19="triangular",SQRT(6),IF(K19="Prob. U",SQRT(2),"no definido"))))))</f>
        <v>2</v>
      </c>
      <c r="M19" s="1601">
        <f>$C$117</f>
        <v>1</v>
      </c>
      <c r="N19" s="1602" t="str">
        <f>$D$117</f>
        <v>-</v>
      </c>
      <c r="O19" s="1603">
        <f t="shared" ref="O19:O29" si="0">I19*M19/L19</f>
        <v>1.2263124064868286E-4</v>
      </c>
      <c r="P19" s="1604" t="s">
        <v>645</v>
      </c>
      <c r="Q19" s="1605">
        <f>O19/$C$91</f>
        <v>8.9678169276660395E-3</v>
      </c>
      <c r="R19" s="1606">
        <f>Q19*100</f>
        <v>0.89678169276660391</v>
      </c>
      <c r="S19" s="1607">
        <f>ABS(O19^2/$O$30^2*100)</f>
        <v>15.293650113513818</v>
      </c>
      <c r="T19" s="1597">
        <f>$C$110</f>
        <v>2.4526248129736573E-4</v>
      </c>
      <c r="U19" s="1598" t="str">
        <f>$D$110</f>
        <v>Gy</v>
      </c>
      <c r="V19" s="1599" t="s">
        <v>373</v>
      </c>
      <c r="W19" s="1600">
        <f>IF(V19="normal (k=1)",1,IF(V19="normal (k=2)",2,IF(V19="normal (k=3)",3,IF(V19="rectangular",SQRT(3),IF(V19="triangular",SQRT(6),IF(V19="Prob. U",SQRT(2),"no definido"))))))</f>
        <v>2</v>
      </c>
      <c r="X19" s="1601">
        <f>$C$117</f>
        <v>1</v>
      </c>
      <c r="Y19" s="1602" t="str">
        <f>$D$117</f>
        <v>-</v>
      </c>
      <c r="Z19" s="1603">
        <f t="shared" ref="Z19:Z29" si="1">T19*X19/W19</f>
        <v>1.2263124064868286E-4</v>
      </c>
      <c r="AA19" s="1604" t="s">
        <v>645</v>
      </c>
      <c r="AB19" s="1605">
        <f>Z19/$C$91</f>
        <v>8.9678169276660395E-3</v>
      </c>
      <c r="AC19" s="1606">
        <f>AB19*100</f>
        <v>0.89678169276660391</v>
      </c>
      <c r="AD19" s="1607">
        <f>ABS(Z19^2/$O$30^2*100)</f>
        <v>15.293650113513818</v>
      </c>
      <c r="AE19" s="1597">
        <f>$C$110</f>
        <v>2.4526248129736573E-4</v>
      </c>
      <c r="AF19" s="1598" t="str">
        <f>$D$110</f>
        <v>Gy</v>
      </c>
      <c r="AG19" s="1599" t="s">
        <v>373</v>
      </c>
      <c r="AH19" s="1600">
        <f>IF(AG19="normal (k=1)",1,IF(AG19="normal (k=2)",2,IF(AG19="normal (k=3)",3,IF(AG19="rectangular",SQRT(3),IF(AG19="triangular",SQRT(6),IF(AG19="Prob. U",SQRT(2),"no definido"))))))</f>
        <v>2</v>
      </c>
      <c r="AI19" s="1601">
        <f>$C$117</f>
        <v>1</v>
      </c>
      <c r="AJ19" s="1602" t="str">
        <f>$D$117</f>
        <v>-</v>
      </c>
      <c r="AK19" s="1603">
        <f t="shared" ref="AK19:AK29" si="2">AE19*AI19/AH19</f>
        <v>1.2263124064868286E-4</v>
      </c>
      <c r="AL19" s="1604" t="s">
        <v>645</v>
      </c>
      <c r="AM19" s="1605">
        <f>AK19/$C$91</f>
        <v>8.9678169276660395E-3</v>
      </c>
      <c r="AN19" s="1606">
        <f>AM19*100</f>
        <v>0.89678169276660391</v>
      </c>
      <c r="AO19" s="1607">
        <f>ABS(AK19^2/$O$30^2*100)</f>
        <v>15.293650113513818</v>
      </c>
      <c r="AP19" s="1597">
        <f>$C$110</f>
        <v>2.4526248129736573E-4</v>
      </c>
      <c r="AQ19" s="1598" t="str">
        <f>$D$110</f>
        <v>Gy</v>
      </c>
      <c r="AR19" s="1599" t="s">
        <v>373</v>
      </c>
      <c r="AS19" s="1600">
        <f>IF(AR19="normal (k=1)",1,IF(AR19="normal (k=2)",2,IF(AR19="normal (k=3)",3,IF(AR19="rectangular",SQRT(3),IF(AR19="triangular",SQRT(6),IF(AR19="Prob. U",SQRT(2),"no definido"))))))</f>
        <v>2</v>
      </c>
      <c r="AT19" s="1601">
        <f>$C$117</f>
        <v>1</v>
      </c>
      <c r="AU19" s="1602" t="str">
        <f>$D$117</f>
        <v>-</v>
      </c>
      <c r="AV19" s="1603">
        <f t="shared" ref="AV19:AV29" si="3">AP19*AT19/AS19</f>
        <v>1.2263124064868286E-4</v>
      </c>
      <c r="AW19" s="1604" t="s">
        <v>645</v>
      </c>
      <c r="AX19" s="1605">
        <f>AV19/$C$91</f>
        <v>8.9678169276660395E-3</v>
      </c>
      <c r="AY19" s="1606">
        <f>AX19*100</f>
        <v>0.89678169276660391</v>
      </c>
      <c r="AZ19" s="1607">
        <f>ABS(AV19^2/$O$30^2*100)</f>
        <v>15.293650113513818</v>
      </c>
      <c r="BA19" s="1597">
        <f>$C$110</f>
        <v>2.4526248129736573E-4</v>
      </c>
      <c r="BB19" s="1598" t="str">
        <f>$D$110</f>
        <v>Gy</v>
      </c>
      <c r="BC19" s="1599" t="s">
        <v>373</v>
      </c>
      <c r="BD19" s="1600">
        <f>IF(BC19="normal (k=1)",1,IF(BC19="normal (k=2)",2,IF(BC19="normal (k=3)",3,IF(BC19="rectangular",SQRT(3),IF(BC19="triangular",SQRT(6),IF(BC19="Prob. U",SQRT(2),"no definido"))))))</f>
        <v>2</v>
      </c>
      <c r="BE19" s="1601">
        <f>$C$117</f>
        <v>1</v>
      </c>
      <c r="BF19" s="1602" t="str">
        <f>$D$117</f>
        <v>-</v>
      </c>
      <c r="BG19" s="1603">
        <f t="shared" ref="BG19:BG29" si="4">BA19*BE19/BD19</f>
        <v>1.2263124064868286E-4</v>
      </c>
      <c r="BH19" s="1604" t="s">
        <v>645</v>
      </c>
      <c r="BI19" s="1605">
        <f>BG19/$C$91</f>
        <v>8.9678169276660395E-3</v>
      </c>
      <c r="BJ19" s="1606">
        <f>BI19*100</f>
        <v>0.89678169276660391</v>
      </c>
      <c r="BK19" s="1607">
        <f>ABS(BG19^2/$O$30^2*100)</f>
        <v>15.293650113513818</v>
      </c>
      <c r="BL19" s="1597">
        <f>$C$110</f>
        <v>2.4526248129736573E-4</v>
      </c>
      <c r="BM19" s="1598" t="str">
        <f>$D$110</f>
        <v>Gy</v>
      </c>
      <c r="BN19" s="1599" t="s">
        <v>373</v>
      </c>
      <c r="BO19" s="1600">
        <f>IF(BN19="normal (k=1)",1,IF(BN19="normal (k=2)",2,IF(BN19="normal (k=3)",3,IF(BN19="rectangular",SQRT(3),IF(BN19="triangular",SQRT(6),IF(BN19="Prob. U",SQRT(2),"no definido"))))))</f>
        <v>2</v>
      </c>
      <c r="BP19" s="1601">
        <f>$C$117</f>
        <v>1</v>
      </c>
      <c r="BQ19" s="1602" t="str">
        <f>$D$117</f>
        <v>-</v>
      </c>
      <c r="BR19" s="1603">
        <f t="shared" ref="BR19:BR29" si="5">BL19*BP19/BO19</f>
        <v>1.2263124064868286E-4</v>
      </c>
      <c r="BS19" s="1604" t="s">
        <v>645</v>
      </c>
      <c r="BT19" s="1605">
        <f>BR19/$C$91</f>
        <v>8.9678169276660395E-3</v>
      </c>
      <c r="BU19" s="1606">
        <f>BT19*100</f>
        <v>0.89678169276660391</v>
      </c>
      <c r="BV19" s="1607">
        <f>ABS(BR19^2/$O$30^2*100)</f>
        <v>15.293650113513818</v>
      </c>
      <c r="BW19" s="1597">
        <f>$C$110</f>
        <v>2.4526248129736573E-4</v>
      </c>
      <c r="BX19" s="1598" t="str">
        <f>$D$110</f>
        <v>Gy</v>
      </c>
      <c r="BY19" s="1599" t="s">
        <v>373</v>
      </c>
      <c r="BZ19" s="1600">
        <f>IF(BY19="normal (k=1)",1,IF(BY19="normal (k=2)",2,IF(BY19="normal (k=3)",3,IF(BY19="rectangular",SQRT(3),IF(BY19="triangular",SQRT(6),IF(BY19="Prob. U",SQRT(2),"no definido"))))))</f>
        <v>2</v>
      </c>
      <c r="CA19" s="1601">
        <f>$C$117</f>
        <v>1</v>
      </c>
      <c r="CB19" s="1602" t="str">
        <f>$D$117</f>
        <v>-</v>
      </c>
      <c r="CC19" s="1603">
        <f t="shared" ref="CC19:CC29" si="6">BW19*CA19/BZ19</f>
        <v>1.2263124064868286E-4</v>
      </c>
      <c r="CD19" s="1604" t="s">
        <v>645</v>
      </c>
      <c r="CE19" s="1605">
        <f>CC19/$C$91</f>
        <v>8.9678169276660395E-3</v>
      </c>
      <c r="CF19" s="1606">
        <f>CE19*100</f>
        <v>0.89678169276660391</v>
      </c>
      <c r="CG19" s="1607">
        <f>ABS(CC19^2/$O$30^2*100)</f>
        <v>15.293650113513818</v>
      </c>
      <c r="CH19" s="1597">
        <f>$C$110</f>
        <v>2.4526248129736573E-4</v>
      </c>
      <c r="CI19" s="1598" t="str">
        <f>$D$110</f>
        <v>Gy</v>
      </c>
      <c r="CJ19" s="1599" t="s">
        <v>373</v>
      </c>
      <c r="CK19" s="1600">
        <f>IF(CJ19="normal (k=1)",1,IF(CJ19="normal (k=2)",2,IF(CJ19="normal (k=3)",3,IF(CJ19="rectangular",SQRT(3),IF(CJ19="triangular",SQRT(6),IF(CJ19="Prob. U",SQRT(2),"no definido"))))))</f>
        <v>2</v>
      </c>
      <c r="CL19" s="1601">
        <f>$C$117</f>
        <v>1</v>
      </c>
      <c r="CM19" s="1602" t="str">
        <f>$D$117</f>
        <v>-</v>
      </c>
      <c r="CN19" s="1603">
        <f t="shared" ref="CN19:CN29" si="7">CH19*CL19/CK19</f>
        <v>1.2263124064868286E-4</v>
      </c>
      <c r="CO19" s="1604" t="s">
        <v>645</v>
      </c>
      <c r="CP19" s="1605">
        <f>CN19/$C$91</f>
        <v>8.9678169276660395E-3</v>
      </c>
      <c r="CQ19" s="1606">
        <f>CP19*100</f>
        <v>0.89678169276660391</v>
      </c>
      <c r="CR19" s="1607">
        <f>ABS(CN19^2/$O$30^2*100)</f>
        <v>15.293650113513818</v>
      </c>
      <c r="CS19" s="1597">
        <f>$C$110</f>
        <v>2.4526248129736573E-4</v>
      </c>
      <c r="CT19" s="1598" t="str">
        <f>$D$110</f>
        <v>Gy</v>
      </c>
      <c r="CU19" s="1599" t="s">
        <v>373</v>
      </c>
      <c r="CV19" s="1600">
        <f>IF(CU19="normal (k=1)",1,IF(CU19="normal (k=2)",2,IF(CU19="normal (k=3)",3,IF(CU19="rectangular",SQRT(3),IF(CU19="triangular",SQRT(6),IF(CU19="Prob. U",SQRT(2),"no definido"))))))</f>
        <v>2</v>
      </c>
      <c r="CW19" s="1601">
        <f>$C$117</f>
        <v>1</v>
      </c>
      <c r="CX19" s="1602" t="str">
        <f>$D$117</f>
        <v>-</v>
      </c>
      <c r="CY19" s="1603">
        <f t="shared" ref="CY19:CY29" si="8">CS19*CW19/CV19</f>
        <v>1.2263124064868286E-4</v>
      </c>
      <c r="CZ19" s="1604" t="s">
        <v>645</v>
      </c>
      <c r="DA19" s="1605">
        <f>CY19/$C$91</f>
        <v>8.9678169276660395E-3</v>
      </c>
      <c r="DB19" s="1606">
        <f>DA19*100</f>
        <v>0.89678169276660391</v>
      </c>
      <c r="DC19" s="1607">
        <f>ABS(CY19^2/$O$30^2*100)</f>
        <v>15.293650113513818</v>
      </c>
      <c r="DD19" s="1597">
        <f>$C$110</f>
        <v>2.4526248129736573E-4</v>
      </c>
      <c r="DE19" s="1598" t="str">
        <f>$D$110</f>
        <v>Gy</v>
      </c>
      <c r="DF19" s="1599" t="s">
        <v>373</v>
      </c>
      <c r="DG19" s="1600">
        <f>IF(DF19="normal (k=1)",1,IF(DF19="normal (k=2)",2,IF(DF19="normal (k=3)",3,IF(DF19="rectangular",SQRT(3),IF(DF19="triangular",SQRT(6),IF(DF19="Prob. U",SQRT(2),"no definido"))))))</f>
        <v>2</v>
      </c>
      <c r="DH19" s="1601">
        <f>$C$117</f>
        <v>1</v>
      </c>
      <c r="DI19" s="1602" t="str">
        <f>$D$117</f>
        <v>-</v>
      </c>
      <c r="DJ19" s="1603">
        <f t="shared" ref="DJ19:DJ29" si="9">DD19*DH19/DG19</f>
        <v>1.2263124064868286E-4</v>
      </c>
      <c r="DK19" s="1604" t="s">
        <v>645</v>
      </c>
      <c r="DL19" s="1605">
        <f>DJ19/$C$91</f>
        <v>8.9678169276660395E-3</v>
      </c>
      <c r="DM19" s="1606">
        <f>DL19*100</f>
        <v>0.89678169276660391</v>
      </c>
      <c r="DN19" s="1607">
        <f>ABS(DJ19^2/$O$30^2*100)</f>
        <v>15.293650113513818</v>
      </c>
      <c r="DO19" s="1597">
        <f>$C$110</f>
        <v>2.4526248129736573E-4</v>
      </c>
      <c r="DP19" s="1598" t="str">
        <f>$D$110</f>
        <v>Gy</v>
      </c>
      <c r="DQ19" s="1599" t="s">
        <v>373</v>
      </c>
      <c r="DR19" s="1600">
        <f>IF(DQ19="normal (k=1)",1,IF(DQ19="normal (k=2)",2,IF(DQ19="normal (k=3)",3,IF(DQ19="rectangular",SQRT(3),IF(DQ19="triangular",SQRT(6),IF(DQ19="Prob. U",SQRT(2),"no definido"))))))</f>
        <v>2</v>
      </c>
      <c r="DS19" s="1601">
        <f>$C$117</f>
        <v>1</v>
      </c>
      <c r="DT19" s="1602" t="str">
        <f>$D$117</f>
        <v>-</v>
      </c>
      <c r="DU19" s="1603">
        <f t="shared" ref="DU19:DU29" si="10">DO19*DS19/DR19</f>
        <v>1.2263124064868286E-4</v>
      </c>
      <c r="DV19" s="1604" t="s">
        <v>645</v>
      </c>
      <c r="DW19" s="1605">
        <f>DU19/$C$91</f>
        <v>8.9678169276660395E-3</v>
      </c>
      <c r="DX19" s="1606">
        <f>DW19*100</f>
        <v>0.89678169276660391</v>
      </c>
      <c r="DY19" s="1607">
        <f>ABS(DU19^2/$O$30^2*100)</f>
        <v>15.293650113513818</v>
      </c>
      <c r="DZ19" s="1597">
        <f>$C$110</f>
        <v>2.4526248129736573E-4</v>
      </c>
      <c r="EA19" s="1598" t="str">
        <f>$D$110</f>
        <v>Gy</v>
      </c>
      <c r="EB19" s="1599" t="s">
        <v>373</v>
      </c>
      <c r="EC19" s="1600">
        <f>IF(EB19="normal (k=1)",1,IF(EB19="normal (k=2)",2,IF(EB19="normal (k=3)",3,IF(EB19="rectangular",SQRT(3),IF(EB19="triangular",SQRT(6),IF(EB19="Prob. U",SQRT(2),"no definido"))))))</f>
        <v>2</v>
      </c>
      <c r="ED19" s="1601">
        <f>$C$117</f>
        <v>1</v>
      </c>
      <c r="EE19" s="1602" t="str">
        <f>$D$117</f>
        <v>-</v>
      </c>
      <c r="EF19" s="1603">
        <f t="shared" ref="EF19:EF29" si="11">DZ19*ED19/EC19</f>
        <v>1.2263124064868286E-4</v>
      </c>
      <c r="EG19" s="1604" t="s">
        <v>645</v>
      </c>
      <c r="EH19" s="1605">
        <f>EF19/$C$91</f>
        <v>8.9678169276660395E-3</v>
      </c>
      <c r="EI19" s="1606">
        <f>EH19*100</f>
        <v>0.89678169276660391</v>
      </c>
      <c r="EJ19" s="1607">
        <f>ABS(EF19^2/$O$30^2*100)</f>
        <v>15.293650113513818</v>
      </c>
    </row>
    <row r="20" spans="1:140" ht="18" x14ac:dyDescent="0.25">
      <c r="A20" s="1078">
        <v>2</v>
      </c>
      <c r="B20" s="2599" t="s">
        <v>341</v>
      </c>
      <c r="C20" s="2600"/>
      <c r="D20" s="2600"/>
      <c r="E20" s="2600"/>
      <c r="F20" s="2601"/>
      <c r="G20" s="1079" t="s">
        <v>618</v>
      </c>
      <c r="H20" s="1453" t="s">
        <v>451</v>
      </c>
      <c r="I20" s="1608">
        <f>$C$126</f>
        <v>1.1927594102701006E-4</v>
      </c>
      <c r="J20" s="1609" t="str">
        <f>$D$126</f>
        <v>Gy</v>
      </c>
      <c r="K20" s="1610" t="s">
        <v>370</v>
      </c>
      <c r="L20" s="1611">
        <f t="shared" ref="L20:L27" si="12">IF(K20="normal (k=1)",1,IF(K20="normal (k=2)",2,IF(K20="normal (k=3)",3,IF(K20="rectangular",SQRT(3),IF(K20="triangular",SQRT(6),IF(K20="Prob. U",SQRT(2),"no definido"))))))</f>
        <v>1.7320508075688772</v>
      </c>
      <c r="M20" s="1612">
        <f>$C$136</f>
        <v>1</v>
      </c>
      <c r="N20" s="1613" t="str">
        <f>$D$117</f>
        <v>-</v>
      </c>
      <c r="O20" s="1614">
        <f t="shared" si="0"/>
        <v>6.8863996659790188E-5</v>
      </c>
      <c r="P20" s="1615" t="s">
        <v>645</v>
      </c>
      <c r="Q20" s="1608">
        <f t="shared" ref="Q20:Q29" si="13">O20/$C$91</f>
        <v>5.0359085636392199E-3</v>
      </c>
      <c r="R20" s="1616">
        <f t="shared" ref="R20:R29" si="14">Q20*100</f>
        <v>0.50359085636392198</v>
      </c>
      <c r="S20" s="1617">
        <f>ABS(O20^2/$O$30^2*100)</f>
        <v>4.8227345090308571</v>
      </c>
      <c r="T20" s="1608">
        <f>$C$126</f>
        <v>1.1927594102701006E-4</v>
      </c>
      <c r="U20" s="1609" t="str">
        <f>$D$126</f>
        <v>Gy</v>
      </c>
      <c r="V20" s="1610" t="s">
        <v>370</v>
      </c>
      <c r="W20" s="1611">
        <f t="shared" ref="W20:W27" si="15">IF(V20="normal (k=1)",1,IF(V20="normal (k=2)",2,IF(V20="normal (k=3)",3,IF(V20="rectangular",SQRT(3),IF(V20="triangular",SQRT(6),IF(V20="Prob. U",SQRT(2),"no definido"))))))</f>
        <v>1.7320508075688772</v>
      </c>
      <c r="X20" s="1612">
        <f>$C$136</f>
        <v>1</v>
      </c>
      <c r="Y20" s="1613" t="str">
        <f>$D$117</f>
        <v>-</v>
      </c>
      <c r="Z20" s="1614">
        <f t="shared" si="1"/>
        <v>6.8863996659790188E-5</v>
      </c>
      <c r="AA20" s="1615" t="s">
        <v>645</v>
      </c>
      <c r="AB20" s="1608">
        <f t="shared" ref="AB20" si="16">Z20/$C$91</f>
        <v>5.0359085636392199E-3</v>
      </c>
      <c r="AC20" s="1616">
        <f t="shared" ref="AC20:AC29" si="17">AB20*100</f>
        <v>0.50359085636392198</v>
      </c>
      <c r="AD20" s="1617">
        <f>ABS(Z20^2/$O$30^2*100)</f>
        <v>4.8227345090308571</v>
      </c>
      <c r="AE20" s="1608">
        <f>$C$126</f>
        <v>1.1927594102701006E-4</v>
      </c>
      <c r="AF20" s="1609" t="str">
        <f>$D$126</f>
        <v>Gy</v>
      </c>
      <c r="AG20" s="1610" t="s">
        <v>370</v>
      </c>
      <c r="AH20" s="1611">
        <f t="shared" ref="AH20:AH27" si="18">IF(AG20="normal (k=1)",1,IF(AG20="normal (k=2)",2,IF(AG20="normal (k=3)",3,IF(AG20="rectangular",SQRT(3),IF(AG20="triangular",SQRT(6),IF(AG20="Prob. U",SQRT(2),"no definido"))))))</f>
        <v>1.7320508075688772</v>
      </c>
      <c r="AI20" s="1612">
        <f>$C$136</f>
        <v>1</v>
      </c>
      <c r="AJ20" s="1613" t="str">
        <f>$D$117</f>
        <v>-</v>
      </c>
      <c r="AK20" s="1614">
        <f t="shared" si="2"/>
        <v>6.8863996659790188E-5</v>
      </c>
      <c r="AL20" s="1615" t="s">
        <v>645</v>
      </c>
      <c r="AM20" s="1608">
        <f t="shared" ref="AM20" si="19">AK20/$C$91</f>
        <v>5.0359085636392199E-3</v>
      </c>
      <c r="AN20" s="1616">
        <f t="shared" ref="AN20:AN29" si="20">AM20*100</f>
        <v>0.50359085636392198</v>
      </c>
      <c r="AO20" s="1617">
        <f>ABS(AK20^2/$O$30^2*100)</f>
        <v>4.8227345090308571</v>
      </c>
      <c r="AP20" s="1608">
        <f>$C$126</f>
        <v>1.1927594102701006E-4</v>
      </c>
      <c r="AQ20" s="1609" t="str">
        <f>$D$126</f>
        <v>Gy</v>
      </c>
      <c r="AR20" s="1610" t="s">
        <v>370</v>
      </c>
      <c r="AS20" s="1611">
        <f t="shared" ref="AS20:AS27" si="21">IF(AR20="normal (k=1)",1,IF(AR20="normal (k=2)",2,IF(AR20="normal (k=3)",3,IF(AR20="rectangular",SQRT(3),IF(AR20="triangular",SQRT(6),IF(AR20="Prob. U",SQRT(2),"no definido"))))))</f>
        <v>1.7320508075688772</v>
      </c>
      <c r="AT20" s="1612">
        <f>$C$136</f>
        <v>1</v>
      </c>
      <c r="AU20" s="1613" t="str">
        <f>$D$117</f>
        <v>-</v>
      </c>
      <c r="AV20" s="1614">
        <f t="shared" si="3"/>
        <v>6.8863996659790188E-5</v>
      </c>
      <c r="AW20" s="1615" t="s">
        <v>645</v>
      </c>
      <c r="AX20" s="1608">
        <f t="shared" ref="AX20" si="22">AV20/$C$91</f>
        <v>5.0359085636392199E-3</v>
      </c>
      <c r="AY20" s="1616">
        <f t="shared" ref="AY20:AY29" si="23">AX20*100</f>
        <v>0.50359085636392198</v>
      </c>
      <c r="AZ20" s="1617">
        <f>ABS(AV20^2/$O$30^2*100)</f>
        <v>4.8227345090308571</v>
      </c>
      <c r="BA20" s="1608">
        <f>$C$126</f>
        <v>1.1927594102701006E-4</v>
      </c>
      <c r="BB20" s="1609" t="str">
        <f>$D$126</f>
        <v>Gy</v>
      </c>
      <c r="BC20" s="1610" t="s">
        <v>370</v>
      </c>
      <c r="BD20" s="1611">
        <f t="shared" ref="BD20:BD27" si="24">IF(BC20="normal (k=1)",1,IF(BC20="normal (k=2)",2,IF(BC20="normal (k=3)",3,IF(BC20="rectangular",SQRT(3),IF(BC20="triangular",SQRT(6),IF(BC20="Prob. U",SQRT(2),"no definido"))))))</f>
        <v>1.7320508075688772</v>
      </c>
      <c r="BE20" s="1612">
        <f>$C$136</f>
        <v>1</v>
      </c>
      <c r="BF20" s="1613" t="str">
        <f>$D$117</f>
        <v>-</v>
      </c>
      <c r="BG20" s="1614">
        <f t="shared" si="4"/>
        <v>6.8863996659790188E-5</v>
      </c>
      <c r="BH20" s="1615" t="s">
        <v>645</v>
      </c>
      <c r="BI20" s="1608">
        <f t="shared" ref="BI20" si="25">BG20/$C$91</f>
        <v>5.0359085636392199E-3</v>
      </c>
      <c r="BJ20" s="1616">
        <f t="shared" ref="BJ20:BJ29" si="26">BI20*100</f>
        <v>0.50359085636392198</v>
      </c>
      <c r="BK20" s="1617">
        <f>ABS(BG20^2/$O$30^2*100)</f>
        <v>4.8227345090308571</v>
      </c>
      <c r="BL20" s="1608">
        <f>$C$126</f>
        <v>1.1927594102701006E-4</v>
      </c>
      <c r="BM20" s="1609" t="str">
        <f>$D$126</f>
        <v>Gy</v>
      </c>
      <c r="BN20" s="1610" t="s">
        <v>370</v>
      </c>
      <c r="BO20" s="1611">
        <f t="shared" ref="BO20:BO27" si="27">IF(BN20="normal (k=1)",1,IF(BN20="normal (k=2)",2,IF(BN20="normal (k=3)",3,IF(BN20="rectangular",SQRT(3),IF(BN20="triangular",SQRT(6),IF(BN20="Prob. U",SQRT(2),"no definido"))))))</f>
        <v>1.7320508075688772</v>
      </c>
      <c r="BP20" s="1612">
        <f>$C$136</f>
        <v>1</v>
      </c>
      <c r="BQ20" s="1613" t="str">
        <f>$D$117</f>
        <v>-</v>
      </c>
      <c r="BR20" s="1614">
        <f t="shared" si="5"/>
        <v>6.8863996659790188E-5</v>
      </c>
      <c r="BS20" s="1615" t="s">
        <v>645</v>
      </c>
      <c r="BT20" s="1608">
        <f t="shared" ref="BT20" si="28">BR20/$C$91</f>
        <v>5.0359085636392199E-3</v>
      </c>
      <c r="BU20" s="1616">
        <f t="shared" ref="BU20:BU29" si="29">BT20*100</f>
        <v>0.50359085636392198</v>
      </c>
      <c r="BV20" s="1617">
        <f>ABS(BR20^2/$O$30^2*100)</f>
        <v>4.8227345090308571</v>
      </c>
      <c r="BW20" s="1608">
        <f>$C$126</f>
        <v>1.1927594102701006E-4</v>
      </c>
      <c r="BX20" s="1609" t="str">
        <f>$D$126</f>
        <v>Gy</v>
      </c>
      <c r="BY20" s="1610" t="s">
        <v>370</v>
      </c>
      <c r="BZ20" s="1611">
        <f t="shared" ref="BZ20:BZ27" si="30">IF(BY20="normal (k=1)",1,IF(BY20="normal (k=2)",2,IF(BY20="normal (k=3)",3,IF(BY20="rectangular",SQRT(3),IF(BY20="triangular",SQRT(6),IF(BY20="Prob. U",SQRT(2),"no definido"))))))</f>
        <v>1.7320508075688772</v>
      </c>
      <c r="CA20" s="1612">
        <f>$C$136</f>
        <v>1</v>
      </c>
      <c r="CB20" s="1613" t="str">
        <f>$D$117</f>
        <v>-</v>
      </c>
      <c r="CC20" s="1614">
        <f t="shared" si="6"/>
        <v>6.8863996659790188E-5</v>
      </c>
      <c r="CD20" s="1615" t="s">
        <v>645</v>
      </c>
      <c r="CE20" s="1608">
        <f t="shared" ref="CE20" si="31">CC20/$C$91</f>
        <v>5.0359085636392199E-3</v>
      </c>
      <c r="CF20" s="1616">
        <f t="shared" ref="CF20:CF29" si="32">CE20*100</f>
        <v>0.50359085636392198</v>
      </c>
      <c r="CG20" s="1617">
        <f>ABS(CC20^2/$O$30^2*100)</f>
        <v>4.8227345090308571</v>
      </c>
      <c r="CH20" s="1608">
        <f>$C$126</f>
        <v>1.1927594102701006E-4</v>
      </c>
      <c r="CI20" s="1609" t="str">
        <f>$D$126</f>
        <v>Gy</v>
      </c>
      <c r="CJ20" s="1610" t="s">
        <v>370</v>
      </c>
      <c r="CK20" s="1611">
        <f t="shared" ref="CK20:CK27" si="33">IF(CJ20="normal (k=1)",1,IF(CJ20="normal (k=2)",2,IF(CJ20="normal (k=3)",3,IF(CJ20="rectangular",SQRT(3),IF(CJ20="triangular",SQRT(6),IF(CJ20="Prob. U",SQRT(2),"no definido"))))))</f>
        <v>1.7320508075688772</v>
      </c>
      <c r="CL20" s="1612">
        <f>$C$136</f>
        <v>1</v>
      </c>
      <c r="CM20" s="1613" t="str">
        <f>$D$117</f>
        <v>-</v>
      </c>
      <c r="CN20" s="1614">
        <f t="shared" si="7"/>
        <v>6.8863996659790188E-5</v>
      </c>
      <c r="CO20" s="1615" t="s">
        <v>645</v>
      </c>
      <c r="CP20" s="1608">
        <f t="shared" ref="CP20" si="34">CN20/$C$91</f>
        <v>5.0359085636392199E-3</v>
      </c>
      <c r="CQ20" s="1616">
        <f t="shared" ref="CQ20:CQ29" si="35">CP20*100</f>
        <v>0.50359085636392198</v>
      </c>
      <c r="CR20" s="1617">
        <f>ABS(CN20^2/$O$30^2*100)</f>
        <v>4.8227345090308571</v>
      </c>
      <c r="CS20" s="1608">
        <f>$C$126</f>
        <v>1.1927594102701006E-4</v>
      </c>
      <c r="CT20" s="1609" t="str">
        <f>$D$126</f>
        <v>Gy</v>
      </c>
      <c r="CU20" s="1610" t="s">
        <v>370</v>
      </c>
      <c r="CV20" s="1611">
        <f t="shared" ref="CV20:CV27" si="36">IF(CU20="normal (k=1)",1,IF(CU20="normal (k=2)",2,IF(CU20="normal (k=3)",3,IF(CU20="rectangular",SQRT(3),IF(CU20="triangular",SQRT(6),IF(CU20="Prob. U",SQRT(2),"no definido"))))))</f>
        <v>1.7320508075688772</v>
      </c>
      <c r="CW20" s="1612">
        <f>$C$136</f>
        <v>1</v>
      </c>
      <c r="CX20" s="1613" t="str">
        <f>$D$117</f>
        <v>-</v>
      </c>
      <c r="CY20" s="1614">
        <f t="shared" si="8"/>
        <v>6.8863996659790188E-5</v>
      </c>
      <c r="CZ20" s="1615" t="s">
        <v>645</v>
      </c>
      <c r="DA20" s="1608">
        <f t="shared" ref="DA20" si="37">CY20/$C$91</f>
        <v>5.0359085636392199E-3</v>
      </c>
      <c r="DB20" s="1616">
        <f t="shared" ref="DB20:DB29" si="38">DA20*100</f>
        <v>0.50359085636392198</v>
      </c>
      <c r="DC20" s="1617">
        <f>ABS(CY20^2/$O$30^2*100)</f>
        <v>4.8227345090308571</v>
      </c>
      <c r="DD20" s="1608">
        <f>$C$126</f>
        <v>1.1927594102701006E-4</v>
      </c>
      <c r="DE20" s="1609" t="str">
        <f>$D$126</f>
        <v>Gy</v>
      </c>
      <c r="DF20" s="1610" t="s">
        <v>370</v>
      </c>
      <c r="DG20" s="1611">
        <f t="shared" ref="DG20:DG27" si="39">IF(DF20="normal (k=1)",1,IF(DF20="normal (k=2)",2,IF(DF20="normal (k=3)",3,IF(DF20="rectangular",SQRT(3),IF(DF20="triangular",SQRT(6),IF(DF20="Prob. U",SQRT(2),"no definido"))))))</f>
        <v>1.7320508075688772</v>
      </c>
      <c r="DH20" s="1612">
        <f>$C$136</f>
        <v>1</v>
      </c>
      <c r="DI20" s="1613" t="str">
        <f>$D$117</f>
        <v>-</v>
      </c>
      <c r="DJ20" s="1614">
        <f t="shared" si="9"/>
        <v>6.8863996659790188E-5</v>
      </c>
      <c r="DK20" s="1615" t="s">
        <v>645</v>
      </c>
      <c r="DL20" s="1608">
        <f t="shared" ref="DL20" si="40">DJ20/$C$91</f>
        <v>5.0359085636392199E-3</v>
      </c>
      <c r="DM20" s="1616">
        <f t="shared" ref="DM20:DM29" si="41">DL20*100</f>
        <v>0.50359085636392198</v>
      </c>
      <c r="DN20" s="1617">
        <f>ABS(DJ20^2/$O$30^2*100)</f>
        <v>4.8227345090308571</v>
      </c>
      <c r="DO20" s="1608">
        <f>$C$126</f>
        <v>1.1927594102701006E-4</v>
      </c>
      <c r="DP20" s="1609" t="str">
        <f>$D$126</f>
        <v>Gy</v>
      </c>
      <c r="DQ20" s="1610" t="s">
        <v>370</v>
      </c>
      <c r="DR20" s="1611">
        <f t="shared" ref="DR20:DR27" si="42">IF(DQ20="normal (k=1)",1,IF(DQ20="normal (k=2)",2,IF(DQ20="normal (k=3)",3,IF(DQ20="rectangular",SQRT(3),IF(DQ20="triangular",SQRT(6),IF(DQ20="Prob. U",SQRT(2),"no definido"))))))</f>
        <v>1.7320508075688772</v>
      </c>
      <c r="DS20" s="1612">
        <f>$C$136</f>
        <v>1</v>
      </c>
      <c r="DT20" s="1613" t="str">
        <f>$D$117</f>
        <v>-</v>
      </c>
      <c r="DU20" s="1614">
        <f t="shared" si="10"/>
        <v>6.8863996659790188E-5</v>
      </c>
      <c r="DV20" s="1615" t="s">
        <v>645</v>
      </c>
      <c r="DW20" s="1608">
        <f t="shared" ref="DW20" si="43">DU20/$C$91</f>
        <v>5.0359085636392199E-3</v>
      </c>
      <c r="DX20" s="1616">
        <f t="shared" ref="DX20:DX29" si="44">DW20*100</f>
        <v>0.50359085636392198</v>
      </c>
      <c r="DY20" s="1617">
        <f>ABS(DU20^2/$O$30^2*100)</f>
        <v>4.8227345090308571</v>
      </c>
      <c r="DZ20" s="1608">
        <f>$C$126</f>
        <v>1.1927594102701006E-4</v>
      </c>
      <c r="EA20" s="1609" t="str">
        <f>$D$126</f>
        <v>Gy</v>
      </c>
      <c r="EB20" s="1610" t="s">
        <v>370</v>
      </c>
      <c r="EC20" s="1611">
        <f t="shared" ref="EC20:EC27" si="45">IF(EB20="normal (k=1)",1,IF(EB20="normal (k=2)",2,IF(EB20="normal (k=3)",3,IF(EB20="rectangular",SQRT(3),IF(EB20="triangular",SQRT(6),IF(EB20="Prob. U",SQRT(2),"no definido"))))))</f>
        <v>1.7320508075688772</v>
      </c>
      <c r="ED20" s="1612">
        <f>$C$136</f>
        <v>1</v>
      </c>
      <c r="EE20" s="1613" t="str">
        <f>$D$117</f>
        <v>-</v>
      </c>
      <c r="EF20" s="1614">
        <f t="shared" si="11"/>
        <v>6.8863996659790188E-5</v>
      </c>
      <c r="EG20" s="1615" t="s">
        <v>645</v>
      </c>
      <c r="EH20" s="1608">
        <f t="shared" ref="EH20" si="46">EF20/$C$91</f>
        <v>5.0359085636392199E-3</v>
      </c>
      <c r="EI20" s="1616">
        <f t="shared" ref="EI20:EI29" si="47">EH20*100</f>
        <v>0.50359085636392198</v>
      </c>
      <c r="EJ20" s="1617">
        <f>ABS(EF20^2/$O$30^2*100)</f>
        <v>4.8227345090308571</v>
      </c>
    </row>
    <row r="21" spans="1:140" ht="18" x14ac:dyDescent="0.25">
      <c r="A21" s="1078">
        <v>3</v>
      </c>
      <c r="B21" s="2599" t="s">
        <v>639</v>
      </c>
      <c r="C21" s="2600"/>
      <c r="D21" s="2600"/>
      <c r="E21" s="2600"/>
      <c r="F21" s="2601"/>
      <c r="G21" s="1079" t="s">
        <v>803</v>
      </c>
      <c r="H21" s="1453" t="s">
        <v>451</v>
      </c>
      <c r="I21" s="1608">
        <f>$C$145</f>
        <v>1.630000157393327E-2</v>
      </c>
      <c r="J21" s="1609" t="str">
        <f>$D$145</f>
        <v>s</v>
      </c>
      <c r="K21" s="1610" t="s">
        <v>370</v>
      </c>
      <c r="L21" s="1611">
        <f t="shared" si="12"/>
        <v>1.7320508075688772</v>
      </c>
      <c r="M21" s="1612">
        <f>$C$155</f>
        <v>2.2797840393227461E-4</v>
      </c>
      <c r="N21" s="1613" t="str">
        <f>$D$155</f>
        <v>Gy/s</v>
      </c>
      <c r="O21" s="1614">
        <f t="shared" si="0"/>
        <v>2.1454615111058731E-6</v>
      </c>
      <c r="P21" s="1615" t="s">
        <v>645</v>
      </c>
      <c r="Q21" s="1608">
        <f>O21/$C$91</f>
        <v>1.5689400152177176E-4</v>
      </c>
      <c r="R21" s="1616">
        <f t="shared" si="14"/>
        <v>1.5689400152177176E-2</v>
      </c>
      <c r="S21" s="1617">
        <f t="shared" ref="S21:S26" si="48">ABS(O21^2/$O$30^2*100)</f>
        <v>4.6811263327830822E-3</v>
      </c>
      <c r="T21" s="1608">
        <f>$C$145</f>
        <v>1.630000157393327E-2</v>
      </c>
      <c r="U21" s="1609" t="str">
        <f>$D$145</f>
        <v>s</v>
      </c>
      <c r="V21" s="1610" t="s">
        <v>370</v>
      </c>
      <c r="W21" s="1611">
        <f t="shared" si="15"/>
        <v>1.7320508075688772</v>
      </c>
      <c r="X21" s="1612">
        <f>$C$155</f>
        <v>2.2797840393227461E-4</v>
      </c>
      <c r="Y21" s="1613" t="str">
        <f>$D$155</f>
        <v>Gy/s</v>
      </c>
      <c r="Z21" s="1614">
        <f t="shared" si="1"/>
        <v>2.1454615111058731E-6</v>
      </c>
      <c r="AA21" s="1615" t="s">
        <v>645</v>
      </c>
      <c r="AB21" s="1608">
        <f>Z21/$C$91</f>
        <v>1.5689400152177176E-4</v>
      </c>
      <c r="AC21" s="1616">
        <f t="shared" si="17"/>
        <v>1.5689400152177176E-2</v>
      </c>
      <c r="AD21" s="1617">
        <f t="shared" ref="AD21" si="49">ABS(Z21^2/$O$30^2*100)</f>
        <v>4.6811263327830822E-3</v>
      </c>
      <c r="AE21" s="1608">
        <f>$C$145</f>
        <v>1.630000157393327E-2</v>
      </c>
      <c r="AF21" s="1609" t="str">
        <f>$D$145</f>
        <v>s</v>
      </c>
      <c r="AG21" s="1610" t="s">
        <v>370</v>
      </c>
      <c r="AH21" s="1611">
        <f t="shared" si="18"/>
        <v>1.7320508075688772</v>
      </c>
      <c r="AI21" s="1612">
        <f>$C$155</f>
        <v>2.2797840393227461E-4</v>
      </c>
      <c r="AJ21" s="1613" t="str">
        <f>$D$155</f>
        <v>Gy/s</v>
      </c>
      <c r="AK21" s="1614">
        <f t="shared" si="2"/>
        <v>2.1454615111058731E-6</v>
      </c>
      <c r="AL21" s="1615" t="s">
        <v>645</v>
      </c>
      <c r="AM21" s="1608">
        <f>AK21/$C$91</f>
        <v>1.5689400152177176E-4</v>
      </c>
      <c r="AN21" s="1616">
        <f t="shared" si="20"/>
        <v>1.5689400152177176E-2</v>
      </c>
      <c r="AO21" s="1617">
        <f t="shared" ref="AO21" si="50">ABS(AK21^2/$O$30^2*100)</f>
        <v>4.6811263327830822E-3</v>
      </c>
      <c r="AP21" s="1608">
        <f>$C$145</f>
        <v>1.630000157393327E-2</v>
      </c>
      <c r="AQ21" s="1609" t="str">
        <f>$D$145</f>
        <v>s</v>
      </c>
      <c r="AR21" s="1610" t="s">
        <v>370</v>
      </c>
      <c r="AS21" s="1611">
        <f t="shared" si="21"/>
        <v>1.7320508075688772</v>
      </c>
      <c r="AT21" s="1612">
        <f>$C$155</f>
        <v>2.2797840393227461E-4</v>
      </c>
      <c r="AU21" s="1613" t="str">
        <f>$D$155</f>
        <v>Gy/s</v>
      </c>
      <c r="AV21" s="1614">
        <f t="shared" si="3"/>
        <v>2.1454615111058731E-6</v>
      </c>
      <c r="AW21" s="1615" t="s">
        <v>645</v>
      </c>
      <c r="AX21" s="1608">
        <f>AV21/$C$91</f>
        <v>1.5689400152177176E-4</v>
      </c>
      <c r="AY21" s="1616">
        <f t="shared" si="23"/>
        <v>1.5689400152177176E-2</v>
      </c>
      <c r="AZ21" s="1617">
        <f t="shared" ref="AZ21" si="51">ABS(AV21^2/$O$30^2*100)</f>
        <v>4.6811263327830822E-3</v>
      </c>
      <c r="BA21" s="1608">
        <f>$C$145</f>
        <v>1.630000157393327E-2</v>
      </c>
      <c r="BB21" s="1609" t="str">
        <f>$D$145</f>
        <v>s</v>
      </c>
      <c r="BC21" s="1610" t="s">
        <v>370</v>
      </c>
      <c r="BD21" s="1611">
        <f t="shared" si="24"/>
        <v>1.7320508075688772</v>
      </c>
      <c r="BE21" s="1612">
        <f>$C$155</f>
        <v>2.2797840393227461E-4</v>
      </c>
      <c r="BF21" s="1613" t="str">
        <f>$D$155</f>
        <v>Gy/s</v>
      </c>
      <c r="BG21" s="1614">
        <f t="shared" si="4"/>
        <v>2.1454615111058731E-6</v>
      </c>
      <c r="BH21" s="1615" t="s">
        <v>645</v>
      </c>
      <c r="BI21" s="1608">
        <f>BG21/$C$91</f>
        <v>1.5689400152177176E-4</v>
      </c>
      <c r="BJ21" s="1616">
        <f t="shared" si="26"/>
        <v>1.5689400152177176E-2</v>
      </c>
      <c r="BK21" s="1617">
        <f t="shared" ref="BK21" si="52">ABS(BG21^2/$O$30^2*100)</f>
        <v>4.6811263327830822E-3</v>
      </c>
      <c r="BL21" s="1608">
        <f>$C$145</f>
        <v>1.630000157393327E-2</v>
      </c>
      <c r="BM21" s="1609" t="str">
        <f>$D$145</f>
        <v>s</v>
      </c>
      <c r="BN21" s="1610" t="s">
        <v>370</v>
      </c>
      <c r="BO21" s="1611">
        <f t="shared" si="27"/>
        <v>1.7320508075688772</v>
      </c>
      <c r="BP21" s="1612">
        <f>$C$155</f>
        <v>2.2797840393227461E-4</v>
      </c>
      <c r="BQ21" s="1613" t="str">
        <f>$D$155</f>
        <v>Gy/s</v>
      </c>
      <c r="BR21" s="1614">
        <f t="shared" si="5"/>
        <v>2.1454615111058731E-6</v>
      </c>
      <c r="BS21" s="1615" t="s">
        <v>645</v>
      </c>
      <c r="BT21" s="1608">
        <f>BR21/$C$91</f>
        <v>1.5689400152177176E-4</v>
      </c>
      <c r="BU21" s="1616">
        <f t="shared" si="29"/>
        <v>1.5689400152177176E-2</v>
      </c>
      <c r="BV21" s="1617">
        <f t="shared" ref="BV21" si="53">ABS(BR21^2/$O$30^2*100)</f>
        <v>4.6811263327830822E-3</v>
      </c>
      <c r="BW21" s="1608">
        <f>$C$145</f>
        <v>1.630000157393327E-2</v>
      </c>
      <c r="BX21" s="1609" t="str">
        <f>$D$145</f>
        <v>s</v>
      </c>
      <c r="BY21" s="1610" t="s">
        <v>370</v>
      </c>
      <c r="BZ21" s="1611">
        <f t="shared" si="30"/>
        <v>1.7320508075688772</v>
      </c>
      <c r="CA21" s="1612">
        <f>$C$155</f>
        <v>2.2797840393227461E-4</v>
      </c>
      <c r="CB21" s="1613" t="str">
        <f>$D$155</f>
        <v>Gy/s</v>
      </c>
      <c r="CC21" s="1614">
        <f t="shared" si="6"/>
        <v>2.1454615111058731E-6</v>
      </c>
      <c r="CD21" s="1615" t="s">
        <v>645</v>
      </c>
      <c r="CE21" s="1608">
        <f>CC21/$C$91</f>
        <v>1.5689400152177176E-4</v>
      </c>
      <c r="CF21" s="1616">
        <f t="shared" si="32"/>
        <v>1.5689400152177176E-2</v>
      </c>
      <c r="CG21" s="1617">
        <f t="shared" ref="CG21" si="54">ABS(CC21^2/$O$30^2*100)</f>
        <v>4.6811263327830822E-3</v>
      </c>
      <c r="CH21" s="1608">
        <f>$C$145</f>
        <v>1.630000157393327E-2</v>
      </c>
      <c r="CI21" s="1609" t="str">
        <f>$D$145</f>
        <v>s</v>
      </c>
      <c r="CJ21" s="1610" t="s">
        <v>370</v>
      </c>
      <c r="CK21" s="1611">
        <f t="shared" si="33"/>
        <v>1.7320508075688772</v>
      </c>
      <c r="CL21" s="1612">
        <f>$C$155</f>
        <v>2.2797840393227461E-4</v>
      </c>
      <c r="CM21" s="1613" t="str">
        <f>$D$155</f>
        <v>Gy/s</v>
      </c>
      <c r="CN21" s="1614">
        <f t="shared" si="7"/>
        <v>2.1454615111058731E-6</v>
      </c>
      <c r="CO21" s="1615" t="s">
        <v>645</v>
      </c>
      <c r="CP21" s="1608">
        <f>CN21/$C$91</f>
        <v>1.5689400152177176E-4</v>
      </c>
      <c r="CQ21" s="1616">
        <f t="shared" si="35"/>
        <v>1.5689400152177176E-2</v>
      </c>
      <c r="CR21" s="1617">
        <f t="shared" ref="CR21" si="55">ABS(CN21^2/$O$30^2*100)</f>
        <v>4.6811263327830822E-3</v>
      </c>
      <c r="CS21" s="1608">
        <f>$C$145</f>
        <v>1.630000157393327E-2</v>
      </c>
      <c r="CT21" s="1609" t="str">
        <f>$D$145</f>
        <v>s</v>
      </c>
      <c r="CU21" s="1610" t="s">
        <v>370</v>
      </c>
      <c r="CV21" s="1611">
        <f t="shared" si="36"/>
        <v>1.7320508075688772</v>
      </c>
      <c r="CW21" s="1612">
        <f>$C$155</f>
        <v>2.2797840393227461E-4</v>
      </c>
      <c r="CX21" s="1613" t="str">
        <f>$D$155</f>
        <v>Gy/s</v>
      </c>
      <c r="CY21" s="1614">
        <f t="shared" si="8"/>
        <v>2.1454615111058731E-6</v>
      </c>
      <c r="CZ21" s="1615" t="s">
        <v>645</v>
      </c>
      <c r="DA21" s="1608">
        <f>CY21/$C$91</f>
        <v>1.5689400152177176E-4</v>
      </c>
      <c r="DB21" s="1616">
        <f t="shared" si="38"/>
        <v>1.5689400152177176E-2</v>
      </c>
      <c r="DC21" s="1617">
        <f t="shared" ref="DC21" si="56">ABS(CY21^2/$O$30^2*100)</f>
        <v>4.6811263327830822E-3</v>
      </c>
      <c r="DD21" s="1608">
        <f>$C$145</f>
        <v>1.630000157393327E-2</v>
      </c>
      <c r="DE21" s="1609" t="str">
        <f>$D$145</f>
        <v>s</v>
      </c>
      <c r="DF21" s="1610" t="s">
        <v>370</v>
      </c>
      <c r="DG21" s="1611">
        <f t="shared" si="39"/>
        <v>1.7320508075688772</v>
      </c>
      <c r="DH21" s="1612">
        <f>$C$155</f>
        <v>2.2797840393227461E-4</v>
      </c>
      <c r="DI21" s="1613" t="str">
        <f>$D$155</f>
        <v>Gy/s</v>
      </c>
      <c r="DJ21" s="1614">
        <f t="shared" si="9"/>
        <v>2.1454615111058731E-6</v>
      </c>
      <c r="DK21" s="1615" t="s">
        <v>645</v>
      </c>
      <c r="DL21" s="1608">
        <f>DJ21/$C$91</f>
        <v>1.5689400152177176E-4</v>
      </c>
      <c r="DM21" s="1616">
        <f t="shared" si="41"/>
        <v>1.5689400152177176E-2</v>
      </c>
      <c r="DN21" s="1617">
        <f t="shared" ref="DN21" si="57">ABS(DJ21^2/$O$30^2*100)</f>
        <v>4.6811263327830822E-3</v>
      </c>
      <c r="DO21" s="1608">
        <f>$C$145</f>
        <v>1.630000157393327E-2</v>
      </c>
      <c r="DP21" s="1609" t="str">
        <f>$D$145</f>
        <v>s</v>
      </c>
      <c r="DQ21" s="1610" t="s">
        <v>370</v>
      </c>
      <c r="DR21" s="1611">
        <f t="shared" si="42"/>
        <v>1.7320508075688772</v>
      </c>
      <c r="DS21" s="1612">
        <f>$C$155</f>
        <v>2.2797840393227461E-4</v>
      </c>
      <c r="DT21" s="1613" t="str">
        <f>$D$155</f>
        <v>Gy/s</v>
      </c>
      <c r="DU21" s="1614">
        <f t="shared" si="10"/>
        <v>2.1454615111058731E-6</v>
      </c>
      <c r="DV21" s="1615" t="s">
        <v>645</v>
      </c>
      <c r="DW21" s="1608">
        <f>DU21/$C$91</f>
        <v>1.5689400152177176E-4</v>
      </c>
      <c r="DX21" s="1616">
        <f t="shared" si="44"/>
        <v>1.5689400152177176E-2</v>
      </c>
      <c r="DY21" s="1617">
        <f t="shared" ref="DY21" si="58">ABS(DU21^2/$O$30^2*100)</f>
        <v>4.6811263327830822E-3</v>
      </c>
      <c r="DZ21" s="1608">
        <f>$C$145</f>
        <v>1.630000157393327E-2</v>
      </c>
      <c r="EA21" s="1609" t="str">
        <f>$D$145</f>
        <v>s</v>
      </c>
      <c r="EB21" s="1610" t="s">
        <v>370</v>
      </c>
      <c r="EC21" s="1611">
        <f t="shared" si="45"/>
        <v>1.7320508075688772</v>
      </c>
      <c r="ED21" s="1612">
        <f>$C$155</f>
        <v>2.2797840393227461E-4</v>
      </c>
      <c r="EE21" s="1613" t="str">
        <f>$D$155</f>
        <v>Gy/s</v>
      </c>
      <c r="EF21" s="1614">
        <f t="shared" si="11"/>
        <v>2.1454615111058731E-6</v>
      </c>
      <c r="EG21" s="1615" t="s">
        <v>645</v>
      </c>
      <c r="EH21" s="1608">
        <f>EF21/$C$91</f>
        <v>1.5689400152177176E-4</v>
      </c>
      <c r="EI21" s="1616">
        <f t="shared" si="47"/>
        <v>1.5689400152177176E-2</v>
      </c>
      <c r="EJ21" s="1617">
        <f t="shared" ref="EJ21" si="59">ABS(EF21^2/$O$30^2*100)</f>
        <v>4.6811263327830822E-3</v>
      </c>
    </row>
    <row r="22" spans="1:140" s="730" customFormat="1" ht="18" x14ac:dyDescent="0.25">
      <c r="A22" s="741">
        <v>4</v>
      </c>
      <c r="B22" s="2594" t="s">
        <v>993</v>
      </c>
      <c r="C22" s="2595"/>
      <c r="D22" s="2595"/>
      <c r="E22" s="2595"/>
      <c r="F22" s="2558"/>
      <c r="G22" s="1454" t="s">
        <v>620</v>
      </c>
      <c r="H22" s="781" t="s">
        <v>451</v>
      </c>
      <c r="I22" s="1608">
        <f>$C$168</f>
        <v>4.1023961621966358E-5</v>
      </c>
      <c r="J22" s="1609" t="str">
        <f>$D$168</f>
        <v>Gy</v>
      </c>
      <c r="K22" s="1610" t="s">
        <v>370</v>
      </c>
      <c r="L22" s="1611">
        <f t="shared" si="12"/>
        <v>1.7320508075688772</v>
      </c>
      <c r="M22" s="1612">
        <f>$C$175</f>
        <v>1</v>
      </c>
      <c r="N22" s="1613" t="str">
        <f>$D$175</f>
        <v>-</v>
      </c>
      <c r="O22" s="1614">
        <f t="shared" si="0"/>
        <v>2.3685195285667155E-5</v>
      </c>
      <c r="P22" s="1618" t="s">
        <v>645</v>
      </c>
      <c r="Q22" s="1608">
        <f t="shared" si="13"/>
        <v>1.7320586018238504E-3</v>
      </c>
      <c r="R22" s="1616">
        <f t="shared" si="14"/>
        <v>0.17320586018238504</v>
      </c>
      <c r="S22" s="1617">
        <f>ABS(O22^2/$O$30^2*100)</f>
        <v>0.57050945448027612</v>
      </c>
      <c r="T22" s="1608">
        <f>$C$168</f>
        <v>4.1023961621966358E-5</v>
      </c>
      <c r="U22" s="1609" t="str">
        <f>$D$168</f>
        <v>Gy</v>
      </c>
      <c r="V22" s="1610" t="s">
        <v>370</v>
      </c>
      <c r="W22" s="1611">
        <f t="shared" si="15"/>
        <v>1.7320508075688772</v>
      </c>
      <c r="X22" s="1612">
        <f>$C$175</f>
        <v>1</v>
      </c>
      <c r="Y22" s="1613" t="str">
        <f>$D$175</f>
        <v>-</v>
      </c>
      <c r="Z22" s="1614">
        <f t="shared" si="1"/>
        <v>2.3685195285667155E-5</v>
      </c>
      <c r="AA22" s="1618" t="s">
        <v>645</v>
      </c>
      <c r="AB22" s="1608">
        <f t="shared" ref="AB22:AB29" si="60">Z22/$C$91</f>
        <v>1.7320586018238504E-3</v>
      </c>
      <c r="AC22" s="1616">
        <f t="shared" si="17"/>
        <v>0.17320586018238504</v>
      </c>
      <c r="AD22" s="1617">
        <f>ABS(Z22^2/$O$30^2*100)</f>
        <v>0.57050945448027612</v>
      </c>
      <c r="AE22" s="1608">
        <f>$C$168</f>
        <v>4.1023961621966358E-5</v>
      </c>
      <c r="AF22" s="1609" t="str">
        <f>$D$168</f>
        <v>Gy</v>
      </c>
      <c r="AG22" s="1610" t="s">
        <v>370</v>
      </c>
      <c r="AH22" s="1611">
        <f t="shared" si="18"/>
        <v>1.7320508075688772</v>
      </c>
      <c r="AI22" s="1612">
        <f>$C$175</f>
        <v>1</v>
      </c>
      <c r="AJ22" s="1613" t="str">
        <f>$D$175</f>
        <v>-</v>
      </c>
      <c r="AK22" s="1614">
        <f t="shared" si="2"/>
        <v>2.3685195285667155E-5</v>
      </c>
      <c r="AL22" s="1618" t="s">
        <v>645</v>
      </c>
      <c r="AM22" s="1608">
        <f t="shared" ref="AM22:AM29" si="61">AK22/$C$91</f>
        <v>1.7320586018238504E-3</v>
      </c>
      <c r="AN22" s="1616">
        <f t="shared" si="20"/>
        <v>0.17320586018238504</v>
      </c>
      <c r="AO22" s="1617">
        <f>ABS(AK22^2/$O$30^2*100)</f>
        <v>0.57050945448027612</v>
      </c>
      <c r="AP22" s="1608">
        <f>$C$168</f>
        <v>4.1023961621966358E-5</v>
      </c>
      <c r="AQ22" s="1609" t="str">
        <f>$D$168</f>
        <v>Gy</v>
      </c>
      <c r="AR22" s="1610" t="s">
        <v>370</v>
      </c>
      <c r="AS22" s="1611">
        <f t="shared" si="21"/>
        <v>1.7320508075688772</v>
      </c>
      <c r="AT22" s="1612">
        <f>$C$175</f>
        <v>1</v>
      </c>
      <c r="AU22" s="1613" t="str">
        <f>$D$175</f>
        <v>-</v>
      </c>
      <c r="AV22" s="1614">
        <f t="shared" si="3"/>
        <v>2.3685195285667155E-5</v>
      </c>
      <c r="AW22" s="1618" t="s">
        <v>645</v>
      </c>
      <c r="AX22" s="1608">
        <f t="shared" ref="AX22:AX29" si="62">AV22/$C$91</f>
        <v>1.7320586018238504E-3</v>
      </c>
      <c r="AY22" s="1616">
        <f t="shared" si="23"/>
        <v>0.17320586018238504</v>
      </c>
      <c r="AZ22" s="1617">
        <f>ABS(AV22^2/$O$30^2*100)</f>
        <v>0.57050945448027612</v>
      </c>
      <c r="BA22" s="1608">
        <f>$C$168</f>
        <v>4.1023961621966358E-5</v>
      </c>
      <c r="BB22" s="1609" t="str">
        <f>$D$168</f>
        <v>Gy</v>
      </c>
      <c r="BC22" s="1610" t="s">
        <v>370</v>
      </c>
      <c r="BD22" s="1611">
        <f t="shared" si="24"/>
        <v>1.7320508075688772</v>
      </c>
      <c r="BE22" s="1612">
        <f>$C$175</f>
        <v>1</v>
      </c>
      <c r="BF22" s="1613" t="str">
        <f>$D$175</f>
        <v>-</v>
      </c>
      <c r="BG22" s="1614">
        <f t="shared" si="4"/>
        <v>2.3685195285667155E-5</v>
      </c>
      <c r="BH22" s="1618" t="s">
        <v>645</v>
      </c>
      <c r="BI22" s="1608">
        <f t="shared" ref="BI22:BI29" si="63">BG22/$C$91</f>
        <v>1.7320586018238504E-3</v>
      </c>
      <c r="BJ22" s="1616">
        <f t="shared" si="26"/>
        <v>0.17320586018238504</v>
      </c>
      <c r="BK22" s="1617">
        <f>ABS(BG22^2/$O$30^2*100)</f>
        <v>0.57050945448027612</v>
      </c>
      <c r="BL22" s="1608">
        <f>$C$168</f>
        <v>4.1023961621966358E-5</v>
      </c>
      <c r="BM22" s="1609" t="str">
        <f>$D$168</f>
        <v>Gy</v>
      </c>
      <c r="BN22" s="1610" t="s">
        <v>370</v>
      </c>
      <c r="BO22" s="1611">
        <f t="shared" si="27"/>
        <v>1.7320508075688772</v>
      </c>
      <c r="BP22" s="1612">
        <f>$C$175</f>
        <v>1</v>
      </c>
      <c r="BQ22" s="1613" t="str">
        <f>$D$175</f>
        <v>-</v>
      </c>
      <c r="BR22" s="1614">
        <f t="shared" si="5"/>
        <v>2.3685195285667155E-5</v>
      </c>
      <c r="BS22" s="1618" t="s">
        <v>645</v>
      </c>
      <c r="BT22" s="1608">
        <f t="shared" ref="BT22:BT29" si="64">BR22/$C$91</f>
        <v>1.7320586018238504E-3</v>
      </c>
      <c r="BU22" s="1616">
        <f t="shared" si="29"/>
        <v>0.17320586018238504</v>
      </c>
      <c r="BV22" s="1617">
        <f>ABS(BR22^2/$O$30^2*100)</f>
        <v>0.57050945448027612</v>
      </c>
      <c r="BW22" s="1608">
        <f>$C$168</f>
        <v>4.1023961621966358E-5</v>
      </c>
      <c r="BX22" s="1609" t="str">
        <f>$D$168</f>
        <v>Gy</v>
      </c>
      <c r="BY22" s="1610" t="s">
        <v>370</v>
      </c>
      <c r="BZ22" s="1611">
        <f t="shared" si="30"/>
        <v>1.7320508075688772</v>
      </c>
      <c r="CA22" s="1612">
        <f>$C$175</f>
        <v>1</v>
      </c>
      <c r="CB22" s="1613" t="str">
        <f>$D$175</f>
        <v>-</v>
      </c>
      <c r="CC22" s="1614">
        <f t="shared" si="6"/>
        <v>2.3685195285667155E-5</v>
      </c>
      <c r="CD22" s="1618" t="s">
        <v>645</v>
      </c>
      <c r="CE22" s="1608">
        <f t="shared" ref="CE22:CE29" si="65">CC22/$C$91</f>
        <v>1.7320586018238504E-3</v>
      </c>
      <c r="CF22" s="1616">
        <f t="shared" si="32"/>
        <v>0.17320586018238504</v>
      </c>
      <c r="CG22" s="1617">
        <f>ABS(CC22^2/$O$30^2*100)</f>
        <v>0.57050945448027612</v>
      </c>
      <c r="CH22" s="1608">
        <f>$C$168</f>
        <v>4.1023961621966358E-5</v>
      </c>
      <c r="CI22" s="1609" t="str">
        <f>$D$168</f>
        <v>Gy</v>
      </c>
      <c r="CJ22" s="1610" t="s">
        <v>370</v>
      </c>
      <c r="CK22" s="1611">
        <f t="shared" si="33"/>
        <v>1.7320508075688772</v>
      </c>
      <c r="CL22" s="1612">
        <f>$C$175</f>
        <v>1</v>
      </c>
      <c r="CM22" s="1613" t="str">
        <f>$D$175</f>
        <v>-</v>
      </c>
      <c r="CN22" s="1614">
        <f t="shared" si="7"/>
        <v>2.3685195285667155E-5</v>
      </c>
      <c r="CO22" s="1618" t="s">
        <v>645</v>
      </c>
      <c r="CP22" s="1608">
        <f t="shared" ref="CP22:CP29" si="66">CN22/$C$91</f>
        <v>1.7320586018238504E-3</v>
      </c>
      <c r="CQ22" s="1616">
        <f t="shared" si="35"/>
        <v>0.17320586018238504</v>
      </c>
      <c r="CR22" s="1617">
        <f>ABS(CN22^2/$O$30^2*100)</f>
        <v>0.57050945448027612</v>
      </c>
      <c r="CS22" s="1608">
        <f>$C$168</f>
        <v>4.1023961621966358E-5</v>
      </c>
      <c r="CT22" s="1609" t="str">
        <f>$D$168</f>
        <v>Gy</v>
      </c>
      <c r="CU22" s="1610" t="s">
        <v>370</v>
      </c>
      <c r="CV22" s="1611">
        <f t="shared" si="36"/>
        <v>1.7320508075688772</v>
      </c>
      <c r="CW22" s="1612">
        <f>$C$175</f>
        <v>1</v>
      </c>
      <c r="CX22" s="1613" t="str">
        <f>$D$175</f>
        <v>-</v>
      </c>
      <c r="CY22" s="1614">
        <f t="shared" si="8"/>
        <v>2.3685195285667155E-5</v>
      </c>
      <c r="CZ22" s="1618" t="s">
        <v>645</v>
      </c>
      <c r="DA22" s="1608">
        <f t="shared" ref="DA22:DA29" si="67">CY22/$C$91</f>
        <v>1.7320586018238504E-3</v>
      </c>
      <c r="DB22" s="1616">
        <f t="shared" si="38"/>
        <v>0.17320586018238504</v>
      </c>
      <c r="DC22" s="1617">
        <f>ABS(CY22^2/$O$30^2*100)</f>
        <v>0.57050945448027612</v>
      </c>
      <c r="DD22" s="1608">
        <f>$C$168</f>
        <v>4.1023961621966358E-5</v>
      </c>
      <c r="DE22" s="1609" t="str">
        <f>$D$168</f>
        <v>Gy</v>
      </c>
      <c r="DF22" s="1610" t="s">
        <v>370</v>
      </c>
      <c r="DG22" s="1611">
        <f t="shared" si="39"/>
        <v>1.7320508075688772</v>
      </c>
      <c r="DH22" s="1612">
        <f>$C$175</f>
        <v>1</v>
      </c>
      <c r="DI22" s="1613" t="str">
        <f>$D$175</f>
        <v>-</v>
      </c>
      <c r="DJ22" s="1614">
        <f t="shared" si="9"/>
        <v>2.3685195285667155E-5</v>
      </c>
      <c r="DK22" s="1618" t="s">
        <v>645</v>
      </c>
      <c r="DL22" s="1608">
        <f t="shared" ref="DL22:DL29" si="68">DJ22/$C$91</f>
        <v>1.7320586018238504E-3</v>
      </c>
      <c r="DM22" s="1616">
        <f t="shared" si="41"/>
        <v>0.17320586018238504</v>
      </c>
      <c r="DN22" s="1617">
        <f>ABS(DJ22^2/$O$30^2*100)</f>
        <v>0.57050945448027612</v>
      </c>
      <c r="DO22" s="1608">
        <f>$C$168</f>
        <v>4.1023961621966358E-5</v>
      </c>
      <c r="DP22" s="1609" t="str">
        <f>$D$168</f>
        <v>Gy</v>
      </c>
      <c r="DQ22" s="1610" t="s">
        <v>370</v>
      </c>
      <c r="DR22" s="1611">
        <f t="shared" si="42"/>
        <v>1.7320508075688772</v>
      </c>
      <c r="DS22" s="1612">
        <f>$C$175</f>
        <v>1</v>
      </c>
      <c r="DT22" s="1613" t="str">
        <f>$D$175</f>
        <v>-</v>
      </c>
      <c r="DU22" s="1614">
        <f t="shared" si="10"/>
        <v>2.3685195285667155E-5</v>
      </c>
      <c r="DV22" s="1618" t="s">
        <v>645</v>
      </c>
      <c r="DW22" s="1608">
        <f t="shared" ref="DW22:DW29" si="69">DU22/$C$91</f>
        <v>1.7320586018238504E-3</v>
      </c>
      <c r="DX22" s="1616">
        <f t="shared" si="44"/>
        <v>0.17320586018238504</v>
      </c>
      <c r="DY22" s="1617">
        <f>ABS(DU22^2/$O$30^2*100)</f>
        <v>0.57050945448027612</v>
      </c>
      <c r="DZ22" s="1608">
        <f>$C$168</f>
        <v>4.1023961621966358E-5</v>
      </c>
      <c r="EA22" s="1609" t="str">
        <f>$D$168</f>
        <v>Gy</v>
      </c>
      <c r="EB22" s="1610" t="s">
        <v>370</v>
      </c>
      <c r="EC22" s="1611">
        <f t="shared" si="45"/>
        <v>1.7320508075688772</v>
      </c>
      <c r="ED22" s="1612">
        <f>$C$175</f>
        <v>1</v>
      </c>
      <c r="EE22" s="1613" t="str">
        <f>$D$175</f>
        <v>-</v>
      </c>
      <c r="EF22" s="1614">
        <f t="shared" si="11"/>
        <v>2.3685195285667155E-5</v>
      </c>
      <c r="EG22" s="1618" t="s">
        <v>645</v>
      </c>
      <c r="EH22" s="1608">
        <f t="shared" ref="EH22:EH29" si="70">EF22/$C$91</f>
        <v>1.7320586018238504E-3</v>
      </c>
      <c r="EI22" s="1616">
        <f t="shared" si="47"/>
        <v>0.17320586018238504</v>
      </c>
      <c r="EJ22" s="1617">
        <f>ABS(EF22^2/$O$30^2*100)</f>
        <v>0.57050945448027612</v>
      </c>
    </row>
    <row r="23" spans="1:140" s="730" customFormat="1" ht="18" x14ac:dyDescent="0.25">
      <c r="A23" s="741">
        <v>5</v>
      </c>
      <c r="B23" s="2593" t="s">
        <v>429</v>
      </c>
      <c r="C23" s="2559"/>
      <c r="D23" s="2559"/>
      <c r="E23" s="2559"/>
      <c r="F23" s="2555"/>
      <c r="G23" s="1454" t="s">
        <v>621</v>
      </c>
      <c r="H23" s="781" t="s">
        <v>451</v>
      </c>
      <c r="I23" s="1608">
        <f>$C$184</f>
        <v>2.7234297889324675E-5</v>
      </c>
      <c r="J23" s="1609" t="str">
        <f>$D$184</f>
        <v>Gy</v>
      </c>
      <c r="K23" s="1610" t="s">
        <v>370</v>
      </c>
      <c r="L23" s="1611">
        <f t="shared" si="12"/>
        <v>1.7320508075688772</v>
      </c>
      <c r="M23" s="1612">
        <f>$C$194</f>
        <v>1</v>
      </c>
      <c r="N23" s="1619" t="str">
        <f>$D$194</f>
        <v>-</v>
      </c>
      <c r="O23" s="1614">
        <f t="shared" si="0"/>
        <v>1.572372921759206E-5</v>
      </c>
      <c r="P23" s="1618" t="s">
        <v>645</v>
      </c>
      <c r="Q23" s="1608">
        <f t="shared" si="13"/>
        <v>1.1498499427851435E-3</v>
      </c>
      <c r="R23" s="1616">
        <f t="shared" si="14"/>
        <v>0.11498499427851434</v>
      </c>
      <c r="S23" s="1617">
        <f t="shared" si="48"/>
        <v>0.25143169228833367</v>
      </c>
      <c r="T23" s="1608">
        <f>$C$184</f>
        <v>2.7234297889324675E-5</v>
      </c>
      <c r="U23" s="1609" t="str">
        <f>$D$184</f>
        <v>Gy</v>
      </c>
      <c r="V23" s="1610" t="s">
        <v>370</v>
      </c>
      <c r="W23" s="1611">
        <f t="shared" si="15"/>
        <v>1.7320508075688772</v>
      </c>
      <c r="X23" s="1612">
        <f>$C$194</f>
        <v>1</v>
      </c>
      <c r="Y23" s="1619" t="str">
        <f>$D$194</f>
        <v>-</v>
      </c>
      <c r="Z23" s="1614">
        <f t="shared" si="1"/>
        <v>1.572372921759206E-5</v>
      </c>
      <c r="AA23" s="1618" t="s">
        <v>645</v>
      </c>
      <c r="AB23" s="1608">
        <f t="shared" si="60"/>
        <v>1.1498499427851435E-3</v>
      </c>
      <c r="AC23" s="1616">
        <f t="shared" si="17"/>
        <v>0.11498499427851434</v>
      </c>
      <c r="AD23" s="1617">
        <f t="shared" ref="AD23:AD26" si="71">ABS(Z23^2/$O$30^2*100)</f>
        <v>0.25143169228833367</v>
      </c>
      <c r="AE23" s="1608">
        <f>$C$184</f>
        <v>2.7234297889324675E-5</v>
      </c>
      <c r="AF23" s="1609" t="str">
        <f>$D$184</f>
        <v>Gy</v>
      </c>
      <c r="AG23" s="1610" t="s">
        <v>370</v>
      </c>
      <c r="AH23" s="1611">
        <f t="shared" si="18"/>
        <v>1.7320508075688772</v>
      </c>
      <c r="AI23" s="1612">
        <f>$C$194</f>
        <v>1</v>
      </c>
      <c r="AJ23" s="1619" t="str">
        <f>$D$194</f>
        <v>-</v>
      </c>
      <c r="AK23" s="1614">
        <f t="shared" si="2"/>
        <v>1.572372921759206E-5</v>
      </c>
      <c r="AL23" s="1618" t="s">
        <v>645</v>
      </c>
      <c r="AM23" s="1608">
        <f t="shared" si="61"/>
        <v>1.1498499427851435E-3</v>
      </c>
      <c r="AN23" s="1616">
        <f t="shared" si="20"/>
        <v>0.11498499427851434</v>
      </c>
      <c r="AO23" s="1617">
        <f t="shared" ref="AO23:AO26" si="72">ABS(AK23^2/$O$30^2*100)</f>
        <v>0.25143169228833367</v>
      </c>
      <c r="AP23" s="1608">
        <f>$C$184</f>
        <v>2.7234297889324675E-5</v>
      </c>
      <c r="AQ23" s="1609" t="str">
        <f>$D$184</f>
        <v>Gy</v>
      </c>
      <c r="AR23" s="1610" t="s">
        <v>370</v>
      </c>
      <c r="AS23" s="1611">
        <f t="shared" si="21"/>
        <v>1.7320508075688772</v>
      </c>
      <c r="AT23" s="1612">
        <f>$C$194</f>
        <v>1</v>
      </c>
      <c r="AU23" s="1619" t="str">
        <f>$D$194</f>
        <v>-</v>
      </c>
      <c r="AV23" s="1614">
        <f t="shared" si="3"/>
        <v>1.572372921759206E-5</v>
      </c>
      <c r="AW23" s="1618" t="s">
        <v>645</v>
      </c>
      <c r="AX23" s="1608">
        <f t="shared" si="62"/>
        <v>1.1498499427851435E-3</v>
      </c>
      <c r="AY23" s="1616">
        <f t="shared" si="23"/>
        <v>0.11498499427851434</v>
      </c>
      <c r="AZ23" s="1617">
        <f t="shared" ref="AZ23:AZ26" si="73">ABS(AV23^2/$O$30^2*100)</f>
        <v>0.25143169228833367</v>
      </c>
      <c r="BA23" s="1608">
        <f>$C$184</f>
        <v>2.7234297889324675E-5</v>
      </c>
      <c r="BB23" s="1609" t="str">
        <f>$D$184</f>
        <v>Gy</v>
      </c>
      <c r="BC23" s="1610" t="s">
        <v>370</v>
      </c>
      <c r="BD23" s="1611">
        <f t="shared" si="24"/>
        <v>1.7320508075688772</v>
      </c>
      <c r="BE23" s="1612">
        <f>$C$194</f>
        <v>1</v>
      </c>
      <c r="BF23" s="1619" t="str">
        <f>$D$194</f>
        <v>-</v>
      </c>
      <c r="BG23" s="1614">
        <f t="shared" si="4"/>
        <v>1.572372921759206E-5</v>
      </c>
      <c r="BH23" s="1618" t="s">
        <v>645</v>
      </c>
      <c r="BI23" s="1608">
        <f t="shared" si="63"/>
        <v>1.1498499427851435E-3</v>
      </c>
      <c r="BJ23" s="1616">
        <f t="shared" si="26"/>
        <v>0.11498499427851434</v>
      </c>
      <c r="BK23" s="1617">
        <f t="shared" ref="BK23:BK26" si="74">ABS(BG23^2/$O$30^2*100)</f>
        <v>0.25143169228833367</v>
      </c>
      <c r="BL23" s="1608">
        <f>$C$184</f>
        <v>2.7234297889324675E-5</v>
      </c>
      <c r="BM23" s="1609" t="str">
        <f>$D$184</f>
        <v>Gy</v>
      </c>
      <c r="BN23" s="1610" t="s">
        <v>370</v>
      </c>
      <c r="BO23" s="1611">
        <f t="shared" si="27"/>
        <v>1.7320508075688772</v>
      </c>
      <c r="BP23" s="1612">
        <f>$C$194</f>
        <v>1</v>
      </c>
      <c r="BQ23" s="1619" t="str">
        <f>$D$194</f>
        <v>-</v>
      </c>
      <c r="BR23" s="1614">
        <f t="shared" si="5"/>
        <v>1.572372921759206E-5</v>
      </c>
      <c r="BS23" s="1618" t="s">
        <v>645</v>
      </c>
      <c r="BT23" s="1608">
        <f t="shared" si="64"/>
        <v>1.1498499427851435E-3</v>
      </c>
      <c r="BU23" s="1616">
        <f t="shared" si="29"/>
        <v>0.11498499427851434</v>
      </c>
      <c r="BV23" s="1617">
        <f t="shared" ref="BV23:BV26" si="75">ABS(BR23^2/$O$30^2*100)</f>
        <v>0.25143169228833367</v>
      </c>
      <c r="BW23" s="1608">
        <f>$C$184</f>
        <v>2.7234297889324675E-5</v>
      </c>
      <c r="BX23" s="1609" t="str">
        <f>$D$184</f>
        <v>Gy</v>
      </c>
      <c r="BY23" s="1610" t="s">
        <v>370</v>
      </c>
      <c r="BZ23" s="1611">
        <f t="shared" si="30"/>
        <v>1.7320508075688772</v>
      </c>
      <c r="CA23" s="1612">
        <f>$C$194</f>
        <v>1</v>
      </c>
      <c r="CB23" s="1619" t="str">
        <f>$D$194</f>
        <v>-</v>
      </c>
      <c r="CC23" s="1614">
        <f t="shared" si="6"/>
        <v>1.572372921759206E-5</v>
      </c>
      <c r="CD23" s="1618" t="s">
        <v>645</v>
      </c>
      <c r="CE23" s="1608">
        <f t="shared" si="65"/>
        <v>1.1498499427851435E-3</v>
      </c>
      <c r="CF23" s="1616">
        <f t="shared" si="32"/>
        <v>0.11498499427851434</v>
      </c>
      <c r="CG23" s="1617">
        <f t="shared" ref="CG23:CG26" si="76">ABS(CC23^2/$O$30^2*100)</f>
        <v>0.25143169228833367</v>
      </c>
      <c r="CH23" s="1608">
        <f>$C$184</f>
        <v>2.7234297889324675E-5</v>
      </c>
      <c r="CI23" s="1609" t="str">
        <f>$D$184</f>
        <v>Gy</v>
      </c>
      <c r="CJ23" s="1610" t="s">
        <v>370</v>
      </c>
      <c r="CK23" s="1611">
        <f t="shared" si="33"/>
        <v>1.7320508075688772</v>
      </c>
      <c r="CL23" s="1612">
        <f>$C$194</f>
        <v>1</v>
      </c>
      <c r="CM23" s="1619" t="str">
        <f>$D$194</f>
        <v>-</v>
      </c>
      <c r="CN23" s="1614">
        <f t="shared" si="7"/>
        <v>1.572372921759206E-5</v>
      </c>
      <c r="CO23" s="1618" t="s">
        <v>645</v>
      </c>
      <c r="CP23" s="1608">
        <f t="shared" si="66"/>
        <v>1.1498499427851435E-3</v>
      </c>
      <c r="CQ23" s="1616">
        <f t="shared" si="35"/>
        <v>0.11498499427851434</v>
      </c>
      <c r="CR23" s="1617">
        <f t="shared" ref="CR23:CR26" si="77">ABS(CN23^2/$O$30^2*100)</f>
        <v>0.25143169228833367</v>
      </c>
      <c r="CS23" s="1608">
        <f>$C$184</f>
        <v>2.7234297889324675E-5</v>
      </c>
      <c r="CT23" s="1609" t="str">
        <f>$D$184</f>
        <v>Gy</v>
      </c>
      <c r="CU23" s="1610" t="s">
        <v>370</v>
      </c>
      <c r="CV23" s="1611">
        <f t="shared" si="36"/>
        <v>1.7320508075688772</v>
      </c>
      <c r="CW23" s="1612">
        <f>$C$194</f>
        <v>1</v>
      </c>
      <c r="CX23" s="1619" t="str">
        <f>$D$194</f>
        <v>-</v>
      </c>
      <c r="CY23" s="1614">
        <f t="shared" si="8"/>
        <v>1.572372921759206E-5</v>
      </c>
      <c r="CZ23" s="1618" t="s">
        <v>645</v>
      </c>
      <c r="DA23" s="1608">
        <f t="shared" si="67"/>
        <v>1.1498499427851435E-3</v>
      </c>
      <c r="DB23" s="1616">
        <f t="shared" si="38"/>
        <v>0.11498499427851434</v>
      </c>
      <c r="DC23" s="1617">
        <f t="shared" ref="DC23:DC26" si="78">ABS(CY23^2/$O$30^2*100)</f>
        <v>0.25143169228833367</v>
      </c>
      <c r="DD23" s="1608">
        <f>$C$184</f>
        <v>2.7234297889324675E-5</v>
      </c>
      <c r="DE23" s="1609" t="str">
        <f>$D$184</f>
        <v>Gy</v>
      </c>
      <c r="DF23" s="1610" t="s">
        <v>370</v>
      </c>
      <c r="DG23" s="1611">
        <f t="shared" si="39"/>
        <v>1.7320508075688772</v>
      </c>
      <c r="DH23" s="1612">
        <f>$C$194</f>
        <v>1</v>
      </c>
      <c r="DI23" s="1619" t="str">
        <f>$D$194</f>
        <v>-</v>
      </c>
      <c r="DJ23" s="1614">
        <f t="shared" si="9"/>
        <v>1.572372921759206E-5</v>
      </c>
      <c r="DK23" s="1618" t="s">
        <v>645</v>
      </c>
      <c r="DL23" s="1608">
        <f t="shared" si="68"/>
        <v>1.1498499427851435E-3</v>
      </c>
      <c r="DM23" s="1616">
        <f t="shared" si="41"/>
        <v>0.11498499427851434</v>
      </c>
      <c r="DN23" s="1617">
        <f t="shared" ref="DN23:DN26" si="79">ABS(DJ23^2/$O$30^2*100)</f>
        <v>0.25143169228833367</v>
      </c>
      <c r="DO23" s="1608">
        <f>$C$184</f>
        <v>2.7234297889324675E-5</v>
      </c>
      <c r="DP23" s="1609" t="str">
        <f>$D$184</f>
        <v>Gy</v>
      </c>
      <c r="DQ23" s="1610" t="s">
        <v>370</v>
      </c>
      <c r="DR23" s="1611">
        <f t="shared" si="42"/>
        <v>1.7320508075688772</v>
      </c>
      <c r="DS23" s="1612">
        <f>$C$194</f>
        <v>1</v>
      </c>
      <c r="DT23" s="1619" t="str">
        <f>$D$194</f>
        <v>-</v>
      </c>
      <c r="DU23" s="1614">
        <f t="shared" si="10"/>
        <v>1.572372921759206E-5</v>
      </c>
      <c r="DV23" s="1618" t="s">
        <v>645</v>
      </c>
      <c r="DW23" s="1608">
        <f t="shared" si="69"/>
        <v>1.1498499427851435E-3</v>
      </c>
      <c r="DX23" s="1616">
        <f t="shared" si="44"/>
        <v>0.11498499427851434</v>
      </c>
      <c r="DY23" s="1617">
        <f t="shared" ref="DY23:DY26" si="80">ABS(DU23^2/$O$30^2*100)</f>
        <v>0.25143169228833367</v>
      </c>
      <c r="DZ23" s="1608">
        <f>$C$184</f>
        <v>2.7234297889324675E-5</v>
      </c>
      <c r="EA23" s="1609" t="str">
        <f>$D$184</f>
        <v>Gy</v>
      </c>
      <c r="EB23" s="1610" t="s">
        <v>370</v>
      </c>
      <c r="EC23" s="1611">
        <f t="shared" si="45"/>
        <v>1.7320508075688772</v>
      </c>
      <c r="ED23" s="1612">
        <f>$C$194</f>
        <v>1</v>
      </c>
      <c r="EE23" s="1619" t="str">
        <f>$D$194</f>
        <v>-</v>
      </c>
      <c r="EF23" s="1614">
        <f t="shared" si="11"/>
        <v>1.572372921759206E-5</v>
      </c>
      <c r="EG23" s="1618" t="s">
        <v>645</v>
      </c>
      <c r="EH23" s="1608">
        <f t="shared" si="70"/>
        <v>1.1498499427851435E-3</v>
      </c>
      <c r="EI23" s="1616">
        <f t="shared" si="47"/>
        <v>0.11498499427851434</v>
      </c>
      <c r="EJ23" s="1617">
        <f t="shared" ref="EJ23:EJ26" si="81">ABS(EF23^2/$O$30^2*100)</f>
        <v>0.25143169228833367</v>
      </c>
    </row>
    <row r="24" spans="1:140" s="730" customFormat="1" ht="18" x14ac:dyDescent="0.25">
      <c r="A24" s="741">
        <v>6</v>
      </c>
      <c r="B24" s="2594" t="s">
        <v>986</v>
      </c>
      <c r="C24" s="2595"/>
      <c r="D24" s="2595"/>
      <c r="E24" s="2595"/>
      <c r="F24" s="2558"/>
      <c r="G24" s="1454" t="s">
        <v>622</v>
      </c>
      <c r="H24" s="781" t="s">
        <v>451</v>
      </c>
      <c r="I24" s="1608">
        <f>$C$205</f>
        <v>1.5042060672373209E-5</v>
      </c>
      <c r="J24" s="1609" t="str">
        <f>$D$205</f>
        <v>Gy</v>
      </c>
      <c r="K24" s="1610" t="s">
        <v>373</v>
      </c>
      <c r="L24" s="1611">
        <f t="shared" si="12"/>
        <v>2</v>
      </c>
      <c r="M24" s="1612">
        <f>$C$212</f>
        <v>1</v>
      </c>
      <c r="N24" s="1613" t="str">
        <f>$D$212</f>
        <v>-</v>
      </c>
      <c r="O24" s="1614">
        <f t="shared" si="0"/>
        <v>7.5210303361866043E-6</v>
      </c>
      <c r="P24" s="1618" t="s">
        <v>645</v>
      </c>
      <c r="Q24" s="1608">
        <f t="shared" si="13"/>
        <v>5.5000033275018855E-4</v>
      </c>
      <c r="R24" s="1616">
        <f t="shared" si="14"/>
        <v>5.5000033275018852E-2</v>
      </c>
      <c r="S24" s="1617">
        <f t="shared" si="48"/>
        <v>5.7525921864184773E-2</v>
      </c>
      <c r="T24" s="1608">
        <f>$C$205</f>
        <v>1.5042060672373209E-5</v>
      </c>
      <c r="U24" s="1609" t="str">
        <f>$D$205</f>
        <v>Gy</v>
      </c>
      <c r="V24" s="1610" t="s">
        <v>373</v>
      </c>
      <c r="W24" s="1611">
        <f t="shared" si="15"/>
        <v>2</v>
      </c>
      <c r="X24" s="1612">
        <f>$C$212</f>
        <v>1</v>
      </c>
      <c r="Y24" s="1613" t="str">
        <f>$D$212</f>
        <v>-</v>
      </c>
      <c r="Z24" s="1614">
        <f t="shared" si="1"/>
        <v>7.5210303361866043E-6</v>
      </c>
      <c r="AA24" s="1618" t="s">
        <v>645</v>
      </c>
      <c r="AB24" s="1608">
        <f t="shared" si="60"/>
        <v>5.5000033275018855E-4</v>
      </c>
      <c r="AC24" s="1616">
        <f t="shared" si="17"/>
        <v>5.5000033275018852E-2</v>
      </c>
      <c r="AD24" s="1617">
        <f t="shared" si="71"/>
        <v>5.7525921864184773E-2</v>
      </c>
      <c r="AE24" s="1608">
        <f>$C$205</f>
        <v>1.5042060672373209E-5</v>
      </c>
      <c r="AF24" s="1609" t="str">
        <f>$D$205</f>
        <v>Gy</v>
      </c>
      <c r="AG24" s="1610" t="s">
        <v>373</v>
      </c>
      <c r="AH24" s="1611">
        <f t="shared" si="18"/>
        <v>2</v>
      </c>
      <c r="AI24" s="1612">
        <f>$C$212</f>
        <v>1</v>
      </c>
      <c r="AJ24" s="1613" t="str">
        <f>$D$212</f>
        <v>-</v>
      </c>
      <c r="AK24" s="1614">
        <f t="shared" si="2"/>
        <v>7.5210303361866043E-6</v>
      </c>
      <c r="AL24" s="1618" t="s">
        <v>645</v>
      </c>
      <c r="AM24" s="1608">
        <f t="shared" si="61"/>
        <v>5.5000033275018855E-4</v>
      </c>
      <c r="AN24" s="1616">
        <f t="shared" si="20"/>
        <v>5.5000033275018852E-2</v>
      </c>
      <c r="AO24" s="1617">
        <f t="shared" si="72"/>
        <v>5.7525921864184773E-2</v>
      </c>
      <c r="AP24" s="1608">
        <f>$C$205</f>
        <v>1.5042060672373209E-5</v>
      </c>
      <c r="AQ24" s="1609" t="str">
        <f>$D$205</f>
        <v>Gy</v>
      </c>
      <c r="AR24" s="1610" t="s">
        <v>373</v>
      </c>
      <c r="AS24" s="1611">
        <f t="shared" si="21"/>
        <v>2</v>
      </c>
      <c r="AT24" s="1612">
        <f>$C$212</f>
        <v>1</v>
      </c>
      <c r="AU24" s="1613" t="str">
        <f>$D$212</f>
        <v>-</v>
      </c>
      <c r="AV24" s="1614">
        <f t="shared" si="3"/>
        <v>7.5210303361866043E-6</v>
      </c>
      <c r="AW24" s="1618" t="s">
        <v>645</v>
      </c>
      <c r="AX24" s="1608">
        <f t="shared" si="62"/>
        <v>5.5000033275018855E-4</v>
      </c>
      <c r="AY24" s="1616">
        <f t="shared" si="23"/>
        <v>5.5000033275018852E-2</v>
      </c>
      <c r="AZ24" s="1617">
        <f t="shared" si="73"/>
        <v>5.7525921864184773E-2</v>
      </c>
      <c r="BA24" s="1608">
        <f>$C$205</f>
        <v>1.5042060672373209E-5</v>
      </c>
      <c r="BB24" s="1609" t="str">
        <f>$D$205</f>
        <v>Gy</v>
      </c>
      <c r="BC24" s="1610" t="s">
        <v>373</v>
      </c>
      <c r="BD24" s="1611">
        <f t="shared" si="24"/>
        <v>2</v>
      </c>
      <c r="BE24" s="1612">
        <f>$C$212</f>
        <v>1</v>
      </c>
      <c r="BF24" s="1613" t="str">
        <f>$D$212</f>
        <v>-</v>
      </c>
      <c r="BG24" s="1614">
        <f t="shared" si="4"/>
        <v>7.5210303361866043E-6</v>
      </c>
      <c r="BH24" s="1618" t="s">
        <v>645</v>
      </c>
      <c r="BI24" s="1608">
        <f t="shared" si="63"/>
        <v>5.5000033275018855E-4</v>
      </c>
      <c r="BJ24" s="1616">
        <f t="shared" si="26"/>
        <v>5.5000033275018852E-2</v>
      </c>
      <c r="BK24" s="1617">
        <f t="shared" si="74"/>
        <v>5.7525921864184773E-2</v>
      </c>
      <c r="BL24" s="1608">
        <f>$C$205</f>
        <v>1.5042060672373209E-5</v>
      </c>
      <c r="BM24" s="1609" t="str">
        <f>$D$205</f>
        <v>Gy</v>
      </c>
      <c r="BN24" s="1610" t="s">
        <v>373</v>
      </c>
      <c r="BO24" s="1611">
        <f t="shared" si="27"/>
        <v>2</v>
      </c>
      <c r="BP24" s="1612">
        <f>$C$212</f>
        <v>1</v>
      </c>
      <c r="BQ24" s="1613" t="str">
        <f>$D$212</f>
        <v>-</v>
      </c>
      <c r="BR24" s="1614">
        <f t="shared" si="5"/>
        <v>7.5210303361866043E-6</v>
      </c>
      <c r="BS24" s="1618" t="s">
        <v>645</v>
      </c>
      <c r="BT24" s="1608">
        <f t="shared" si="64"/>
        <v>5.5000033275018855E-4</v>
      </c>
      <c r="BU24" s="1616">
        <f t="shared" si="29"/>
        <v>5.5000033275018852E-2</v>
      </c>
      <c r="BV24" s="1617">
        <f t="shared" si="75"/>
        <v>5.7525921864184773E-2</v>
      </c>
      <c r="BW24" s="1608">
        <f>$C$205</f>
        <v>1.5042060672373209E-5</v>
      </c>
      <c r="BX24" s="1609" t="str">
        <f>$D$205</f>
        <v>Gy</v>
      </c>
      <c r="BY24" s="1610" t="s">
        <v>373</v>
      </c>
      <c r="BZ24" s="1611">
        <f t="shared" si="30"/>
        <v>2</v>
      </c>
      <c r="CA24" s="1612">
        <f>$C$212</f>
        <v>1</v>
      </c>
      <c r="CB24" s="1613" t="str">
        <f>$D$212</f>
        <v>-</v>
      </c>
      <c r="CC24" s="1614">
        <f t="shared" si="6"/>
        <v>7.5210303361866043E-6</v>
      </c>
      <c r="CD24" s="1618" t="s">
        <v>645</v>
      </c>
      <c r="CE24" s="1608">
        <f t="shared" si="65"/>
        <v>5.5000033275018855E-4</v>
      </c>
      <c r="CF24" s="1616">
        <f t="shared" si="32"/>
        <v>5.5000033275018852E-2</v>
      </c>
      <c r="CG24" s="1617">
        <f t="shared" si="76"/>
        <v>5.7525921864184773E-2</v>
      </c>
      <c r="CH24" s="1608">
        <f>$C$205</f>
        <v>1.5042060672373209E-5</v>
      </c>
      <c r="CI24" s="1609" t="str">
        <f>$D$205</f>
        <v>Gy</v>
      </c>
      <c r="CJ24" s="1610" t="s">
        <v>373</v>
      </c>
      <c r="CK24" s="1611">
        <f t="shared" si="33"/>
        <v>2</v>
      </c>
      <c r="CL24" s="1612">
        <f>$C$212</f>
        <v>1</v>
      </c>
      <c r="CM24" s="1613" t="str">
        <f>$D$212</f>
        <v>-</v>
      </c>
      <c r="CN24" s="1614">
        <f t="shared" si="7"/>
        <v>7.5210303361866043E-6</v>
      </c>
      <c r="CO24" s="1618" t="s">
        <v>645</v>
      </c>
      <c r="CP24" s="1608">
        <f t="shared" si="66"/>
        <v>5.5000033275018855E-4</v>
      </c>
      <c r="CQ24" s="1616">
        <f t="shared" si="35"/>
        <v>5.5000033275018852E-2</v>
      </c>
      <c r="CR24" s="1617">
        <f t="shared" si="77"/>
        <v>5.7525921864184773E-2</v>
      </c>
      <c r="CS24" s="1608">
        <f>$C$205</f>
        <v>1.5042060672373209E-5</v>
      </c>
      <c r="CT24" s="1609" t="str">
        <f>$D$205</f>
        <v>Gy</v>
      </c>
      <c r="CU24" s="1610" t="s">
        <v>373</v>
      </c>
      <c r="CV24" s="1611">
        <f t="shared" si="36"/>
        <v>2</v>
      </c>
      <c r="CW24" s="1612">
        <f>$C$212</f>
        <v>1</v>
      </c>
      <c r="CX24" s="1613" t="str">
        <f>$D$212</f>
        <v>-</v>
      </c>
      <c r="CY24" s="1614">
        <f t="shared" si="8"/>
        <v>7.5210303361866043E-6</v>
      </c>
      <c r="CZ24" s="1618" t="s">
        <v>645</v>
      </c>
      <c r="DA24" s="1608">
        <f t="shared" si="67"/>
        <v>5.5000033275018855E-4</v>
      </c>
      <c r="DB24" s="1616">
        <f t="shared" si="38"/>
        <v>5.5000033275018852E-2</v>
      </c>
      <c r="DC24" s="1617">
        <f t="shared" si="78"/>
        <v>5.7525921864184773E-2</v>
      </c>
      <c r="DD24" s="1608">
        <f>$C$205</f>
        <v>1.5042060672373209E-5</v>
      </c>
      <c r="DE24" s="1609" t="str">
        <f>$D$205</f>
        <v>Gy</v>
      </c>
      <c r="DF24" s="1610" t="s">
        <v>373</v>
      </c>
      <c r="DG24" s="1611">
        <f t="shared" si="39"/>
        <v>2</v>
      </c>
      <c r="DH24" s="1612">
        <f>$C$212</f>
        <v>1</v>
      </c>
      <c r="DI24" s="1613" t="str">
        <f>$D$212</f>
        <v>-</v>
      </c>
      <c r="DJ24" s="1614">
        <f t="shared" si="9"/>
        <v>7.5210303361866043E-6</v>
      </c>
      <c r="DK24" s="1618" t="s">
        <v>645</v>
      </c>
      <c r="DL24" s="1608">
        <f t="shared" si="68"/>
        <v>5.5000033275018855E-4</v>
      </c>
      <c r="DM24" s="1616">
        <f t="shared" si="41"/>
        <v>5.5000033275018852E-2</v>
      </c>
      <c r="DN24" s="1617">
        <f t="shared" si="79"/>
        <v>5.7525921864184773E-2</v>
      </c>
      <c r="DO24" s="1608">
        <f>$C$205</f>
        <v>1.5042060672373209E-5</v>
      </c>
      <c r="DP24" s="1609" t="str">
        <f>$D$205</f>
        <v>Gy</v>
      </c>
      <c r="DQ24" s="1610" t="s">
        <v>373</v>
      </c>
      <c r="DR24" s="1611">
        <f t="shared" si="42"/>
        <v>2</v>
      </c>
      <c r="DS24" s="1612">
        <f>$C$212</f>
        <v>1</v>
      </c>
      <c r="DT24" s="1613" t="str">
        <f>$D$212</f>
        <v>-</v>
      </c>
      <c r="DU24" s="1614">
        <f t="shared" si="10"/>
        <v>7.5210303361866043E-6</v>
      </c>
      <c r="DV24" s="1618" t="s">
        <v>645</v>
      </c>
      <c r="DW24" s="1608">
        <f t="shared" si="69"/>
        <v>5.5000033275018855E-4</v>
      </c>
      <c r="DX24" s="1616">
        <f t="shared" si="44"/>
        <v>5.5000033275018852E-2</v>
      </c>
      <c r="DY24" s="1617">
        <f t="shared" si="80"/>
        <v>5.7525921864184773E-2</v>
      </c>
      <c r="DZ24" s="1608">
        <f>$C$205</f>
        <v>1.5042060672373209E-5</v>
      </c>
      <c r="EA24" s="1609" t="str">
        <f>$D$205</f>
        <v>Gy</v>
      </c>
      <c r="EB24" s="1610" t="s">
        <v>373</v>
      </c>
      <c r="EC24" s="1611">
        <f t="shared" si="45"/>
        <v>2</v>
      </c>
      <c r="ED24" s="1612">
        <f>$C$212</f>
        <v>1</v>
      </c>
      <c r="EE24" s="1613" t="str">
        <f>$D$212</f>
        <v>-</v>
      </c>
      <c r="EF24" s="1614">
        <f t="shared" si="11"/>
        <v>7.5210303361866043E-6</v>
      </c>
      <c r="EG24" s="1618" t="s">
        <v>645</v>
      </c>
      <c r="EH24" s="1608">
        <f t="shared" si="70"/>
        <v>5.5000033275018855E-4</v>
      </c>
      <c r="EI24" s="1616">
        <f t="shared" si="47"/>
        <v>5.5000033275018852E-2</v>
      </c>
      <c r="EJ24" s="1617">
        <f t="shared" si="81"/>
        <v>5.7525921864184773E-2</v>
      </c>
    </row>
    <row r="25" spans="1:140" s="730" customFormat="1" ht="18" x14ac:dyDescent="0.25">
      <c r="A25" s="741">
        <v>7</v>
      </c>
      <c r="B25" s="2593" t="s">
        <v>511</v>
      </c>
      <c r="C25" s="2559"/>
      <c r="D25" s="2559"/>
      <c r="E25" s="2559"/>
      <c r="F25" s="2555"/>
      <c r="G25" s="1454" t="s">
        <v>623</v>
      </c>
      <c r="H25" s="781" t="s">
        <v>451</v>
      </c>
      <c r="I25" s="1608">
        <f>$C$223</f>
        <v>1.3674599175412389E-5</v>
      </c>
      <c r="J25" s="1609" t="str">
        <f>$D$223</f>
        <v>Gy</v>
      </c>
      <c r="K25" s="1610" t="s">
        <v>370</v>
      </c>
      <c r="L25" s="1611">
        <f t="shared" si="12"/>
        <v>1.7320508075688772</v>
      </c>
      <c r="M25" s="1612">
        <f>$C$230</f>
        <v>1</v>
      </c>
      <c r="N25" s="1613" t="str">
        <f>$D$230</f>
        <v>-</v>
      </c>
      <c r="O25" s="1614">
        <f t="shared" si="0"/>
        <v>7.8950335149845767E-6</v>
      </c>
      <c r="P25" s="1618" t="s">
        <v>645</v>
      </c>
      <c r="Q25" s="1608">
        <f t="shared" si="13"/>
        <v>5.7735055786479843E-4</v>
      </c>
      <c r="R25" s="1616">
        <f t="shared" si="14"/>
        <v>5.773505578647984E-2</v>
      </c>
      <c r="S25" s="1617">
        <f t="shared" si="48"/>
        <v>6.3389432268558962E-2</v>
      </c>
      <c r="T25" s="1608">
        <f>$C$223</f>
        <v>1.3674599175412389E-5</v>
      </c>
      <c r="U25" s="1609" t="str">
        <f>$D$223</f>
        <v>Gy</v>
      </c>
      <c r="V25" s="1610" t="s">
        <v>370</v>
      </c>
      <c r="W25" s="1611">
        <f t="shared" si="15"/>
        <v>1.7320508075688772</v>
      </c>
      <c r="X25" s="1612">
        <f>$C$230</f>
        <v>1</v>
      </c>
      <c r="Y25" s="1613" t="str">
        <f>$D$230</f>
        <v>-</v>
      </c>
      <c r="Z25" s="1614">
        <f t="shared" si="1"/>
        <v>7.8950335149845767E-6</v>
      </c>
      <c r="AA25" s="1618" t="s">
        <v>645</v>
      </c>
      <c r="AB25" s="1608">
        <f t="shared" si="60"/>
        <v>5.7735055786479843E-4</v>
      </c>
      <c r="AC25" s="1616">
        <f t="shared" si="17"/>
        <v>5.773505578647984E-2</v>
      </c>
      <c r="AD25" s="1617">
        <f t="shared" si="71"/>
        <v>6.3389432268558962E-2</v>
      </c>
      <c r="AE25" s="1608">
        <f>$C$223</f>
        <v>1.3674599175412389E-5</v>
      </c>
      <c r="AF25" s="1609" t="str">
        <f>$D$223</f>
        <v>Gy</v>
      </c>
      <c r="AG25" s="1610" t="s">
        <v>370</v>
      </c>
      <c r="AH25" s="1611">
        <f t="shared" si="18"/>
        <v>1.7320508075688772</v>
      </c>
      <c r="AI25" s="1612">
        <f>$C$230</f>
        <v>1</v>
      </c>
      <c r="AJ25" s="1613" t="str">
        <f>$D$230</f>
        <v>-</v>
      </c>
      <c r="AK25" s="1614">
        <f t="shared" si="2"/>
        <v>7.8950335149845767E-6</v>
      </c>
      <c r="AL25" s="1618" t="s">
        <v>645</v>
      </c>
      <c r="AM25" s="1608">
        <f t="shared" si="61"/>
        <v>5.7735055786479843E-4</v>
      </c>
      <c r="AN25" s="1616">
        <f t="shared" si="20"/>
        <v>5.773505578647984E-2</v>
      </c>
      <c r="AO25" s="1617">
        <f t="shared" si="72"/>
        <v>6.3389432268558962E-2</v>
      </c>
      <c r="AP25" s="1608">
        <f>$C$223</f>
        <v>1.3674599175412389E-5</v>
      </c>
      <c r="AQ25" s="1609" t="str">
        <f>$D$223</f>
        <v>Gy</v>
      </c>
      <c r="AR25" s="1610" t="s">
        <v>370</v>
      </c>
      <c r="AS25" s="1611">
        <f t="shared" si="21"/>
        <v>1.7320508075688772</v>
      </c>
      <c r="AT25" s="1612">
        <f>$C$230</f>
        <v>1</v>
      </c>
      <c r="AU25" s="1613" t="str">
        <f>$D$230</f>
        <v>-</v>
      </c>
      <c r="AV25" s="1614">
        <f t="shared" si="3"/>
        <v>7.8950335149845767E-6</v>
      </c>
      <c r="AW25" s="1618" t="s">
        <v>645</v>
      </c>
      <c r="AX25" s="1608">
        <f t="shared" si="62"/>
        <v>5.7735055786479843E-4</v>
      </c>
      <c r="AY25" s="1616">
        <f t="shared" si="23"/>
        <v>5.773505578647984E-2</v>
      </c>
      <c r="AZ25" s="1617">
        <f t="shared" si="73"/>
        <v>6.3389432268558962E-2</v>
      </c>
      <c r="BA25" s="1608">
        <f>$C$223</f>
        <v>1.3674599175412389E-5</v>
      </c>
      <c r="BB25" s="1609" t="str">
        <f>$D$223</f>
        <v>Gy</v>
      </c>
      <c r="BC25" s="1610" t="s">
        <v>370</v>
      </c>
      <c r="BD25" s="1611">
        <f t="shared" si="24"/>
        <v>1.7320508075688772</v>
      </c>
      <c r="BE25" s="1612">
        <f>$C$230</f>
        <v>1</v>
      </c>
      <c r="BF25" s="1613" t="str">
        <f>$D$230</f>
        <v>-</v>
      </c>
      <c r="BG25" s="1614">
        <f t="shared" si="4"/>
        <v>7.8950335149845767E-6</v>
      </c>
      <c r="BH25" s="1618" t="s">
        <v>645</v>
      </c>
      <c r="BI25" s="1608">
        <f t="shared" si="63"/>
        <v>5.7735055786479843E-4</v>
      </c>
      <c r="BJ25" s="1616">
        <f t="shared" si="26"/>
        <v>5.773505578647984E-2</v>
      </c>
      <c r="BK25" s="1617">
        <f t="shared" si="74"/>
        <v>6.3389432268558962E-2</v>
      </c>
      <c r="BL25" s="1608">
        <f>$C$223</f>
        <v>1.3674599175412389E-5</v>
      </c>
      <c r="BM25" s="1609" t="str">
        <f>$D$223</f>
        <v>Gy</v>
      </c>
      <c r="BN25" s="1610" t="s">
        <v>370</v>
      </c>
      <c r="BO25" s="1611">
        <f t="shared" si="27"/>
        <v>1.7320508075688772</v>
      </c>
      <c r="BP25" s="1612">
        <f>$C$230</f>
        <v>1</v>
      </c>
      <c r="BQ25" s="1613" t="str">
        <f>$D$230</f>
        <v>-</v>
      </c>
      <c r="BR25" s="1614">
        <f t="shared" si="5"/>
        <v>7.8950335149845767E-6</v>
      </c>
      <c r="BS25" s="1618" t="s">
        <v>645</v>
      </c>
      <c r="BT25" s="1608">
        <f t="shared" si="64"/>
        <v>5.7735055786479843E-4</v>
      </c>
      <c r="BU25" s="1616">
        <f t="shared" si="29"/>
        <v>5.773505578647984E-2</v>
      </c>
      <c r="BV25" s="1617">
        <f t="shared" si="75"/>
        <v>6.3389432268558962E-2</v>
      </c>
      <c r="BW25" s="1608">
        <f>$C$223</f>
        <v>1.3674599175412389E-5</v>
      </c>
      <c r="BX25" s="1609" t="str">
        <f>$D$223</f>
        <v>Gy</v>
      </c>
      <c r="BY25" s="1610" t="s">
        <v>370</v>
      </c>
      <c r="BZ25" s="1611">
        <f t="shared" si="30"/>
        <v>1.7320508075688772</v>
      </c>
      <c r="CA25" s="1612">
        <f>$C$230</f>
        <v>1</v>
      </c>
      <c r="CB25" s="1613" t="str">
        <f>$D$230</f>
        <v>-</v>
      </c>
      <c r="CC25" s="1614">
        <f t="shared" si="6"/>
        <v>7.8950335149845767E-6</v>
      </c>
      <c r="CD25" s="1618" t="s">
        <v>645</v>
      </c>
      <c r="CE25" s="1608">
        <f t="shared" si="65"/>
        <v>5.7735055786479843E-4</v>
      </c>
      <c r="CF25" s="1616">
        <f t="shared" si="32"/>
        <v>5.773505578647984E-2</v>
      </c>
      <c r="CG25" s="1617">
        <f t="shared" si="76"/>
        <v>6.3389432268558962E-2</v>
      </c>
      <c r="CH25" s="1608">
        <f>$C$223</f>
        <v>1.3674599175412389E-5</v>
      </c>
      <c r="CI25" s="1609" t="str">
        <f>$D$223</f>
        <v>Gy</v>
      </c>
      <c r="CJ25" s="1610" t="s">
        <v>370</v>
      </c>
      <c r="CK25" s="1611">
        <f t="shared" si="33"/>
        <v>1.7320508075688772</v>
      </c>
      <c r="CL25" s="1612">
        <f>$C$230</f>
        <v>1</v>
      </c>
      <c r="CM25" s="1613" t="str">
        <f>$D$230</f>
        <v>-</v>
      </c>
      <c r="CN25" s="1614">
        <f t="shared" si="7"/>
        <v>7.8950335149845767E-6</v>
      </c>
      <c r="CO25" s="1618" t="s">
        <v>645</v>
      </c>
      <c r="CP25" s="1608">
        <f t="shared" si="66"/>
        <v>5.7735055786479843E-4</v>
      </c>
      <c r="CQ25" s="1616">
        <f t="shared" si="35"/>
        <v>5.773505578647984E-2</v>
      </c>
      <c r="CR25" s="1617">
        <f t="shared" si="77"/>
        <v>6.3389432268558962E-2</v>
      </c>
      <c r="CS25" s="1608">
        <f>$C$223</f>
        <v>1.3674599175412389E-5</v>
      </c>
      <c r="CT25" s="1609" t="str">
        <f>$D$223</f>
        <v>Gy</v>
      </c>
      <c r="CU25" s="1610" t="s">
        <v>370</v>
      </c>
      <c r="CV25" s="1611">
        <f t="shared" si="36"/>
        <v>1.7320508075688772</v>
      </c>
      <c r="CW25" s="1612">
        <f>$C$230</f>
        <v>1</v>
      </c>
      <c r="CX25" s="1613" t="str">
        <f>$D$230</f>
        <v>-</v>
      </c>
      <c r="CY25" s="1614">
        <f t="shared" si="8"/>
        <v>7.8950335149845767E-6</v>
      </c>
      <c r="CZ25" s="1618" t="s">
        <v>645</v>
      </c>
      <c r="DA25" s="1608">
        <f t="shared" si="67"/>
        <v>5.7735055786479843E-4</v>
      </c>
      <c r="DB25" s="1616">
        <f t="shared" si="38"/>
        <v>5.773505578647984E-2</v>
      </c>
      <c r="DC25" s="1617">
        <f t="shared" si="78"/>
        <v>6.3389432268558962E-2</v>
      </c>
      <c r="DD25" s="1608">
        <f>$C$223</f>
        <v>1.3674599175412389E-5</v>
      </c>
      <c r="DE25" s="1609" t="str">
        <f>$D$223</f>
        <v>Gy</v>
      </c>
      <c r="DF25" s="1610" t="s">
        <v>370</v>
      </c>
      <c r="DG25" s="1611">
        <f t="shared" si="39"/>
        <v>1.7320508075688772</v>
      </c>
      <c r="DH25" s="1612">
        <f>$C$230</f>
        <v>1</v>
      </c>
      <c r="DI25" s="1613" t="str">
        <f>$D$230</f>
        <v>-</v>
      </c>
      <c r="DJ25" s="1614">
        <f t="shared" si="9"/>
        <v>7.8950335149845767E-6</v>
      </c>
      <c r="DK25" s="1618" t="s">
        <v>645</v>
      </c>
      <c r="DL25" s="1608">
        <f t="shared" si="68"/>
        <v>5.7735055786479843E-4</v>
      </c>
      <c r="DM25" s="1616">
        <f t="shared" si="41"/>
        <v>5.773505578647984E-2</v>
      </c>
      <c r="DN25" s="1617">
        <f t="shared" si="79"/>
        <v>6.3389432268558962E-2</v>
      </c>
      <c r="DO25" s="1608">
        <f>$C$223</f>
        <v>1.3674599175412389E-5</v>
      </c>
      <c r="DP25" s="1609" t="str">
        <f>$D$223</f>
        <v>Gy</v>
      </c>
      <c r="DQ25" s="1610" t="s">
        <v>370</v>
      </c>
      <c r="DR25" s="1611">
        <f t="shared" si="42"/>
        <v>1.7320508075688772</v>
      </c>
      <c r="DS25" s="1612">
        <f>$C$230</f>
        <v>1</v>
      </c>
      <c r="DT25" s="1613" t="str">
        <f>$D$230</f>
        <v>-</v>
      </c>
      <c r="DU25" s="1614">
        <f t="shared" si="10"/>
        <v>7.8950335149845767E-6</v>
      </c>
      <c r="DV25" s="1618" t="s">
        <v>645</v>
      </c>
      <c r="DW25" s="1608">
        <f t="shared" si="69"/>
        <v>5.7735055786479843E-4</v>
      </c>
      <c r="DX25" s="1616">
        <f t="shared" si="44"/>
        <v>5.773505578647984E-2</v>
      </c>
      <c r="DY25" s="1617">
        <f t="shared" si="80"/>
        <v>6.3389432268558962E-2</v>
      </c>
      <c r="DZ25" s="1608">
        <f>$C$223</f>
        <v>1.3674599175412389E-5</v>
      </c>
      <c r="EA25" s="1609" t="str">
        <f>$D$223</f>
        <v>Gy</v>
      </c>
      <c r="EB25" s="1610" t="s">
        <v>370</v>
      </c>
      <c r="EC25" s="1611">
        <f t="shared" si="45"/>
        <v>1.7320508075688772</v>
      </c>
      <c r="ED25" s="1612">
        <f>$C$230</f>
        <v>1</v>
      </c>
      <c r="EE25" s="1613" t="str">
        <f>$D$230</f>
        <v>-</v>
      </c>
      <c r="EF25" s="1614">
        <f t="shared" si="11"/>
        <v>7.8950335149845767E-6</v>
      </c>
      <c r="EG25" s="1618" t="s">
        <v>645</v>
      </c>
      <c r="EH25" s="1608">
        <f t="shared" si="70"/>
        <v>5.7735055786479843E-4</v>
      </c>
      <c r="EI25" s="1616">
        <f t="shared" si="47"/>
        <v>5.773505578647984E-2</v>
      </c>
      <c r="EJ25" s="1617">
        <f t="shared" si="81"/>
        <v>6.3389432268558962E-2</v>
      </c>
    </row>
    <row r="26" spans="1:140" ht="18" x14ac:dyDescent="0.25">
      <c r="A26" s="1078">
        <v>8</v>
      </c>
      <c r="B26" s="2599" t="s">
        <v>662</v>
      </c>
      <c r="C26" s="2600"/>
      <c r="D26" s="2600"/>
      <c r="E26" s="2600"/>
      <c r="F26" s="2601"/>
      <c r="G26" s="1079" t="s">
        <v>684</v>
      </c>
      <c r="H26" s="1453" t="s">
        <v>451</v>
      </c>
      <c r="I26" s="1608">
        <f>$C$239</f>
        <v>2.7349184676230638E-4</v>
      </c>
      <c r="J26" s="1609" t="str">
        <f>$D$239</f>
        <v>Gy</v>
      </c>
      <c r="K26" s="1610" t="s">
        <v>372</v>
      </c>
      <c r="L26" s="1611">
        <f t="shared" si="12"/>
        <v>1</v>
      </c>
      <c r="M26" s="1612">
        <f>$C$249</f>
        <v>1</v>
      </c>
      <c r="N26" s="1613" t="str">
        <f>$D$249</f>
        <v>-</v>
      </c>
      <c r="O26" s="1614">
        <f t="shared" si="0"/>
        <v>2.7349184676230638E-4</v>
      </c>
      <c r="P26" s="1615" t="s">
        <v>645</v>
      </c>
      <c r="Q26" s="1608">
        <f t="shared" si="13"/>
        <v>0.02</v>
      </c>
      <c r="R26" s="1616">
        <f t="shared" si="14"/>
        <v>2</v>
      </c>
      <c r="S26" s="1617">
        <f t="shared" si="48"/>
        <v>76.067242654999063</v>
      </c>
      <c r="T26" s="1608">
        <f>$C$239</f>
        <v>2.7349184676230638E-4</v>
      </c>
      <c r="U26" s="1609" t="str">
        <f>$D$239</f>
        <v>Gy</v>
      </c>
      <c r="V26" s="1610" t="s">
        <v>372</v>
      </c>
      <c r="W26" s="1611">
        <f t="shared" si="15"/>
        <v>1</v>
      </c>
      <c r="X26" s="1612">
        <f>$C$249</f>
        <v>1</v>
      </c>
      <c r="Y26" s="1613" t="str">
        <f>$D$249</f>
        <v>-</v>
      </c>
      <c r="Z26" s="1614">
        <f t="shared" si="1"/>
        <v>2.7349184676230638E-4</v>
      </c>
      <c r="AA26" s="1615" t="s">
        <v>645</v>
      </c>
      <c r="AB26" s="1608">
        <f t="shared" si="60"/>
        <v>0.02</v>
      </c>
      <c r="AC26" s="1616">
        <f t="shared" si="17"/>
        <v>2</v>
      </c>
      <c r="AD26" s="1617">
        <f t="shared" si="71"/>
        <v>76.067242654999063</v>
      </c>
      <c r="AE26" s="1608">
        <f>$C$239</f>
        <v>2.7349184676230638E-4</v>
      </c>
      <c r="AF26" s="1609" t="str">
        <f>$D$239</f>
        <v>Gy</v>
      </c>
      <c r="AG26" s="1610" t="s">
        <v>372</v>
      </c>
      <c r="AH26" s="1611">
        <f t="shared" si="18"/>
        <v>1</v>
      </c>
      <c r="AI26" s="1612">
        <f>$C$249</f>
        <v>1</v>
      </c>
      <c r="AJ26" s="1613" t="str">
        <f>$D$249</f>
        <v>-</v>
      </c>
      <c r="AK26" s="1614">
        <f t="shared" si="2"/>
        <v>2.7349184676230638E-4</v>
      </c>
      <c r="AL26" s="1615" t="s">
        <v>645</v>
      </c>
      <c r="AM26" s="1608">
        <f t="shared" si="61"/>
        <v>0.02</v>
      </c>
      <c r="AN26" s="1616">
        <f t="shared" si="20"/>
        <v>2</v>
      </c>
      <c r="AO26" s="1617">
        <f t="shared" si="72"/>
        <v>76.067242654999063</v>
      </c>
      <c r="AP26" s="1608">
        <f>$C$239</f>
        <v>2.7349184676230638E-4</v>
      </c>
      <c r="AQ26" s="1609" t="str">
        <f>$D$239</f>
        <v>Gy</v>
      </c>
      <c r="AR26" s="1610" t="s">
        <v>372</v>
      </c>
      <c r="AS26" s="1611">
        <f t="shared" si="21"/>
        <v>1</v>
      </c>
      <c r="AT26" s="1612">
        <f>$C$249</f>
        <v>1</v>
      </c>
      <c r="AU26" s="1613" t="str">
        <f>$D$249</f>
        <v>-</v>
      </c>
      <c r="AV26" s="1614">
        <f t="shared" si="3"/>
        <v>2.7349184676230638E-4</v>
      </c>
      <c r="AW26" s="1615" t="s">
        <v>645</v>
      </c>
      <c r="AX26" s="1608">
        <f t="shared" si="62"/>
        <v>0.02</v>
      </c>
      <c r="AY26" s="1616">
        <f t="shared" si="23"/>
        <v>2</v>
      </c>
      <c r="AZ26" s="1617">
        <f t="shared" si="73"/>
        <v>76.067242654999063</v>
      </c>
      <c r="BA26" s="1608">
        <f>$C$239</f>
        <v>2.7349184676230638E-4</v>
      </c>
      <c r="BB26" s="1609" t="str">
        <f>$D$239</f>
        <v>Gy</v>
      </c>
      <c r="BC26" s="1610" t="s">
        <v>372</v>
      </c>
      <c r="BD26" s="1611">
        <f t="shared" si="24"/>
        <v>1</v>
      </c>
      <c r="BE26" s="1612">
        <f>$C$249</f>
        <v>1</v>
      </c>
      <c r="BF26" s="1613" t="str">
        <f>$D$249</f>
        <v>-</v>
      </c>
      <c r="BG26" s="1614">
        <f t="shared" si="4"/>
        <v>2.7349184676230638E-4</v>
      </c>
      <c r="BH26" s="1615" t="s">
        <v>645</v>
      </c>
      <c r="BI26" s="1608">
        <f t="shared" si="63"/>
        <v>0.02</v>
      </c>
      <c r="BJ26" s="1616">
        <f t="shared" si="26"/>
        <v>2</v>
      </c>
      <c r="BK26" s="1617">
        <f t="shared" si="74"/>
        <v>76.067242654999063</v>
      </c>
      <c r="BL26" s="1608">
        <f>$C$239</f>
        <v>2.7349184676230638E-4</v>
      </c>
      <c r="BM26" s="1609" t="str">
        <f>$D$239</f>
        <v>Gy</v>
      </c>
      <c r="BN26" s="1610" t="s">
        <v>372</v>
      </c>
      <c r="BO26" s="1611">
        <f t="shared" si="27"/>
        <v>1</v>
      </c>
      <c r="BP26" s="1612">
        <f>$C$249</f>
        <v>1</v>
      </c>
      <c r="BQ26" s="1613" t="str">
        <f>$D$249</f>
        <v>-</v>
      </c>
      <c r="BR26" s="1614">
        <f t="shared" si="5"/>
        <v>2.7349184676230638E-4</v>
      </c>
      <c r="BS26" s="1615" t="s">
        <v>645</v>
      </c>
      <c r="BT26" s="1608">
        <f t="shared" si="64"/>
        <v>0.02</v>
      </c>
      <c r="BU26" s="1616">
        <f t="shared" si="29"/>
        <v>2</v>
      </c>
      <c r="BV26" s="1617">
        <f t="shared" si="75"/>
        <v>76.067242654999063</v>
      </c>
      <c r="BW26" s="1608">
        <f>$C$239</f>
        <v>2.7349184676230638E-4</v>
      </c>
      <c r="BX26" s="1609" t="str">
        <f>$D$239</f>
        <v>Gy</v>
      </c>
      <c r="BY26" s="1610" t="s">
        <v>372</v>
      </c>
      <c r="BZ26" s="1611">
        <f t="shared" si="30"/>
        <v>1</v>
      </c>
      <c r="CA26" s="1612">
        <f>$C$249</f>
        <v>1</v>
      </c>
      <c r="CB26" s="1613" t="str">
        <f>$D$249</f>
        <v>-</v>
      </c>
      <c r="CC26" s="1614">
        <f t="shared" si="6"/>
        <v>2.7349184676230638E-4</v>
      </c>
      <c r="CD26" s="1615" t="s">
        <v>645</v>
      </c>
      <c r="CE26" s="1608">
        <f t="shared" si="65"/>
        <v>0.02</v>
      </c>
      <c r="CF26" s="1616">
        <f t="shared" si="32"/>
        <v>2</v>
      </c>
      <c r="CG26" s="1617">
        <f t="shared" si="76"/>
        <v>76.067242654999063</v>
      </c>
      <c r="CH26" s="1608">
        <f>$C$239</f>
        <v>2.7349184676230638E-4</v>
      </c>
      <c r="CI26" s="1609" t="str">
        <f>$D$239</f>
        <v>Gy</v>
      </c>
      <c r="CJ26" s="1610" t="s">
        <v>372</v>
      </c>
      <c r="CK26" s="1611">
        <f t="shared" si="33"/>
        <v>1</v>
      </c>
      <c r="CL26" s="1612">
        <f>$C$249</f>
        <v>1</v>
      </c>
      <c r="CM26" s="1613" t="str">
        <f>$D$249</f>
        <v>-</v>
      </c>
      <c r="CN26" s="1614">
        <f t="shared" si="7"/>
        <v>2.7349184676230638E-4</v>
      </c>
      <c r="CO26" s="1615" t="s">
        <v>645</v>
      </c>
      <c r="CP26" s="1608">
        <f t="shared" si="66"/>
        <v>0.02</v>
      </c>
      <c r="CQ26" s="1616">
        <f t="shared" si="35"/>
        <v>2</v>
      </c>
      <c r="CR26" s="1617">
        <f t="shared" si="77"/>
        <v>76.067242654999063</v>
      </c>
      <c r="CS26" s="1608">
        <f>$C$239</f>
        <v>2.7349184676230638E-4</v>
      </c>
      <c r="CT26" s="1609" t="str">
        <f>$D$239</f>
        <v>Gy</v>
      </c>
      <c r="CU26" s="1610" t="s">
        <v>372</v>
      </c>
      <c r="CV26" s="1611">
        <f t="shared" si="36"/>
        <v>1</v>
      </c>
      <c r="CW26" s="1612">
        <f>$C$249</f>
        <v>1</v>
      </c>
      <c r="CX26" s="1613" t="str">
        <f>$D$249</f>
        <v>-</v>
      </c>
      <c r="CY26" s="1614">
        <f t="shared" si="8"/>
        <v>2.7349184676230638E-4</v>
      </c>
      <c r="CZ26" s="1615" t="s">
        <v>645</v>
      </c>
      <c r="DA26" s="1608">
        <f t="shared" si="67"/>
        <v>0.02</v>
      </c>
      <c r="DB26" s="1616">
        <f t="shared" si="38"/>
        <v>2</v>
      </c>
      <c r="DC26" s="1617">
        <f t="shared" si="78"/>
        <v>76.067242654999063</v>
      </c>
      <c r="DD26" s="1608">
        <f>$C$239</f>
        <v>2.7349184676230638E-4</v>
      </c>
      <c r="DE26" s="1609" t="str">
        <f>$D$239</f>
        <v>Gy</v>
      </c>
      <c r="DF26" s="1610" t="s">
        <v>372</v>
      </c>
      <c r="DG26" s="1611">
        <f t="shared" si="39"/>
        <v>1</v>
      </c>
      <c r="DH26" s="1612">
        <f>$C$249</f>
        <v>1</v>
      </c>
      <c r="DI26" s="1613" t="str">
        <f>$D$249</f>
        <v>-</v>
      </c>
      <c r="DJ26" s="1614">
        <f t="shared" si="9"/>
        <v>2.7349184676230638E-4</v>
      </c>
      <c r="DK26" s="1615" t="s">
        <v>645</v>
      </c>
      <c r="DL26" s="1608">
        <f t="shared" si="68"/>
        <v>0.02</v>
      </c>
      <c r="DM26" s="1616">
        <f t="shared" si="41"/>
        <v>2</v>
      </c>
      <c r="DN26" s="1617">
        <f t="shared" si="79"/>
        <v>76.067242654999063</v>
      </c>
      <c r="DO26" s="1608">
        <f>$C$239</f>
        <v>2.7349184676230638E-4</v>
      </c>
      <c r="DP26" s="1609" t="str">
        <f>$D$239</f>
        <v>Gy</v>
      </c>
      <c r="DQ26" s="1610" t="s">
        <v>372</v>
      </c>
      <c r="DR26" s="1611">
        <f t="shared" si="42"/>
        <v>1</v>
      </c>
      <c r="DS26" s="1612">
        <f>$C$249</f>
        <v>1</v>
      </c>
      <c r="DT26" s="1613" t="str">
        <f>$D$249</f>
        <v>-</v>
      </c>
      <c r="DU26" s="1614">
        <f t="shared" si="10"/>
        <v>2.7349184676230638E-4</v>
      </c>
      <c r="DV26" s="1615" t="s">
        <v>645</v>
      </c>
      <c r="DW26" s="1608">
        <f t="shared" si="69"/>
        <v>0.02</v>
      </c>
      <c r="DX26" s="1616">
        <f t="shared" si="44"/>
        <v>2</v>
      </c>
      <c r="DY26" s="1617">
        <f t="shared" si="80"/>
        <v>76.067242654999063</v>
      </c>
      <c r="DZ26" s="1608">
        <f>$C$239</f>
        <v>2.7349184676230638E-4</v>
      </c>
      <c r="EA26" s="1609" t="str">
        <f>$D$239</f>
        <v>Gy</v>
      </c>
      <c r="EB26" s="1610" t="s">
        <v>372</v>
      </c>
      <c r="EC26" s="1611">
        <f t="shared" si="45"/>
        <v>1</v>
      </c>
      <c r="ED26" s="1612">
        <f>$C$249</f>
        <v>1</v>
      </c>
      <c r="EE26" s="1613" t="str">
        <f>$D$249</f>
        <v>-</v>
      </c>
      <c r="EF26" s="1614">
        <f t="shared" si="11"/>
        <v>2.7349184676230638E-4</v>
      </c>
      <c r="EG26" s="1615" t="s">
        <v>645</v>
      </c>
      <c r="EH26" s="1608">
        <f t="shared" si="70"/>
        <v>0.02</v>
      </c>
      <c r="EI26" s="1616">
        <f t="shared" si="47"/>
        <v>2</v>
      </c>
      <c r="EJ26" s="1617">
        <f t="shared" si="81"/>
        <v>76.067242654999063</v>
      </c>
    </row>
    <row r="27" spans="1:140" ht="18" x14ac:dyDescent="0.25">
      <c r="A27" s="1078">
        <v>9</v>
      </c>
      <c r="B27" s="2594" t="s">
        <v>1000</v>
      </c>
      <c r="C27" s="2600"/>
      <c r="D27" s="2600"/>
      <c r="E27" s="2600"/>
      <c r="F27" s="2601"/>
      <c r="G27" s="1079" t="s">
        <v>804</v>
      </c>
      <c r="H27" s="1453" t="s">
        <v>451</v>
      </c>
      <c r="I27" s="1608">
        <f>$C$258</f>
        <v>0.4</v>
      </c>
      <c r="J27" s="1609" t="str">
        <f>$D$258</f>
        <v>s</v>
      </c>
      <c r="K27" s="1610" t="s">
        <v>370</v>
      </c>
      <c r="L27" s="1611">
        <f t="shared" si="12"/>
        <v>1.7320508075688772</v>
      </c>
      <c r="M27" s="1612">
        <f>$C$265</f>
        <v>2.2797840393227461E-4</v>
      </c>
      <c r="N27" s="1620" t="str">
        <f>$D$265</f>
        <v>Gy/s</v>
      </c>
      <c r="O27" s="1614">
        <f t="shared" si="0"/>
        <v>5.2649357151888003E-5</v>
      </c>
      <c r="P27" s="1615" t="s">
        <v>645</v>
      </c>
      <c r="Q27" s="1608">
        <f t="shared" si="13"/>
        <v>3.850159174773932E-3</v>
      </c>
      <c r="R27" s="1616">
        <f t="shared" si="14"/>
        <v>0.38501591747739322</v>
      </c>
      <c r="S27" s="1617">
        <f>ABS(O27^2/$O$30^2*100)</f>
        <v>2.8189998441859729</v>
      </c>
      <c r="T27" s="1608">
        <f>$C$258</f>
        <v>0.4</v>
      </c>
      <c r="U27" s="1609" t="str">
        <f>$D$258</f>
        <v>s</v>
      </c>
      <c r="V27" s="1610" t="s">
        <v>370</v>
      </c>
      <c r="W27" s="1611">
        <f t="shared" si="15"/>
        <v>1.7320508075688772</v>
      </c>
      <c r="X27" s="1612">
        <f>$C$265</f>
        <v>2.2797840393227461E-4</v>
      </c>
      <c r="Y27" s="1620" t="str">
        <f>$D$265</f>
        <v>Gy/s</v>
      </c>
      <c r="Z27" s="1614">
        <f t="shared" si="1"/>
        <v>5.2649357151888003E-5</v>
      </c>
      <c r="AA27" s="1615" t="s">
        <v>645</v>
      </c>
      <c r="AB27" s="1608">
        <f t="shared" si="60"/>
        <v>3.850159174773932E-3</v>
      </c>
      <c r="AC27" s="1616">
        <f t="shared" si="17"/>
        <v>0.38501591747739322</v>
      </c>
      <c r="AD27" s="1617">
        <f>ABS(Z27^2/$O$30^2*100)</f>
        <v>2.8189998441859729</v>
      </c>
      <c r="AE27" s="1608">
        <f>$C$258</f>
        <v>0.4</v>
      </c>
      <c r="AF27" s="1609" t="str">
        <f>$D$258</f>
        <v>s</v>
      </c>
      <c r="AG27" s="1610" t="s">
        <v>370</v>
      </c>
      <c r="AH27" s="1611">
        <f t="shared" si="18"/>
        <v>1.7320508075688772</v>
      </c>
      <c r="AI27" s="1612">
        <f>$C$265</f>
        <v>2.2797840393227461E-4</v>
      </c>
      <c r="AJ27" s="1620" t="str">
        <f>$D$265</f>
        <v>Gy/s</v>
      </c>
      <c r="AK27" s="1614">
        <f t="shared" si="2"/>
        <v>5.2649357151888003E-5</v>
      </c>
      <c r="AL27" s="1615" t="s">
        <v>645</v>
      </c>
      <c r="AM27" s="1608">
        <f t="shared" si="61"/>
        <v>3.850159174773932E-3</v>
      </c>
      <c r="AN27" s="1616">
        <f t="shared" si="20"/>
        <v>0.38501591747739322</v>
      </c>
      <c r="AO27" s="1617">
        <f>ABS(AK27^2/$O$30^2*100)</f>
        <v>2.8189998441859729</v>
      </c>
      <c r="AP27" s="1608">
        <f>$C$258</f>
        <v>0.4</v>
      </c>
      <c r="AQ27" s="1609" t="str">
        <f>$D$258</f>
        <v>s</v>
      </c>
      <c r="AR27" s="1610" t="s">
        <v>370</v>
      </c>
      <c r="AS27" s="1611">
        <f t="shared" si="21"/>
        <v>1.7320508075688772</v>
      </c>
      <c r="AT27" s="1612">
        <f>$C$265</f>
        <v>2.2797840393227461E-4</v>
      </c>
      <c r="AU27" s="1620" t="str">
        <f>$D$265</f>
        <v>Gy/s</v>
      </c>
      <c r="AV27" s="1614">
        <f t="shared" si="3"/>
        <v>5.2649357151888003E-5</v>
      </c>
      <c r="AW27" s="1615" t="s">
        <v>645</v>
      </c>
      <c r="AX27" s="1608">
        <f t="shared" si="62"/>
        <v>3.850159174773932E-3</v>
      </c>
      <c r="AY27" s="1616">
        <f t="shared" si="23"/>
        <v>0.38501591747739322</v>
      </c>
      <c r="AZ27" s="1617">
        <f>ABS(AV27^2/$O$30^2*100)</f>
        <v>2.8189998441859729</v>
      </c>
      <c r="BA27" s="1608">
        <f>$C$258</f>
        <v>0.4</v>
      </c>
      <c r="BB27" s="1609" t="str">
        <f>$D$258</f>
        <v>s</v>
      </c>
      <c r="BC27" s="1610" t="s">
        <v>370</v>
      </c>
      <c r="BD27" s="1611">
        <f t="shared" si="24"/>
        <v>1.7320508075688772</v>
      </c>
      <c r="BE27" s="1612">
        <f>$C$265</f>
        <v>2.2797840393227461E-4</v>
      </c>
      <c r="BF27" s="1620" t="str">
        <f>$D$265</f>
        <v>Gy/s</v>
      </c>
      <c r="BG27" s="1614">
        <f t="shared" si="4"/>
        <v>5.2649357151888003E-5</v>
      </c>
      <c r="BH27" s="1615" t="s">
        <v>645</v>
      </c>
      <c r="BI27" s="1608">
        <f t="shared" si="63"/>
        <v>3.850159174773932E-3</v>
      </c>
      <c r="BJ27" s="1616">
        <f t="shared" si="26"/>
        <v>0.38501591747739322</v>
      </c>
      <c r="BK27" s="1617">
        <f>ABS(BG27^2/$O$30^2*100)</f>
        <v>2.8189998441859729</v>
      </c>
      <c r="BL27" s="1608">
        <f>$C$258</f>
        <v>0.4</v>
      </c>
      <c r="BM27" s="1609" t="str">
        <f>$D$258</f>
        <v>s</v>
      </c>
      <c r="BN27" s="1610" t="s">
        <v>370</v>
      </c>
      <c r="BO27" s="1611">
        <f t="shared" si="27"/>
        <v>1.7320508075688772</v>
      </c>
      <c r="BP27" s="1612">
        <f>$C$265</f>
        <v>2.2797840393227461E-4</v>
      </c>
      <c r="BQ27" s="1620" t="str">
        <f>$D$265</f>
        <v>Gy/s</v>
      </c>
      <c r="BR27" s="1614">
        <f t="shared" si="5"/>
        <v>5.2649357151888003E-5</v>
      </c>
      <c r="BS27" s="1615" t="s">
        <v>645</v>
      </c>
      <c r="BT27" s="1608">
        <f t="shared" si="64"/>
        <v>3.850159174773932E-3</v>
      </c>
      <c r="BU27" s="1616">
        <f t="shared" si="29"/>
        <v>0.38501591747739322</v>
      </c>
      <c r="BV27" s="1617">
        <f>ABS(BR27^2/$O$30^2*100)</f>
        <v>2.8189998441859729</v>
      </c>
      <c r="BW27" s="1608">
        <f>$C$258</f>
        <v>0.4</v>
      </c>
      <c r="BX27" s="1609" t="str">
        <f>$D$258</f>
        <v>s</v>
      </c>
      <c r="BY27" s="1610" t="s">
        <v>370</v>
      </c>
      <c r="BZ27" s="1611">
        <f t="shared" si="30"/>
        <v>1.7320508075688772</v>
      </c>
      <c r="CA27" s="1612">
        <f>$C$265</f>
        <v>2.2797840393227461E-4</v>
      </c>
      <c r="CB27" s="1620" t="str">
        <f>$D$265</f>
        <v>Gy/s</v>
      </c>
      <c r="CC27" s="1614">
        <f t="shared" si="6"/>
        <v>5.2649357151888003E-5</v>
      </c>
      <c r="CD27" s="1615" t="s">
        <v>645</v>
      </c>
      <c r="CE27" s="1608">
        <f t="shared" si="65"/>
        <v>3.850159174773932E-3</v>
      </c>
      <c r="CF27" s="1616">
        <f t="shared" si="32"/>
        <v>0.38501591747739322</v>
      </c>
      <c r="CG27" s="1617">
        <f>ABS(CC27^2/$O$30^2*100)</f>
        <v>2.8189998441859729</v>
      </c>
      <c r="CH27" s="1608">
        <f>$C$258</f>
        <v>0.4</v>
      </c>
      <c r="CI27" s="1609" t="str">
        <f>$D$258</f>
        <v>s</v>
      </c>
      <c r="CJ27" s="1610" t="s">
        <v>370</v>
      </c>
      <c r="CK27" s="1611">
        <f t="shared" si="33"/>
        <v>1.7320508075688772</v>
      </c>
      <c r="CL27" s="1612">
        <f>$C$265</f>
        <v>2.2797840393227461E-4</v>
      </c>
      <c r="CM27" s="1620" t="str">
        <f>$D$265</f>
        <v>Gy/s</v>
      </c>
      <c r="CN27" s="1614">
        <f t="shared" si="7"/>
        <v>5.2649357151888003E-5</v>
      </c>
      <c r="CO27" s="1615" t="s">
        <v>645</v>
      </c>
      <c r="CP27" s="1608">
        <f t="shared" si="66"/>
        <v>3.850159174773932E-3</v>
      </c>
      <c r="CQ27" s="1616">
        <f t="shared" si="35"/>
        <v>0.38501591747739322</v>
      </c>
      <c r="CR27" s="1617">
        <f>ABS(CN27^2/$O$30^2*100)</f>
        <v>2.8189998441859729</v>
      </c>
      <c r="CS27" s="1608">
        <f>$C$258</f>
        <v>0.4</v>
      </c>
      <c r="CT27" s="1609" t="str">
        <f>$D$258</f>
        <v>s</v>
      </c>
      <c r="CU27" s="1610" t="s">
        <v>370</v>
      </c>
      <c r="CV27" s="1611">
        <f t="shared" si="36"/>
        <v>1.7320508075688772</v>
      </c>
      <c r="CW27" s="1612">
        <f>$C$265</f>
        <v>2.2797840393227461E-4</v>
      </c>
      <c r="CX27" s="1620" t="str">
        <f>$D$265</f>
        <v>Gy/s</v>
      </c>
      <c r="CY27" s="1614">
        <f t="shared" si="8"/>
        <v>5.2649357151888003E-5</v>
      </c>
      <c r="CZ27" s="1615" t="s">
        <v>645</v>
      </c>
      <c r="DA27" s="1608">
        <f t="shared" si="67"/>
        <v>3.850159174773932E-3</v>
      </c>
      <c r="DB27" s="1616">
        <f t="shared" si="38"/>
        <v>0.38501591747739322</v>
      </c>
      <c r="DC27" s="1617">
        <f>ABS(CY27^2/$O$30^2*100)</f>
        <v>2.8189998441859729</v>
      </c>
      <c r="DD27" s="1608">
        <f>$C$258</f>
        <v>0.4</v>
      </c>
      <c r="DE27" s="1609" t="str">
        <f>$D$258</f>
        <v>s</v>
      </c>
      <c r="DF27" s="1610" t="s">
        <v>370</v>
      </c>
      <c r="DG27" s="1611">
        <f t="shared" si="39"/>
        <v>1.7320508075688772</v>
      </c>
      <c r="DH27" s="1612">
        <f>$C$265</f>
        <v>2.2797840393227461E-4</v>
      </c>
      <c r="DI27" s="1620" t="str">
        <f>$D$265</f>
        <v>Gy/s</v>
      </c>
      <c r="DJ27" s="1614">
        <f t="shared" si="9"/>
        <v>5.2649357151888003E-5</v>
      </c>
      <c r="DK27" s="1615" t="s">
        <v>645</v>
      </c>
      <c r="DL27" s="1608">
        <f t="shared" si="68"/>
        <v>3.850159174773932E-3</v>
      </c>
      <c r="DM27" s="1616">
        <f t="shared" si="41"/>
        <v>0.38501591747739322</v>
      </c>
      <c r="DN27" s="1617">
        <f>ABS(DJ27^2/$O$30^2*100)</f>
        <v>2.8189998441859729</v>
      </c>
      <c r="DO27" s="1608">
        <f>$C$258</f>
        <v>0.4</v>
      </c>
      <c r="DP27" s="1609" t="str">
        <f>$D$258</f>
        <v>s</v>
      </c>
      <c r="DQ27" s="1610" t="s">
        <v>370</v>
      </c>
      <c r="DR27" s="1611">
        <f t="shared" si="42"/>
        <v>1.7320508075688772</v>
      </c>
      <c r="DS27" s="1612">
        <f>$C$265</f>
        <v>2.2797840393227461E-4</v>
      </c>
      <c r="DT27" s="1620" t="str">
        <f>$D$265</f>
        <v>Gy/s</v>
      </c>
      <c r="DU27" s="1614">
        <f t="shared" si="10"/>
        <v>5.2649357151888003E-5</v>
      </c>
      <c r="DV27" s="1615" t="s">
        <v>645</v>
      </c>
      <c r="DW27" s="1608">
        <f t="shared" si="69"/>
        <v>3.850159174773932E-3</v>
      </c>
      <c r="DX27" s="1616">
        <f t="shared" si="44"/>
        <v>0.38501591747739322</v>
      </c>
      <c r="DY27" s="1617">
        <f>ABS(DU27^2/$O$30^2*100)</f>
        <v>2.8189998441859729</v>
      </c>
      <c r="DZ27" s="1608">
        <f>$C$258</f>
        <v>0.4</v>
      </c>
      <c r="EA27" s="1609" t="str">
        <f>$D$258</f>
        <v>s</v>
      </c>
      <c r="EB27" s="1610" t="s">
        <v>370</v>
      </c>
      <c r="EC27" s="1611">
        <f t="shared" si="45"/>
        <v>1.7320508075688772</v>
      </c>
      <c r="ED27" s="1612">
        <f>$C$265</f>
        <v>2.2797840393227461E-4</v>
      </c>
      <c r="EE27" s="1620" t="str">
        <f>$D$265</f>
        <v>Gy/s</v>
      </c>
      <c r="EF27" s="1614">
        <f t="shared" si="11"/>
        <v>5.2649357151888003E-5</v>
      </c>
      <c r="EG27" s="1615" t="s">
        <v>645</v>
      </c>
      <c r="EH27" s="1608">
        <f t="shared" si="70"/>
        <v>3.850159174773932E-3</v>
      </c>
      <c r="EI27" s="1616">
        <f t="shared" si="47"/>
        <v>0.38501591747739322</v>
      </c>
      <c r="EJ27" s="1617">
        <f>ABS(EF27^2/$O$30^2*100)</f>
        <v>2.8189998441859729</v>
      </c>
    </row>
    <row r="28" spans="1:140" ht="18" x14ac:dyDescent="0.25">
      <c r="A28" s="1078">
        <v>10</v>
      </c>
      <c r="B28" s="2599" t="s">
        <v>642</v>
      </c>
      <c r="C28" s="2600"/>
      <c r="D28" s="2600"/>
      <c r="E28" s="2600"/>
      <c r="F28" s="2601"/>
      <c r="G28" s="1079" t="s">
        <v>805</v>
      </c>
      <c r="H28" s="1453" t="s">
        <v>451</v>
      </c>
      <c r="I28" s="1608">
        <f>$C$276</f>
        <v>0.05</v>
      </c>
      <c r="J28" s="1609" t="str">
        <f>$D$276</f>
        <v>s</v>
      </c>
      <c r="K28" s="1610" t="s">
        <v>370</v>
      </c>
      <c r="L28" s="1611">
        <f>IF(K28="normal (k=1)",1,IF(K28="normal (k=2)",2,IF(K28="normal (k=3)",3,IF(K28="rectangular",SQRT(3),IF(K28="triangular",SQRT(6),IF(K28="Prob. U",SQRT(2),"no definido"))))))</f>
        <v>1.7320508075688772</v>
      </c>
      <c r="M28" s="1612">
        <f>$C$283</f>
        <v>2.2797840393227461E-4</v>
      </c>
      <c r="N28" s="1613" t="str">
        <f>$D$283</f>
        <v>Gy/s</v>
      </c>
      <c r="O28" s="1614">
        <f t="shared" si="0"/>
        <v>6.5811696439860004E-6</v>
      </c>
      <c r="P28" s="1615" t="s">
        <v>645</v>
      </c>
      <c r="Q28" s="1608">
        <f t="shared" si="13"/>
        <v>4.812698968467415E-4</v>
      </c>
      <c r="R28" s="1616">
        <f t="shared" si="14"/>
        <v>4.8126989684674153E-2</v>
      </c>
      <c r="S28" s="1621">
        <f>ABS(O28^2/$O$30^2*100)</f>
        <v>4.4046872565405827E-2</v>
      </c>
      <c r="T28" s="1608">
        <f>$C$276</f>
        <v>0.05</v>
      </c>
      <c r="U28" s="1609" t="str">
        <f>$D$276</f>
        <v>s</v>
      </c>
      <c r="V28" s="1610" t="s">
        <v>370</v>
      </c>
      <c r="W28" s="1611">
        <f>IF(V28="normal (k=1)",1,IF(V28="normal (k=2)",2,IF(V28="normal (k=3)",3,IF(V28="rectangular",SQRT(3),IF(V28="triangular",SQRT(6),IF(V28="Prob. U",SQRT(2),"no definido"))))))</f>
        <v>1.7320508075688772</v>
      </c>
      <c r="X28" s="1612">
        <f>$C$283</f>
        <v>2.2797840393227461E-4</v>
      </c>
      <c r="Y28" s="1613" t="str">
        <f>$D$283</f>
        <v>Gy/s</v>
      </c>
      <c r="Z28" s="1614">
        <f t="shared" si="1"/>
        <v>6.5811696439860004E-6</v>
      </c>
      <c r="AA28" s="1615" t="s">
        <v>645</v>
      </c>
      <c r="AB28" s="1608">
        <f t="shared" si="60"/>
        <v>4.812698968467415E-4</v>
      </c>
      <c r="AC28" s="1616">
        <f t="shared" si="17"/>
        <v>4.8126989684674153E-2</v>
      </c>
      <c r="AD28" s="1621">
        <f>ABS(Z28^2/$O$30^2*100)</f>
        <v>4.4046872565405827E-2</v>
      </c>
      <c r="AE28" s="1608">
        <f>$C$276</f>
        <v>0.05</v>
      </c>
      <c r="AF28" s="1609" t="str">
        <f>$D$276</f>
        <v>s</v>
      </c>
      <c r="AG28" s="1610" t="s">
        <v>370</v>
      </c>
      <c r="AH28" s="1611">
        <f>IF(AG28="normal (k=1)",1,IF(AG28="normal (k=2)",2,IF(AG28="normal (k=3)",3,IF(AG28="rectangular",SQRT(3),IF(AG28="triangular",SQRT(6),IF(AG28="Prob. U",SQRT(2),"no definido"))))))</f>
        <v>1.7320508075688772</v>
      </c>
      <c r="AI28" s="1612">
        <f>$C$283</f>
        <v>2.2797840393227461E-4</v>
      </c>
      <c r="AJ28" s="1613" t="str">
        <f>$D$283</f>
        <v>Gy/s</v>
      </c>
      <c r="AK28" s="1614">
        <f t="shared" si="2"/>
        <v>6.5811696439860004E-6</v>
      </c>
      <c r="AL28" s="1615" t="s">
        <v>645</v>
      </c>
      <c r="AM28" s="1608">
        <f t="shared" si="61"/>
        <v>4.812698968467415E-4</v>
      </c>
      <c r="AN28" s="1616">
        <f t="shared" si="20"/>
        <v>4.8126989684674153E-2</v>
      </c>
      <c r="AO28" s="1621">
        <f>ABS(AK28^2/$O$30^2*100)</f>
        <v>4.4046872565405827E-2</v>
      </c>
      <c r="AP28" s="1608">
        <f>$C$276</f>
        <v>0.05</v>
      </c>
      <c r="AQ28" s="1609" t="str">
        <f>$D$276</f>
        <v>s</v>
      </c>
      <c r="AR28" s="1610" t="s">
        <v>370</v>
      </c>
      <c r="AS28" s="1611">
        <f>IF(AR28="normal (k=1)",1,IF(AR28="normal (k=2)",2,IF(AR28="normal (k=3)",3,IF(AR28="rectangular",SQRT(3),IF(AR28="triangular",SQRT(6),IF(AR28="Prob. U",SQRT(2),"no definido"))))))</f>
        <v>1.7320508075688772</v>
      </c>
      <c r="AT28" s="1612">
        <f>$C$283</f>
        <v>2.2797840393227461E-4</v>
      </c>
      <c r="AU28" s="1613" t="str">
        <f>$D$283</f>
        <v>Gy/s</v>
      </c>
      <c r="AV28" s="1614">
        <f t="shared" si="3"/>
        <v>6.5811696439860004E-6</v>
      </c>
      <c r="AW28" s="1615" t="s">
        <v>645</v>
      </c>
      <c r="AX28" s="1608">
        <f t="shared" si="62"/>
        <v>4.812698968467415E-4</v>
      </c>
      <c r="AY28" s="1616">
        <f t="shared" si="23"/>
        <v>4.8126989684674153E-2</v>
      </c>
      <c r="AZ28" s="1621">
        <f>ABS(AV28^2/$O$30^2*100)</f>
        <v>4.4046872565405827E-2</v>
      </c>
      <c r="BA28" s="1608">
        <f>$C$276</f>
        <v>0.05</v>
      </c>
      <c r="BB28" s="1609" t="str">
        <f>$D$276</f>
        <v>s</v>
      </c>
      <c r="BC28" s="1610" t="s">
        <v>370</v>
      </c>
      <c r="BD28" s="1611">
        <f>IF(BC28="normal (k=1)",1,IF(BC28="normal (k=2)",2,IF(BC28="normal (k=3)",3,IF(BC28="rectangular",SQRT(3),IF(BC28="triangular",SQRT(6),IF(BC28="Prob. U",SQRT(2),"no definido"))))))</f>
        <v>1.7320508075688772</v>
      </c>
      <c r="BE28" s="1612">
        <f>$C$283</f>
        <v>2.2797840393227461E-4</v>
      </c>
      <c r="BF28" s="1613" t="str">
        <f>$D$283</f>
        <v>Gy/s</v>
      </c>
      <c r="BG28" s="1614">
        <f t="shared" si="4"/>
        <v>6.5811696439860004E-6</v>
      </c>
      <c r="BH28" s="1615" t="s">
        <v>645</v>
      </c>
      <c r="BI28" s="1608">
        <f t="shared" si="63"/>
        <v>4.812698968467415E-4</v>
      </c>
      <c r="BJ28" s="1616">
        <f t="shared" si="26"/>
        <v>4.8126989684674153E-2</v>
      </c>
      <c r="BK28" s="1621">
        <f>ABS(BG28^2/$O$30^2*100)</f>
        <v>4.4046872565405827E-2</v>
      </c>
      <c r="BL28" s="1608">
        <f>$C$276</f>
        <v>0.05</v>
      </c>
      <c r="BM28" s="1609" t="str">
        <f>$D$276</f>
        <v>s</v>
      </c>
      <c r="BN28" s="1610" t="s">
        <v>370</v>
      </c>
      <c r="BO28" s="1611">
        <f>IF(BN28="normal (k=1)",1,IF(BN28="normal (k=2)",2,IF(BN28="normal (k=3)",3,IF(BN28="rectangular",SQRT(3),IF(BN28="triangular",SQRT(6),IF(BN28="Prob. U",SQRT(2),"no definido"))))))</f>
        <v>1.7320508075688772</v>
      </c>
      <c r="BP28" s="1612">
        <f>$C$283</f>
        <v>2.2797840393227461E-4</v>
      </c>
      <c r="BQ28" s="1613" t="str">
        <f>$D$283</f>
        <v>Gy/s</v>
      </c>
      <c r="BR28" s="1614">
        <f t="shared" si="5"/>
        <v>6.5811696439860004E-6</v>
      </c>
      <c r="BS28" s="1615" t="s">
        <v>645</v>
      </c>
      <c r="BT28" s="1608">
        <f t="shared" si="64"/>
        <v>4.812698968467415E-4</v>
      </c>
      <c r="BU28" s="1616">
        <f t="shared" si="29"/>
        <v>4.8126989684674153E-2</v>
      </c>
      <c r="BV28" s="1621">
        <f>ABS(BR28^2/$O$30^2*100)</f>
        <v>4.4046872565405827E-2</v>
      </c>
      <c r="BW28" s="1608">
        <f>$C$276</f>
        <v>0.05</v>
      </c>
      <c r="BX28" s="1609" t="str">
        <f>$D$276</f>
        <v>s</v>
      </c>
      <c r="BY28" s="1610" t="s">
        <v>370</v>
      </c>
      <c r="BZ28" s="1611">
        <f>IF(BY28="normal (k=1)",1,IF(BY28="normal (k=2)",2,IF(BY28="normal (k=3)",3,IF(BY28="rectangular",SQRT(3),IF(BY28="triangular",SQRT(6),IF(BY28="Prob. U",SQRT(2),"no definido"))))))</f>
        <v>1.7320508075688772</v>
      </c>
      <c r="CA28" s="1612">
        <f>$C$283</f>
        <v>2.2797840393227461E-4</v>
      </c>
      <c r="CB28" s="1613" t="str">
        <f>$D$283</f>
        <v>Gy/s</v>
      </c>
      <c r="CC28" s="1614">
        <f t="shared" si="6"/>
        <v>6.5811696439860004E-6</v>
      </c>
      <c r="CD28" s="1615" t="s">
        <v>645</v>
      </c>
      <c r="CE28" s="1608">
        <f t="shared" si="65"/>
        <v>4.812698968467415E-4</v>
      </c>
      <c r="CF28" s="1616">
        <f t="shared" si="32"/>
        <v>4.8126989684674153E-2</v>
      </c>
      <c r="CG28" s="1621">
        <f>ABS(CC28^2/$O$30^2*100)</f>
        <v>4.4046872565405827E-2</v>
      </c>
      <c r="CH28" s="1608">
        <f>$C$276</f>
        <v>0.05</v>
      </c>
      <c r="CI28" s="1609" t="str">
        <f>$D$276</f>
        <v>s</v>
      </c>
      <c r="CJ28" s="1610" t="s">
        <v>370</v>
      </c>
      <c r="CK28" s="1611">
        <f>IF(CJ28="normal (k=1)",1,IF(CJ28="normal (k=2)",2,IF(CJ28="normal (k=3)",3,IF(CJ28="rectangular",SQRT(3),IF(CJ28="triangular",SQRT(6),IF(CJ28="Prob. U",SQRT(2),"no definido"))))))</f>
        <v>1.7320508075688772</v>
      </c>
      <c r="CL28" s="1612">
        <f>$C$283</f>
        <v>2.2797840393227461E-4</v>
      </c>
      <c r="CM28" s="1613" t="str">
        <f>$D$283</f>
        <v>Gy/s</v>
      </c>
      <c r="CN28" s="1614">
        <f t="shared" si="7"/>
        <v>6.5811696439860004E-6</v>
      </c>
      <c r="CO28" s="1615" t="s">
        <v>645</v>
      </c>
      <c r="CP28" s="1608">
        <f t="shared" si="66"/>
        <v>4.812698968467415E-4</v>
      </c>
      <c r="CQ28" s="1616">
        <f t="shared" si="35"/>
        <v>4.8126989684674153E-2</v>
      </c>
      <c r="CR28" s="1621">
        <f>ABS(CN28^2/$O$30^2*100)</f>
        <v>4.4046872565405827E-2</v>
      </c>
      <c r="CS28" s="1608">
        <f>$C$276</f>
        <v>0.05</v>
      </c>
      <c r="CT28" s="1609" t="str">
        <f>$D$276</f>
        <v>s</v>
      </c>
      <c r="CU28" s="1610" t="s">
        <v>370</v>
      </c>
      <c r="CV28" s="1611">
        <f>IF(CU28="normal (k=1)",1,IF(CU28="normal (k=2)",2,IF(CU28="normal (k=3)",3,IF(CU28="rectangular",SQRT(3),IF(CU28="triangular",SQRT(6),IF(CU28="Prob. U",SQRT(2),"no definido"))))))</f>
        <v>1.7320508075688772</v>
      </c>
      <c r="CW28" s="1612">
        <f>$C$283</f>
        <v>2.2797840393227461E-4</v>
      </c>
      <c r="CX28" s="1613" t="str">
        <f>$D$283</f>
        <v>Gy/s</v>
      </c>
      <c r="CY28" s="1614">
        <f t="shared" si="8"/>
        <v>6.5811696439860004E-6</v>
      </c>
      <c r="CZ28" s="1615" t="s">
        <v>645</v>
      </c>
      <c r="DA28" s="1608">
        <f t="shared" si="67"/>
        <v>4.812698968467415E-4</v>
      </c>
      <c r="DB28" s="1616">
        <f t="shared" si="38"/>
        <v>4.8126989684674153E-2</v>
      </c>
      <c r="DC28" s="1621">
        <f>ABS(CY28^2/$O$30^2*100)</f>
        <v>4.4046872565405827E-2</v>
      </c>
      <c r="DD28" s="1608">
        <f>$C$276</f>
        <v>0.05</v>
      </c>
      <c r="DE28" s="1609" t="str">
        <f>$D$276</f>
        <v>s</v>
      </c>
      <c r="DF28" s="1610" t="s">
        <v>370</v>
      </c>
      <c r="DG28" s="1611">
        <f>IF(DF28="normal (k=1)",1,IF(DF28="normal (k=2)",2,IF(DF28="normal (k=3)",3,IF(DF28="rectangular",SQRT(3),IF(DF28="triangular",SQRT(6),IF(DF28="Prob. U",SQRT(2),"no definido"))))))</f>
        <v>1.7320508075688772</v>
      </c>
      <c r="DH28" s="1612">
        <f>$C$283</f>
        <v>2.2797840393227461E-4</v>
      </c>
      <c r="DI28" s="1613" t="str">
        <f>$D$283</f>
        <v>Gy/s</v>
      </c>
      <c r="DJ28" s="1614">
        <f t="shared" si="9"/>
        <v>6.5811696439860004E-6</v>
      </c>
      <c r="DK28" s="1615" t="s">
        <v>645</v>
      </c>
      <c r="DL28" s="1608">
        <f t="shared" si="68"/>
        <v>4.812698968467415E-4</v>
      </c>
      <c r="DM28" s="1616">
        <f t="shared" si="41"/>
        <v>4.8126989684674153E-2</v>
      </c>
      <c r="DN28" s="1621">
        <f>ABS(DJ28^2/$O$30^2*100)</f>
        <v>4.4046872565405827E-2</v>
      </c>
      <c r="DO28" s="1608">
        <f>$C$276</f>
        <v>0.05</v>
      </c>
      <c r="DP28" s="1609" t="str">
        <f>$D$276</f>
        <v>s</v>
      </c>
      <c r="DQ28" s="1610" t="s">
        <v>370</v>
      </c>
      <c r="DR28" s="1611">
        <f>IF(DQ28="normal (k=1)",1,IF(DQ28="normal (k=2)",2,IF(DQ28="normal (k=3)",3,IF(DQ28="rectangular",SQRT(3),IF(DQ28="triangular",SQRT(6),IF(DQ28="Prob. U",SQRT(2),"no definido"))))))</f>
        <v>1.7320508075688772</v>
      </c>
      <c r="DS28" s="1612">
        <f>$C$283</f>
        <v>2.2797840393227461E-4</v>
      </c>
      <c r="DT28" s="1613" t="str">
        <f>$D$283</f>
        <v>Gy/s</v>
      </c>
      <c r="DU28" s="1614">
        <f t="shared" si="10"/>
        <v>6.5811696439860004E-6</v>
      </c>
      <c r="DV28" s="1615" t="s">
        <v>645</v>
      </c>
      <c r="DW28" s="1608">
        <f t="shared" si="69"/>
        <v>4.812698968467415E-4</v>
      </c>
      <c r="DX28" s="1616">
        <f t="shared" si="44"/>
        <v>4.8126989684674153E-2</v>
      </c>
      <c r="DY28" s="1621">
        <f>ABS(DU28^2/$O$30^2*100)</f>
        <v>4.4046872565405827E-2</v>
      </c>
      <c r="DZ28" s="1608">
        <f>$C$276</f>
        <v>0.05</v>
      </c>
      <c r="EA28" s="1609" t="str">
        <f>$D$276</f>
        <v>s</v>
      </c>
      <c r="EB28" s="1610" t="s">
        <v>370</v>
      </c>
      <c r="EC28" s="1611">
        <f>IF(EB28="normal (k=1)",1,IF(EB28="normal (k=2)",2,IF(EB28="normal (k=3)",3,IF(EB28="rectangular",SQRT(3),IF(EB28="triangular",SQRT(6),IF(EB28="Prob. U",SQRT(2),"no definido"))))))</f>
        <v>1.7320508075688772</v>
      </c>
      <c r="ED28" s="1612">
        <f>$C$283</f>
        <v>2.2797840393227461E-4</v>
      </c>
      <c r="EE28" s="1613" t="str">
        <f>$D$283</f>
        <v>Gy/s</v>
      </c>
      <c r="EF28" s="1614">
        <f t="shared" si="11"/>
        <v>6.5811696439860004E-6</v>
      </c>
      <c r="EG28" s="1615" t="s">
        <v>645</v>
      </c>
      <c r="EH28" s="1608">
        <f t="shared" si="70"/>
        <v>4.812698968467415E-4</v>
      </c>
      <c r="EI28" s="1616">
        <f t="shared" si="47"/>
        <v>4.8126989684674153E-2</v>
      </c>
      <c r="EJ28" s="1621">
        <f>ABS(EF28^2/$O$30^2*100)</f>
        <v>4.4046872565405827E-2</v>
      </c>
    </row>
    <row r="29" spans="1:140" ht="18.75" thickBot="1" x14ac:dyDescent="0.3">
      <c r="A29" s="1460">
        <v>11</v>
      </c>
      <c r="B29" s="2417" t="s">
        <v>1004</v>
      </c>
      <c r="C29" s="2698"/>
      <c r="D29" s="2698"/>
      <c r="E29" s="2698"/>
      <c r="F29" s="2699"/>
      <c r="G29" s="409" t="s">
        <v>1008</v>
      </c>
      <c r="H29" s="1461" t="s">
        <v>451</v>
      </c>
      <c r="I29" s="1622">
        <f>CHOOSE('F-LSCD-012'!V34,'F-LSCD-012'!M34/2/'F-LSCD-002 (Dosimetría)'!$F$80*0.000001,'F-LSCD-012'!M34/2/'F-LSCD-002 (Dosimetría)'!$F$80*0.001,'F-LSCD-012'!M34/2/'F-LSCD-002 (Dosimetría)'!$F$80*1,'F-LSCD-012'!M34/2*'Datos varios'!$E$119/'F-LSCD-002 (Dosimetría)'!$F$80*0.000001,'F-LSCD-012'!M34/2*'Datos varios'!$E$120/'F-LSCD-002 (Dosimetría)'!$F$80*0.000001,'F-LSCD-012'!M34/2*'Datos varios'!$E$121/'F-LSCD-002 (Dosimetría)'!$F$80*0.000001,'F-LSCD-012'!M34/2*'Datos varios'!$E$122/'F-LSCD-002 (Dosimetría)'!$F$80*0.000001,'F-LSCD-012'!M34/2*'Datos varios'!$E$123/'F-LSCD-002 (Dosimetría)'!$F$80*0.000001,"-")</f>
        <v>4.1322314049586778E-6</v>
      </c>
      <c r="J29" s="1623" t="s">
        <v>645</v>
      </c>
      <c r="K29" s="1624" t="s">
        <v>370</v>
      </c>
      <c r="L29" s="1625">
        <f>IF(K29="normal (k=1)",1,IF(K29="normal (k=2)",2,IF(K29="normal (k=3)",3,IF(K29="rectangular",SQRT(3),IF(K29="triangular",SQRT(6),IF(K29="Prob. U",SQRT(2),"no definido"))))))</f>
        <v>1.7320508075688772</v>
      </c>
      <c r="M29" s="1626">
        <f>$C$300</f>
        <v>1</v>
      </c>
      <c r="N29" s="1627" t="str">
        <f>$D$300</f>
        <v>-</v>
      </c>
      <c r="O29" s="1628">
        <f t="shared" si="0"/>
        <v>2.3857449140067182E-6</v>
      </c>
      <c r="P29" s="1629" t="s">
        <v>645</v>
      </c>
      <c r="Q29" s="1622">
        <f t="shared" si="13"/>
        <v>1.7446552372584514E-4</v>
      </c>
      <c r="R29" s="1630">
        <f t="shared" si="14"/>
        <v>1.7446552372584512E-2</v>
      </c>
      <c r="S29" s="1631">
        <f>ABS(O29^2/$O$30^2*100)</f>
        <v>5.7883784707396368E-3</v>
      </c>
      <c r="T29" s="1622" t="e">
        <f>CHOOSE('F-LSCD-012'!V34,'F-LSCD-012'!M36/2/'F-LSCD-002 (Dosimetría)'!$F$80*0.000001,'F-LSCD-012'!M36/2*1000/'F-LSCD-002 (Dosimetría)'!$F$80*0.001,'F-LSCD-012'!M36/2*1000000/'F-LSCD-002 (Dosimetría)'!$F$80*1,'F-LSCD-012'!M36/2*'Datos varios'!$E$119/'F-LSCD-002 (Dosimetría)'!$F$80*0.000001,'F-LSCD-012'!M36/2*'Datos varios'!$E$120/'F-LSCD-002 (Dosimetría)'!$F$80*0.000001,'F-LSCD-012'!M36/2*'Datos varios'!$E$121/'F-LSCD-002 (Dosimetría)'!$F$80*0.000001,'F-LSCD-012'!M36/2*'Datos varios'!$E$122/'F-LSCD-002 (Dosimetría)'!$F$80*0.000001,'F-LSCD-012'!M36/2*'Datos varios'!$E$123/'F-LSCD-002 (Dosimetría)'!$F$80*0.000001,"-")</f>
        <v>#VALUE!</v>
      </c>
      <c r="U29" s="1623" t="s">
        <v>645</v>
      </c>
      <c r="V29" s="1624" t="s">
        <v>370</v>
      </c>
      <c r="W29" s="1625">
        <f>IF(V29="normal (k=1)",1,IF(V29="normal (k=2)",2,IF(V29="normal (k=3)",3,IF(V29="rectangular",SQRT(3),IF(V29="triangular",SQRT(6),IF(V29="Prob. U",SQRT(2),"no definido"))))))</f>
        <v>1.7320508075688772</v>
      </c>
      <c r="X29" s="1626">
        <f>$C$300</f>
        <v>1</v>
      </c>
      <c r="Y29" s="1627" t="str">
        <f>$D$300</f>
        <v>-</v>
      </c>
      <c r="Z29" s="1628" t="e">
        <f t="shared" si="1"/>
        <v>#VALUE!</v>
      </c>
      <c r="AA29" s="1629" t="s">
        <v>645</v>
      </c>
      <c r="AB29" s="1622" t="e">
        <f t="shared" si="60"/>
        <v>#VALUE!</v>
      </c>
      <c r="AC29" s="1630" t="e">
        <f t="shared" si="17"/>
        <v>#VALUE!</v>
      </c>
      <c r="AD29" s="1631" t="e">
        <f>ABS(Z29^2/$O$30^2*100)</f>
        <v>#VALUE!</v>
      </c>
      <c r="AE29" s="1622" t="e">
        <f>CHOOSE('F-LSCD-012'!V34,'F-LSCD-012'!M38/2/'F-LSCD-002 (Dosimetría)'!$F$80*0.000001,'F-LSCD-012'!M38/2*1000/'F-LSCD-002 (Dosimetría)'!$F$80*0.001,'F-LSCD-012'!M38/2*1000000/'F-LSCD-002 (Dosimetría)'!$F$80*1,'F-LSCD-012'!M38/2*'Datos varios'!$E$119/'F-LSCD-002 (Dosimetría)'!$F$80*0.000001,'F-LSCD-012'!M38/2*'Datos varios'!$E$120/'F-LSCD-002 (Dosimetría)'!$F$80*0.000001,'F-LSCD-012'!M38/2*'Datos varios'!$E$121/'F-LSCD-002 (Dosimetría)'!$F$80*0.000001,'F-LSCD-012'!M38/2*'Datos varios'!$E$122/'F-LSCD-002 (Dosimetría)'!$F$80*0.000001,'F-LSCD-012'!M38/2*'Datos varios'!$E$123/'F-LSCD-002 (Dosimetría)'!$F$80*0.000001,"-")</f>
        <v>#VALUE!</v>
      </c>
      <c r="AF29" s="1623" t="s">
        <v>645</v>
      </c>
      <c r="AG29" s="1624" t="s">
        <v>370</v>
      </c>
      <c r="AH29" s="1625">
        <f>IF(AG29="normal (k=1)",1,IF(AG29="normal (k=2)",2,IF(AG29="normal (k=3)",3,IF(AG29="rectangular",SQRT(3),IF(AG29="triangular",SQRT(6),IF(AG29="Prob. U",SQRT(2),"no definido"))))))</f>
        <v>1.7320508075688772</v>
      </c>
      <c r="AI29" s="1626">
        <f>$C$300</f>
        <v>1</v>
      </c>
      <c r="AJ29" s="1627" t="str">
        <f>$D$300</f>
        <v>-</v>
      </c>
      <c r="AK29" s="1628" t="e">
        <f t="shared" si="2"/>
        <v>#VALUE!</v>
      </c>
      <c r="AL29" s="1629" t="s">
        <v>645</v>
      </c>
      <c r="AM29" s="1622" t="e">
        <f t="shared" si="61"/>
        <v>#VALUE!</v>
      </c>
      <c r="AN29" s="1630" t="e">
        <f t="shared" si="20"/>
        <v>#VALUE!</v>
      </c>
      <c r="AO29" s="1631" t="e">
        <f>ABS(AK29^2/$O$30^2*100)</f>
        <v>#VALUE!</v>
      </c>
      <c r="AP29" s="1622" t="e">
        <f>CHOOSE('F-LSCD-012'!V34,'F-LSCD-012'!M40/2/'F-LSCD-002 (Dosimetría)'!$F$80*0.000001,'F-LSCD-012'!M40/2*1000/'F-LSCD-002 (Dosimetría)'!$F$80*0.001,'F-LSCD-012'!M40/2*1000000/'F-LSCD-002 (Dosimetría)'!$F$80*1,'F-LSCD-012'!M40/2*'Datos varios'!$E$119/'F-LSCD-002 (Dosimetría)'!$F$80*0.000001,'F-LSCD-012'!M40/2*'Datos varios'!$E$120/'F-LSCD-002 (Dosimetría)'!$F$80*0.000001,'F-LSCD-012'!M40/2*'Datos varios'!$E$121/'F-LSCD-002 (Dosimetría)'!$F$80*0.000001,'F-LSCD-012'!M40/2*'Datos varios'!$E$122/'F-LSCD-002 (Dosimetría)'!$F$80*0.000001,'F-LSCD-012'!M40/2*'Datos varios'!$E$123/'F-LSCD-002 (Dosimetría)'!$F$80*0.000001,"-")</f>
        <v>#VALUE!</v>
      </c>
      <c r="AQ29" s="1623" t="s">
        <v>645</v>
      </c>
      <c r="AR29" s="1624" t="s">
        <v>370</v>
      </c>
      <c r="AS29" s="1625">
        <f>IF(AR29="normal (k=1)",1,IF(AR29="normal (k=2)",2,IF(AR29="normal (k=3)",3,IF(AR29="rectangular",SQRT(3),IF(AR29="triangular",SQRT(6),IF(AR29="Prob. U",SQRT(2),"no definido"))))))</f>
        <v>1.7320508075688772</v>
      </c>
      <c r="AT29" s="1626">
        <f>$C$300</f>
        <v>1</v>
      </c>
      <c r="AU29" s="1627" t="str">
        <f>$D$300</f>
        <v>-</v>
      </c>
      <c r="AV29" s="1628" t="e">
        <f t="shared" si="3"/>
        <v>#VALUE!</v>
      </c>
      <c r="AW29" s="1629" t="s">
        <v>645</v>
      </c>
      <c r="AX29" s="1622" t="e">
        <f t="shared" si="62"/>
        <v>#VALUE!</v>
      </c>
      <c r="AY29" s="1630" t="e">
        <f t="shared" si="23"/>
        <v>#VALUE!</v>
      </c>
      <c r="AZ29" s="1631" t="e">
        <f>ABS(AV29^2/$O$30^2*100)</f>
        <v>#VALUE!</v>
      </c>
      <c r="BA29" s="1622" t="e">
        <f>CHOOSE('F-LSCD-012'!V34,'F-LSCD-012'!M42/2/'F-LSCD-002 (Dosimetría)'!$F$80*0.000001,'F-LSCD-012'!M42/2*1000/'F-LSCD-002 (Dosimetría)'!$F$80*0.001,'F-LSCD-012'!M42/2*1000000/'F-LSCD-002 (Dosimetría)'!$F$80*1,'F-LSCD-012'!M42/2*'Datos varios'!$E$119/'F-LSCD-002 (Dosimetría)'!$F$80*0.000001,'F-LSCD-012'!M42/2*'Datos varios'!$E$120/'F-LSCD-002 (Dosimetría)'!$F$80*0.000001,'F-LSCD-012'!M42/2*'Datos varios'!$E$121/'F-LSCD-002 (Dosimetría)'!$F$80*0.000001,'F-LSCD-012'!M42/2*'Datos varios'!$E$122/'F-LSCD-002 (Dosimetría)'!$F$80*0.000001,'F-LSCD-012'!M42/2*'Datos varios'!$E$123/'F-LSCD-002 (Dosimetría)'!$F$80*0.000001,"-")</f>
        <v>#VALUE!</v>
      </c>
      <c r="BB29" s="1623" t="s">
        <v>645</v>
      </c>
      <c r="BC29" s="1624" t="s">
        <v>370</v>
      </c>
      <c r="BD29" s="1625">
        <f>IF(BC29="normal (k=1)",1,IF(BC29="normal (k=2)",2,IF(BC29="normal (k=3)",3,IF(BC29="rectangular",SQRT(3),IF(BC29="triangular",SQRT(6),IF(BC29="Prob. U",SQRT(2),"no definido"))))))</f>
        <v>1.7320508075688772</v>
      </c>
      <c r="BE29" s="1626">
        <f>$C$300</f>
        <v>1</v>
      </c>
      <c r="BF29" s="1627" t="str">
        <f>$D$300</f>
        <v>-</v>
      </c>
      <c r="BG29" s="1628" t="e">
        <f t="shared" si="4"/>
        <v>#VALUE!</v>
      </c>
      <c r="BH29" s="1629" t="s">
        <v>645</v>
      </c>
      <c r="BI29" s="1622" t="e">
        <f t="shared" si="63"/>
        <v>#VALUE!</v>
      </c>
      <c r="BJ29" s="1630" t="e">
        <f t="shared" si="26"/>
        <v>#VALUE!</v>
      </c>
      <c r="BK29" s="1631" t="e">
        <f>ABS(BG29^2/$O$30^2*100)</f>
        <v>#VALUE!</v>
      </c>
      <c r="BL29" s="1622" t="e">
        <f>CHOOSE('F-LSCD-012'!V34,'F-LSCD-012'!M44/2/'F-LSCD-002 (Dosimetría)'!$F$80*0.000001,'F-LSCD-012'!M44/2*1000/'F-LSCD-002 (Dosimetría)'!$F$80*0.001,'F-LSCD-012'!M44/2*1000000/'F-LSCD-002 (Dosimetría)'!$F$80*1,'F-LSCD-012'!M44/2*'Datos varios'!$E$119/'F-LSCD-002 (Dosimetría)'!$F$80*0.000001,'F-LSCD-012'!M44/2*'Datos varios'!$E$120/'F-LSCD-002 (Dosimetría)'!$F$80*0.000001,'F-LSCD-012'!M44/2*'Datos varios'!$E$121/'F-LSCD-002 (Dosimetría)'!$F$80*0.000001,'F-LSCD-012'!M44/2*'Datos varios'!$E$122/'F-LSCD-002 (Dosimetría)'!$F$80*0.000001,'F-LSCD-012'!M44/2*'Datos varios'!$E$123/'F-LSCD-002 (Dosimetría)'!$F$80*0.000001,"-")</f>
        <v>#VALUE!</v>
      </c>
      <c r="BM29" s="1623" t="s">
        <v>645</v>
      </c>
      <c r="BN29" s="1624" t="s">
        <v>370</v>
      </c>
      <c r="BO29" s="1625">
        <f>IF(BN29="normal (k=1)",1,IF(BN29="normal (k=2)",2,IF(BN29="normal (k=3)",3,IF(BN29="rectangular",SQRT(3),IF(BN29="triangular",SQRT(6),IF(BN29="Prob. U",SQRT(2),"no definido"))))))</f>
        <v>1.7320508075688772</v>
      </c>
      <c r="BP29" s="1626">
        <f>$C$300</f>
        <v>1</v>
      </c>
      <c r="BQ29" s="1627" t="str">
        <f>$D$300</f>
        <v>-</v>
      </c>
      <c r="BR29" s="1628" t="e">
        <f t="shared" si="5"/>
        <v>#VALUE!</v>
      </c>
      <c r="BS29" s="1629" t="s">
        <v>645</v>
      </c>
      <c r="BT29" s="1622" t="e">
        <f t="shared" si="64"/>
        <v>#VALUE!</v>
      </c>
      <c r="BU29" s="1630" t="e">
        <f t="shared" si="29"/>
        <v>#VALUE!</v>
      </c>
      <c r="BV29" s="1631" t="e">
        <f>ABS(BR29^2/$O$30^2*100)</f>
        <v>#VALUE!</v>
      </c>
      <c r="BW29" s="1622" t="e">
        <f>CHOOSE('F-LSCD-012'!V34,'F-LSCD-012'!M46/2/'F-LSCD-002 (Dosimetría)'!$F$80*0.000001,'F-LSCD-012'!M46/2*1000/'F-LSCD-002 (Dosimetría)'!$F$80*0.001,'F-LSCD-012'!M46/2*1000000/'F-LSCD-002 (Dosimetría)'!$F$80*1,'F-LSCD-012'!M46/2*'Datos varios'!$E$119/'F-LSCD-002 (Dosimetría)'!$F$80*0.000001,'F-LSCD-012'!M46/2*'Datos varios'!$E$120/'F-LSCD-002 (Dosimetría)'!$F$80*0.000001,'F-LSCD-012'!M46/2*'Datos varios'!$E$121/'F-LSCD-002 (Dosimetría)'!$F$80*0.000001,'F-LSCD-012'!M46/2*'Datos varios'!$E$122/'F-LSCD-002 (Dosimetría)'!$F$80*0.000001,'F-LSCD-012'!M46/2*'Datos varios'!$E$123/'F-LSCD-002 (Dosimetría)'!$F$80*0.000001,"-")</f>
        <v>#VALUE!</v>
      </c>
      <c r="BX29" s="1623" t="s">
        <v>645</v>
      </c>
      <c r="BY29" s="1624" t="s">
        <v>370</v>
      </c>
      <c r="BZ29" s="1625">
        <f>IF(BY29="normal (k=1)",1,IF(BY29="normal (k=2)",2,IF(BY29="normal (k=3)",3,IF(BY29="rectangular",SQRT(3),IF(BY29="triangular",SQRT(6),IF(BY29="Prob. U",SQRT(2),"no definido"))))))</f>
        <v>1.7320508075688772</v>
      </c>
      <c r="CA29" s="1626">
        <f>$C$300</f>
        <v>1</v>
      </c>
      <c r="CB29" s="1627" t="str">
        <f>$D$300</f>
        <v>-</v>
      </c>
      <c r="CC29" s="1628" t="e">
        <f t="shared" si="6"/>
        <v>#VALUE!</v>
      </c>
      <c r="CD29" s="1629" t="s">
        <v>645</v>
      </c>
      <c r="CE29" s="1622" t="e">
        <f t="shared" si="65"/>
        <v>#VALUE!</v>
      </c>
      <c r="CF29" s="1630" t="e">
        <f t="shared" si="32"/>
        <v>#VALUE!</v>
      </c>
      <c r="CG29" s="1631" t="e">
        <f>ABS(CC29^2/$O$30^2*100)</f>
        <v>#VALUE!</v>
      </c>
      <c r="CH29" s="1622" t="e">
        <f>CHOOSE('F-LSCD-012'!V34,'F-LSCD-012'!M48/2/'F-LSCD-002 (Dosimetría)'!$F$80,'F-LSCD-012'!M48/2*1000/'F-LSCD-002 (Dosimetría)'!$F$80*0.000001,'F-LSCD-012'!M48/2*1000000/'F-LSCD-002 (Dosimetría)'!$F$80*0.000001,'F-LSCD-012'!M48/2*'Datos varios'!$E$119/'F-LSCD-002 (Dosimetría)'!$F$80*0.000001,'F-LSCD-012'!M48/2*'Datos varios'!$E$120/'F-LSCD-002 (Dosimetría)'!$F$80*0.000001,'F-LSCD-012'!M48/2*'Datos varios'!$E$121/'F-LSCD-002 (Dosimetría)'!$F$80*0.000001,'F-LSCD-012'!M48/2*'Datos varios'!$E$122/'F-LSCD-002 (Dosimetría)'!$F$80*0.000001,'F-LSCD-012'!M48/2*'Datos varios'!$E$123/'F-LSCD-002 (Dosimetría)'!$F$80*0.000001,"-")</f>
        <v>#VALUE!</v>
      </c>
      <c r="CI29" s="1623" t="s">
        <v>645</v>
      </c>
      <c r="CJ29" s="1624" t="s">
        <v>370</v>
      </c>
      <c r="CK29" s="1625">
        <f>IF(CJ29="normal (k=1)",1,IF(CJ29="normal (k=2)",2,IF(CJ29="normal (k=3)",3,IF(CJ29="rectangular",SQRT(3),IF(CJ29="triangular",SQRT(6),IF(CJ29="Prob. U",SQRT(2),"no definido"))))))</f>
        <v>1.7320508075688772</v>
      </c>
      <c r="CL29" s="1626">
        <f>$C$300</f>
        <v>1</v>
      </c>
      <c r="CM29" s="1627" t="str">
        <f>$D$300</f>
        <v>-</v>
      </c>
      <c r="CN29" s="1628" t="e">
        <f t="shared" si="7"/>
        <v>#VALUE!</v>
      </c>
      <c r="CO29" s="1629" t="s">
        <v>645</v>
      </c>
      <c r="CP29" s="1622" t="e">
        <f t="shared" si="66"/>
        <v>#VALUE!</v>
      </c>
      <c r="CQ29" s="1630" t="e">
        <f t="shared" si="35"/>
        <v>#VALUE!</v>
      </c>
      <c r="CR29" s="1631" t="e">
        <f>ABS(CN29^2/$O$30^2*100)</f>
        <v>#VALUE!</v>
      </c>
      <c r="CS29" s="1622" t="e">
        <f>CHOOSE('F-LSCD-012'!V34,'F-LSCD-012'!M50/2/'F-LSCD-002 (Dosimetría)'!$F$80,'F-LSCD-012'!M50/2*1000/'F-LSCD-002 (Dosimetría)'!$F$80*0.000001,'F-LSCD-012'!M50/2*1000000/'F-LSCD-002 (Dosimetría)'!$F$80*0.000001,'F-LSCD-012'!M50/2*'Datos varios'!$E$119/'F-LSCD-002 (Dosimetría)'!$F$80*0.000001,'F-LSCD-012'!M50/2*'Datos varios'!$E$120/'F-LSCD-002 (Dosimetría)'!$F$80*0.000001,'F-LSCD-012'!M50/2*'Datos varios'!$E$121/'F-LSCD-002 (Dosimetría)'!$F$80*0.000001,'F-LSCD-012'!M50/2*'Datos varios'!$E$122/'F-LSCD-002 (Dosimetría)'!$F$80*0.000001,'F-LSCD-012'!M50/2*'Datos varios'!$E$123/'F-LSCD-002 (Dosimetría)'!$F$80*0.000001,"-")</f>
        <v>#VALUE!</v>
      </c>
      <c r="CT29" s="1623" t="s">
        <v>645</v>
      </c>
      <c r="CU29" s="1624" t="s">
        <v>370</v>
      </c>
      <c r="CV29" s="1625">
        <f>IF(CU29="normal (k=1)",1,IF(CU29="normal (k=2)",2,IF(CU29="normal (k=3)",3,IF(CU29="rectangular",SQRT(3),IF(CU29="triangular",SQRT(6),IF(CU29="Prob. U",SQRT(2),"no definido"))))))</f>
        <v>1.7320508075688772</v>
      </c>
      <c r="CW29" s="1626">
        <f>$C$300</f>
        <v>1</v>
      </c>
      <c r="CX29" s="1627" t="str">
        <f>$D$300</f>
        <v>-</v>
      </c>
      <c r="CY29" s="1628" t="e">
        <f t="shared" si="8"/>
        <v>#VALUE!</v>
      </c>
      <c r="CZ29" s="1629" t="s">
        <v>645</v>
      </c>
      <c r="DA29" s="1622" t="e">
        <f t="shared" si="67"/>
        <v>#VALUE!</v>
      </c>
      <c r="DB29" s="1630" t="e">
        <f t="shared" si="38"/>
        <v>#VALUE!</v>
      </c>
      <c r="DC29" s="1631" t="e">
        <f>ABS(CY29^2/$O$30^2*100)</f>
        <v>#VALUE!</v>
      </c>
      <c r="DD29" s="1622" t="e">
        <f>CHOOSE('F-LSCD-012'!V34,'F-LSCD-012'!M52/2/'F-LSCD-002 (Dosimetría)'!$F$80,'F-LSCD-012'!M52/2*1000/'F-LSCD-002 (Dosimetría)'!$F$80*0.000001,'F-LSCD-012'!M52/2*1000000/'F-LSCD-002 (Dosimetría)'!$F$80*0.000001,'F-LSCD-012'!M52/2*'Datos varios'!$E$119/'F-LSCD-002 (Dosimetría)'!$F$80*0.000001,'F-LSCD-012'!M52/2*'Datos varios'!$E$120/'F-LSCD-002 (Dosimetría)'!$F$80*0.000001,'F-LSCD-012'!M52/2*'Datos varios'!$E$121/'F-LSCD-002 (Dosimetría)'!$F$80*0.000001,'F-LSCD-012'!M52/2*'Datos varios'!$E$122/'F-LSCD-002 (Dosimetría)'!$F$80*0.000001,'F-LSCD-012'!M52/2*'Datos varios'!$E$123/'F-LSCD-002 (Dosimetría)'!$F$80*0.000001,"-")</f>
        <v>#VALUE!</v>
      </c>
      <c r="DE29" s="1623" t="s">
        <v>645</v>
      </c>
      <c r="DF29" s="1624" t="s">
        <v>370</v>
      </c>
      <c r="DG29" s="1625">
        <f>IF(DF29="normal (k=1)",1,IF(DF29="normal (k=2)",2,IF(DF29="normal (k=3)",3,IF(DF29="rectangular",SQRT(3),IF(DF29="triangular",SQRT(6),IF(DF29="Prob. U",SQRT(2),"no definido"))))))</f>
        <v>1.7320508075688772</v>
      </c>
      <c r="DH29" s="1626">
        <f>$C$300</f>
        <v>1</v>
      </c>
      <c r="DI29" s="1627" t="str">
        <f>$D$300</f>
        <v>-</v>
      </c>
      <c r="DJ29" s="1628" t="e">
        <f t="shared" si="9"/>
        <v>#VALUE!</v>
      </c>
      <c r="DK29" s="1629" t="s">
        <v>645</v>
      </c>
      <c r="DL29" s="1622" t="e">
        <f t="shared" si="68"/>
        <v>#VALUE!</v>
      </c>
      <c r="DM29" s="1630" t="e">
        <f t="shared" si="41"/>
        <v>#VALUE!</v>
      </c>
      <c r="DN29" s="1631" t="e">
        <f>ABS(DJ29^2/$O$30^2*100)</f>
        <v>#VALUE!</v>
      </c>
      <c r="DO29" s="1622" t="e">
        <f>CHOOSE('F-LSCD-012'!V34,'F-LSCD-012'!M54/2/'F-LSCD-002 (Dosimetría)'!$F$80,'F-LSCD-012'!M54/2*1000/'F-LSCD-002 (Dosimetría)'!$F$80*0.000001,'F-LSCD-012'!M54/2*1000000/'F-LSCD-002 (Dosimetría)'!$F$80*0.000001,'F-LSCD-012'!M54/2*'Datos varios'!$E$119/'F-LSCD-002 (Dosimetría)'!$F$80*0.000001,'F-LSCD-012'!M54/2*'Datos varios'!$E$120/'F-LSCD-002 (Dosimetría)'!$F$80*0.000001,'F-LSCD-012'!M54/2*'Datos varios'!$E$121/'F-LSCD-002 (Dosimetría)'!$F$80*0.000001,'F-LSCD-012'!M54/2*'Datos varios'!$E$122/'F-LSCD-002 (Dosimetría)'!$F$80*0.000001,'F-LSCD-012'!M54/2*'Datos varios'!$E$123/'F-LSCD-002 (Dosimetría)'!$F$80*0.000001,"-")</f>
        <v>#VALUE!</v>
      </c>
      <c r="DP29" s="1623" t="s">
        <v>645</v>
      </c>
      <c r="DQ29" s="1624" t="s">
        <v>370</v>
      </c>
      <c r="DR29" s="1625">
        <f>IF(DQ29="normal (k=1)",1,IF(DQ29="normal (k=2)",2,IF(DQ29="normal (k=3)",3,IF(DQ29="rectangular",SQRT(3),IF(DQ29="triangular",SQRT(6),IF(DQ29="Prob. U",SQRT(2),"no definido"))))))</f>
        <v>1.7320508075688772</v>
      </c>
      <c r="DS29" s="1626">
        <f>$C$300</f>
        <v>1</v>
      </c>
      <c r="DT29" s="1627" t="str">
        <f>$D$300</f>
        <v>-</v>
      </c>
      <c r="DU29" s="1628" t="e">
        <f t="shared" si="10"/>
        <v>#VALUE!</v>
      </c>
      <c r="DV29" s="1629" t="s">
        <v>645</v>
      </c>
      <c r="DW29" s="1622" t="e">
        <f t="shared" si="69"/>
        <v>#VALUE!</v>
      </c>
      <c r="DX29" s="1630" t="e">
        <f t="shared" si="44"/>
        <v>#VALUE!</v>
      </c>
      <c r="DY29" s="1631" t="e">
        <f>ABS(DU29^2/$O$30^2*100)</f>
        <v>#VALUE!</v>
      </c>
      <c r="DZ29" s="1622" t="e">
        <f>CHOOSE('F-LSCD-012'!V34,'F-LSCD-012'!M56/2/'F-LSCD-002 (Dosimetría)'!$F$80,'F-LSCD-012'!M56/2*1000/'F-LSCD-002 (Dosimetría)'!$F$80*0.000001,'F-LSCD-012'!M56/2*1000000/'F-LSCD-002 (Dosimetría)'!$F$80*0.000001,'F-LSCD-012'!M56/2*'Datos varios'!$E$119/'F-LSCD-002 (Dosimetría)'!$F$80*0.000001,'F-LSCD-012'!M56/2*'Datos varios'!$E$120/'F-LSCD-002 (Dosimetría)'!$F$80*0.000001,'F-LSCD-012'!M56/2*'Datos varios'!$E$121/'F-LSCD-002 (Dosimetría)'!$F$80*0.000001,'F-LSCD-012'!M56/2*'Datos varios'!$E$122/'F-LSCD-002 (Dosimetría)'!$F$80*0.000001,'F-LSCD-012'!M56/2*'Datos varios'!$E$123/'F-LSCD-002 (Dosimetría)'!$F$80*0.000001,"-")</f>
        <v>#VALUE!</v>
      </c>
      <c r="EA29" s="1623" t="s">
        <v>645</v>
      </c>
      <c r="EB29" s="1624" t="s">
        <v>370</v>
      </c>
      <c r="EC29" s="1625">
        <f>IF(EB29="normal (k=1)",1,IF(EB29="normal (k=2)",2,IF(EB29="normal (k=3)",3,IF(EB29="rectangular",SQRT(3),IF(EB29="triangular",SQRT(6),IF(EB29="Prob. U",SQRT(2),"no definido"))))))</f>
        <v>1.7320508075688772</v>
      </c>
      <c r="ED29" s="1626">
        <f>$C$300</f>
        <v>1</v>
      </c>
      <c r="EE29" s="1627" t="str">
        <f>$D$300</f>
        <v>-</v>
      </c>
      <c r="EF29" s="1628" t="e">
        <f t="shared" si="11"/>
        <v>#VALUE!</v>
      </c>
      <c r="EG29" s="1629" t="s">
        <v>645</v>
      </c>
      <c r="EH29" s="1622" t="e">
        <f t="shared" si="70"/>
        <v>#VALUE!</v>
      </c>
      <c r="EI29" s="1630" t="e">
        <f t="shared" si="47"/>
        <v>#VALUE!</v>
      </c>
      <c r="EJ29" s="1631" t="e">
        <f>ABS(EF29^2/$O$30^2*100)</f>
        <v>#VALUE!</v>
      </c>
    </row>
    <row r="30" spans="1:140" x14ac:dyDescent="0.25">
      <c r="I30" s="1632"/>
      <c r="J30" s="1633"/>
      <c r="K30" s="1633"/>
      <c r="L30" s="1633"/>
      <c r="M30" s="1104"/>
      <c r="N30" s="1105" t="s">
        <v>543</v>
      </c>
      <c r="O30" s="1106">
        <f>SQRT(SUMSQ(O19:O29))</f>
        <v>3.1357797186422532E-4</v>
      </c>
      <c r="P30" s="1076" t="s">
        <v>645</v>
      </c>
      <c r="Q30" s="1634"/>
      <c r="R30" s="1635"/>
      <c r="S30" s="1636"/>
      <c r="T30" s="1632"/>
      <c r="U30" s="1633"/>
      <c r="V30" s="1633"/>
      <c r="W30" s="1633"/>
      <c r="X30" s="1104"/>
      <c r="Y30" s="1105" t="s">
        <v>543</v>
      </c>
      <c r="Z30" s="1106" t="e">
        <f>SQRT(SUMSQ(Z19:Z29))</f>
        <v>#VALUE!</v>
      </c>
      <c r="AA30" s="1076" t="s">
        <v>645</v>
      </c>
      <c r="AB30" s="1634"/>
      <c r="AC30" s="1635"/>
      <c r="AD30" s="1636"/>
      <c r="AE30" s="1632"/>
      <c r="AF30" s="1633"/>
      <c r="AG30" s="1633"/>
      <c r="AH30" s="1633"/>
      <c r="AI30" s="1104"/>
      <c r="AJ30" s="1105" t="s">
        <v>543</v>
      </c>
      <c r="AK30" s="1106" t="e">
        <f>SQRT(SUMSQ(AK19:AK29))</f>
        <v>#VALUE!</v>
      </c>
      <c r="AL30" s="1076" t="s">
        <v>645</v>
      </c>
      <c r="AM30" s="1634"/>
      <c r="AN30" s="1635"/>
      <c r="AO30" s="1636"/>
      <c r="AP30" s="1632"/>
      <c r="AQ30" s="1633"/>
      <c r="AR30" s="1633"/>
      <c r="AS30" s="1633"/>
      <c r="AT30" s="1104"/>
      <c r="AU30" s="1105" t="s">
        <v>543</v>
      </c>
      <c r="AV30" s="1106" t="e">
        <f>SQRT(SUMSQ(AV19:AV29))</f>
        <v>#VALUE!</v>
      </c>
      <c r="AW30" s="1076" t="s">
        <v>645</v>
      </c>
      <c r="AX30" s="1634"/>
      <c r="AY30" s="1635"/>
      <c r="AZ30" s="1636"/>
      <c r="BA30" s="1632"/>
      <c r="BB30" s="1633"/>
      <c r="BC30" s="1633"/>
      <c r="BD30" s="1633"/>
      <c r="BE30" s="1104"/>
      <c r="BF30" s="1105" t="s">
        <v>543</v>
      </c>
      <c r="BG30" s="1106" t="e">
        <f>SQRT(SUMSQ(BG19:BG29))</f>
        <v>#VALUE!</v>
      </c>
      <c r="BH30" s="1076" t="s">
        <v>645</v>
      </c>
      <c r="BI30" s="1634"/>
      <c r="BJ30" s="1635"/>
      <c r="BK30" s="1636"/>
      <c r="BL30" s="1632"/>
      <c r="BM30" s="1633"/>
      <c r="BN30" s="1633"/>
      <c r="BO30" s="1633"/>
      <c r="BP30" s="1104"/>
      <c r="BQ30" s="1105" t="s">
        <v>543</v>
      </c>
      <c r="BR30" s="1106" t="e">
        <f>SQRT(SUMSQ(BR19:BR29))</f>
        <v>#VALUE!</v>
      </c>
      <c r="BS30" s="1076" t="s">
        <v>645</v>
      </c>
      <c r="BT30" s="1634"/>
      <c r="BU30" s="1635"/>
      <c r="BV30" s="1636"/>
      <c r="BW30" s="1632"/>
      <c r="BX30" s="1633"/>
      <c r="BY30" s="1633"/>
      <c r="BZ30" s="1633"/>
      <c r="CA30" s="1104"/>
      <c r="CB30" s="1105" t="s">
        <v>543</v>
      </c>
      <c r="CC30" s="1106" t="e">
        <f>SQRT(SUMSQ(CC19:CC29))</f>
        <v>#VALUE!</v>
      </c>
      <c r="CD30" s="1076" t="s">
        <v>645</v>
      </c>
      <c r="CE30" s="1634"/>
      <c r="CF30" s="1635"/>
      <c r="CG30" s="1636"/>
      <c r="CH30" s="1632"/>
      <c r="CI30" s="1633"/>
      <c r="CJ30" s="1633"/>
      <c r="CK30" s="1633"/>
      <c r="CL30" s="1104"/>
      <c r="CM30" s="1105" t="s">
        <v>543</v>
      </c>
      <c r="CN30" s="1106" t="e">
        <f>SQRT(SUMSQ(CN19:CN29))</f>
        <v>#VALUE!</v>
      </c>
      <c r="CO30" s="1076" t="s">
        <v>645</v>
      </c>
      <c r="CP30" s="1634"/>
      <c r="CQ30" s="1635"/>
      <c r="CR30" s="1636"/>
      <c r="CS30" s="1632"/>
      <c r="CT30" s="1633"/>
      <c r="CU30" s="1633"/>
      <c r="CV30" s="1633"/>
      <c r="CW30" s="1104"/>
      <c r="CX30" s="1105" t="s">
        <v>543</v>
      </c>
      <c r="CY30" s="1106" t="e">
        <f>SQRT(SUMSQ(CY19:CY29))</f>
        <v>#VALUE!</v>
      </c>
      <c r="CZ30" s="1076" t="s">
        <v>645</v>
      </c>
      <c r="DA30" s="1634"/>
      <c r="DB30" s="1635"/>
      <c r="DC30" s="1636"/>
      <c r="DD30" s="1632"/>
      <c r="DE30" s="1633"/>
      <c r="DF30" s="1633"/>
      <c r="DG30" s="1633"/>
      <c r="DH30" s="1104"/>
      <c r="DI30" s="1105" t="s">
        <v>543</v>
      </c>
      <c r="DJ30" s="1106" t="e">
        <f>SQRT(SUMSQ(DJ19:DJ29))</f>
        <v>#VALUE!</v>
      </c>
      <c r="DK30" s="1076" t="s">
        <v>645</v>
      </c>
      <c r="DL30" s="1634"/>
      <c r="DM30" s="1635"/>
      <c r="DN30" s="1636"/>
      <c r="DO30" s="1632"/>
      <c r="DP30" s="1633"/>
      <c r="DQ30" s="1633"/>
      <c r="DR30" s="1633"/>
      <c r="DS30" s="1104"/>
      <c r="DT30" s="1105" t="s">
        <v>543</v>
      </c>
      <c r="DU30" s="1106" t="e">
        <f>SQRT(SUMSQ(DU19:DU29))</f>
        <v>#VALUE!</v>
      </c>
      <c r="DV30" s="1076" t="s">
        <v>645</v>
      </c>
      <c r="DW30" s="1634"/>
      <c r="DX30" s="1635"/>
      <c r="DY30" s="1636"/>
      <c r="DZ30" s="1632"/>
      <c r="EA30" s="1633"/>
      <c r="EB30" s="1633"/>
      <c r="EC30" s="1633"/>
      <c r="ED30" s="1104"/>
      <c r="EE30" s="1105" t="s">
        <v>543</v>
      </c>
      <c r="EF30" s="1106" t="e">
        <f>SQRT(SUMSQ(EF19:EF29))</f>
        <v>#VALUE!</v>
      </c>
      <c r="EG30" s="1076" t="s">
        <v>645</v>
      </c>
      <c r="EH30" s="1634"/>
      <c r="EI30" s="1635"/>
      <c r="EJ30" s="1636"/>
    </row>
    <row r="31" spans="1:140" x14ac:dyDescent="0.25">
      <c r="I31" s="1637"/>
      <c r="M31" s="1107"/>
      <c r="N31" s="1108" t="s">
        <v>544</v>
      </c>
      <c r="O31" s="1109" t="s">
        <v>373</v>
      </c>
      <c r="P31" s="1110"/>
      <c r="Q31" s="1102"/>
      <c r="S31" s="1638"/>
      <c r="T31" s="1637"/>
      <c r="X31" s="1107"/>
      <c r="Y31" s="1108" t="s">
        <v>544</v>
      </c>
      <c r="Z31" s="1109" t="s">
        <v>373</v>
      </c>
      <c r="AA31" s="1110"/>
      <c r="AB31" s="1102"/>
      <c r="AD31" s="1638"/>
      <c r="AE31" s="1637"/>
      <c r="AI31" s="1107"/>
      <c r="AJ31" s="1108" t="s">
        <v>544</v>
      </c>
      <c r="AK31" s="1109" t="s">
        <v>373</v>
      </c>
      <c r="AL31" s="1110"/>
      <c r="AM31" s="1102"/>
      <c r="AO31" s="1638"/>
      <c r="AP31" s="1637"/>
      <c r="AT31" s="1107"/>
      <c r="AU31" s="1108" t="s">
        <v>544</v>
      </c>
      <c r="AV31" s="1109" t="s">
        <v>373</v>
      </c>
      <c r="AW31" s="1110"/>
      <c r="AX31" s="1102"/>
      <c r="AZ31" s="1638"/>
      <c r="BA31" s="1637"/>
      <c r="BE31" s="1107"/>
      <c r="BF31" s="1108" t="s">
        <v>544</v>
      </c>
      <c r="BG31" s="1109" t="s">
        <v>373</v>
      </c>
      <c r="BH31" s="1110"/>
      <c r="BI31" s="1102"/>
      <c r="BK31" s="1638"/>
      <c r="BL31" s="1637"/>
      <c r="BP31" s="1107"/>
      <c r="BQ31" s="1108" t="s">
        <v>544</v>
      </c>
      <c r="BR31" s="1109" t="s">
        <v>373</v>
      </c>
      <c r="BS31" s="1110"/>
      <c r="BT31" s="1102"/>
      <c r="BV31" s="1638"/>
      <c r="BW31" s="1637"/>
      <c r="CA31" s="1107"/>
      <c r="CB31" s="1108" t="s">
        <v>544</v>
      </c>
      <c r="CC31" s="1109" t="s">
        <v>373</v>
      </c>
      <c r="CD31" s="1110"/>
      <c r="CE31" s="1102"/>
      <c r="CG31" s="1638"/>
      <c r="CH31" s="1637"/>
      <c r="CL31" s="1107"/>
      <c r="CM31" s="1108" t="s">
        <v>544</v>
      </c>
      <c r="CN31" s="1109" t="s">
        <v>373</v>
      </c>
      <c r="CO31" s="1110"/>
      <c r="CP31" s="1102"/>
      <c r="CR31" s="1638"/>
      <c r="CS31" s="1637"/>
      <c r="CW31" s="1107"/>
      <c r="CX31" s="1108" t="s">
        <v>544</v>
      </c>
      <c r="CY31" s="1109" t="s">
        <v>373</v>
      </c>
      <c r="CZ31" s="1110"/>
      <c r="DA31" s="1102"/>
      <c r="DC31" s="1638"/>
      <c r="DD31" s="1637"/>
      <c r="DH31" s="1107"/>
      <c r="DI31" s="1108" t="s">
        <v>544</v>
      </c>
      <c r="DJ31" s="1109" t="s">
        <v>373</v>
      </c>
      <c r="DK31" s="1110"/>
      <c r="DL31" s="1102"/>
      <c r="DN31" s="1638"/>
      <c r="DO31" s="1637"/>
      <c r="DS31" s="1107"/>
      <c r="DT31" s="1108" t="s">
        <v>544</v>
      </c>
      <c r="DU31" s="1109" t="s">
        <v>373</v>
      </c>
      <c r="DV31" s="1110"/>
      <c r="DW31" s="1102"/>
      <c r="DY31" s="1638"/>
      <c r="DZ31" s="1637"/>
      <c r="ED31" s="1107"/>
      <c r="EE31" s="1108" t="s">
        <v>544</v>
      </c>
      <c r="EF31" s="1109" t="s">
        <v>373</v>
      </c>
      <c r="EG31" s="1110"/>
      <c r="EH31" s="1102"/>
      <c r="EJ31" s="1638"/>
    </row>
    <row r="32" spans="1:140" x14ac:dyDescent="0.25">
      <c r="G32" s="87"/>
      <c r="I32" s="1637"/>
      <c r="M32" s="1111"/>
      <c r="N32" s="1112" t="s">
        <v>561</v>
      </c>
      <c r="O32" s="1113">
        <f>IF(O31="normal (k=1)",1,IF(O31="normal (k=2)",2,IF(O31="normal (k=3)",3,IF(O31="rectangular",SQRT(3),IF(O31="triangular",SQRT(6),IF(O31="Prob. U",SQRT(2),"no definido"))))))</f>
        <v>2</v>
      </c>
      <c r="P32" s="1087"/>
      <c r="Q32" s="1102"/>
      <c r="S32" s="1639"/>
      <c r="T32" s="1637"/>
      <c r="X32" s="1111"/>
      <c r="Y32" s="1112" t="s">
        <v>561</v>
      </c>
      <c r="Z32" s="1113">
        <f>IF(Z31="normal (k=1)",1,IF(Z31="normal (k=2)",2,IF(Z31="normal (k=3)",3,IF(Z31="rectangular",SQRT(3),IF(Z31="triangular",SQRT(6),IF(Z31="Prob. U",SQRT(2),"no definido"))))))</f>
        <v>2</v>
      </c>
      <c r="AA32" s="1087"/>
      <c r="AB32" s="1102"/>
      <c r="AD32" s="1639"/>
      <c r="AE32" s="1637"/>
      <c r="AI32" s="1111"/>
      <c r="AJ32" s="1112" t="s">
        <v>561</v>
      </c>
      <c r="AK32" s="1113">
        <f>IF(AK31="normal (k=1)",1,IF(AK31="normal (k=2)",2,IF(AK31="normal (k=3)",3,IF(AK31="rectangular",SQRT(3),IF(AK31="triangular",SQRT(6),IF(AK31="Prob. U",SQRT(2),"no definido"))))))</f>
        <v>2</v>
      </c>
      <c r="AL32" s="1087"/>
      <c r="AM32" s="1102"/>
      <c r="AO32" s="1639"/>
      <c r="AP32" s="1637"/>
      <c r="AT32" s="1111"/>
      <c r="AU32" s="1112" t="s">
        <v>561</v>
      </c>
      <c r="AV32" s="1113">
        <f>IF(AV31="normal (k=1)",1,IF(AV31="normal (k=2)",2,IF(AV31="normal (k=3)",3,IF(AV31="rectangular",SQRT(3),IF(AV31="triangular",SQRT(6),IF(AV31="Prob. U",SQRT(2),"no definido"))))))</f>
        <v>2</v>
      </c>
      <c r="AW32" s="1087"/>
      <c r="AX32" s="1102"/>
      <c r="AZ32" s="1639"/>
      <c r="BA32" s="1637"/>
      <c r="BE32" s="1111"/>
      <c r="BF32" s="1112" t="s">
        <v>561</v>
      </c>
      <c r="BG32" s="1113">
        <f>IF(BG31="normal (k=1)",1,IF(BG31="normal (k=2)",2,IF(BG31="normal (k=3)",3,IF(BG31="rectangular",SQRT(3),IF(BG31="triangular",SQRT(6),IF(BG31="Prob. U",SQRT(2),"no definido"))))))</f>
        <v>2</v>
      </c>
      <c r="BH32" s="1087"/>
      <c r="BI32" s="1102"/>
      <c r="BK32" s="1639"/>
      <c r="BL32" s="1637"/>
      <c r="BP32" s="1111"/>
      <c r="BQ32" s="1112" t="s">
        <v>561</v>
      </c>
      <c r="BR32" s="1113">
        <f>IF(BR31="normal (k=1)",1,IF(BR31="normal (k=2)",2,IF(BR31="normal (k=3)",3,IF(BR31="rectangular",SQRT(3),IF(BR31="triangular",SQRT(6),IF(BR31="Prob. U",SQRT(2),"no definido"))))))</f>
        <v>2</v>
      </c>
      <c r="BS32" s="1087"/>
      <c r="BT32" s="1102"/>
      <c r="BV32" s="1639"/>
      <c r="BW32" s="1637"/>
      <c r="CA32" s="1111"/>
      <c r="CB32" s="1112" t="s">
        <v>561</v>
      </c>
      <c r="CC32" s="1113">
        <f>IF(CC31="normal (k=1)",1,IF(CC31="normal (k=2)",2,IF(CC31="normal (k=3)",3,IF(CC31="rectangular",SQRT(3),IF(CC31="triangular",SQRT(6),IF(CC31="Prob. U",SQRT(2),"no definido"))))))</f>
        <v>2</v>
      </c>
      <c r="CD32" s="1087"/>
      <c r="CE32" s="1102"/>
      <c r="CG32" s="1639"/>
      <c r="CH32" s="1637"/>
      <c r="CL32" s="1111"/>
      <c r="CM32" s="1112" t="s">
        <v>561</v>
      </c>
      <c r="CN32" s="1113">
        <f>IF(CN31="normal (k=1)",1,IF(CN31="normal (k=2)",2,IF(CN31="normal (k=3)",3,IF(CN31="rectangular",SQRT(3),IF(CN31="triangular",SQRT(6),IF(CN31="Prob. U",SQRT(2),"no definido"))))))</f>
        <v>2</v>
      </c>
      <c r="CO32" s="1087"/>
      <c r="CP32" s="1102"/>
      <c r="CR32" s="1639"/>
      <c r="CS32" s="1637"/>
      <c r="CW32" s="1111"/>
      <c r="CX32" s="1112" t="s">
        <v>561</v>
      </c>
      <c r="CY32" s="1113">
        <f>IF(CY31="normal (k=1)",1,IF(CY31="normal (k=2)",2,IF(CY31="normal (k=3)",3,IF(CY31="rectangular",SQRT(3),IF(CY31="triangular",SQRT(6),IF(CY31="Prob. U",SQRT(2),"no definido"))))))</f>
        <v>2</v>
      </c>
      <c r="CZ32" s="1087"/>
      <c r="DA32" s="1102"/>
      <c r="DC32" s="1639"/>
      <c r="DD32" s="1637"/>
      <c r="DH32" s="1111"/>
      <c r="DI32" s="1112" t="s">
        <v>561</v>
      </c>
      <c r="DJ32" s="1113">
        <f>IF(DJ31="normal (k=1)",1,IF(DJ31="normal (k=2)",2,IF(DJ31="normal (k=3)",3,IF(DJ31="rectangular",SQRT(3),IF(DJ31="triangular",SQRT(6),IF(DJ31="Prob. U",SQRT(2),"no definido"))))))</f>
        <v>2</v>
      </c>
      <c r="DK32" s="1087"/>
      <c r="DL32" s="1102"/>
      <c r="DN32" s="1639"/>
      <c r="DO32" s="1637"/>
      <c r="DS32" s="1111"/>
      <c r="DT32" s="1112" t="s">
        <v>561</v>
      </c>
      <c r="DU32" s="1113">
        <f>IF(DU31="normal (k=1)",1,IF(DU31="normal (k=2)",2,IF(DU31="normal (k=3)",3,IF(DU31="rectangular",SQRT(3),IF(DU31="triangular",SQRT(6),IF(DU31="Prob. U",SQRT(2),"no definido"))))))</f>
        <v>2</v>
      </c>
      <c r="DV32" s="1087"/>
      <c r="DW32" s="1102"/>
      <c r="DY32" s="1639"/>
      <c r="DZ32" s="1637"/>
      <c r="ED32" s="1111"/>
      <c r="EE32" s="1112" t="s">
        <v>561</v>
      </c>
      <c r="EF32" s="1113">
        <f>IF(EF31="normal (k=1)",1,IF(EF31="normal (k=2)",2,IF(EF31="normal (k=3)",3,IF(EF31="rectangular",SQRT(3),IF(EF31="triangular",SQRT(6),IF(EF31="Prob. U",SQRT(2),"no definido"))))))</f>
        <v>2</v>
      </c>
      <c r="EG32" s="1087"/>
      <c r="EH32" s="1102"/>
      <c r="EJ32" s="1639"/>
    </row>
    <row r="33" spans="1:140" ht="18" x14ac:dyDescent="0.25">
      <c r="A33" s="1056"/>
      <c r="I33" s="1637"/>
      <c r="M33" s="1114"/>
      <c r="N33" s="1108" t="s">
        <v>649</v>
      </c>
      <c r="O33" s="1115">
        <f>O30*O32</f>
        <v>6.2715594372845065E-4</v>
      </c>
      <c r="P33" s="1110" t="s">
        <v>645</v>
      </c>
      <c r="Q33" s="1102"/>
      <c r="S33" s="1639"/>
      <c r="T33" s="1637"/>
      <c r="X33" s="1114"/>
      <c r="Y33" s="1108" t="s">
        <v>649</v>
      </c>
      <c r="Z33" s="1115" t="e">
        <f>Z30*Z32</f>
        <v>#VALUE!</v>
      </c>
      <c r="AA33" s="1110" t="s">
        <v>645</v>
      </c>
      <c r="AB33" s="1102"/>
      <c r="AD33" s="1639"/>
      <c r="AE33" s="1637"/>
      <c r="AI33" s="1114"/>
      <c r="AJ33" s="1108" t="s">
        <v>649</v>
      </c>
      <c r="AK33" s="1115" t="e">
        <f>AK30*AK32</f>
        <v>#VALUE!</v>
      </c>
      <c r="AL33" s="1110" t="s">
        <v>645</v>
      </c>
      <c r="AM33" s="1102"/>
      <c r="AO33" s="1639"/>
      <c r="AP33" s="1637"/>
      <c r="AT33" s="1114"/>
      <c r="AU33" s="1108" t="s">
        <v>649</v>
      </c>
      <c r="AV33" s="1115" t="e">
        <f>AV30*AV32</f>
        <v>#VALUE!</v>
      </c>
      <c r="AW33" s="1110" t="s">
        <v>645</v>
      </c>
      <c r="AX33" s="1102"/>
      <c r="AZ33" s="1639"/>
      <c r="BA33" s="1637"/>
      <c r="BE33" s="1114"/>
      <c r="BF33" s="1108" t="s">
        <v>649</v>
      </c>
      <c r="BG33" s="1115" t="e">
        <f>BG30*BG32</f>
        <v>#VALUE!</v>
      </c>
      <c r="BH33" s="1110" t="s">
        <v>645</v>
      </c>
      <c r="BI33" s="1102"/>
      <c r="BK33" s="1639"/>
      <c r="BL33" s="1637"/>
      <c r="BP33" s="1114"/>
      <c r="BQ33" s="1108" t="s">
        <v>649</v>
      </c>
      <c r="BR33" s="1115" t="e">
        <f>BR30*BR32</f>
        <v>#VALUE!</v>
      </c>
      <c r="BS33" s="1110" t="s">
        <v>645</v>
      </c>
      <c r="BT33" s="1102"/>
      <c r="BV33" s="1639"/>
      <c r="BW33" s="1637"/>
      <c r="CA33" s="1114"/>
      <c r="CB33" s="1108" t="s">
        <v>649</v>
      </c>
      <c r="CC33" s="1115" t="e">
        <f>CC30*CC32</f>
        <v>#VALUE!</v>
      </c>
      <c r="CD33" s="1110" t="s">
        <v>645</v>
      </c>
      <c r="CE33" s="1102"/>
      <c r="CG33" s="1639"/>
      <c r="CH33" s="1637"/>
      <c r="CL33" s="1114"/>
      <c r="CM33" s="1108" t="s">
        <v>649</v>
      </c>
      <c r="CN33" s="1115" t="e">
        <f>CN30*CN32</f>
        <v>#VALUE!</v>
      </c>
      <c r="CO33" s="1110" t="s">
        <v>645</v>
      </c>
      <c r="CP33" s="1102"/>
      <c r="CR33" s="1639"/>
      <c r="CS33" s="1637"/>
      <c r="CW33" s="1114"/>
      <c r="CX33" s="1108" t="s">
        <v>649</v>
      </c>
      <c r="CY33" s="1115" t="e">
        <f>CY30*CY32</f>
        <v>#VALUE!</v>
      </c>
      <c r="CZ33" s="1110" t="s">
        <v>645</v>
      </c>
      <c r="DA33" s="1102"/>
      <c r="DC33" s="1639"/>
      <c r="DD33" s="1637"/>
      <c r="DH33" s="1114"/>
      <c r="DI33" s="1108" t="s">
        <v>649</v>
      </c>
      <c r="DJ33" s="1115" t="e">
        <f>DJ30*DJ32</f>
        <v>#VALUE!</v>
      </c>
      <c r="DK33" s="1110" t="s">
        <v>645</v>
      </c>
      <c r="DL33" s="1102"/>
      <c r="DN33" s="1639"/>
      <c r="DO33" s="1637"/>
      <c r="DS33" s="1114"/>
      <c r="DT33" s="1108" t="s">
        <v>649</v>
      </c>
      <c r="DU33" s="1115" t="e">
        <f>DU30*DU32</f>
        <v>#VALUE!</v>
      </c>
      <c r="DV33" s="1110" t="s">
        <v>645</v>
      </c>
      <c r="DW33" s="1102"/>
      <c r="DY33" s="1639"/>
      <c r="DZ33" s="1637"/>
      <c r="ED33" s="1114"/>
      <c r="EE33" s="1108" t="s">
        <v>649</v>
      </c>
      <c r="EF33" s="1115" t="e">
        <f>EF30*EF32</f>
        <v>#VALUE!</v>
      </c>
      <c r="EG33" s="1110" t="s">
        <v>645</v>
      </c>
      <c r="EH33" s="1102"/>
      <c r="EJ33" s="1639"/>
    </row>
    <row r="34" spans="1:140" ht="18.75" thickBot="1" x14ac:dyDescent="0.3">
      <c r="A34" s="1056"/>
      <c r="I34" s="1637"/>
      <c r="M34" s="1116"/>
      <c r="N34" s="1117" t="s">
        <v>649</v>
      </c>
      <c r="O34" s="1687">
        <f>O33/$C$91</f>
        <v>4.5862862176912801E-2</v>
      </c>
      <c r="P34" s="1118"/>
      <c r="Q34" s="1102"/>
      <c r="S34" s="1639"/>
      <c r="T34" s="1637"/>
      <c r="X34" s="1116"/>
      <c r="Y34" s="1117" t="s">
        <v>649</v>
      </c>
      <c r="Z34" s="1458" t="e">
        <f>Z33/$C$91</f>
        <v>#VALUE!</v>
      </c>
      <c r="AA34" s="1118"/>
      <c r="AB34" s="1102"/>
      <c r="AD34" s="1639"/>
      <c r="AE34" s="1637"/>
      <c r="AI34" s="1116"/>
      <c r="AJ34" s="1117" t="s">
        <v>649</v>
      </c>
      <c r="AK34" s="1458" t="e">
        <f>AK33/$C$91</f>
        <v>#VALUE!</v>
      </c>
      <c r="AL34" s="1118"/>
      <c r="AM34" s="1102"/>
      <c r="AO34" s="1639"/>
      <c r="AP34" s="1637"/>
      <c r="AT34" s="1116"/>
      <c r="AU34" s="1117" t="s">
        <v>649</v>
      </c>
      <c r="AV34" s="1458" t="e">
        <f>AV33/$C$91</f>
        <v>#VALUE!</v>
      </c>
      <c r="AW34" s="1118"/>
      <c r="AX34" s="1102"/>
      <c r="AZ34" s="1639"/>
      <c r="BA34" s="1637"/>
      <c r="BE34" s="1116"/>
      <c r="BF34" s="1117" t="s">
        <v>649</v>
      </c>
      <c r="BG34" s="1458" t="e">
        <f>BG33/$C$91</f>
        <v>#VALUE!</v>
      </c>
      <c r="BH34" s="1118"/>
      <c r="BI34" s="1102"/>
      <c r="BK34" s="1639"/>
      <c r="BL34" s="1637"/>
      <c r="BP34" s="1116"/>
      <c r="BQ34" s="1117" t="s">
        <v>649</v>
      </c>
      <c r="BR34" s="1458" t="e">
        <f>BR33/$C$91</f>
        <v>#VALUE!</v>
      </c>
      <c r="BS34" s="1118"/>
      <c r="BT34" s="1102"/>
      <c r="BV34" s="1639"/>
      <c r="BW34" s="1637"/>
      <c r="CA34" s="1116"/>
      <c r="CB34" s="1117" t="s">
        <v>649</v>
      </c>
      <c r="CC34" s="1458" t="e">
        <f>CC33/$C$91</f>
        <v>#VALUE!</v>
      </c>
      <c r="CD34" s="1118"/>
      <c r="CE34" s="1102"/>
      <c r="CG34" s="1639"/>
      <c r="CH34" s="1637"/>
      <c r="CL34" s="1116"/>
      <c r="CM34" s="1117" t="s">
        <v>649</v>
      </c>
      <c r="CN34" s="1458" t="e">
        <f>CN33/$C$91</f>
        <v>#VALUE!</v>
      </c>
      <c r="CO34" s="1118"/>
      <c r="CP34" s="1102"/>
      <c r="CR34" s="1639"/>
      <c r="CS34" s="1637"/>
      <c r="CW34" s="1116"/>
      <c r="CX34" s="1117" t="s">
        <v>649</v>
      </c>
      <c r="CY34" s="1458" t="e">
        <f>CY33/$C$91</f>
        <v>#VALUE!</v>
      </c>
      <c r="CZ34" s="1118"/>
      <c r="DA34" s="1102"/>
      <c r="DC34" s="1639"/>
      <c r="DD34" s="1637"/>
      <c r="DH34" s="1116"/>
      <c r="DI34" s="1117" t="s">
        <v>649</v>
      </c>
      <c r="DJ34" s="1458" t="e">
        <f>DJ33/$C$91</f>
        <v>#VALUE!</v>
      </c>
      <c r="DK34" s="1118"/>
      <c r="DL34" s="1102"/>
      <c r="DN34" s="1639"/>
      <c r="DO34" s="1637"/>
      <c r="DS34" s="1116"/>
      <c r="DT34" s="1117" t="s">
        <v>649</v>
      </c>
      <c r="DU34" s="1458" t="e">
        <f>DU33/$C$91</f>
        <v>#VALUE!</v>
      </c>
      <c r="DV34" s="1118"/>
      <c r="DW34" s="1102"/>
      <c r="DY34" s="1639"/>
      <c r="DZ34" s="1637"/>
      <c r="ED34" s="1116"/>
      <c r="EE34" s="1117" t="s">
        <v>649</v>
      </c>
      <c r="EF34" s="1458" t="e">
        <f>EF33/$C$91</f>
        <v>#VALUE!</v>
      </c>
      <c r="EG34" s="1118"/>
      <c r="EH34" s="1102"/>
      <c r="EJ34" s="1639"/>
    </row>
    <row r="35" spans="1:140" x14ac:dyDescent="0.25">
      <c r="A35" s="1056"/>
      <c r="I35" s="1637"/>
      <c r="N35" s="1119"/>
      <c r="O35" s="1102"/>
      <c r="P35" s="1102"/>
      <c r="Q35" s="1102"/>
      <c r="S35" s="1639"/>
      <c r="T35" s="1637"/>
      <c r="Y35" s="1119"/>
      <c r="Z35" s="1102"/>
      <c r="AA35" s="1102"/>
      <c r="AB35" s="1102"/>
      <c r="AD35" s="1639"/>
      <c r="AE35" s="1637"/>
      <c r="AJ35" s="1119"/>
      <c r="AK35" s="1102"/>
      <c r="AL35" s="1102"/>
      <c r="AM35" s="1102"/>
      <c r="AO35" s="1639"/>
      <c r="AP35" s="1637"/>
      <c r="AU35" s="1119"/>
      <c r="AV35" s="1102"/>
      <c r="AW35" s="1102"/>
      <c r="AX35" s="1102"/>
      <c r="AZ35" s="1639"/>
      <c r="BA35" s="1637"/>
      <c r="BF35" s="1119"/>
      <c r="BG35" s="1102"/>
      <c r="BH35" s="1102"/>
      <c r="BI35" s="1102"/>
      <c r="BK35" s="1639"/>
      <c r="BL35" s="1637"/>
      <c r="BQ35" s="1119"/>
      <c r="BR35" s="1102"/>
      <c r="BS35" s="1102"/>
      <c r="BT35" s="1102"/>
      <c r="BV35" s="1639"/>
      <c r="BW35" s="1637"/>
      <c r="CB35" s="1119"/>
      <c r="CC35" s="1102"/>
      <c r="CD35" s="1102"/>
      <c r="CE35" s="1102"/>
      <c r="CG35" s="1639"/>
      <c r="CH35" s="1637"/>
      <c r="CM35" s="1119"/>
      <c r="CN35" s="1102"/>
      <c r="CO35" s="1102"/>
      <c r="CP35" s="1102"/>
      <c r="CR35" s="1639"/>
      <c r="CS35" s="1637"/>
      <c r="CX35" s="1119"/>
      <c r="CY35" s="1102"/>
      <c r="CZ35" s="1102"/>
      <c r="DA35" s="1102"/>
      <c r="DC35" s="1639"/>
      <c r="DD35" s="1637"/>
      <c r="DI35" s="1119"/>
      <c r="DJ35" s="1102"/>
      <c r="DK35" s="1102"/>
      <c r="DL35" s="1102"/>
      <c r="DN35" s="1639"/>
      <c r="DO35" s="1637"/>
      <c r="DT35" s="1119"/>
      <c r="DU35" s="1102"/>
      <c r="DV35" s="1102"/>
      <c r="DW35" s="1102"/>
      <c r="DY35" s="1639"/>
      <c r="DZ35" s="1637"/>
      <c r="EE35" s="1119"/>
      <c r="EF35" s="1102"/>
      <c r="EG35" s="1102"/>
      <c r="EH35" s="1102"/>
      <c r="EJ35" s="1639"/>
    </row>
    <row r="36" spans="1:140" x14ac:dyDescent="0.25">
      <c r="A36" s="1056"/>
      <c r="I36" s="1637"/>
      <c r="N36" s="1119"/>
      <c r="O36" s="1102"/>
      <c r="P36" s="1102"/>
      <c r="Q36" s="1102"/>
      <c r="S36" s="1639"/>
      <c r="T36" s="1637"/>
      <c r="Y36" s="1119"/>
      <c r="Z36" s="1102"/>
      <c r="AA36" s="1102"/>
      <c r="AB36" s="1102"/>
      <c r="AD36" s="1639"/>
      <c r="AE36" s="1637"/>
      <c r="AJ36" s="1119"/>
      <c r="AK36" s="1102"/>
      <c r="AL36" s="1102"/>
      <c r="AM36" s="1102"/>
      <c r="AO36" s="1639"/>
      <c r="AP36" s="1637"/>
      <c r="AU36" s="1119"/>
      <c r="AV36" s="1102"/>
      <c r="AW36" s="1102"/>
      <c r="AX36" s="1102"/>
      <c r="AZ36" s="1639"/>
      <c r="BA36" s="1637"/>
      <c r="BF36" s="1119"/>
      <c r="BG36" s="1102"/>
      <c r="BH36" s="1102"/>
      <c r="BI36" s="1102"/>
      <c r="BK36" s="1639"/>
      <c r="BL36" s="1637"/>
      <c r="BQ36" s="1119"/>
      <c r="BR36" s="1102"/>
      <c r="BS36" s="1102"/>
      <c r="BT36" s="1102"/>
      <c r="BV36" s="1639"/>
      <c r="BW36" s="1637"/>
      <c r="CB36" s="1119"/>
      <c r="CC36" s="1102"/>
      <c r="CD36" s="1102"/>
      <c r="CE36" s="1102"/>
      <c r="CG36" s="1639"/>
      <c r="CH36" s="1637"/>
      <c r="CM36" s="1119"/>
      <c r="CN36" s="1102"/>
      <c r="CO36" s="1102"/>
      <c r="CP36" s="1102"/>
      <c r="CR36" s="1639"/>
      <c r="CS36" s="1637"/>
      <c r="CX36" s="1119"/>
      <c r="CY36" s="1102"/>
      <c r="CZ36" s="1102"/>
      <c r="DA36" s="1102"/>
      <c r="DC36" s="1639"/>
      <c r="DD36" s="1637"/>
      <c r="DI36" s="1119"/>
      <c r="DJ36" s="1102"/>
      <c r="DK36" s="1102"/>
      <c r="DL36" s="1102"/>
      <c r="DN36" s="1639"/>
      <c r="DO36" s="1637"/>
      <c r="DT36" s="1119"/>
      <c r="DU36" s="1102"/>
      <c r="DV36" s="1102"/>
      <c r="DW36" s="1102"/>
      <c r="DY36" s="1639"/>
      <c r="DZ36" s="1637"/>
      <c r="EE36" s="1119"/>
      <c r="EF36" s="1102"/>
      <c r="EG36" s="1102"/>
      <c r="EH36" s="1102"/>
      <c r="EJ36" s="1639"/>
    </row>
    <row r="37" spans="1:140" x14ac:dyDescent="0.25">
      <c r="A37" s="1056"/>
      <c r="I37" s="1637"/>
      <c r="N37" s="1119"/>
      <c r="O37" s="1102"/>
      <c r="P37" s="1102"/>
      <c r="Q37" s="1102"/>
      <c r="S37" s="1639"/>
      <c r="T37" s="1637"/>
      <c r="Y37" s="1119"/>
      <c r="Z37" s="1102"/>
      <c r="AA37" s="1102"/>
      <c r="AB37" s="1102"/>
      <c r="AD37" s="1639"/>
      <c r="AE37" s="1637"/>
      <c r="AJ37" s="1119"/>
      <c r="AK37" s="1102"/>
      <c r="AL37" s="1102"/>
      <c r="AM37" s="1102"/>
      <c r="AO37" s="1639"/>
      <c r="AP37" s="1637"/>
      <c r="AU37" s="1119"/>
      <c r="AV37" s="1102"/>
      <c r="AW37" s="1102"/>
      <c r="AX37" s="1102"/>
      <c r="AZ37" s="1639"/>
      <c r="BA37" s="1637"/>
      <c r="BF37" s="1119"/>
      <c r="BG37" s="1102"/>
      <c r="BH37" s="1102"/>
      <c r="BI37" s="1102"/>
      <c r="BK37" s="1639"/>
      <c r="BL37" s="1637"/>
      <c r="BQ37" s="1119"/>
      <c r="BR37" s="1102"/>
      <c r="BS37" s="1102"/>
      <c r="BT37" s="1102"/>
      <c r="BV37" s="1639"/>
      <c r="BW37" s="1637"/>
      <c r="CB37" s="1119"/>
      <c r="CC37" s="1102"/>
      <c r="CD37" s="1102"/>
      <c r="CE37" s="1102"/>
      <c r="CG37" s="1639"/>
      <c r="CH37" s="1637"/>
      <c r="CM37" s="1119"/>
      <c r="CN37" s="1102"/>
      <c r="CO37" s="1102"/>
      <c r="CP37" s="1102"/>
      <c r="CR37" s="1639"/>
      <c r="CS37" s="1637"/>
      <c r="CX37" s="1119"/>
      <c r="CY37" s="1102"/>
      <c r="CZ37" s="1102"/>
      <c r="DA37" s="1102"/>
      <c r="DC37" s="1639"/>
      <c r="DD37" s="1637"/>
      <c r="DI37" s="1119"/>
      <c r="DJ37" s="1102"/>
      <c r="DK37" s="1102"/>
      <c r="DL37" s="1102"/>
      <c r="DN37" s="1639"/>
      <c r="DO37" s="1637"/>
      <c r="DT37" s="1119"/>
      <c r="DU37" s="1102"/>
      <c r="DV37" s="1102"/>
      <c r="DW37" s="1102"/>
      <c r="DY37" s="1639"/>
      <c r="DZ37" s="1637"/>
      <c r="EE37" s="1119"/>
      <c r="EF37" s="1102"/>
      <c r="EG37" s="1102"/>
      <c r="EH37" s="1102"/>
      <c r="EJ37" s="1639"/>
    </row>
    <row r="38" spans="1:140" x14ac:dyDescent="0.25">
      <c r="A38" s="1056"/>
      <c r="I38" s="1637"/>
      <c r="N38" s="1119"/>
      <c r="O38" s="1102"/>
      <c r="P38" s="1102"/>
      <c r="Q38" s="1102"/>
      <c r="S38" s="1639"/>
      <c r="T38" s="1637"/>
      <c r="Y38" s="1119"/>
      <c r="Z38" s="1102"/>
      <c r="AA38" s="1102"/>
      <c r="AB38" s="1102"/>
      <c r="AD38" s="1639"/>
      <c r="AE38" s="1637"/>
      <c r="AJ38" s="1119"/>
      <c r="AK38" s="1102"/>
      <c r="AL38" s="1102"/>
      <c r="AM38" s="1102"/>
      <c r="AO38" s="1639"/>
      <c r="AP38" s="1637"/>
      <c r="AU38" s="1119"/>
      <c r="AV38" s="1102"/>
      <c r="AW38" s="1102"/>
      <c r="AX38" s="1102"/>
      <c r="AZ38" s="1639"/>
      <c r="BA38" s="1637"/>
      <c r="BF38" s="1119"/>
      <c r="BG38" s="1102"/>
      <c r="BH38" s="1102"/>
      <c r="BI38" s="1102"/>
      <c r="BK38" s="1639"/>
      <c r="BL38" s="1637"/>
      <c r="BQ38" s="1119"/>
      <c r="BR38" s="1102"/>
      <c r="BS38" s="1102"/>
      <c r="BT38" s="1102"/>
      <c r="BV38" s="1639"/>
      <c r="BW38" s="1637"/>
      <c r="CB38" s="1119"/>
      <c r="CC38" s="1102"/>
      <c r="CD38" s="1102"/>
      <c r="CE38" s="1102"/>
      <c r="CG38" s="1639"/>
      <c r="CH38" s="1637"/>
      <c r="CM38" s="1119"/>
      <c r="CN38" s="1102"/>
      <c r="CO38" s="1102"/>
      <c r="CP38" s="1102"/>
      <c r="CR38" s="1639"/>
      <c r="CS38" s="1637"/>
      <c r="CX38" s="1119"/>
      <c r="CY38" s="1102"/>
      <c r="CZ38" s="1102"/>
      <c r="DA38" s="1102"/>
      <c r="DC38" s="1639"/>
      <c r="DD38" s="1637"/>
      <c r="DI38" s="1119"/>
      <c r="DJ38" s="1102"/>
      <c r="DK38" s="1102"/>
      <c r="DL38" s="1102"/>
      <c r="DN38" s="1639"/>
      <c r="DO38" s="1637"/>
      <c r="DT38" s="1119"/>
      <c r="DU38" s="1102"/>
      <c r="DV38" s="1102"/>
      <c r="DW38" s="1102"/>
      <c r="DY38" s="1639"/>
      <c r="DZ38" s="1637"/>
      <c r="EE38" s="1119"/>
      <c r="EF38" s="1102"/>
      <c r="EG38" s="1102"/>
      <c r="EH38" s="1102"/>
      <c r="EJ38" s="1639"/>
    </row>
    <row r="39" spans="1:140" x14ac:dyDescent="0.25">
      <c r="A39" s="1056"/>
      <c r="I39" s="1637"/>
      <c r="N39" s="1119"/>
      <c r="O39" s="1102"/>
      <c r="P39" s="1102"/>
      <c r="Q39" s="1102"/>
      <c r="S39" s="1639"/>
      <c r="T39" s="1637"/>
      <c r="Y39" s="1119"/>
      <c r="Z39" s="1102"/>
      <c r="AA39" s="1102"/>
      <c r="AB39" s="1102"/>
      <c r="AD39" s="1639"/>
      <c r="AE39" s="1637"/>
      <c r="AJ39" s="1119"/>
      <c r="AK39" s="1102"/>
      <c r="AL39" s="1102"/>
      <c r="AM39" s="1102"/>
      <c r="AO39" s="1639"/>
      <c r="AP39" s="1637"/>
      <c r="AU39" s="1119"/>
      <c r="AV39" s="1102"/>
      <c r="AW39" s="1102"/>
      <c r="AX39" s="1102"/>
      <c r="AZ39" s="1639"/>
      <c r="BA39" s="1637"/>
      <c r="BF39" s="1119"/>
      <c r="BG39" s="1102"/>
      <c r="BH39" s="1102"/>
      <c r="BI39" s="1102"/>
      <c r="BK39" s="1639"/>
      <c r="BL39" s="1637"/>
      <c r="BQ39" s="1119"/>
      <c r="BR39" s="1102"/>
      <c r="BS39" s="1102"/>
      <c r="BT39" s="1102"/>
      <c r="BV39" s="1639"/>
      <c r="BW39" s="1637"/>
      <c r="CB39" s="1119"/>
      <c r="CC39" s="1102"/>
      <c r="CD39" s="1102"/>
      <c r="CE39" s="1102"/>
      <c r="CG39" s="1639"/>
      <c r="CH39" s="1637"/>
      <c r="CM39" s="1119"/>
      <c r="CN39" s="1102"/>
      <c r="CO39" s="1102"/>
      <c r="CP39" s="1102"/>
      <c r="CR39" s="1639"/>
      <c r="CS39" s="1637"/>
      <c r="CX39" s="1119"/>
      <c r="CY39" s="1102"/>
      <c r="CZ39" s="1102"/>
      <c r="DA39" s="1102"/>
      <c r="DC39" s="1639"/>
      <c r="DD39" s="1637"/>
      <c r="DI39" s="1119"/>
      <c r="DJ39" s="1102"/>
      <c r="DK39" s="1102"/>
      <c r="DL39" s="1102"/>
      <c r="DN39" s="1639"/>
      <c r="DO39" s="1637"/>
      <c r="DT39" s="1119"/>
      <c r="DU39" s="1102"/>
      <c r="DV39" s="1102"/>
      <c r="DW39" s="1102"/>
      <c r="DY39" s="1639"/>
      <c r="DZ39" s="1637"/>
      <c r="EE39" s="1119"/>
      <c r="EF39" s="1102"/>
      <c r="EG39" s="1102"/>
      <c r="EH39" s="1102"/>
      <c r="EJ39" s="1639"/>
    </row>
    <row r="40" spans="1:140" x14ac:dyDescent="0.25">
      <c r="A40" s="1056"/>
      <c r="I40" s="1637"/>
      <c r="N40" s="1119"/>
      <c r="O40" s="1102"/>
      <c r="P40" s="1102"/>
      <c r="Q40" s="1102"/>
      <c r="S40" s="1639"/>
      <c r="T40" s="1637"/>
      <c r="Y40" s="1119"/>
      <c r="Z40" s="1102"/>
      <c r="AA40" s="1102"/>
      <c r="AB40" s="1102"/>
      <c r="AD40" s="1639"/>
      <c r="AE40" s="1637"/>
      <c r="AJ40" s="1119"/>
      <c r="AK40" s="1102"/>
      <c r="AL40" s="1102"/>
      <c r="AM40" s="1102"/>
      <c r="AO40" s="1639"/>
      <c r="AP40" s="1637"/>
      <c r="AU40" s="1119"/>
      <c r="AV40" s="1102"/>
      <c r="AW40" s="1102"/>
      <c r="AX40" s="1102"/>
      <c r="AZ40" s="1639"/>
      <c r="BA40" s="1637"/>
      <c r="BF40" s="1119"/>
      <c r="BG40" s="1102"/>
      <c r="BH40" s="1102"/>
      <c r="BI40" s="1102"/>
      <c r="BK40" s="1639"/>
      <c r="BL40" s="1637"/>
      <c r="BQ40" s="1119"/>
      <c r="BR40" s="1102"/>
      <c r="BS40" s="1102"/>
      <c r="BT40" s="1102"/>
      <c r="BV40" s="1639"/>
      <c r="BW40" s="1637"/>
      <c r="CB40" s="1119"/>
      <c r="CC40" s="1102"/>
      <c r="CD40" s="1102"/>
      <c r="CE40" s="1102"/>
      <c r="CG40" s="1639"/>
      <c r="CH40" s="1637"/>
      <c r="CM40" s="1119"/>
      <c r="CN40" s="1102"/>
      <c r="CO40" s="1102"/>
      <c r="CP40" s="1102"/>
      <c r="CR40" s="1639"/>
      <c r="CS40" s="1637"/>
      <c r="CX40" s="1119"/>
      <c r="CY40" s="1102"/>
      <c r="CZ40" s="1102"/>
      <c r="DA40" s="1102"/>
      <c r="DC40" s="1639"/>
      <c r="DD40" s="1637"/>
      <c r="DI40" s="1119"/>
      <c r="DJ40" s="1102"/>
      <c r="DK40" s="1102"/>
      <c r="DL40" s="1102"/>
      <c r="DN40" s="1639"/>
      <c r="DO40" s="1637"/>
      <c r="DT40" s="1119"/>
      <c r="DU40" s="1102"/>
      <c r="DV40" s="1102"/>
      <c r="DW40" s="1102"/>
      <c r="DY40" s="1639"/>
      <c r="DZ40" s="1637"/>
      <c r="EE40" s="1119"/>
      <c r="EF40" s="1102"/>
      <c r="EG40" s="1102"/>
      <c r="EH40" s="1102"/>
      <c r="EJ40" s="1639"/>
    </row>
    <row r="41" spans="1:140" x14ac:dyDescent="0.25">
      <c r="A41" s="1056"/>
      <c r="I41" s="1637"/>
      <c r="N41" s="1119"/>
      <c r="O41" s="1102"/>
      <c r="P41" s="1102"/>
      <c r="Q41" s="1102"/>
      <c r="S41" s="1639"/>
      <c r="T41" s="1637"/>
      <c r="Y41" s="1119"/>
      <c r="Z41" s="1102"/>
      <c r="AA41" s="1102"/>
      <c r="AB41" s="1102"/>
      <c r="AD41" s="1639"/>
      <c r="AE41" s="1637"/>
      <c r="AJ41" s="1119"/>
      <c r="AK41" s="1102"/>
      <c r="AL41" s="1102"/>
      <c r="AM41" s="1102"/>
      <c r="AO41" s="1639"/>
      <c r="AP41" s="1637"/>
      <c r="AU41" s="1119"/>
      <c r="AV41" s="1102"/>
      <c r="AW41" s="1102"/>
      <c r="AX41" s="1102"/>
      <c r="AZ41" s="1639"/>
      <c r="BA41" s="1637"/>
      <c r="BF41" s="1119"/>
      <c r="BG41" s="1102"/>
      <c r="BH41" s="1102"/>
      <c r="BI41" s="1102"/>
      <c r="BK41" s="1639"/>
      <c r="BL41" s="1637"/>
      <c r="BQ41" s="1119"/>
      <c r="BR41" s="1102"/>
      <c r="BS41" s="1102"/>
      <c r="BT41" s="1102"/>
      <c r="BV41" s="1639"/>
      <c r="BW41" s="1637"/>
      <c r="CB41" s="1119"/>
      <c r="CC41" s="1102"/>
      <c r="CD41" s="1102"/>
      <c r="CE41" s="1102"/>
      <c r="CG41" s="1639"/>
      <c r="CH41" s="1637"/>
      <c r="CM41" s="1119"/>
      <c r="CN41" s="1102"/>
      <c r="CO41" s="1102"/>
      <c r="CP41" s="1102"/>
      <c r="CR41" s="1639"/>
      <c r="CS41" s="1637"/>
      <c r="CX41" s="1119"/>
      <c r="CY41" s="1102"/>
      <c r="CZ41" s="1102"/>
      <c r="DA41" s="1102"/>
      <c r="DC41" s="1639"/>
      <c r="DD41" s="1637"/>
      <c r="DI41" s="1119"/>
      <c r="DJ41" s="1102"/>
      <c r="DK41" s="1102"/>
      <c r="DL41" s="1102"/>
      <c r="DN41" s="1639"/>
      <c r="DO41" s="1637"/>
      <c r="DT41" s="1119"/>
      <c r="DU41" s="1102"/>
      <c r="DV41" s="1102"/>
      <c r="DW41" s="1102"/>
      <c r="DY41" s="1639"/>
      <c r="DZ41" s="1637"/>
      <c r="EE41" s="1119"/>
      <c r="EF41" s="1102"/>
      <c r="EG41" s="1102"/>
      <c r="EH41" s="1102"/>
      <c r="EJ41" s="1639"/>
    </row>
    <row r="42" spans="1:140" x14ac:dyDescent="0.25">
      <c r="A42" s="1056"/>
      <c r="I42" s="1637"/>
      <c r="N42" s="1119"/>
      <c r="O42" s="1102"/>
      <c r="P42" s="1102"/>
      <c r="Q42" s="1102"/>
      <c r="S42" s="1639"/>
      <c r="T42" s="1637"/>
      <c r="Y42" s="1119"/>
      <c r="Z42" s="1102"/>
      <c r="AA42" s="1102"/>
      <c r="AB42" s="1102"/>
      <c r="AD42" s="1639"/>
      <c r="AE42" s="1637"/>
      <c r="AJ42" s="1119"/>
      <c r="AK42" s="1102"/>
      <c r="AL42" s="1102"/>
      <c r="AM42" s="1102"/>
      <c r="AO42" s="1639"/>
      <c r="AP42" s="1637"/>
      <c r="AU42" s="1119"/>
      <c r="AV42" s="1102"/>
      <c r="AW42" s="1102"/>
      <c r="AX42" s="1102"/>
      <c r="AZ42" s="1639"/>
      <c r="BA42" s="1637"/>
      <c r="BF42" s="1119"/>
      <c r="BG42" s="1102"/>
      <c r="BH42" s="1102"/>
      <c r="BI42" s="1102"/>
      <c r="BK42" s="1639"/>
      <c r="BL42" s="1637"/>
      <c r="BQ42" s="1119"/>
      <c r="BR42" s="1102"/>
      <c r="BS42" s="1102"/>
      <c r="BT42" s="1102"/>
      <c r="BV42" s="1639"/>
      <c r="BW42" s="1637"/>
      <c r="CB42" s="1119"/>
      <c r="CC42" s="1102"/>
      <c r="CD42" s="1102"/>
      <c r="CE42" s="1102"/>
      <c r="CG42" s="1639"/>
      <c r="CH42" s="1637"/>
      <c r="CM42" s="1119"/>
      <c r="CN42" s="1102"/>
      <c r="CO42" s="1102"/>
      <c r="CP42" s="1102"/>
      <c r="CR42" s="1639"/>
      <c r="CS42" s="1637"/>
      <c r="CX42" s="1119"/>
      <c r="CY42" s="1102"/>
      <c r="CZ42" s="1102"/>
      <c r="DA42" s="1102"/>
      <c r="DC42" s="1639"/>
      <c r="DD42" s="1637"/>
      <c r="DI42" s="1119"/>
      <c r="DJ42" s="1102"/>
      <c r="DK42" s="1102"/>
      <c r="DL42" s="1102"/>
      <c r="DN42" s="1639"/>
      <c r="DO42" s="1637"/>
      <c r="DT42" s="1119"/>
      <c r="DU42" s="1102"/>
      <c r="DV42" s="1102"/>
      <c r="DW42" s="1102"/>
      <c r="DY42" s="1639"/>
      <c r="DZ42" s="1637"/>
      <c r="EE42" s="1119"/>
      <c r="EF42" s="1102"/>
      <c r="EG42" s="1102"/>
      <c r="EH42" s="1102"/>
      <c r="EJ42" s="1639"/>
    </row>
    <row r="43" spans="1:140" x14ac:dyDescent="0.25">
      <c r="A43" s="1056"/>
      <c r="I43" s="1637"/>
      <c r="N43" s="1119"/>
      <c r="O43" s="1102"/>
      <c r="P43" s="1102"/>
      <c r="Q43" s="1102"/>
      <c r="S43" s="1639"/>
      <c r="T43" s="1637"/>
      <c r="Y43" s="1119"/>
      <c r="Z43" s="1102"/>
      <c r="AA43" s="1102"/>
      <c r="AB43" s="1102"/>
      <c r="AD43" s="1639"/>
      <c r="AE43" s="1637"/>
      <c r="AJ43" s="1119"/>
      <c r="AK43" s="1102"/>
      <c r="AL43" s="1102"/>
      <c r="AM43" s="1102"/>
      <c r="AO43" s="1639"/>
      <c r="AP43" s="1637"/>
      <c r="AU43" s="1119"/>
      <c r="AV43" s="1102"/>
      <c r="AW43" s="1102"/>
      <c r="AX43" s="1102"/>
      <c r="AZ43" s="1639"/>
      <c r="BA43" s="1637"/>
      <c r="BF43" s="1119"/>
      <c r="BG43" s="1102"/>
      <c r="BH43" s="1102"/>
      <c r="BI43" s="1102"/>
      <c r="BK43" s="1639"/>
      <c r="BL43" s="1637"/>
      <c r="BQ43" s="1119"/>
      <c r="BR43" s="1102"/>
      <c r="BS43" s="1102"/>
      <c r="BT43" s="1102"/>
      <c r="BV43" s="1639"/>
      <c r="BW43" s="1637"/>
      <c r="CB43" s="1119"/>
      <c r="CC43" s="1102"/>
      <c r="CD43" s="1102"/>
      <c r="CE43" s="1102"/>
      <c r="CG43" s="1639"/>
      <c r="CH43" s="1637"/>
      <c r="CM43" s="1119"/>
      <c r="CN43" s="1102"/>
      <c r="CO43" s="1102"/>
      <c r="CP43" s="1102"/>
      <c r="CR43" s="1639"/>
      <c r="CS43" s="1637"/>
      <c r="CX43" s="1119"/>
      <c r="CY43" s="1102"/>
      <c r="CZ43" s="1102"/>
      <c r="DA43" s="1102"/>
      <c r="DC43" s="1639"/>
      <c r="DD43" s="1637"/>
      <c r="DI43" s="1119"/>
      <c r="DJ43" s="1102"/>
      <c r="DK43" s="1102"/>
      <c r="DL43" s="1102"/>
      <c r="DN43" s="1639"/>
      <c r="DO43" s="1637"/>
      <c r="DT43" s="1119"/>
      <c r="DU43" s="1102"/>
      <c r="DV43" s="1102"/>
      <c r="DW43" s="1102"/>
      <c r="DY43" s="1639"/>
      <c r="DZ43" s="1637"/>
      <c r="EE43" s="1119"/>
      <c r="EF43" s="1102"/>
      <c r="EG43" s="1102"/>
      <c r="EH43" s="1102"/>
      <c r="EJ43" s="1639"/>
    </row>
    <row r="44" spans="1:140" x14ac:dyDescent="0.25">
      <c r="A44" s="1056"/>
      <c r="I44" s="1637"/>
      <c r="N44" s="1119"/>
      <c r="O44" s="1102"/>
      <c r="P44" s="1102"/>
      <c r="Q44" s="1102"/>
      <c r="S44" s="1639"/>
      <c r="T44" s="1637"/>
      <c r="Y44" s="1119"/>
      <c r="Z44" s="1102"/>
      <c r="AA44" s="1102"/>
      <c r="AB44" s="1102"/>
      <c r="AD44" s="1639"/>
      <c r="AE44" s="1637"/>
      <c r="AJ44" s="1119"/>
      <c r="AK44" s="1102"/>
      <c r="AL44" s="1102"/>
      <c r="AM44" s="1102"/>
      <c r="AO44" s="1639"/>
      <c r="AP44" s="1637"/>
      <c r="AU44" s="1119"/>
      <c r="AV44" s="1102"/>
      <c r="AW44" s="1102"/>
      <c r="AX44" s="1102"/>
      <c r="AZ44" s="1639"/>
      <c r="BA44" s="1637"/>
      <c r="BF44" s="1119"/>
      <c r="BG44" s="1102"/>
      <c r="BH44" s="1102"/>
      <c r="BI44" s="1102"/>
      <c r="BK44" s="1639"/>
      <c r="BL44" s="1637"/>
      <c r="BQ44" s="1119"/>
      <c r="BR44" s="1102"/>
      <c r="BS44" s="1102"/>
      <c r="BT44" s="1102"/>
      <c r="BV44" s="1639"/>
      <c r="BW44" s="1637"/>
      <c r="CB44" s="1119"/>
      <c r="CC44" s="1102"/>
      <c r="CD44" s="1102"/>
      <c r="CE44" s="1102"/>
      <c r="CG44" s="1639"/>
      <c r="CH44" s="1637"/>
      <c r="CM44" s="1119"/>
      <c r="CN44" s="1102"/>
      <c r="CO44" s="1102"/>
      <c r="CP44" s="1102"/>
      <c r="CR44" s="1639"/>
      <c r="CS44" s="1637"/>
      <c r="CX44" s="1119"/>
      <c r="CY44" s="1102"/>
      <c r="CZ44" s="1102"/>
      <c r="DA44" s="1102"/>
      <c r="DC44" s="1639"/>
      <c r="DD44" s="1637"/>
      <c r="DI44" s="1119"/>
      <c r="DJ44" s="1102"/>
      <c r="DK44" s="1102"/>
      <c r="DL44" s="1102"/>
      <c r="DN44" s="1639"/>
      <c r="DO44" s="1637"/>
      <c r="DT44" s="1119"/>
      <c r="DU44" s="1102"/>
      <c r="DV44" s="1102"/>
      <c r="DW44" s="1102"/>
      <c r="DY44" s="1639"/>
      <c r="DZ44" s="1637"/>
      <c r="EE44" s="1119"/>
      <c r="EF44" s="1102"/>
      <c r="EG44" s="1102"/>
      <c r="EH44" s="1102"/>
      <c r="EJ44" s="1639"/>
    </row>
    <row r="45" spans="1:140" x14ac:dyDescent="0.25">
      <c r="A45" s="1056"/>
      <c r="I45" s="1637"/>
      <c r="N45" s="1119"/>
      <c r="O45" s="1102"/>
      <c r="P45" s="1102"/>
      <c r="Q45" s="1102"/>
      <c r="S45" s="1639"/>
      <c r="T45" s="1637"/>
      <c r="Y45" s="1119"/>
      <c r="Z45" s="1102"/>
      <c r="AA45" s="1102"/>
      <c r="AB45" s="1102"/>
      <c r="AD45" s="1639"/>
      <c r="AE45" s="1637"/>
      <c r="AJ45" s="1119"/>
      <c r="AK45" s="1102"/>
      <c r="AL45" s="1102"/>
      <c r="AM45" s="1102"/>
      <c r="AO45" s="1639"/>
      <c r="AP45" s="1637"/>
      <c r="AU45" s="1119"/>
      <c r="AV45" s="1102"/>
      <c r="AW45" s="1102"/>
      <c r="AX45" s="1102"/>
      <c r="AZ45" s="1639"/>
      <c r="BA45" s="1637"/>
      <c r="BF45" s="1119"/>
      <c r="BG45" s="1102"/>
      <c r="BH45" s="1102"/>
      <c r="BI45" s="1102"/>
      <c r="BK45" s="1639"/>
      <c r="BL45" s="1637"/>
      <c r="BQ45" s="1119"/>
      <c r="BR45" s="1102"/>
      <c r="BS45" s="1102"/>
      <c r="BT45" s="1102"/>
      <c r="BV45" s="1639"/>
      <c r="BW45" s="1637"/>
      <c r="CB45" s="1119"/>
      <c r="CC45" s="1102"/>
      <c r="CD45" s="1102"/>
      <c r="CE45" s="1102"/>
      <c r="CG45" s="1639"/>
      <c r="CH45" s="1637"/>
      <c r="CM45" s="1119"/>
      <c r="CN45" s="1102"/>
      <c r="CO45" s="1102"/>
      <c r="CP45" s="1102"/>
      <c r="CR45" s="1639"/>
      <c r="CS45" s="1637"/>
      <c r="CX45" s="1119"/>
      <c r="CY45" s="1102"/>
      <c r="CZ45" s="1102"/>
      <c r="DA45" s="1102"/>
      <c r="DC45" s="1639"/>
      <c r="DD45" s="1637"/>
      <c r="DI45" s="1119"/>
      <c r="DJ45" s="1102"/>
      <c r="DK45" s="1102"/>
      <c r="DL45" s="1102"/>
      <c r="DN45" s="1639"/>
      <c r="DO45" s="1637"/>
      <c r="DT45" s="1119"/>
      <c r="DU45" s="1102"/>
      <c r="DV45" s="1102"/>
      <c r="DW45" s="1102"/>
      <c r="DY45" s="1639"/>
      <c r="DZ45" s="1637"/>
      <c r="EE45" s="1119"/>
      <c r="EF45" s="1102"/>
      <c r="EG45" s="1102"/>
      <c r="EH45" s="1102"/>
      <c r="EJ45" s="1639"/>
    </row>
    <row r="46" spans="1:140" x14ac:dyDescent="0.25">
      <c r="A46" s="1056"/>
      <c r="I46" s="1637"/>
      <c r="N46" s="1119"/>
      <c r="O46" s="1102"/>
      <c r="P46" s="1102"/>
      <c r="Q46" s="1102"/>
      <c r="S46" s="1639"/>
      <c r="T46" s="1637"/>
      <c r="Y46" s="1119"/>
      <c r="Z46" s="1102"/>
      <c r="AA46" s="1102"/>
      <c r="AB46" s="1102"/>
      <c r="AD46" s="1639"/>
      <c r="AE46" s="1637"/>
      <c r="AJ46" s="1119"/>
      <c r="AK46" s="1102"/>
      <c r="AL46" s="1102"/>
      <c r="AM46" s="1102"/>
      <c r="AO46" s="1639"/>
      <c r="AP46" s="1637"/>
      <c r="AU46" s="1119"/>
      <c r="AV46" s="1102"/>
      <c r="AW46" s="1102"/>
      <c r="AX46" s="1102"/>
      <c r="AZ46" s="1639"/>
      <c r="BA46" s="1637"/>
      <c r="BF46" s="1119"/>
      <c r="BG46" s="1102"/>
      <c r="BH46" s="1102"/>
      <c r="BI46" s="1102"/>
      <c r="BK46" s="1639"/>
      <c r="BL46" s="1637"/>
      <c r="BQ46" s="1119"/>
      <c r="BR46" s="1102"/>
      <c r="BS46" s="1102"/>
      <c r="BT46" s="1102"/>
      <c r="BV46" s="1639"/>
      <c r="BW46" s="1637"/>
      <c r="CB46" s="1119"/>
      <c r="CC46" s="1102"/>
      <c r="CD46" s="1102"/>
      <c r="CE46" s="1102"/>
      <c r="CG46" s="1639"/>
      <c r="CH46" s="1637"/>
      <c r="CM46" s="1119"/>
      <c r="CN46" s="1102"/>
      <c r="CO46" s="1102"/>
      <c r="CP46" s="1102"/>
      <c r="CR46" s="1639"/>
      <c r="CS46" s="1637"/>
      <c r="CX46" s="1119"/>
      <c r="CY46" s="1102"/>
      <c r="CZ46" s="1102"/>
      <c r="DA46" s="1102"/>
      <c r="DC46" s="1639"/>
      <c r="DD46" s="1637"/>
      <c r="DI46" s="1119"/>
      <c r="DJ46" s="1102"/>
      <c r="DK46" s="1102"/>
      <c r="DL46" s="1102"/>
      <c r="DN46" s="1639"/>
      <c r="DO46" s="1637"/>
      <c r="DT46" s="1119"/>
      <c r="DU46" s="1102"/>
      <c r="DV46" s="1102"/>
      <c r="DW46" s="1102"/>
      <c r="DY46" s="1639"/>
      <c r="DZ46" s="1637"/>
      <c r="EE46" s="1119"/>
      <c r="EF46" s="1102"/>
      <c r="EG46" s="1102"/>
      <c r="EH46" s="1102"/>
      <c r="EJ46" s="1639"/>
    </row>
    <row r="47" spans="1:140" x14ac:dyDescent="0.25">
      <c r="A47" s="1056"/>
      <c r="I47" s="1637"/>
      <c r="N47" s="1119"/>
      <c r="O47" s="1102"/>
      <c r="P47" s="1102"/>
      <c r="Q47" s="1102"/>
      <c r="S47" s="1639"/>
      <c r="T47" s="1637"/>
      <c r="Y47" s="1119"/>
      <c r="Z47" s="1102"/>
      <c r="AA47" s="1102"/>
      <c r="AB47" s="1102"/>
      <c r="AD47" s="1639"/>
      <c r="AE47" s="1637"/>
      <c r="AJ47" s="1119"/>
      <c r="AK47" s="1102"/>
      <c r="AL47" s="1102"/>
      <c r="AM47" s="1102"/>
      <c r="AO47" s="1639"/>
      <c r="AP47" s="1637"/>
      <c r="AU47" s="1119"/>
      <c r="AV47" s="1102"/>
      <c r="AW47" s="1102"/>
      <c r="AX47" s="1102"/>
      <c r="AZ47" s="1639"/>
      <c r="BA47" s="1637"/>
      <c r="BF47" s="1119"/>
      <c r="BG47" s="1102"/>
      <c r="BH47" s="1102"/>
      <c r="BI47" s="1102"/>
      <c r="BK47" s="1639"/>
      <c r="BL47" s="1637"/>
      <c r="BQ47" s="1119"/>
      <c r="BR47" s="1102"/>
      <c r="BS47" s="1102"/>
      <c r="BT47" s="1102"/>
      <c r="BV47" s="1639"/>
      <c r="BW47" s="1637"/>
      <c r="CB47" s="1119"/>
      <c r="CC47" s="1102"/>
      <c r="CD47" s="1102"/>
      <c r="CE47" s="1102"/>
      <c r="CG47" s="1639"/>
      <c r="CH47" s="1637"/>
      <c r="CM47" s="1119"/>
      <c r="CN47" s="1102"/>
      <c r="CO47" s="1102"/>
      <c r="CP47" s="1102"/>
      <c r="CR47" s="1639"/>
      <c r="CS47" s="1637"/>
      <c r="CX47" s="1119"/>
      <c r="CY47" s="1102"/>
      <c r="CZ47" s="1102"/>
      <c r="DA47" s="1102"/>
      <c r="DC47" s="1639"/>
      <c r="DD47" s="1637"/>
      <c r="DI47" s="1119"/>
      <c r="DJ47" s="1102"/>
      <c r="DK47" s="1102"/>
      <c r="DL47" s="1102"/>
      <c r="DN47" s="1639"/>
      <c r="DO47" s="1637"/>
      <c r="DT47" s="1119"/>
      <c r="DU47" s="1102"/>
      <c r="DV47" s="1102"/>
      <c r="DW47" s="1102"/>
      <c r="DY47" s="1639"/>
      <c r="DZ47" s="1637"/>
      <c r="EE47" s="1119"/>
      <c r="EF47" s="1102"/>
      <c r="EG47" s="1102"/>
      <c r="EH47" s="1102"/>
      <c r="EJ47" s="1639"/>
    </row>
    <row r="48" spans="1:140" x14ac:dyDescent="0.25">
      <c r="A48" s="1056"/>
      <c r="I48" s="1637"/>
      <c r="N48" s="1119"/>
      <c r="O48" s="1102"/>
      <c r="P48" s="1102"/>
      <c r="Q48" s="1102"/>
      <c r="S48" s="1639"/>
      <c r="T48" s="1637"/>
      <c r="Y48" s="1119"/>
      <c r="Z48" s="1102"/>
      <c r="AA48" s="1102"/>
      <c r="AB48" s="1102"/>
      <c r="AD48" s="1639"/>
      <c r="AE48" s="1637"/>
      <c r="AJ48" s="1119"/>
      <c r="AK48" s="1102"/>
      <c r="AL48" s="1102"/>
      <c r="AM48" s="1102"/>
      <c r="AO48" s="1639"/>
      <c r="AP48" s="1637"/>
      <c r="AU48" s="1119"/>
      <c r="AV48" s="1102"/>
      <c r="AW48" s="1102"/>
      <c r="AX48" s="1102"/>
      <c r="AZ48" s="1639"/>
      <c r="BA48" s="1637"/>
      <c r="BF48" s="1119"/>
      <c r="BG48" s="1102"/>
      <c r="BH48" s="1102"/>
      <c r="BI48" s="1102"/>
      <c r="BK48" s="1639"/>
      <c r="BL48" s="1637"/>
      <c r="BQ48" s="1119"/>
      <c r="BR48" s="1102"/>
      <c r="BS48" s="1102"/>
      <c r="BT48" s="1102"/>
      <c r="BV48" s="1639"/>
      <c r="BW48" s="1637"/>
      <c r="CB48" s="1119"/>
      <c r="CC48" s="1102"/>
      <c r="CD48" s="1102"/>
      <c r="CE48" s="1102"/>
      <c r="CG48" s="1639"/>
      <c r="CH48" s="1637"/>
      <c r="CM48" s="1119"/>
      <c r="CN48" s="1102"/>
      <c r="CO48" s="1102"/>
      <c r="CP48" s="1102"/>
      <c r="CR48" s="1639"/>
      <c r="CS48" s="1637"/>
      <c r="CX48" s="1119"/>
      <c r="CY48" s="1102"/>
      <c r="CZ48" s="1102"/>
      <c r="DA48" s="1102"/>
      <c r="DC48" s="1639"/>
      <c r="DD48" s="1637"/>
      <c r="DI48" s="1119"/>
      <c r="DJ48" s="1102"/>
      <c r="DK48" s="1102"/>
      <c r="DL48" s="1102"/>
      <c r="DN48" s="1639"/>
      <c r="DO48" s="1637"/>
      <c r="DT48" s="1119"/>
      <c r="DU48" s="1102"/>
      <c r="DV48" s="1102"/>
      <c r="DW48" s="1102"/>
      <c r="DY48" s="1639"/>
      <c r="DZ48" s="1637"/>
      <c r="EE48" s="1119"/>
      <c r="EF48" s="1102"/>
      <c r="EG48" s="1102"/>
      <c r="EH48" s="1102"/>
      <c r="EJ48" s="1639"/>
    </row>
    <row r="49" spans="1:140" x14ac:dyDescent="0.25">
      <c r="A49" s="1056"/>
      <c r="I49" s="1637"/>
      <c r="N49" s="1119"/>
      <c r="O49" s="1102"/>
      <c r="P49" s="1102"/>
      <c r="Q49" s="1102"/>
      <c r="S49" s="1639"/>
      <c r="T49" s="1637"/>
      <c r="Y49" s="1119"/>
      <c r="Z49" s="1102"/>
      <c r="AA49" s="1102"/>
      <c r="AB49" s="1102"/>
      <c r="AD49" s="1639"/>
      <c r="AE49" s="1637"/>
      <c r="AJ49" s="1119"/>
      <c r="AK49" s="1102"/>
      <c r="AL49" s="1102"/>
      <c r="AM49" s="1102"/>
      <c r="AO49" s="1639"/>
      <c r="AP49" s="1637"/>
      <c r="AU49" s="1119"/>
      <c r="AV49" s="1102"/>
      <c r="AW49" s="1102"/>
      <c r="AX49" s="1102"/>
      <c r="AZ49" s="1639"/>
      <c r="BA49" s="1637"/>
      <c r="BF49" s="1119"/>
      <c r="BG49" s="1102"/>
      <c r="BH49" s="1102"/>
      <c r="BI49" s="1102"/>
      <c r="BK49" s="1639"/>
      <c r="BL49" s="1637"/>
      <c r="BQ49" s="1119"/>
      <c r="BR49" s="1102"/>
      <c r="BS49" s="1102"/>
      <c r="BT49" s="1102"/>
      <c r="BV49" s="1639"/>
      <c r="BW49" s="1637"/>
      <c r="CB49" s="1119"/>
      <c r="CC49" s="1102"/>
      <c r="CD49" s="1102"/>
      <c r="CE49" s="1102"/>
      <c r="CG49" s="1639"/>
      <c r="CH49" s="1637"/>
      <c r="CM49" s="1119"/>
      <c r="CN49" s="1102"/>
      <c r="CO49" s="1102"/>
      <c r="CP49" s="1102"/>
      <c r="CR49" s="1639"/>
      <c r="CS49" s="1637"/>
      <c r="CX49" s="1119"/>
      <c r="CY49" s="1102"/>
      <c r="CZ49" s="1102"/>
      <c r="DA49" s="1102"/>
      <c r="DC49" s="1639"/>
      <c r="DD49" s="1637"/>
      <c r="DI49" s="1119"/>
      <c r="DJ49" s="1102"/>
      <c r="DK49" s="1102"/>
      <c r="DL49" s="1102"/>
      <c r="DN49" s="1639"/>
      <c r="DO49" s="1637"/>
      <c r="DT49" s="1119"/>
      <c r="DU49" s="1102"/>
      <c r="DV49" s="1102"/>
      <c r="DW49" s="1102"/>
      <c r="DY49" s="1639"/>
      <c r="DZ49" s="1637"/>
      <c r="EE49" s="1119"/>
      <c r="EF49" s="1102"/>
      <c r="EG49" s="1102"/>
      <c r="EH49" s="1102"/>
      <c r="EJ49" s="1639"/>
    </row>
    <row r="50" spans="1:140" x14ac:dyDescent="0.25">
      <c r="A50" s="1056"/>
      <c r="I50" s="1637"/>
      <c r="N50" s="1119"/>
      <c r="O50" s="1102"/>
      <c r="P50" s="1102"/>
      <c r="Q50" s="1102"/>
      <c r="S50" s="1639"/>
      <c r="T50" s="1637"/>
      <c r="Y50" s="1119"/>
      <c r="Z50" s="1102"/>
      <c r="AA50" s="1102"/>
      <c r="AB50" s="1102"/>
      <c r="AD50" s="1639"/>
      <c r="AE50" s="1637"/>
      <c r="AJ50" s="1119"/>
      <c r="AK50" s="1102"/>
      <c r="AL50" s="1102"/>
      <c r="AM50" s="1102"/>
      <c r="AO50" s="1639"/>
      <c r="AP50" s="1637"/>
      <c r="AU50" s="1119"/>
      <c r="AV50" s="1102"/>
      <c r="AW50" s="1102"/>
      <c r="AX50" s="1102"/>
      <c r="AZ50" s="1639"/>
      <c r="BA50" s="1637"/>
      <c r="BF50" s="1119"/>
      <c r="BG50" s="1102"/>
      <c r="BH50" s="1102"/>
      <c r="BI50" s="1102"/>
      <c r="BK50" s="1639"/>
      <c r="BL50" s="1637"/>
      <c r="BQ50" s="1119"/>
      <c r="BR50" s="1102"/>
      <c r="BS50" s="1102"/>
      <c r="BT50" s="1102"/>
      <c r="BV50" s="1639"/>
      <c r="BW50" s="1637"/>
      <c r="CB50" s="1119"/>
      <c r="CC50" s="1102"/>
      <c r="CD50" s="1102"/>
      <c r="CE50" s="1102"/>
      <c r="CG50" s="1639"/>
      <c r="CH50" s="1637"/>
      <c r="CM50" s="1119"/>
      <c r="CN50" s="1102"/>
      <c r="CO50" s="1102"/>
      <c r="CP50" s="1102"/>
      <c r="CR50" s="1639"/>
      <c r="CS50" s="1637"/>
      <c r="CX50" s="1119"/>
      <c r="CY50" s="1102"/>
      <c r="CZ50" s="1102"/>
      <c r="DA50" s="1102"/>
      <c r="DC50" s="1639"/>
      <c r="DD50" s="1637"/>
      <c r="DI50" s="1119"/>
      <c r="DJ50" s="1102"/>
      <c r="DK50" s="1102"/>
      <c r="DL50" s="1102"/>
      <c r="DN50" s="1639"/>
      <c r="DO50" s="1637"/>
      <c r="DT50" s="1119"/>
      <c r="DU50" s="1102"/>
      <c r="DV50" s="1102"/>
      <c r="DW50" s="1102"/>
      <c r="DY50" s="1639"/>
      <c r="DZ50" s="1637"/>
      <c r="EE50" s="1119"/>
      <c r="EF50" s="1102"/>
      <c r="EG50" s="1102"/>
      <c r="EH50" s="1102"/>
      <c r="EJ50" s="1639"/>
    </row>
    <row r="51" spans="1:140" x14ac:dyDescent="0.25">
      <c r="A51" s="1056"/>
      <c r="I51" s="1637"/>
      <c r="N51" s="1119"/>
      <c r="O51" s="1102"/>
      <c r="P51" s="1102"/>
      <c r="Q51" s="1102"/>
      <c r="S51" s="1639"/>
      <c r="T51" s="1637"/>
      <c r="Y51" s="1119"/>
      <c r="Z51" s="1102"/>
      <c r="AA51" s="1102"/>
      <c r="AB51" s="1102"/>
      <c r="AD51" s="1639"/>
      <c r="AE51" s="1637"/>
      <c r="AJ51" s="1119"/>
      <c r="AK51" s="1102"/>
      <c r="AL51" s="1102"/>
      <c r="AM51" s="1102"/>
      <c r="AO51" s="1639"/>
      <c r="AP51" s="1637"/>
      <c r="AU51" s="1119"/>
      <c r="AV51" s="1102"/>
      <c r="AW51" s="1102"/>
      <c r="AX51" s="1102"/>
      <c r="AZ51" s="1639"/>
      <c r="BA51" s="1637"/>
      <c r="BF51" s="1119"/>
      <c r="BG51" s="1102"/>
      <c r="BH51" s="1102"/>
      <c r="BI51" s="1102"/>
      <c r="BK51" s="1639"/>
      <c r="BL51" s="1637"/>
      <c r="BQ51" s="1119"/>
      <c r="BR51" s="1102"/>
      <c r="BS51" s="1102"/>
      <c r="BT51" s="1102"/>
      <c r="BV51" s="1639"/>
      <c r="BW51" s="1637"/>
      <c r="CB51" s="1119"/>
      <c r="CC51" s="1102"/>
      <c r="CD51" s="1102"/>
      <c r="CE51" s="1102"/>
      <c r="CG51" s="1639"/>
      <c r="CH51" s="1637"/>
      <c r="CM51" s="1119"/>
      <c r="CN51" s="1102"/>
      <c r="CO51" s="1102"/>
      <c r="CP51" s="1102"/>
      <c r="CR51" s="1639"/>
      <c r="CS51" s="1637"/>
      <c r="CX51" s="1119"/>
      <c r="CY51" s="1102"/>
      <c r="CZ51" s="1102"/>
      <c r="DA51" s="1102"/>
      <c r="DC51" s="1639"/>
      <c r="DD51" s="1637"/>
      <c r="DI51" s="1119"/>
      <c r="DJ51" s="1102"/>
      <c r="DK51" s="1102"/>
      <c r="DL51" s="1102"/>
      <c r="DN51" s="1639"/>
      <c r="DO51" s="1637"/>
      <c r="DT51" s="1119"/>
      <c r="DU51" s="1102"/>
      <c r="DV51" s="1102"/>
      <c r="DW51" s="1102"/>
      <c r="DY51" s="1639"/>
      <c r="DZ51" s="1637"/>
      <c r="EE51" s="1119"/>
      <c r="EF51" s="1102"/>
      <c r="EG51" s="1102"/>
      <c r="EH51" s="1102"/>
      <c r="EJ51" s="1639"/>
    </row>
    <row r="52" spans="1:140" x14ac:dyDescent="0.25">
      <c r="A52" s="1056"/>
      <c r="I52" s="1637"/>
      <c r="N52" s="1119"/>
      <c r="O52" s="1102"/>
      <c r="P52" s="1102"/>
      <c r="Q52" s="1102"/>
      <c r="S52" s="1639"/>
      <c r="T52" s="1637"/>
      <c r="Y52" s="1119"/>
      <c r="Z52" s="1102"/>
      <c r="AA52" s="1102"/>
      <c r="AB52" s="1102"/>
      <c r="AD52" s="1639"/>
      <c r="AE52" s="1637"/>
      <c r="AJ52" s="1119"/>
      <c r="AK52" s="1102"/>
      <c r="AL52" s="1102"/>
      <c r="AM52" s="1102"/>
      <c r="AO52" s="1639"/>
      <c r="AP52" s="1637"/>
      <c r="AU52" s="1119"/>
      <c r="AV52" s="1102"/>
      <c r="AW52" s="1102"/>
      <c r="AX52" s="1102"/>
      <c r="AZ52" s="1639"/>
      <c r="BA52" s="1637"/>
      <c r="BF52" s="1119"/>
      <c r="BG52" s="1102"/>
      <c r="BH52" s="1102"/>
      <c r="BI52" s="1102"/>
      <c r="BK52" s="1639"/>
      <c r="BL52" s="1637"/>
      <c r="BQ52" s="1119"/>
      <c r="BR52" s="1102"/>
      <c r="BS52" s="1102"/>
      <c r="BT52" s="1102"/>
      <c r="BV52" s="1639"/>
      <c r="BW52" s="1637"/>
      <c r="CB52" s="1119"/>
      <c r="CC52" s="1102"/>
      <c r="CD52" s="1102"/>
      <c r="CE52" s="1102"/>
      <c r="CG52" s="1639"/>
      <c r="CH52" s="1637"/>
      <c r="CM52" s="1119"/>
      <c r="CN52" s="1102"/>
      <c r="CO52" s="1102"/>
      <c r="CP52" s="1102"/>
      <c r="CR52" s="1639"/>
      <c r="CS52" s="1637"/>
      <c r="CX52" s="1119"/>
      <c r="CY52" s="1102"/>
      <c r="CZ52" s="1102"/>
      <c r="DA52" s="1102"/>
      <c r="DC52" s="1639"/>
      <c r="DD52" s="1637"/>
      <c r="DI52" s="1119"/>
      <c r="DJ52" s="1102"/>
      <c r="DK52" s="1102"/>
      <c r="DL52" s="1102"/>
      <c r="DN52" s="1639"/>
      <c r="DO52" s="1637"/>
      <c r="DT52" s="1119"/>
      <c r="DU52" s="1102"/>
      <c r="DV52" s="1102"/>
      <c r="DW52" s="1102"/>
      <c r="DY52" s="1639"/>
      <c r="DZ52" s="1637"/>
      <c r="EE52" s="1119"/>
      <c r="EF52" s="1102"/>
      <c r="EG52" s="1102"/>
      <c r="EH52" s="1102"/>
      <c r="EJ52" s="1639"/>
    </row>
    <row r="53" spans="1:140" x14ac:dyDescent="0.25">
      <c r="A53" s="1056"/>
      <c r="I53" s="1637"/>
      <c r="N53" s="1119"/>
      <c r="O53" s="1102"/>
      <c r="P53" s="1102"/>
      <c r="Q53" s="1102"/>
      <c r="S53" s="1639"/>
      <c r="T53" s="1637"/>
      <c r="Y53" s="1119"/>
      <c r="Z53" s="1102"/>
      <c r="AA53" s="1102"/>
      <c r="AB53" s="1102"/>
      <c r="AD53" s="1639"/>
      <c r="AE53" s="1637"/>
      <c r="AJ53" s="1119"/>
      <c r="AK53" s="1102"/>
      <c r="AL53" s="1102"/>
      <c r="AM53" s="1102"/>
      <c r="AO53" s="1639"/>
      <c r="AP53" s="1637"/>
      <c r="AU53" s="1119"/>
      <c r="AV53" s="1102"/>
      <c r="AW53" s="1102"/>
      <c r="AX53" s="1102"/>
      <c r="AZ53" s="1639"/>
      <c r="BA53" s="1637"/>
      <c r="BF53" s="1119"/>
      <c r="BG53" s="1102"/>
      <c r="BH53" s="1102"/>
      <c r="BI53" s="1102"/>
      <c r="BK53" s="1639"/>
      <c r="BL53" s="1637"/>
      <c r="BQ53" s="1119"/>
      <c r="BR53" s="1102"/>
      <c r="BS53" s="1102"/>
      <c r="BT53" s="1102"/>
      <c r="BV53" s="1639"/>
      <c r="BW53" s="1637"/>
      <c r="CB53" s="1119"/>
      <c r="CC53" s="1102"/>
      <c r="CD53" s="1102"/>
      <c r="CE53" s="1102"/>
      <c r="CG53" s="1639"/>
      <c r="CH53" s="1637"/>
      <c r="CM53" s="1119"/>
      <c r="CN53" s="1102"/>
      <c r="CO53" s="1102"/>
      <c r="CP53" s="1102"/>
      <c r="CR53" s="1639"/>
      <c r="CS53" s="1637"/>
      <c r="CX53" s="1119"/>
      <c r="CY53" s="1102"/>
      <c r="CZ53" s="1102"/>
      <c r="DA53" s="1102"/>
      <c r="DC53" s="1639"/>
      <c r="DD53" s="1637"/>
      <c r="DI53" s="1119"/>
      <c r="DJ53" s="1102"/>
      <c r="DK53" s="1102"/>
      <c r="DL53" s="1102"/>
      <c r="DN53" s="1639"/>
      <c r="DO53" s="1637"/>
      <c r="DT53" s="1119"/>
      <c r="DU53" s="1102"/>
      <c r="DV53" s="1102"/>
      <c r="DW53" s="1102"/>
      <c r="DY53" s="1639"/>
      <c r="DZ53" s="1637"/>
      <c r="EE53" s="1119"/>
      <c r="EF53" s="1102"/>
      <c r="EG53" s="1102"/>
      <c r="EH53" s="1102"/>
      <c r="EJ53" s="1639"/>
    </row>
    <row r="54" spans="1:140" x14ac:dyDescent="0.25">
      <c r="A54" s="1056"/>
      <c r="I54" s="1637"/>
      <c r="N54" s="1119"/>
      <c r="O54" s="1102"/>
      <c r="P54" s="1102"/>
      <c r="Q54" s="1102"/>
      <c r="S54" s="1639"/>
      <c r="T54" s="1637"/>
      <c r="Y54" s="1119"/>
      <c r="Z54" s="1102"/>
      <c r="AA54" s="1102"/>
      <c r="AB54" s="1102"/>
      <c r="AD54" s="1639"/>
      <c r="AE54" s="1637"/>
      <c r="AJ54" s="1119"/>
      <c r="AK54" s="1102"/>
      <c r="AL54" s="1102"/>
      <c r="AM54" s="1102"/>
      <c r="AO54" s="1639"/>
      <c r="AP54" s="1637"/>
      <c r="AU54" s="1119"/>
      <c r="AV54" s="1102"/>
      <c r="AW54" s="1102"/>
      <c r="AX54" s="1102"/>
      <c r="AZ54" s="1639"/>
      <c r="BA54" s="1637"/>
      <c r="BF54" s="1119"/>
      <c r="BG54" s="1102"/>
      <c r="BH54" s="1102"/>
      <c r="BI54" s="1102"/>
      <c r="BK54" s="1639"/>
      <c r="BL54" s="1637"/>
      <c r="BQ54" s="1119"/>
      <c r="BR54" s="1102"/>
      <c r="BS54" s="1102"/>
      <c r="BT54" s="1102"/>
      <c r="BV54" s="1639"/>
      <c r="BW54" s="1637"/>
      <c r="CB54" s="1119"/>
      <c r="CC54" s="1102"/>
      <c r="CD54" s="1102"/>
      <c r="CE54" s="1102"/>
      <c r="CG54" s="1639"/>
      <c r="CH54" s="1637"/>
      <c r="CM54" s="1119"/>
      <c r="CN54" s="1102"/>
      <c r="CO54" s="1102"/>
      <c r="CP54" s="1102"/>
      <c r="CR54" s="1639"/>
      <c r="CS54" s="1637"/>
      <c r="CX54" s="1119"/>
      <c r="CY54" s="1102"/>
      <c r="CZ54" s="1102"/>
      <c r="DA54" s="1102"/>
      <c r="DC54" s="1639"/>
      <c r="DD54" s="1637"/>
      <c r="DI54" s="1119"/>
      <c r="DJ54" s="1102"/>
      <c r="DK54" s="1102"/>
      <c r="DL54" s="1102"/>
      <c r="DN54" s="1639"/>
      <c r="DO54" s="1637"/>
      <c r="DT54" s="1119"/>
      <c r="DU54" s="1102"/>
      <c r="DV54" s="1102"/>
      <c r="DW54" s="1102"/>
      <c r="DY54" s="1639"/>
      <c r="DZ54" s="1637"/>
      <c r="EE54" s="1119"/>
      <c r="EF54" s="1102"/>
      <c r="EG54" s="1102"/>
      <c r="EH54" s="1102"/>
      <c r="EJ54" s="1639"/>
    </row>
    <row r="55" spans="1:140" x14ac:dyDescent="0.25">
      <c r="A55" s="1056"/>
      <c r="I55" s="1637"/>
      <c r="N55" s="1119"/>
      <c r="O55" s="1102"/>
      <c r="P55" s="1102"/>
      <c r="Q55" s="1102"/>
      <c r="S55" s="1639"/>
      <c r="T55" s="1637"/>
      <c r="Y55" s="1119"/>
      <c r="Z55" s="1102"/>
      <c r="AA55" s="1102"/>
      <c r="AB55" s="1102"/>
      <c r="AD55" s="1639"/>
      <c r="AE55" s="1637"/>
      <c r="AJ55" s="1119"/>
      <c r="AK55" s="1102"/>
      <c r="AL55" s="1102"/>
      <c r="AM55" s="1102"/>
      <c r="AO55" s="1639"/>
      <c r="AP55" s="1637"/>
      <c r="AU55" s="1119"/>
      <c r="AV55" s="1102"/>
      <c r="AW55" s="1102"/>
      <c r="AX55" s="1102"/>
      <c r="AZ55" s="1639"/>
      <c r="BA55" s="1637"/>
      <c r="BF55" s="1119"/>
      <c r="BG55" s="1102"/>
      <c r="BH55" s="1102"/>
      <c r="BI55" s="1102"/>
      <c r="BK55" s="1639"/>
      <c r="BL55" s="1637"/>
      <c r="BQ55" s="1119"/>
      <c r="BR55" s="1102"/>
      <c r="BS55" s="1102"/>
      <c r="BT55" s="1102"/>
      <c r="BV55" s="1639"/>
      <c r="BW55" s="1637"/>
      <c r="CB55" s="1119"/>
      <c r="CC55" s="1102"/>
      <c r="CD55" s="1102"/>
      <c r="CE55" s="1102"/>
      <c r="CG55" s="1639"/>
      <c r="CH55" s="1637"/>
      <c r="CM55" s="1119"/>
      <c r="CN55" s="1102"/>
      <c r="CO55" s="1102"/>
      <c r="CP55" s="1102"/>
      <c r="CR55" s="1639"/>
      <c r="CS55" s="1637"/>
      <c r="CX55" s="1119"/>
      <c r="CY55" s="1102"/>
      <c r="CZ55" s="1102"/>
      <c r="DA55" s="1102"/>
      <c r="DC55" s="1639"/>
      <c r="DD55" s="1637"/>
      <c r="DI55" s="1119"/>
      <c r="DJ55" s="1102"/>
      <c r="DK55" s="1102"/>
      <c r="DL55" s="1102"/>
      <c r="DN55" s="1639"/>
      <c r="DO55" s="1637"/>
      <c r="DT55" s="1119"/>
      <c r="DU55" s="1102"/>
      <c r="DV55" s="1102"/>
      <c r="DW55" s="1102"/>
      <c r="DY55" s="1639"/>
      <c r="DZ55" s="1637"/>
      <c r="EE55" s="1119"/>
      <c r="EF55" s="1102"/>
      <c r="EG55" s="1102"/>
      <c r="EH55" s="1102"/>
      <c r="EJ55" s="1639"/>
    </row>
    <row r="56" spans="1:140" x14ac:dyDescent="0.25">
      <c r="A56" s="1056"/>
      <c r="I56" s="1637"/>
      <c r="N56" s="1119"/>
      <c r="O56" s="1102"/>
      <c r="P56" s="1102"/>
      <c r="Q56" s="1102"/>
      <c r="S56" s="1639"/>
      <c r="T56" s="1637"/>
      <c r="Y56" s="1119"/>
      <c r="Z56" s="1102"/>
      <c r="AA56" s="1102"/>
      <c r="AB56" s="1102"/>
      <c r="AD56" s="1639"/>
      <c r="AE56" s="1637"/>
      <c r="AJ56" s="1119"/>
      <c r="AK56" s="1102"/>
      <c r="AL56" s="1102"/>
      <c r="AM56" s="1102"/>
      <c r="AO56" s="1639"/>
      <c r="AP56" s="1637"/>
      <c r="AU56" s="1119"/>
      <c r="AV56" s="1102"/>
      <c r="AW56" s="1102"/>
      <c r="AX56" s="1102"/>
      <c r="AZ56" s="1639"/>
      <c r="BA56" s="1637"/>
      <c r="BF56" s="1119"/>
      <c r="BG56" s="1102"/>
      <c r="BH56" s="1102"/>
      <c r="BI56" s="1102"/>
      <c r="BK56" s="1639"/>
      <c r="BL56" s="1637"/>
      <c r="BQ56" s="1119"/>
      <c r="BR56" s="1102"/>
      <c r="BS56" s="1102"/>
      <c r="BT56" s="1102"/>
      <c r="BV56" s="1639"/>
      <c r="BW56" s="1637"/>
      <c r="CB56" s="1119"/>
      <c r="CC56" s="1102"/>
      <c r="CD56" s="1102"/>
      <c r="CE56" s="1102"/>
      <c r="CG56" s="1639"/>
      <c r="CH56" s="1637"/>
      <c r="CM56" s="1119"/>
      <c r="CN56" s="1102"/>
      <c r="CO56" s="1102"/>
      <c r="CP56" s="1102"/>
      <c r="CR56" s="1639"/>
      <c r="CS56" s="1637"/>
      <c r="CX56" s="1119"/>
      <c r="CY56" s="1102"/>
      <c r="CZ56" s="1102"/>
      <c r="DA56" s="1102"/>
      <c r="DC56" s="1639"/>
      <c r="DD56" s="1637"/>
      <c r="DI56" s="1119"/>
      <c r="DJ56" s="1102"/>
      <c r="DK56" s="1102"/>
      <c r="DL56" s="1102"/>
      <c r="DN56" s="1639"/>
      <c r="DO56" s="1637"/>
      <c r="DT56" s="1119"/>
      <c r="DU56" s="1102"/>
      <c r="DV56" s="1102"/>
      <c r="DW56" s="1102"/>
      <c r="DY56" s="1639"/>
      <c r="DZ56" s="1637"/>
      <c r="EE56" s="1119"/>
      <c r="EF56" s="1102"/>
      <c r="EG56" s="1102"/>
      <c r="EH56" s="1102"/>
      <c r="EJ56" s="1639"/>
    </row>
    <row r="57" spans="1:140" ht="15.75" thickBot="1" x14ac:dyDescent="0.3">
      <c r="A57" s="1056"/>
      <c r="I57" s="1640"/>
      <c r="J57" s="1641"/>
      <c r="K57" s="1641"/>
      <c r="L57" s="1641"/>
      <c r="M57" s="1641"/>
      <c r="N57" s="1642"/>
      <c r="O57" s="1643"/>
      <c r="P57" s="1643"/>
      <c r="Q57" s="1643"/>
      <c r="R57" s="1641"/>
      <c r="S57" s="1644"/>
      <c r="T57" s="1640"/>
      <c r="U57" s="1641"/>
      <c r="V57" s="1641"/>
      <c r="W57" s="1641"/>
      <c r="X57" s="1641"/>
      <c r="Y57" s="1642"/>
      <c r="Z57" s="1643"/>
      <c r="AA57" s="1643"/>
      <c r="AB57" s="1643"/>
      <c r="AC57" s="1641"/>
      <c r="AD57" s="1644"/>
      <c r="AE57" s="1640"/>
      <c r="AF57" s="1641"/>
      <c r="AG57" s="1641"/>
      <c r="AH57" s="1641"/>
      <c r="AI57" s="1641"/>
      <c r="AJ57" s="1642"/>
      <c r="AK57" s="1643"/>
      <c r="AL57" s="1643"/>
      <c r="AM57" s="1643"/>
      <c r="AN57" s="1641"/>
      <c r="AO57" s="1644"/>
      <c r="AP57" s="1640"/>
      <c r="AQ57" s="1641"/>
      <c r="AR57" s="1641"/>
      <c r="AS57" s="1641"/>
      <c r="AT57" s="1641"/>
      <c r="AU57" s="1642"/>
      <c r="AV57" s="1643"/>
      <c r="AW57" s="1643"/>
      <c r="AX57" s="1643"/>
      <c r="AY57" s="1641"/>
      <c r="AZ57" s="1644"/>
      <c r="BA57" s="1640"/>
      <c r="BB57" s="1641"/>
      <c r="BC57" s="1641"/>
      <c r="BD57" s="1641"/>
      <c r="BE57" s="1641"/>
      <c r="BF57" s="1642"/>
      <c r="BG57" s="1643"/>
      <c r="BH57" s="1643"/>
      <c r="BI57" s="1643"/>
      <c r="BJ57" s="1641"/>
      <c r="BK57" s="1644"/>
      <c r="BL57" s="1640"/>
      <c r="BM57" s="1641"/>
      <c r="BN57" s="1641"/>
      <c r="BO57" s="1641"/>
      <c r="BP57" s="1641"/>
      <c r="BQ57" s="1642"/>
      <c r="BR57" s="1643"/>
      <c r="BS57" s="1643"/>
      <c r="BT57" s="1643"/>
      <c r="BU57" s="1641"/>
      <c r="BV57" s="1644"/>
      <c r="BW57" s="1640"/>
      <c r="BX57" s="1641"/>
      <c r="BY57" s="1641"/>
      <c r="BZ57" s="1641"/>
      <c r="CA57" s="1641"/>
      <c r="CB57" s="1642"/>
      <c r="CC57" s="1643"/>
      <c r="CD57" s="1643"/>
      <c r="CE57" s="1643"/>
      <c r="CF57" s="1641"/>
      <c r="CG57" s="1644"/>
      <c r="CH57" s="1640"/>
      <c r="CI57" s="1641"/>
      <c r="CJ57" s="1641"/>
      <c r="CK57" s="1641"/>
      <c r="CL57" s="1641"/>
      <c r="CM57" s="1642"/>
      <c r="CN57" s="1643"/>
      <c r="CO57" s="1643"/>
      <c r="CP57" s="1643"/>
      <c r="CQ57" s="1641"/>
      <c r="CR57" s="1644"/>
      <c r="CS57" s="1640"/>
      <c r="CT57" s="1641"/>
      <c r="CU57" s="1641"/>
      <c r="CV57" s="1641"/>
      <c r="CW57" s="1641"/>
      <c r="CX57" s="1642"/>
      <c r="CY57" s="1643"/>
      <c r="CZ57" s="1643"/>
      <c r="DA57" s="1643"/>
      <c r="DB57" s="1641"/>
      <c r="DC57" s="1644"/>
      <c r="DD57" s="1640"/>
      <c r="DE57" s="1641"/>
      <c r="DF57" s="1641"/>
      <c r="DG57" s="1641"/>
      <c r="DH57" s="1641"/>
      <c r="DI57" s="1642"/>
      <c r="DJ57" s="1643"/>
      <c r="DK57" s="1643"/>
      <c r="DL57" s="1643"/>
      <c r="DM57" s="1641"/>
      <c r="DN57" s="1644"/>
      <c r="DO57" s="1640"/>
      <c r="DP57" s="1641"/>
      <c r="DQ57" s="1641"/>
      <c r="DR57" s="1641"/>
      <c r="DS57" s="1641"/>
      <c r="DT57" s="1642"/>
      <c r="DU57" s="1643"/>
      <c r="DV57" s="1643"/>
      <c r="DW57" s="1643"/>
      <c r="DX57" s="1641"/>
      <c r="DY57" s="1644"/>
      <c r="DZ57" s="1640"/>
      <c r="EA57" s="1641"/>
      <c r="EB57" s="1641"/>
      <c r="EC57" s="1641"/>
      <c r="ED57" s="1641"/>
      <c r="EE57" s="1642"/>
      <c r="EF57" s="1643"/>
      <c r="EG57" s="1643"/>
      <c r="EH57" s="1643"/>
      <c r="EI57" s="1641"/>
      <c r="EJ57" s="1644"/>
    </row>
    <row r="58" spans="1:140" x14ac:dyDescent="0.25">
      <c r="A58" s="1056"/>
      <c r="N58" s="1119"/>
      <c r="O58" s="1102"/>
      <c r="P58" s="1102"/>
      <c r="Q58" s="1102"/>
    </row>
    <row r="59" spans="1:140" x14ac:dyDescent="0.25">
      <c r="A59" s="1056"/>
      <c r="N59" s="1119"/>
      <c r="O59" s="1102"/>
      <c r="P59" s="1102"/>
      <c r="Q59" s="1102"/>
    </row>
    <row r="60" spans="1:140" x14ac:dyDescent="0.25">
      <c r="A60" s="1056"/>
      <c r="N60" s="1119"/>
      <c r="O60" s="1102"/>
      <c r="P60" s="1102"/>
      <c r="Q60" s="1102"/>
    </row>
    <row r="61" spans="1:140" x14ac:dyDescent="0.25">
      <c r="A61" s="1056"/>
      <c r="N61" s="1119"/>
      <c r="O61" s="1102"/>
      <c r="P61" s="1102"/>
      <c r="Q61" s="1102"/>
    </row>
    <row r="62" spans="1:140" x14ac:dyDescent="0.25">
      <c r="A62" s="1056"/>
      <c r="N62" s="1119"/>
      <c r="O62" s="1102"/>
      <c r="P62" s="1102"/>
      <c r="Q62" s="1102"/>
    </row>
    <row r="63" spans="1:140" ht="15.75" thickBot="1" x14ac:dyDescent="0.3">
      <c r="A63" s="1056"/>
      <c r="N63" s="1119"/>
      <c r="O63" s="1102"/>
      <c r="P63" s="1102"/>
      <c r="Q63" s="1102"/>
    </row>
    <row r="64" spans="1:140" x14ac:dyDescent="0.25">
      <c r="A64" s="1120"/>
      <c r="B64" s="1121"/>
      <c r="C64" s="1121"/>
      <c r="D64" s="1121"/>
      <c r="E64" s="1121"/>
      <c r="F64" s="1122"/>
      <c r="N64" s="1119"/>
      <c r="O64" s="1102"/>
      <c r="P64" s="1102"/>
      <c r="Q64" s="1102"/>
    </row>
    <row r="65" spans="1:17" x14ac:dyDescent="0.25">
      <c r="A65" s="1123" t="s">
        <v>462</v>
      </c>
      <c r="B65" s="1124"/>
      <c r="C65" s="1124"/>
      <c r="D65" s="1124"/>
      <c r="E65" s="1124"/>
      <c r="F65" s="1125"/>
      <c r="N65" s="1119"/>
      <c r="O65" s="1102"/>
      <c r="P65" s="1102"/>
      <c r="Q65" s="1102"/>
    </row>
    <row r="66" spans="1:17" x14ac:dyDescent="0.25">
      <c r="A66" s="1126"/>
      <c r="B66" s="1124"/>
      <c r="C66" s="1124"/>
      <c r="D66" s="1124"/>
      <c r="E66" s="1124"/>
      <c r="F66" s="1125"/>
    </row>
    <row r="67" spans="1:17" x14ac:dyDescent="0.25">
      <c r="A67" s="1126"/>
      <c r="B67" s="1127"/>
      <c r="C67" s="1124"/>
      <c r="D67" s="1124"/>
      <c r="E67" s="1124"/>
      <c r="F67" s="1125"/>
    </row>
    <row r="68" spans="1:17" x14ac:dyDescent="0.25">
      <c r="A68" s="1126"/>
      <c r="B68" s="1124"/>
      <c r="C68" s="1124"/>
      <c r="D68" s="1124"/>
      <c r="E68" s="1124"/>
      <c r="F68" s="1125"/>
      <c r="N68" s="1102"/>
      <c r="O68" s="1102"/>
      <c r="P68" s="1102"/>
    </row>
    <row r="69" spans="1:17" x14ac:dyDescent="0.25">
      <c r="A69" s="1126"/>
      <c r="B69" s="1124"/>
      <c r="C69" s="1124"/>
      <c r="D69" s="1124"/>
      <c r="E69" s="1124"/>
      <c r="F69" s="1125"/>
      <c r="N69" s="1102"/>
      <c r="O69" s="1102"/>
      <c r="P69" s="1102"/>
    </row>
    <row r="70" spans="1:17" x14ac:dyDescent="0.25">
      <c r="A70" s="1126"/>
      <c r="B70" s="1124"/>
      <c r="C70" s="1124"/>
      <c r="D70" s="1124"/>
      <c r="E70" s="1124"/>
      <c r="F70" s="1125"/>
      <c r="N70" s="1102"/>
      <c r="O70" s="1102"/>
      <c r="P70" s="1102"/>
    </row>
    <row r="71" spans="1:17" x14ac:dyDescent="0.25">
      <c r="A71" s="1126"/>
      <c r="B71" s="1124"/>
      <c r="C71" s="1124"/>
      <c r="D71" s="1124"/>
      <c r="E71" s="1124"/>
      <c r="F71" s="1125"/>
      <c r="N71" s="1102"/>
      <c r="O71" s="1102"/>
      <c r="P71" s="1102"/>
    </row>
    <row r="72" spans="1:17" x14ac:dyDescent="0.25">
      <c r="A72" s="1126"/>
      <c r="B72" s="1124"/>
      <c r="C72" s="1124"/>
      <c r="D72" s="1124"/>
      <c r="E72" s="1124"/>
      <c r="F72" s="1125"/>
      <c r="N72" s="1102"/>
      <c r="O72" s="1102"/>
      <c r="P72" s="1102"/>
    </row>
    <row r="73" spans="1:17" x14ac:dyDescent="0.25">
      <c r="A73" s="1126"/>
      <c r="B73" s="1124" t="s">
        <v>465</v>
      </c>
      <c r="C73" s="1124"/>
      <c r="D73" s="1124"/>
      <c r="E73" s="1124"/>
      <c r="F73" s="1125"/>
      <c r="N73" s="1102"/>
      <c r="O73" s="1102"/>
      <c r="P73" s="1102"/>
    </row>
    <row r="74" spans="1:17" x14ac:dyDescent="0.25">
      <c r="A74" s="1126"/>
      <c r="B74" s="1124"/>
      <c r="C74" s="1127"/>
      <c r="D74" s="1124"/>
      <c r="E74" s="1124"/>
      <c r="F74" s="1125"/>
      <c r="N74" s="1102"/>
      <c r="O74" s="1102"/>
      <c r="P74" s="1102"/>
    </row>
    <row r="75" spans="1:17" x14ac:dyDescent="0.25">
      <c r="A75" s="1126"/>
      <c r="B75" s="1127"/>
      <c r="C75" s="1124"/>
      <c r="D75" s="1124"/>
      <c r="E75" s="1124"/>
      <c r="F75" s="1125"/>
      <c r="N75" s="1102"/>
      <c r="O75" s="1102"/>
      <c r="P75" s="1102"/>
    </row>
    <row r="76" spans="1:17" x14ac:dyDescent="0.25">
      <c r="A76" s="1126"/>
      <c r="B76" s="1124"/>
      <c r="C76" s="1124"/>
      <c r="D76" s="1124"/>
      <c r="E76" s="1124"/>
      <c r="F76" s="1125"/>
      <c r="N76" s="1102"/>
      <c r="O76" s="1102"/>
      <c r="P76" s="1102"/>
    </row>
    <row r="77" spans="1:17" x14ac:dyDescent="0.25">
      <c r="A77" s="1126"/>
      <c r="B77" s="1124"/>
      <c r="C77" s="1124"/>
      <c r="D77" s="1124"/>
      <c r="E77" s="1124"/>
      <c r="F77" s="1125"/>
      <c r="N77" s="1102"/>
      <c r="O77" s="1102"/>
      <c r="P77" s="1102"/>
    </row>
    <row r="78" spans="1:17" x14ac:dyDescent="0.25">
      <c r="A78" s="1126"/>
      <c r="B78" s="1124" t="s">
        <v>376</v>
      </c>
      <c r="C78" s="1124"/>
      <c r="D78" s="1124"/>
      <c r="E78" s="1124"/>
      <c r="F78" s="1125"/>
    </row>
    <row r="79" spans="1:17" x14ac:dyDescent="0.25">
      <c r="A79" s="1126"/>
      <c r="B79" s="1124"/>
      <c r="C79" s="1124"/>
      <c r="D79" s="1124"/>
      <c r="E79" s="1124"/>
      <c r="F79" s="1125"/>
    </row>
    <row r="80" spans="1:17" ht="18" x14ac:dyDescent="0.25">
      <c r="A80" s="1126"/>
      <c r="B80" s="1124" t="s">
        <v>379</v>
      </c>
      <c r="C80" s="1128">
        <f>'Incert. Dos.'!C84</f>
        <v>25200</v>
      </c>
      <c r="D80" s="1124" t="str">
        <f>'F-LSCD-002 (Dosimetría)'!C34</f>
        <v>Gy/C</v>
      </c>
      <c r="E80" s="1124"/>
      <c r="F80" s="1125"/>
    </row>
    <row r="81" spans="1:16" ht="18" x14ac:dyDescent="0.25">
      <c r="A81" s="1126"/>
      <c r="B81" s="1129" t="s">
        <v>629</v>
      </c>
      <c r="C81" s="1124">
        <f>'Incert. Dos.'!C85</f>
        <v>1.0009999999999999</v>
      </c>
      <c r="D81" s="1124" t="s">
        <v>384</v>
      </c>
      <c r="E81" s="1124"/>
      <c r="F81" s="1125"/>
    </row>
    <row r="82" spans="1:16" ht="18" x14ac:dyDescent="0.25">
      <c r="A82" s="1126"/>
      <c r="B82" s="1129" t="s">
        <v>630</v>
      </c>
      <c r="C82" s="1130">
        <f>'Incert. Dos.'!C86</f>
        <v>1</v>
      </c>
      <c r="D82" s="1124"/>
      <c r="E82" s="1124"/>
      <c r="F82" s="1125"/>
    </row>
    <row r="83" spans="1:16" x14ac:dyDescent="0.25">
      <c r="A83" s="1126"/>
      <c r="B83" s="1129" t="s">
        <v>472</v>
      </c>
      <c r="C83" s="1128">
        <f>'Incert. Dos.'!C87</f>
        <v>-4.7622197181529422E-9</v>
      </c>
      <c r="D83" s="1124" t="s">
        <v>368</v>
      </c>
      <c r="E83" s="1124"/>
      <c r="F83" s="1125"/>
    </row>
    <row r="84" spans="1:16" x14ac:dyDescent="0.25">
      <c r="A84" s="1126"/>
      <c r="B84" s="1124" t="s">
        <v>473</v>
      </c>
      <c r="C84" s="1131">
        <f>'Incert. Dos.'!C88</f>
        <v>60</v>
      </c>
      <c r="D84" s="1124" t="s">
        <v>369</v>
      </c>
      <c r="E84" s="1124"/>
      <c r="F84" s="1125"/>
    </row>
    <row r="85" spans="1:16" ht="18" x14ac:dyDescent="0.25">
      <c r="A85" s="1126"/>
      <c r="B85" s="1124" t="s">
        <v>380</v>
      </c>
      <c r="C85" s="1124">
        <f>'Incert. Dos.'!C89</f>
        <v>1013.25</v>
      </c>
      <c r="D85" s="1124" t="str">
        <f>'F-LSCD-002 (Dosimetría)'!G33</f>
        <v>hPa</v>
      </c>
      <c r="E85" s="1124"/>
      <c r="F85" s="1125"/>
    </row>
    <row r="86" spans="1:16" x14ac:dyDescent="0.25">
      <c r="A86" s="1126"/>
      <c r="B86" s="1129" t="s">
        <v>381</v>
      </c>
      <c r="C86" s="1131">
        <f>'Incert. Dos.'!C90</f>
        <v>1010</v>
      </c>
      <c r="D86" s="1124" t="str">
        <f>D85</f>
        <v>hPa</v>
      </c>
      <c r="E86" s="1124"/>
      <c r="F86" s="1125"/>
    </row>
    <row r="87" spans="1:16" ht="18" x14ac:dyDescent="0.25">
      <c r="A87" s="1126"/>
      <c r="B87" s="1124" t="s">
        <v>383</v>
      </c>
      <c r="C87" s="1124">
        <f>'Incert. Dos.'!C91</f>
        <v>22</v>
      </c>
      <c r="D87" s="1124" t="str">
        <f>'F-LSCD-002 (Dosimetría)'!G32</f>
        <v>°C</v>
      </c>
      <c r="E87" s="1124"/>
      <c r="F87" s="1125"/>
    </row>
    <row r="88" spans="1:16" x14ac:dyDescent="0.25">
      <c r="A88" s="1126"/>
      <c r="B88" s="1129" t="s">
        <v>382</v>
      </c>
      <c r="C88" s="1124">
        <f>'Incert. Dos.'!C92</f>
        <v>20.209999999999997</v>
      </c>
      <c r="D88" s="1124" t="str">
        <f>D87</f>
        <v>°C</v>
      </c>
      <c r="E88" s="1124"/>
      <c r="F88" s="1125"/>
      <c r="H88" s="1102"/>
    </row>
    <row r="89" spans="1:16" x14ac:dyDescent="0.25">
      <c r="A89" s="1126"/>
      <c r="B89" s="1132" t="s">
        <v>400</v>
      </c>
      <c r="C89" s="1128">
        <f>'Incert. Dos.'!C93</f>
        <v>7.1848635272250602E-3</v>
      </c>
      <c r="D89" s="1124" t="s">
        <v>8</v>
      </c>
      <c r="E89" s="1124"/>
      <c r="F89" s="1125"/>
    </row>
    <row r="90" spans="1:16" ht="18" x14ac:dyDescent="0.25">
      <c r="A90" s="1126"/>
      <c r="B90" s="1132" t="s">
        <v>806</v>
      </c>
      <c r="C90" s="1128">
        <f>'F-LSCD-004'!T41*60</f>
        <v>6851.7004158363188</v>
      </c>
      <c r="D90" s="1124" t="s">
        <v>369</v>
      </c>
      <c r="E90" s="1124"/>
      <c r="F90" s="1125"/>
    </row>
    <row r="91" spans="1:16" x14ac:dyDescent="0.25">
      <c r="A91" s="1126"/>
      <c r="B91" s="1132" t="s">
        <v>648</v>
      </c>
      <c r="C91" s="1128">
        <f>C89*C90/3600</f>
        <v>1.3674592338115318E-2</v>
      </c>
      <c r="D91" s="1124" t="s">
        <v>645</v>
      </c>
      <c r="E91" s="1124"/>
      <c r="F91" s="1125"/>
    </row>
    <row r="92" spans="1:16" x14ac:dyDescent="0.25">
      <c r="A92" s="1126"/>
      <c r="B92" s="1132" t="s">
        <v>417</v>
      </c>
      <c r="C92" s="1133">
        <f>'F-LSCD-002 (Dosimetría)'!A134/100</f>
        <v>2</v>
      </c>
      <c r="D92" s="1124" t="s">
        <v>418</v>
      </c>
      <c r="E92" s="1124"/>
      <c r="F92" s="1125"/>
    </row>
    <row r="93" spans="1:16" ht="15.75" thickBot="1" x14ac:dyDescent="0.3">
      <c r="A93" s="1134"/>
      <c r="B93" s="1135"/>
      <c r="C93" s="1135"/>
      <c r="D93" s="1135"/>
      <c r="E93" s="1135"/>
      <c r="F93" s="1136"/>
      <c r="N93" s="1102"/>
      <c r="O93" s="1102"/>
      <c r="P93" s="1102"/>
    </row>
    <row r="94" spans="1:16" x14ac:dyDescent="0.25">
      <c r="A94" s="1137"/>
      <c r="B94" s="1121"/>
      <c r="C94" s="1121"/>
      <c r="D94" s="1121"/>
      <c r="E94" s="1121"/>
      <c r="F94" s="1122"/>
      <c r="N94" s="1102"/>
      <c r="O94" s="1102"/>
      <c r="P94" s="1102"/>
    </row>
    <row r="95" spans="1:16" x14ac:dyDescent="0.25">
      <c r="A95" s="1123" t="s">
        <v>458</v>
      </c>
      <c r="B95" s="1124"/>
      <c r="C95" s="1124"/>
      <c r="D95" s="1124"/>
      <c r="E95" s="1124"/>
      <c r="F95" s="1125"/>
      <c r="N95" s="1102"/>
      <c r="O95" s="1102"/>
      <c r="P95" s="1102"/>
    </row>
    <row r="96" spans="1:16" x14ac:dyDescent="0.25">
      <c r="A96" s="1126"/>
      <c r="B96" s="1124"/>
      <c r="C96" s="1127"/>
      <c r="D96" s="1124"/>
      <c r="E96" s="1124"/>
      <c r="F96" s="1125"/>
      <c r="N96" s="1102"/>
      <c r="O96" s="1102"/>
      <c r="P96" s="1102"/>
    </row>
    <row r="97" spans="1:16" x14ac:dyDescent="0.25">
      <c r="A97" s="1126"/>
      <c r="B97" s="1127"/>
      <c r="C97" s="1124"/>
      <c r="D97" s="1124"/>
      <c r="E97" s="1124"/>
      <c r="F97" s="1125"/>
      <c r="N97" s="1102"/>
      <c r="O97" s="1102"/>
      <c r="P97" s="1102"/>
    </row>
    <row r="98" spans="1:16" x14ac:dyDescent="0.25">
      <c r="A98" s="1126"/>
      <c r="B98" s="1124"/>
      <c r="C98" s="1124"/>
      <c r="D98" s="1124"/>
      <c r="E98" s="1124"/>
      <c r="F98" s="1125"/>
      <c r="N98" s="1102"/>
      <c r="O98" s="1102"/>
      <c r="P98" s="1102"/>
    </row>
    <row r="99" spans="1:16" ht="15.75" thickBot="1" x14ac:dyDescent="0.3">
      <c r="A99" s="1134"/>
      <c r="B99" s="1135"/>
      <c r="C99" s="1135"/>
      <c r="D99" s="1135"/>
      <c r="E99" s="1135"/>
      <c r="F99" s="1136"/>
      <c r="N99" s="1102"/>
      <c r="O99" s="1102"/>
      <c r="P99" s="1102"/>
    </row>
    <row r="100" spans="1:16" ht="15.75" thickBot="1" x14ac:dyDescent="0.3">
      <c r="N100" s="1102"/>
      <c r="O100" s="1102"/>
      <c r="P100" s="1102"/>
    </row>
    <row r="101" spans="1:16" ht="15.75" thickBot="1" x14ac:dyDescent="0.3">
      <c r="A101" s="2596" t="s">
        <v>463</v>
      </c>
      <c r="B101" s="2597"/>
      <c r="C101" s="2597"/>
      <c r="D101" s="2597"/>
      <c r="E101" s="2597"/>
      <c r="F101" s="2597"/>
      <c r="G101" s="2597"/>
      <c r="H101" s="2597"/>
      <c r="I101" s="2597"/>
      <c r="J101" s="2597"/>
      <c r="K101" s="2597"/>
      <c r="L101" s="2597"/>
      <c r="M101" s="2598"/>
      <c r="N101" s="1102"/>
      <c r="O101" s="1102"/>
      <c r="P101" s="1102"/>
    </row>
    <row r="102" spans="1:16" ht="15.75" thickBot="1" x14ac:dyDescent="0.3">
      <c r="N102" s="1102"/>
      <c r="O102" s="1102"/>
      <c r="P102" s="1102"/>
    </row>
    <row r="103" spans="1:16" x14ac:dyDescent="0.25">
      <c r="A103" s="1138"/>
      <c r="B103" s="1139"/>
      <c r="C103" s="1139"/>
      <c r="D103" s="1139"/>
      <c r="E103" s="1139"/>
      <c r="F103" s="1139"/>
      <c r="G103" s="1139"/>
      <c r="H103" s="1139"/>
      <c r="I103" s="1139"/>
      <c r="J103" s="1139"/>
      <c r="K103" s="1139"/>
      <c r="L103" s="1139"/>
      <c r="M103" s="1140"/>
      <c r="N103" s="1102"/>
      <c r="O103" s="1102"/>
      <c r="P103" s="1102"/>
    </row>
    <row r="104" spans="1:16" x14ac:dyDescent="0.25">
      <c r="A104" s="1141" t="s">
        <v>575</v>
      </c>
      <c r="B104" s="1142"/>
      <c r="C104" s="1142"/>
      <c r="D104" s="1142"/>
      <c r="E104" s="1142"/>
      <c r="F104" s="1142"/>
      <c r="G104" s="1142"/>
      <c r="H104" s="1142"/>
      <c r="I104" s="1142"/>
      <c r="J104" s="1142"/>
      <c r="K104" s="1143"/>
      <c r="L104" s="1142"/>
      <c r="M104" s="1144"/>
    </row>
    <row r="105" spans="1:16" x14ac:dyDescent="0.25">
      <c r="A105" s="1145"/>
      <c r="B105" s="1142"/>
      <c r="C105" s="1142"/>
      <c r="D105" s="1142"/>
      <c r="E105" s="1142"/>
      <c r="F105" s="1142"/>
      <c r="G105" s="1142"/>
      <c r="H105" s="1142"/>
      <c r="I105" s="1142"/>
      <c r="J105" s="1142"/>
      <c r="K105" s="1142"/>
      <c r="L105" s="1142"/>
      <c r="M105" s="1144"/>
    </row>
    <row r="106" spans="1:16" x14ac:dyDescent="0.25">
      <c r="A106" s="1141" t="s">
        <v>475</v>
      </c>
      <c r="B106" s="1142"/>
      <c r="C106" s="1142"/>
      <c r="D106" s="1142"/>
      <c r="E106" s="1142"/>
      <c r="F106" s="1142"/>
      <c r="G106" s="1142"/>
      <c r="H106" s="1142"/>
      <c r="I106" s="1142"/>
      <c r="J106" s="1142"/>
      <c r="K106" s="1142"/>
      <c r="L106" s="1142"/>
      <c r="M106" s="1144"/>
    </row>
    <row r="107" spans="1:16" x14ac:dyDescent="0.25">
      <c r="A107" s="1145"/>
      <c r="B107" s="1142"/>
      <c r="C107" s="1142"/>
      <c r="D107" s="1142"/>
      <c r="E107" s="1142"/>
      <c r="F107" s="1142"/>
      <c r="G107" s="1142"/>
      <c r="H107" s="1142"/>
      <c r="I107" s="1142"/>
      <c r="J107" s="1142"/>
      <c r="K107" s="1142"/>
      <c r="L107" s="1142"/>
      <c r="M107" s="1144"/>
    </row>
    <row r="108" spans="1:16" x14ac:dyDescent="0.25">
      <c r="A108" s="1145"/>
      <c r="B108" s="1142" t="s">
        <v>464</v>
      </c>
      <c r="C108" s="1146" t="s">
        <v>650</v>
      </c>
      <c r="D108" s="1142"/>
      <c r="E108" s="1142"/>
      <c r="F108" s="1142"/>
      <c r="G108" s="1146"/>
      <c r="H108" s="1142"/>
      <c r="I108" s="1142"/>
      <c r="J108" s="1142"/>
      <c r="K108" s="1142"/>
      <c r="L108" s="1142"/>
      <c r="M108" s="1144"/>
    </row>
    <row r="109" spans="1:16" x14ac:dyDescent="0.25">
      <c r="A109" s="1145"/>
      <c r="B109" s="1142"/>
      <c r="C109" s="1142"/>
      <c r="D109" s="1142"/>
      <c r="E109" s="1142"/>
      <c r="F109" s="1142"/>
      <c r="G109" s="1142"/>
      <c r="H109" s="1142"/>
      <c r="I109" s="1142"/>
      <c r="J109" s="1142"/>
      <c r="K109" s="1142"/>
      <c r="L109" s="1142"/>
      <c r="M109" s="1144"/>
    </row>
    <row r="110" spans="1:16" x14ac:dyDescent="0.25">
      <c r="A110" s="1145"/>
      <c r="B110" s="1142" t="s">
        <v>464</v>
      </c>
      <c r="C110" s="1147">
        <f>C91*'Incert. Dos.'!O40</f>
        <v>2.4526248129736573E-4</v>
      </c>
      <c r="D110" s="1146" t="s">
        <v>645</v>
      </c>
      <c r="E110" s="1142"/>
      <c r="F110" s="1142"/>
      <c r="G110" s="1142"/>
      <c r="H110" s="1142"/>
      <c r="I110" s="1142"/>
      <c r="J110" s="1142"/>
      <c r="K110" s="1142"/>
      <c r="L110" s="1142"/>
      <c r="M110" s="1144"/>
    </row>
    <row r="111" spans="1:16" x14ac:dyDescent="0.25">
      <c r="A111" s="1145"/>
      <c r="B111" s="1146"/>
      <c r="C111" s="1142"/>
      <c r="D111" s="1142"/>
      <c r="E111" s="1142"/>
      <c r="F111" s="1142"/>
      <c r="G111" s="1142"/>
      <c r="H111" s="1142"/>
      <c r="I111" s="1142"/>
      <c r="J111" s="1142"/>
      <c r="K111" s="1142"/>
      <c r="L111" s="1142"/>
      <c r="M111" s="1144"/>
    </row>
    <row r="112" spans="1:16" x14ac:dyDescent="0.25">
      <c r="A112" s="1141" t="s">
        <v>476</v>
      </c>
      <c r="B112" s="1146"/>
      <c r="C112" s="1142"/>
      <c r="D112" s="1142"/>
      <c r="E112" s="1142"/>
      <c r="F112" s="1142"/>
      <c r="G112" s="1142"/>
      <c r="H112" s="1142"/>
      <c r="I112" s="1142"/>
      <c r="J112" s="1142"/>
      <c r="K112" s="1142"/>
      <c r="L112" s="1142"/>
      <c r="M112" s="1144"/>
    </row>
    <row r="113" spans="1:13" x14ac:dyDescent="0.25">
      <c r="A113" s="1145"/>
      <c r="B113" s="1146"/>
      <c r="C113" s="1142"/>
      <c r="D113" s="1142"/>
      <c r="E113" s="1142"/>
      <c r="F113" s="1142"/>
      <c r="G113" s="1142"/>
      <c r="H113" s="1142"/>
      <c r="I113" s="1142"/>
      <c r="J113" s="1142"/>
      <c r="K113" s="1142"/>
      <c r="L113" s="1142"/>
      <c r="M113" s="1144"/>
    </row>
    <row r="114" spans="1:13" x14ac:dyDescent="0.25">
      <c r="A114" s="1145"/>
      <c r="B114" s="1142"/>
      <c r="C114" s="1148"/>
      <c r="D114" s="1142"/>
      <c r="E114" s="1142"/>
      <c r="F114" s="1142"/>
      <c r="G114" s="1142"/>
      <c r="H114" s="1142"/>
      <c r="I114" s="1142"/>
      <c r="J114" s="1142"/>
      <c r="K114" s="1142"/>
      <c r="L114" s="1142"/>
      <c r="M114" s="1144"/>
    </row>
    <row r="115" spans="1:13" x14ac:dyDescent="0.25">
      <c r="A115" s="1145"/>
      <c r="B115" s="1142"/>
      <c r="C115" s="1142"/>
      <c r="D115" s="1142"/>
      <c r="E115" s="1142"/>
      <c r="F115" s="1142"/>
      <c r="G115" s="1142"/>
      <c r="H115" s="1142"/>
      <c r="I115" s="1142"/>
      <c r="J115" s="1142"/>
      <c r="K115" s="1142"/>
      <c r="L115" s="1142"/>
      <c r="M115" s="1144"/>
    </row>
    <row r="116" spans="1:13" x14ac:dyDescent="0.25">
      <c r="A116" s="1145"/>
      <c r="B116" s="1142"/>
      <c r="C116" s="1142"/>
      <c r="D116" s="1142"/>
      <c r="E116" s="1142"/>
      <c r="F116" s="1142"/>
      <c r="G116" s="1142"/>
      <c r="H116" s="1142"/>
      <c r="I116" s="1142"/>
      <c r="J116" s="1142"/>
      <c r="K116" s="1142"/>
      <c r="L116" s="1142"/>
      <c r="M116" s="1144"/>
    </row>
    <row r="117" spans="1:13" ht="18" x14ac:dyDescent="0.25">
      <c r="A117" s="1145"/>
      <c r="B117" s="1142" t="s">
        <v>591</v>
      </c>
      <c r="C117" s="1143">
        <v>1</v>
      </c>
      <c r="D117" s="1146" t="s">
        <v>93</v>
      </c>
      <c r="E117" s="1142"/>
      <c r="F117" s="1142"/>
      <c r="G117" s="1142"/>
      <c r="H117" s="1142"/>
      <c r="I117" s="1142"/>
      <c r="J117" s="1142"/>
      <c r="K117" s="1142"/>
      <c r="L117" s="1142"/>
      <c r="M117" s="1144"/>
    </row>
    <row r="118" spans="1:13" ht="15.75" thickBot="1" x14ac:dyDescent="0.3">
      <c r="A118" s="1149"/>
      <c r="B118" s="1150"/>
      <c r="C118" s="1150"/>
      <c r="D118" s="1150"/>
      <c r="E118" s="1150"/>
      <c r="F118" s="1150"/>
      <c r="G118" s="1150"/>
      <c r="H118" s="1150"/>
      <c r="I118" s="1150"/>
      <c r="J118" s="1150"/>
      <c r="K118" s="1150"/>
      <c r="L118" s="1150"/>
      <c r="M118" s="1151"/>
    </row>
    <row r="119" spans="1:13" x14ac:dyDescent="0.25">
      <c r="A119" s="1138"/>
      <c r="B119" s="1139"/>
      <c r="C119" s="1152"/>
      <c r="D119" s="1139"/>
      <c r="E119" s="1139"/>
      <c r="F119" s="1139"/>
      <c r="G119" s="1139"/>
      <c r="H119" s="1139"/>
      <c r="I119" s="1139"/>
      <c r="J119" s="1139"/>
      <c r="K119" s="1139"/>
      <c r="L119" s="1139"/>
      <c r="M119" s="1140"/>
    </row>
    <row r="120" spans="1:13" x14ac:dyDescent="0.25">
      <c r="A120" s="1141" t="s">
        <v>604</v>
      </c>
      <c r="B120" s="1142"/>
      <c r="C120" s="1142"/>
      <c r="D120" s="1142"/>
      <c r="E120" s="1142"/>
      <c r="F120" s="1142"/>
      <c r="G120" s="1142"/>
      <c r="H120" s="1142"/>
      <c r="I120" s="1142"/>
      <c r="J120" s="1142"/>
      <c r="K120" s="1142"/>
      <c r="L120" s="1142"/>
      <c r="M120" s="1144"/>
    </row>
    <row r="121" spans="1:13" x14ac:dyDescent="0.25">
      <c r="A121" s="1141"/>
      <c r="B121" s="1142"/>
      <c r="C121" s="1142"/>
      <c r="D121" s="1142"/>
      <c r="E121" s="1142"/>
      <c r="F121" s="1142"/>
      <c r="G121" s="1142"/>
      <c r="H121" s="1142"/>
      <c r="I121" s="1142"/>
      <c r="J121" s="1142"/>
      <c r="K121" s="1142"/>
      <c r="L121" s="1142"/>
      <c r="M121" s="1144"/>
    </row>
    <row r="122" spans="1:13" x14ac:dyDescent="0.25">
      <c r="A122" s="1141" t="s">
        <v>477</v>
      </c>
      <c r="B122" s="1142"/>
      <c r="C122" s="1142"/>
      <c r="D122" s="1142"/>
      <c r="E122" s="1142"/>
      <c r="F122" s="1142"/>
      <c r="G122" s="1142"/>
      <c r="H122" s="1142"/>
      <c r="I122" s="1142"/>
      <c r="J122" s="1142"/>
      <c r="K122" s="1142"/>
      <c r="L122" s="1142"/>
      <c r="M122" s="1144"/>
    </row>
    <row r="123" spans="1:13" x14ac:dyDescent="0.25">
      <c r="A123" s="1145"/>
      <c r="B123" s="1142"/>
      <c r="C123" s="1142"/>
      <c r="D123" s="1142"/>
      <c r="E123" s="1142"/>
      <c r="F123" s="1142"/>
      <c r="G123" s="1142"/>
      <c r="H123" s="1142"/>
      <c r="I123" s="1142"/>
      <c r="J123" s="1142"/>
      <c r="K123" s="1142"/>
      <c r="L123" s="1142"/>
      <c r="M123" s="1144"/>
    </row>
    <row r="124" spans="1:13" x14ac:dyDescent="0.25">
      <c r="A124" s="1145"/>
      <c r="B124" s="1142" t="s">
        <v>464</v>
      </c>
      <c r="C124" s="1146" t="s">
        <v>661</v>
      </c>
      <c r="D124" s="1142"/>
      <c r="E124" s="1142"/>
      <c r="F124" s="1142"/>
      <c r="G124" s="1142"/>
      <c r="H124" s="1142"/>
      <c r="I124" s="1142"/>
      <c r="J124" s="1142"/>
      <c r="K124" s="1142"/>
      <c r="L124" s="1142"/>
      <c r="M124" s="1144"/>
    </row>
    <row r="125" spans="1:13" x14ac:dyDescent="0.25">
      <c r="A125" s="1145"/>
      <c r="B125" s="1142"/>
      <c r="C125" s="1142"/>
      <c r="D125" s="1142"/>
      <c r="E125" s="1142"/>
      <c r="F125" s="1142"/>
      <c r="G125" s="1142"/>
      <c r="H125" s="1142"/>
      <c r="I125" s="1142"/>
      <c r="J125" s="1142"/>
      <c r="K125" s="1142"/>
      <c r="L125" s="1142"/>
      <c r="M125" s="1144"/>
    </row>
    <row r="126" spans="1:13" x14ac:dyDescent="0.25">
      <c r="A126" s="1145"/>
      <c r="B126" s="1142" t="s">
        <v>464</v>
      </c>
      <c r="C126" s="1143">
        <f>'F-LSCD-002 (homog irrad dosím)'!AI68/2*C91</f>
        <v>1.1927594102701006E-4</v>
      </c>
      <c r="D126" s="1146" t="s">
        <v>645</v>
      </c>
      <c r="E126" s="1142"/>
      <c r="F126" s="1142"/>
      <c r="G126" s="1142"/>
      <c r="H126" s="1142"/>
      <c r="I126" s="1142"/>
      <c r="J126" s="1142"/>
      <c r="K126" s="1142"/>
      <c r="L126" s="1142"/>
      <c r="M126" s="1144"/>
    </row>
    <row r="127" spans="1:13" x14ac:dyDescent="0.25">
      <c r="A127" s="1145"/>
      <c r="B127" s="1142"/>
      <c r="C127" s="1142"/>
      <c r="D127" s="1142"/>
      <c r="E127" s="1142"/>
      <c r="F127" s="1142"/>
      <c r="G127" s="1142"/>
      <c r="H127" s="1142"/>
      <c r="I127" s="1142"/>
      <c r="J127" s="1142"/>
      <c r="K127" s="1142"/>
      <c r="L127" s="1142"/>
      <c r="M127" s="1144"/>
    </row>
    <row r="128" spans="1:13" x14ac:dyDescent="0.25">
      <c r="A128" s="1145"/>
      <c r="B128" s="1146" t="s">
        <v>397</v>
      </c>
      <c r="C128" s="1142"/>
      <c r="D128" s="1142"/>
      <c r="E128" s="1142"/>
      <c r="F128" s="1142"/>
      <c r="G128" s="1142"/>
      <c r="H128" s="1142"/>
      <c r="I128" s="1142"/>
      <c r="J128" s="1142"/>
      <c r="K128" s="1142"/>
      <c r="L128" s="1142"/>
      <c r="M128" s="1144"/>
    </row>
    <row r="129" spans="1:13" x14ac:dyDescent="0.25">
      <c r="A129" s="1145"/>
      <c r="B129" s="1146" t="s">
        <v>416</v>
      </c>
      <c r="C129" s="1142"/>
      <c r="D129" s="1142"/>
      <c r="E129" s="1142"/>
      <c r="F129" s="1142"/>
      <c r="G129" s="1142"/>
      <c r="H129" s="1142"/>
      <c r="I129" s="1142"/>
      <c r="J129" s="1142"/>
      <c r="K129" s="1142"/>
      <c r="L129" s="1142"/>
      <c r="M129" s="1144"/>
    </row>
    <row r="130" spans="1:13" x14ac:dyDescent="0.25">
      <c r="A130" s="1145"/>
      <c r="B130" s="1146"/>
      <c r="C130" s="1142"/>
      <c r="D130" s="1142"/>
      <c r="E130" s="1142"/>
      <c r="F130" s="1142"/>
      <c r="G130" s="1142"/>
      <c r="H130" s="1142"/>
      <c r="I130" s="1142"/>
      <c r="J130" s="1142"/>
      <c r="K130" s="1142"/>
      <c r="L130" s="1142"/>
      <c r="M130" s="1144"/>
    </row>
    <row r="131" spans="1:13" x14ac:dyDescent="0.25">
      <c r="A131" s="1141" t="s">
        <v>578</v>
      </c>
      <c r="B131" s="1142"/>
      <c r="C131" s="1143"/>
      <c r="D131" s="1142"/>
      <c r="E131" s="1142"/>
      <c r="F131" s="1142"/>
      <c r="G131" s="1142"/>
      <c r="H131" s="1142"/>
      <c r="I131" s="1142"/>
      <c r="J131" s="1142"/>
      <c r="K131" s="1142"/>
      <c r="L131" s="1142"/>
      <c r="M131" s="1144"/>
    </row>
    <row r="132" spans="1:13" x14ac:dyDescent="0.25">
      <c r="A132" s="1142"/>
      <c r="B132" s="1142"/>
      <c r="C132" s="1142"/>
      <c r="D132" s="1142"/>
      <c r="E132" s="1142"/>
      <c r="F132" s="1142"/>
      <c r="G132" s="1142"/>
      <c r="H132" s="1142"/>
      <c r="I132" s="1142"/>
      <c r="J132" s="1142"/>
      <c r="K132" s="1142"/>
      <c r="L132" s="1142"/>
      <c r="M132" s="1144"/>
    </row>
    <row r="133" spans="1:13" x14ac:dyDescent="0.25">
      <c r="A133" s="1142"/>
      <c r="B133" s="1142"/>
      <c r="C133" s="1142"/>
      <c r="D133" s="1142"/>
      <c r="E133" s="1142"/>
      <c r="F133" s="1142"/>
      <c r="G133" s="1142"/>
      <c r="H133" s="1142"/>
      <c r="I133" s="1142"/>
      <c r="J133" s="1142"/>
      <c r="K133" s="1142"/>
      <c r="L133" s="1142"/>
      <c r="M133" s="1144"/>
    </row>
    <row r="134" spans="1:13" x14ac:dyDescent="0.25">
      <c r="A134" s="1142"/>
      <c r="B134" s="1142"/>
      <c r="C134" s="1142"/>
      <c r="D134" s="1142"/>
      <c r="E134" s="1142"/>
      <c r="F134" s="1142"/>
      <c r="G134" s="1142"/>
      <c r="H134" s="1142"/>
      <c r="I134" s="1142"/>
      <c r="J134" s="1142"/>
      <c r="K134" s="1142"/>
      <c r="L134" s="1142"/>
      <c r="M134" s="1144"/>
    </row>
    <row r="135" spans="1:13" x14ac:dyDescent="0.25">
      <c r="A135" s="1145"/>
      <c r="B135" s="1146"/>
      <c r="C135" s="1142"/>
      <c r="D135" s="1142"/>
      <c r="E135" s="1142"/>
      <c r="F135" s="1142"/>
      <c r="G135" s="1142"/>
      <c r="H135" s="1142"/>
      <c r="I135" s="1142"/>
      <c r="J135" s="1142"/>
      <c r="K135" s="1142"/>
      <c r="L135" s="1142"/>
      <c r="M135" s="1144"/>
    </row>
    <row r="136" spans="1:13" ht="18" x14ac:dyDescent="0.25">
      <c r="A136" s="1145"/>
      <c r="B136" s="1142" t="s">
        <v>489</v>
      </c>
      <c r="C136" s="1142">
        <v>1</v>
      </c>
      <c r="D136" s="1142"/>
      <c r="E136" s="1142"/>
      <c r="F136" s="1142"/>
      <c r="G136" s="1142"/>
      <c r="H136" s="1142"/>
      <c r="I136" s="1142"/>
      <c r="J136" s="1142"/>
      <c r="K136" s="1142"/>
      <c r="L136" s="1142"/>
      <c r="M136" s="1144"/>
    </row>
    <row r="137" spans="1:13" ht="15.75" thickBot="1" x14ac:dyDescent="0.3">
      <c r="A137" s="1149"/>
      <c r="B137" s="1150"/>
      <c r="C137" s="1150"/>
      <c r="D137" s="1150"/>
      <c r="E137" s="1150"/>
      <c r="F137" s="1150"/>
      <c r="G137" s="1150"/>
      <c r="H137" s="1150"/>
      <c r="I137" s="1150"/>
      <c r="J137" s="1150"/>
      <c r="K137" s="1150"/>
      <c r="L137" s="1150"/>
      <c r="M137" s="1151"/>
    </row>
    <row r="138" spans="1:13" x14ac:dyDescent="0.25">
      <c r="A138" s="1138"/>
      <c r="B138" s="1153"/>
      <c r="C138" s="1139"/>
      <c r="D138" s="1139"/>
      <c r="E138" s="1139"/>
      <c r="F138" s="1139"/>
      <c r="G138" s="1139"/>
      <c r="H138" s="1139"/>
      <c r="I138" s="1139"/>
      <c r="J138" s="1139"/>
      <c r="K138" s="1139"/>
      <c r="L138" s="1139"/>
      <c r="M138" s="1140"/>
    </row>
    <row r="139" spans="1:13" x14ac:dyDescent="0.25">
      <c r="A139" s="1141" t="s">
        <v>643</v>
      </c>
      <c r="B139" s="1146"/>
      <c r="C139" s="1142"/>
      <c r="D139" s="1142"/>
      <c r="E139" s="1142"/>
      <c r="F139" s="1142"/>
      <c r="G139" s="1143"/>
      <c r="H139" s="1142"/>
      <c r="I139" s="1142"/>
      <c r="J139" s="1142"/>
      <c r="K139" s="1142"/>
      <c r="L139" s="1142"/>
      <c r="M139" s="1144"/>
    </row>
    <row r="140" spans="1:13" x14ac:dyDescent="0.25">
      <c r="A140" s="1141"/>
      <c r="B140" s="1146"/>
      <c r="C140" s="1142"/>
      <c r="D140" s="1142"/>
      <c r="E140" s="1142"/>
      <c r="F140" s="1142"/>
      <c r="G140" s="1142"/>
      <c r="H140" s="1142"/>
      <c r="I140" s="1142"/>
      <c r="J140" s="1142"/>
      <c r="K140" s="1142"/>
      <c r="L140" s="1142"/>
      <c r="M140" s="1144"/>
    </row>
    <row r="141" spans="1:13" x14ac:dyDescent="0.25">
      <c r="A141" s="1141" t="s">
        <v>480</v>
      </c>
      <c r="B141" s="1146"/>
      <c r="C141" s="1142"/>
      <c r="D141" s="1142"/>
      <c r="E141" s="1142"/>
      <c r="F141" s="1142"/>
      <c r="G141" s="1142"/>
      <c r="H141" s="1142"/>
      <c r="I141" s="1142"/>
      <c r="J141" s="1142"/>
      <c r="K141" s="1142"/>
      <c r="L141" s="1142"/>
      <c r="M141" s="1144"/>
    </row>
    <row r="142" spans="1:13" x14ac:dyDescent="0.25">
      <c r="A142" s="1141"/>
      <c r="B142" s="1146"/>
      <c r="C142" s="1142"/>
      <c r="D142" s="1142"/>
      <c r="E142" s="1142"/>
      <c r="F142" s="1142"/>
      <c r="G142" s="1142"/>
      <c r="H142" s="1142"/>
      <c r="I142" s="1142"/>
      <c r="J142" s="1142"/>
      <c r="K142" s="1142"/>
      <c r="L142" s="1142"/>
      <c r="M142" s="1144"/>
    </row>
    <row r="143" spans="1:13" ht="18" x14ac:dyDescent="0.25">
      <c r="A143" s="1141"/>
      <c r="B143" s="1142" t="s">
        <v>464</v>
      </c>
      <c r="C143" s="1154" t="s">
        <v>807</v>
      </c>
      <c r="D143" s="1142"/>
      <c r="E143" s="1142"/>
      <c r="F143" s="1142"/>
      <c r="G143" s="1142"/>
      <c r="H143" s="1142"/>
      <c r="I143" s="1142"/>
      <c r="J143" s="1142"/>
      <c r="K143" s="1142"/>
      <c r="L143" s="1142"/>
      <c r="M143" s="1144"/>
    </row>
    <row r="144" spans="1:13" x14ac:dyDescent="0.25">
      <c r="A144" s="1141"/>
      <c r="B144" s="1146"/>
      <c r="C144" s="1142"/>
      <c r="D144" s="1142"/>
      <c r="E144" s="1142"/>
      <c r="F144" s="1142"/>
      <c r="G144" s="1142"/>
      <c r="H144" s="1142"/>
      <c r="I144" s="1142"/>
      <c r="J144" s="1142"/>
      <c r="K144" s="1142"/>
      <c r="L144" s="1142"/>
      <c r="M144" s="1144"/>
    </row>
    <row r="145" spans="1:13" x14ac:dyDescent="0.25">
      <c r="A145" s="1145"/>
      <c r="B145" s="1142" t="s">
        <v>464</v>
      </c>
      <c r="C145" s="1143">
        <f>'F-LSCD-002 (Tiempo tránsito ob)'!Q69*(SUM('F-LSCD-002 (Tiempo tránsito ob)'!Y73:Y82)-'F-LSCD-002 (Tiempo tránsito ob)'!Y69)/(COUNT('F-LSCD-002 (Tiempo tránsito ob)'!O73:O82)*'F-LSCD-002 (Tiempo tránsito ob)'!Y69-SUM('F-LSCD-002 (Tiempo tránsito ob)'!Y73:Y82))</f>
        <v>1.630000157393327E-2</v>
      </c>
      <c r="D145" s="1146" t="s">
        <v>369</v>
      </c>
      <c r="E145" s="1142"/>
      <c r="F145" s="1146"/>
      <c r="G145" s="1142"/>
      <c r="H145" s="1142"/>
      <c r="I145" s="1142"/>
      <c r="J145" s="1142"/>
      <c r="K145" s="1142"/>
      <c r="L145" s="1142"/>
      <c r="M145" s="1144"/>
    </row>
    <row r="146" spans="1:13" x14ac:dyDescent="0.25">
      <c r="A146" s="1145"/>
      <c r="B146" s="1142"/>
      <c r="C146" s="1143"/>
      <c r="D146" s="1146"/>
      <c r="E146" s="1142"/>
      <c r="F146" s="1142"/>
      <c r="G146" s="1142"/>
      <c r="H146" s="1142"/>
      <c r="I146" s="1142"/>
      <c r="J146" s="1142"/>
      <c r="K146" s="1142"/>
      <c r="L146" s="1142"/>
      <c r="M146" s="1144"/>
    </row>
    <row r="147" spans="1:13" x14ac:dyDescent="0.25">
      <c r="A147" s="1145"/>
      <c r="B147" s="1142" t="s">
        <v>397</v>
      </c>
      <c r="C147" s="1143"/>
      <c r="D147" s="1146"/>
      <c r="E147" s="1142"/>
      <c r="F147" s="1142"/>
      <c r="G147" s="1142"/>
      <c r="H147" s="1142"/>
      <c r="I147" s="1142"/>
      <c r="J147" s="1142"/>
      <c r="K147" s="1142"/>
      <c r="L147" s="1142"/>
      <c r="M147" s="1144"/>
    </row>
    <row r="148" spans="1:13" x14ac:dyDescent="0.25">
      <c r="A148" s="1145"/>
      <c r="B148" s="1146" t="s">
        <v>640</v>
      </c>
      <c r="C148" s="1143"/>
      <c r="D148" s="1146"/>
      <c r="E148" s="1142"/>
      <c r="F148" s="1142"/>
      <c r="G148" s="1142"/>
      <c r="H148" s="1142"/>
      <c r="I148" s="1142"/>
      <c r="J148" s="1142"/>
      <c r="K148" s="1142"/>
      <c r="L148" s="1142"/>
      <c r="M148" s="1144"/>
    </row>
    <row r="149" spans="1:13" x14ac:dyDescent="0.25">
      <c r="A149" s="1145"/>
      <c r="B149" s="1142"/>
      <c r="C149" s="1142"/>
      <c r="D149" s="1146"/>
      <c r="E149" s="1142"/>
      <c r="F149" s="1142"/>
      <c r="G149" s="1142"/>
      <c r="H149" s="1142"/>
      <c r="I149" s="1142"/>
      <c r="J149" s="1142"/>
      <c r="K149" s="1142"/>
      <c r="L149" s="1142"/>
      <c r="M149" s="1144"/>
    </row>
    <row r="150" spans="1:13" x14ac:dyDescent="0.25">
      <c r="A150" s="1141" t="s">
        <v>488</v>
      </c>
      <c r="B150" s="1142"/>
      <c r="C150" s="1142"/>
      <c r="D150" s="1146"/>
      <c r="E150" s="1142"/>
      <c r="F150" s="1142"/>
      <c r="G150" s="1142"/>
      <c r="H150" s="1142"/>
      <c r="I150" s="1142"/>
      <c r="J150" s="1142"/>
      <c r="K150" s="1142"/>
      <c r="L150" s="1142"/>
      <c r="M150" s="1144"/>
    </row>
    <row r="151" spans="1:13" x14ac:dyDescent="0.25">
      <c r="A151" s="1145"/>
      <c r="B151" s="1142"/>
      <c r="C151" s="1142"/>
      <c r="D151" s="1146"/>
      <c r="E151" s="1142"/>
      <c r="F151" s="1142"/>
      <c r="G151" s="1142"/>
      <c r="H151" s="1142"/>
      <c r="I151" s="1142"/>
      <c r="J151" s="1142"/>
      <c r="K151" s="1142"/>
      <c r="L151" s="1142"/>
      <c r="M151" s="1144"/>
    </row>
    <row r="152" spans="1:13" x14ac:dyDescent="0.25">
      <c r="A152" s="1145"/>
      <c r="B152" s="1142"/>
      <c r="C152" s="1142"/>
      <c r="D152" s="1146"/>
      <c r="E152" s="1142"/>
      <c r="F152" s="1142"/>
      <c r="G152" s="1142"/>
      <c r="H152" s="1142"/>
      <c r="I152" s="1142"/>
      <c r="J152" s="1142"/>
      <c r="K152" s="1142"/>
      <c r="L152" s="1142"/>
      <c r="M152" s="1144"/>
    </row>
    <row r="153" spans="1:13" x14ac:dyDescent="0.25">
      <c r="A153" s="1145"/>
      <c r="B153" s="1142"/>
      <c r="C153" s="1142"/>
      <c r="D153" s="1146"/>
      <c r="E153" s="1142"/>
      <c r="F153" s="1142"/>
      <c r="G153" s="1142"/>
      <c r="H153" s="1142"/>
      <c r="I153" s="1142"/>
      <c r="J153" s="1142"/>
      <c r="K153" s="1142"/>
      <c r="L153" s="1142"/>
      <c r="M153" s="1144"/>
    </row>
    <row r="154" spans="1:13" x14ac:dyDescent="0.25">
      <c r="A154" s="1145"/>
      <c r="B154" s="1142"/>
      <c r="C154" s="1142"/>
      <c r="D154" s="1146"/>
      <c r="E154" s="1142"/>
      <c r="F154" s="1142"/>
      <c r="G154" s="1142"/>
      <c r="H154" s="1142"/>
      <c r="I154" s="1142"/>
      <c r="J154" s="1142"/>
      <c r="K154" s="1142"/>
      <c r="L154" s="1142"/>
      <c r="M154" s="1144"/>
    </row>
    <row r="155" spans="1:13" ht="18" x14ac:dyDescent="0.25">
      <c r="A155" s="1145"/>
      <c r="B155" s="1155" t="s">
        <v>808</v>
      </c>
      <c r="C155" s="1143">
        <f>-(C83/C84^2)*((273.2+C88)*C85)/((273.2+C87)*C86)*C80*C81*C82*C90</f>
        <v>2.2797840393227461E-4</v>
      </c>
      <c r="D155" s="1146" t="s">
        <v>641</v>
      </c>
      <c r="E155" s="1142"/>
      <c r="F155" s="1142"/>
      <c r="G155" s="1142"/>
      <c r="H155" s="1142"/>
      <c r="I155" s="1142"/>
      <c r="J155" s="1142"/>
      <c r="K155" s="1142"/>
      <c r="L155" s="1142"/>
      <c r="M155" s="1144"/>
    </row>
    <row r="156" spans="1:13" ht="15.75" thickBot="1" x14ac:dyDescent="0.3">
      <c r="A156" s="1149"/>
      <c r="B156" s="1150"/>
      <c r="C156" s="1150"/>
      <c r="D156" s="1150"/>
      <c r="E156" s="1150"/>
      <c r="F156" s="1150"/>
      <c r="G156" s="1150"/>
      <c r="H156" s="1150"/>
      <c r="I156" s="1150"/>
      <c r="J156" s="1150"/>
      <c r="K156" s="1150"/>
      <c r="L156" s="1150"/>
      <c r="M156" s="1151"/>
    </row>
    <row r="157" spans="1:13" s="730" customFormat="1" x14ac:dyDescent="0.25">
      <c r="A157" s="747"/>
      <c r="B157" s="748"/>
      <c r="C157" s="748"/>
      <c r="D157" s="748"/>
      <c r="E157" s="748"/>
      <c r="F157" s="748"/>
      <c r="G157" s="748"/>
      <c r="H157" s="748"/>
      <c r="I157" s="748"/>
      <c r="J157" s="748"/>
      <c r="K157" s="748"/>
      <c r="L157" s="748"/>
      <c r="M157" s="749"/>
    </row>
    <row r="158" spans="1:13" s="730" customFormat="1" x14ac:dyDescent="0.25">
      <c r="A158" s="323" t="s">
        <v>994</v>
      </c>
      <c r="B158" s="751"/>
      <c r="C158" s="751"/>
      <c r="D158" s="751"/>
      <c r="E158" s="751"/>
      <c r="F158" s="751"/>
      <c r="G158" s="751"/>
      <c r="H158" s="751"/>
      <c r="I158" s="751"/>
      <c r="J158" s="751"/>
      <c r="K158" s="751"/>
      <c r="L158" s="751"/>
      <c r="M158" s="752"/>
    </row>
    <row r="159" spans="1:13" s="730" customFormat="1" x14ac:dyDescent="0.25">
      <c r="A159" s="750"/>
      <c r="B159" s="751"/>
      <c r="C159" s="751"/>
      <c r="D159" s="751"/>
      <c r="E159" s="751"/>
      <c r="F159" s="751"/>
      <c r="G159" s="751"/>
      <c r="H159" s="751"/>
      <c r="I159" s="751"/>
      <c r="J159" s="751"/>
      <c r="K159" s="751"/>
      <c r="L159" s="751"/>
      <c r="M159" s="752"/>
    </row>
    <row r="160" spans="1:13" s="730" customFormat="1" x14ac:dyDescent="0.25">
      <c r="A160" s="750" t="s">
        <v>482</v>
      </c>
      <c r="B160" s="751"/>
      <c r="C160" s="751"/>
      <c r="D160" s="751"/>
      <c r="E160" s="751"/>
      <c r="F160" s="751"/>
      <c r="G160" s="751"/>
      <c r="H160" s="751"/>
      <c r="I160" s="751"/>
      <c r="J160" s="751"/>
      <c r="K160" s="751"/>
      <c r="L160" s="751"/>
      <c r="M160" s="752"/>
    </row>
    <row r="161" spans="1:13" s="730" customFormat="1" x14ac:dyDescent="0.25">
      <c r="A161" s="750"/>
      <c r="B161" s="751"/>
      <c r="C161" s="751"/>
      <c r="D161" s="751"/>
      <c r="E161" s="751"/>
      <c r="F161" s="751"/>
      <c r="G161" s="751"/>
      <c r="H161" s="751"/>
      <c r="I161" s="751"/>
      <c r="J161" s="751"/>
      <c r="K161" s="751"/>
      <c r="L161" s="751"/>
      <c r="M161" s="752"/>
    </row>
    <row r="162" spans="1:13" s="730" customFormat="1" x14ac:dyDescent="0.25">
      <c r="A162" s="753"/>
      <c r="B162" s="354" t="s">
        <v>995</v>
      </c>
      <c r="C162" s="751"/>
      <c r="D162" s="751"/>
      <c r="E162" s="751"/>
      <c r="F162" s="751"/>
      <c r="G162" s="751"/>
      <c r="H162" s="751"/>
      <c r="I162" s="751">
        <v>3</v>
      </c>
      <c r="J162" s="754" t="s">
        <v>449</v>
      </c>
      <c r="K162" s="751"/>
      <c r="L162" s="751"/>
      <c r="M162" s="752"/>
    </row>
    <row r="163" spans="1:13" s="730" customFormat="1" x14ac:dyDescent="0.25">
      <c r="A163" s="753"/>
      <c r="B163" s="751"/>
      <c r="C163" s="751"/>
      <c r="D163" s="751"/>
      <c r="E163" s="751"/>
      <c r="F163" s="751"/>
      <c r="G163" s="751"/>
      <c r="H163" s="751"/>
      <c r="I163" s="751"/>
      <c r="J163" s="751"/>
      <c r="K163" s="751"/>
      <c r="L163" s="751"/>
      <c r="M163" s="752"/>
    </row>
    <row r="164" spans="1:13" s="730" customFormat="1" x14ac:dyDescent="0.25">
      <c r="A164" s="753"/>
      <c r="B164" s="751" t="s">
        <v>464</v>
      </c>
      <c r="C164" s="754" t="str">
        <f>"(Kerma en aire teórico a "&amp;C92-I162/1000&amp;" m - kerma en aire teórico a "&amp;C92+I162/1000&amp;" m)/2"</f>
        <v>(Kerma en aire teórico a 1.997 m - kerma en aire teórico a 2.003 m)/2</v>
      </c>
      <c r="D164" s="751"/>
      <c r="E164" s="751"/>
      <c r="F164" s="751"/>
      <c r="G164" s="751"/>
      <c r="H164" s="751"/>
      <c r="I164" s="751"/>
      <c r="J164" s="751"/>
      <c r="K164" s="751"/>
      <c r="L164" s="751"/>
      <c r="M164" s="752"/>
    </row>
    <row r="165" spans="1:13" s="730" customFormat="1" x14ac:dyDescent="0.25">
      <c r="A165" s="753"/>
      <c r="B165" s="751"/>
      <c r="C165" s="751"/>
      <c r="D165" s="751"/>
      <c r="E165" s="751"/>
      <c r="F165" s="751"/>
      <c r="G165" s="751"/>
      <c r="H165" s="751"/>
      <c r="I165" s="751"/>
      <c r="J165" s="751"/>
      <c r="K165" s="751"/>
      <c r="L165" s="751"/>
      <c r="M165" s="752"/>
    </row>
    <row r="166" spans="1:13" s="730" customFormat="1" x14ac:dyDescent="0.25">
      <c r="A166" s="753"/>
      <c r="B166" s="754" t="s">
        <v>419</v>
      </c>
      <c r="C166" s="751"/>
      <c r="D166" s="751"/>
      <c r="E166" s="751"/>
      <c r="F166" s="751"/>
      <c r="G166" s="751"/>
      <c r="H166" s="751"/>
      <c r="I166" s="751"/>
      <c r="J166" s="751"/>
      <c r="K166" s="751"/>
      <c r="L166" s="751"/>
      <c r="M166" s="752"/>
    </row>
    <row r="167" spans="1:13" s="730" customFormat="1" x14ac:dyDescent="0.25">
      <c r="A167" s="753"/>
      <c r="B167" s="751"/>
      <c r="C167" s="751"/>
      <c r="D167" s="751"/>
      <c r="E167" s="751"/>
      <c r="F167" s="760"/>
      <c r="G167" s="751"/>
      <c r="H167" s="751"/>
      <c r="I167" s="751"/>
      <c r="J167" s="751"/>
      <c r="K167" s="751"/>
      <c r="L167" s="751"/>
      <c r="M167" s="752"/>
    </row>
    <row r="168" spans="1:13" s="730" customFormat="1" x14ac:dyDescent="0.25">
      <c r="A168" s="753"/>
      <c r="B168" s="751" t="s">
        <v>464</v>
      </c>
      <c r="C168" s="760">
        <f>((C91*C92^2/((C92-I162/1000)^2)-C91*C92^2/(C92+I162/1000)^2))/2</f>
        <v>4.1023961621966358E-5</v>
      </c>
      <c r="D168" s="354" t="s">
        <v>645</v>
      </c>
      <c r="E168" s="751"/>
      <c r="F168" s="751"/>
      <c r="G168" s="762"/>
      <c r="H168" s="751"/>
      <c r="I168" s="751"/>
      <c r="J168" s="751"/>
      <c r="K168" s="751"/>
      <c r="L168" s="751"/>
      <c r="M168" s="752"/>
    </row>
    <row r="169" spans="1:13" s="730" customFormat="1" x14ac:dyDescent="0.25">
      <c r="A169" s="753"/>
      <c r="B169" s="751"/>
      <c r="C169" s="755"/>
      <c r="D169" s="754"/>
      <c r="E169" s="751"/>
      <c r="F169" s="751"/>
      <c r="G169" s="751"/>
      <c r="H169" s="751"/>
      <c r="I169" s="751"/>
      <c r="J169" s="751"/>
      <c r="K169" s="751"/>
      <c r="L169" s="751"/>
      <c r="M169" s="752"/>
    </row>
    <row r="170" spans="1:13" s="423" customFormat="1" x14ac:dyDescent="0.25">
      <c r="A170" s="323" t="s">
        <v>486</v>
      </c>
      <c r="B170" s="523"/>
      <c r="C170" s="527"/>
      <c r="D170" s="523"/>
      <c r="E170" s="523"/>
      <c r="F170" s="523"/>
      <c r="G170" s="547"/>
      <c r="H170" s="523"/>
      <c r="I170" s="523"/>
      <c r="J170" s="523"/>
      <c r="K170" s="523"/>
      <c r="L170" s="523"/>
      <c r="M170" s="524"/>
    </row>
    <row r="171" spans="1:13" s="423" customFormat="1" x14ac:dyDescent="0.25">
      <c r="A171" s="523"/>
      <c r="B171" s="523"/>
      <c r="C171" s="527"/>
      <c r="D171" s="523"/>
      <c r="E171" s="523"/>
      <c r="F171" s="523"/>
      <c r="G171" s="547"/>
      <c r="H171" s="523"/>
      <c r="I171" s="523"/>
      <c r="J171" s="523"/>
      <c r="K171" s="523"/>
      <c r="L171" s="523"/>
      <c r="M171" s="524"/>
    </row>
    <row r="172" spans="1:13" s="423" customFormat="1" x14ac:dyDescent="0.25">
      <c r="A172" s="523"/>
      <c r="B172" s="523"/>
      <c r="C172" s="527"/>
      <c r="D172" s="523"/>
      <c r="E172" s="523"/>
      <c r="F172" s="523"/>
      <c r="G172" s="547"/>
      <c r="H172" s="523"/>
      <c r="I172" s="523"/>
      <c r="J172" s="523"/>
      <c r="K172" s="523"/>
      <c r="L172" s="523"/>
      <c r="M172" s="524"/>
    </row>
    <row r="173" spans="1:13" s="423" customFormat="1" x14ac:dyDescent="0.25">
      <c r="A173" s="523"/>
      <c r="B173" s="523"/>
      <c r="C173" s="527"/>
      <c r="D173" s="523"/>
      <c r="E173" s="523"/>
      <c r="F173" s="523"/>
      <c r="G173" s="547"/>
      <c r="H173" s="523"/>
      <c r="I173" s="523"/>
      <c r="J173" s="523"/>
      <c r="K173" s="523"/>
      <c r="L173" s="523"/>
      <c r="M173" s="524"/>
    </row>
    <row r="174" spans="1:13" s="423" customFormat="1" x14ac:dyDescent="0.25">
      <c r="A174" s="525"/>
      <c r="B174" s="523"/>
      <c r="C174" s="527"/>
      <c r="D174" s="523"/>
      <c r="E174" s="523"/>
      <c r="F174" s="523"/>
      <c r="G174" s="547"/>
      <c r="H174" s="523"/>
      <c r="I174" s="523"/>
      <c r="J174" s="523"/>
      <c r="K174" s="523"/>
      <c r="L174" s="523"/>
      <c r="M174" s="524"/>
    </row>
    <row r="175" spans="1:13" s="423" customFormat="1" ht="18" x14ac:dyDescent="0.25">
      <c r="A175" s="525"/>
      <c r="B175" s="545" t="s">
        <v>632</v>
      </c>
      <c r="C175" s="523">
        <v>1</v>
      </c>
      <c r="D175" s="324" t="s">
        <v>93</v>
      </c>
      <c r="E175" s="523"/>
      <c r="F175" s="523"/>
      <c r="G175" s="548"/>
      <c r="H175" s="523"/>
      <c r="I175" s="523"/>
      <c r="J175" s="523"/>
      <c r="K175" s="523"/>
      <c r="L175" s="523"/>
      <c r="M175" s="524"/>
    </row>
    <row r="176" spans="1:13" s="730" customFormat="1" ht="15.75" thickBot="1" x14ac:dyDescent="0.3">
      <c r="A176" s="756"/>
      <c r="B176" s="763"/>
      <c r="C176" s="757"/>
      <c r="D176" s="757"/>
      <c r="E176" s="757"/>
      <c r="F176" s="757"/>
      <c r="G176" s="764"/>
      <c r="H176" s="757"/>
      <c r="I176" s="757"/>
      <c r="J176" s="757"/>
      <c r="K176" s="757"/>
      <c r="L176" s="757"/>
      <c r="M176" s="758"/>
    </row>
    <row r="177" spans="1:13" s="730" customFormat="1" x14ac:dyDescent="0.25">
      <c r="A177" s="747"/>
      <c r="B177" s="748"/>
      <c r="C177" s="748"/>
      <c r="D177" s="748"/>
      <c r="E177" s="748"/>
      <c r="F177" s="748"/>
      <c r="G177" s="765"/>
      <c r="H177" s="748"/>
      <c r="I177" s="748"/>
      <c r="J177" s="748"/>
      <c r="K177" s="748"/>
      <c r="L177" s="748"/>
      <c r="M177" s="749"/>
    </row>
    <row r="178" spans="1:13" s="730" customFormat="1" x14ac:dyDescent="0.25">
      <c r="A178" s="750" t="s">
        <v>608</v>
      </c>
      <c r="B178" s="751"/>
      <c r="C178" s="751"/>
      <c r="D178" s="751"/>
      <c r="E178" s="751"/>
      <c r="F178" s="751"/>
      <c r="G178" s="766"/>
      <c r="H178" s="751"/>
      <c r="I178" s="751"/>
      <c r="J178" s="751"/>
      <c r="K178" s="751"/>
      <c r="L178" s="751"/>
      <c r="M178" s="752"/>
    </row>
    <row r="179" spans="1:13" s="730" customFormat="1" x14ac:dyDescent="0.25">
      <c r="A179" s="750"/>
      <c r="B179" s="751"/>
      <c r="C179" s="751"/>
      <c r="D179" s="751"/>
      <c r="E179" s="751"/>
      <c r="F179" s="751"/>
      <c r="G179" s="766"/>
      <c r="H179" s="751"/>
      <c r="I179" s="751"/>
      <c r="J179" s="751"/>
      <c r="K179" s="751"/>
      <c r="L179" s="751"/>
      <c r="M179" s="752"/>
    </row>
    <row r="180" spans="1:13" s="730" customFormat="1" x14ac:dyDescent="0.25">
      <c r="A180" s="750" t="s">
        <v>485</v>
      </c>
      <c r="B180" s="751"/>
      <c r="C180" s="751"/>
      <c r="D180" s="751"/>
      <c r="E180" s="751"/>
      <c r="F180" s="751"/>
      <c r="G180" s="766"/>
      <c r="H180" s="751"/>
      <c r="I180" s="751"/>
      <c r="J180" s="751"/>
      <c r="K180" s="751"/>
      <c r="L180" s="751"/>
      <c r="M180" s="752"/>
    </row>
    <row r="181" spans="1:13" s="730" customFormat="1" x14ac:dyDescent="0.25">
      <c r="A181" s="753"/>
      <c r="B181" s="751"/>
      <c r="C181" s="751"/>
      <c r="D181" s="751"/>
      <c r="E181" s="751"/>
      <c r="F181" s="751"/>
      <c r="G181" s="766"/>
      <c r="H181" s="751"/>
      <c r="I181" s="751"/>
      <c r="J181" s="751"/>
      <c r="K181" s="751"/>
      <c r="L181" s="751"/>
      <c r="M181" s="752"/>
    </row>
    <row r="182" spans="1:13" s="730" customFormat="1" x14ac:dyDescent="0.25">
      <c r="A182" s="753"/>
      <c r="B182" s="751" t="s">
        <v>464</v>
      </c>
      <c r="C182" s="354" t="s">
        <v>996</v>
      </c>
      <c r="D182" s="751"/>
      <c r="E182" s="751"/>
      <c r="F182" s="751"/>
      <c r="G182" s="766"/>
      <c r="H182" s="751"/>
      <c r="I182" s="751"/>
      <c r="J182" s="751"/>
      <c r="K182" s="751"/>
      <c r="L182" s="751"/>
      <c r="M182" s="752"/>
    </row>
    <row r="183" spans="1:13" s="730" customFormat="1" x14ac:dyDescent="0.25">
      <c r="A183" s="753"/>
      <c r="B183" s="751"/>
      <c r="C183" s="751"/>
      <c r="D183" s="751"/>
      <c r="E183" s="751"/>
      <c r="F183" s="751"/>
      <c r="G183" s="766"/>
      <c r="H183" s="751"/>
      <c r="I183" s="751"/>
      <c r="J183" s="751"/>
      <c r="K183" s="751"/>
      <c r="L183" s="751"/>
      <c r="M183" s="752"/>
    </row>
    <row r="184" spans="1:13" s="730" customFormat="1" x14ac:dyDescent="0.25">
      <c r="A184" s="753"/>
      <c r="B184" s="751" t="s">
        <v>464</v>
      </c>
      <c r="C184" s="1455">
        <f>'F-LSCD-002 (Pos. fuente)'!AH69*C91/2</f>
        <v>2.7234297889324675E-5</v>
      </c>
      <c r="D184" s="354" t="s">
        <v>645</v>
      </c>
      <c r="E184" s="751"/>
      <c r="F184" s="751"/>
      <c r="G184" s="766"/>
      <c r="H184" s="751"/>
      <c r="I184" s="751"/>
      <c r="J184" s="751"/>
      <c r="K184" s="751"/>
      <c r="L184" s="751"/>
      <c r="M184" s="752"/>
    </row>
    <row r="185" spans="1:13" s="730" customFormat="1" x14ac:dyDescent="0.25">
      <c r="A185" s="753"/>
      <c r="B185" s="751"/>
      <c r="C185" s="760"/>
      <c r="D185" s="754"/>
      <c r="E185" s="751"/>
      <c r="F185" s="751"/>
      <c r="G185" s="766"/>
      <c r="H185" s="751"/>
      <c r="I185" s="751"/>
      <c r="J185" s="751"/>
      <c r="K185" s="751"/>
      <c r="L185" s="751"/>
      <c r="M185" s="752"/>
    </row>
    <row r="186" spans="1:13" s="730" customFormat="1" x14ac:dyDescent="0.25">
      <c r="A186" s="753"/>
      <c r="B186" s="754" t="s">
        <v>397</v>
      </c>
      <c r="C186" s="751"/>
      <c r="D186" s="751"/>
      <c r="E186" s="751"/>
      <c r="F186" s="751"/>
      <c r="G186" s="751"/>
      <c r="H186" s="751"/>
      <c r="I186" s="751"/>
      <c r="J186" s="751"/>
      <c r="K186" s="751"/>
      <c r="L186" s="751"/>
      <c r="M186" s="752"/>
    </row>
    <row r="187" spans="1:13" s="730" customFormat="1" x14ac:dyDescent="0.25">
      <c r="A187" s="753"/>
      <c r="B187" s="754" t="s">
        <v>416</v>
      </c>
      <c r="C187" s="751"/>
      <c r="D187" s="751"/>
      <c r="E187" s="751"/>
      <c r="F187" s="751"/>
      <c r="G187" s="751"/>
      <c r="H187" s="751"/>
      <c r="I187" s="751"/>
      <c r="J187" s="751"/>
      <c r="K187" s="751"/>
      <c r="L187" s="751"/>
      <c r="M187" s="752"/>
    </row>
    <row r="188" spans="1:13" s="730" customFormat="1" x14ac:dyDescent="0.25">
      <c r="A188" s="753"/>
      <c r="B188" s="751"/>
      <c r="C188" s="755"/>
      <c r="D188" s="754"/>
      <c r="E188" s="751"/>
      <c r="F188" s="751"/>
      <c r="G188" s="751"/>
      <c r="H188" s="751"/>
      <c r="I188" s="751"/>
      <c r="J188" s="751"/>
      <c r="K188" s="751"/>
      <c r="L188" s="751"/>
      <c r="M188" s="752"/>
    </row>
    <row r="189" spans="1:13" s="423" customFormat="1" x14ac:dyDescent="0.25">
      <c r="A189" s="323" t="s">
        <v>487</v>
      </c>
      <c r="B189" s="526"/>
      <c r="C189" s="523"/>
      <c r="D189" s="523"/>
      <c r="E189" s="523"/>
      <c r="F189" s="523"/>
      <c r="G189" s="523"/>
      <c r="H189" s="523"/>
      <c r="I189" s="523"/>
      <c r="J189" s="523"/>
      <c r="K189" s="523"/>
      <c r="L189" s="523"/>
      <c r="M189" s="524"/>
    </row>
    <row r="190" spans="1:13" s="423" customFormat="1" x14ac:dyDescent="0.25">
      <c r="A190" s="525"/>
      <c r="B190" s="526"/>
      <c r="C190" s="523"/>
      <c r="D190" s="523"/>
      <c r="E190" s="523"/>
      <c r="F190" s="523"/>
      <c r="G190" s="523"/>
      <c r="H190" s="523"/>
      <c r="I190" s="523"/>
      <c r="J190" s="523"/>
      <c r="K190" s="523"/>
      <c r="L190" s="523"/>
      <c r="M190" s="524"/>
    </row>
    <row r="191" spans="1:13" s="423" customFormat="1" x14ac:dyDescent="0.25">
      <c r="A191" s="525"/>
      <c r="B191" s="523"/>
      <c r="C191" s="523"/>
      <c r="D191" s="523"/>
      <c r="E191" s="523"/>
      <c r="F191" s="523"/>
      <c r="G191" s="523"/>
      <c r="H191" s="523"/>
      <c r="I191" s="523"/>
      <c r="J191" s="523"/>
      <c r="K191" s="523"/>
      <c r="L191" s="523"/>
      <c r="M191" s="524"/>
    </row>
    <row r="192" spans="1:13" s="423" customFormat="1" x14ac:dyDescent="0.25">
      <c r="A192" s="525"/>
      <c r="B192" s="526"/>
      <c r="C192" s="523"/>
      <c r="D192" s="523"/>
      <c r="E192" s="523"/>
      <c r="F192" s="523"/>
      <c r="G192" s="523"/>
      <c r="H192" s="523"/>
      <c r="I192" s="523"/>
      <c r="J192" s="523"/>
      <c r="K192" s="523"/>
      <c r="L192" s="523"/>
      <c r="M192" s="524"/>
    </row>
    <row r="193" spans="1:13" s="423" customFormat="1" x14ac:dyDescent="0.25">
      <c r="A193" s="525"/>
      <c r="B193" s="526"/>
      <c r="C193" s="523"/>
      <c r="D193" s="523"/>
      <c r="E193" s="523"/>
      <c r="F193" s="523"/>
      <c r="G193" s="523"/>
      <c r="H193" s="523"/>
      <c r="I193" s="523"/>
      <c r="J193" s="523"/>
      <c r="K193" s="523"/>
      <c r="L193" s="523"/>
      <c r="M193" s="524"/>
    </row>
    <row r="194" spans="1:13" s="423" customFormat="1" ht="18" x14ac:dyDescent="0.25">
      <c r="A194" s="525"/>
      <c r="B194" s="545" t="s">
        <v>633</v>
      </c>
      <c r="C194" s="523">
        <v>1</v>
      </c>
      <c r="D194" s="324" t="s">
        <v>93</v>
      </c>
      <c r="E194" s="523"/>
      <c r="F194" s="523"/>
      <c r="G194" s="523"/>
      <c r="H194" s="523"/>
      <c r="I194" s="523"/>
      <c r="J194" s="523"/>
      <c r="K194" s="523"/>
      <c r="L194" s="523"/>
      <c r="M194" s="524"/>
    </row>
    <row r="195" spans="1:13" s="730" customFormat="1" ht="15.75" thickBot="1" x14ac:dyDescent="0.3">
      <c r="A195" s="756"/>
      <c r="B195" s="763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8"/>
    </row>
    <row r="196" spans="1:13" s="423" customFormat="1" x14ac:dyDescent="0.25">
      <c r="A196" s="519"/>
      <c r="B196" s="544"/>
      <c r="C196" s="520"/>
      <c r="D196" s="520"/>
      <c r="E196" s="520"/>
      <c r="F196" s="520"/>
      <c r="G196" s="520"/>
      <c r="H196" s="520"/>
      <c r="I196" s="520"/>
      <c r="J196" s="520"/>
      <c r="K196" s="520"/>
      <c r="L196" s="520"/>
      <c r="M196" s="521"/>
    </row>
    <row r="197" spans="1:13" s="423" customFormat="1" x14ac:dyDescent="0.25">
      <c r="A197" s="323" t="s">
        <v>992</v>
      </c>
      <c r="B197" s="526"/>
      <c r="C197" s="523"/>
      <c r="D197" s="523"/>
      <c r="E197" s="523"/>
      <c r="F197" s="523"/>
      <c r="G197" s="523"/>
      <c r="H197" s="523"/>
      <c r="I197" s="523"/>
      <c r="J197" s="523"/>
      <c r="K197" s="523"/>
      <c r="L197" s="523"/>
      <c r="M197" s="524"/>
    </row>
    <row r="198" spans="1:13" s="423" customFormat="1" x14ac:dyDescent="0.25">
      <c r="A198" s="522"/>
      <c r="B198" s="526"/>
      <c r="C198" s="523"/>
      <c r="D198" s="523"/>
      <c r="E198" s="523"/>
      <c r="F198" s="523"/>
      <c r="G198" s="523"/>
      <c r="H198" s="523"/>
      <c r="I198" s="523"/>
      <c r="J198" s="523"/>
      <c r="K198" s="523"/>
      <c r="L198" s="523"/>
      <c r="M198" s="524"/>
    </row>
    <row r="199" spans="1:13" s="423" customFormat="1" x14ac:dyDescent="0.25">
      <c r="A199" s="323" t="s">
        <v>494</v>
      </c>
      <c r="B199" s="526"/>
      <c r="C199" s="523"/>
      <c r="D199" s="523"/>
      <c r="E199" s="523"/>
      <c r="F199" s="523"/>
      <c r="G199" s="523"/>
      <c r="H199" s="523"/>
      <c r="I199" s="523"/>
      <c r="J199" s="523"/>
      <c r="K199" s="523"/>
      <c r="L199" s="523"/>
      <c r="M199" s="524"/>
    </row>
    <row r="200" spans="1:13" s="423" customFormat="1" x14ac:dyDescent="0.25">
      <c r="A200" s="522"/>
      <c r="B200" s="526"/>
      <c r="C200" s="523"/>
      <c r="D200" s="523"/>
      <c r="E200" s="523"/>
      <c r="F200" s="523"/>
      <c r="G200" s="523"/>
      <c r="H200" s="523"/>
      <c r="I200" s="523"/>
      <c r="J200" s="523"/>
      <c r="K200" s="523"/>
      <c r="L200" s="523"/>
      <c r="M200" s="524"/>
    </row>
    <row r="201" spans="1:13" s="423" customFormat="1" x14ac:dyDescent="0.25">
      <c r="A201" s="522"/>
      <c r="B201" s="526" t="s">
        <v>453</v>
      </c>
      <c r="C201" s="523"/>
      <c r="D201" s="523"/>
      <c r="E201" s="523"/>
      <c r="F201" s="523">
        <v>1.1000000000000001</v>
      </c>
      <c r="G201" s="526" t="s">
        <v>449</v>
      </c>
      <c r="H201" s="523"/>
      <c r="I201" s="523"/>
      <c r="J201" s="523"/>
      <c r="K201" s="523"/>
      <c r="L201" s="523"/>
      <c r="M201" s="524"/>
    </row>
    <row r="202" spans="1:13" s="423" customFormat="1" x14ac:dyDescent="0.25">
      <c r="A202" s="522"/>
      <c r="B202" s="526"/>
      <c r="C202" s="523"/>
      <c r="D202" s="523"/>
      <c r="E202" s="523"/>
      <c r="F202" s="523"/>
      <c r="G202" s="523"/>
      <c r="H202" s="523"/>
      <c r="I202" s="523"/>
      <c r="J202" s="523"/>
      <c r="K202" s="523"/>
      <c r="L202" s="523"/>
      <c r="M202" s="524"/>
    </row>
    <row r="203" spans="1:13" s="423" customFormat="1" x14ac:dyDescent="0.25">
      <c r="A203" s="522"/>
      <c r="B203" s="523" t="s">
        <v>464</v>
      </c>
      <c r="C203" s="526" t="str">
        <f>"(Kerma en aire medido a "&amp;C92-F201/1000&amp;" m - Kerma en aire teórico a "&amp;C92+F201/1000&amp;" m)/2"</f>
        <v>(Kerma en aire medido a 1.9989 m - Kerma en aire teórico a 2.0011 m)/2</v>
      </c>
      <c r="D203" s="523"/>
      <c r="E203" s="523"/>
      <c r="F203" s="523"/>
      <c r="G203" s="523"/>
      <c r="H203" s="523"/>
      <c r="I203" s="523"/>
      <c r="J203" s="523"/>
      <c r="K203" s="523"/>
      <c r="L203" s="523"/>
      <c r="M203" s="524"/>
    </row>
    <row r="204" spans="1:13" s="423" customFormat="1" x14ac:dyDescent="0.25">
      <c r="A204" s="522"/>
      <c r="B204" s="523"/>
      <c r="C204" s="526"/>
      <c r="D204" s="523"/>
      <c r="E204" s="523"/>
      <c r="F204" s="523"/>
      <c r="G204" s="523"/>
      <c r="H204" s="523"/>
      <c r="I204" s="523"/>
      <c r="J204" s="523"/>
      <c r="K204" s="523"/>
      <c r="L204" s="523"/>
      <c r="M204" s="524"/>
    </row>
    <row r="205" spans="1:13" s="423" customFormat="1" x14ac:dyDescent="0.25">
      <c r="A205" s="522"/>
      <c r="B205" s="523" t="s">
        <v>464</v>
      </c>
      <c r="C205" s="527">
        <f>((C91*C92^2/(C92-F201/1000)^2)-(C91*C92^2/(C92+F201/1000)^2))/2</f>
        <v>1.5042060672373209E-5</v>
      </c>
      <c r="D205" s="354" t="s">
        <v>645</v>
      </c>
      <c r="E205" s="523"/>
      <c r="F205" s="523"/>
      <c r="G205" s="523"/>
      <c r="H205" s="523"/>
      <c r="I205" s="523"/>
      <c r="J205" s="523"/>
      <c r="K205" s="523"/>
      <c r="L205" s="523"/>
      <c r="M205" s="524"/>
    </row>
    <row r="206" spans="1:13" s="423" customFormat="1" x14ac:dyDescent="0.25">
      <c r="A206" s="522"/>
      <c r="B206" s="523"/>
      <c r="C206" s="527"/>
      <c r="D206" s="523"/>
      <c r="E206" s="523"/>
      <c r="F206" s="523"/>
      <c r="G206" s="523"/>
      <c r="H206" s="523"/>
      <c r="I206" s="523"/>
      <c r="J206" s="523"/>
      <c r="K206" s="523"/>
      <c r="L206" s="523"/>
      <c r="M206" s="524"/>
    </row>
    <row r="207" spans="1:13" s="423" customFormat="1" x14ac:dyDescent="0.25">
      <c r="A207" s="323" t="s">
        <v>495</v>
      </c>
      <c r="B207" s="523"/>
      <c r="C207" s="527"/>
      <c r="D207" s="523"/>
      <c r="E207" s="523"/>
      <c r="F207" s="523"/>
      <c r="G207" s="523"/>
      <c r="H207" s="523"/>
      <c r="I207" s="523"/>
      <c r="J207" s="523"/>
      <c r="K207" s="523"/>
      <c r="L207" s="523"/>
      <c r="M207" s="524"/>
    </row>
    <row r="208" spans="1:13" s="423" customFormat="1" x14ac:dyDescent="0.25">
      <c r="A208" s="522"/>
      <c r="B208" s="523"/>
      <c r="C208" s="527"/>
      <c r="D208" s="523"/>
      <c r="E208" s="523"/>
      <c r="F208" s="523"/>
      <c r="G208" s="523"/>
      <c r="H208" s="523"/>
      <c r="I208" s="523"/>
      <c r="J208" s="523"/>
      <c r="K208" s="523"/>
      <c r="L208" s="523"/>
      <c r="M208" s="524"/>
    </row>
    <row r="209" spans="1:13" s="423" customFormat="1" x14ac:dyDescent="0.25">
      <c r="A209" s="522"/>
      <c r="B209" s="523"/>
      <c r="C209" s="527"/>
      <c r="D209" s="523"/>
      <c r="E209" s="523"/>
      <c r="F209" s="523"/>
      <c r="G209" s="523"/>
      <c r="H209" s="523"/>
      <c r="I209" s="523"/>
      <c r="J209" s="523"/>
      <c r="K209" s="523"/>
      <c r="L209" s="523"/>
      <c r="M209" s="524"/>
    </row>
    <row r="210" spans="1:13" s="423" customFormat="1" x14ac:dyDescent="0.25">
      <c r="A210" s="522"/>
      <c r="B210" s="523"/>
      <c r="C210" s="527"/>
      <c r="D210" s="523"/>
      <c r="E210" s="523"/>
      <c r="F210" s="523"/>
      <c r="G210" s="523"/>
      <c r="H210" s="523"/>
      <c r="I210" s="523"/>
      <c r="J210" s="523"/>
      <c r="K210" s="523"/>
      <c r="L210" s="523"/>
      <c r="M210" s="524"/>
    </row>
    <row r="211" spans="1:13" s="423" customFormat="1" x14ac:dyDescent="0.25">
      <c r="A211" s="522"/>
      <c r="B211" s="523"/>
      <c r="C211" s="526"/>
      <c r="D211" s="523"/>
      <c r="E211" s="523"/>
      <c r="F211" s="523"/>
      <c r="G211" s="523"/>
      <c r="H211" s="523"/>
      <c r="I211" s="523"/>
      <c r="J211" s="523"/>
      <c r="K211" s="523"/>
      <c r="L211" s="523"/>
      <c r="M211" s="524"/>
    </row>
    <row r="212" spans="1:13" s="423" customFormat="1" ht="18" x14ac:dyDescent="0.25">
      <c r="A212" s="522"/>
      <c r="B212" s="545" t="s">
        <v>634</v>
      </c>
      <c r="C212" s="523">
        <v>1</v>
      </c>
      <c r="D212" s="324" t="s">
        <v>93</v>
      </c>
      <c r="E212" s="523"/>
      <c r="F212" s="523"/>
      <c r="G212" s="523"/>
      <c r="H212" s="523"/>
      <c r="I212" s="523"/>
      <c r="J212" s="523"/>
      <c r="K212" s="523"/>
      <c r="L212" s="523"/>
      <c r="M212" s="524"/>
    </row>
    <row r="213" spans="1:13" s="423" customFormat="1" ht="15.75" thickBot="1" x14ac:dyDescent="0.3">
      <c r="A213" s="552"/>
      <c r="B213" s="530"/>
      <c r="C213" s="543"/>
      <c r="D213" s="530"/>
      <c r="E213" s="530"/>
      <c r="F213" s="530"/>
      <c r="G213" s="530"/>
      <c r="H213" s="530"/>
      <c r="I213" s="530"/>
      <c r="J213" s="530"/>
      <c r="K213" s="530"/>
      <c r="L213" s="530"/>
      <c r="M213" s="531"/>
    </row>
    <row r="214" spans="1:13" s="423" customFormat="1" x14ac:dyDescent="0.25">
      <c r="A214" s="553"/>
      <c r="B214" s="520"/>
      <c r="C214" s="544"/>
      <c r="D214" s="520"/>
      <c r="E214" s="520"/>
      <c r="F214" s="520"/>
      <c r="G214" s="520"/>
      <c r="H214" s="520"/>
      <c r="I214" s="520"/>
      <c r="J214" s="520"/>
      <c r="K214" s="520"/>
      <c r="L214" s="520"/>
      <c r="M214" s="521"/>
    </row>
    <row r="215" spans="1:13" s="423" customFormat="1" x14ac:dyDescent="0.25">
      <c r="A215" s="323" t="s">
        <v>678</v>
      </c>
      <c r="B215" s="526"/>
      <c r="C215" s="523"/>
      <c r="D215" s="523"/>
      <c r="E215" s="523"/>
      <c r="F215" s="523"/>
      <c r="G215" s="523"/>
      <c r="H215" s="523"/>
      <c r="I215" s="523"/>
      <c r="J215" s="523"/>
      <c r="K215" s="523"/>
      <c r="L215" s="523"/>
      <c r="M215" s="524"/>
    </row>
    <row r="216" spans="1:13" s="423" customFormat="1" x14ac:dyDescent="0.25">
      <c r="A216" s="522"/>
      <c r="B216" s="526"/>
      <c r="C216" s="523"/>
      <c r="D216" s="523"/>
      <c r="E216" s="523"/>
      <c r="F216" s="523"/>
      <c r="G216" s="523"/>
      <c r="H216" s="523"/>
      <c r="I216" s="523"/>
      <c r="J216" s="523"/>
      <c r="K216" s="523"/>
      <c r="L216" s="523"/>
      <c r="M216" s="524"/>
    </row>
    <row r="217" spans="1:13" s="423" customFormat="1" x14ac:dyDescent="0.25">
      <c r="A217" s="323" t="s">
        <v>498</v>
      </c>
      <c r="B217" s="526"/>
      <c r="C217" s="523"/>
      <c r="D217" s="523"/>
      <c r="E217" s="523"/>
      <c r="F217" s="523"/>
      <c r="G217" s="523"/>
      <c r="H217" s="523"/>
      <c r="I217" s="523"/>
      <c r="J217" s="523"/>
      <c r="K217" s="523"/>
      <c r="L217" s="523"/>
      <c r="M217" s="524"/>
    </row>
    <row r="218" spans="1:13" s="423" customFormat="1" x14ac:dyDescent="0.25">
      <c r="A218" s="522"/>
      <c r="B218" s="526"/>
      <c r="C218" s="523"/>
      <c r="D218" s="523"/>
      <c r="E218" s="523"/>
      <c r="F218" s="523"/>
      <c r="G218" s="523"/>
      <c r="H218" s="523"/>
      <c r="I218" s="523"/>
      <c r="J218" s="523"/>
      <c r="K218" s="523"/>
      <c r="L218" s="523"/>
      <c r="M218" s="524"/>
    </row>
    <row r="219" spans="1:13" s="423" customFormat="1" x14ac:dyDescent="0.25">
      <c r="A219" s="522"/>
      <c r="B219" s="526" t="s">
        <v>454</v>
      </c>
      <c r="C219" s="523"/>
      <c r="D219" s="523"/>
      <c r="E219" s="523"/>
      <c r="F219" s="523">
        <f>'F-LSCD-002 (Dosimetría)'!D66</f>
        <v>1</v>
      </c>
      <c r="G219" s="523" t="s">
        <v>449</v>
      </c>
      <c r="H219" s="523"/>
      <c r="I219" s="523"/>
      <c r="J219" s="523"/>
      <c r="K219" s="523"/>
      <c r="L219" s="523"/>
      <c r="M219" s="524"/>
    </row>
    <row r="220" spans="1:13" s="423" customFormat="1" x14ac:dyDescent="0.25">
      <c r="A220" s="522"/>
      <c r="B220" s="526"/>
      <c r="C220" s="523"/>
      <c r="D220" s="523"/>
      <c r="E220" s="523"/>
      <c r="F220" s="523"/>
      <c r="G220" s="523"/>
      <c r="H220" s="523"/>
      <c r="I220" s="523"/>
      <c r="J220" s="523"/>
      <c r="K220" s="523"/>
      <c r="L220" s="523"/>
      <c r="M220" s="524"/>
    </row>
    <row r="221" spans="1:13" s="423" customFormat="1" x14ac:dyDescent="0.25">
      <c r="A221" s="522"/>
      <c r="B221" s="523" t="s">
        <v>464</v>
      </c>
      <c r="C221" s="526" t="str">
        <f>"(Kerma en aire medido a "&amp;C92-F219/1000&amp;" m - Kerma en aire teórico a "&amp;C92+F219/1000&amp;" m)/2"</f>
        <v>(Kerma en aire medido a 1.999 m - Kerma en aire teórico a 2.001 m)/2</v>
      </c>
      <c r="D221" s="523"/>
      <c r="E221" s="523"/>
      <c r="F221" s="523"/>
      <c r="G221" s="523"/>
      <c r="H221" s="523"/>
      <c r="I221" s="523"/>
      <c r="J221" s="523"/>
      <c r="K221" s="523"/>
      <c r="L221" s="523"/>
      <c r="M221" s="524"/>
    </row>
    <row r="222" spans="1:13" s="423" customFormat="1" x14ac:dyDescent="0.25">
      <c r="A222" s="522"/>
      <c r="B222" s="526"/>
      <c r="C222" s="523"/>
      <c r="D222" s="523"/>
      <c r="E222" s="523"/>
      <c r="F222" s="523"/>
      <c r="G222" s="523"/>
      <c r="H222" s="523"/>
      <c r="I222" s="523"/>
      <c r="J222" s="523"/>
      <c r="K222" s="523"/>
      <c r="L222" s="523"/>
      <c r="M222" s="524"/>
    </row>
    <row r="223" spans="1:13" s="423" customFormat="1" x14ac:dyDescent="0.25">
      <c r="A223" s="522"/>
      <c r="B223" s="523" t="s">
        <v>464</v>
      </c>
      <c r="C223" s="527">
        <f>((C91*C92^2/(C92-F219/1000)^2)-(C91*C92^2/(C92+F219/1000)^2))/2</f>
        <v>1.3674599175412389E-5</v>
      </c>
      <c r="D223" s="354" t="s">
        <v>645</v>
      </c>
      <c r="E223" s="523"/>
      <c r="F223" s="523"/>
      <c r="G223" s="523"/>
      <c r="H223" s="523"/>
      <c r="I223" s="523"/>
      <c r="J223" s="523"/>
      <c r="K223" s="523"/>
      <c r="L223" s="523"/>
      <c r="M223" s="524"/>
    </row>
    <row r="224" spans="1:13" s="423" customFormat="1" x14ac:dyDescent="0.25">
      <c r="A224" s="522"/>
      <c r="B224" s="523"/>
      <c r="C224" s="527"/>
      <c r="D224" s="523"/>
      <c r="E224" s="523"/>
      <c r="F224" s="523"/>
      <c r="G224" s="523"/>
      <c r="H224" s="523"/>
      <c r="I224" s="523"/>
      <c r="J224" s="523"/>
      <c r="K224" s="523"/>
      <c r="L224" s="523"/>
      <c r="M224" s="524"/>
    </row>
    <row r="225" spans="1:13" s="423" customFormat="1" x14ac:dyDescent="0.25">
      <c r="A225" s="323" t="s">
        <v>499</v>
      </c>
      <c r="B225" s="523"/>
      <c r="C225" s="527"/>
      <c r="D225" s="523"/>
      <c r="E225" s="523"/>
      <c r="F225" s="523"/>
      <c r="G225" s="523"/>
      <c r="H225" s="523"/>
      <c r="I225" s="523"/>
      <c r="J225" s="523"/>
      <c r="K225" s="523"/>
      <c r="L225" s="523"/>
      <c r="M225" s="524"/>
    </row>
    <row r="226" spans="1:13" s="423" customFormat="1" x14ac:dyDescent="0.25">
      <c r="A226" s="522"/>
      <c r="B226" s="523"/>
      <c r="C226" s="527"/>
      <c r="D226" s="523"/>
      <c r="E226" s="523"/>
      <c r="F226" s="523"/>
      <c r="G226" s="523"/>
      <c r="H226" s="523"/>
      <c r="I226" s="523"/>
      <c r="J226" s="523"/>
      <c r="K226" s="523"/>
      <c r="L226" s="523"/>
      <c r="M226" s="524"/>
    </row>
    <row r="227" spans="1:13" s="423" customFormat="1" x14ac:dyDescent="0.25">
      <c r="A227" s="522"/>
      <c r="B227" s="523"/>
      <c r="C227" s="527"/>
      <c r="D227" s="523"/>
      <c r="E227" s="523"/>
      <c r="F227" s="523"/>
      <c r="G227" s="523"/>
      <c r="H227" s="523"/>
      <c r="I227" s="523"/>
      <c r="J227" s="523"/>
      <c r="K227" s="523"/>
      <c r="L227" s="523"/>
      <c r="M227" s="524"/>
    </row>
    <row r="228" spans="1:13" s="423" customFormat="1" x14ac:dyDescent="0.25">
      <c r="A228" s="522"/>
      <c r="B228" s="523"/>
      <c r="C228" s="527"/>
      <c r="D228" s="523"/>
      <c r="E228" s="523"/>
      <c r="F228" s="523"/>
      <c r="G228" s="523"/>
      <c r="H228" s="523"/>
      <c r="I228" s="523"/>
      <c r="J228" s="523"/>
      <c r="K228" s="523"/>
      <c r="L228" s="523"/>
      <c r="M228" s="524"/>
    </row>
    <row r="229" spans="1:13" s="423" customFormat="1" x14ac:dyDescent="0.25">
      <c r="A229" s="522"/>
      <c r="B229" s="523"/>
      <c r="C229" s="527"/>
      <c r="D229" s="523"/>
      <c r="E229" s="523"/>
      <c r="F229" s="523"/>
      <c r="G229" s="523"/>
      <c r="H229" s="523"/>
      <c r="I229" s="523"/>
      <c r="J229" s="523"/>
      <c r="K229" s="523"/>
      <c r="L229" s="523"/>
      <c r="M229" s="524"/>
    </row>
    <row r="230" spans="1:13" s="423" customFormat="1" ht="18" x14ac:dyDescent="0.25">
      <c r="A230" s="522"/>
      <c r="B230" s="523" t="s">
        <v>510</v>
      </c>
      <c r="C230" s="523">
        <v>1</v>
      </c>
      <c r="D230" s="324" t="s">
        <v>93</v>
      </c>
      <c r="E230" s="523"/>
      <c r="F230" s="523"/>
      <c r="G230" s="523"/>
      <c r="H230" s="523"/>
      <c r="I230" s="523"/>
      <c r="J230" s="523"/>
      <c r="K230" s="523"/>
      <c r="L230" s="523"/>
      <c r="M230" s="524"/>
    </row>
    <row r="231" spans="1:13" s="423" customFormat="1" ht="15.75" thickBot="1" x14ac:dyDescent="0.3">
      <c r="A231" s="552"/>
      <c r="B231" s="530"/>
      <c r="C231" s="554"/>
      <c r="D231" s="530"/>
      <c r="E231" s="530"/>
      <c r="F231" s="530"/>
      <c r="G231" s="530"/>
      <c r="H231" s="530"/>
      <c r="I231" s="530"/>
      <c r="J231" s="530"/>
      <c r="K231" s="530"/>
      <c r="L231" s="530"/>
      <c r="M231" s="531"/>
    </row>
    <row r="232" spans="1:13" x14ac:dyDescent="0.25">
      <c r="A232" s="1138"/>
      <c r="B232" s="1139"/>
      <c r="C232" s="1152"/>
      <c r="D232" s="1139"/>
      <c r="E232" s="1139"/>
      <c r="F232" s="1139"/>
      <c r="G232" s="1139"/>
      <c r="H232" s="1139"/>
      <c r="I232" s="1139"/>
      <c r="J232" s="1139"/>
      <c r="K232" s="1139"/>
      <c r="L232" s="1139"/>
      <c r="M232" s="1140"/>
    </row>
    <row r="233" spans="1:13" x14ac:dyDescent="0.25">
      <c r="A233" s="323" t="s">
        <v>997</v>
      </c>
      <c r="B233" s="1142"/>
      <c r="C233" s="1142"/>
      <c r="D233" s="1142"/>
      <c r="E233" s="1142"/>
      <c r="F233" s="1142"/>
      <c r="G233" s="1142"/>
      <c r="H233" s="1142"/>
      <c r="I233" s="1142"/>
      <c r="J233" s="1142"/>
      <c r="K233" s="1142"/>
      <c r="L233" s="1142"/>
      <c r="M233" s="1144"/>
    </row>
    <row r="234" spans="1:13" x14ac:dyDescent="0.25">
      <c r="A234" s="1141"/>
      <c r="B234" s="1142"/>
      <c r="C234" s="1142"/>
      <c r="D234" s="1142"/>
      <c r="E234" s="1142"/>
      <c r="F234" s="1142"/>
      <c r="G234" s="1142"/>
      <c r="H234" s="1142"/>
      <c r="I234" s="1142"/>
      <c r="J234" s="1142"/>
      <c r="K234" s="1142"/>
      <c r="L234" s="1142"/>
      <c r="M234" s="1144"/>
    </row>
    <row r="235" spans="1:13" x14ac:dyDescent="0.25">
      <c r="A235" s="323" t="s">
        <v>502</v>
      </c>
      <c r="B235" s="1142"/>
      <c r="C235" s="1142"/>
      <c r="D235" s="1142"/>
      <c r="E235" s="1142"/>
      <c r="F235" s="1142"/>
      <c r="G235" s="1142"/>
      <c r="H235" s="1142"/>
      <c r="I235" s="1142"/>
      <c r="J235" s="1142"/>
      <c r="K235" s="1142"/>
      <c r="L235" s="1142"/>
      <c r="M235" s="1144"/>
    </row>
    <row r="236" spans="1:13" x14ac:dyDescent="0.25">
      <c r="A236" s="1145"/>
      <c r="B236" s="1142"/>
      <c r="C236" s="1142"/>
      <c r="D236" s="1142"/>
      <c r="E236" s="1142"/>
      <c r="F236" s="1142"/>
      <c r="G236" s="1142"/>
      <c r="H236" s="1142"/>
      <c r="I236" s="1142"/>
      <c r="J236" s="1142"/>
      <c r="K236" s="1142"/>
      <c r="L236" s="1142"/>
      <c r="M236" s="1144"/>
    </row>
    <row r="237" spans="1:13" x14ac:dyDescent="0.25">
      <c r="A237" s="1145"/>
      <c r="B237" s="1142" t="s">
        <v>464</v>
      </c>
      <c r="C237" s="1146" t="s">
        <v>664</v>
      </c>
      <c r="D237" s="1142"/>
      <c r="E237" s="1142"/>
      <c r="F237" s="1142"/>
      <c r="G237" s="1142"/>
      <c r="H237" s="1142"/>
      <c r="I237" s="1142"/>
      <c r="J237" s="1142"/>
      <c r="K237" s="1142"/>
      <c r="L237" s="1142"/>
      <c r="M237" s="1144"/>
    </row>
    <row r="238" spans="1:13" x14ac:dyDescent="0.25">
      <c r="A238" s="1145"/>
      <c r="B238" s="1142"/>
      <c r="C238" s="1142"/>
      <c r="D238" s="1142"/>
      <c r="E238" s="1142"/>
      <c r="F238" s="1142"/>
      <c r="G238" s="1142"/>
      <c r="H238" s="1142"/>
      <c r="I238" s="1142"/>
      <c r="J238" s="1142"/>
      <c r="K238" s="1142"/>
      <c r="L238" s="1142"/>
      <c r="M238" s="1144"/>
    </row>
    <row r="239" spans="1:13" x14ac:dyDescent="0.25">
      <c r="A239" s="1145"/>
      <c r="B239" s="1142" t="s">
        <v>464</v>
      </c>
      <c r="C239" s="1143">
        <f>2/100*C91</f>
        <v>2.7349184676230638E-4</v>
      </c>
      <c r="D239" s="1146" t="s">
        <v>645</v>
      </c>
      <c r="E239" s="1142"/>
      <c r="F239" s="1142"/>
      <c r="G239" s="1142"/>
      <c r="H239" s="1142"/>
      <c r="I239" s="1142"/>
      <c r="J239" s="1142"/>
      <c r="K239" s="1142"/>
      <c r="L239" s="1142"/>
      <c r="M239" s="1144"/>
    </row>
    <row r="240" spans="1:13" x14ac:dyDescent="0.25">
      <c r="A240" s="1145"/>
      <c r="B240" s="1142"/>
      <c r="C240" s="1142"/>
      <c r="D240" s="1142"/>
      <c r="E240" s="1142"/>
      <c r="F240" s="1142"/>
      <c r="G240" s="1142"/>
      <c r="H240" s="1142"/>
      <c r="I240" s="1142"/>
      <c r="J240" s="1142"/>
      <c r="K240" s="1142"/>
      <c r="L240" s="1142"/>
      <c r="M240" s="1144"/>
    </row>
    <row r="241" spans="1:13" x14ac:dyDescent="0.25">
      <c r="A241" s="1145"/>
      <c r="B241" s="1146" t="s">
        <v>397</v>
      </c>
      <c r="C241" s="1142"/>
      <c r="D241" s="1142"/>
      <c r="E241" s="1142"/>
      <c r="F241" s="1142"/>
      <c r="G241" s="1142"/>
      <c r="H241" s="1142"/>
      <c r="I241" s="1142"/>
      <c r="J241" s="1142"/>
      <c r="K241" s="1142"/>
      <c r="L241" s="1142"/>
      <c r="M241" s="1144"/>
    </row>
    <row r="242" spans="1:13" x14ac:dyDescent="0.25">
      <c r="A242" s="1145"/>
      <c r="B242" s="1146" t="s">
        <v>663</v>
      </c>
      <c r="C242" s="1142"/>
      <c r="D242" s="1142"/>
      <c r="E242" s="1142"/>
      <c r="F242" s="1142"/>
      <c r="G242" s="1142"/>
      <c r="H242" s="1142"/>
      <c r="I242" s="1142"/>
      <c r="J242" s="1142"/>
      <c r="K242" s="1142"/>
      <c r="L242" s="1142"/>
      <c r="M242" s="1144"/>
    </row>
    <row r="243" spans="1:13" x14ac:dyDescent="0.25">
      <c r="A243" s="1145"/>
      <c r="B243" s="1146"/>
      <c r="C243" s="1142"/>
      <c r="D243" s="1142"/>
      <c r="E243" s="1142"/>
      <c r="F243" s="1142"/>
      <c r="G243" s="1142"/>
      <c r="H243" s="1142"/>
      <c r="I243" s="1142"/>
      <c r="J243" s="1142"/>
      <c r="K243" s="1142"/>
      <c r="L243" s="1142"/>
      <c r="M243" s="1144"/>
    </row>
    <row r="244" spans="1:13" x14ac:dyDescent="0.25">
      <c r="A244" s="323" t="s">
        <v>503</v>
      </c>
      <c r="B244" s="1142"/>
      <c r="C244" s="1143"/>
      <c r="D244" s="1142"/>
      <c r="E244" s="1142"/>
      <c r="F244" s="1142"/>
      <c r="G244" s="1142"/>
      <c r="H244" s="1142"/>
      <c r="I244" s="1142"/>
      <c r="J244" s="1142"/>
      <c r="K244" s="1142"/>
      <c r="L244" s="1142"/>
      <c r="M244" s="1144"/>
    </row>
    <row r="245" spans="1:13" x14ac:dyDescent="0.25">
      <c r="A245" s="1145"/>
      <c r="B245" s="1146"/>
      <c r="C245" s="1142"/>
      <c r="D245" s="1142"/>
      <c r="E245" s="1142"/>
      <c r="F245" s="1142"/>
      <c r="G245" s="1142"/>
      <c r="H245" s="1142"/>
      <c r="I245" s="1142"/>
      <c r="J245" s="1142"/>
      <c r="K245" s="1142"/>
      <c r="L245" s="1142"/>
      <c r="M245" s="1144"/>
    </row>
    <row r="246" spans="1:13" x14ac:dyDescent="0.25">
      <c r="A246" s="1145"/>
      <c r="B246" s="1142"/>
      <c r="C246" s="1142"/>
      <c r="D246" s="1142"/>
      <c r="E246" s="1142"/>
      <c r="F246" s="1142"/>
      <c r="G246" s="1142"/>
      <c r="H246" s="1142"/>
      <c r="I246" s="1142"/>
      <c r="J246" s="1142"/>
      <c r="K246" s="1142"/>
      <c r="L246" s="1142"/>
      <c r="M246" s="1144"/>
    </row>
    <row r="247" spans="1:13" x14ac:dyDescent="0.25">
      <c r="A247" s="1145"/>
      <c r="B247" s="1146"/>
      <c r="C247" s="1142"/>
      <c r="D247" s="1142"/>
      <c r="E247" s="1142"/>
      <c r="F247" s="1142"/>
      <c r="G247" s="1142"/>
      <c r="H247" s="1142"/>
      <c r="I247" s="1142"/>
      <c r="J247" s="1142"/>
      <c r="K247" s="1142"/>
      <c r="L247" s="1142"/>
      <c r="M247" s="1144"/>
    </row>
    <row r="248" spans="1:13" x14ac:dyDescent="0.25">
      <c r="A248" s="1145"/>
      <c r="B248" s="1146"/>
      <c r="C248" s="1142"/>
      <c r="D248" s="1142"/>
      <c r="E248" s="1142"/>
      <c r="F248" s="1142"/>
      <c r="G248" s="1142"/>
      <c r="H248" s="1142"/>
      <c r="I248" s="1142"/>
      <c r="J248" s="1142"/>
      <c r="K248" s="1142"/>
      <c r="L248" s="1142"/>
      <c r="M248" s="1144"/>
    </row>
    <row r="249" spans="1:13" ht="18" x14ac:dyDescent="0.25">
      <c r="A249" s="1145"/>
      <c r="B249" s="1142" t="s">
        <v>665</v>
      </c>
      <c r="C249" s="1142">
        <v>1</v>
      </c>
      <c r="D249" s="1142" t="s">
        <v>93</v>
      </c>
      <c r="E249" s="1142"/>
      <c r="F249" s="1142"/>
      <c r="G249" s="1142"/>
      <c r="H249" s="1142"/>
      <c r="I249" s="1142"/>
      <c r="J249" s="1142"/>
      <c r="K249" s="1142"/>
      <c r="L249" s="1142"/>
      <c r="M249" s="1144"/>
    </row>
    <row r="250" spans="1:13" ht="15.75" thickBot="1" x14ac:dyDescent="0.3">
      <c r="A250" s="1149"/>
      <c r="B250" s="1150"/>
      <c r="C250" s="1150"/>
      <c r="D250" s="1150"/>
      <c r="E250" s="1150"/>
      <c r="F250" s="1150"/>
      <c r="G250" s="1150"/>
      <c r="H250" s="1150"/>
      <c r="I250" s="1150"/>
      <c r="J250" s="1150"/>
      <c r="K250" s="1150"/>
      <c r="L250" s="1150"/>
      <c r="M250" s="1151"/>
    </row>
    <row r="251" spans="1:13" ht="16.5" customHeight="1" x14ac:dyDescent="0.25">
      <c r="A251" s="1138"/>
      <c r="B251" s="1156"/>
      <c r="C251" s="1139"/>
      <c r="D251" s="1139"/>
      <c r="E251" s="1139"/>
      <c r="F251" s="1139"/>
      <c r="G251" s="1139"/>
      <c r="H251" s="1139"/>
      <c r="I251" s="1139"/>
      <c r="J251" s="1139"/>
      <c r="K251" s="1139"/>
      <c r="L251" s="1139"/>
      <c r="M251" s="1140"/>
    </row>
    <row r="252" spans="1:13" x14ac:dyDescent="0.25">
      <c r="A252" s="323" t="s">
        <v>999</v>
      </c>
      <c r="B252" s="1146"/>
      <c r="C252" s="1142"/>
      <c r="D252" s="1142"/>
      <c r="E252" s="1142"/>
      <c r="F252" s="1142"/>
      <c r="G252" s="1142"/>
      <c r="H252" s="1142"/>
      <c r="I252" s="1142"/>
      <c r="J252" s="1142"/>
      <c r="K252" s="1142"/>
      <c r="L252" s="1142"/>
      <c r="M252" s="1144"/>
    </row>
    <row r="253" spans="1:13" x14ac:dyDescent="0.25">
      <c r="A253" s="1141"/>
      <c r="B253" s="1146"/>
      <c r="C253" s="1142"/>
      <c r="D253" s="1142"/>
      <c r="E253" s="1142"/>
      <c r="F253" s="1142"/>
      <c r="G253" s="1142"/>
      <c r="H253" s="1142"/>
      <c r="I253" s="1142"/>
      <c r="J253" s="1142"/>
      <c r="K253" s="1142"/>
      <c r="L253" s="1142"/>
      <c r="M253" s="1144"/>
    </row>
    <row r="254" spans="1:13" x14ac:dyDescent="0.25">
      <c r="A254" s="323" t="s">
        <v>504</v>
      </c>
      <c r="B254" s="1146"/>
      <c r="C254" s="1142"/>
      <c r="D254" s="1142"/>
      <c r="E254" s="1142"/>
      <c r="F254" s="1142"/>
      <c r="G254" s="1142"/>
      <c r="H254" s="1142"/>
      <c r="I254" s="1142"/>
      <c r="J254" s="1142"/>
      <c r="K254" s="1142"/>
      <c r="L254" s="1142"/>
      <c r="M254" s="1144"/>
    </row>
    <row r="255" spans="1:13" x14ac:dyDescent="0.25">
      <c r="A255" s="1141"/>
      <c r="B255" s="1146"/>
      <c r="C255" s="1142"/>
      <c r="D255" s="1142"/>
      <c r="E255" s="1142"/>
      <c r="F255" s="1142"/>
      <c r="G255" s="1142"/>
      <c r="H255" s="1142"/>
      <c r="I255" s="1142"/>
      <c r="J255" s="1142"/>
      <c r="K255" s="1142"/>
      <c r="L255" s="1142"/>
      <c r="M255" s="1144"/>
    </row>
    <row r="256" spans="1:13" x14ac:dyDescent="0.25">
      <c r="A256" s="1141"/>
      <c r="B256" s="1142" t="s">
        <v>464</v>
      </c>
      <c r="C256" s="1146" t="s">
        <v>455</v>
      </c>
      <c r="D256" s="1142"/>
      <c r="E256" s="1142"/>
      <c r="F256" s="1142"/>
      <c r="G256" s="1142"/>
      <c r="H256" s="1142"/>
      <c r="I256" s="1142"/>
      <c r="J256" s="1142"/>
      <c r="K256" s="1142"/>
      <c r="L256" s="1142"/>
      <c r="M256" s="1144"/>
    </row>
    <row r="257" spans="1:13" x14ac:dyDescent="0.25">
      <c r="A257" s="1141"/>
      <c r="B257" s="1142"/>
      <c r="C257" s="1146"/>
      <c r="D257" s="1142"/>
      <c r="E257" s="1142"/>
      <c r="F257" s="1142"/>
      <c r="G257" s="1142"/>
      <c r="H257" s="1142"/>
      <c r="I257" s="1142"/>
      <c r="J257" s="1142"/>
      <c r="K257" s="1142"/>
      <c r="L257" s="1142"/>
      <c r="M257" s="1144"/>
    </row>
    <row r="258" spans="1:13" x14ac:dyDescent="0.25">
      <c r="A258" s="1141"/>
      <c r="B258" s="1142" t="s">
        <v>464</v>
      </c>
      <c r="C258" s="1143">
        <f>'F-LSCD-002 (Dosimetría)'!E73</f>
        <v>0.4</v>
      </c>
      <c r="D258" s="1146" t="s">
        <v>369</v>
      </c>
      <c r="E258" s="1142"/>
      <c r="F258" s="1142"/>
      <c r="G258" s="1142"/>
      <c r="H258" s="1142"/>
      <c r="I258" s="1142"/>
      <c r="J258" s="1142"/>
      <c r="K258" s="1142"/>
      <c r="L258" s="1142"/>
      <c r="M258" s="1144"/>
    </row>
    <row r="259" spans="1:13" x14ac:dyDescent="0.25">
      <c r="A259" s="1141"/>
      <c r="B259" s="1142"/>
      <c r="C259" s="1143"/>
      <c r="D259" s="1142"/>
      <c r="E259" s="1142"/>
      <c r="F259" s="1142"/>
      <c r="G259" s="1142"/>
      <c r="H259" s="1142"/>
      <c r="I259" s="1142"/>
      <c r="J259" s="1142"/>
      <c r="K259" s="1142"/>
      <c r="L259" s="1142"/>
      <c r="M259" s="1144"/>
    </row>
    <row r="260" spans="1:13" x14ac:dyDescent="0.25">
      <c r="A260" s="323" t="s">
        <v>505</v>
      </c>
      <c r="B260" s="1142"/>
      <c r="C260" s="1143"/>
      <c r="D260" s="1142"/>
      <c r="E260" s="1142"/>
      <c r="F260" s="1142"/>
      <c r="G260" s="1142"/>
      <c r="H260" s="1142"/>
      <c r="I260" s="1142"/>
      <c r="J260" s="1142"/>
      <c r="K260" s="1142"/>
      <c r="L260" s="1142"/>
      <c r="M260" s="1144"/>
    </row>
    <row r="261" spans="1:13" x14ac:dyDescent="0.25">
      <c r="A261" s="1141"/>
      <c r="B261" s="1142"/>
      <c r="C261" s="1143"/>
      <c r="D261" s="1142"/>
      <c r="E261" s="1142"/>
      <c r="F261" s="1142"/>
      <c r="G261" s="1142"/>
      <c r="H261" s="1142"/>
      <c r="I261" s="1142"/>
      <c r="J261" s="1142"/>
      <c r="K261" s="1142"/>
      <c r="L261" s="1142"/>
      <c r="M261" s="1144"/>
    </row>
    <row r="262" spans="1:13" x14ac:dyDescent="0.25">
      <c r="A262" s="1141"/>
      <c r="B262" s="1142"/>
      <c r="C262" s="1143"/>
      <c r="D262" s="1142"/>
      <c r="E262" s="1142"/>
      <c r="F262" s="1142"/>
      <c r="G262" s="1142"/>
      <c r="H262" s="1142"/>
      <c r="I262" s="1142"/>
      <c r="J262" s="1142"/>
      <c r="K262" s="1142"/>
      <c r="L262" s="1142"/>
      <c r="M262" s="1144"/>
    </row>
    <row r="263" spans="1:13" x14ac:dyDescent="0.25">
      <c r="A263" s="1141"/>
      <c r="B263" s="1142"/>
      <c r="C263" s="1143"/>
      <c r="D263" s="1142"/>
      <c r="E263" s="1142"/>
      <c r="F263" s="1142"/>
      <c r="G263" s="1142"/>
      <c r="H263" s="1142"/>
      <c r="I263" s="1142"/>
      <c r="J263" s="1142"/>
      <c r="K263" s="1142"/>
      <c r="L263" s="1142"/>
      <c r="M263" s="1144"/>
    </row>
    <row r="264" spans="1:13" x14ac:dyDescent="0.25">
      <c r="A264" s="1141"/>
      <c r="B264" s="1142"/>
      <c r="C264" s="1146"/>
      <c r="D264" s="1142"/>
      <c r="E264" s="1142"/>
      <c r="F264" s="1142"/>
      <c r="G264" s="1142"/>
      <c r="H264" s="1142"/>
      <c r="I264" s="1142"/>
      <c r="J264" s="1142"/>
      <c r="K264" s="1142"/>
      <c r="L264" s="1142"/>
      <c r="M264" s="1144"/>
    </row>
    <row r="265" spans="1:13" ht="18" x14ac:dyDescent="0.25">
      <c r="A265" s="1141"/>
      <c r="B265" s="1155" t="s">
        <v>809</v>
      </c>
      <c r="C265" s="1143">
        <f>-(C83/C84^2)*((273.2+C88)*C85)/((273.2+C87)*C86)*C80*C81*C82*C90</f>
        <v>2.2797840393227461E-4</v>
      </c>
      <c r="D265" s="1142" t="s">
        <v>641</v>
      </c>
      <c r="E265" s="1142"/>
      <c r="F265" s="1142"/>
      <c r="G265" s="1142"/>
      <c r="H265" s="1142"/>
      <c r="I265" s="1142"/>
      <c r="J265" s="1142"/>
      <c r="K265" s="1142"/>
      <c r="L265" s="1142"/>
      <c r="M265" s="1144"/>
    </row>
    <row r="266" spans="1:13" ht="15.75" thickBot="1" x14ac:dyDescent="0.3">
      <c r="A266" s="1157"/>
      <c r="B266" s="1150"/>
      <c r="C266" s="1158"/>
      <c r="D266" s="1150"/>
      <c r="E266" s="1150"/>
      <c r="F266" s="1150"/>
      <c r="G266" s="1150"/>
      <c r="H266" s="1150"/>
      <c r="I266" s="1150"/>
      <c r="J266" s="1150"/>
      <c r="K266" s="1150"/>
      <c r="L266" s="1150"/>
      <c r="M266" s="1151"/>
    </row>
    <row r="267" spans="1:13" x14ac:dyDescent="0.25">
      <c r="A267" s="1159"/>
      <c r="B267" s="1139"/>
      <c r="C267" s="1156"/>
      <c r="D267" s="1139"/>
      <c r="E267" s="1139"/>
      <c r="F267" s="1139"/>
      <c r="G267" s="1139"/>
      <c r="H267" s="1139"/>
      <c r="I267" s="1139"/>
      <c r="J267" s="1139"/>
      <c r="K267" s="1139"/>
      <c r="L267" s="1139"/>
      <c r="M267" s="1140"/>
    </row>
    <row r="268" spans="1:13" x14ac:dyDescent="0.25">
      <c r="A268" s="323" t="s">
        <v>998</v>
      </c>
      <c r="B268" s="1146"/>
      <c r="C268" s="1142"/>
      <c r="D268" s="1142"/>
      <c r="E268" s="1142"/>
      <c r="F268" s="1142"/>
      <c r="G268" s="1142"/>
      <c r="H268" s="1142"/>
      <c r="I268" s="1142"/>
      <c r="J268" s="1142"/>
      <c r="K268" s="1142"/>
      <c r="L268" s="1142"/>
      <c r="M268" s="1144"/>
    </row>
    <row r="269" spans="1:13" x14ac:dyDescent="0.25">
      <c r="A269" s="1141"/>
      <c r="B269" s="1146"/>
      <c r="C269" s="1142"/>
      <c r="D269" s="1142"/>
      <c r="E269" s="1142"/>
      <c r="F269" s="1142"/>
      <c r="G269" s="1142"/>
      <c r="H269" s="1142"/>
      <c r="I269" s="1142"/>
      <c r="J269" s="1142"/>
      <c r="K269" s="1142"/>
      <c r="L269" s="1142"/>
      <c r="M269" s="1144"/>
    </row>
    <row r="270" spans="1:13" x14ac:dyDescent="0.25">
      <c r="A270" s="323" t="s">
        <v>508</v>
      </c>
      <c r="B270" s="1146"/>
      <c r="C270" s="1142"/>
      <c r="D270" s="1142"/>
      <c r="E270" s="1142"/>
      <c r="F270" s="1142"/>
      <c r="G270" s="1142"/>
      <c r="H270" s="1142"/>
      <c r="I270" s="1142"/>
      <c r="J270" s="1142"/>
      <c r="K270" s="1142"/>
      <c r="L270" s="1142"/>
      <c r="M270" s="1144"/>
    </row>
    <row r="271" spans="1:13" x14ac:dyDescent="0.25">
      <c r="A271" s="1141"/>
      <c r="B271" s="1146"/>
      <c r="C271" s="1142"/>
      <c r="D271" s="1142"/>
      <c r="E271" s="1142"/>
      <c r="F271" s="1142"/>
      <c r="G271" s="1142"/>
      <c r="H271" s="1142"/>
      <c r="I271" s="1142"/>
      <c r="J271" s="1142"/>
      <c r="K271" s="1142"/>
      <c r="L271" s="1142"/>
      <c r="M271" s="1144"/>
    </row>
    <row r="272" spans="1:13" x14ac:dyDescent="0.25">
      <c r="A272" s="1141"/>
      <c r="B272" s="1146" t="s">
        <v>646</v>
      </c>
      <c r="C272" s="1142"/>
      <c r="D272" s="1142"/>
      <c r="E272" s="1142"/>
      <c r="F272" s="1142">
        <f>'F-LSCD-002 (Dosimetría)'!D73</f>
        <v>0.1</v>
      </c>
      <c r="G272" s="1142" t="s">
        <v>369</v>
      </c>
      <c r="H272" s="1142"/>
      <c r="I272" s="1142"/>
      <c r="J272" s="1142"/>
      <c r="K272" s="1142"/>
      <c r="L272" s="1142"/>
      <c r="M272" s="1144"/>
    </row>
    <row r="273" spans="1:13" x14ac:dyDescent="0.25">
      <c r="A273" s="1141"/>
      <c r="B273" s="1146"/>
      <c r="C273" s="1142"/>
      <c r="D273" s="1142"/>
      <c r="E273" s="1142"/>
      <c r="F273" s="1142"/>
      <c r="G273" s="1142"/>
      <c r="H273" s="1142"/>
      <c r="I273" s="1142"/>
      <c r="J273" s="1142"/>
      <c r="K273" s="1142"/>
      <c r="L273" s="1142"/>
      <c r="M273" s="1144"/>
    </row>
    <row r="274" spans="1:13" x14ac:dyDescent="0.25">
      <c r="A274" s="1141"/>
      <c r="B274" s="1142" t="s">
        <v>464</v>
      </c>
      <c r="C274" s="1146" t="s">
        <v>399</v>
      </c>
      <c r="D274" s="1142"/>
      <c r="E274" s="1142"/>
      <c r="F274" s="1142"/>
      <c r="G274" s="1142"/>
      <c r="H274" s="1142"/>
      <c r="I274" s="1142"/>
      <c r="J274" s="1142"/>
      <c r="K274" s="1142"/>
      <c r="L274" s="1142"/>
      <c r="M274" s="1144"/>
    </row>
    <row r="275" spans="1:13" x14ac:dyDescent="0.25">
      <c r="A275" s="1141"/>
      <c r="B275" s="1146"/>
      <c r="C275" s="1142"/>
      <c r="D275" s="1142"/>
      <c r="E275" s="1142"/>
      <c r="F275" s="1142"/>
      <c r="G275" s="1142"/>
      <c r="H275" s="1142"/>
      <c r="I275" s="1142"/>
      <c r="J275" s="1142"/>
      <c r="K275" s="1142"/>
      <c r="L275" s="1142"/>
      <c r="M275" s="1144"/>
    </row>
    <row r="276" spans="1:13" x14ac:dyDescent="0.25">
      <c r="A276" s="1141"/>
      <c r="B276" s="1142" t="s">
        <v>464</v>
      </c>
      <c r="C276" s="1143">
        <f>F272/2</f>
        <v>0.05</v>
      </c>
      <c r="D276" s="1146" t="s">
        <v>369</v>
      </c>
      <c r="E276" s="1142"/>
      <c r="F276" s="1142"/>
      <c r="G276" s="1142"/>
      <c r="H276" s="1142"/>
      <c r="I276" s="1142"/>
      <c r="J276" s="1142"/>
      <c r="K276" s="1142"/>
      <c r="L276" s="1142"/>
      <c r="M276" s="1144"/>
    </row>
    <row r="277" spans="1:13" x14ac:dyDescent="0.25">
      <c r="A277" s="1141"/>
      <c r="B277" s="1142"/>
      <c r="C277" s="1143"/>
      <c r="D277" s="1142"/>
      <c r="E277" s="1142"/>
      <c r="F277" s="1142"/>
      <c r="G277" s="1142"/>
      <c r="H277" s="1142"/>
      <c r="I277" s="1142"/>
      <c r="J277" s="1142"/>
      <c r="K277" s="1142"/>
      <c r="L277" s="1142"/>
      <c r="M277" s="1144"/>
    </row>
    <row r="278" spans="1:13" x14ac:dyDescent="0.25">
      <c r="A278" s="323" t="s">
        <v>509</v>
      </c>
      <c r="B278" s="1142"/>
      <c r="C278" s="1143"/>
      <c r="D278" s="1142"/>
      <c r="E278" s="1142"/>
      <c r="F278" s="1142"/>
      <c r="G278" s="1142"/>
      <c r="H278" s="1142"/>
      <c r="I278" s="1142"/>
      <c r="J278" s="1142"/>
      <c r="K278" s="1142"/>
      <c r="L278" s="1142"/>
      <c r="M278" s="1144"/>
    </row>
    <row r="279" spans="1:13" x14ac:dyDescent="0.25">
      <c r="A279" s="1141"/>
      <c r="B279" s="1142"/>
      <c r="C279" s="1143"/>
      <c r="D279" s="1142"/>
      <c r="E279" s="1142"/>
      <c r="F279" s="1142"/>
      <c r="G279" s="1142"/>
      <c r="H279" s="1142"/>
      <c r="I279" s="1142"/>
      <c r="J279" s="1142"/>
      <c r="K279" s="1142"/>
      <c r="L279" s="1142"/>
      <c r="M279" s="1144"/>
    </row>
    <row r="280" spans="1:13" x14ac:dyDescent="0.25">
      <c r="A280" s="1141"/>
      <c r="B280" s="1142"/>
      <c r="C280" s="1143"/>
      <c r="D280" s="1142"/>
      <c r="E280" s="1142"/>
      <c r="F280" s="1142"/>
      <c r="G280" s="1142"/>
      <c r="H280" s="1142"/>
      <c r="I280" s="1142"/>
      <c r="J280" s="1142"/>
      <c r="K280" s="1142"/>
      <c r="L280" s="1142"/>
      <c r="M280" s="1144"/>
    </row>
    <row r="281" spans="1:13" x14ac:dyDescent="0.25">
      <c r="A281" s="1141"/>
      <c r="B281" s="1142"/>
      <c r="C281" s="1143"/>
      <c r="D281" s="1142"/>
      <c r="E281" s="1142"/>
      <c r="F281" s="1142"/>
      <c r="G281" s="1142"/>
      <c r="H281" s="1142"/>
      <c r="I281" s="1142"/>
      <c r="J281" s="1142"/>
      <c r="K281" s="1142"/>
      <c r="L281" s="1142"/>
      <c r="M281" s="1144"/>
    </row>
    <row r="282" spans="1:13" x14ac:dyDescent="0.25">
      <c r="A282" s="1141"/>
      <c r="B282" s="1142"/>
      <c r="C282" s="1143"/>
      <c r="D282" s="1142"/>
      <c r="E282" s="1142"/>
      <c r="F282" s="1142"/>
      <c r="G282" s="1142"/>
      <c r="H282" s="1142"/>
      <c r="I282" s="1142"/>
      <c r="J282" s="1142"/>
      <c r="K282" s="1142"/>
      <c r="L282" s="1142"/>
      <c r="M282" s="1144"/>
    </row>
    <row r="283" spans="1:13" ht="18" x14ac:dyDescent="0.25">
      <c r="A283" s="1141"/>
      <c r="B283" s="1142" t="s">
        <v>647</v>
      </c>
      <c r="C283" s="1143">
        <f>-(C83/C84^2)*((273.2+C88)*C85)/((273.2+C87)*C86)*C80*C81*C82*C90</f>
        <v>2.2797840393227461E-4</v>
      </c>
      <c r="D283" s="1142" t="s">
        <v>641</v>
      </c>
      <c r="E283" s="1142"/>
      <c r="F283" s="1142"/>
      <c r="G283" s="1142"/>
      <c r="H283" s="1142"/>
      <c r="I283" s="1142"/>
      <c r="J283" s="1142"/>
      <c r="K283" s="1142"/>
      <c r="L283" s="1142"/>
      <c r="M283" s="1144"/>
    </row>
    <row r="284" spans="1:13" ht="15.75" thickBot="1" x14ac:dyDescent="0.3">
      <c r="A284" s="1157"/>
      <c r="B284" s="1150"/>
      <c r="C284" s="1160"/>
      <c r="D284" s="1150"/>
      <c r="E284" s="1150"/>
      <c r="F284" s="1150"/>
      <c r="G284" s="1150"/>
      <c r="H284" s="1150"/>
      <c r="I284" s="1150"/>
      <c r="J284" s="1150"/>
      <c r="K284" s="1150"/>
      <c r="L284" s="1150"/>
      <c r="M284" s="1151"/>
    </row>
    <row r="285" spans="1:13" s="730" customFormat="1" x14ac:dyDescent="0.25">
      <c r="A285" s="747"/>
      <c r="B285" s="773"/>
      <c r="C285" s="748"/>
      <c r="D285" s="748"/>
      <c r="E285" s="748"/>
      <c r="F285" s="748"/>
      <c r="G285" s="748"/>
      <c r="H285" s="748"/>
      <c r="I285" s="748"/>
      <c r="J285" s="748"/>
      <c r="K285" s="748"/>
      <c r="L285" s="748"/>
      <c r="M285" s="749"/>
    </row>
    <row r="286" spans="1:13" s="730" customFormat="1" x14ac:dyDescent="0.25">
      <c r="A286" s="323" t="s">
        <v>1005</v>
      </c>
      <c r="B286" s="754"/>
      <c r="C286" s="751"/>
      <c r="D286" s="751"/>
      <c r="E286" s="751"/>
      <c r="F286" s="751"/>
      <c r="G286" s="751"/>
      <c r="H286" s="751"/>
      <c r="I286" s="751"/>
      <c r="J286" s="751"/>
      <c r="K286" s="751"/>
      <c r="L286" s="751"/>
      <c r="M286" s="752"/>
    </row>
    <row r="287" spans="1:13" s="730" customFormat="1" x14ac:dyDescent="0.25">
      <c r="A287" s="750"/>
      <c r="B287" s="754"/>
      <c r="C287" s="751"/>
      <c r="D287" s="751"/>
      <c r="E287" s="751"/>
      <c r="F287" s="751"/>
      <c r="G287" s="751"/>
      <c r="H287" s="751"/>
      <c r="I287" s="751"/>
      <c r="J287" s="751"/>
      <c r="K287" s="751"/>
      <c r="L287" s="751"/>
      <c r="M287" s="752"/>
    </row>
    <row r="288" spans="1:13" s="730" customFormat="1" x14ac:dyDescent="0.25">
      <c r="A288" s="323" t="s">
        <v>512</v>
      </c>
      <c r="B288" s="754"/>
      <c r="C288" s="751"/>
      <c r="D288" s="751"/>
      <c r="E288" s="751"/>
      <c r="F288" s="751"/>
      <c r="G288" s="751"/>
      <c r="H288" s="751"/>
      <c r="I288" s="751"/>
      <c r="J288" s="751"/>
      <c r="K288" s="751"/>
      <c r="L288" s="751"/>
      <c r="M288" s="752"/>
    </row>
    <row r="289" spans="1:15" s="730" customFormat="1" x14ac:dyDescent="0.25">
      <c r="A289" s="323"/>
      <c r="B289" s="754"/>
      <c r="C289" s="751"/>
      <c r="D289" s="751"/>
      <c r="E289" s="751"/>
      <c r="F289" s="751"/>
      <c r="G289" s="751"/>
      <c r="H289" s="751"/>
      <c r="I289" s="751"/>
      <c r="J289" s="751"/>
      <c r="K289" s="751"/>
      <c r="L289" s="751"/>
      <c r="M289" s="752"/>
    </row>
    <row r="290" spans="1:15" s="730" customFormat="1" x14ac:dyDescent="0.25">
      <c r="A290" s="750"/>
      <c r="B290" s="751" t="s">
        <v>464</v>
      </c>
      <c r="C290" s="754" t="s">
        <v>399</v>
      </c>
      <c r="D290" s="751"/>
      <c r="E290" s="751"/>
      <c r="F290" s="751"/>
      <c r="G290" s="751"/>
      <c r="H290" s="751"/>
      <c r="I290" s="751"/>
      <c r="J290" s="751"/>
      <c r="K290" s="751"/>
      <c r="L290" s="751"/>
      <c r="M290" s="752"/>
    </row>
    <row r="291" spans="1:15" s="730" customFormat="1" x14ac:dyDescent="0.25">
      <c r="A291" s="750"/>
      <c r="B291" s="751"/>
      <c r="C291" s="754"/>
      <c r="D291" s="751"/>
      <c r="E291" s="751"/>
      <c r="F291" s="751"/>
      <c r="G291" s="751"/>
      <c r="H291" s="751"/>
      <c r="I291" s="751"/>
      <c r="J291" s="751"/>
      <c r="K291" s="751"/>
      <c r="L291" s="751"/>
      <c r="M291" s="752"/>
    </row>
    <row r="292" spans="1:15" s="730" customFormat="1" x14ac:dyDescent="0.25">
      <c r="A292" s="750"/>
      <c r="B292" s="324" t="s">
        <v>397</v>
      </c>
      <c r="C292" s="754"/>
      <c r="D292" s="324"/>
      <c r="E292" s="751"/>
      <c r="F292" s="751"/>
      <c r="G292" s="751"/>
      <c r="H292" s="751"/>
      <c r="I292" s="751"/>
      <c r="J292" s="751"/>
      <c r="K292" s="751"/>
      <c r="L292" s="751"/>
      <c r="M292" s="752"/>
    </row>
    <row r="293" spans="1:15" s="730" customFormat="1" x14ac:dyDescent="0.25">
      <c r="A293" s="750"/>
      <c r="B293" s="354" t="str">
        <f>"La lectura mínima del dosímetro, es convertida a la unidad de Sv, y posteriormente a la la magnitud kerma en aire con unidad de Gy a través del factor "&amp;'F-LSCD-002 (Dosimetría)'!F80&amp;" "&amp;'F-LSCD-002 (Dosimetría)'!E80</f>
        <v>La lectura mínima del dosímetro, es convertida a la unidad de Sv, y posteriormente a la la magnitud kerma en aire con unidad de Gy a través del factor 1.21 Sv.Gy-1</v>
      </c>
      <c r="C293" s="754"/>
      <c r="D293" s="324"/>
      <c r="E293" s="751"/>
      <c r="F293" s="751"/>
      <c r="G293" s="751"/>
      <c r="H293" s="751"/>
      <c r="I293" s="751"/>
      <c r="J293" s="751"/>
      <c r="K293" s="751"/>
      <c r="L293" s="751"/>
      <c r="M293" s="752"/>
    </row>
    <row r="294" spans="1:15" s="730" customFormat="1" x14ac:dyDescent="0.25">
      <c r="A294" s="750"/>
      <c r="B294" s="754"/>
      <c r="C294" s="751"/>
      <c r="D294" s="751"/>
      <c r="E294" s="751"/>
      <c r="F294" s="751"/>
      <c r="G294" s="751"/>
      <c r="H294" s="751"/>
      <c r="I294" s="751"/>
      <c r="J294" s="751"/>
      <c r="K294" s="751"/>
      <c r="L294" s="751"/>
      <c r="M294" s="752"/>
    </row>
    <row r="295" spans="1:15" s="730" customFormat="1" x14ac:dyDescent="0.25">
      <c r="A295" s="323" t="s">
        <v>513</v>
      </c>
      <c r="B295" s="751"/>
      <c r="C295" s="755"/>
      <c r="D295" s="754"/>
      <c r="E295" s="751"/>
      <c r="F295" s="751"/>
      <c r="G295" s="751"/>
      <c r="H295" s="751"/>
      <c r="I295" s="751"/>
      <c r="J295" s="751"/>
      <c r="K295" s="751"/>
      <c r="L295" s="751"/>
      <c r="M295" s="752"/>
    </row>
    <row r="296" spans="1:15" s="730" customFormat="1" x14ac:dyDescent="0.25">
      <c r="A296" s="750"/>
      <c r="B296" s="751"/>
      <c r="C296" s="755"/>
      <c r="D296" s="754"/>
      <c r="E296" s="751"/>
      <c r="F296" s="751"/>
      <c r="G296" s="751"/>
      <c r="H296" s="751"/>
      <c r="I296" s="751"/>
      <c r="J296" s="751"/>
      <c r="K296" s="751"/>
      <c r="L296" s="751"/>
      <c r="M296" s="752"/>
    </row>
    <row r="297" spans="1:15" s="730" customFormat="1" x14ac:dyDescent="0.25">
      <c r="A297" s="750"/>
      <c r="B297" s="754"/>
      <c r="C297" s="755"/>
      <c r="D297" s="754"/>
      <c r="E297" s="751"/>
      <c r="F297" s="751"/>
      <c r="G297" s="751"/>
      <c r="H297" s="751"/>
      <c r="I297" s="751"/>
      <c r="J297" s="751"/>
      <c r="K297" s="751"/>
      <c r="L297" s="751"/>
      <c r="M297" s="752"/>
    </row>
    <row r="298" spans="1:15" s="730" customFormat="1" x14ac:dyDescent="0.25">
      <c r="A298" s="750"/>
      <c r="B298" s="751"/>
      <c r="C298" s="755"/>
      <c r="D298" s="754"/>
      <c r="E298" s="751"/>
      <c r="F298" s="751"/>
      <c r="G298" s="751"/>
      <c r="H298" s="751"/>
      <c r="I298" s="751"/>
      <c r="J298" s="751"/>
      <c r="K298" s="751"/>
      <c r="L298" s="751"/>
      <c r="M298" s="752"/>
    </row>
    <row r="299" spans="1:15" s="730" customFormat="1" x14ac:dyDescent="0.25">
      <c r="A299" s="750"/>
      <c r="B299" s="751"/>
      <c r="C299" s="755"/>
      <c r="D299" s="754"/>
      <c r="E299" s="751"/>
      <c r="F299" s="751"/>
      <c r="G299" s="751"/>
      <c r="H299" s="751"/>
      <c r="I299" s="751"/>
      <c r="J299" s="751"/>
      <c r="K299" s="751"/>
      <c r="L299" s="751"/>
      <c r="M299" s="752"/>
    </row>
    <row r="300" spans="1:15" s="730" customFormat="1" ht="18" x14ac:dyDescent="0.25">
      <c r="A300" s="750"/>
      <c r="B300" s="329" t="s">
        <v>1007</v>
      </c>
      <c r="C300" s="885">
        <v>1</v>
      </c>
      <c r="D300" s="354" t="s">
        <v>93</v>
      </c>
      <c r="E300" s="751"/>
      <c r="F300" s="751"/>
      <c r="G300" s="751"/>
      <c r="H300" s="751"/>
      <c r="I300" s="751"/>
      <c r="J300" s="751"/>
      <c r="K300" s="751"/>
      <c r="L300" s="751"/>
      <c r="M300" s="752"/>
    </row>
    <row r="301" spans="1:15" s="730" customFormat="1" ht="15.75" thickBot="1" x14ac:dyDescent="0.3">
      <c r="A301" s="756"/>
      <c r="B301" s="757"/>
      <c r="C301" s="757"/>
      <c r="D301" s="757"/>
      <c r="E301" s="757"/>
      <c r="F301" s="757"/>
      <c r="G301" s="757"/>
      <c r="H301" s="757"/>
      <c r="I301" s="757"/>
      <c r="J301" s="757"/>
      <c r="K301" s="757"/>
      <c r="L301" s="757"/>
      <c r="M301" s="758"/>
    </row>
    <row r="302" spans="1:15" x14ac:dyDescent="0.25">
      <c r="N302" s="730"/>
      <c r="O302" s="730"/>
    </row>
  </sheetData>
  <sheetProtection password="D8A8"/>
  <mergeCells count="138">
    <mergeCell ref="D1:Q4"/>
    <mergeCell ref="A7:S7"/>
    <mergeCell ref="M17:N17"/>
    <mergeCell ref="O17:P17"/>
    <mergeCell ref="Q17:Q18"/>
    <mergeCell ref="R17:R18"/>
    <mergeCell ref="S17:S18"/>
    <mergeCell ref="I17:I18"/>
    <mergeCell ref="J17:J18"/>
    <mergeCell ref="K17:K18"/>
    <mergeCell ref="L17:L18"/>
    <mergeCell ref="I16:S16"/>
    <mergeCell ref="A101:M101"/>
    <mergeCell ref="A17:A18"/>
    <mergeCell ref="B17:F18"/>
    <mergeCell ref="G17:G18"/>
    <mergeCell ref="H17:H18"/>
    <mergeCell ref="B25:F25"/>
    <mergeCell ref="B26:F26"/>
    <mergeCell ref="B27:F27"/>
    <mergeCell ref="B28:F28"/>
    <mergeCell ref="B29:F29"/>
    <mergeCell ref="B19:F19"/>
    <mergeCell ref="B20:F20"/>
    <mergeCell ref="B21:F21"/>
    <mergeCell ref="B22:F22"/>
    <mergeCell ref="B23:F23"/>
    <mergeCell ref="B24:F24"/>
    <mergeCell ref="AD17:AD18"/>
    <mergeCell ref="AC17:AC18"/>
    <mergeCell ref="AB17:AB18"/>
    <mergeCell ref="Z17:AA17"/>
    <mergeCell ref="X17:Y17"/>
    <mergeCell ref="T16:AD16"/>
    <mergeCell ref="T17:T18"/>
    <mergeCell ref="U17:U18"/>
    <mergeCell ref="V17:V18"/>
    <mergeCell ref="W17:W18"/>
    <mergeCell ref="AE16:AO16"/>
    <mergeCell ref="AE17:AE18"/>
    <mergeCell ref="AF17:AF18"/>
    <mergeCell ref="AG17:AG18"/>
    <mergeCell ref="AH17:AH18"/>
    <mergeCell ref="AI17:AJ17"/>
    <mergeCell ref="AK17:AL17"/>
    <mergeCell ref="AM17:AM18"/>
    <mergeCell ref="AN17:AN18"/>
    <mergeCell ref="AO17:AO18"/>
    <mergeCell ref="AP16:AZ16"/>
    <mergeCell ref="AP17:AP18"/>
    <mergeCell ref="AQ17:AQ18"/>
    <mergeCell ref="AR17:AR18"/>
    <mergeCell ref="AS17:AS18"/>
    <mergeCell ref="AT17:AU17"/>
    <mergeCell ref="AV17:AW17"/>
    <mergeCell ref="AX17:AX18"/>
    <mergeCell ref="AY17:AY18"/>
    <mergeCell ref="AZ17:AZ18"/>
    <mergeCell ref="BA16:BK16"/>
    <mergeCell ref="BA17:BA18"/>
    <mergeCell ref="BB17:BB18"/>
    <mergeCell ref="BC17:BC18"/>
    <mergeCell ref="BD17:BD18"/>
    <mergeCell ref="BE17:BF17"/>
    <mergeCell ref="BG17:BH17"/>
    <mergeCell ref="BI17:BI18"/>
    <mergeCell ref="BJ17:BJ18"/>
    <mergeCell ref="BK17:BK18"/>
    <mergeCell ref="BL16:BV16"/>
    <mergeCell ref="BL17:BL18"/>
    <mergeCell ref="BM17:BM18"/>
    <mergeCell ref="BN17:BN18"/>
    <mergeCell ref="BO17:BO18"/>
    <mergeCell ref="BP17:BQ17"/>
    <mergeCell ref="BR17:BS17"/>
    <mergeCell ref="BT17:BT18"/>
    <mergeCell ref="BU17:BU18"/>
    <mergeCell ref="BV17:BV18"/>
    <mergeCell ref="BW16:CG16"/>
    <mergeCell ref="BW17:BW18"/>
    <mergeCell ref="BX17:BX18"/>
    <mergeCell ref="BY17:BY18"/>
    <mergeCell ref="BZ17:BZ18"/>
    <mergeCell ref="CA17:CB17"/>
    <mergeCell ref="CC17:CD17"/>
    <mergeCell ref="CE17:CE18"/>
    <mergeCell ref="CF17:CF18"/>
    <mergeCell ref="CG17:CG18"/>
    <mergeCell ref="CH16:CR16"/>
    <mergeCell ref="CH17:CH18"/>
    <mergeCell ref="CI17:CI18"/>
    <mergeCell ref="CJ17:CJ18"/>
    <mergeCell ref="CK17:CK18"/>
    <mergeCell ref="CL17:CM17"/>
    <mergeCell ref="CN17:CO17"/>
    <mergeCell ref="CP17:CP18"/>
    <mergeCell ref="CQ17:CQ18"/>
    <mergeCell ref="CR17:CR18"/>
    <mergeCell ref="CS16:DC16"/>
    <mergeCell ref="CS17:CS18"/>
    <mergeCell ref="CT17:CT18"/>
    <mergeCell ref="CU17:CU18"/>
    <mergeCell ref="CV17:CV18"/>
    <mergeCell ref="CW17:CX17"/>
    <mergeCell ref="CY17:CZ17"/>
    <mergeCell ref="DA17:DA18"/>
    <mergeCell ref="DB17:DB18"/>
    <mergeCell ref="DC17:DC18"/>
    <mergeCell ref="DD16:DN16"/>
    <mergeCell ref="DD17:DD18"/>
    <mergeCell ref="DE17:DE18"/>
    <mergeCell ref="DF17:DF18"/>
    <mergeCell ref="DG17:DG18"/>
    <mergeCell ref="DH17:DI17"/>
    <mergeCell ref="DJ17:DK17"/>
    <mergeCell ref="DL17:DL18"/>
    <mergeCell ref="DM17:DM18"/>
    <mergeCell ref="DN17:DN18"/>
    <mergeCell ref="DO16:DY16"/>
    <mergeCell ref="DO17:DO18"/>
    <mergeCell ref="DP17:DP18"/>
    <mergeCell ref="DQ17:DQ18"/>
    <mergeCell ref="DR17:DR18"/>
    <mergeCell ref="DS17:DT17"/>
    <mergeCell ref="DU17:DV17"/>
    <mergeCell ref="DW17:DW18"/>
    <mergeCell ref="DX17:DX18"/>
    <mergeCell ref="DY17:DY18"/>
    <mergeCell ref="DZ16:EJ16"/>
    <mergeCell ref="DZ17:DZ18"/>
    <mergeCell ref="EA17:EA18"/>
    <mergeCell ref="EB17:EB18"/>
    <mergeCell ref="EC17:EC18"/>
    <mergeCell ref="ED17:EE17"/>
    <mergeCell ref="EF17:EG17"/>
    <mergeCell ref="EH17:EH18"/>
    <mergeCell ref="EI17:EI18"/>
    <mergeCell ref="EJ17:EJ18"/>
  </mergeCells>
  <dataValidations disablePrompts="1" count="1">
    <dataValidation type="list" allowBlank="1" showInputMessage="1" showErrorMessage="1" sqref="O31 Z31 AK31 AV31 BG31 BR31 CC31 CN31 CY31 DJ31 DU31 EF31" xr:uid="{00000000-0002-0000-0F00-000000000000}">
      <formula1>#REF!</formula1>
    </dataValidation>
  </dataValidations>
  <pageMargins left="0.7" right="0.7" top="0.75" bottom="0.75" header="0.3" footer="0.3"/>
  <pageSetup paperSize="9" scale="37" fitToHeight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00000000-0002-0000-0F00-000001000000}">
          <x14:formula1>
            <xm:f>'Datos varios'!$B$43:$B$44</xm:f>
          </x14:formula1>
          <xm:sqref>H19:H29</xm:sqref>
        </x14:dataValidation>
        <x14:dataValidation type="list" allowBlank="1" showInputMessage="1" showErrorMessage="1" xr:uid="{00000000-0002-0000-0F00-000002000000}">
          <x14:formula1>
            <xm:f>'Datos varios'!$B$19:$B$32</xm:f>
          </x14:formula1>
          <xm:sqref>J19:J29 U19:U29 AF19:AF29 AQ19:AQ29 BB19:BB29 BM19:BM29 BX19:BX29 CI19:CI29 CT19:CT29 DE19:DE29 DP19:DP29 EA19:EA29</xm:sqref>
        </x14:dataValidation>
        <x14:dataValidation type="list" allowBlank="1" showInputMessage="1" showErrorMessage="1" xr:uid="{00000000-0002-0000-0F00-000003000000}">
          <x14:formula1>
            <xm:f>'Datos varios'!$B$35:$B$40</xm:f>
          </x14:formula1>
          <xm:sqref>K19:K29 V19:V29 AG19:AG29 AR19:AR29 BC19:BC29 BN19:BN29 BY19:BY29 CJ19:CJ29 CU19:CU29 DF19:DF29 DQ19:DQ29 EB19:EB29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>
    <pageSetUpPr fitToPage="1"/>
  </sheetPr>
  <dimension ref="A1:AF239"/>
  <sheetViews>
    <sheetView topLeftCell="A4" zoomScaleNormal="100" zoomScaleSheetLayoutView="100" workbookViewId="0">
      <selection activeCell="S3" sqref="S3"/>
    </sheetView>
  </sheetViews>
  <sheetFormatPr baseColWidth="10" defaultColWidth="11.42578125" defaultRowHeight="15" x14ac:dyDescent="0.25"/>
  <cols>
    <col min="1" max="2" width="11.42578125" style="730"/>
    <col min="3" max="6" width="12.7109375" style="730" bestFit="1" customWidth="1"/>
    <col min="7" max="7" width="11.42578125" style="730"/>
    <col min="8" max="9" width="12" style="730" bestFit="1" customWidth="1"/>
    <col min="10" max="10" width="11.42578125" style="730"/>
    <col min="11" max="12" width="12.7109375" style="730" bestFit="1" customWidth="1"/>
    <col min="13" max="15" width="12.7109375" style="730" customWidth="1"/>
    <col min="16" max="17" width="12.7109375" style="730" bestFit="1" customWidth="1"/>
    <col min="18" max="19" width="11.42578125" style="730"/>
    <col min="20" max="21" width="12.7109375" style="730" customWidth="1"/>
    <col min="22" max="22" width="12.7109375" style="730" bestFit="1" customWidth="1"/>
    <col min="23" max="23" width="12.7109375" style="730" customWidth="1"/>
    <col min="24" max="24" width="12.7109375" style="730" bestFit="1" customWidth="1"/>
    <col min="25" max="30" width="11.42578125" style="730"/>
    <col min="31" max="31" width="11.85546875" style="730" customWidth="1"/>
    <col min="32" max="16384" width="11.42578125" style="730"/>
  </cols>
  <sheetData>
    <row r="1" spans="1:32" ht="15" customHeight="1" x14ac:dyDescent="0.25">
      <c r="A1" s="1709"/>
      <c r="B1" s="1710"/>
      <c r="C1" s="1711"/>
      <c r="D1" s="2339" t="s">
        <v>555</v>
      </c>
      <c r="E1" s="2340"/>
      <c r="F1" s="2340"/>
      <c r="G1" s="2340"/>
      <c r="H1" s="2340"/>
      <c r="I1" s="2340"/>
      <c r="J1" s="2340"/>
      <c r="K1" s="2340"/>
      <c r="L1" s="2340"/>
      <c r="M1" s="2340"/>
      <c r="N1" s="2340"/>
      <c r="O1" s="2340"/>
      <c r="P1" s="2340"/>
      <c r="Q1" s="2341"/>
      <c r="R1" s="1712" t="s">
        <v>68</v>
      </c>
      <c r="S1" s="1713" t="s">
        <v>556</v>
      </c>
    </row>
    <row r="2" spans="1:32" ht="15" customHeight="1" x14ac:dyDescent="0.25">
      <c r="A2" s="1714"/>
      <c r="B2" s="140"/>
      <c r="C2" s="1715"/>
      <c r="D2" s="2342"/>
      <c r="E2" s="2394"/>
      <c r="F2" s="2394"/>
      <c r="G2" s="2394"/>
      <c r="H2" s="2394"/>
      <c r="I2" s="2394"/>
      <c r="J2" s="2394"/>
      <c r="K2" s="2394"/>
      <c r="L2" s="2394"/>
      <c r="M2" s="2394"/>
      <c r="N2" s="2394"/>
      <c r="O2" s="2394"/>
      <c r="P2" s="2394"/>
      <c r="Q2" s="2344"/>
      <c r="R2" s="1716" t="s">
        <v>69</v>
      </c>
      <c r="S2" s="1866" t="s">
        <v>1231</v>
      </c>
    </row>
    <row r="3" spans="1:32" ht="15" customHeight="1" x14ac:dyDescent="0.25">
      <c r="A3" s="1714"/>
      <c r="B3" s="140"/>
      <c r="C3" s="1715"/>
      <c r="D3" s="2342"/>
      <c r="E3" s="2394"/>
      <c r="F3" s="2394"/>
      <c r="G3" s="2394"/>
      <c r="H3" s="2394"/>
      <c r="I3" s="2394"/>
      <c r="J3" s="2394"/>
      <c r="K3" s="2394"/>
      <c r="L3" s="2394"/>
      <c r="M3" s="2394"/>
      <c r="N3" s="2394"/>
      <c r="O3" s="2394"/>
      <c r="P3" s="2394"/>
      <c r="Q3" s="2344"/>
      <c r="R3" s="1716" t="s">
        <v>70</v>
      </c>
      <c r="S3" s="1717" t="s">
        <v>72</v>
      </c>
    </row>
    <row r="4" spans="1:32" ht="15" customHeight="1" x14ac:dyDescent="0.25">
      <c r="A4" s="1718"/>
      <c r="B4" s="1719"/>
      <c r="C4" s="1720"/>
      <c r="D4" s="2345"/>
      <c r="E4" s="2346"/>
      <c r="F4" s="2346"/>
      <c r="G4" s="2346"/>
      <c r="H4" s="2346"/>
      <c r="I4" s="2346"/>
      <c r="J4" s="2346"/>
      <c r="K4" s="2346"/>
      <c r="L4" s="2346"/>
      <c r="M4" s="2346"/>
      <c r="N4" s="2346"/>
      <c r="O4" s="2346"/>
      <c r="P4" s="2346"/>
      <c r="Q4" s="2347"/>
      <c r="R4" s="1721" t="s">
        <v>71</v>
      </c>
      <c r="S4" s="1722" t="s">
        <v>73</v>
      </c>
    </row>
    <row r="5" spans="1:32" s="734" customFormat="1" x14ac:dyDescent="0.25"/>
    <row r="6" spans="1:32" ht="20.25" x14ac:dyDescent="0.25">
      <c r="A6" s="2422" t="s">
        <v>1011</v>
      </c>
      <c r="B6" s="2548"/>
      <c r="C6" s="2548"/>
      <c r="D6" s="2548"/>
      <c r="E6" s="2548"/>
      <c r="F6" s="2548"/>
      <c r="G6" s="2548"/>
      <c r="H6" s="2548"/>
      <c r="I6" s="2548"/>
      <c r="J6" s="2548"/>
      <c r="K6" s="2548"/>
      <c r="L6" s="2548"/>
      <c r="M6" s="2548"/>
      <c r="N6" s="2548"/>
      <c r="O6" s="2548"/>
      <c r="P6" s="2548"/>
      <c r="Q6" s="2548"/>
      <c r="R6" s="2548"/>
      <c r="S6" s="2548"/>
    </row>
    <row r="7" spans="1:32" ht="15.75" thickBot="1" x14ac:dyDescent="0.3">
      <c r="A7" s="735"/>
      <c r="Q7" s="745"/>
      <c r="R7" s="746"/>
      <c r="S7" s="746"/>
      <c r="X7" s="745"/>
      <c r="Y7" s="746"/>
      <c r="Z7" s="746"/>
    </row>
    <row r="8" spans="1:32" ht="18" thickBot="1" x14ac:dyDescent="0.3">
      <c r="A8" s="735"/>
      <c r="I8" s="2430" t="s">
        <v>748</v>
      </c>
      <c r="J8" s="2722"/>
      <c r="K8" s="2722"/>
      <c r="L8" s="2722"/>
      <c r="M8" s="2722"/>
      <c r="N8" s="2722"/>
      <c r="O8" s="2723"/>
      <c r="P8" s="2724"/>
      <c r="Q8" s="2721" t="s">
        <v>739</v>
      </c>
      <c r="R8" s="2722"/>
      <c r="S8" s="2722"/>
      <c r="T8" s="2722"/>
      <c r="U8" s="2722"/>
      <c r="V8" s="2722"/>
      <c r="W8" s="2723"/>
      <c r="X8" s="2724"/>
      <c r="Y8" s="2430" t="s">
        <v>747</v>
      </c>
      <c r="Z8" s="2722"/>
      <c r="AA8" s="2722"/>
      <c r="AB8" s="2722"/>
      <c r="AC8" s="2722"/>
      <c r="AD8" s="2722"/>
      <c r="AE8" s="2723"/>
      <c r="AF8" s="2724"/>
    </row>
    <row r="9" spans="1:32" x14ac:dyDescent="0.25">
      <c r="A9" s="735"/>
      <c r="B9" s="735"/>
      <c r="E9" s="2395" t="s">
        <v>792</v>
      </c>
      <c r="F9" s="2570"/>
      <c r="G9" s="2570"/>
      <c r="H9" s="2571"/>
      <c r="I9" s="2725">
        <f>IF('F-LSCD-013'!N51="cpm",'F-LSCD-013'!O51/60,'F-LSCD-013'!O51)</f>
        <v>46.7</v>
      </c>
      <c r="J9" s="2726"/>
      <c r="K9" s="2726"/>
      <c r="L9" s="2726"/>
      <c r="M9" s="2726"/>
      <c r="N9" s="2726"/>
      <c r="O9" s="2727"/>
      <c r="P9" s="2728"/>
      <c r="Q9" s="2729">
        <f>IF('F-LSCD-013'!N53="cpm",'F-LSCD-013'!O53/60,'F-LSCD-013'!O53)</f>
        <v>90.67</v>
      </c>
      <c r="R9" s="2726"/>
      <c r="S9" s="2726"/>
      <c r="T9" s="2726"/>
      <c r="U9" s="2726"/>
      <c r="V9" s="2726"/>
      <c r="W9" s="2727"/>
      <c r="X9" s="2728"/>
      <c r="Y9" s="2484">
        <f>IF('F-LSCD-013'!N55="cpm",'F-LSCD-013'!O55/60,'F-LSCD-013'!O55)</f>
        <v>171.9</v>
      </c>
      <c r="Z9" s="2485"/>
      <c r="AA9" s="2485"/>
      <c r="AB9" s="2485"/>
      <c r="AC9" s="2485"/>
      <c r="AD9" s="2485"/>
      <c r="AE9" s="2486"/>
      <c r="AF9" s="2488"/>
    </row>
    <row r="10" spans="1:32" x14ac:dyDescent="0.25">
      <c r="A10" s="735"/>
      <c r="B10" s="735"/>
      <c r="E10" s="2574" t="s">
        <v>685</v>
      </c>
      <c r="F10" s="2572"/>
      <c r="G10" s="2572"/>
      <c r="H10" s="2573"/>
      <c r="I10" s="2566">
        <f>IF('F-LSCD-013'!N51="cpm",'F-LSCD-013'!P51/60,'F-LSCD-013'!P51)</f>
        <v>1.4854853303438127</v>
      </c>
      <c r="J10" s="2494"/>
      <c r="K10" s="2494"/>
      <c r="L10" s="2494"/>
      <c r="M10" s="2494"/>
      <c r="N10" s="2494"/>
      <c r="O10" s="2495"/>
      <c r="P10" s="2496"/>
      <c r="Q10" s="2489">
        <f>IF('F-LSCD-013'!N53="cpm",'F-LSCD-013'!P53/60,'F-LSCD-013'!P53)</f>
        <v>3.7959188610927925</v>
      </c>
      <c r="R10" s="2494"/>
      <c r="S10" s="2494"/>
      <c r="T10" s="2494"/>
      <c r="U10" s="2494"/>
      <c r="V10" s="2494"/>
      <c r="W10" s="2495"/>
      <c r="X10" s="2496"/>
      <c r="Y10" s="2489">
        <f>IF('F-LSCD-013'!N55="cpm",'F-LSCD-013'!P55/60,'F-LSCD-013'!P55)</f>
        <v>4.1217579852399009</v>
      </c>
      <c r="Z10" s="2494"/>
      <c r="AA10" s="2494"/>
      <c r="AB10" s="2494"/>
      <c r="AC10" s="2494"/>
      <c r="AD10" s="2494"/>
      <c r="AE10" s="2495"/>
      <c r="AF10" s="2496"/>
    </row>
    <row r="11" spans="1:32" x14ac:dyDescent="0.25">
      <c r="A11" s="735"/>
      <c r="B11" s="735"/>
      <c r="E11" s="2574" t="s">
        <v>671</v>
      </c>
      <c r="F11" s="2572"/>
      <c r="G11" s="2572"/>
      <c r="H11" s="2573"/>
      <c r="I11" s="2716" t="str">
        <f>IF('F-LSCD-013'!N51="cpm",'F-LSCD-013'!M51/60,'F-LSCD-013'!M51)</f>
        <v>-</v>
      </c>
      <c r="J11" s="2717"/>
      <c r="K11" s="2717"/>
      <c r="L11" s="2717"/>
      <c r="M11" s="2717"/>
      <c r="N11" s="2717"/>
      <c r="O11" s="2718"/>
      <c r="P11" s="2719"/>
      <c r="Q11" s="2730" t="str">
        <f>IF('F-LSCD-013'!N53="cpm",'F-LSCD-013'!M53/60,'F-LSCD-013'!M53)</f>
        <v>-</v>
      </c>
      <c r="R11" s="2717"/>
      <c r="S11" s="2717"/>
      <c r="T11" s="2717"/>
      <c r="U11" s="2717"/>
      <c r="V11" s="2717"/>
      <c r="W11" s="2718"/>
      <c r="X11" s="2719"/>
      <c r="Y11" s="2708" t="str">
        <f>IF('F-LSCD-013'!N55="cpm",'F-LSCD-013'!M55/60,'F-LSCD-013'!M55)</f>
        <v>-</v>
      </c>
      <c r="Z11" s="2709"/>
      <c r="AA11" s="2709"/>
      <c r="AB11" s="2709"/>
      <c r="AC11" s="2709"/>
      <c r="AD11" s="2709"/>
      <c r="AE11" s="2710"/>
      <c r="AF11" s="2711"/>
    </row>
    <row r="12" spans="1:32" x14ac:dyDescent="0.25">
      <c r="A12" s="735"/>
      <c r="B12" s="735"/>
      <c r="E12" s="2574" t="s">
        <v>686</v>
      </c>
      <c r="F12" s="2572"/>
      <c r="G12" s="2572"/>
      <c r="H12" s="2573"/>
      <c r="I12" s="2565">
        <v>10</v>
      </c>
      <c r="J12" s="2490"/>
      <c r="K12" s="2490"/>
      <c r="L12" s="2490"/>
      <c r="M12" s="2490"/>
      <c r="N12" s="2490"/>
      <c r="O12" s="2491"/>
      <c r="P12" s="2493"/>
      <c r="Q12" s="2565">
        <v>10</v>
      </c>
      <c r="R12" s="2490"/>
      <c r="S12" s="2490"/>
      <c r="T12" s="2490"/>
      <c r="U12" s="2490"/>
      <c r="V12" s="2490"/>
      <c r="W12" s="2491"/>
      <c r="X12" s="2493"/>
      <c r="Y12" s="2565">
        <v>10</v>
      </c>
      <c r="Z12" s="2490"/>
      <c r="AA12" s="2490"/>
      <c r="AB12" s="2490"/>
      <c r="AC12" s="2490"/>
      <c r="AD12" s="2490"/>
      <c r="AE12" s="2491"/>
      <c r="AF12" s="2493"/>
    </row>
    <row r="13" spans="1:32" ht="15.75" thickBot="1" x14ac:dyDescent="0.3">
      <c r="A13" s="735"/>
      <c r="B13" s="735"/>
      <c r="E13" s="2390" t="s">
        <v>786</v>
      </c>
      <c r="F13" s="2563"/>
      <c r="G13" s="2563"/>
      <c r="H13" s="2564"/>
      <c r="I13" s="2712">
        <v>3</v>
      </c>
      <c r="J13" s="2713"/>
      <c r="K13" s="2713"/>
      <c r="L13" s="2713"/>
      <c r="M13" s="2713"/>
      <c r="N13" s="2713"/>
      <c r="O13" s="2714"/>
      <c r="P13" s="2715"/>
      <c r="Q13" s="2712">
        <v>3</v>
      </c>
      <c r="R13" s="2713"/>
      <c r="S13" s="2713"/>
      <c r="T13" s="2713"/>
      <c r="U13" s="2713"/>
      <c r="V13" s="2713"/>
      <c r="W13" s="2714"/>
      <c r="X13" s="2715"/>
      <c r="Y13" s="2712">
        <v>3</v>
      </c>
      <c r="Z13" s="2713"/>
      <c r="AA13" s="2713"/>
      <c r="AB13" s="2713"/>
      <c r="AC13" s="2713"/>
      <c r="AD13" s="2713"/>
      <c r="AE13" s="2714"/>
      <c r="AF13" s="2715"/>
    </row>
    <row r="14" spans="1:32" ht="45.75" thickBot="1" x14ac:dyDescent="0.3">
      <c r="A14" s="738" t="s">
        <v>708</v>
      </c>
      <c r="B14" s="2477" t="s">
        <v>688</v>
      </c>
      <c r="C14" s="2477"/>
      <c r="D14" s="2477"/>
      <c r="E14" s="2585"/>
      <c r="F14" s="2586"/>
      <c r="G14" s="778" t="s">
        <v>525</v>
      </c>
      <c r="H14" s="802" t="s">
        <v>560</v>
      </c>
      <c r="I14" s="739" t="s">
        <v>526</v>
      </c>
      <c r="J14" s="799" t="s">
        <v>117</v>
      </c>
      <c r="K14" s="800" t="s">
        <v>347</v>
      </c>
      <c r="L14" s="800" t="s">
        <v>546</v>
      </c>
      <c r="M14" s="882" t="s">
        <v>690</v>
      </c>
      <c r="N14" s="873" t="s">
        <v>750</v>
      </c>
      <c r="O14" s="740" t="s">
        <v>716</v>
      </c>
      <c r="P14" s="801" t="s">
        <v>689</v>
      </c>
      <c r="Q14" s="739" t="s">
        <v>526</v>
      </c>
      <c r="R14" s="799" t="s">
        <v>117</v>
      </c>
      <c r="S14" s="800" t="s">
        <v>347</v>
      </c>
      <c r="T14" s="800" t="s">
        <v>546</v>
      </c>
      <c r="U14" s="882" t="s">
        <v>690</v>
      </c>
      <c r="V14" s="873" t="s">
        <v>750</v>
      </c>
      <c r="W14" s="740" t="s">
        <v>716</v>
      </c>
      <c r="X14" s="801" t="s">
        <v>689</v>
      </c>
      <c r="Y14" s="826" t="s">
        <v>526</v>
      </c>
      <c r="Z14" s="827" t="s">
        <v>117</v>
      </c>
      <c r="AA14" s="828" t="s">
        <v>347</v>
      </c>
      <c r="AB14" s="828" t="s">
        <v>546</v>
      </c>
      <c r="AC14" s="882" t="s">
        <v>690</v>
      </c>
      <c r="AD14" s="873" t="s">
        <v>750</v>
      </c>
      <c r="AE14" s="825" t="s">
        <v>716</v>
      </c>
      <c r="AF14" s="829" t="s">
        <v>689</v>
      </c>
    </row>
    <row r="15" spans="1:32" ht="18" x14ac:dyDescent="0.25">
      <c r="A15" s="872">
        <v>1</v>
      </c>
      <c r="B15" s="2731" t="s">
        <v>1013</v>
      </c>
      <c r="C15" s="2553"/>
      <c r="D15" s="2553"/>
      <c r="E15" s="2553"/>
      <c r="F15" s="2554"/>
      <c r="G15" s="870" t="s">
        <v>740</v>
      </c>
      <c r="H15" s="872" t="s">
        <v>451</v>
      </c>
      <c r="I15" s="874">
        <f>C58</f>
        <v>0.03</v>
      </c>
      <c r="J15" s="821" t="s">
        <v>93</v>
      </c>
      <c r="K15" s="821" t="s">
        <v>373</v>
      </c>
      <c r="L15" s="822">
        <f>IF(K15="normal (k=1)",1,IF(K15="normal (k=2)",2,IF(K15="normal (k=3)",3,IF(K15="rectangular",SQRT(3),IF(K15="triangular",SQRT(6),IF(K15="Prob. U",SQRT(2),"no definido"))))))</f>
        <v>2</v>
      </c>
      <c r="M15" s="987" t="s">
        <v>93</v>
      </c>
      <c r="N15" s="877">
        <f>I15/L15</f>
        <v>1.4999999999999999E-2</v>
      </c>
      <c r="O15" s="832">
        <f t="shared" ref="O15:O20" si="0">N15^2/$N$21^2</f>
        <v>6.55092362901145E-2</v>
      </c>
      <c r="P15" s="824" t="s">
        <v>93</v>
      </c>
      <c r="Q15" s="874">
        <v>0.05</v>
      </c>
      <c r="R15" s="821" t="s">
        <v>93</v>
      </c>
      <c r="S15" s="821" t="s">
        <v>373</v>
      </c>
      <c r="T15" s="822">
        <f>IF(S15="normal (k=1)",1,IF(S15="normal (k=2)",2,IF(S15="normal (k=3)",3,IF(S15="rectangular",SQRT(3),IF(S15="triangular",SQRT(6),IF(S15="Prob. U",SQRT(2),"no definido"))))))</f>
        <v>2</v>
      </c>
      <c r="U15" s="987" t="s">
        <v>93</v>
      </c>
      <c r="V15" s="877">
        <f>Q15/T15</f>
        <v>2.5000000000000001E-2</v>
      </c>
      <c r="W15" s="836">
        <f>V15^2/$V$21^2</f>
        <v>0.15534182090978035</v>
      </c>
      <c r="X15" s="824" t="s">
        <v>93</v>
      </c>
      <c r="Y15" s="874">
        <v>0.05</v>
      </c>
      <c r="Z15" s="821" t="s">
        <v>93</v>
      </c>
      <c r="AA15" s="821" t="s">
        <v>373</v>
      </c>
      <c r="AB15" s="822">
        <f>IF(AA15="normal (k=1)",1,IF(AA15="normal (k=2)",2,IF(AA15="normal (k=3)",3,IF(AA15="rectangular",SQRT(3),IF(AA15="triangular",SQRT(6),IF(AA15="Prob. U",SQRT(2),"no definido"))))))</f>
        <v>2</v>
      </c>
      <c r="AC15" s="822"/>
      <c r="AD15" s="877">
        <f>Y15/AB15</f>
        <v>2.5000000000000001E-2</v>
      </c>
      <c r="AE15" s="838">
        <f>AD15^2/$AD$21^2</f>
        <v>0.29310949054037727</v>
      </c>
      <c r="AF15" s="824" t="s">
        <v>93</v>
      </c>
    </row>
    <row r="16" spans="1:32" ht="18" x14ac:dyDescent="0.25">
      <c r="A16" s="741">
        <v>2</v>
      </c>
      <c r="B16" s="2594" t="s">
        <v>1014</v>
      </c>
      <c r="C16" s="2595"/>
      <c r="D16" s="2595"/>
      <c r="E16" s="2595"/>
      <c r="F16" s="2720"/>
      <c r="G16" s="793" t="s">
        <v>618</v>
      </c>
      <c r="H16" s="741" t="s">
        <v>451</v>
      </c>
      <c r="I16" s="880">
        <f>C76</f>
        <v>2.1350000000000016</v>
      </c>
      <c r="J16" s="804" t="s">
        <v>470</v>
      </c>
      <c r="K16" s="804" t="s">
        <v>370</v>
      </c>
      <c r="L16" s="805">
        <f>IF(K16="normal (k=1)",1,IF(K16="normal (k=2)",2,IF(K16="normal (k=3)",3,IF(K16="rectangular",SQRT(3),IF(K16="triangular",SQRT(6),IF(K16="Prob. U",SQRT(2),"no definido"))))))</f>
        <v>1.7320508075688772</v>
      </c>
      <c r="M16" s="966">
        <f>I16/L16</f>
        <v>1.232642824719852</v>
      </c>
      <c r="N16" s="878">
        <f>M16/E92</f>
        <v>2.086890638810571E-2</v>
      </c>
      <c r="O16" s="833">
        <f t="shared" si="0"/>
        <v>0.12680004282006696</v>
      </c>
      <c r="P16" s="812" t="s">
        <v>470</v>
      </c>
      <c r="Q16" s="880">
        <f>C78</f>
        <v>5.2250000000000014</v>
      </c>
      <c r="R16" s="804" t="s">
        <v>470</v>
      </c>
      <c r="S16" s="804" t="s">
        <v>370</v>
      </c>
      <c r="T16" s="805">
        <f>IF(S16="normal (k=1)",1,IF(S16="normal (k=2)",2,IF(S16="normal (k=3)",3,IF(S16="rectangular",SQRT(3),IF(S16="triangular",SQRT(6),IF(S16="Prob. U",SQRT(2),"no definido"))))))</f>
        <v>1.7320508075688772</v>
      </c>
      <c r="U16" s="966">
        <f>Q16/T16</f>
        <v>3.0166551565157955</v>
      </c>
      <c r="V16" s="878">
        <f>U16/E94</f>
        <v>3.264566323091353E-2</v>
      </c>
      <c r="W16" s="835">
        <f>V16^2/$V$21^2</f>
        <v>0.26488622046956256</v>
      </c>
      <c r="X16" s="812" t="s">
        <v>470</v>
      </c>
      <c r="Y16" s="881">
        <f>C80</f>
        <v>6.25</v>
      </c>
      <c r="Z16" s="804" t="s">
        <v>470</v>
      </c>
      <c r="AA16" s="804" t="s">
        <v>370</v>
      </c>
      <c r="AB16" s="805">
        <f>IF(AA16="normal (k=1)",1,IF(AA16="normal (k=2)",2,IF(AA16="normal (k=3)",3,IF(AA16="rectangular",SQRT(3),IF(AA16="triangular",SQRT(6),IF(AA16="Prob. U",SQRT(2),"no definido"))))))</f>
        <v>1.7320508075688772</v>
      </c>
      <c r="AC16" s="966">
        <f>Y16/AB16</f>
        <v>3.6084391824351614</v>
      </c>
      <c r="AD16" s="878">
        <f>AC16/E96</f>
        <v>1.9071483898159471E-2</v>
      </c>
      <c r="AE16" s="839">
        <f>AD16^2/$AD$21^2</f>
        <v>0.17057635680024616</v>
      </c>
      <c r="AF16" s="812" t="s">
        <v>470</v>
      </c>
    </row>
    <row r="17" spans="1:32" ht="18" x14ac:dyDescent="0.25">
      <c r="A17" s="741">
        <v>3</v>
      </c>
      <c r="B17" s="2558" t="s">
        <v>1015</v>
      </c>
      <c r="C17" s="2556"/>
      <c r="D17" s="2556"/>
      <c r="E17" s="2556"/>
      <c r="F17" s="2557"/>
      <c r="G17" s="871" t="s">
        <v>1022</v>
      </c>
      <c r="H17" s="741" t="s">
        <v>451</v>
      </c>
      <c r="I17" s="880">
        <f>C125</f>
        <v>4.0999999999999979</v>
      </c>
      <c r="J17" s="804" t="s">
        <v>470</v>
      </c>
      <c r="K17" s="804" t="s">
        <v>370</v>
      </c>
      <c r="L17" s="805">
        <f t="shared" ref="L17:L20" si="1">IF(K17="normal (k=1)",1,IF(K17="normal (k=2)",2,IF(K17="normal (k=3)",3,IF(K17="rectangular",SQRT(3),IF(K17="triangular",SQRT(6),IF(K17="Prob. U",SQRT(2),"no definido"))))))</f>
        <v>1.7320508075688772</v>
      </c>
      <c r="M17" s="966">
        <f>I17/L17</f>
        <v>2.3671361036774647</v>
      </c>
      <c r="N17" s="965">
        <f>M17/F141</f>
        <v>4.7178540751733264E-2</v>
      </c>
      <c r="O17" s="833">
        <f t="shared" si="0"/>
        <v>0.64805076270756834</v>
      </c>
      <c r="P17" s="812" t="s">
        <v>470</v>
      </c>
      <c r="Q17" s="880">
        <f>C127</f>
        <v>2.5700000000000003</v>
      </c>
      <c r="R17" s="804" t="s">
        <v>470</v>
      </c>
      <c r="S17" s="804" t="s">
        <v>370</v>
      </c>
      <c r="T17" s="805">
        <f t="shared" ref="T17:T20" si="2">IF(S17="normal (k=1)",1,IF(S17="normal (k=2)",2,IF(S17="normal (k=3)",3,IF(S17="rectangular",SQRT(3),IF(S17="triangular",SQRT(6),IF(S17="Prob. U",SQRT(2),"no definido"))))))</f>
        <v>1.7320508075688772</v>
      </c>
      <c r="U17" s="966">
        <f>Q17/T17</f>
        <v>1.4837901918173384</v>
      </c>
      <c r="V17" s="965">
        <f>U17/F143</f>
        <v>1.7469920076969628E-2</v>
      </c>
      <c r="W17" s="835">
        <f>V17^2/$V$21^2</f>
        <v>7.5856047610563082E-2</v>
      </c>
      <c r="X17" s="812" t="s">
        <v>470</v>
      </c>
      <c r="Y17" s="881">
        <f>C129</f>
        <v>6.0499999999999972</v>
      </c>
      <c r="Z17" s="804" t="s">
        <v>470</v>
      </c>
      <c r="AA17" s="804" t="s">
        <v>370</v>
      </c>
      <c r="AB17" s="805">
        <f t="shared" ref="AB17:AB20" si="3">IF(AA17="normal (k=1)",1,IF(AA17="normal (k=2)",2,IF(AA17="normal (k=3)",3,IF(AA17="rectangular",SQRT(3),IF(AA17="triangular",SQRT(6),IF(AA17="Prob. U",SQRT(2),"no definido"))))))</f>
        <v>1.7320508075688772</v>
      </c>
      <c r="AC17" s="966">
        <f>Y17/AB17</f>
        <v>3.4929691285972346</v>
      </c>
      <c r="AD17" s="965">
        <f>AC17/F145</f>
        <v>2.0274483577100804E-2</v>
      </c>
      <c r="AE17" s="839">
        <f>AD17^2/$AD$21^2</f>
        <v>0.19277444656755638</v>
      </c>
      <c r="AF17" s="812" t="s">
        <v>470</v>
      </c>
    </row>
    <row r="18" spans="1:32" ht="18" x14ac:dyDescent="0.25">
      <c r="A18" s="741">
        <v>4</v>
      </c>
      <c r="B18" s="2558" t="s">
        <v>1016</v>
      </c>
      <c r="C18" s="2556"/>
      <c r="D18" s="2556"/>
      <c r="E18" s="2556"/>
      <c r="F18" s="2557"/>
      <c r="G18" s="871" t="s">
        <v>741</v>
      </c>
      <c r="H18" s="741" t="s">
        <v>451</v>
      </c>
      <c r="I18" s="880">
        <f>C155</f>
        <v>1.8249999999999993</v>
      </c>
      <c r="J18" s="804" t="s">
        <v>470</v>
      </c>
      <c r="K18" s="804" t="s">
        <v>370</v>
      </c>
      <c r="L18" s="805">
        <f t="shared" si="1"/>
        <v>1.7320508075688772</v>
      </c>
      <c r="M18" s="966">
        <f>I18/L18</f>
        <v>1.0536642412710666</v>
      </c>
      <c r="N18" s="878">
        <f>M18/F171</f>
        <v>2.1000204115100781E-2</v>
      </c>
      <c r="O18" s="833">
        <f t="shared" si="0"/>
        <v>0.12840059913996993</v>
      </c>
      <c r="P18" s="812" t="s">
        <v>470</v>
      </c>
      <c r="Q18" s="880">
        <f>C157</f>
        <v>1.7349999999999994</v>
      </c>
      <c r="R18" s="804" t="s">
        <v>470</v>
      </c>
      <c r="S18" s="804" t="s">
        <v>370</v>
      </c>
      <c r="T18" s="805">
        <f t="shared" si="2"/>
        <v>1.7320508075688772</v>
      </c>
      <c r="U18" s="966">
        <f>Q18/T18</f>
        <v>1.0017027170440005</v>
      </c>
      <c r="V18" s="965">
        <f>U18/F173</f>
        <v>1.1793895460522294E-2</v>
      </c>
      <c r="W18" s="835">
        <f>V18^2/$V$21^2</f>
        <v>3.4571874050857265E-2</v>
      </c>
      <c r="X18" s="812" t="s">
        <v>470</v>
      </c>
      <c r="Y18" s="881">
        <f>C159</f>
        <v>3.2999999999999972</v>
      </c>
      <c r="Z18" s="804" t="s">
        <v>470</v>
      </c>
      <c r="AA18" s="804" t="s">
        <v>370</v>
      </c>
      <c r="AB18" s="805">
        <f t="shared" si="3"/>
        <v>1.7320508075688772</v>
      </c>
      <c r="AC18" s="967">
        <f>Y18/AB18</f>
        <v>1.9052558883257635</v>
      </c>
      <c r="AD18" s="878">
        <f>AC18/F175</f>
        <v>1.1058809223873161E-2</v>
      </c>
      <c r="AE18" s="839">
        <f>AD18^2/$AD$21^2</f>
        <v>5.7354380796958863E-2</v>
      </c>
      <c r="AF18" s="812" t="s">
        <v>470</v>
      </c>
    </row>
    <row r="19" spans="1:32" ht="18" x14ac:dyDescent="0.25">
      <c r="A19" s="741">
        <v>5</v>
      </c>
      <c r="B19" s="2594" t="s">
        <v>788</v>
      </c>
      <c r="C19" s="2595"/>
      <c r="D19" s="2595"/>
      <c r="E19" s="2595"/>
      <c r="F19" s="2720"/>
      <c r="G19" s="871" t="s">
        <v>619</v>
      </c>
      <c r="H19" s="370" t="s">
        <v>450</v>
      </c>
      <c r="I19" s="880">
        <f>I10/SQRT(I12)</f>
        <v>0.4697517074654084</v>
      </c>
      <c r="J19" s="804" t="s">
        <v>470</v>
      </c>
      <c r="K19" s="804" t="s">
        <v>372</v>
      </c>
      <c r="L19" s="805">
        <f t="shared" si="1"/>
        <v>1</v>
      </c>
      <c r="M19" s="966">
        <f>I19/L19</f>
        <v>0.4697517074654084</v>
      </c>
      <c r="N19" s="878">
        <f>M19/I9</f>
        <v>1.005892307206442E-2</v>
      </c>
      <c r="O19" s="833">
        <f t="shared" si="0"/>
        <v>2.9459338584030874E-2</v>
      </c>
      <c r="P19" s="812" t="s">
        <v>470</v>
      </c>
      <c r="Q19" s="880">
        <f>Q10/SQRT(Q12)</f>
        <v>1.2003749414245535</v>
      </c>
      <c r="R19" s="804" t="s">
        <v>470</v>
      </c>
      <c r="S19" s="804" t="s">
        <v>372</v>
      </c>
      <c r="T19" s="805">
        <f t="shared" si="2"/>
        <v>1</v>
      </c>
      <c r="U19" s="966">
        <f>Q19/T19</f>
        <v>1.2003749414245535</v>
      </c>
      <c r="V19" s="878">
        <f>U19/Q9</f>
        <v>1.3238942775168782E-2</v>
      </c>
      <c r="W19" s="835">
        <f>V19^2/$V$21^2</f>
        <v>4.3562719545220563E-2</v>
      </c>
      <c r="X19" s="812" t="s">
        <v>470</v>
      </c>
      <c r="Y19" s="880">
        <f>Y10/SQRT(Y12)</f>
        <v>1.3034143197344767</v>
      </c>
      <c r="Z19" s="804" t="s">
        <v>470</v>
      </c>
      <c r="AA19" s="804" t="s">
        <v>372</v>
      </c>
      <c r="AB19" s="805">
        <f t="shared" si="3"/>
        <v>1</v>
      </c>
      <c r="AC19" s="966">
        <f>Y19/AB19</f>
        <v>1.3034143197344767</v>
      </c>
      <c r="AD19" s="878">
        <f>AC19/Y9</f>
        <v>7.5823986022948032E-3</v>
      </c>
      <c r="AE19" s="839">
        <f>AD19^2/$AD$21^2</f>
        <v>2.6962681765718314E-2</v>
      </c>
      <c r="AF19" s="812" t="s">
        <v>470</v>
      </c>
    </row>
    <row r="20" spans="1:32" ht="18.75" thickBot="1" x14ac:dyDescent="0.3">
      <c r="A20" s="795">
        <v>6</v>
      </c>
      <c r="B20" s="2582" t="s">
        <v>794</v>
      </c>
      <c r="C20" s="2583"/>
      <c r="D20" s="2583"/>
      <c r="E20" s="2583"/>
      <c r="F20" s="2584"/>
      <c r="G20" s="794" t="s">
        <v>683</v>
      </c>
      <c r="H20" s="795" t="s">
        <v>451</v>
      </c>
      <c r="I20" s="880">
        <f>IF('F-LSCD-013'!N51="cpm",((MAX('F-LSCD-013'!C49:L49)-MIN('F-LSCD-013'!C49:L49))/2)/60,(MAX('F-LSCD-013'!C49:L49)-MIN('F-LSCD-013'!C49:L49))/2)</f>
        <v>0.19999999999999996</v>
      </c>
      <c r="J20" s="804" t="s">
        <v>470</v>
      </c>
      <c r="K20" s="804" t="s">
        <v>370</v>
      </c>
      <c r="L20" s="805">
        <f t="shared" si="1"/>
        <v>1.7320508075688772</v>
      </c>
      <c r="M20" s="805">
        <f>I20/L20</f>
        <v>0.11547005383792514</v>
      </c>
      <c r="N20" s="965">
        <f>M20/I9</f>
        <v>2.4725921592703452E-3</v>
      </c>
      <c r="O20" s="833">
        <f t="shared" si="0"/>
        <v>1.7800204582495991E-3</v>
      </c>
      <c r="P20" s="812" t="s">
        <v>470</v>
      </c>
      <c r="Q20" s="880">
        <f>IF('F-LSCD-013'!N53="cpm",((MAX('F-LSCD-013'!C53:L53)-MIN('F-LSCD-013'!C53:L53))/2)/60,(MAX('F-LSCD-013'!C53:L53)-MIN('F-LSCD-013'!C53:L53))/2)</f>
        <v>6.5</v>
      </c>
      <c r="R20" s="804" t="s">
        <v>470</v>
      </c>
      <c r="S20" s="804" t="s">
        <v>370</v>
      </c>
      <c r="T20" s="805">
        <f t="shared" si="2"/>
        <v>1.7320508075688772</v>
      </c>
      <c r="U20" s="805">
        <f>Q20/T20</f>
        <v>3.7527767497325675</v>
      </c>
      <c r="V20" s="878">
        <f>U20/Q9</f>
        <v>4.1389398364757551E-2</v>
      </c>
      <c r="W20" s="835">
        <f t="shared" ref="W20" si="4">V20^2/$V$21^2</f>
        <v>0.42578131741401631</v>
      </c>
      <c r="X20" s="812" t="s">
        <v>470</v>
      </c>
      <c r="Y20" s="880">
        <f>IF('F-LSCD-013'!N55="cpm",((MAX('F-LSCD-013'!C55:L55)-MIN('F-LSCD-013'!C55:L55))/2)/60,(MAX('F-LSCD-013'!C55:L55)-MIN('F-LSCD-013'!C55:L55))/2)</f>
        <v>7</v>
      </c>
      <c r="Z20" s="804" t="s">
        <v>470</v>
      </c>
      <c r="AA20" s="804" t="s">
        <v>370</v>
      </c>
      <c r="AB20" s="805">
        <f t="shared" si="3"/>
        <v>1.7320508075688772</v>
      </c>
      <c r="AC20" s="805">
        <f>Y20/AB20</f>
        <v>4.0414518843273806</v>
      </c>
      <c r="AD20" s="878">
        <f>AC20/Y9</f>
        <v>2.3510482165953347E-2</v>
      </c>
      <c r="AE20" s="839">
        <f t="shared" ref="AE20" si="5">AD20^2/$AD$21^2</f>
        <v>0.25922264352914276</v>
      </c>
      <c r="AF20" s="812" t="s">
        <v>470</v>
      </c>
    </row>
    <row r="21" spans="1:32" x14ac:dyDescent="0.25">
      <c r="A21" s="735"/>
      <c r="I21" s="2468" t="s">
        <v>543</v>
      </c>
      <c r="J21" s="2469"/>
      <c r="K21" s="2469"/>
      <c r="L21" s="2469"/>
      <c r="M21" s="2470"/>
      <c r="N21" s="969">
        <f>SQRT(SUMSQ(N15:N20))</f>
        <v>5.8605717976407096E-2</v>
      </c>
      <c r="O21" s="819"/>
      <c r="P21" s="796"/>
      <c r="Q21" s="2468" t="s">
        <v>543</v>
      </c>
      <c r="R21" s="2469"/>
      <c r="S21" s="2469"/>
      <c r="T21" s="2469"/>
      <c r="U21" s="2470"/>
      <c r="V21" s="968">
        <f>SQRT(SUMSQ(V15:V20))</f>
        <v>6.3430160871752822E-2</v>
      </c>
      <c r="W21" s="819"/>
      <c r="X21" s="796"/>
      <c r="Y21" s="2468" t="s">
        <v>543</v>
      </c>
      <c r="Z21" s="2469"/>
      <c r="AA21" s="2469"/>
      <c r="AB21" s="2469"/>
      <c r="AC21" s="2470"/>
      <c r="AD21" s="968">
        <f>SQRT(SUMSQ(AD15:AD20))</f>
        <v>4.6176931297841797E-2</v>
      </c>
      <c r="AE21" s="819"/>
      <c r="AF21" s="796"/>
    </row>
    <row r="22" spans="1:32" x14ac:dyDescent="0.25">
      <c r="A22" s="735"/>
      <c r="I22" s="2468" t="s">
        <v>544</v>
      </c>
      <c r="J22" s="2469"/>
      <c r="K22" s="2469"/>
      <c r="L22" s="2469"/>
      <c r="M22" s="2470"/>
      <c r="N22" s="786" t="s">
        <v>373</v>
      </c>
      <c r="O22" s="743"/>
      <c r="P22" s="782"/>
      <c r="Q22" s="2468" t="s">
        <v>544</v>
      </c>
      <c r="R22" s="2469"/>
      <c r="S22" s="2469"/>
      <c r="T22" s="2469"/>
      <c r="U22" s="2470"/>
      <c r="V22" s="786" t="s">
        <v>373</v>
      </c>
      <c r="W22" s="743"/>
      <c r="X22" s="782"/>
      <c r="Y22" s="2468" t="s">
        <v>544</v>
      </c>
      <c r="Z22" s="2469"/>
      <c r="AA22" s="2469"/>
      <c r="AB22" s="2469"/>
      <c r="AC22" s="2470"/>
      <c r="AD22" s="786" t="s">
        <v>373</v>
      </c>
      <c r="AE22" s="743"/>
      <c r="AF22" s="782"/>
    </row>
    <row r="23" spans="1:32" x14ac:dyDescent="0.25">
      <c r="A23" s="735"/>
      <c r="I23" s="2468" t="s">
        <v>561</v>
      </c>
      <c r="J23" s="2469"/>
      <c r="K23" s="2469"/>
      <c r="L23" s="2469"/>
      <c r="M23" s="2470"/>
      <c r="N23" s="787">
        <f>IF(N22="normal (k=1)",1,IF(N22="normal (k=2)",2,IF(N22="normal (k=3)",3,IF(N22="rectangular",SQRT(3),IF(N22="triangular",SQRT(6),IF(N22="Prob. U",SQRT(2),"no definido"))))))</f>
        <v>2</v>
      </c>
      <c r="O23" s="744"/>
      <c r="P23" s="782"/>
      <c r="Q23" s="2468" t="s">
        <v>561</v>
      </c>
      <c r="R23" s="2469"/>
      <c r="S23" s="2469"/>
      <c r="T23" s="2469"/>
      <c r="U23" s="2470"/>
      <c r="V23" s="787">
        <f>IF(V22="normal (k=1)",1,IF(V22="normal (k=2)",2,IF(V22="normal (k=3)",3,IF(V22="rectangular",SQRT(3),IF(V22="triangular",SQRT(6),IF(V22="Prob. U",SQRT(2),"no definido"))))))</f>
        <v>2</v>
      </c>
      <c r="W23" s="744"/>
      <c r="X23" s="782"/>
      <c r="Y23" s="2468" t="s">
        <v>561</v>
      </c>
      <c r="Z23" s="2469"/>
      <c r="AA23" s="2469"/>
      <c r="AB23" s="2469"/>
      <c r="AC23" s="2470"/>
      <c r="AD23" s="787">
        <f>IF(AD22="normal (k=1)",1,IF(AD22="normal (k=2)",2,IF(AD22="normal (k=3)",3,IF(AD22="rectangular",SQRT(3),IF(AD22="triangular",SQRT(6),IF(AD22="Prob. U",SQRT(2),"no definido"))))))</f>
        <v>2</v>
      </c>
      <c r="AE23" s="744"/>
      <c r="AF23" s="782"/>
    </row>
    <row r="24" spans="1:32" ht="18.75" thickBot="1" x14ac:dyDescent="0.3">
      <c r="A24" s="735"/>
      <c r="I24" s="2392" t="s">
        <v>797</v>
      </c>
      <c r="J24" s="2469"/>
      <c r="K24" s="2469"/>
      <c r="L24" s="2469"/>
      <c r="M24" s="2470"/>
      <c r="N24" s="1596">
        <f>N21*N23</f>
        <v>0.11721143595281419</v>
      </c>
      <c r="O24" s="742"/>
      <c r="P24" s="782"/>
      <c r="Q24" s="2392" t="s">
        <v>797</v>
      </c>
      <c r="R24" s="2469"/>
      <c r="S24" s="2469"/>
      <c r="T24" s="2469"/>
      <c r="U24" s="2470"/>
      <c r="V24" s="1596">
        <f>V21*V23</f>
        <v>0.12686032174350564</v>
      </c>
      <c r="W24" s="742"/>
      <c r="X24" s="782"/>
      <c r="Y24" s="2392" t="s">
        <v>797</v>
      </c>
      <c r="Z24" s="2469"/>
      <c r="AA24" s="2469"/>
      <c r="AB24" s="2469"/>
      <c r="AC24" s="2470"/>
      <c r="AD24" s="1596">
        <f>AD21*AD23</f>
        <v>9.2353862595683595E-2</v>
      </c>
      <c r="AE24" s="742"/>
      <c r="AF24" s="782"/>
    </row>
    <row r="25" spans="1:32" x14ac:dyDescent="0.25">
      <c r="A25" s="735"/>
      <c r="I25" s="847"/>
      <c r="J25" s="783"/>
      <c r="K25" s="783"/>
      <c r="L25" s="783"/>
      <c r="M25" s="783"/>
      <c r="N25" s="783"/>
      <c r="O25" s="783"/>
      <c r="P25" s="848"/>
      <c r="Q25" s="847"/>
      <c r="R25" s="783"/>
      <c r="S25" s="783"/>
      <c r="T25" s="783"/>
      <c r="U25" s="783"/>
      <c r="V25" s="783"/>
      <c r="W25" s="783"/>
      <c r="X25" s="848"/>
      <c r="Y25" s="847"/>
      <c r="Z25" s="783"/>
      <c r="AA25" s="783"/>
      <c r="AB25" s="783"/>
      <c r="AC25" s="783"/>
      <c r="AD25" s="783"/>
      <c r="AE25" s="783"/>
      <c r="AF25" s="848"/>
    </row>
    <row r="26" spans="1:32" x14ac:dyDescent="0.25">
      <c r="A26" s="735"/>
      <c r="I26" s="777"/>
      <c r="P26" s="784"/>
      <c r="Q26" s="777"/>
      <c r="X26" s="784"/>
      <c r="Y26" s="777"/>
      <c r="AF26" s="784"/>
    </row>
    <row r="27" spans="1:32" x14ac:dyDescent="0.25">
      <c r="A27" s="735"/>
      <c r="I27" s="777"/>
      <c r="O27" s="779"/>
      <c r="P27" s="784"/>
      <c r="Q27" s="777"/>
      <c r="W27" s="779"/>
      <c r="X27" s="784"/>
      <c r="Y27" s="777"/>
      <c r="AE27" s="779"/>
      <c r="AF27" s="784"/>
    </row>
    <row r="28" spans="1:32" x14ac:dyDescent="0.25">
      <c r="A28" s="735"/>
      <c r="I28" s="777"/>
      <c r="P28" s="784"/>
      <c r="Q28" s="777"/>
      <c r="X28" s="784"/>
      <c r="Y28" s="777"/>
      <c r="AF28" s="784"/>
    </row>
    <row r="29" spans="1:32" x14ac:dyDescent="0.25">
      <c r="A29" s="735"/>
      <c r="I29" s="777"/>
      <c r="P29" s="784"/>
      <c r="Q29" s="777"/>
      <c r="X29" s="784"/>
      <c r="Y29" s="777"/>
      <c r="AF29" s="784"/>
    </row>
    <row r="30" spans="1:32" x14ac:dyDescent="0.25">
      <c r="A30" s="735"/>
      <c r="I30" s="777"/>
      <c r="P30" s="784"/>
      <c r="Q30" s="777"/>
      <c r="X30" s="784"/>
      <c r="Y30" s="777"/>
      <c r="AF30" s="784"/>
    </row>
    <row r="31" spans="1:32" x14ac:dyDescent="0.25">
      <c r="A31" s="735"/>
      <c r="I31" s="777"/>
      <c r="P31" s="784"/>
      <c r="Q31" s="777"/>
      <c r="X31" s="784"/>
      <c r="Y31" s="777"/>
      <c r="AF31" s="784"/>
    </row>
    <row r="32" spans="1:32" x14ac:dyDescent="0.25">
      <c r="A32" s="735"/>
      <c r="I32" s="777"/>
      <c r="P32" s="784"/>
      <c r="Q32" s="777"/>
      <c r="X32" s="784"/>
      <c r="Y32" s="777"/>
      <c r="AF32" s="784"/>
    </row>
    <row r="33" spans="1:32" x14ac:dyDescent="0.25">
      <c r="A33" s="735"/>
      <c r="I33" s="777"/>
      <c r="P33" s="784"/>
      <c r="Q33" s="777"/>
      <c r="X33" s="784"/>
      <c r="Y33" s="777"/>
      <c r="AF33" s="784"/>
    </row>
    <row r="34" spans="1:32" x14ac:dyDescent="0.25">
      <c r="A34" s="735"/>
      <c r="I34" s="777"/>
      <c r="P34" s="784"/>
      <c r="Q34" s="777"/>
      <c r="X34" s="784"/>
      <c r="Y34" s="777"/>
      <c r="AF34" s="784"/>
    </row>
    <row r="35" spans="1:32" x14ac:dyDescent="0.25">
      <c r="A35" s="735"/>
      <c r="I35" s="777"/>
      <c r="P35" s="784"/>
      <c r="Q35" s="777"/>
      <c r="X35" s="784"/>
      <c r="Y35" s="777"/>
      <c r="AF35" s="784"/>
    </row>
    <row r="36" spans="1:32" x14ac:dyDescent="0.25">
      <c r="A36" s="735"/>
      <c r="I36" s="777"/>
      <c r="P36" s="784"/>
      <c r="Q36" s="777"/>
      <c r="X36" s="784"/>
      <c r="Y36" s="777"/>
      <c r="AF36" s="784"/>
    </row>
    <row r="37" spans="1:32" x14ac:dyDescent="0.25">
      <c r="A37" s="735"/>
      <c r="I37" s="777"/>
      <c r="P37" s="784"/>
      <c r="Q37" s="777"/>
      <c r="X37" s="784"/>
      <c r="Y37" s="777"/>
      <c r="AF37" s="784"/>
    </row>
    <row r="38" spans="1:32" x14ac:dyDescent="0.25">
      <c r="A38" s="735"/>
      <c r="I38" s="777"/>
      <c r="P38" s="784"/>
      <c r="Q38" s="777"/>
      <c r="X38" s="784"/>
      <c r="Y38" s="777"/>
      <c r="AF38" s="784"/>
    </row>
    <row r="39" spans="1:32" x14ac:dyDescent="0.25">
      <c r="A39" s="735"/>
      <c r="I39" s="777"/>
      <c r="P39" s="784"/>
      <c r="Q39" s="777"/>
      <c r="X39" s="784"/>
      <c r="Y39" s="777"/>
      <c r="AF39" s="784"/>
    </row>
    <row r="40" spans="1:32" x14ac:dyDescent="0.25">
      <c r="I40" s="777"/>
      <c r="P40" s="784"/>
      <c r="Q40" s="777"/>
      <c r="X40" s="784"/>
      <c r="Y40" s="777"/>
      <c r="AF40" s="784"/>
    </row>
    <row r="41" spans="1:32" x14ac:dyDescent="0.25">
      <c r="A41" s="735"/>
      <c r="I41" s="777"/>
      <c r="P41" s="784"/>
      <c r="Q41" s="777"/>
      <c r="X41" s="784"/>
      <c r="Y41" s="777"/>
      <c r="AF41" s="784"/>
    </row>
    <row r="42" spans="1:32" x14ac:dyDescent="0.25">
      <c r="C42" s="734"/>
      <c r="I42" s="777"/>
      <c r="P42" s="784"/>
      <c r="Q42" s="777"/>
      <c r="X42" s="784"/>
      <c r="Y42" s="777"/>
      <c r="AF42" s="784"/>
    </row>
    <row r="43" spans="1:32" x14ac:dyDescent="0.25">
      <c r="B43" s="734"/>
      <c r="I43" s="777"/>
      <c r="P43" s="784"/>
      <c r="Q43" s="777"/>
      <c r="X43" s="784"/>
      <c r="Y43" s="777"/>
      <c r="AF43" s="784"/>
    </row>
    <row r="44" spans="1:32" x14ac:dyDescent="0.25">
      <c r="I44" s="777"/>
      <c r="P44" s="784"/>
      <c r="Q44" s="777"/>
      <c r="X44" s="784"/>
      <c r="Y44" s="777"/>
      <c r="AF44" s="784"/>
    </row>
    <row r="45" spans="1:32" x14ac:dyDescent="0.25">
      <c r="I45" s="777"/>
      <c r="P45" s="784"/>
      <c r="Q45" s="777"/>
      <c r="X45" s="784"/>
      <c r="Y45" s="777"/>
      <c r="AF45" s="784"/>
    </row>
    <row r="46" spans="1:32" x14ac:dyDescent="0.25">
      <c r="I46" s="777"/>
      <c r="P46" s="784"/>
      <c r="Q46" s="777"/>
      <c r="X46" s="784"/>
      <c r="Y46" s="777"/>
      <c r="AF46" s="784"/>
    </row>
    <row r="47" spans="1:32" ht="15.75" thickBot="1" x14ac:dyDescent="0.3">
      <c r="I47" s="849"/>
      <c r="J47" s="850"/>
      <c r="K47" s="850"/>
      <c r="L47" s="850"/>
      <c r="M47" s="850"/>
      <c r="N47" s="850"/>
      <c r="O47" s="850"/>
      <c r="P47" s="785"/>
      <c r="Q47" s="849"/>
      <c r="R47" s="850"/>
      <c r="S47" s="850"/>
      <c r="T47" s="850"/>
      <c r="U47" s="850"/>
      <c r="V47" s="850"/>
      <c r="W47" s="850"/>
      <c r="X47" s="785"/>
      <c r="Y47" s="849"/>
      <c r="Z47" s="850"/>
      <c r="AA47" s="850"/>
      <c r="AB47" s="850"/>
      <c r="AC47" s="850"/>
      <c r="AD47" s="850"/>
      <c r="AE47" s="850"/>
      <c r="AF47" s="785"/>
    </row>
    <row r="48" spans="1:32" ht="15.75" thickBot="1" x14ac:dyDescent="0.3">
      <c r="Q48" s="746"/>
      <c r="R48" s="746"/>
      <c r="S48" s="746"/>
      <c r="X48" s="746"/>
      <c r="Y48" s="746"/>
      <c r="Z48" s="746"/>
    </row>
    <row r="49" spans="1:26" ht="15.75" thickBot="1" x14ac:dyDescent="0.3">
      <c r="A49" s="2414" t="s">
        <v>742</v>
      </c>
      <c r="B49" s="2550"/>
      <c r="C49" s="2550"/>
      <c r="D49" s="2550"/>
      <c r="E49" s="2550"/>
      <c r="F49" s="2550"/>
      <c r="G49" s="2550"/>
      <c r="H49" s="2550"/>
      <c r="I49" s="2550"/>
      <c r="J49" s="2550"/>
      <c r="K49" s="2550"/>
      <c r="L49" s="2550"/>
      <c r="M49" s="2550"/>
      <c r="N49" s="2550"/>
      <c r="O49" s="2550"/>
      <c r="P49" s="2551"/>
      <c r="Q49" s="746"/>
      <c r="R49" s="746"/>
      <c r="S49" s="746"/>
      <c r="X49" s="746"/>
      <c r="Y49" s="746"/>
      <c r="Z49" s="746"/>
    </row>
    <row r="50" spans="1:26" ht="15.75" thickBot="1" x14ac:dyDescent="0.3">
      <c r="Q50" s="746"/>
      <c r="R50" s="746"/>
      <c r="S50" s="746"/>
      <c r="X50" s="746"/>
      <c r="Y50" s="746"/>
      <c r="Z50" s="746"/>
    </row>
    <row r="51" spans="1:26" x14ac:dyDescent="0.25">
      <c r="A51" s="747"/>
      <c r="B51" s="748"/>
      <c r="C51" s="748"/>
      <c r="D51" s="748"/>
      <c r="E51" s="748"/>
      <c r="F51" s="748"/>
      <c r="G51" s="748"/>
      <c r="H51" s="748"/>
      <c r="I51" s="748"/>
      <c r="J51" s="748"/>
      <c r="K51" s="748"/>
      <c r="L51" s="748"/>
      <c r="M51" s="748"/>
      <c r="N51" s="748"/>
      <c r="O51" s="748"/>
      <c r="P51" s="749"/>
      <c r="Q51" s="746"/>
      <c r="R51" s="746"/>
      <c r="S51" s="746"/>
      <c r="T51" s="746"/>
      <c r="U51" s="746"/>
      <c r="V51" s="746"/>
      <c r="W51" s="746"/>
      <c r="X51" s="746"/>
      <c r="Y51" s="746"/>
      <c r="Z51" s="746"/>
    </row>
    <row r="52" spans="1:26" x14ac:dyDescent="0.25">
      <c r="A52" s="323" t="s">
        <v>1012</v>
      </c>
      <c r="B52" s="751"/>
      <c r="C52" s="751"/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2"/>
    </row>
    <row r="53" spans="1:26" x14ac:dyDescent="0.25">
      <c r="A53" s="753"/>
      <c r="B53" s="751"/>
      <c r="C53" s="755"/>
      <c r="D53" s="754"/>
      <c r="E53" s="751"/>
      <c r="F53" s="751"/>
      <c r="G53" s="751"/>
      <c r="H53" s="751"/>
      <c r="I53" s="751"/>
      <c r="J53" s="751"/>
      <c r="K53" s="751"/>
      <c r="L53" s="751"/>
      <c r="M53" s="751"/>
      <c r="N53" s="751"/>
      <c r="O53" s="751"/>
      <c r="P53" s="752"/>
    </row>
    <row r="54" spans="1:26" x14ac:dyDescent="0.25">
      <c r="A54" s="750" t="s">
        <v>475</v>
      </c>
      <c r="B54" s="751"/>
      <c r="C54" s="751"/>
      <c r="D54" s="751"/>
      <c r="E54" s="751"/>
      <c r="F54" s="751"/>
      <c r="G54" s="751"/>
      <c r="H54" s="751"/>
      <c r="I54" s="751"/>
      <c r="J54" s="751"/>
      <c r="K54" s="751"/>
      <c r="L54" s="751"/>
      <c r="M54" s="751"/>
      <c r="N54" s="751"/>
      <c r="O54" s="751"/>
      <c r="P54" s="752"/>
    </row>
    <row r="55" spans="1:26" x14ac:dyDescent="0.25">
      <c r="A55" s="753"/>
      <c r="B55" s="751"/>
      <c r="C55" s="751"/>
      <c r="D55" s="751"/>
      <c r="E55" s="751"/>
      <c r="F55" s="751"/>
      <c r="G55" s="751"/>
      <c r="H55" s="751"/>
      <c r="I55" s="751"/>
      <c r="J55" s="751"/>
      <c r="K55" s="751"/>
      <c r="L55" s="751"/>
      <c r="M55" s="751"/>
      <c r="N55" s="751"/>
      <c r="O55" s="751"/>
      <c r="P55" s="752"/>
    </row>
    <row r="56" spans="1:26" x14ac:dyDescent="0.25">
      <c r="A56" s="753"/>
      <c r="B56" s="876" t="s">
        <v>464</v>
      </c>
      <c r="C56" s="354" t="s">
        <v>743</v>
      </c>
      <c r="D56" s="751"/>
      <c r="E56" s="751"/>
      <c r="F56" s="751"/>
      <c r="G56" s="751"/>
      <c r="H56" s="751"/>
      <c r="I56" s="751"/>
      <c r="J56" s="751"/>
      <c r="K56" s="751"/>
      <c r="L56" s="751"/>
      <c r="M56" s="751"/>
      <c r="N56" s="751"/>
      <c r="O56" s="751"/>
      <c r="P56" s="752"/>
    </row>
    <row r="57" spans="1:26" x14ac:dyDescent="0.25">
      <c r="A57" s="753"/>
      <c r="B57" s="751"/>
      <c r="C57" s="354"/>
      <c r="D57" s="751"/>
      <c r="E57" s="751"/>
      <c r="F57" s="751"/>
      <c r="G57" s="751"/>
      <c r="H57" s="751"/>
      <c r="I57" s="751"/>
      <c r="J57" s="751"/>
      <c r="K57" s="751"/>
      <c r="L57" s="751"/>
      <c r="M57" s="751"/>
      <c r="N57" s="751"/>
      <c r="O57" s="751"/>
      <c r="P57" s="752"/>
    </row>
    <row r="58" spans="1:26" ht="17.25" x14ac:dyDescent="0.25">
      <c r="A58" s="753"/>
      <c r="B58" s="875" t="s">
        <v>744</v>
      </c>
      <c r="C58" s="883">
        <v>0.03</v>
      </c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  <c r="O58" s="751"/>
      <c r="P58" s="752"/>
    </row>
    <row r="59" spans="1:26" x14ac:dyDescent="0.25">
      <c r="A59" s="753"/>
      <c r="B59" s="324"/>
      <c r="C59" s="324"/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  <c r="O59" s="751"/>
      <c r="P59" s="752"/>
    </row>
    <row r="60" spans="1:26" ht="17.25" x14ac:dyDescent="0.25">
      <c r="A60" s="753"/>
      <c r="B60" s="875" t="s">
        <v>745</v>
      </c>
      <c r="C60" s="883">
        <v>0.03</v>
      </c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  <c r="O60" s="751"/>
      <c r="P60" s="752"/>
    </row>
    <row r="61" spans="1:26" x14ac:dyDescent="0.25">
      <c r="A61" s="753"/>
      <c r="B61" s="324"/>
      <c r="C61" s="324"/>
      <c r="D61" s="751"/>
      <c r="E61" s="751"/>
      <c r="F61" s="751"/>
      <c r="G61" s="751"/>
      <c r="H61" s="751"/>
      <c r="I61" s="751"/>
      <c r="J61" s="751"/>
      <c r="K61" s="751"/>
      <c r="L61" s="751"/>
      <c r="M61" s="751"/>
      <c r="N61" s="751"/>
      <c r="O61" s="751"/>
      <c r="P61" s="752"/>
    </row>
    <row r="62" spans="1:26" ht="17.25" x14ac:dyDescent="0.25">
      <c r="A62" s="753"/>
      <c r="B62" s="875" t="s">
        <v>746</v>
      </c>
      <c r="C62" s="883">
        <v>0.03</v>
      </c>
      <c r="D62" s="751"/>
      <c r="E62" s="751"/>
      <c r="F62" s="751"/>
      <c r="G62" s="751"/>
      <c r="H62" s="751"/>
      <c r="I62" s="751"/>
      <c r="J62" s="751"/>
      <c r="K62" s="751"/>
      <c r="L62" s="751"/>
      <c r="M62" s="751"/>
      <c r="N62" s="751"/>
      <c r="O62" s="751"/>
      <c r="P62" s="752"/>
    </row>
    <row r="63" spans="1:26" x14ac:dyDescent="0.25">
      <c r="A63" s="753"/>
      <c r="B63" s="751"/>
      <c r="C63" s="751"/>
      <c r="D63" s="751"/>
      <c r="E63" s="751"/>
      <c r="F63" s="751"/>
      <c r="G63" s="751"/>
      <c r="H63" s="751"/>
      <c r="I63" s="751"/>
      <c r="J63" s="751"/>
      <c r="K63" s="751"/>
      <c r="L63" s="751"/>
      <c r="M63" s="751"/>
      <c r="N63" s="751"/>
      <c r="O63" s="751"/>
      <c r="P63" s="752"/>
    </row>
    <row r="64" spans="1:26" x14ac:dyDescent="0.25">
      <c r="A64" s="323" t="s">
        <v>749</v>
      </c>
      <c r="B64" s="751"/>
      <c r="C64" s="755"/>
      <c r="D64" s="754"/>
      <c r="E64" s="751"/>
      <c r="F64" s="751"/>
      <c r="G64" s="751"/>
      <c r="H64" s="751"/>
      <c r="I64" s="751"/>
      <c r="J64" s="751"/>
      <c r="K64" s="751"/>
      <c r="L64" s="751"/>
      <c r="M64" s="751"/>
      <c r="N64" s="751"/>
      <c r="O64" s="751"/>
      <c r="P64" s="752"/>
    </row>
    <row r="65" spans="1:16" x14ac:dyDescent="0.25">
      <c r="A65" s="750"/>
      <c r="B65" s="751"/>
      <c r="C65" s="755"/>
      <c r="D65" s="754"/>
      <c r="E65" s="751"/>
      <c r="F65" s="751"/>
      <c r="G65" s="751"/>
      <c r="H65" s="751"/>
      <c r="I65" s="751"/>
      <c r="J65" s="751"/>
      <c r="K65" s="751"/>
      <c r="L65" s="751"/>
      <c r="M65" s="751"/>
      <c r="N65" s="751"/>
      <c r="O65" s="751"/>
      <c r="P65" s="752"/>
    </row>
    <row r="66" spans="1:16" x14ac:dyDescent="0.25">
      <c r="A66" s="750"/>
      <c r="B66" s="751"/>
      <c r="C66" s="755"/>
      <c r="D66" s="754"/>
      <c r="E66" s="751"/>
      <c r="F66" s="751"/>
      <c r="G66" s="751"/>
      <c r="H66" s="751"/>
      <c r="I66" s="751"/>
      <c r="J66" s="751"/>
      <c r="K66" s="751"/>
      <c r="L66" s="751"/>
      <c r="M66" s="751"/>
      <c r="N66" s="751"/>
      <c r="O66" s="751"/>
      <c r="P66" s="752"/>
    </row>
    <row r="67" spans="1:16" x14ac:dyDescent="0.25">
      <c r="A67" s="750"/>
      <c r="B67" s="751"/>
      <c r="C67" s="755"/>
      <c r="D67" s="754"/>
      <c r="E67" s="751"/>
      <c r="F67" s="751"/>
      <c r="G67" s="751"/>
      <c r="H67" s="751"/>
      <c r="I67" s="751"/>
      <c r="J67" s="751"/>
      <c r="K67" s="751"/>
      <c r="L67" s="751"/>
      <c r="M67" s="751"/>
      <c r="N67" s="751"/>
      <c r="O67" s="751"/>
      <c r="P67" s="752"/>
    </row>
    <row r="68" spans="1:16" ht="15.75" thickBot="1" x14ac:dyDescent="0.3">
      <c r="A68" s="756"/>
      <c r="B68" s="757"/>
      <c r="C68" s="757"/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8"/>
    </row>
    <row r="69" spans="1:16" x14ac:dyDescent="0.25">
      <c r="A69" s="747"/>
      <c r="B69" s="748"/>
      <c r="C69" s="748"/>
      <c r="D69" s="748"/>
      <c r="E69" s="748"/>
      <c r="F69" s="748"/>
      <c r="G69" s="748"/>
      <c r="H69" s="748"/>
      <c r="I69" s="748"/>
      <c r="J69" s="748"/>
      <c r="K69" s="748"/>
      <c r="L69" s="748"/>
      <c r="M69" s="748"/>
      <c r="N69" s="748"/>
      <c r="O69" s="748"/>
      <c r="P69" s="749"/>
    </row>
    <row r="70" spans="1:16" x14ac:dyDescent="0.25">
      <c r="A70" s="323" t="s">
        <v>1017</v>
      </c>
      <c r="B70" s="751"/>
      <c r="C70" s="751"/>
      <c r="D70" s="751"/>
      <c r="E70" s="751"/>
      <c r="F70" s="751"/>
      <c r="G70" s="751"/>
      <c r="H70" s="751"/>
      <c r="I70" s="751"/>
      <c r="J70" s="751"/>
      <c r="K70" s="751"/>
      <c r="L70" s="751"/>
      <c r="M70" s="751"/>
      <c r="N70" s="751"/>
      <c r="O70" s="751"/>
      <c r="P70" s="752"/>
    </row>
    <row r="71" spans="1:16" x14ac:dyDescent="0.25">
      <c r="A71" s="750"/>
      <c r="B71" s="751"/>
      <c r="C71" s="751"/>
      <c r="D71" s="751"/>
      <c r="E71" s="751"/>
      <c r="F71" s="751"/>
      <c r="G71" s="751"/>
      <c r="H71" s="751"/>
      <c r="I71" s="751"/>
      <c r="J71" s="751"/>
      <c r="K71" s="751"/>
      <c r="L71" s="751"/>
      <c r="M71" s="751"/>
      <c r="N71" s="751"/>
      <c r="O71" s="751"/>
      <c r="P71" s="752"/>
    </row>
    <row r="72" spans="1:16" x14ac:dyDescent="0.25">
      <c r="A72" s="750" t="s">
        <v>477</v>
      </c>
      <c r="B72" s="751"/>
      <c r="C72" s="751"/>
      <c r="D72" s="751"/>
      <c r="E72" s="751"/>
      <c r="F72" s="751"/>
      <c r="G72" s="751"/>
      <c r="H72" s="751"/>
      <c r="I72" s="751"/>
      <c r="J72" s="751"/>
      <c r="K72" s="751"/>
      <c r="L72" s="751"/>
      <c r="M72" s="751"/>
      <c r="N72" s="751"/>
      <c r="O72" s="751"/>
      <c r="P72" s="752"/>
    </row>
    <row r="73" spans="1:16" x14ac:dyDescent="0.25">
      <c r="A73" s="753"/>
      <c r="B73" s="751"/>
      <c r="C73" s="751"/>
      <c r="D73" s="751"/>
      <c r="E73" s="751"/>
      <c r="F73" s="751"/>
      <c r="G73" s="751"/>
      <c r="H73" s="751"/>
      <c r="I73" s="751"/>
      <c r="J73" s="751"/>
      <c r="K73" s="751"/>
      <c r="L73" s="751"/>
      <c r="M73" s="751"/>
      <c r="N73" s="751"/>
      <c r="O73" s="751"/>
      <c r="P73" s="752"/>
    </row>
    <row r="74" spans="1:16" x14ac:dyDescent="0.25">
      <c r="A74" s="753"/>
      <c r="B74" s="751" t="s">
        <v>464</v>
      </c>
      <c r="C74" s="354" t="s">
        <v>1020</v>
      </c>
      <c r="D74" s="751"/>
      <c r="E74" s="751"/>
      <c r="F74" s="751"/>
      <c r="G74" s="751"/>
      <c r="H74" s="751"/>
      <c r="I74" s="751"/>
      <c r="J74" s="751"/>
      <c r="K74" s="751"/>
      <c r="L74" s="751"/>
      <c r="M74" s="751"/>
      <c r="N74" s="751"/>
      <c r="O74" s="751"/>
      <c r="P74" s="752"/>
    </row>
    <row r="75" spans="1:16" x14ac:dyDescent="0.25">
      <c r="A75" s="753"/>
      <c r="B75" s="751"/>
      <c r="C75" s="751"/>
      <c r="D75" s="751"/>
      <c r="E75" s="751"/>
      <c r="F75" s="751"/>
      <c r="G75" s="751"/>
      <c r="H75" s="751"/>
      <c r="I75" s="751"/>
      <c r="J75" s="751"/>
      <c r="K75" s="751"/>
      <c r="L75" s="751"/>
      <c r="M75" s="751"/>
      <c r="N75" s="751"/>
      <c r="O75" s="751"/>
      <c r="P75" s="752"/>
    </row>
    <row r="76" spans="1:16" ht="17.25" x14ac:dyDescent="0.25">
      <c r="A76" s="753"/>
      <c r="B76" s="875" t="s">
        <v>744</v>
      </c>
      <c r="C76" s="957">
        <f>(MAX('F-LSCD-013 (Homog Fuen Planas)'!O60,'F-LSCD-013 (Homog Fuen Planas)'!O62,'F-LSCD-013 (Homog Fuen Planas)'!O64,'F-LSCD-013 (Homog Fuen Planas)'!O66,'F-LSCD-013 (Homog Fuen Planas)'!O68,'F-LSCD-013 (Homog Fuen Planas)'!O70,'F-LSCD-013 (Homog Fuen Planas)'!O72,'F-LSCD-013 (Homog Fuen Planas)'!O74,'F-LSCD-013 (Homog Fuen Planas)'!O76)-MIN('F-LSCD-013 (Homog Fuen Planas)'!O60,'F-LSCD-013 (Homog Fuen Planas)'!O62,'F-LSCD-013 (Homog Fuen Planas)'!O64,'F-LSCD-013 (Homog Fuen Planas)'!O66,'F-LSCD-013 (Homog Fuen Planas)'!O68,'F-LSCD-013 (Homog Fuen Planas)'!O70,'F-LSCD-013 (Homog Fuen Planas)'!O72,'F-LSCD-013 (Homog Fuen Planas)'!O74,'F-LSCD-013 (Homog Fuen Planas)'!O76))/2</f>
        <v>2.1350000000000016</v>
      </c>
      <c r="D76" s="324" t="s">
        <v>470</v>
      </c>
      <c r="E76" s="751"/>
      <c r="F76" s="751"/>
      <c r="G76" s="751"/>
      <c r="H76" s="751"/>
      <c r="I76" s="751"/>
      <c r="J76" s="751"/>
      <c r="K76" s="751"/>
      <c r="L76" s="751"/>
      <c r="M76" s="751"/>
      <c r="N76" s="751"/>
      <c r="O76" s="751"/>
      <c r="P76" s="752"/>
    </row>
    <row r="77" spans="1:16" x14ac:dyDescent="0.25">
      <c r="A77" s="753"/>
      <c r="B77" s="324"/>
      <c r="C77" s="956"/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2"/>
    </row>
    <row r="78" spans="1:16" ht="17.25" x14ac:dyDescent="0.25">
      <c r="A78" s="753"/>
      <c r="B78" s="875" t="s">
        <v>745</v>
      </c>
      <c r="C78" s="957">
        <f>(MAX('F-LSCD-013 (Homog Fuen Planas)'!O104,'F-LSCD-013 (Homog Fuen Planas)'!O106,'F-LSCD-013 (Homog Fuen Planas)'!O108,'F-LSCD-013 (Homog Fuen Planas)'!O110,'F-LSCD-013 (Homog Fuen Planas)'!O112,'F-LSCD-013 (Homog Fuen Planas)'!O114,'F-LSCD-013 (Homog Fuen Planas)'!O116,'F-LSCD-013 (Homog Fuen Planas)'!O118,'F-LSCD-013 (Homog Fuen Planas)'!O120)-MIN('F-LSCD-013 (Homog Fuen Planas)'!O104,'F-LSCD-013 (Homog Fuen Planas)'!O106,'F-LSCD-013 (Homog Fuen Planas)'!O108,'F-LSCD-013 (Homog Fuen Planas)'!O110,'F-LSCD-013 (Homog Fuen Planas)'!O112,'F-LSCD-013 (Homog Fuen Planas)'!O114,'F-LSCD-013 (Homog Fuen Planas)'!O116,'F-LSCD-013 (Homog Fuen Planas)'!O118,'F-LSCD-013 (Homog Fuen Planas)'!O120))/2</f>
        <v>5.2250000000000014</v>
      </c>
      <c r="D78" s="324" t="s">
        <v>470</v>
      </c>
      <c r="E78" s="751"/>
      <c r="F78" s="751"/>
      <c r="G78" s="751"/>
      <c r="H78" s="751"/>
      <c r="I78" s="751"/>
      <c r="J78" s="751"/>
      <c r="K78" s="751"/>
      <c r="L78" s="751"/>
      <c r="M78" s="751"/>
      <c r="N78" s="751"/>
      <c r="O78" s="751"/>
      <c r="P78" s="752"/>
    </row>
    <row r="79" spans="1:16" x14ac:dyDescent="0.25">
      <c r="A79" s="753"/>
      <c r="B79" s="324"/>
      <c r="C79" s="324"/>
      <c r="D79" s="751"/>
      <c r="E79" s="751"/>
      <c r="F79" s="751"/>
      <c r="G79" s="751"/>
      <c r="H79" s="751"/>
      <c r="I79" s="751"/>
      <c r="J79" s="751"/>
      <c r="K79" s="751"/>
      <c r="L79" s="751"/>
      <c r="M79" s="751"/>
      <c r="N79" s="751"/>
      <c r="O79" s="751"/>
      <c r="P79" s="752"/>
    </row>
    <row r="80" spans="1:16" ht="17.25" x14ac:dyDescent="0.25">
      <c r="A80" s="753"/>
      <c r="B80" s="875" t="s">
        <v>746</v>
      </c>
      <c r="C80" s="884">
        <f>(MAX('F-LSCD-013 (Homog Fuen Planas)'!O148,'F-LSCD-013 (Homog Fuen Planas)'!O150,'F-LSCD-013 (Homog Fuen Planas)'!O152,'F-LSCD-013 (Homog Fuen Planas)'!O154,'F-LSCD-013 (Homog Fuen Planas)'!O156,'F-LSCD-013 (Homog Fuen Planas)'!O158,'F-LSCD-013 (Homog Fuen Planas)'!O160,'F-LSCD-013 (Homog Fuen Planas)'!O162,'F-LSCD-013 (Homog Fuen Planas)'!O164)-MIN('F-LSCD-013 (Homog Fuen Planas)'!O148,'F-LSCD-013 (Homog Fuen Planas)'!O150,'F-LSCD-013 (Homog Fuen Planas)'!O152,'F-LSCD-013 (Homog Fuen Planas)'!O154,'F-LSCD-013 (Homog Fuen Planas)'!O156,'F-LSCD-013 (Homog Fuen Planas)'!O158,'F-LSCD-013 (Homog Fuen Planas)'!O160,'F-LSCD-013 (Homog Fuen Planas)'!O162,'F-LSCD-013 (Homog Fuen Planas)'!O164))/2</f>
        <v>6.25</v>
      </c>
      <c r="D80" s="324" t="s">
        <v>470</v>
      </c>
      <c r="E80" s="751"/>
      <c r="F80" s="751"/>
      <c r="G80" s="751"/>
      <c r="H80" s="751"/>
      <c r="I80" s="751"/>
      <c r="J80" s="751"/>
      <c r="K80" s="751"/>
      <c r="L80" s="751"/>
      <c r="M80" s="751"/>
      <c r="N80" s="751"/>
      <c r="O80" s="751"/>
      <c r="P80" s="752"/>
    </row>
    <row r="81" spans="1:16" x14ac:dyDescent="0.25">
      <c r="A81" s="753"/>
      <c r="B81" s="751"/>
      <c r="C81" s="755"/>
      <c r="D81" s="754"/>
      <c r="E81" s="751"/>
      <c r="F81" s="751"/>
      <c r="G81" s="751"/>
      <c r="H81" s="751"/>
      <c r="I81" s="751"/>
      <c r="J81" s="751"/>
      <c r="K81" s="751"/>
      <c r="L81" s="751"/>
      <c r="M81" s="751"/>
      <c r="N81" s="751"/>
      <c r="O81" s="751"/>
      <c r="P81" s="752"/>
    </row>
    <row r="82" spans="1:16" x14ac:dyDescent="0.25">
      <c r="A82" s="750" t="s">
        <v>705</v>
      </c>
      <c r="B82" s="751"/>
      <c r="C82" s="755"/>
      <c r="D82" s="754"/>
      <c r="E82" s="751"/>
      <c r="F82" s="751"/>
      <c r="G82" s="751"/>
      <c r="H82" s="751"/>
      <c r="I82" s="751"/>
      <c r="J82" s="751"/>
      <c r="K82" s="751"/>
      <c r="L82" s="751"/>
      <c r="M82" s="751"/>
      <c r="N82" s="751"/>
      <c r="O82" s="751"/>
      <c r="P82" s="752"/>
    </row>
    <row r="83" spans="1:16" x14ac:dyDescent="0.25">
      <c r="A83" s="750"/>
      <c r="B83" s="751"/>
      <c r="C83" s="755"/>
      <c r="D83" s="754"/>
      <c r="E83" s="751"/>
      <c r="F83" s="751"/>
      <c r="G83" s="751"/>
      <c r="H83" s="751"/>
      <c r="I83" s="751"/>
      <c r="J83" s="751"/>
      <c r="K83" s="751"/>
      <c r="L83" s="751"/>
      <c r="M83" s="751"/>
      <c r="N83" s="751"/>
      <c r="O83" s="751"/>
      <c r="P83" s="752"/>
    </row>
    <row r="84" spans="1:16" x14ac:dyDescent="0.25">
      <c r="A84" s="750"/>
      <c r="B84" s="751"/>
      <c r="C84" s="755"/>
      <c r="D84" s="754"/>
      <c r="E84" s="751"/>
      <c r="F84" s="751"/>
      <c r="G84" s="751"/>
      <c r="H84" s="751"/>
      <c r="I84" s="751"/>
      <c r="J84" s="751"/>
      <c r="K84" s="751"/>
      <c r="L84" s="751"/>
      <c r="M84" s="751"/>
      <c r="N84" s="751"/>
      <c r="O84" s="751"/>
      <c r="P84" s="752"/>
    </row>
    <row r="85" spans="1:16" x14ac:dyDescent="0.25">
      <c r="A85" s="750"/>
      <c r="B85" s="751"/>
      <c r="C85" s="755"/>
      <c r="D85" s="754"/>
      <c r="E85" s="751"/>
      <c r="F85" s="751"/>
      <c r="G85" s="751"/>
      <c r="H85" s="751"/>
      <c r="I85" s="751"/>
      <c r="J85" s="751"/>
      <c r="K85" s="751"/>
      <c r="L85" s="751"/>
      <c r="M85" s="751"/>
      <c r="N85" s="751"/>
      <c r="O85" s="751"/>
      <c r="P85" s="752"/>
    </row>
    <row r="86" spans="1:16" x14ac:dyDescent="0.25">
      <c r="A86" s="750"/>
      <c r="B86" s="751"/>
      <c r="C86" s="755"/>
      <c r="D86" s="754"/>
      <c r="E86" s="751"/>
      <c r="F86" s="751"/>
      <c r="G86" s="751"/>
      <c r="H86" s="751"/>
      <c r="I86" s="751"/>
      <c r="J86" s="751"/>
      <c r="K86" s="751"/>
      <c r="L86" s="751"/>
      <c r="M86" s="751"/>
      <c r="N86" s="751"/>
      <c r="O86" s="751"/>
      <c r="P86" s="752"/>
    </row>
    <row r="87" spans="1:16" x14ac:dyDescent="0.25">
      <c r="A87" s="323" t="s">
        <v>751</v>
      </c>
      <c r="B87" s="751"/>
      <c r="C87" s="755"/>
      <c r="D87" s="754"/>
      <c r="E87" s="751"/>
      <c r="F87" s="751"/>
      <c r="G87" s="751"/>
      <c r="H87" s="751"/>
      <c r="I87" s="751"/>
      <c r="J87" s="751"/>
      <c r="K87" s="751"/>
      <c r="L87" s="751"/>
      <c r="M87" s="751"/>
      <c r="N87" s="751"/>
      <c r="O87" s="751"/>
      <c r="P87" s="752"/>
    </row>
    <row r="88" spans="1:16" x14ac:dyDescent="0.25">
      <c r="A88" s="323"/>
      <c r="B88" s="751"/>
      <c r="C88" s="755"/>
      <c r="D88" s="754"/>
      <c r="E88" s="751"/>
      <c r="F88" s="751"/>
      <c r="G88" s="751"/>
      <c r="H88" s="751"/>
      <c r="I88" s="751"/>
      <c r="J88" s="751"/>
      <c r="K88" s="751"/>
      <c r="L88" s="751"/>
      <c r="M88" s="751"/>
      <c r="N88" s="751"/>
      <c r="O88" s="751"/>
      <c r="P88" s="752"/>
    </row>
    <row r="89" spans="1:16" x14ac:dyDescent="0.25">
      <c r="A89" s="323"/>
      <c r="B89" s="751"/>
      <c r="C89" s="755"/>
      <c r="D89" s="754"/>
      <c r="E89" s="751"/>
      <c r="F89" s="751"/>
      <c r="G89" s="751"/>
      <c r="H89" s="751"/>
      <c r="I89" s="751"/>
      <c r="J89" s="751"/>
      <c r="K89" s="751"/>
      <c r="L89" s="751"/>
      <c r="M89" s="751"/>
      <c r="N89" s="751"/>
      <c r="O89" s="751"/>
      <c r="P89" s="752"/>
    </row>
    <row r="90" spans="1:16" x14ac:dyDescent="0.25">
      <c r="A90" s="323"/>
      <c r="B90" s="751"/>
      <c r="C90" s="755"/>
      <c r="D90" s="754"/>
      <c r="E90" s="751"/>
      <c r="F90" s="751"/>
      <c r="G90" s="751"/>
      <c r="H90" s="751"/>
      <c r="I90" s="751"/>
      <c r="J90" s="751"/>
      <c r="K90" s="751"/>
      <c r="L90" s="751"/>
      <c r="M90" s="751"/>
      <c r="N90" s="751"/>
      <c r="O90" s="751"/>
      <c r="P90" s="752"/>
    </row>
    <row r="91" spans="1:16" x14ac:dyDescent="0.25">
      <c r="A91" s="323"/>
      <c r="B91" s="751"/>
      <c r="C91" s="755"/>
      <c r="D91" s="754"/>
      <c r="E91" s="751"/>
      <c r="F91" s="751"/>
      <c r="G91" s="751"/>
      <c r="H91" s="751"/>
      <c r="I91" s="751"/>
      <c r="J91" s="751"/>
      <c r="K91" s="751"/>
      <c r="L91" s="751"/>
      <c r="M91" s="751"/>
      <c r="N91" s="751"/>
      <c r="O91" s="751"/>
      <c r="P91" s="752"/>
    </row>
    <row r="92" spans="1:16" ht="17.25" x14ac:dyDescent="0.25">
      <c r="A92" s="323"/>
      <c r="B92" s="751"/>
      <c r="C92" s="751"/>
      <c r="D92" s="875" t="s">
        <v>754</v>
      </c>
      <c r="E92" s="885">
        <f>'F-LSCD-013 (Homog Fuen Planas)'!O60</f>
        <v>59.066000000000003</v>
      </c>
      <c r="F92" s="324" t="s">
        <v>470</v>
      </c>
      <c r="G92" s="751"/>
      <c r="H92" s="751"/>
      <c r="I92" s="751"/>
      <c r="J92" s="751"/>
      <c r="K92" s="751"/>
      <c r="L92" s="751"/>
      <c r="M92" s="751"/>
      <c r="N92" s="751"/>
      <c r="O92" s="751"/>
      <c r="P92" s="752"/>
    </row>
    <row r="93" spans="1:16" x14ac:dyDescent="0.25">
      <c r="A93" s="323"/>
      <c r="B93" s="751"/>
      <c r="C93" s="751"/>
      <c r="D93" s="324"/>
      <c r="E93" s="885"/>
      <c r="F93" s="751"/>
      <c r="G93" s="751"/>
      <c r="H93" s="751"/>
      <c r="I93" s="751"/>
      <c r="J93" s="751"/>
      <c r="K93" s="751"/>
      <c r="L93" s="751"/>
      <c r="M93" s="751"/>
      <c r="N93" s="751"/>
      <c r="O93" s="751"/>
      <c r="P93" s="752"/>
    </row>
    <row r="94" spans="1:16" ht="17.25" x14ac:dyDescent="0.25">
      <c r="A94" s="323"/>
      <c r="B94" s="751"/>
      <c r="C94" s="751"/>
      <c r="D94" s="875" t="s">
        <v>755</v>
      </c>
      <c r="E94" s="885">
        <f>'F-LSCD-013 (Homog Fuen Planas)'!O104</f>
        <v>92.406000000000006</v>
      </c>
      <c r="F94" s="324" t="s">
        <v>470</v>
      </c>
      <c r="G94" s="751"/>
      <c r="H94" s="751"/>
      <c r="I94" s="751"/>
      <c r="J94" s="751"/>
      <c r="K94" s="751"/>
      <c r="L94" s="751"/>
      <c r="M94" s="751"/>
      <c r="N94" s="751"/>
      <c r="O94" s="751"/>
      <c r="P94" s="752"/>
    </row>
    <row r="95" spans="1:16" x14ac:dyDescent="0.25">
      <c r="A95" s="750"/>
      <c r="B95" s="751"/>
      <c r="C95" s="751"/>
      <c r="D95" s="324"/>
      <c r="E95" s="751"/>
      <c r="F95" s="751"/>
      <c r="G95" s="751"/>
      <c r="H95" s="751"/>
      <c r="I95" s="751"/>
      <c r="J95" s="751"/>
      <c r="K95" s="751"/>
      <c r="L95" s="751"/>
      <c r="M95" s="751"/>
      <c r="N95" s="751"/>
      <c r="O95" s="751"/>
      <c r="P95" s="752"/>
    </row>
    <row r="96" spans="1:16" ht="17.25" x14ac:dyDescent="0.25">
      <c r="A96" s="750"/>
      <c r="B96" s="751"/>
      <c r="C96" s="751"/>
      <c r="D96" s="875" t="s">
        <v>756</v>
      </c>
      <c r="E96" s="885">
        <f>'F-LSCD-013 (Homog Fuen Planas)'!O148</f>
        <v>189.20600000000002</v>
      </c>
      <c r="F96" s="324" t="s">
        <v>470</v>
      </c>
      <c r="G96" s="751"/>
      <c r="H96" s="751"/>
      <c r="I96" s="751"/>
      <c r="J96" s="751"/>
      <c r="K96" s="751"/>
      <c r="L96" s="751"/>
      <c r="M96" s="751"/>
      <c r="N96" s="751"/>
      <c r="O96" s="751"/>
      <c r="P96" s="752"/>
    </row>
    <row r="97" spans="1:16" ht="15.75" thickBot="1" x14ac:dyDescent="0.3">
      <c r="A97" s="756"/>
      <c r="B97" s="757"/>
      <c r="C97" s="757"/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8"/>
    </row>
    <row r="98" spans="1:16" hidden="1" x14ac:dyDescent="0.25">
      <c r="A98" s="747"/>
      <c r="B98" s="748"/>
      <c r="C98" s="748"/>
      <c r="D98" s="748"/>
      <c r="E98" s="748"/>
      <c r="F98" s="748"/>
      <c r="G98" s="748"/>
      <c r="H98" s="748"/>
      <c r="I98" s="748"/>
      <c r="J98" s="748"/>
      <c r="K98" s="748"/>
      <c r="L98" s="748"/>
      <c r="M98" s="748"/>
      <c r="N98" s="748"/>
      <c r="O98" s="748"/>
      <c r="P98" s="749"/>
    </row>
    <row r="99" spans="1:16" hidden="1" x14ac:dyDescent="0.25">
      <c r="A99" s="323" t="s">
        <v>760</v>
      </c>
      <c r="B99" s="751"/>
      <c r="C99" s="751"/>
      <c r="D99" s="751"/>
      <c r="E99" s="751"/>
      <c r="F99" s="751"/>
      <c r="G99" s="751"/>
      <c r="H99" s="751"/>
      <c r="I99" s="751"/>
      <c r="J99" s="751"/>
      <c r="K99" s="751"/>
      <c r="L99" s="751"/>
      <c r="M99" s="751"/>
      <c r="N99" s="751"/>
      <c r="O99" s="751"/>
      <c r="P99" s="752"/>
    </row>
    <row r="100" spans="1:16" hidden="1" x14ac:dyDescent="0.25">
      <c r="A100" s="753"/>
      <c r="B100" s="751"/>
      <c r="C100" s="751"/>
      <c r="D100" s="751"/>
      <c r="E100" s="751"/>
      <c r="F100" s="751"/>
      <c r="G100" s="751"/>
      <c r="H100" s="751"/>
      <c r="I100" s="751"/>
      <c r="J100" s="751"/>
      <c r="K100" s="751"/>
      <c r="L100" s="751"/>
      <c r="M100" s="751"/>
      <c r="N100" s="751"/>
      <c r="O100" s="751"/>
      <c r="P100" s="752"/>
    </row>
    <row r="101" spans="1:16" hidden="1" x14ac:dyDescent="0.25">
      <c r="A101" s="323" t="s">
        <v>757</v>
      </c>
      <c r="B101" s="751"/>
      <c r="C101" s="751"/>
      <c r="D101" s="751"/>
      <c r="E101" s="751"/>
      <c r="F101" s="751"/>
      <c r="G101" s="751"/>
      <c r="H101" s="751"/>
      <c r="I101" s="751"/>
      <c r="J101" s="751"/>
      <c r="K101" s="751"/>
      <c r="L101" s="751"/>
      <c r="M101" s="751"/>
      <c r="N101" s="751"/>
      <c r="O101" s="751"/>
      <c r="P101" s="752"/>
    </row>
    <row r="102" spans="1:16" hidden="1" x14ac:dyDescent="0.25">
      <c r="A102" s="753"/>
      <c r="B102" s="751"/>
      <c r="C102" s="751"/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2"/>
    </row>
    <row r="103" spans="1:16" ht="18" hidden="1" x14ac:dyDescent="0.25">
      <c r="A103" s="753"/>
      <c r="B103" s="324" t="s">
        <v>758</v>
      </c>
      <c r="C103" s="886">
        <v>0.1</v>
      </c>
      <c r="D103" s="751"/>
      <c r="E103" s="751"/>
      <c r="F103" s="751"/>
      <c r="G103" s="751"/>
      <c r="H103" s="751"/>
      <c r="I103" s="751"/>
      <c r="J103" s="751"/>
      <c r="K103" s="751"/>
      <c r="L103" s="751"/>
      <c r="M103" s="751"/>
      <c r="N103" s="751"/>
      <c r="O103" s="751"/>
      <c r="P103" s="752"/>
    </row>
    <row r="104" spans="1:16" hidden="1" x14ac:dyDescent="0.25">
      <c r="A104" s="753"/>
      <c r="B104" s="751"/>
      <c r="C104" s="751"/>
      <c r="D104" s="751"/>
      <c r="E104" s="751"/>
      <c r="F104" s="751"/>
      <c r="G104" s="761"/>
      <c r="H104" s="751"/>
      <c r="I104" s="751"/>
      <c r="J104" s="751"/>
      <c r="K104" s="751"/>
      <c r="L104" s="751"/>
      <c r="M104" s="751"/>
      <c r="N104" s="751"/>
      <c r="O104" s="751"/>
      <c r="P104" s="752"/>
    </row>
    <row r="105" spans="1:16" hidden="1" x14ac:dyDescent="0.25">
      <c r="A105" s="753"/>
      <c r="B105" s="754" t="s">
        <v>397</v>
      </c>
      <c r="C105" s="751"/>
      <c r="D105" s="751"/>
      <c r="E105" s="751"/>
      <c r="F105" s="751"/>
      <c r="G105" s="751"/>
      <c r="H105" s="751"/>
      <c r="I105" s="751"/>
      <c r="J105" s="751"/>
      <c r="K105" s="751"/>
      <c r="L105" s="751"/>
      <c r="M105" s="751"/>
      <c r="N105" s="751"/>
      <c r="O105" s="751"/>
      <c r="P105" s="752"/>
    </row>
    <row r="106" spans="1:16" hidden="1" x14ac:dyDescent="0.25">
      <c r="A106" s="753"/>
      <c r="B106" s="354" t="s">
        <v>759</v>
      </c>
      <c r="C106" s="751"/>
      <c r="D106" s="751"/>
      <c r="E106" s="751"/>
      <c r="F106" s="751"/>
      <c r="G106" s="751"/>
      <c r="H106" s="751"/>
      <c r="I106" s="751"/>
      <c r="J106" s="751"/>
      <c r="K106" s="751"/>
      <c r="L106" s="751"/>
      <c r="M106" s="751"/>
      <c r="N106" s="751"/>
      <c r="O106" s="751"/>
      <c r="P106" s="752"/>
    </row>
    <row r="107" spans="1:16" ht="15.75" hidden="1" thickBot="1" x14ac:dyDescent="0.3">
      <c r="A107" s="756"/>
      <c r="B107" s="757"/>
      <c r="C107" s="757"/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8"/>
    </row>
    <row r="108" spans="1:16" hidden="1" x14ac:dyDescent="0.25">
      <c r="A108" s="747"/>
      <c r="B108" s="748"/>
      <c r="C108" s="748"/>
      <c r="D108" s="748"/>
      <c r="E108" s="748"/>
      <c r="F108" s="748"/>
      <c r="G108" s="748"/>
      <c r="H108" s="748"/>
      <c r="I108" s="748"/>
      <c r="J108" s="748"/>
      <c r="K108" s="748"/>
      <c r="L108" s="748"/>
      <c r="M108" s="748"/>
      <c r="N108" s="748"/>
      <c r="O108" s="748"/>
      <c r="P108" s="749"/>
    </row>
    <row r="109" spans="1:16" hidden="1" x14ac:dyDescent="0.25">
      <c r="A109" s="323" t="s">
        <v>761</v>
      </c>
      <c r="B109" s="751"/>
      <c r="C109" s="751"/>
      <c r="D109" s="751"/>
      <c r="E109" s="751"/>
      <c r="F109" s="751"/>
      <c r="G109" s="751"/>
      <c r="H109" s="751"/>
      <c r="I109" s="751"/>
      <c r="J109" s="751"/>
      <c r="K109" s="751"/>
      <c r="L109" s="751"/>
      <c r="M109" s="751"/>
      <c r="N109" s="751"/>
      <c r="O109" s="751"/>
      <c r="P109" s="752"/>
    </row>
    <row r="110" spans="1:16" hidden="1" x14ac:dyDescent="0.25">
      <c r="A110" s="750"/>
      <c r="B110" s="751"/>
      <c r="C110" s="751"/>
      <c r="D110" s="751"/>
      <c r="E110" s="751"/>
      <c r="F110" s="751"/>
      <c r="G110" s="751"/>
      <c r="H110" s="751"/>
      <c r="I110" s="751"/>
      <c r="J110" s="751"/>
      <c r="K110" s="751"/>
      <c r="L110" s="751"/>
      <c r="M110" s="751"/>
      <c r="N110" s="751"/>
      <c r="O110" s="751"/>
      <c r="P110" s="752"/>
    </row>
    <row r="111" spans="1:16" hidden="1" x14ac:dyDescent="0.25">
      <c r="A111" s="323" t="s">
        <v>762</v>
      </c>
      <c r="B111" s="751"/>
      <c r="C111" s="751"/>
      <c r="D111" s="751"/>
      <c r="E111" s="751"/>
      <c r="F111" s="751"/>
      <c r="G111" s="751"/>
      <c r="H111" s="751"/>
      <c r="I111" s="751"/>
      <c r="J111" s="751"/>
      <c r="K111" s="751"/>
      <c r="L111" s="751"/>
      <c r="M111" s="751"/>
      <c r="N111" s="751"/>
      <c r="O111" s="751"/>
      <c r="P111" s="752"/>
    </row>
    <row r="112" spans="1:16" hidden="1" x14ac:dyDescent="0.25">
      <c r="A112" s="753"/>
      <c r="B112" s="751"/>
      <c r="C112" s="751"/>
      <c r="D112" s="751"/>
      <c r="E112" s="751"/>
      <c r="F112" s="751"/>
      <c r="G112" s="751"/>
      <c r="H112" s="751"/>
      <c r="I112" s="751"/>
      <c r="J112" s="751"/>
      <c r="K112" s="751"/>
      <c r="L112" s="751"/>
      <c r="M112" s="751"/>
      <c r="N112" s="751"/>
      <c r="O112" s="751"/>
      <c r="P112" s="752"/>
    </row>
    <row r="113" spans="1:16" ht="18" hidden="1" x14ac:dyDescent="0.25">
      <c r="A113" s="753"/>
      <c r="B113" s="324" t="s">
        <v>758</v>
      </c>
      <c r="C113" s="886">
        <v>0.1</v>
      </c>
      <c r="D113" s="751"/>
      <c r="E113" s="751"/>
      <c r="F113" s="751"/>
      <c r="G113" s="751"/>
      <c r="H113" s="751"/>
      <c r="I113" s="751"/>
      <c r="J113" s="751"/>
      <c r="K113" s="751"/>
      <c r="L113" s="751"/>
      <c r="M113" s="751"/>
      <c r="N113" s="751"/>
      <c r="O113" s="751"/>
      <c r="P113" s="752"/>
    </row>
    <row r="114" spans="1:16" hidden="1" x14ac:dyDescent="0.25">
      <c r="A114" s="753"/>
      <c r="B114" s="751"/>
      <c r="C114" s="751"/>
      <c r="D114" s="751"/>
      <c r="E114" s="751"/>
      <c r="F114" s="751"/>
      <c r="G114" s="761"/>
      <c r="H114" s="751"/>
      <c r="I114" s="751"/>
      <c r="J114" s="751"/>
      <c r="K114" s="751"/>
      <c r="L114" s="751"/>
      <c r="M114" s="751"/>
      <c r="N114" s="751"/>
      <c r="O114" s="751"/>
      <c r="P114" s="752"/>
    </row>
    <row r="115" spans="1:16" hidden="1" x14ac:dyDescent="0.25">
      <c r="A115" s="753"/>
      <c r="B115" s="754" t="s">
        <v>397</v>
      </c>
      <c r="C115" s="751"/>
      <c r="D115" s="751"/>
      <c r="E115" s="751"/>
      <c r="F115" s="751"/>
      <c r="G115" s="751"/>
      <c r="H115" s="751"/>
      <c r="I115" s="751"/>
      <c r="J115" s="751"/>
      <c r="K115" s="751"/>
      <c r="L115" s="751"/>
      <c r="M115" s="751"/>
      <c r="N115" s="751"/>
      <c r="O115" s="751"/>
      <c r="P115" s="752"/>
    </row>
    <row r="116" spans="1:16" hidden="1" x14ac:dyDescent="0.25">
      <c r="A116" s="753"/>
      <c r="B116" s="354" t="s">
        <v>759</v>
      </c>
      <c r="C116" s="751"/>
      <c r="D116" s="751"/>
      <c r="E116" s="751"/>
      <c r="F116" s="751"/>
      <c r="G116" s="751"/>
      <c r="H116" s="751"/>
      <c r="I116" s="751"/>
      <c r="J116" s="751"/>
      <c r="K116" s="751"/>
      <c r="L116" s="751"/>
      <c r="M116" s="751"/>
      <c r="N116" s="751"/>
      <c r="O116" s="751"/>
      <c r="P116" s="752"/>
    </row>
    <row r="117" spans="1:16" ht="15.75" hidden="1" thickBot="1" x14ac:dyDescent="0.3">
      <c r="A117" s="756"/>
      <c r="B117" s="763"/>
      <c r="C117" s="757"/>
      <c r="D117" s="757"/>
      <c r="E117" s="757"/>
      <c r="F117" s="757"/>
      <c r="G117" s="764"/>
      <c r="H117" s="757"/>
      <c r="I117" s="757"/>
      <c r="J117" s="757"/>
      <c r="K117" s="757"/>
      <c r="L117" s="757"/>
      <c r="M117" s="757"/>
      <c r="N117" s="757"/>
      <c r="O117" s="757"/>
      <c r="P117" s="758"/>
    </row>
    <row r="118" spans="1:16" x14ac:dyDescent="0.25">
      <c r="A118" s="747"/>
      <c r="B118" s="748"/>
      <c r="C118" s="748"/>
      <c r="D118" s="748"/>
      <c r="E118" s="748"/>
      <c r="F118" s="748"/>
      <c r="G118" s="765"/>
      <c r="H118" s="748"/>
      <c r="I118" s="748"/>
      <c r="J118" s="748"/>
      <c r="K118" s="748"/>
      <c r="L118" s="748"/>
      <c r="M118" s="748"/>
      <c r="N118" s="748"/>
      <c r="O118" s="748"/>
      <c r="P118" s="749"/>
    </row>
    <row r="119" spans="1:16" x14ac:dyDescent="0.25">
      <c r="A119" s="323" t="s">
        <v>1018</v>
      </c>
      <c r="B119" s="751"/>
      <c r="C119" s="751"/>
      <c r="D119" s="751"/>
      <c r="E119" s="751"/>
      <c r="F119" s="751"/>
      <c r="G119" s="766"/>
      <c r="H119" s="751"/>
      <c r="I119" s="751"/>
      <c r="J119" s="751"/>
      <c r="K119" s="751"/>
      <c r="L119" s="751"/>
      <c r="M119" s="751"/>
      <c r="N119" s="751"/>
      <c r="O119" s="751"/>
      <c r="P119" s="752"/>
    </row>
    <row r="120" spans="1:16" x14ac:dyDescent="0.25">
      <c r="A120" s="750"/>
      <c r="B120" s="751"/>
      <c r="C120" s="751"/>
      <c r="D120" s="751"/>
      <c r="E120" s="751"/>
      <c r="F120" s="751"/>
      <c r="G120" s="766"/>
      <c r="H120" s="751"/>
      <c r="I120" s="751"/>
      <c r="J120" s="751"/>
      <c r="K120" s="751"/>
      <c r="L120" s="751"/>
      <c r="M120" s="751"/>
      <c r="N120" s="751"/>
      <c r="O120" s="751"/>
      <c r="P120" s="752"/>
    </row>
    <row r="121" spans="1:16" x14ac:dyDescent="0.25">
      <c r="A121" s="323" t="s">
        <v>480</v>
      </c>
      <c r="B121" s="751"/>
      <c r="C121" s="751"/>
      <c r="D121" s="751"/>
      <c r="E121" s="751"/>
      <c r="F121" s="751"/>
      <c r="G121" s="766"/>
      <c r="H121" s="751"/>
      <c r="I121" s="751"/>
      <c r="J121" s="751"/>
      <c r="K121" s="751"/>
      <c r="L121" s="751"/>
      <c r="M121" s="751"/>
      <c r="N121" s="751"/>
      <c r="O121" s="751"/>
      <c r="P121" s="752"/>
    </row>
    <row r="122" spans="1:16" x14ac:dyDescent="0.25">
      <c r="A122" s="753"/>
      <c r="B122" s="751"/>
      <c r="C122" s="751"/>
      <c r="D122" s="751"/>
      <c r="E122" s="751"/>
      <c r="F122" s="751"/>
      <c r="G122" s="766"/>
      <c r="H122" s="751"/>
      <c r="I122" s="751"/>
      <c r="J122" s="751"/>
      <c r="K122" s="751"/>
      <c r="L122" s="751"/>
      <c r="M122" s="751"/>
      <c r="N122" s="751"/>
      <c r="O122" s="751"/>
      <c r="P122" s="752"/>
    </row>
    <row r="123" spans="1:16" x14ac:dyDescent="0.25">
      <c r="A123" s="753"/>
      <c r="B123" s="751" t="s">
        <v>464</v>
      </c>
      <c r="C123" s="354" t="s">
        <v>1021</v>
      </c>
      <c r="D123" s="751"/>
      <c r="E123" s="751"/>
      <c r="F123" s="751"/>
      <c r="G123" s="766"/>
      <c r="H123" s="751"/>
      <c r="I123" s="751"/>
      <c r="J123" s="751"/>
      <c r="K123" s="751"/>
      <c r="L123" s="751"/>
      <c r="M123" s="751"/>
      <c r="N123" s="751"/>
      <c r="O123" s="751"/>
      <c r="P123" s="752"/>
    </row>
    <row r="124" spans="1:16" x14ac:dyDescent="0.25">
      <c r="A124" s="753"/>
      <c r="B124" s="751"/>
      <c r="C124" s="751"/>
      <c r="D124" s="751"/>
      <c r="E124" s="751"/>
      <c r="F124" s="751"/>
      <c r="G124" s="766"/>
      <c r="H124" s="751"/>
      <c r="I124" s="751"/>
      <c r="J124" s="751"/>
      <c r="K124" s="751"/>
      <c r="L124" s="751"/>
      <c r="M124" s="751"/>
      <c r="N124" s="751"/>
      <c r="O124" s="751"/>
      <c r="P124" s="752"/>
    </row>
    <row r="125" spans="1:16" ht="17.25" x14ac:dyDescent="0.25">
      <c r="A125" s="753"/>
      <c r="B125" s="875" t="s">
        <v>744</v>
      </c>
      <c r="C125" s="957">
        <f>('F-LSCD-013 (dist Fuen Planas)'!O55-'F-LSCD-013 (dist Fuen Planas)'!O82)/2</f>
        <v>4.0999999999999979</v>
      </c>
      <c r="D125" s="324" t="s">
        <v>470</v>
      </c>
      <c r="E125" s="751"/>
      <c r="F125" s="751"/>
      <c r="G125" s="751"/>
      <c r="H125" s="751"/>
      <c r="I125" s="751"/>
      <c r="J125" s="751"/>
      <c r="K125" s="751"/>
      <c r="L125" s="751"/>
      <c r="M125" s="751"/>
      <c r="N125" s="751"/>
      <c r="O125" s="751"/>
      <c r="P125" s="752"/>
    </row>
    <row r="126" spans="1:16" x14ac:dyDescent="0.25">
      <c r="A126" s="753"/>
      <c r="B126" s="324"/>
      <c r="C126" s="324"/>
      <c r="D126" s="751"/>
      <c r="E126" s="751"/>
      <c r="F126" s="751"/>
      <c r="G126" s="751"/>
      <c r="H126" s="751"/>
      <c r="I126" s="751"/>
      <c r="J126" s="751"/>
      <c r="K126" s="751"/>
      <c r="L126" s="751"/>
      <c r="M126" s="751"/>
      <c r="N126" s="751"/>
      <c r="O126" s="751"/>
      <c r="P126" s="752"/>
    </row>
    <row r="127" spans="1:16" ht="17.25" x14ac:dyDescent="0.25">
      <c r="A127" s="753"/>
      <c r="B127" s="875" t="s">
        <v>745</v>
      </c>
      <c r="C127" s="955">
        <f>('F-LSCD-013 (dist Fuen Planas)'!O57-'F-LSCD-013 (dist Fuen Planas)'!O84)/2</f>
        <v>2.5700000000000003</v>
      </c>
      <c r="D127" s="324" t="s">
        <v>470</v>
      </c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2"/>
    </row>
    <row r="128" spans="1:16" x14ac:dyDescent="0.25">
      <c r="A128" s="753"/>
      <c r="B128" s="324"/>
      <c r="C128" s="324"/>
      <c r="D128" s="751"/>
      <c r="E128" s="751"/>
      <c r="F128" s="751"/>
      <c r="G128" s="751"/>
      <c r="H128" s="751"/>
      <c r="I128" s="751"/>
      <c r="J128" s="751"/>
      <c r="K128" s="751"/>
      <c r="L128" s="751"/>
      <c r="M128" s="751"/>
      <c r="N128" s="751"/>
      <c r="O128" s="751"/>
      <c r="P128" s="752"/>
    </row>
    <row r="129" spans="1:16" ht="17.25" x14ac:dyDescent="0.25">
      <c r="A129" s="753"/>
      <c r="B129" s="875" t="s">
        <v>746</v>
      </c>
      <c r="C129" s="884">
        <f>('F-LSCD-013 (dist Fuen Planas)'!O59-'F-LSCD-013 (dist Fuen Planas)'!O86)/2</f>
        <v>6.0499999999999972</v>
      </c>
      <c r="D129" s="324" t="s">
        <v>470</v>
      </c>
      <c r="E129" s="751"/>
      <c r="F129" s="751"/>
      <c r="G129" s="751"/>
      <c r="H129" s="751"/>
      <c r="I129" s="751"/>
      <c r="J129" s="751"/>
      <c r="K129" s="751"/>
      <c r="L129" s="751"/>
      <c r="M129" s="751"/>
      <c r="N129" s="751"/>
      <c r="O129" s="751"/>
      <c r="P129" s="752"/>
    </row>
    <row r="130" spans="1:16" x14ac:dyDescent="0.25">
      <c r="A130" s="753"/>
      <c r="B130" s="751"/>
      <c r="C130" s="760"/>
      <c r="D130" s="754"/>
      <c r="E130" s="751"/>
      <c r="F130" s="751"/>
      <c r="G130" s="766"/>
      <c r="H130" s="751"/>
      <c r="I130" s="751"/>
      <c r="J130" s="751"/>
      <c r="K130" s="751"/>
      <c r="L130" s="751"/>
      <c r="M130" s="751"/>
      <c r="N130" s="751"/>
      <c r="O130" s="751"/>
      <c r="P130" s="752"/>
    </row>
    <row r="131" spans="1:16" x14ac:dyDescent="0.25">
      <c r="A131" s="323" t="s">
        <v>707</v>
      </c>
      <c r="B131" s="751"/>
      <c r="C131" s="755"/>
      <c r="D131" s="754"/>
      <c r="E131" s="751"/>
      <c r="F131" s="751"/>
      <c r="G131" s="751"/>
      <c r="H131" s="751"/>
      <c r="I131" s="751"/>
      <c r="J131" s="751"/>
      <c r="K131" s="751"/>
      <c r="L131" s="751"/>
      <c r="M131" s="751"/>
      <c r="N131" s="751"/>
      <c r="O131" s="751"/>
      <c r="P131" s="752"/>
    </row>
    <row r="132" spans="1:16" x14ac:dyDescent="0.25">
      <c r="A132" s="750"/>
      <c r="B132" s="751"/>
      <c r="C132" s="755"/>
      <c r="D132" s="754"/>
      <c r="E132" s="751"/>
      <c r="F132" s="751"/>
      <c r="G132" s="751"/>
      <c r="H132" s="751"/>
      <c r="I132" s="751"/>
      <c r="J132" s="751"/>
      <c r="K132" s="751"/>
      <c r="L132" s="751"/>
      <c r="M132" s="751"/>
      <c r="N132" s="751"/>
      <c r="O132" s="751"/>
      <c r="P132" s="752"/>
    </row>
    <row r="133" spans="1:16" x14ac:dyDescent="0.25">
      <c r="A133" s="750"/>
      <c r="B133" s="751"/>
      <c r="C133" s="755"/>
      <c r="D133" s="754"/>
      <c r="E133" s="751"/>
      <c r="F133" s="751"/>
      <c r="G133" s="751"/>
      <c r="H133" s="751"/>
      <c r="I133" s="751"/>
      <c r="J133" s="751"/>
      <c r="K133" s="751"/>
      <c r="L133" s="751"/>
      <c r="M133" s="751"/>
      <c r="N133" s="751"/>
      <c r="O133" s="751"/>
      <c r="P133" s="752"/>
    </row>
    <row r="134" spans="1:16" x14ac:dyDescent="0.25">
      <c r="A134" s="750"/>
      <c r="B134" s="751"/>
      <c r="C134" s="755"/>
      <c r="D134" s="754"/>
      <c r="E134" s="751"/>
      <c r="F134" s="751"/>
      <c r="G134" s="751"/>
      <c r="H134" s="751"/>
      <c r="I134" s="751"/>
      <c r="J134" s="751"/>
      <c r="K134" s="751"/>
      <c r="L134" s="751"/>
      <c r="M134" s="751"/>
      <c r="N134" s="751"/>
      <c r="O134" s="751"/>
      <c r="P134" s="752"/>
    </row>
    <row r="135" spans="1:16" x14ac:dyDescent="0.25">
      <c r="A135" s="750"/>
      <c r="B135" s="751"/>
      <c r="C135" s="755"/>
      <c r="D135" s="754"/>
      <c r="E135" s="751"/>
      <c r="F135" s="751"/>
      <c r="G135" s="751"/>
      <c r="H135" s="751"/>
      <c r="I135" s="751"/>
      <c r="J135" s="751"/>
      <c r="K135" s="751"/>
      <c r="L135" s="751"/>
      <c r="M135" s="751"/>
      <c r="N135" s="751"/>
      <c r="O135" s="751"/>
      <c r="P135" s="752"/>
    </row>
    <row r="136" spans="1:16" x14ac:dyDescent="0.25">
      <c r="A136" s="323" t="s">
        <v>789</v>
      </c>
      <c r="B136" s="751"/>
      <c r="C136" s="755"/>
      <c r="D136" s="754"/>
      <c r="E136" s="751"/>
      <c r="F136" s="751"/>
      <c r="G136" s="751"/>
      <c r="H136" s="751"/>
      <c r="I136" s="751"/>
      <c r="J136" s="751"/>
      <c r="K136" s="751"/>
      <c r="L136" s="751"/>
      <c r="M136" s="751"/>
      <c r="N136" s="751"/>
      <c r="O136" s="751"/>
      <c r="P136" s="752"/>
    </row>
    <row r="137" spans="1:16" x14ac:dyDescent="0.25">
      <c r="A137" s="323"/>
      <c r="B137" s="751"/>
      <c r="C137" s="755"/>
      <c r="D137" s="754"/>
      <c r="E137" s="751"/>
      <c r="F137" s="751"/>
      <c r="G137" s="751"/>
      <c r="H137" s="751"/>
      <c r="I137" s="751"/>
      <c r="J137" s="751"/>
      <c r="K137" s="751"/>
      <c r="L137" s="751"/>
      <c r="M137" s="751"/>
      <c r="N137" s="751"/>
      <c r="O137" s="751"/>
      <c r="P137" s="752"/>
    </row>
    <row r="138" spans="1:16" x14ac:dyDescent="0.25">
      <c r="A138" s="323"/>
      <c r="B138" s="751"/>
      <c r="C138" s="755"/>
      <c r="D138" s="754"/>
      <c r="E138" s="751"/>
      <c r="F138" s="751"/>
      <c r="G138" s="751"/>
      <c r="H138" s="751"/>
      <c r="I138" s="751"/>
      <c r="J138" s="751"/>
      <c r="K138" s="751"/>
      <c r="L138" s="751"/>
      <c r="M138" s="751"/>
      <c r="N138" s="751"/>
      <c r="O138" s="751"/>
      <c r="P138" s="752"/>
    </row>
    <row r="139" spans="1:16" x14ac:dyDescent="0.25">
      <c r="A139" s="323"/>
      <c r="B139" s="751"/>
      <c r="C139" s="755"/>
      <c r="D139" s="754"/>
      <c r="E139" s="751"/>
      <c r="F139" s="751"/>
      <c r="G139" s="751"/>
      <c r="H139" s="751"/>
      <c r="I139" s="751"/>
      <c r="J139" s="751"/>
      <c r="K139" s="751"/>
      <c r="L139" s="751"/>
      <c r="M139" s="751"/>
      <c r="N139" s="751"/>
      <c r="O139" s="751"/>
      <c r="P139" s="752"/>
    </row>
    <row r="140" spans="1:16" x14ac:dyDescent="0.25">
      <c r="A140" s="323"/>
      <c r="B140" s="751"/>
      <c r="C140" s="755"/>
      <c r="D140" s="751"/>
      <c r="E140" s="751"/>
      <c r="F140" s="751"/>
      <c r="G140" s="751"/>
      <c r="H140" s="751"/>
      <c r="I140" s="751"/>
      <c r="J140" s="751"/>
      <c r="K140" s="751"/>
      <c r="L140" s="751"/>
      <c r="M140" s="751"/>
      <c r="N140" s="751"/>
      <c r="O140" s="751"/>
      <c r="P140" s="752"/>
    </row>
    <row r="141" spans="1:16" ht="17.25" x14ac:dyDescent="0.25">
      <c r="A141" s="323"/>
      <c r="B141" s="751"/>
      <c r="C141" s="751"/>
      <c r="D141" s="751"/>
      <c r="E141" s="875" t="s">
        <v>782</v>
      </c>
      <c r="F141" s="958">
        <f>'F-LSCD-013 (dist Fuen Planas)'!O82</f>
        <v>50.173999999999999</v>
      </c>
      <c r="G141" s="324" t="s">
        <v>470</v>
      </c>
      <c r="H141" s="751"/>
      <c r="I141" s="751"/>
      <c r="J141" s="751"/>
      <c r="K141" s="751"/>
      <c r="L141" s="751"/>
      <c r="M141" s="751"/>
      <c r="N141" s="751"/>
      <c r="O141" s="751"/>
      <c r="P141" s="752"/>
    </row>
    <row r="142" spans="1:16" x14ac:dyDescent="0.25">
      <c r="A142" s="323"/>
      <c r="B142" s="751"/>
      <c r="C142" s="751"/>
      <c r="D142" s="751"/>
      <c r="E142" s="324"/>
      <c r="F142" s="885"/>
      <c r="G142" s="751"/>
      <c r="H142" s="751"/>
      <c r="I142" s="751"/>
      <c r="J142" s="751"/>
      <c r="K142" s="751"/>
      <c r="L142" s="751"/>
      <c r="M142" s="751"/>
      <c r="N142" s="751"/>
      <c r="O142" s="751"/>
      <c r="P142" s="752"/>
    </row>
    <row r="143" spans="1:16" ht="17.25" x14ac:dyDescent="0.25">
      <c r="A143" s="323"/>
      <c r="B143" s="751"/>
      <c r="C143" s="751"/>
      <c r="D143" s="751"/>
      <c r="E143" s="875" t="s">
        <v>783</v>
      </c>
      <c r="F143" s="958">
        <f>'F-LSCD-013 (dist Fuen Planas)'!O84</f>
        <v>84.933999999999997</v>
      </c>
      <c r="G143" s="324" t="s">
        <v>470</v>
      </c>
      <c r="H143" s="751"/>
      <c r="I143" s="751"/>
      <c r="J143" s="751"/>
      <c r="K143" s="751"/>
      <c r="L143" s="751"/>
      <c r="M143" s="751"/>
      <c r="N143" s="751"/>
      <c r="O143" s="751"/>
      <c r="P143" s="752"/>
    </row>
    <row r="144" spans="1:16" x14ac:dyDescent="0.25">
      <c r="A144" s="750"/>
      <c r="B144" s="751"/>
      <c r="C144" s="751"/>
      <c r="D144" s="751"/>
      <c r="E144" s="324"/>
      <c r="F144" s="751"/>
      <c r="G144" s="751"/>
      <c r="H144" s="751"/>
      <c r="I144" s="751"/>
      <c r="J144" s="751"/>
      <c r="K144" s="751"/>
      <c r="L144" s="751"/>
      <c r="M144" s="751"/>
      <c r="N144" s="751"/>
      <c r="O144" s="751"/>
      <c r="P144" s="752"/>
    </row>
    <row r="145" spans="1:16" ht="17.25" x14ac:dyDescent="0.25">
      <c r="A145" s="750"/>
      <c r="B145" s="751"/>
      <c r="C145" s="751"/>
      <c r="D145" s="751"/>
      <c r="E145" s="875" t="s">
        <v>784</v>
      </c>
      <c r="F145" s="885">
        <f>'F-LSCD-013 (dist Fuen Planas)'!O86</f>
        <v>172.28399999999999</v>
      </c>
      <c r="G145" s="324" t="s">
        <v>470</v>
      </c>
      <c r="H145" s="751"/>
      <c r="I145" s="751"/>
      <c r="J145" s="751"/>
      <c r="K145" s="751"/>
      <c r="L145" s="751"/>
      <c r="M145" s="751"/>
      <c r="N145" s="751"/>
      <c r="O145" s="751"/>
      <c r="P145" s="752"/>
    </row>
    <row r="146" spans="1:16" x14ac:dyDescent="0.25">
      <c r="A146" s="750"/>
      <c r="B146" s="751"/>
      <c r="C146" s="755"/>
      <c r="D146" s="754"/>
      <c r="E146" s="751"/>
      <c r="F146" s="751"/>
      <c r="G146" s="751"/>
      <c r="H146" s="751"/>
      <c r="I146" s="751"/>
      <c r="J146" s="751"/>
      <c r="K146" s="751"/>
      <c r="L146" s="751"/>
      <c r="M146" s="751"/>
      <c r="N146" s="751"/>
      <c r="O146" s="751"/>
      <c r="P146" s="752"/>
    </row>
    <row r="147" spans="1:16" ht="15.75" thickBot="1" x14ac:dyDescent="0.3">
      <c r="A147" s="756"/>
      <c r="B147" s="763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8"/>
    </row>
    <row r="148" spans="1:16" x14ac:dyDescent="0.25">
      <c r="A148" s="747"/>
      <c r="B148" s="767"/>
      <c r="C148" s="748"/>
      <c r="D148" s="748"/>
      <c r="E148" s="748"/>
      <c r="F148" s="748"/>
      <c r="G148" s="748"/>
      <c r="H148" s="748"/>
      <c r="I148" s="748"/>
      <c r="J148" s="748"/>
      <c r="K148" s="748"/>
      <c r="L148" s="748"/>
      <c r="M148" s="748"/>
      <c r="N148" s="748"/>
      <c r="O148" s="748"/>
      <c r="P148" s="749"/>
    </row>
    <row r="149" spans="1:16" x14ac:dyDescent="0.25">
      <c r="A149" s="323" t="s">
        <v>1019</v>
      </c>
      <c r="B149" s="754"/>
      <c r="C149" s="751"/>
      <c r="D149" s="751"/>
      <c r="E149" s="751"/>
      <c r="F149" s="751"/>
      <c r="G149" s="751"/>
      <c r="H149" s="751"/>
      <c r="I149" s="751"/>
      <c r="J149" s="751"/>
      <c r="K149" s="751"/>
      <c r="L149" s="751"/>
      <c r="M149" s="751"/>
      <c r="N149" s="751"/>
      <c r="O149" s="751"/>
      <c r="P149" s="752"/>
    </row>
    <row r="150" spans="1:16" x14ac:dyDescent="0.25">
      <c r="A150" s="750"/>
      <c r="B150" s="754"/>
      <c r="C150" s="751"/>
      <c r="D150" s="751"/>
      <c r="E150" s="751"/>
      <c r="F150" s="751"/>
      <c r="G150" s="751"/>
      <c r="H150" s="751"/>
      <c r="I150" s="751"/>
      <c r="J150" s="751"/>
      <c r="K150" s="751"/>
      <c r="L150" s="751"/>
      <c r="M150" s="751"/>
      <c r="N150" s="751"/>
      <c r="O150" s="751"/>
      <c r="P150" s="752"/>
    </row>
    <row r="151" spans="1:16" x14ac:dyDescent="0.25">
      <c r="A151" s="323" t="s">
        <v>482</v>
      </c>
      <c r="B151" s="751"/>
      <c r="C151" s="751"/>
      <c r="D151" s="751"/>
      <c r="E151" s="751"/>
      <c r="F151" s="751"/>
      <c r="G151" s="766"/>
      <c r="H151" s="751"/>
      <c r="I151" s="751"/>
      <c r="J151" s="751"/>
      <c r="K151" s="751"/>
      <c r="L151" s="751"/>
      <c r="M151" s="751"/>
      <c r="N151" s="751"/>
      <c r="O151" s="751"/>
      <c r="P151" s="752"/>
    </row>
    <row r="152" spans="1:16" x14ac:dyDescent="0.25">
      <c r="A152" s="753"/>
      <c r="B152" s="751"/>
      <c r="C152" s="751"/>
      <c r="D152" s="751"/>
      <c r="E152" s="751"/>
      <c r="F152" s="751"/>
      <c r="G152" s="766"/>
      <c r="H152" s="751"/>
      <c r="I152" s="751"/>
      <c r="J152" s="751"/>
      <c r="K152" s="751"/>
      <c r="L152" s="751"/>
      <c r="M152" s="751"/>
      <c r="N152" s="751"/>
      <c r="O152" s="751"/>
      <c r="P152" s="752"/>
    </row>
    <row r="153" spans="1:16" x14ac:dyDescent="0.25">
      <c r="A153" s="753"/>
      <c r="B153" s="751" t="s">
        <v>464</v>
      </c>
      <c r="C153" s="354" t="s">
        <v>1023</v>
      </c>
      <c r="D153" s="751"/>
      <c r="E153" s="751"/>
      <c r="F153" s="751"/>
      <c r="G153" s="766"/>
      <c r="H153" s="751"/>
      <c r="I153" s="751"/>
      <c r="J153" s="751"/>
      <c r="K153" s="751"/>
      <c r="L153" s="751"/>
      <c r="M153" s="751"/>
      <c r="N153" s="751"/>
      <c r="O153" s="751"/>
      <c r="P153" s="752"/>
    </row>
    <row r="154" spans="1:16" x14ac:dyDescent="0.25">
      <c r="A154" s="753"/>
      <c r="B154" s="751"/>
      <c r="C154" s="751"/>
      <c r="D154" s="751"/>
      <c r="E154" s="751"/>
      <c r="F154" s="751"/>
      <c r="G154" s="766"/>
      <c r="H154" s="751"/>
      <c r="I154" s="751"/>
      <c r="J154" s="751"/>
      <c r="K154" s="751"/>
      <c r="L154" s="751"/>
      <c r="M154" s="751"/>
      <c r="N154" s="751"/>
      <c r="O154" s="751"/>
      <c r="P154" s="752"/>
    </row>
    <row r="155" spans="1:16" ht="17.25" x14ac:dyDescent="0.25">
      <c r="A155" s="753"/>
      <c r="B155" s="875" t="s">
        <v>744</v>
      </c>
      <c r="C155" s="957">
        <f>('F-LSCD-013 (dist Fuen Planas)'!O55-'F-LSCD-013 (dist Fuen Planas)'!O108)/2</f>
        <v>1.8249999999999993</v>
      </c>
      <c r="D155" s="324" t="s">
        <v>470</v>
      </c>
      <c r="E155" s="751"/>
      <c r="F155" s="751"/>
      <c r="G155" s="751"/>
      <c r="H155" s="751"/>
      <c r="I155" s="751"/>
      <c r="J155" s="751"/>
      <c r="K155" s="751"/>
      <c r="L155" s="751"/>
      <c r="M155" s="751"/>
      <c r="N155" s="751"/>
      <c r="O155" s="751"/>
      <c r="P155" s="752"/>
    </row>
    <row r="156" spans="1:16" x14ac:dyDescent="0.25">
      <c r="A156" s="753"/>
      <c r="B156" s="324"/>
      <c r="C156" s="324"/>
      <c r="D156" s="751"/>
      <c r="E156" s="751"/>
      <c r="F156" s="751"/>
      <c r="G156" s="751"/>
      <c r="H156" s="751"/>
      <c r="I156" s="751"/>
      <c r="J156" s="751"/>
      <c r="K156" s="751"/>
      <c r="L156" s="751"/>
      <c r="M156" s="751"/>
      <c r="N156" s="751"/>
      <c r="O156" s="751"/>
      <c r="P156" s="752"/>
    </row>
    <row r="157" spans="1:16" ht="17.25" x14ac:dyDescent="0.25">
      <c r="A157" s="753"/>
      <c r="B157" s="875" t="s">
        <v>745</v>
      </c>
      <c r="C157" s="955">
        <f>('F-LSCD-013 (dist Fuen Planas)'!O57-'F-LSCD-013 (dist Fuen Planas)'!O110)/2</f>
        <v>1.7349999999999994</v>
      </c>
      <c r="D157" s="324" t="s">
        <v>470</v>
      </c>
      <c r="E157" s="751"/>
      <c r="F157" s="751"/>
      <c r="G157" s="751"/>
      <c r="H157" s="751"/>
      <c r="I157" s="751"/>
      <c r="J157" s="751"/>
      <c r="K157" s="751"/>
      <c r="L157" s="751"/>
      <c r="M157" s="751"/>
      <c r="N157" s="751"/>
      <c r="O157" s="751"/>
      <c r="P157" s="752"/>
    </row>
    <row r="158" spans="1:16" x14ac:dyDescent="0.25">
      <c r="A158" s="753"/>
      <c r="B158" s="324"/>
      <c r="C158" s="324"/>
      <c r="D158" s="751"/>
      <c r="E158" s="751"/>
      <c r="F158" s="751"/>
      <c r="G158" s="751"/>
      <c r="H158" s="751"/>
      <c r="I158" s="751"/>
      <c r="J158" s="751"/>
      <c r="K158" s="751"/>
      <c r="L158" s="751"/>
      <c r="M158" s="751"/>
      <c r="N158" s="751"/>
      <c r="O158" s="751"/>
      <c r="P158" s="752"/>
    </row>
    <row r="159" spans="1:16" ht="17.25" x14ac:dyDescent="0.25">
      <c r="A159" s="753"/>
      <c r="B159" s="875" t="s">
        <v>746</v>
      </c>
      <c r="C159" s="884">
        <f>('F-LSCD-013 (dist Fuen Planas)'!O59-'F-LSCD-013 (dist Fuen Planas)'!O112)/2</f>
        <v>3.2999999999999972</v>
      </c>
      <c r="D159" s="324" t="s">
        <v>470</v>
      </c>
      <c r="E159" s="751"/>
      <c r="F159" s="751"/>
      <c r="G159" s="751"/>
      <c r="H159" s="751"/>
      <c r="I159" s="751"/>
      <c r="J159" s="751"/>
      <c r="K159" s="751"/>
      <c r="L159" s="751"/>
      <c r="M159" s="751"/>
      <c r="N159" s="751"/>
      <c r="O159" s="751"/>
      <c r="P159" s="752"/>
    </row>
    <row r="160" spans="1:16" x14ac:dyDescent="0.25">
      <c r="A160" s="753"/>
      <c r="B160" s="751"/>
      <c r="C160" s="760"/>
      <c r="D160" s="754"/>
      <c r="E160" s="751"/>
      <c r="F160" s="751"/>
      <c r="G160" s="766"/>
      <c r="H160" s="751"/>
      <c r="I160" s="751"/>
      <c r="J160" s="751"/>
      <c r="K160" s="751"/>
      <c r="L160" s="751"/>
      <c r="M160" s="751"/>
      <c r="N160" s="751"/>
      <c r="O160" s="751"/>
      <c r="P160" s="752"/>
    </row>
    <row r="161" spans="1:16" x14ac:dyDescent="0.25">
      <c r="A161" s="323" t="s">
        <v>709</v>
      </c>
      <c r="B161" s="751"/>
      <c r="C161" s="755"/>
      <c r="D161" s="754"/>
      <c r="E161" s="751"/>
      <c r="F161" s="751"/>
      <c r="G161" s="751"/>
      <c r="H161" s="751"/>
      <c r="I161" s="751"/>
      <c r="J161" s="751"/>
      <c r="K161" s="751"/>
      <c r="L161" s="751"/>
      <c r="M161" s="751"/>
      <c r="N161" s="751"/>
      <c r="O161" s="751"/>
      <c r="P161" s="752"/>
    </row>
    <row r="162" spans="1:16" x14ac:dyDescent="0.25">
      <c r="A162" s="750"/>
      <c r="B162" s="751"/>
      <c r="C162" s="755"/>
      <c r="D162" s="754"/>
      <c r="E162" s="751"/>
      <c r="F162" s="751"/>
      <c r="G162" s="751"/>
      <c r="H162" s="751"/>
      <c r="I162" s="751"/>
      <c r="J162" s="751"/>
      <c r="K162" s="751"/>
      <c r="L162" s="751"/>
      <c r="M162" s="751"/>
      <c r="N162" s="751"/>
      <c r="O162" s="751"/>
      <c r="P162" s="752"/>
    </row>
    <row r="163" spans="1:16" x14ac:dyDescent="0.25">
      <c r="A163" s="750"/>
      <c r="B163" s="751"/>
      <c r="C163" s="755"/>
      <c r="D163" s="754"/>
      <c r="E163" s="751"/>
      <c r="F163" s="751"/>
      <c r="G163" s="751"/>
      <c r="H163" s="751"/>
      <c r="I163" s="751"/>
      <c r="J163" s="751"/>
      <c r="K163" s="751"/>
      <c r="L163" s="751"/>
      <c r="M163" s="751"/>
      <c r="N163" s="751"/>
      <c r="O163" s="751"/>
      <c r="P163" s="752"/>
    </row>
    <row r="164" spans="1:16" x14ac:dyDescent="0.25">
      <c r="A164" s="750"/>
      <c r="B164" s="751"/>
      <c r="C164" s="755"/>
      <c r="D164" s="754"/>
      <c r="E164" s="751"/>
      <c r="F164" s="751"/>
      <c r="G164" s="751"/>
      <c r="H164" s="751"/>
      <c r="I164" s="751"/>
      <c r="J164" s="751"/>
      <c r="K164" s="751"/>
      <c r="L164" s="751"/>
      <c r="M164" s="751"/>
      <c r="N164" s="751"/>
      <c r="O164" s="751"/>
      <c r="P164" s="752"/>
    </row>
    <row r="165" spans="1:16" x14ac:dyDescent="0.25">
      <c r="A165" s="750"/>
      <c r="B165" s="751"/>
      <c r="C165" s="755"/>
      <c r="D165" s="754"/>
      <c r="E165" s="751"/>
      <c r="F165" s="751"/>
      <c r="G165" s="751"/>
      <c r="H165" s="751"/>
      <c r="I165" s="751"/>
      <c r="J165" s="751"/>
      <c r="K165" s="751"/>
      <c r="L165" s="751"/>
      <c r="M165" s="751"/>
      <c r="N165" s="751"/>
      <c r="O165" s="751"/>
      <c r="P165" s="752"/>
    </row>
    <row r="166" spans="1:16" x14ac:dyDescent="0.25">
      <c r="A166" s="323" t="s">
        <v>790</v>
      </c>
      <c r="B166" s="751"/>
      <c r="C166" s="755"/>
      <c r="D166" s="754"/>
      <c r="E166" s="751"/>
      <c r="F166" s="751"/>
      <c r="G166" s="751"/>
      <c r="H166" s="751"/>
      <c r="I166" s="751"/>
      <c r="J166" s="751"/>
      <c r="K166" s="751"/>
      <c r="L166" s="751"/>
      <c r="M166" s="751"/>
      <c r="N166" s="751"/>
      <c r="O166" s="751"/>
      <c r="P166" s="752"/>
    </row>
    <row r="167" spans="1:16" x14ac:dyDescent="0.25">
      <c r="A167" s="323"/>
      <c r="B167" s="751"/>
      <c r="C167" s="755"/>
      <c r="D167" s="754"/>
      <c r="E167" s="751"/>
      <c r="F167" s="751"/>
      <c r="G167" s="751"/>
      <c r="H167" s="751"/>
      <c r="I167" s="751"/>
      <c r="J167" s="751"/>
      <c r="K167" s="751"/>
      <c r="L167" s="751"/>
      <c r="M167" s="751"/>
      <c r="N167" s="751"/>
      <c r="O167" s="751"/>
      <c r="P167" s="752"/>
    </row>
    <row r="168" spans="1:16" x14ac:dyDescent="0.25">
      <c r="A168" s="323"/>
      <c r="B168" s="751"/>
      <c r="C168" s="755"/>
      <c r="D168" s="754"/>
      <c r="E168" s="751"/>
      <c r="F168" s="751"/>
      <c r="G168" s="751"/>
      <c r="H168" s="751"/>
      <c r="I168" s="751"/>
      <c r="J168" s="751"/>
      <c r="K168" s="751"/>
      <c r="L168" s="751"/>
      <c r="M168" s="751"/>
      <c r="N168" s="751"/>
      <c r="O168" s="751"/>
      <c r="P168" s="752"/>
    </row>
    <row r="169" spans="1:16" x14ac:dyDescent="0.25">
      <c r="A169" s="323"/>
      <c r="B169" s="751"/>
      <c r="C169" s="755"/>
      <c r="D169" s="754"/>
      <c r="E169" s="751"/>
      <c r="F169" s="751"/>
      <c r="G169" s="751"/>
      <c r="H169" s="751"/>
      <c r="I169" s="751"/>
      <c r="J169" s="751"/>
      <c r="K169" s="751"/>
      <c r="L169" s="751"/>
      <c r="M169" s="751"/>
      <c r="N169" s="751"/>
      <c r="O169" s="751"/>
      <c r="P169" s="752"/>
    </row>
    <row r="170" spans="1:16" x14ac:dyDescent="0.25">
      <c r="A170" s="323"/>
      <c r="B170" s="751"/>
      <c r="C170" s="755"/>
      <c r="D170" s="751"/>
      <c r="E170" s="751"/>
      <c r="F170" s="751"/>
      <c r="G170" s="751"/>
      <c r="H170" s="751"/>
      <c r="I170" s="751"/>
      <c r="J170" s="751"/>
      <c r="K170" s="751"/>
      <c r="L170" s="751"/>
      <c r="M170" s="751"/>
      <c r="N170" s="751"/>
      <c r="O170" s="751"/>
      <c r="P170" s="752"/>
    </row>
    <row r="171" spans="1:16" ht="17.25" x14ac:dyDescent="0.25">
      <c r="A171" s="323"/>
      <c r="B171" s="751"/>
      <c r="C171" s="751"/>
      <c r="D171" s="751"/>
      <c r="E171" s="875" t="s">
        <v>782</v>
      </c>
      <c r="F171" s="958">
        <f>'F-LSCD-013 (dist Fuen Planas)'!O82</f>
        <v>50.173999999999999</v>
      </c>
      <c r="G171" s="324" t="s">
        <v>470</v>
      </c>
      <c r="H171" s="751"/>
      <c r="I171" s="751"/>
      <c r="J171" s="751"/>
      <c r="K171" s="751"/>
      <c r="L171" s="751"/>
      <c r="M171" s="751"/>
      <c r="N171" s="751"/>
      <c r="O171" s="751"/>
      <c r="P171" s="752"/>
    </row>
    <row r="172" spans="1:16" x14ac:dyDescent="0.25">
      <c r="A172" s="323"/>
      <c r="B172" s="751"/>
      <c r="C172" s="751"/>
      <c r="D172" s="751"/>
      <c r="E172" s="324"/>
      <c r="F172" s="885"/>
      <c r="G172" s="751"/>
      <c r="H172" s="751"/>
      <c r="I172" s="751"/>
      <c r="J172" s="751"/>
      <c r="K172" s="751"/>
      <c r="L172" s="751"/>
      <c r="M172" s="751"/>
      <c r="N172" s="751"/>
      <c r="O172" s="751"/>
      <c r="P172" s="752"/>
    </row>
    <row r="173" spans="1:16" ht="17.25" x14ac:dyDescent="0.25">
      <c r="A173" s="323"/>
      <c r="B173" s="751"/>
      <c r="C173" s="751"/>
      <c r="D173" s="751"/>
      <c r="E173" s="875" t="s">
        <v>783</v>
      </c>
      <c r="F173" s="958">
        <f>'F-LSCD-013 (dist Fuen Planas)'!O84</f>
        <v>84.933999999999997</v>
      </c>
      <c r="G173" s="324" t="s">
        <v>470</v>
      </c>
      <c r="H173" s="751"/>
      <c r="I173" s="751"/>
      <c r="J173" s="751"/>
      <c r="K173" s="751"/>
      <c r="L173" s="751"/>
      <c r="M173" s="751"/>
      <c r="N173" s="751"/>
      <c r="O173" s="751"/>
      <c r="P173" s="752"/>
    </row>
    <row r="174" spans="1:16" x14ac:dyDescent="0.25">
      <c r="A174" s="750"/>
      <c r="B174" s="751"/>
      <c r="C174" s="751"/>
      <c r="D174" s="751"/>
      <c r="E174" s="324"/>
      <c r="F174" s="751"/>
      <c r="G174" s="751"/>
      <c r="H174" s="751"/>
      <c r="I174" s="751"/>
      <c r="J174" s="751"/>
      <c r="K174" s="751"/>
      <c r="L174" s="751"/>
      <c r="M174" s="751"/>
      <c r="N174" s="751"/>
      <c r="O174" s="751"/>
      <c r="P174" s="752"/>
    </row>
    <row r="175" spans="1:16" ht="17.25" x14ac:dyDescent="0.25">
      <c r="A175" s="750"/>
      <c r="B175" s="751"/>
      <c r="C175" s="751"/>
      <c r="D175" s="751"/>
      <c r="E175" s="875" t="s">
        <v>784</v>
      </c>
      <c r="F175" s="885">
        <f>'F-LSCD-013 (dist Fuen Planas)'!O86</f>
        <v>172.28399999999999</v>
      </c>
      <c r="G175" s="324" t="s">
        <v>470</v>
      </c>
      <c r="H175" s="751"/>
      <c r="I175" s="751"/>
      <c r="J175" s="751"/>
      <c r="K175" s="751"/>
      <c r="L175" s="751"/>
      <c r="M175" s="751"/>
      <c r="N175" s="751"/>
      <c r="O175" s="751"/>
      <c r="P175" s="752"/>
    </row>
    <row r="176" spans="1:16" ht="15.75" thickBot="1" x14ac:dyDescent="0.3">
      <c r="A176" s="769"/>
      <c r="B176" s="757"/>
      <c r="C176" s="770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8"/>
    </row>
    <row r="177" spans="1:16" x14ac:dyDescent="0.25">
      <c r="A177" s="771"/>
      <c r="B177" s="748"/>
      <c r="C177" s="767"/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9"/>
    </row>
    <row r="178" spans="1:16" x14ac:dyDescent="0.25">
      <c r="A178" s="323" t="s">
        <v>791</v>
      </c>
      <c r="B178" s="754"/>
      <c r="C178" s="751"/>
      <c r="D178" s="751"/>
      <c r="E178" s="751"/>
      <c r="F178" s="751"/>
      <c r="G178" s="751"/>
      <c r="H178" s="751"/>
      <c r="I178" s="751"/>
      <c r="J178" s="751"/>
      <c r="K178" s="751"/>
      <c r="L178" s="751"/>
      <c r="M178" s="751"/>
      <c r="N178" s="751"/>
      <c r="O178" s="751"/>
      <c r="P178" s="752"/>
    </row>
    <row r="179" spans="1:16" x14ac:dyDescent="0.25">
      <c r="A179" s="323"/>
      <c r="B179" s="754"/>
      <c r="C179" s="751"/>
      <c r="D179" s="751"/>
      <c r="E179" s="751"/>
      <c r="F179" s="751"/>
      <c r="G179" s="751"/>
      <c r="H179" s="751"/>
      <c r="I179" s="751"/>
      <c r="J179" s="751"/>
      <c r="K179" s="751"/>
      <c r="L179" s="751"/>
      <c r="M179" s="751"/>
      <c r="N179" s="751"/>
      <c r="O179" s="751"/>
      <c r="P179" s="752"/>
    </row>
    <row r="180" spans="1:16" x14ac:dyDescent="0.25">
      <c r="A180" s="323" t="s">
        <v>485</v>
      </c>
      <c r="B180" s="751"/>
      <c r="C180" s="751"/>
      <c r="D180" s="751"/>
      <c r="E180" s="751"/>
      <c r="F180" s="751"/>
      <c r="G180" s="751"/>
      <c r="H180" s="751"/>
      <c r="I180" s="751"/>
      <c r="J180" s="751"/>
      <c r="K180" s="751"/>
      <c r="L180" s="751"/>
      <c r="M180" s="751"/>
      <c r="N180" s="751"/>
      <c r="O180" s="751"/>
      <c r="P180" s="752"/>
    </row>
    <row r="181" spans="1:16" x14ac:dyDescent="0.25">
      <c r="A181" s="753"/>
      <c r="B181" s="751"/>
      <c r="C181" s="751"/>
      <c r="D181" s="751"/>
      <c r="E181" s="751"/>
      <c r="F181" s="751"/>
      <c r="G181" s="751"/>
      <c r="H181" s="751"/>
      <c r="I181" s="751"/>
      <c r="J181" s="751"/>
      <c r="K181" s="751"/>
      <c r="L181" s="751"/>
      <c r="M181" s="751"/>
      <c r="N181" s="751"/>
      <c r="O181" s="751"/>
      <c r="P181" s="752"/>
    </row>
    <row r="182" spans="1:16" x14ac:dyDescent="0.25">
      <c r="A182" s="753"/>
      <c r="B182" s="751" t="s">
        <v>464</v>
      </c>
      <c r="C182" s="754" t="s">
        <v>491</v>
      </c>
      <c r="D182" s="751"/>
      <c r="E182" s="751"/>
      <c r="F182" s="751"/>
      <c r="G182" s="751"/>
      <c r="H182" s="751"/>
      <c r="I182" s="751"/>
      <c r="J182" s="751"/>
      <c r="K182" s="751"/>
      <c r="L182" s="751"/>
      <c r="M182" s="751"/>
      <c r="N182" s="751"/>
      <c r="O182" s="751"/>
      <c r="P182" s="752"/>
    </row>
    <row r="183" spans="1:16" x14ac:dyDescent="0.25">
      <c r="A183" s="753"/>
      <c r="B183" s="751"/>
      <c r="C183" s="754"/>
      <c r="D183" s="751"/>
      <c r="E183" s="751"/>
      <c r="F183" s="751"/>
      <c r="G183" s="751"/>
      <c r="H183" s="751"/>
      <c r="I183" s="751"/>
      <c r="J183" s="751"/>
      <c r="K183" s="751"/>
      <c r="L183" s="751"/>
      <c r="M183" s="751"/>
      <c r="N183" s="751"/>
      <c r="O183" s="751"/>
      <c r="P183" s="752"/>
    </row>
    <row r="184" spans="1:16" x14ac:dyDescent="0.25">
      <c r="A184" s="753"/>
      <c r="B184" s="754" t="s">
        <v>397</v>
      </c>
      <c r="C184" s="751"/>
      <c r="D184" s="751"/>
      <c r="E184" s="751"/>
      <c r="F184" s="751"/>
      <c r="G184" s="751"/>
      <c r="H184" s="751"/>
      <c r="I184" s="751"/>
      <c r="J184" s="751"/>
      <c r="K184" s="751"/>
      <c r="L184" s="751"/>
      <c r="M184" s="751"/>
      <c r="N184" s="751"/>
      <c r="O184" s="751"/>
      <c r="P184" s="752"/>
    </row>
    <row r="185" spans="1:16" x14ac:dyDescent="0.25">
      <c r="A185" s="753"/>
      <c r="B185" s="754" t="s">
        <v>605</v>
      </c>
      <c r="C185" s="751"/>
      <c r="D185" s="751"/>
      <c r="E185" s="751"/>
      <c r="F185" s="751"/>
      <c r="G185" s="751"/>
      <c r="H185" s="751"/>
      <c r="I185" s="751"/>
      <c r="J185" s="751"/>
      <c r="K185" s="751"/>
      <c r="L185" s="751"/>
      <c r="M185" s="751"/>
      <c r="N185" s="751"/>
      <c r="O185" s="751"/>
      <c r="P185" s="752"/>
    </row>
    <row r="186" spans="1:16" x14ac:dyDescent="0.25">
      <c r="A186" s="753"/>
      <c r="B186" s="751"/>
      <c r="C186" s="755"/>
      <c r="D186" s="754"/>
      <c r="E186" s="751"/>
      <c r="F186" s="751"/>
      <c r="G186" s="751"/>
      <c r="H186" s="751"/>
      <c r="I186" s="751"/>
      <c r="J186" s="751"/>
      <c r="K186" s="751"/>
      <c r="L186" s="751"/>
      <c r="M186" s="751"/>
      <c r="N186" s="751"/>
      <c r="O186" s="751"/>
      <c r="P186" s="752"/>
    </row>
    <row r="187" spans="1:16" x14ac:dyDescent="0.25">
      <c r="A187" s="323" t="s">
        <v>710</v>
      </c>
      <c r="B187" s="751"/>
      <c r="C187" s="755"/>
      <c r="D187" s="754"/>
      <c r="E187" s="751"/>
      <c r="F187" s="751"/>
      <c r="G187" s="751"/>
      <c r="H187" s="751"/>
      <c r="I187" s="751"/>
      <c r="J187" s="751"/>
      <c r="K187" s="751"/>
      <c r="L187" s="751"/>
      <c r="M187" s="751"/>
      <c r="N187" s="751"/>
      <c r="O187" s="751"/>
      <c r="P187" s="752"/>
    </row>
    <row r="188" spans="1:16" x14ac:dyDescent="0.25">
      <c r="A188" s="750"/>
      <c r="B188" s="751"/>
      <c r="C188" s="755"/>
      <c r="D188" s="754"/>
      <c r="E188" s="751"/>
      <c r="F188" s="751"/>
      <c r="G188" s="751"/>
      <c r="H188" s="751"/>
      <c r="I188" s="751"/>
      <c r="J188" s="751"/>
      <c r="K188" s="751"/>
      <c r="L188" s="751"/>
      <c r="M188" s="751"/>
      <c r="N188" s="751"/>
      <c r="O188" s="751"/>
      <c r="P188" s="752"/>
    </row>
    <row r="189" spans="1:16" x14ac:dyDescent="0.25">
      <c r="A189" s="750"/>
      <c r="B189" s="751"/>
      <c r="C189" s="755"/>
      <c r="D189" s="754"/>
      <c r="E189" s="751"/>
      <c r="F189" s="751"/>
      <c r="G189" s="751"/>
      <c r="H189" s="751"/>
      <c r="I189" s="751"/>
      <c r="J189" s="751"/>
      <c r="K189" s="751"/>
      <c r="L189" s="751"/>
      <c r="M189" s="751"/>
      <c r="N189" s="751"/>
      <c r="O189" s="751"/>
      <c r="P189" s="752"/>
    </row>
    <row r="190" spans="1:16" x14ac:dyDescent="0.25">
      <c r="A190" s="750"/>
      <c r="B190" s="751"/>
      <c r="C190" s="755"/>
      <c r="D190" s="754"/>
      <c r="E190" s="751"/>
      <c r="F190" s="751"/>
      <c r="G190" s="751"/>
      <c r="H190" s="751"/>
      <c r="I190" s="751"/>
      <c r="J190" s="751"/>
      <c r="K190" s="751"/>
      <c r="L190" s="751"/>
      <c r="M190" s="751"/>
      <c r="N190" s="751"/>
      <c r="O190" s="751"/>
      <c r="P190" s="752"/>
    </row>
    <row r="191" spans="1:16" x14ac:dyDescent="0.25">
      <c r="A191" s="750"/>
      <c r="B191" s="751"/>
      <c r="C191" s="755"/>
      <c r="D191" s="754"/>
      <c r="E191" s="751"/>
      <c r="F191" s="751"/>
      <c r="G191" s="751"/>
      <c r="H191" s="751"/>
      <c r="I191" s="751"/>
      <c r="J191" s="751"/>
      <c r="K191" s="751"/>
      <c r="L191" s="751"/>
      <c r="M191" s="751"/>
      <c r="N191" s="751"/>
      <c r="O191" s="751"/>
      <c r="P191" s="752"/>
    </row>
    <row r="192" spans="1:16" x14ac:dyDescent="0.25">
      <c r="A192" s="323" t="s">
        <v>780</v>
      </c>
      <c r="B192" s="751"/>
      <c r="C192" s="755"/>
      <c r="D192" s="754"/>
      <c r="E192" s="751"/>
      <c r="F192" s="751"/>
      <c r="G192" s="751"/>
      <c r="H192" s="751"/>
      <c r="I192" s="751"/>
      <c r="J192" s="751"/>
      <c r="K192" s="751"/>
      <c r="L192" s="751"/>
      <c r="M192" s="751"/>
      <c r="N192" s="751"/>
      <c r="O192" s="751"/>
      <c r="P192" s="752"/>
    </row>
    <row r="193" spans="1:16" x14ac:dyDescent="0.25">
      <c r="A193" s="323"/>
      <c r="B193" s="751"/>
      <c r="C193" s="755"/>
      <c r="D193" s="754"/>
      <c r="E193" s="751"/>
      <c r="F193" s="751"/>
      <c r="G193" s="751"/>
      <c r="H193" s="751"/>
      <c r="I193" s="751"/>
      <c r="J193" s="751"/>
      <c r="K193" s="751"/>
      <c r="L193" s="751"/>
      <c r="M193" s="751"/>
      <c r="N193" s="751"/>
      <c r="O193" s="751"/>
      <c r="P193" s="752"/>
    </row>
    <row r="194" spans="1:16" x14ac:dyDescent="0.25">
      <c r="A194" s="323"/>
      <c r="B194" s="751"/>
      <c r="C194" s="755"/>
      <c r="D194" s="754"/>
      <c r="E194" s="751"/>
      <c r="F194" s="751"/>
      <c r="G194" s="751"/>
      <c r="H194" s="751"/>
      <c r="I194" s="751"/>
      <c r="J194" s="751"/>
      <c r="K194" s="751"/>
      <c r="L194" s="751"/>
      <c r="M194" s="751"/>
      <c r="N194" s="751"/>
      <c r="O194" s="751"/>
      <c r="P194" s="752"/>
    </row>
    <row r="195" spans="1:16" x14ac:dyDescent="0.25">
      <c r="A195" s="323"/>
      <c r="B195" s="751"/>
      <c r="C195" s="755"/>
      <c r="D195" s="754"/>
      <c r="E195" s="751"/>
      <c r="F195" s="751"/>
      <c r="G195" s="751"/>
      <c r="H195" s="751"/>
      <c r="I195" s="751"/>
      <c r="J195" s="751"/>
      <c r="K195" s="751"/>
      <c r="L195" s="751"/>
      <c r="M195" s="751"/>
      <c r="N195" s="751"/>
      <c r="O195" s="751"/>
      <c r="P195" s="752"/>
    </row>
    <row r="196" spans="1:16" ht="15.75" thickBot="1" x14ac:dyDescent="0.3">
      <c r="A196" s="769"/>
      <c r="B196" s="757"/>
      <c r="C196" s="772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8"/>
    </row>
    <row r="197" spans="1:16" x14ac:dyDescent="0.25">
      <c r="A197" s="747"/>
      <c r="B197" s="773"/>
      <c r="C197" s="748"/>
      <c r="D197" s="748"/>
      <c r="E197" s="748"/>
      <c r="F197" s="748"/>
      <c r="G197" s="748"/>
      <c r="H197" s="748"/>
      <c r="I197" s="748"/>
      <c r="J197" s="748"/>
      <c r="K197" s="748"/>
      <c r="L197" s="748"/>
      <c r="M197" s="748"/>
      <c r="N197" s="748"/>
      <c r="O197" s="748"/>
      <c r="P197" s="749"/>
    </row>
    <row r="198" spans="1:16" x14ac:dyDescent="0.25">
      <c r="A198" s="354" t="s">
        <v>795</v>
      </c>
      <c r="B198" s="754"/>
      <c r="C198" s="751"/>
      <c r="D198" s="751"/>
      <c r="E198" s="751"/>
      <c r="F198" s="751"/>
      <c r="G198" s="751"/>
      <c r="H198" s="751"/>
      <c r="I198" s="751"/>
      <c r="J198" s="751"/>
      <c r="K198" s="751"/>
      <c r="L198" s="751"/>
      <c r="M198" s="751"/>
      <c r="N198" s="751"/>
      <c r="O198" s="751"/>
      <c r="P198" s="752"/>
    </row>
    <row r="199" spans="1:16" x14ac:dyDescent="0.25">
      <c r="A199" s="750"/>
      <c r="B199" s="754"/>
      <c r="C199" s="751"/>
      <c r="D199" s="751"/>
      <c r="E199" s="751"/>
      <c r="F199" s="751"/>
      <c r="G199" s="751"/>
      <c r="H199" s="751"/>
      <c r="I199" s="751"/>
      <c r="J199" s="751"/>
      <c r="K199" s="751"/>
      <c r="L199" s="751"/>
      <c r="M199" s="751"/>
      <c r="N199" s="751"/>
      <c r="O199" s="751"/>
      <c r="P199" s="752"/>
    </row>
    <row r="200" spans="1:16" x14ac:dyDescent="0.25">
      <c r="A200" s="323" t="s">
        <v>494</v>
      </c>
      <c r="B200" s="754"/>
      <c r="C200" s="751"/>
      <c r="D200" s="751"/>
      <c r="E200" s="751"/>
      <c r="F200" s="751"/>
      <c r="G200" s="751"/>
      <c r="H200" s="751"/>
      <c r="I200" s="751"/>
      <c r="J200" s="751"/>
      <c r="K200" s="751"/>
      <c r="L200" s="751"/>
      <c r="M200" s="751"/>
      <c r="N200" s="751"/>
      <c r="O200" s="751"/>
      <c r="P200" s="752"/>
    </row>
    <row r="201" spans="1:16" x14ac:dyDescent="0.25">
      <c r="A201" s="750"/>
      <c r="B201" s="754"/>
      <c r="C201" s="751"/>
      <c r="D201" s="751"/>
      <c r="E201" s="751"/>
      <c r="F201" s="751"/>
      <c r="G201" s="751"/>
      <c r="H201" s="751"/>
      <c r="I201" s="751"/>
      <c r="J201" s="751"/>
      <c r="K201" s="751"/>
      <c r="L201" s="751"/>
      <c r="M201" s="751"/>
      <c r="N201" s="751"/>
      <c r="O201" s="751"/>
      <c r="P201" s="752"/>
    </row>
    <row r="202" spans="1:16" x14ac:dyDescent="0.25">
      <c r="A202" s="750"/>
      <c r="B202" s="751" t="s">
        <v>464</v>
      </c>
      <c r="C202" s="354" t="s">
        <v>793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2"/>
    </row>
    <row r="203" spans="1:16" x14ac:dyDescent="0.25">
      <c r="A203" s="750"/>
      <c r="B203" s="754"/>
      <c r="C203" s="751"/>
      <c r="D203" s="751"/>
      <c r="E203" s="751"/>
      <c r="F203" s="751"/>
      <c r="G203" s="751"/>
      <c r="H203" s="751"/>
      <c r="I203" s="751"/>
      <c r="J203" s="751"/>
      <c r="K203" s="751"/>
      <c r="L203" s="751"/>
      <c r="M203" s="751"/>
      <c r="N203" s="751"/>
      <c r="O203" s="751"/>
      <c r="P203" s="752"/>
    </row>
    <row r="204" spans="1:16" x14ac:dyDescent="0.25">
      <c r="A204" s="323" t="s">
        <v>711</v>
      </c>
      <c r="B204" s="751"/>
      <c r="C204" s="755"/>
      <c r="D204" s="754"/>
      <c r="E204" s="751"/>
      <c r="F204" s="751"/>
      <c r="G204" s="751"/>
      <c r="H204" s="751"/>
      <c r="I204" s="751"/>
      <c r="J204" s="751"/>
      <c r="K204" s="751"/>
      <c r="L204" s="751"/>
      <c r="M204" s="751"/>
      <c r="N204" s="751"/>
      <c r="O204" s="751"/>
      <c r="P204" s="752"/>
    </row>
    <row r="205" spans="1:16" x14ac:dyDescent="0.25">
      <c r="A205" s="750"/>
      <c r="B205" s="751"/>
      <c r="C205" s="755"/>
      <c r="D205" s="754"/>
      <c r="E205" s="751"/>
      <c r="F205" s="751"/>
      <c r="G205" s="751"/>
      <c r="H205" s="751"/>
      <c r="I205" s="751"/>
      <c r="J205" s="751"/>
      <c r="K205" s="751"/>
      <c r="L205" s="751"/>
      <c r="M205" s="751"/>
      <c r="N205" s="751"/>
      <c r="O205" s="751"/>
      <c r="P205" s="752"/>
    </row>
    <row r="206" spans="1:16" x14ac:dyDescent="0.25">
      <c r="A206" s="750"/>
      <c r="B206" s="751"/>
      <c r="C206" s="755"/>
      <c r="D206" s="754"/>
      <c r="E206" s="751"/>
      <c r="F206" s="751"/>
      <c r="G206" s="751"/>
      <c r="H206" s="751"/>
      <c r="I206" s="751"/>
      <c r="J206" s="751"/>
      <c r="K206" s="751"/>
      <c r="L206" s="751"/>
      <c r="M206" s="751"/>
      <c r="N206" s="751"/>
      <c r="O206" s="751"/>
      <c r="P206" s="752"/>
    </row>
    <row r="207" spans="1:16" x14ac:dyDescent="0.25">
      <c r="A207" s="750"/>
      <c r="B207" s="751"/>
      <c r="C207" s="755"/>
      <c r="D207" s="754"/>
      <c r="E207" s="751"/>
      <c r="F207" s="751"/>
      <c r="G207" s="751"/>
      <c r="H207" s="751"/>
      <c r="I207" s="751"/>
      <c r="J207" s="751"/>
      <c r="K207" s="751"/>
      <c r="L207" s="751"/>
      <c r="M207" s="751"/>
      <c r="N207" s="751"/>
      <c r="O207" s="751"/>
      <c r="P207" s="752"/>
    </row>
    <row r="208" spans="1:16" x14ac:dyDescent="0.25">
      <c r="A208" s="750"/>
      <c r="B208" s="751"/>
      <c r="C208" s="755"/>
      <c r="D208" s="754"/>
      <c r="E208" s="751"/>
      <c r="F208" s="751"/>
      <c r="G208" s="751"/>
      <c r="H208" s="751"/>
      <c r="I208" s="751"/>
      <c r="J208" s="751"/>
      <c r="K208" s="751"/>
      <c r="L208" s="751"/>
      <c r="M208" s="751"/>
      <c r="N208" s="751"/>
      <c r="O208" s="751"/>
      <c r="P208" s="752"/>
    </row>
    <row r="209" spans="1:16" x14ac:dyDescent="0.25">
      <c r="A209" s="323" t="s">
        <v>781</v>
      </c>
      <c r="B209" s="751"/>
      <c r="C209" s="755"/>
      <c r="D209" s="754"/>
      <c r="E209" s="751"/>
      <c r="F209" s="751"/>
      <c r="G209" s="751"/>
      <c r="H209" s="751"/>
      <c r="I209" s="751"/>
      <c r="J209" s="751"/>
      <c r="K209" s="751"/>
      <c r="L209" s="751"/>
      <c r="M209" s="751"/>
      <c r="N209" s="751"/>
      <c r="O209" s="751"/>
      <c r="P209" s="752"/>
    </row>
    <row r="210" spans="1:16" x14ac:dyDescent="0.25">
      <c r="A210" s="323"/>
      <c r="B210" s="751"/>
      <c r="C210" s="755"/>
      <c r="D210" s="754"/>
      <c r="E210" s="751"/>
      <c r="F210" s="751"/>
      <c r="G210" s="751"/>
      <c r="H210" s="751"/>
      <c r="I210" s="751"/>
      <c r="J210" s="751"/>
      <c r="K210" s="751"/>
      <c r="L210" s="751"/>
      <c r="M210" s="751"/>
      <c r="N210" s="751"/>
      <c r="O210" s="751"/>
      <c r="P210" s="752"/>
    </row>
    <row r="211" spans="1:16" x14ac:dyDescent="0.25">
      <c r="A211" s="323"/>
      <c r="B211" s="751"/>
      <c r="C211" s="755"/>
      <c r="D211" s="754"/>
      <c r="E211" s="751"/>
      <c r="F211" s="751"/>
      <c r="G211" s="751"/>
      <c r="H211" s="751"/>
      <c r="I211" s="751"/>
      <c r="J211" s="751"/>
      <c r="K211" s="751"/>
      <c r="L211" s="751"/>
      <c r="M211" s="751"/>
      <c r="N211" s="751"/>
      <c r="O211" s="751"/>
      <c r="P211" s="752"/>
    </row>
    <row r="212" spans="1:16" x14ac:dyDescent="0.25">
      <c r="A212" s="323"/>
      <c r="B212" s="751"/>
      <c r="C212" s="755"/>
      <c r="D212" s="754"/>
      <c r="E212" s="751"/>
      <c r="F212" s="751"/>
      <c r="G212" s="751"/>
      <c r="H212" s="751"/>
      <c r="I212" s="751"/>
      <c r="J212" s="751"/>
      <c r="K212" s="751"/>
      <c r="L212" s="751"/>
      <c r="M212" s="751"/>
      <c r="N212" s="751"/>
      <c r="O212" s="751"/>
      <c r="P212" s="752"/>
    </row>
    <row r="213" spans="1:16" x14ac:dyDescent="0.25">
      <c r="A213" s="750"/>
      <c r="B213" s="751"/>
      <c r="C213" s="755"/>
      <c r="D213" s="754"/>
      <c r="E213" s="751"/>
      <c r="F213" s="751"/>
      <c r="G213" s="751"/>
      <c r="H213" s="751"/>
      <c r="I213" s="751"/>
      <c r="J213" s="751"/>
      <c r="K213" s="751"/>
      <c r="L213" s="751"/>
      <c r="M213" s="751"/>
      <c r="N213" s="751"/>
      <c r="O213" s="751"/>
      <c r="P213" s="752"/>
    </row>
    <row r="214" spans="1:16" ht="15.75" thickBot="1" x14ac:dyDescent="0.3">
      <c r="A214" s="756"/>
      <c r="B214" s="757"/>
      <c r="C214" s="757"/>
      <c r="D214" s="757"/>
      <c r="E214" s="757"/>
      <c r="F214" s="757"/>
      <c r="G214" s="757"/>
      <c r="H214" s="757"/>
      <c r="I214" s="757"/>
      <c r="J214" s="757"/>
      <c r="K214" s="757"/>
      <c r="L214" s="757"/>
      <c r="M214" s="757"/>
      <c r="N214" s="757"/>
      <c r="O214" s="757"/>
      <c r="P214" s="758"/>
    </row>
    <row r="215" spans="1:16" hidden="1" x14ac:dyDescent="0.25">
      <c r="A215" s="747"/>
      <c r="B215" s="773"/>
      <c r="C215" s="748"/>
      <c r="D215" s="748"/>
      <c r="E215" s="748"/>
      <c r="F215" s="748"/>
      <c r="G215" s="748"/>
      <c r="H215" s="748"/>
      <c r="I215" s="748"/>
      <c r="J215" s="748"/>
      <c r="K215" s="748"/>
      <c r="L215" s="748"/>
      <c r="M215" s="748"/>
      <c r="N215" s="748"/>
      <c r="O215" s="748"/>
      <c r="P215" s="749"/>
    </row>
    <row r="216" spans="1:16" hidden="1" x14ac:dyDescent="0.25">
      <c r="A216" s="750" t="s">
        <v>681</v>
      </c>
      <c r="B216" s="754"/>
      <c r="C216" s="751"/>
      <c r="D216" s="751"/>
      <c r="E216" s="751"/>
      <c r="F216" s="751"/>
      <c r="G216" s="751"/>
      <c r="H216" s="751"/>
      <c r="I216" s="751"/>
      <c r="J216" s="751"/>
      <c r="K216" s="751"/>
      <c r="L216" s="751"/>
      <c r="M216" s="751"/>
      <c r="N216" s="751"/>
      <c r="O216" s="751"/>
      <c r="P216" s="752"/>
    </row>
    <row r="217" spans="1:16" hidden="1" x14ac:dyDescent="0.25">
      <c r="A217" s="750"/>
      <c r="B217" s="754"/>
      <c r="C217" s="751"/>
      <c r="D217" s="751"/>
      <c r="E217" s="751"/>
      <c r="F217" s="751"/>
      <c r="G217" s="751"/>
      <c r="H217" s="751"/>
      <c r="I217" s="751"/>
      <c r="J217" s="751"/>
      <c r="K217" s="751"/>
      <c r="L217" s="751"/>
      <c r="M217" s="751"/>
      <c r="N217" s="751"/>
      <c r="O217" s="751"/>
      <c r="P217" s="752"/>
    </row>
    <row r="218" spans="1:16" hidden="1" x14ac:dyDescent="0.25">
      <c r="A218" s="750" t="s">
        <v>508</v>
      </c>
      <c r="B218" s="754"/>
      <c r="C218" s="751"/>
      <c r="D218" s="751"/>
      <c r="E218" s="751"/>
      <c r="F218" s="751"/>
      <c r="G218" s="751"/>
      <c r="H218" s="751"/>
      <c r="I218" s="751"/>
      <c r="J218" s="751"/>
      <c r="K218" s="751"/>
      <c r="L218" s="751"/>
      <c r="M218" s="751"/>
      <c r="N218" s="751"/>
      <c r="O218" s="751"/>
      <c r="P218" s="752"/>
    </row>
    <row r="219" spans="1:16" hidden="1" x14ac:dyDescent="0.25">
      <c r="A219" s="750"/>
      <c r="B219" s="754"/>
      <c r="C219" s="751"/>
      <c r="D219" s="751"/>
      <c r="E219" s="751"/>
      <c r="F219" s="751"/>
      <c r="G219" s="751"/>
      <c r="H219" s="751"/>
      <c r="I219" s="751"/>
      <c r="J219" s="751"/>
      <c r="K219" s="751"/>
      <c r="L219" s="751"/>
      <c r="M219" s="751"/>
      <c r="N219" s="751"/>
      <c r="O219" s="751"/>
      <c r="P219" s="752"/>
    </row>
    <row r="220" spans="1:16" hidden="1" x14ac:dyDescent="0.25">
      <c r="A220" s="750"/>
      <c r="B220" s="754" t="s">
        <v>673</v>
      </c>
      <c r="C220" s="751"/>
      <c r="D220" s="751"/>
      <c r="E220" s="751"/>
      <c r="F220" s="751"/>
      <c r="G220" s="751"/>
      <c r="H220" s="751"/>
      <c r="I220" s="751"/>
      <c r="J220" s="751"/>
      <c r="K220" s="751"/>
      <c r="L220" s="751"/>
      <c r="M220" s="751"/>
      <c r="N220" s="751"/>
      <c r="O220" s="751"/>
      <c r="P220" s="752"/>
    </row>
    <row r="221" spans="1:16" hidden="1" x14ac:dyDescent="0.25">
      <c r="A221" s="750"/>
      <c r="B221" s="754"/>
      <c r="C221" s="751"/>
      <c r="D221" s="751"/>
      <c r="E221" s="751"/>
      <c r="F221" s="751"/>
      <c r="G221" s="751"/>
      <c r="H221" s="751"/>
      <c r="I221" s="751"/>
      <c r="J221" s="751"/>
      <c r="K221" s="751"/>
      <c r="L221" s="751"/>
      <c r="M221" s="751"/>
      <c r="N221" s="751"/>
      <c r="O221" s="751"/>
      <c r="P221" s="752"/>
    </row>
    <row r="222" spans="1:16" hidden="1" x14ac:dyDescent="0.25">
      <c r="A222" s="750"/>
      <c r="B222" s="751"/>
      <c r="C222" s="751"/>
      <c r="D222" s="751"/>
      <c r="E222" s="751"/>
      <c r="F222" s="751"/>
      <c r="G222" s="751"/>
      <c r="H222" s="751"/>
      <c r="I222" s="751"/>
      <c r="J222" s="751"/>
      <c r="K222" s="751"/>
      <c r="L222" s="751"/>
      <c r="M222" s="751"/>
      <c r="N222" s="751"/>
      <c r="O222" s="751"/>
      <c r="P222" s="752"/>
    </row>
    <row r="223" spans="1:16" hidden="1" x14ac:dyDescent="0.25">
      <c r="A223" s="750"/>
      <c r="B223" s="754"/>
      <c r="C223" s="751"/>
      <c r="D223" s="751"/>
      <c r="E223" s="751"/>
      <c r="F223" s="751"/>
      <c r="G223" s="751"/>
      <c r="H223" s="751"/>
      <c r="I223" s="751"/>
      <c r="J223" s="751"/>
      <c r="K223" s="751"/>
      <c r="L223" s="751"/>
      <c r="M223" s="751"/>
      <c r="N223" s="751"/>
      <c r="O223" s="751"/>
      <c r="P223" s="752"/>
    </row>
    <row r="224" spans="1:16" hidden="1" x14ac:dyDescent="0.25">
      <c r="A224" s="750"/>
      <c r="B224" s="754"/>
      <c r="C224" s="751"/>
      <c r="D224" s="751"/>
      <c r="E224" s="751"/>
      <c r="F224" s="751"/>
      <c r="G224" s="751"/>
      <c r="H224" s="751"/>
      <c r="I224" s="751"/>
      <c r="J224" s="751"/>
      <c r="K224" s="751"/>
      <c r="L224" s="751"/>
      <c r="M224" s="751"/>
      <c r="N224" s="751"/>
      <c r="O224" s="751"/>
      <c r="P224" s="752"/>
    </row>
    <row r="225" spans="1:16" hidden="1" x14ac:dyDescent="0.25">
      <c r="A225" s="750"/>
      <c r="B225" s="754" t="s">
        <v>675</v>
      </c>
      <c r="C225" s="751"/>
      <c r="D225" s="751"/>
      <c r="E225" s="751"/>
      <c r="F225" s="751"/>
      <c r="G225" s="751"/>
      <c r="H225" s="751"/>
      <c r="I225" s="751"/>
      <c r="J225" s="751"/>
      <c r="K225" s="751"/>
      <c r="L225" s="751"/>
      <c r="M225" s="751"/>
      <c r="N225" s="751"/>
      <c r="O225" s="751"/>
      <c r="P225" s="752"/>
    </row>
    <row r="226" spans="1:16" hidden="1" x14ac:dyDescent="0.25">
      <c r="A226" s="750"/>
      <c r="B226" s="754" t="s">
        <v>674</v>
      </c>
      <c r="C226" s="751"/>
      <c r="D226" s="751"/>
      <c r="E226" s="751"/>
      <c r="F226" s="751"/>
      <c r="G226" s="751"/>
      <c r="H226" s="751"/>
      <c r="I226" s="751"/>
      <c r="J226" s="751"/>
      <c r="K226" s="751"/>
      <c r="L226" s="751"/>
      <c r="M226" s="751"/>
      <c r="N226" s="751"/>
      <c r="O226" s="751"/>
      <c r="P226" s="752"/>
    </row>
    <row r="227" spans="1:16" hidden="1" x14ac:dyDescent="0.25">
      <c r="A227" s="750"/>
      <c r="B227" s="754" t="s">
        <v>672</v>
      </c>
      <c r="C227" s="751"/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2"/>
    </row>
    <row r="228" spans="1:16" hidden="1" x14ac:dyDescent="0.25">
      <c r="A228" s="750"/>
      <c r="B228" s="754"/>
      <c r="C228" s="751"/>
      <c r="D228" s="751"/>
      <c r="E228" s="751"/>
      <c r="F228" s="751"/>
      <c r="G228" s="751"/>
      <c r="H228" s="751"/>
      <c r="I228" s="751"/>
      <c r="J228" s="751"/>
      <c r="K228" s="751"/>
      <c r="L228" s="751"/>
      <c r="M228" s="751"/>
      <c r="N228" s="751"/>
      <c r="O228" s="751"/>
      <c r="P228" s="752"/>
    </row>
    <row r="229" spans="1:16" hidden="1" x14ac:dyDescent="0.25">
      <c r="A229" s="750"/>
      <c r="B229" s="754"/>
      <c r="C229" s="751"/>
      <c r="D229" s="751"/>
      <c r="E229" s="751"/>
      <c r="F229" s="751"/>
      <c r="G229" s="751"/>
      <c r="H229" s="751"/>
      <c r="I229" s="751"/>
      <c r="J229" s="751"/>
      <c r="K229" s="751"/>
      <c r="L229" s="751"/>
      <c r="M229" s="751"/>
      <c r="N229" s="751"/>
      <c r="O229" s="751"/>
      <c r="P229" s="752"/>
    </row>
    <row r="230" spans="1:16" hidden="1" x14ac:dyDescent="0.25">
      <c r="A230" s="750"/>
      <c r="B230" s="751" t="s">
        <v>464</v>
      </c>
      <c r="C230" s="754" t="s">
        <v>676</v>
      </c>
      <c r="D230" s="751"/>
      <c r="E230" s="751"/>
      <c r="F230" s="751"/>
      <c r="G230" s="751"/>
      <c r="H230" s="751"/>
      <c r="I230" s="751"/>
      <c r="J230" s="751"/>
      <c r="K230" s="751"/>
      <c r="L230" s="751"/>
      <c r="M230" s="751"/>
      <c r="N230" s="751"/>
      <c r="O230" s="751"/>
      <c r="P230" s="752"/>
    </row>
    <row r="231" spans="1:16" hidden="1" x14ac:dyDescent="0.25">
      <c r="A231" s="750"/>
      <c r="B231" s="754"/>
      <c r="C231" s="751"/>
      <c r="D231" s="751"/>
      <c r="E231" s="751"/>
      <c r="F231" s="751"/>
      <c r="G231" s="751"/>
      <c r="H231" s="751"/>
      <c r="I231" s="751"/>
      <c r="J231" s="751"/>
      <c r="K231" s="751"/>
      <c r="L231" s="751"/>
      <c r="M231" s="751"/>
      <c r="N231" s="751"/>
      <c r="O231" s="751"/>
      <c r="P231" s="752"/>
    </row>
    <row r="232" spans="1:16" hidden="1" x14ac:dyDescent="0.25">
      <c r="A232" s="750"/>
      <c r="B232" s="754"/>
      <c r="C232" s="751"/>
      <c r="D232" s="751"/>
      <c r="E232" s="751"/>
      <c r="F232" s="751"/>
      <c r="G232" s="751"/>
      <c r="H232" s="751"/>
      <c r="I232" s="751"/>
      <c r="J232" s="751"/>
      <c r="K232" s="751"/>
      <c r="L232" s="751"/>
      <c r="M232" s="751"/>
      <c r="N232" s="751"/>
      <c r="O232" s="751"/>
      <c r="P232" s="752"/>
    </row>
    <row r="233" spans="1:16" hidden="1" x14ac:dyDescent="0.25">
      <c r="A233" s="750"/>
      <c r="B233" s="754"/>
      <c r="C233" s="751"/>
      <c r="D233" s="751"/>
      <c r="E233" s="751"/>
      <c r="F233" s="751"/>
      <c r="G233" s="751"/>
      <c r="H233" s="751"/>
      <c r="I233" s="751"/>
      <c r="J233" s="751"/>
      <c r="K233" s="751"/>
      <c r="L233" s="751"/>
      <c r="M233" s="751"/>
      <c r="N233" s="751"/>
      <c r="O233" s="751"/>
      <c r="P233" s="752"/>
    </row>
    <row r="234" spans="1:16" hidden="1" x14ac:dyDescent="0.25">
      <c r="A234" s="750"/>
      <c r="B234" s="751"/>
      <c r="C234" s="754"/>
      <c r="D234" s="751"/>
      <c r="E234" s="751"/>
      <c r="F234" s="751"/>
      <c r="G234" s="751"/>
      <c r="H234" s="751"/>
      <c r="I234" s="751"/>
      <c r="J234" s="751"/>
      <c r="K234" s="751"/>
      <c r="L234" s="751"/>
      <c r="M234" s="751"/>
      <c r="N234" s="751"/>
      <c r="O234" s="751"/>
      <c r="P234" s="752"/>
    </row>
    <row r="235" spans="1:16" hidden="1" x14ac:dyDescent="0.25">
      <c r="A235" s="750"/>
      <c r="B235" s="751"/>
      <c r="C235" s="354" t="s">
        <v>692</v>
      </c>
      <c r="D235" s="751"/>
      <c r="E235" s="751"/>
      <c r="F235" s="751"/>
      <c r="G235" s="751"/>
      <c r="H235" s="751"/>
      <c r="I235" s="751">
        <v>1.148E-4</v>
      </c>
      <c r="J235" s="751" t="s">
        <v>325</v>
      </c>
      <c r="K235" s="751"/>
      <c r="L235" s="751"/>
      <c r="M235" s="751"/>
      <c r="N235" s="751"/>
      <c r="O235" s="751"/>
      <c r="P235" s="752"/>
    </row>
    <row r="236" spans="1:16" hidden="1" x14ac:dyDescent="0.25">
      <c r="A236" s="750"/>
      <c r="B236" s="754"/>
      <c r="C236" s="354" t="s">
        <v>691</v>
      </c>
      <c r="D236" s="751"/>
      <c r="E236" s="751"/>
      <c r="F236" s="751"/>
      <c r="G236" s="751"/>
      <c r="H236" s="751"/>
      <c r="I236" s="751"/>
      <c r="J236" s="751">
        <v>1.1000000000000001</v>
      </c>
      <c r="K236" s="754" t="s">
        <v>449</v>
      </c>
      <c r="L236" s="751"/>
      <c r="M236" s="751"/>
      <c r="N236" s="751"/>
      <c r="O236" s="751"/>
      <c r="P236" s="752"/>
    </row>
    <row r="237" spans="1:16" hidden="1" x14ac:dyDescent="0.25">
      <c r="A237" s="750"/>
      <c r="B237" s="754"/>
      <c r="C237" s="776"/>
      <c r="D237" s="751"/>
      <c r="E237" s="751"/>
      <c r="F237" s="751"/>
      <c r="G237" s="751"/>
      <c r="H237" s="751"/>
      <c r="I237" s="751"/>
      <c r="J237" s="751"/>
      <c r="K237" s="754"/>
      <c r="L237" s="751"/>
      <c r="M237" s="751"/>
      <c r="N237" s="751"/>
      <c r="O237" s="751"/>
      <c r="P237" s="752"/>
    </row>
    <row r="238" spans="1:16" hidden="1" x14ac:dyDescent="0.25">
      <c r="A238" s="753"/>
      <c r="B238" s="751" t="s">
        <v>464</v>
      </c>
      <c r="C238" s="760"/>
      <c r="D238" s="754" t="s">
        <v>93</v>
      </c>
      <c r="E238" s="751"/>
      <c r="F238" s="751"/>
      <c r="G238" s="751"/>
      <c r="H238" s="751"/>
      <c r="I238" s="751"/>
      <c r="J238" s="751"/>
      <c r="K238" s="751"/>
      <c r="L238" s="751"/>
      <c r="M238" s="751"/>
      <c r="N238" s="751"/>
      <c r="O238" s="751"/>
      <c r="P238" s="752"/>
    </row>
    <row r="239" spans="1:16" ht="15.75" hidden="1" thickBot="1" x14ac:dyDescent="0.3">
      <c r="A239" s="756"/>
      <c r="B239" s="757"/>
      <c r="C239" s="757"/>
      <c r="D239" s="757"/>
      <c r="E239" s="757"/>
      <c r="F239" s="757"/>
      <c r="G239" s="757"/>
      <c r="H239" s="757"/>
      <c r="I239" s="757"/>
      <c r="J239" s="757"/>
      <c r="K239" s="757"/>
      <c r="L239" s="757"/>
      <c r="M239" s="757"/>
      <c r="N239" s="757"/>
      <c r="O239" s="757"/>
      <c r="P239" s="758"/>
    </row>
  </sheetData>
  <sheetProtection password="D8A8"/>
  <mergeCells count="45">
    <mergeCell ref="B20:F20"/>
    <mergeCell ref="Y9:AF9"/>
    <mergeCell ref="Y10:AF10"/>
    <mergeCell ref="Y12:AF12"/>
    <mergeCell ref="Q11:X11"/>
    <mergeCell ref="B15:F15"/>
    <mergeCell ref="B19:F19"/>
    <mergeCell ref="Y8:AF8"/>
    <mergeCell ref="I24:M24"/>
    <mergeCell ref="I23:M23"/>
    <mergeCell ref="I22:M22"/>
    <mergeCell ref="I21:M21"/>
    <mergeCell ref="Q24:U24"/>
    <mergeCell ref="Q23:U23"/>
    <mergeCell ref="Q22:U22"/>
    <mergeCell ref="Q21:U21"/>
    <mergeCell ref="Y24:AC24"/>
    <mergeCell ref="Y23:AC23"/>
    <mergeCell ref="Y22:AC22"/>
    <mergeCell ref="Y21:AC21"/>
    <mergeCell ref="A6:S6"/>
    <mergeCell ref="Q8:X8"/>
    <mergeCell ref="I8:P8"/>
    <mergeCell ref="E10:H10"/>
    <mergeCell ref="I10:P10"/>
    <mergeCell ref="Q10:X10"/>
    <mergeCell ref="E9:H9"/>
    <mergeCell ref="I9:P9"/>
    <mergeCell ref="Q9:X9"/>
    <mergeCell ref="D1:Q4"/>
    <mergeCell ref="A49:P49"/>
    <mergeCell ref="Y11:AF11"/>
    <mergeCell ref="B14:F14"/>
    <mergeCell ref="E13:H13"/>
    <mergeCell ref="I13:P13"/>
    <mergeCell ref="Q13:X13"/>
    <mergeCell ref="Y13:AF13"/>
    <mergeCell ref="B17:F17"/>
    <mergeCell ref="B18:F18"/>
    <mergeCell ref="E12:H12"/>
    <mergeCell ref="I12:P12"/>
    <mergeCell ref="Q12:X12"/>
    <mergeCell ref="E11:H11"/>
    <mergeCell ref="I11:P11"/>
    <mergeCell ref="B16:F16"/>
  </mergeCells>
  <dataValidations count="4">
    <dataValidation type="list" allowBlank="1" showInputMessage="1" showErrorMessage="1" sqref="N22:O22 AD22:AE22 V22:W22" xr:uid="{00000000-0002-0000-1000-000000000000}">
      <formula1>#REF!</formula1>
    </dataValidation>
    <dataValidation type="list" allowBlank="1" showInputMessage="1" showErrorMessage="1" sqref="P24 X21 AF21 AF24 X24 P21" xr:uid="{00000000-0002-0000-1000-000001000000}">
      <formula1>$B$7:$B$15</formula1>
    </dataValidation>
    <dataValidation type="list" allowBlank="1" showInputMessage="1" showErrorMessage="1" sqref="S15:S20 K15:K20" xr:uid="{00000000-0002-0000-1000-000002000000}">
      <formula1>$B$28:$B$33</formula1>
    </dataValidation>
    <dataValidation type="list" allowBlank="1" showInputMessage="1" showErrorMessage="1" sqref="R15:R20 P15:P20 J15:J20 X15:X20 Z15:Z20" xr:uid="{00000000-0002-0000-1000-000003000000}">
      <formula1>$B$13:$B$25</formula1>
    </dataValidation>
  </dataValidations>
  <pageMargins left="0.7" right="0.7" top="0.75" bottom="0.75" header="0.3" footer="0.3"/>
  <pageSetup paperSize="9" scale="33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000-000004000000}">
          <x14:formula1>
            <xm:f>'Datos varios'!$B$35:$B$40</xm:f>
          </x14:formula1>
          <xm:sqref>AA15:AA20</xm:sqref>
        </x14:dataValidation>
        <x14:dataValidation type="list" allowBlank="1" showInputMessage="1" showErrorMessage="1" xr:uid="{00000000-0002-0000-1000-000005000000}">
          <x14:formula1>
            <xm:f>'Datos varios'!$B$19:$B$32</xm:f>
          </x14:formula1>
          <xm:sqref>AF15:AF20</xm:sqref>
        </x14:dataValidation>
        <x14:dataValidation type="list" allowBlank="1" showInputMessage="1" showErrorMessage="1" xr:uid="{00000000-0002-0000-1000-000006000000}">
          <x14:formula1>
            <xm:f>'Datos varios'!$B$43:$B$44</xm:f>
          </x14:formula1>
          <xm:sqref>H15:H20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9"/>
  <dimension ref="A1:AC65"/>
  <sheetViews>
    <sheetView zoomScaleNormal="100" workbookViewId="0">
      <selection activeCell="F45" sqref="F45"/>
    </sheetView>
  </sheetViews>
  <sheetFormatPr baseColWidth="10" defaultColWidth="3.140625" defaultRowHeight="15" x14ac:dyDescent="0.25"/>
  <cols>
    <col min="1" max="3" width="3.140625" style="118"/>
    <col min="4" max="4" width="2.5703125" style="118" customWidth="1"/>
    <col min="5" max="5" width="5.140625" style="118" customWidth="1"/>
    <col min="6" max="6" width="4.28515625" style="118" customWidth="1"/>
    <col min="7" max="7" width="4" style="118" customWidth="1"/>
    <col min="8" max="9" width="3.140625" style="118"/>
    <col min="10" max="10" width="3.140625" style="118" customWidth="1"/>
    <col min="11" max="12" width="3.140625" style="118"/>
    <col min="13" max="13" width="3.140625" style="118" customWidth="1"/>
    <col min="14" max="17" width="3.140625" style="118"/>
    <col min="18" max="18" width="3.28515625" style="118" customWidth="1"/>
    <col min="19" max="23" width="3.140625" style="118"/>
    <col min="24" max="24" width="3.140625" style="118" customWidth="1"/>
    <col min="25" max="16384" width="3.140625" style="118"/>
  </cols>
  <sheetData>
    <row r="1" spans="1:29" ht="15" customHeight="1" x14ac:dyDescent="0.25">
      <c r="A1" s="115"/>
      <c r="B1" s="116"/>
      <c r="C1" s="116"/>
      <c r="D1" s="116"/>
      <c r="E1" s="116"/>
      <c r="F1" s="116"/>
      <c r="G1" s="117"/>
      <c r="H1" s="2732" t="s">
        <v>167</v>
      </c>
      <c r="I1" s="2733"/>
      <c r="J1" s="2733"/>
      <c r="K1" s="2733"/>
      <c r="L1" s="2733"/>
      <c r="M1" s="2733"/>
      <c r="N1" s="2733"/>
      <c r="O1" s="2733"/>
      <c r="P1" s="2733"/>
      <c r="Q1" s="2733"/>
      <c r="R1" s="2733"/>
      <c r="S1" s="2733"/>
      <c r="T1" s="2733"/>
      <c r="U1" s="2733"/>
      <c r="V1" s="2734"/>
      <c r="W1" s="115" t="s">
        <v>68</v>
      </c>
      <c r="X1" s="116"/>
      <c r="Y1" s="116"/>
      <c r="Z1" s="116" t="s">
        <v>123</v>
      </c>
      <c r="AA1" s="116"/>
      <c r="AB1" s="116"/>
      <c r="AC1" s="117"/>
    </row>
    <row r="2" spans="1:29" ht="15" customHeight="1" x14ac:dyDescent="0.25">
      <c r="A2" s="119"/>
      <c r="G2" s="120"/>
      <c r="H2" s="2735"/>
      <c r="I2" s="2736"/>
      <c r="J2" s="2736"/>
      <c r="K2" s="2736"/>
      <c r="L2" s="2736"/>
      <c r="M2" s="2736"/>
      <c r="N2" s="2736"/>
      <c r="O2" s="2736"/>
      <c r="P2" s="2736"/>
      <c r="Q2" s="2736"/>
      <c r="R2" s="2736"/>
      <c r="S2" s="2736"/>
      <c r="T2" s="2736"/>
      <c r="U2" s="2736"/>
      <c r="V2" s="2737"/>
      <c r="W2" s="119" t="s">
        <v>69</v>
      </c>
      <c r="Z2" s="1863" t="s">
        <v>1229</v>
      </c>
      <c r="AC2" s="120"/>
    </row>
    <row r="3" spans="1:29" ht="15" customHeight="1" x14ac:dyDescent="0.25">
      <c r="A3" s="119"/>
      <c r="G3" s="120"/>
      <c r="H3" s="2735"/>
      <c r="I3" s="2736"/>
      <c r="J3" s="2736"/>
      <c r="K3" s="2736"/>
      <c r="L3" s="2736"/>
      <c r="M3" s="2736"/>
      <c r="N3" s="2736"/>
      <c r="O3" s="2736"/>
      <c r="P3" s="2736"/>
      <c r="Q3" s="2736"/>
      <c r="R3" s="2736"/>
      <c r="S3" s="2736"/>
      <c r="T3" s="2736"/>
      <c r="U3" s="2736"/>
      <c r="V3" s="2737"/>
      <c r="W3" s="119" t="s">
        <v>70</v>
      </c>
      <c r="Z3" s="118" t="s">
        <v>72</v>
      </c>
      <c r="AC3" s="120"/>
    </row>
    <row r="4" spans="1:29" ht="15" customHeight="1" x14ac:dyDescent="0.25">
      <c r="A4" s="121"/>
      <c r="B4" s="122"/>
      <c r="C4" s="122"/>
      <c r="D4" s="122"/>
      <c r="E4" s="122"/>
      <c r="F4" s="122"/>
      <c r="G4" s="123"/>
      <c r="H4" s="2738"/>
      <c r="I4" s="2739"/>
      <c r="J4" s="2739"/>
      <c r="K4" s="2739"/>
      <c r="L4" s="2739"/>
      <c r="M4" s="2739"/>
      <c r="N4" s="2739"/>
      <c r="O4" s="2739"/>
      <c r="P4" s="2739"/>
      <c r="Q4" s="2739"/>
      <c r="R4" s="2739"/>
      <c r="S4" s="2739"/>
      <c r="T4" s="2739"/>
      <c r="U4" s="2739"/>
      <c r="V4" s="2740"/>
      <c r="W4" s="121" t="s">
        <v>71</v>
      </c>
      <c r="X4" s="122"/>
      <c r="Y4" s="122"/>
      <c r="Z4" s="122" t="s">
        <v>73</v>
      </c>
      <c r="AA4" s="122"/>
      <c r="AB4" s="122"/>
      <c r="AC4" s="123"/>
    </row>
    <row r="5" spans="1:29" ht="2.85" customHeight="1" x14ac:dyDescent="0.25"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</row>
    <row r="6" spans="1:29" ht="15" customHeight="1" x14ac:dyDescent="0.25">
      <c r="A6" s="125" t="s">
        <v>129</v>
      </c>
      <c r="B6" s="126" t="s">
        <v>130</v>
      </c>
    </row>
    <row r="7" spans="1:29" ht="2.85" customHeight="1" x14ac:dyDescent="0.25"/>
    <row r="8" spans="1:29" ht="30.75" customHeight="1" x14ac:dyDescent="0.25">
      <c r="B8" s="134" t="s">
        <v>124</v>
      </c>
      <c r="H8" s="2745" t="str">
        <f>'F-LSCD-002 (Dosimetría)'!B24</f>
        <v>Cámara de ionización patrón de 1 L , marca: PTW; modelo: TN32002; serie: 000568; Reporte de calibración de Kerma en aire DG: 13580-21 con fecha 2021-04-01 (NIST); trazable al NIST.</v>
      </c>
      <c r="I8" s="2745"/>
      <c r="J8" s="2745"/>
      <c r="K8" s="2745"/>
      <c r="L8" s="2745"/>
      <c r="M8" s="2745"/>
      <c r="N8" s="2745"/>
      <c r="O8" s="2745"/>
      <c r="P8" s="2745"/>
      <c r="Q8" s="2745"/>
      <c r="R8" s="2745"/>
      <c r="S8" s="2745"/>
      <c r="T8" s="2745"/>
      <c r="U8" s="2745"/>
      <c r="V8" s="2745"/>
      <c r="W8" s="2745"/>
      <c r="X8" s="2745"/>
      <c r="Y8" s="2745"/>
      <c r="Z8" s="2745"/>
      <c r="AA8" s="2745"/>
      <c r="AB8" s="2745"/>
      <c r="AC8" s="2745"/>
    </row>
    <row r="9" spans="1:29" ht="15" customHeight="1" x14ac:dyDescent="0.25">
      <c r="B9" s="118" t="s">
        <v>127</v>
      </c>
      <c r="H9" s="118" t="s">
        <v>170</v>
      </c>
    </row>
    <row r="10" spans="1:29" ht="15" customHeight="1" x14ac:dyDescent="0.25">
      <c r="B10" s="118" t="s">
        <v>128</v>
      </c>
      <c r="H10" t="s">
        <v>309</v>
      </c>
    </row>
    <row r="11" spans="1:29" ht="15" customHeight="1" x14ac:dyDescent="0.25">
      <c r="B11" s="118" t="s">
        <v>169</v>
      </c>
      <c r="H11" s="2772">
        <v>44371</v>
      </c>
      <c r="I11" s="2743"/>
      <c r="J11" s="2743"/>
      <c r="K11" s="2743"/>
    </row>
    <row r="12" spans="1:29" ht="15" customHeight="1" x14ac:dyDescent="0.25">
      <c r="B12" s="118" t="s">
        <v>157</v>
      </c>
      <c r="H12" s="1974" t="s">
        <v>1296</v>
      </c>
    </row>
    <row r="13" spans="1:29" ht="9.1999999999999993" customHeight="1" x14ac:dyDescent="0.25"/>
    <row r="14" spans="1:29" ht="15" customHeight="1" x14ac:dyDescent="0.25">
      <c r="A14" s="125" t="s">
        <v>131</v>
      </c>
      <c r="B14" s="126" t="s">
        <v>132</v>
      </c>
    </row>
    <row r="15" spans="1:29" ht="2.85" customHeight="1" x14ac:dyDescent="0.25">
      <c r="A15" s="125"/>
      <c r="B15" s="126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</row>
    <row r="16" spans="1:29" ht="15" customHeight="1" x14ac:dyDescent="0.25">
      <c r="B16" s="118" t="s">
        <v>145</v>
      </c>
      <c r="H16" s="2743"/>
      <c r="I16" s="2743"/>
      <c r="J16" s="2743"/>
      <c r="K16" s="2743"/>
      <c r="L16" s="2743"/>
    </row>
    <row r="17" spans="1:25" ht="15" customHeight="1" x14ac:dyDescent="0.25">
      <c r="B17" s="118" t="s">
        <v>146</v>
      </c>
      <c r="H17" s="2747" t="s">
        <v>65</v>
      </c>
      <c r="I17" s="2747"/>
    </row>
    <row r="18" spans="1:25" ht="15" customHeight="1" x14ac:dyDescent="0.25">
      <c r="B18" s="118" t="s">
        <v>151</v>
      </c>
      <c r="H18" s="124"/>
      <c r="L18" s="2744">
        <v>1.5</v>
      </c>
      <c r="M18" s="2744"/>
      <c r="N18" s="206"/>
    </row>
    <row r="19" spans="1:25" ht="15" customHeight="1" x14ac:dyDescent="0.25">
      <c r="B19" s="118" t="s">
        <v>147</v>
      </c>
      <c r="H19" s="124"/>
    </row>
    <row r="20" spans="1:25" ht="9.1999999999999993" customHeight="1" x14ac:dyDescent="0.25"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</row>
    <row r="21" spans="1:25" x14ac:dyDescent="0.25">
      <c r="A21" s="125" t="s">
        <v>133</v>
      </c>
      <c r="B21" s="126" t="s">
        <v>134</v>
      </c>
    </row>
    <row r="22" spans="1:25" ht="2.85" customHeight="1" x14ac:dyDescent="0.25">
      <c r="A22" s="125"/>
      <c r="B22" s="126"/>
    </row>
    <row r="23" spans="1:25" x14ac:dyDescent="0.25">
      <c r="A23" s="125"/>
      <c r="B23" s="2746" t="s">
        <v>138</v>
      </c>
      <c r="C23" s="2746"/>
      <c r="D23" s="2746"/>
      <c r="E23" s="2746"/>
      <c r="F23" s="2746"/>
      <c r="G23" s="2746"/>
      <c r="H23" s="2746"/>
      <c r="I23" s="2746"/>
      <c r="J23" s="2746"/>
      <c r="K23" s="2746"/>
      <c r="L23" s="2746"/>
      <c r="M23" s="2746"/>
      <c r="N23" s="2746"/>
      <c r="O23" s="2746"/>
      <c r="P23" s="2746"/>
      <c r="Q23" s="2746"/>
      <c r="R23" s="2746"/>
      <c r="S23" s="2741" t="s">
        <v>104</v>
      </c>
      <c r="T23" s="2741"/>
      <c r="U23" s="2741" t="s">
        <v>68</v>
      </c>
      <c r="V23" s="2741"/>
    </row>
    <row r="24" spans="1:25" x14ac:dyDescent="0.25">
      <c r="A24" s="125"/>
      <c r="B24" s="127" t="s">
        <v>137</v>
      </c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9"/>
      <c r="S24" s="2742" t="s">
        <v>66</v>
      </c>
      <c r="T24" s="2741"/>
      <c r="U24" s="2741">
        <v>1</v>
      </c>
      <c r="V24" s="2741"/>
    </row>
    <row r="25" spans="1:25" x14ac:dyDescent="0.25">
      <c r="A25" s="125"/>
      <c r="B25" s="127" t="s">
        <v>135</v>
      </c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9"/>
      <c r="S25" s="2742" t="s">
        <v>66</v>
      </c>
      <c r="T25" s="2741"/>
      <c r="U25" s="2741">
        <v>2</v>
      </c>
      <c r="V25" s="2741"/>
    </row>
    <row r="26" spans="1:25" x14ac:dyDescent="0.25">
      <c r="A26" s="125"/>
      <c r="B26" s="127" t="s">
        <v>136</v>
      </c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9"/>
      <c r="S26" s="2742" t="s">
        <v>66</v>
      </c>
      <c r="T26" s="2741"/>
      <c r="U26" s="2741">
        <v>3</v>
      </c>
      <c r="V26" s="2741"/>
    </row>
    <row r="27" spans="1:25" x14ac:dyDescent="0.25">
      <c r="A27" s="125"/>
      <c r="B27" s="1534" t="s">
        <v>1044</v>
      </c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9"/>
      <c r="R27" s="129"/>
      <c r="S27" s="2741" t="s">
        <v>139</v>
      </c>
      <c r="T27" s="2741"/>
      <c r="U27" s="2741">
        <v>4</v>
      </c>
      <c r="V27" s="2741"/>
    </row>
    <row r="28" spans="1:25" ht="9.1999999999999993" customHeight="1" x14ac:dyDescent="0.25">
      <c r="A28" s="125"/>
      <c r="R28" s="130"/>
      <c r="S28" s="130"/>
      <c r="T28" s="130"/>
      <c r="U28" s="130"/>
    </row>
    <row r="29" spans="1:25" ht="15.75" hidden="1" thickBot="1" x14ac:dyDescent="0.3"/>
    <row r="30" spans="1:25" hidden="1" x14ac:dyDescent="0.25">
      <c r="C30" s="1584"/>
      <c r="D30" s="1584"/>
      <c r="E30" s="1584"/>
      <c r="F30"/>
      <c r="G30" s="2748" t="s">
        <v>117</v>
      </c>
      <c r="H30" s="2749"/>
      <c r="I30" s="2750"/>
      <c r="J30" s="2756" t="s">
        <v>171</v>
      </c>
      <c r="K30" s="2749"/>
      <c r="L30" s="2749"/>
      <c r="M30" s="2750"/>
      <c r="N30" s="2756" t="s">
        <v>97</v>
      </c>
      <c r="O30" s="2749"/>
      <c r="P30" s="2749"/>
      <c r="Q30" s="2750"/>
      <c r="R30" s="2756" t="s">
        <v>95</v>
      </c>
      <c r="S30" s="2749"/>
      <c r="T30" s="2749"/>
      <c r="U30" s="2750"/>
      <c r="V30" s="2756" t="s">
        <v>96</v>
      </c>
      <c r="W30" s="2749"/>
      <c r="X30" s="2749"/>
      <c r="Y30" s="2757"/>
    </row>
    <row r="31" spans="1:25" ht="15.75" hidden="1" thickBot="1" x14ac:dyDescent="0.3">
      <c r="C31" s="1584"/>
      <c r="D31" s="1584"/>
      <c r="E31" s="1584"/>
      <c r="F31" s="1583"/>
      <c r="G31" s="2751" t="s">
        <v>118</v>
      </c>
      <c r="H31" s="2752"/>
      <c r="I31" s="2753"/>
      <c r="J31" s="2754">
        <f>IF(H17="SA",IF(L18=1,'F-LSCD-002 (Dosimetría)'!Q121,IF(L18=1.5,'F-LSCD-002 (Dosimetría)'!Q130,IF(L18=2,'F-LSCD-002 (Dosimetría)'!Q144,IF(L18=2.5,'F-LSCD-002 (Dosimetría)'!Q153,IF(L18=3,'F-LSCD-002 (Dosimetría)'!Q162,"error dist irrad"))))),IF(H17="V",IF(L18=2,'F-LSCD-002 (Dosimetría)'!DC144,IF(L18=2.5,'F-LSCD-002 (Dosimetría)'!DC153,"error dist irrad")),IF(H17="III",IF(L18=2,'F-LSCD-002 (Dosimetría)'!BS144,IF(L18=2.5,'F-LSCD-002 (Dosimetría)'!BS153,"error dist irrad")),IF(H17="III+V",IF(L18=2,'F-LSCD-002 (Dosimetría)'!TS144,IF(L18=2.5,'F-LSCD-002 (Dosimetría)'!TS153,"error dist irrad")),IF(H17="II+V",IF(L18=2,'F-LSCD-002 (Dosimetría)'!PO144,IF(L18=2.5,'F-LSCD-002 (Dosimetría)'!PO153,"error dist irrad")),IF(H17="II+III",IF(L18=2,'F-LSCD-002 (Dosimetría)'!OE144,IF(L18=2.5,'F-LSCD-002 (Dosimetría)'!OE153,"error dist irrad")),IF(H17="IV",IF(L18=2,'F-LSCD-002 (Dosimetría)'!CK144,IF(L18=2.5,'F-LSCD-002 (Dosimetría)'!CK153,"error dist irrad")),IF(H17="IV+V",IF(L18=2,'F-LSCD-002 (Dosimetría)'!VC144,IF(L18=2.5,'F-LSCD-002 (Dosimetría)'!VC153,"error dist irrad")),IF(H17="III+IV",IF(L18=2,'F-LSCD-002 (Dosimetría)'!TA144,IF(L18=2.5,'F-LSCD-002 (Dosimetría)'!TA153,"error dist irrad")),IF(H17="I+IV",IF(L18=2,'F-LSCD-002 (Dosimetría)'!FE144,IF(L18=2.5,'F-LSCD-002 (Dosimetría)'!FE153,"error dist irrad")),"elija atenuador"))))))))))</f>
        <v>1.5762510536855907E-2</v>
      </c>
      <c r="K31" s="2752"/>
      <c r="L31" s="2752"/>
      <c r="M31" s="2753"/>
      <c r="N31" s="2754">
        <f>IF(H17="SA",IF(L18=1,'F-LSCD-002 (Dosimetría)'!P121,IF(L18=1.5,'F-LSCD-002 (Dosimetría)'!P130,IF(L18=2,'F-LSCD-002 (Dosimetría)'!P144,IF(L18=2.5,'F-LSCD-002 (Dosimetría)'!P153,IF(L18=3,'F-LSCD-002 (Dosimetría)'!P162,"error dist irrad"))))),IF(H17="V",IF(L18=2,'F-LSCD-002 (Dosimetría)'!DB144,IF(L18=2.5,'F-LSCD-002 (Dosimetría)'!DB153,"error dist irrad")),IF(H17="III",IF(L18=2,'F-LSCD-002 (Dosimetría)'!BR144,IF(L18=2.5,'F-LSCD-002 (Dosimetría)'!BR153,"error dist irrad")),IF(H17="III+V",IF(L18=2,'F-LSCD-002 (Dosimetría)'!TR144,IF(L18=2.5,'F-LSCD-002 (Dosimetría)'!TR153,"error dist irrad")),IF(H17="II+V",IF(L18=2,'F-LSCD-002 (Dosimetría)'!PN144,IF(L18=2.5,'F-LSCD-002 (Dosimetría)'!PN153,"error dist irrad")),IF(H17="II+III",IF(L18=2,'F-LSCD-002 (Dosimetría)'!OD144,IF(L18=2.5,'F-LSCD-002 (Dosimetría)'!OD153,"error dist irrad")),IF(H17="IV",IF(L18=2,'F-LSCD-002 (Dosimetría)'!CJ144,IF(L18=2.5,'F-LSCD-002 (Dosimetría)'!CJ153,"error dist irrad")),IF(H17="IV+V",IF(L18=2,'F-LSCD-002 (Dosimetría)'!VB144,IF(L18=2.5,'F-LSCD-002 (Dosimetría)'!VB153,"error dist irrad")),IF(H17="III+IV",IF(L18=2,'F-LSCD-002 (Dosimetría)'!SZ144,IF(L18=2.5,'F-LSCD-002 (Dosimetría)'!SZ153,"error dist irrad")),IF(H17="I+IV",IF(L18=2,'F-LSCD-002 (Dosimetría)'!FD144,IF(L18=2.5,'F-LSCD-002 (Dosimetría)'!FD153,"error dist irrad")),"elija atenuador"))))))))))</f>
        <v>1.563224185473313E-2</v>
      </c>
      <c r="O31" s="2752"/>
      <c r="P31" s="2752"/>
      <c r="Q31" s="2753"/>
      <c r="R31" s="2754">
        <f>IF(H17="SA",IF(L18=1,'F-LSCD-002 (Dosimetría)'!R121,IF(L18=1.5,'F-LSCD-002 (Dosimetría)'!R130,IF(L18=2,'F-LSCD-002 (Dosimetría)'!R144,IF(L18=2.5,'F-LSCD-002 (Dosimetría)'!R153,IF(L18=3,'F-LSCD-002 (Dosimetría)'!R162,"error dist irrad"))))),IF(H17="V",IF(L18=2,'F-LSCD-002 (Dosimetría)'!DD144,IF(L18=2.5,'F-LSCD-002 (Dosimetría)'!DD153,"error dist irrad")),IF(H17="III",IF(L18=2,'F-LSCD-002 (Dosimetría)'!BT144,IF(L18=2.5,'F-LSCD-002 (Dosimetría)'!BT153,"error dist irrad")),IF(H17="III+V",IF(L18=2,'F-LSCD-002 (Dosimetría)'!TT144,IF(L18=2.5,'F-LSCD-002 (Dosimetría)'!TT153,"error dist irrad")),IF(H17="II+V",IF(L18=2,'F-LSCD-002 (Dosimetría)'!PP144,IF(L18=2.5,'F-LSCD-002 (Dosimetría)'!PP153,"error dist irrad")),IF(H17="II+III",IF(L18=2,'F-LSCD-002 (Dosimetría)'!OF144,IF(L18=2.5,'F-LSCD-002 (Dosimetría)'!OF153,"error dist irrad")),IF(H17="IV",IF(L18=2,'F-LSCD-002 (Dosimetría)'!CL144,IF(L18=2.5,'F-LSCD-002 (Dosimetría)'!CL153,"error dist irrad")),IF(H17="IV+V",IF(L18=2,'F-LSCD-002 (Dosimetría)'!VD144,IF(L18=2.5,'F-LSCD-002 (Dosimetría)'!VD153,"error dist irrad")),IF(H17="III+IV",IF(L18=2,'F-LSCD-002 (Dosimetría)'!TB144,IF(L18=2.5,'F-LSCD-002 (Dosimetría)'!TB153,"error dist irrad")),IF(H17="I+IV",IF(L18=2,'F-LSCD-002 (Dosimetría)'!FF144,IF(L18=2.5,'F-LSCD-002 (Dosimetría)'!FF153,"error dist irrad")),"elija atenuador"))))))))))</f>
        <v>1.5762510536855907E-2</v>
      </c>
      <c r="S31" s="2752"/>
      <c r="T31" s="2752"/>
      <c r="U31" s="2753"/>
      <c r="V31" s="2754">
        <f>IF(H17="SA",IF(L18=1,'F-LSCD-002 (Dosimetría)'!S121,IF(L18=1.5,'F-LSCD-002 (Dosimetría)'!S130,IF(L18=2,'F-LSCD-002 (Dosimetría)'!S144,IF(L18=2.5,'F-LSCD-002 (Dosimetría)'!S153,IF(L18=3,'F-LSCD-002 (Dosimetría)'!S162,"error dist irrad"))))),IF(H17="V",IF(L18=2,'F-LSCD-002 (Dosimetría)'!DE144,IF(L18=2.5,'F-LSCD-002 (Dosimetría)'!DE153,"error dist irrad")),IF(H17="III",IF(L18=2,'F-LSCD-002 (Dosimetría)'!BU144,IF(L18=2.5,'F-LSCD-002 (Dosimetría)'!BU153,"error dist irrad")),IF(H17="III+V",IF(L18=2,'F-LSCD-002 (Dosimetría)'!TU144,IF(L18=2.5,'F-LSCD-002 (Dosimetría)'!TU153,"error dist irrad")),IF(H17="II+V",IF(L18=2,'F-LSCD-002 (Dosimetría)'!PQ144,IF(L18=2.5,'F-LSCD-002 (Dosimetría)'!PQ153,"error dist irrad")),IF(H17="II+III",IF(L18=2,'F-LSCD-002 (Dosimetría)'!OG144,IF(L18=2.5,'F-LSCD-002 (Dosimetría)'!OG153,"error dist irrad")),IF(H17="IV",IF(L18=2,'F-LSCD-002 (Dosimetría)'!CM144,IF(L18=2.5,'F-LSCD-002 (Dosimetría)'!CM153,"error dist irrad")),IF(H17="IV+V",IF(L18=2,'F-LSCD-002 (Dosimetría)'!VE144,IF(L18=2.5,'F-LSCD-002 (Dosimetría)'!VE153,"error dist irrad")),IF(H17="III+IV",IF(L18=2,'F-LSCD-002 (Dosimetría)'!TC144,IF(L18=2.5,'F-LSCD-002 (Dosimetría)'!TC153,"error dist irrad")),IF(H17="I+IV",IF(L18=2,'F-LSCD-002 (Dosimetría)'!FG144,IF(L18=2.5,'F-LSCD-002 (Dosimetría)'!FG153,"error dist irrad")),"elija atenuador"))))))))))</f>
        <v>1.6283585265347008E-2</v>
      </c>
      <c r="W31" s="2752"/>
      <c r="X31" s="2752"/>
      <c r="Y31" s="2755"/>
    </row>
    <row r="32" spans="1:25" hidden="1" x14ac:dyDescent="0.25">
      <c r="C32" s="131"/>
      <c r="D32" s="131"/>
      <c r="E32" s="131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</row>
    <row r="33" spans="1:29" ht="17.25" x14ac:dyDescent="0.25">
      <c r="B33" s="161" t="s">
        <v>148</v>
      </c>
      <c r="C33" s="162"/>
      <c r="D33" s="162"/>
      <c r="E33" s="162"/>
      <c r="F33" s="162"/>
      <c r="G33" s="162"/>
      <c r="H33" s="162"/>
      <c r="I33" s="162"/>
      <c r="J33" s="162"/>
      <c r="K33" s="162"/>
      <c r="L33" s="204">
        <v>2</v>
      </c>
      <c r="M33" s="118" t="s">
        <v>149</v>
      </c>
      <c r="O33" s="132"/>
      <c r="P33" s="132"/>
      <c r="Q33" s="132"/>
      <c r="R33" s="132"/>
      <c r="S33" s="132"/>
      <c r="T33" s="132"/>
      <c r="U33" s="132"/>
      <c r="V33" s="132"/>
      <c r="W33" s="132"/>
      <c r="Y33" s="132"/>
    </row>
    <row r="34" spans="1:29" ht="9.1999999999999993" customHeight="1" x14ac:dyDescent="0.25">
      <c r="A34" s="125"/>
      <c r="R34" s="130"/>
      <c r="S34" s="130"/>
      <c r="T34" s="130"/>
      <c r="U34" s="130"/>
    </row>
    <row r="35" spans="1:29" x14ac:dyDescent="0.25">
      <c r="A35" s="125" t="s">
        <v>140</v>
      </c>
      <c r="B35" s="126" t="s">
        <v>158</v>
      </c>
      <c r="R35" s="130"/>
      <c r="S35" s="130"/>
      <c r="T35" s="130"/>
      <c r="U35" s="130"/>
    </row>
    <row r="36" spans="1:29" ht="2.85" customHeight="1" x14ac:dyDescent="0.25">
      <c r="A36" s="125"/>
      <c r="B36" s="126"/>
      <c r="R36" s="130"/>
      <c r="S36" s="130"/>
      <c r="T36" s="130"/>
      <c r="U36" s="130"/>
    </row>
    <row r="37" spans="1:29" x14ac:dyDescent="0.25">
      <c r="A37" s="125"/>
      <c r="B37" s="118" t="s">
        <v>159</v>
      </c>
      <c r="R37" s="130"/>
      <c r="S37" s="130"/>
      <c r="T37" s="130"/>
      <c r="U37" s="130"/>
    </row>
    <row r="38" spans="1:29" ht="9.1999999999999993" customHeight="1" x14ac:dyDescent="0.25">
      <c r="A38" s="133"/>
      <c r="B38" s="126"/>
      <c r="R38" s="130"/>
      <c r="S38" s="130"/>
      <c r="T38" s="130"/>
      <c r="U38" s="130"/>
    </row>
    <row r="39" spans="1:29" x14ac:dyDescent="0.25">
      <c r="A39" s="133" t="s">
        <v>160</v>
      </c>
      <c r="B39" s="118" t="s">
        <v>161</v>
      </c>
      <c r="R39" s="130"/>
      <c r="S39" s="130"/>
      <c r="T39" s="130"/>
      <c r="U39" s="130"/>
    </row>
    <row r="40" spans="1:29" ht="9.1999999999999993" customHeight="1" thickBot="1" x14ac:dyDescent="0.3">
      <c r="A40" s="133"/>
      <c r="R40" s="130"/>
      <c r="S40" s="130"/>
      <c r="T40" s="130"/>
      <c r="U40" s="130"/>
    </row>
    <row r="41" spans="1:29" ht="15.75" thickBot="1" x14ac:dyDescent="0.3">
      <c r="A41" s="118" t="s">
        <v>67</v>
      </c>
      <c r="E41" s="205">
        <v>30</v>
      </c>
      <c r="F41" s="160" t="str">
        <f>IF(L33=1,"mSv",IF(L33=2,"mSv",IF(L33=3,"mSv",IF(L33=4,"mGy","error"))))</f>
        <v>mSv</v>
      </c>
      <c r="G41" s="134" t="s">
        <v>162</v>
      </c>
      <c r="H41" s="2781" t="str">
        <f>IF(L33=1,"H*(10)",IF(L33=2,"Hp(10)",IF(L33=3,"Hp(0.07)",IF(L33=4,"D(10)","error"))))</f>
        <v>Hp(10)</v>
      </c>
      <c r="I41" s="2782"/>
      <c r="J41" s="2783"/>
      <c r="K41" s="118" t="s">
        <v>165</v>
      </c>
      <c r="T41" s="2761">
        <f>IF(L33=1,E41*0.001/(N31/60),IF(L33=2,E41*0.001/(R31/60),IF(L33=3,E41*0.001/(V31/60),IF(L33=4,E41*0.001/(J31/60),"error"))))</f>
        <v>114.19500693060532</v>
      </c>
      <c r="U41" s="2762"/>
      <c r="V41" s="2762"/>
      <c r="W41" s="135" t="s">
        <v>13</v>
      </c>
      <c r="X41" s="135" t="s">
        <v>74</v>
      </c>
      <c r="Y41" s="136" t="str">
        <f>(INT(T41/60)&amp;"h "&amp;INT(MOD(T41,60))&amp;"min "&amp;INT(MOD(MOD(T41,60),1)*60))&amp;"seg"</f>
        <v>1h 54min 11seg</v>
      </c>
      <c r="Z41" s="137"/>
      <c r="AA41" s="138"/>
      <c r="AB41" s="137"/>
      <c r="AC41" s="139"/>
    </row>
    <row r="42" spans="1:29" ht="2.85" customHeight="1" x14ac:dyDescent="0.25">
      <c r="E42" s="130"/>
      <c r="F42" s="134"/>
      <c r="G42" s="134"/>
      <c r="H42" s="140"/>
      <c r="I42" s="140"/>
      <c r="J42" s="140"/>
      <c r="U42" s="141"/>
      <c r="V42" s="141"/>
      <c r="W42" s="141"/>
      <c r="X42" s="141"/>
      <c r="Y42" s="141"/>
      <c r="Z42" s="142"/>
      <c r="AB42" s="143"/>
    </row>
    <row r="43" spans="1:29" x14ac:dyDescent="0.25">
      <c r="B43" s="118" t="s">
        <v>111</v>
      </c>
      <c r="E43" s="130"/>
      <c r="F43" s="134"/>
      <c r="G43" s="134"/>
      <c r="H43" s="140"/>
      <c r="I43" s="140"/>
      <c r="J43" s="140"/>
      <c r="U43" s="141"/>
      <c r="V43" s="141"/>
      <c r="W43" s="141"/>
      <c r="X43" s="141"/>
      <c r="Y43" s="141"/>
      <c r="Z43" s="142"/>
      <c r="AB43" s="143"/>
    </row>
    <row r="44" spans="1:29" ht="9.1999999999999993" customHeight="1" thickBot="1" x14ac:dyDescent="0.3">
      <c r="E44" s="130"/>
      <c r="F44" s="134"/>
      <c r="G44" s="134"/>
      <c r="H44" s="140"/>
      <c r="I44" s="140"/>
      <c r="J44" s="140"/>
      <c r="U44" s="141"/>
      <c r="V44" s="141"/>
      <c r="W44" s="141"/>
      <c r="X44" s="141"/>
      <c r="Y44" s="141"/>
      <c r="Z44" s="142"/>
      <c r="AB44" s="143"/>
    </row>
    <row r="45" spans="1:29" ht="15.75" thickBot="1" x14ac:dyDescent="0.3">
      <c r="E45" s="130"/>
      <c r="F45" s="134"/>
      <c r="G45" s="134"/>
      <c r="H45" s="140"/>
      <c r="I45" s="140"/>
      <c r="J45" s="140"/>
      <c r="L45" s="2763" t="s">
        <v>112</v>
      </c>
      <c r="M45" s="2764"/>
      <c r="N45" s="2764"/>
      <c r="O45" s="144" t="s">
        <v>104</v>
      </c>
      <c r="P45" s="144"/>
      <c r="Q45" s="2764" t="s">
        <v>113</v>
      </c>
      <c r="R45" s="2764"/>
      <c r="S45" s="2765"/>
      <c r="U45" s="141"/>
      <c r="V45" s="141"/>
      <c r="W45" s="141"/>
      <c r="X45" s="141"/>
      <c r="Y45" s="141"/>
      <c r="Z45" s="142"/>
      <c r="AB45" s="143"/>
    </row>
    <row r="46" spans="1:29" x14ac:dyDescent="0.25">
      <c r="E46" s="130"/>
      <c r="F46" s="134"/>
      <c r="G46" s="134"/>
      <c r="H46" s="140"/>
      <c r="I46" s="140"/>
      <c r="J46" s="140"/>
      <c r="L46" s="2766" t="s">
        <v>114</v>
      </c>
      <c r="M46" s="2767"/>
      <c r="N46" s="2767"/>
      <c r="O46" s="2767" t="s">
        <v>66</v>
      </c>
      <c r="P46" s="2767"/>
      <c r="Q46" s="2768">
        <f>N31*1000/60*T41</f>
        <v>29.752066115702466</v>
      </c>
      <c r="R46" s="2768"/>
      <c r="S46" s="2769"/>
      <c r="U46" s="141"/>
      <c r="V46" s="141"/>
      <c r="W46" s="141"/>
      <c r="X46" s="141"/>
      <c r="Y46" s="141"/>
      <c r="Z46" s="142"/>
      <c r="AB46" s="143"/>
    </row>
    <row r="47" spans="1:29" x14ac:dyDescent="0.25">
      <c r="E47" s="130"/>
      <c r="F47" s="134"/>
      <c r="G47" s="134"/>
      <c r="H47" s="140"/>
      <c r="I47" s="140"/>
      <c r="J47" s="140"/>
      <c r="L47" s="2760" t="s">
        <v>115</v>
      </c>
      <c r="M47" s="2741"/>
      <c r="N47" s="2741"/>
      <c r="O47" s="2741" t="s">
        <v>66</v>
      </c>
      <c r="P47" s="2741"/>
      <c r="Q47" s="2758">
        <f>R31*1000/60*T41</f>
        <v>29.999999999999993</v>
      </c>
      <c r="R47" s="2758"/>
      <c r="S47" s="2759"/>
      <c r="U47" s="141"/>
      <c r="V47" s="141"/>
      <c r="W47" s="141"/>
      <c r="X47" s="141"/>
      <c r="Y47" s="141"/>
      <c r="Z47" s="142"/>
      <c r="AB47" s="143"/>
    </row>
    <row r="48" spans="1:29" x14ac:dyDescent="0.25">
      <c r="L48" s="2760" t="s">
        <v>141</v>
      </c>
      <c r="M48" s="2741"/>
      <c r="N48" s="2741"/>
      <c r="O48" s="2741" t="s">
        <v>66</v>
      </c>
      <c r="P48" s="2741"/>
      <c r="Q48" s="2758">
        <f>V31*1000/60*T41</f>
        <v>30.99173553719007</v>
      </c>
      <c r="R48" s="2758"/>
      <c r="S48" s="2759"/>
    </row>
    <row r="49" spans="1:19" ht="15" customHeight="1" thickBot="1" x14ac:dyDescent="0.3">
      <c r="L49" s="2775" t="s">
        <v>142</v>
      </c>
      <c r="M49" s="2776"/>
      <c r="N49" s="2776"/>
      <c r="O49" s="2776" t="s">
        <v>139</v>
      </c>
      <c r="P49" s="2776"/>
      <c r="Q49" s="2777">
        <f>J31*1000/60*T41</f>
        <v>29.999999999999993</v>
      </c>
      <c r="R49" s="2777"/>
      <c r="S49" s="2778"/>
    </row>
    <row r="50" spans="1:19" ht="9.1999999999999993" customHeight="1" x14ac:dyDescent="0.25">
      <c r="L50" s="130"/>
      <c r="M50" s="130"/>
      <c r="N50" s="130"/>
      <c r="O50" s="130"/>
      <c r="P50" s="130"/>
      <c r="Q50" s="141"/>
      <c r="R50" s="141"/>
      <c r="S50" s="141"/>
    </row>
    <row r="51" spans="1:19" ht="15" customHeight="1" x14ac:dyDescent="0.25">
      <c r="A51" s="133" t="s">
        <v>160</v>
      </c>
      <c r="B51" s="118" t="s">
        <v>163</v>
      </c>
      <c r="L51" s="130"/>
      <c r="M51" s="130"/>
      <c r="N51" s="130"/>
      <c r="O51" s="130"/>
      <c r="P51" s="130"/>
      <c r="Q51" s="141"/>
      <c r="R51" s="141"/>
      <c r="S51" s="141"/>
    </row>
    <row r="52" spans="1:19" ht="2.85" customHeight="1" thickBot="1" x14ac:dyDescent="0.3">
      <c r="A52" s="133"/>
      <c r="L52" s="130"/>
      <c r="M52" s="130"/>
      <c r="N52" s="130"/>
      <c r="O52" s="130"/>
      <c r="P52" s="130"/>
      <c r="Q52" s="141"/>
      <c r="R52" s="141"/>
      <c r="S52" s="141"/>
    </row>
    <row r="53" spans="1:19" ht="15" customHeight="1" thickBot="1" x14ac:dyDescent="0.3">
      <c r="A53" s="133"/>
      <c r="B53" s="118" t="s">
        <v>164</v>
      </c>
      <c r="J53" s="2784"/>
      <c r="K53" s="2785"/>
      <c r="L53" s="2786" t="s">
        <v>13</v>
      </c>
      <c r="M53" s="2787"/>
      <c r="N53" s="142" t="s">
        <v>166</v>
      </c>
      <c r="O53" s="130"/>
      <c r="P53" s="130"/>
      <c r="Q53" s="141"/>
      <c r="R53" s="141"/>
      <c r="S53" s="141"/>
    </row>
    <row r="54" spans="1:19" ht="9.1999999999999993" customHeight="1" thickBot="1" x14ac:dyDescent="0.3"/>
    <row r="55" spans="1:19" ht="15.75" thickBot="1" x14ac:dyDescent="0.3">
      <c r="L55" s="2763" t="s">
        <v>112</v>
      </c>
      <c r="M55" s="2764"/>
      <c r="N55" s="2764"/>
      <c r="O55" s="144" t="s">
        <v>104</v>
      </c>
      <c r="P55" s="144"/>
      <c r="Q55" s="2764" t="s">
        <v>113</v>
      </c>
      <c r="R55" s="2764"/>
      <c r="S55" s="2765"/>
    </row>
    <row r="56" spans="1:19" x14ac:dyDescent="0.25">
      <c r="L56" s="2766" t="s">
        <v>114</v>
      </c>
      <c r="M56" s="2767"/>
      <c r="N56" s="2767"/>
      <c r="O56" s="2767" t="s">
        <v>66</v>
      </c>
      <c r="P56" s="2767"/>
      <c r="Q56" s="2779">
        <f>IF(J53="-","-",N31*1000/60*J53)</f>
        <v>0</v>
      </c>
      <c r="R56" s="2779"/>
      <c r="S56" s="2780"/>
    </row>
    <row r="57" spans="1:19" x14ac:dyDescent="0.25">
      <c r="L57" s="2760" t="s">
        <v>115</v>
      </c>
      <c r="M57" s="2741"/>
      <c r="N57" s="2741"/>
      <c r="O57" s="2741" t="s">
        <v>66</v>
      </c>
      <c r="P57" s="2741"/>
      <c r="Q57" s="2773">
        <f>IF(J53="-","-",R31*1000/60*J53)</f>
        <v>0</v>
      </c>
      <c r="R57" s="2773"/>
      <c r="S57" s="2774"/>
    </row>
    <row r="58" spans="1:19" x14ac:dyDescent="0.25">
      <c r="L58" s="2760" t="s">
        <v>141</v>
      </c>
      <c r="M58" s="2741"/>
      <c r="N58" s="2741"/>
      <c r="O58" s="2741" t="s">
        <v>66</v>
      </c>
      <c r="P58" s="2741"/>
      <c r="Q58" s="2773">
        <f>IF(J53="-","-",V31*1000/60*J53)</f>
        <v>0</v>
      </c>
      <c r="R58" s="2773"/>
      <c r="S58" s="2774"/>
    </row>
    <row r="59" spans="1:19" ht="15.75" thickBot="1" x14ac:dyDescent="0.3">
      <c r="L59" s="2775" t="s">
        <v>142</v>
      </c>
      <c r="M59" s="2776"/>
      <c r="N59" s="2776"/>
      <c r="O59" s="2776" t="s">
        <v>139</v>
      </c>
      <c r="P59" s="2776"/>
      <c r="Q59" s="2770">
        <f>IF(J53="-","-",J31*1000/60*J53)</f>
        <v>0</v>
      </c>
      <c r="R59" s="2770"/>
      <c r="S59" s="2771"/>
    </row>
    <row r="64" spans="1:19" x14ac:dyDescent="0.25">
      <c r="N64" s="118" t="s">
        <v>1296</v>
      </c>
    </row>
    <row r="65" spans="16:16" x14ac:dyDescent="0.25">
      <c r="P65" t="s">
        <v>1297</v>
      </c>
    </row>
  </sheetData>
  <mergeCells count="59">
    <mergeCell ref="H41:J41"/>
    <mergeCell ref="J53:K53"/>
    <mergeCell ref="L53:M53"/>
    <mergeCell ref="L59:N59"/>
    <mergeCell ref="O59:P59"/>
    <mergeCell ref="O56:P56"/>
    <mergeCell ref="O47:P47"/>
    <mergeCell ref="Q59:S59"/>
    <mergeCell ref="H11:K11"/>
    <mergeCell ref="L57:N57"/>
    <mergeCell ref="O57:P57"/>
    <mergeCell ref="Q57:S57"/>
    <mergeCell ref="L58:N58"/>
    <mergeCell ref="O58:P58"/>
    <mergeCell ref="Q58:S58"/>
    <mergeCell ref="L49:N49"/>
    <mergeCell ref="O49:P49"/>
    <mergeCell ref="Q49:S49"/>
    <mergeCell ref="L55:N55"/>
    <mergeCell ref="Q55:S55"/>
    <mergeCell ref="L56:N56"/>
    <mergeCell ref="Q56:S56"/>
    <mergeCell ref="L47:N47"/>
    <mergeCell ref="Q47:S47"/>
    <mergeCell ref="L48:N48"/>
    <mergeCell ref="O48:P48"/>
    <mergeCell ref="Q48:S48"/>
    <mergeCell ref="T41:V41"/>
    <mergeCell ref="L45:N45"/>
    <mergeCell ref="Q45:S45"/>
    <mergeCell ref="L46:N46"/>
    <mergeCell ref="O46:P46"/>
    <mergeCell ref="Q46:S46"/>
    <mergeCell ref="G30:I30"/>
    <mergeCell ref="G31:I31"/>
    <mergeCell ref="S25:T25"/>
    <mergeCell ref="U25:V25"/>
    <mergeCell ref="S26:T26"/>
    <mergeCell ref="U26:V26"/>
    <mergeCell ref="S27:T27"/>
    <mergeCell ref="U27:V27"/>
    <mergeCell ref="V31:Y31"/>
    <mergeCell ref="J30:M30"/>
    <mergeCell ref="N30:Q30"/>
    <mergeCell ref="R30:U30"/>
    <mergeCell ref="V30:Y30"/>
    <mergeCell ref="J31:M31"/>
    <mergeCell ref="N31:Q31"/>
    <mergeCell ref="R31:U31"/>
    <mergeCell ref="H1:V4"/>
    <mergeCell ref="S23:T23"/>
    <mergeCell ref="U23:V23"/>
    <mergeCell ref="S24:T24"/>
    <mergeCell ref="U24:V24"/>
    <mergeCell ref="H16:L16"/>
    <mergeCell ref="L18:M18"/>
    <mergeCell ref="H8:AC8"/>
    <mergeCell ref="B23:R23"/>
    <mergeCell ref="H17:I17"/>
  </mergeCells>
  <pageMargins left="0.32291666666666669" right="0.41666666666666669" top="0.23958333333333334" bottom="0.12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300-000000000000}">
          <x14:formula1>
            <xm:f>'Datos varios'!$B$142:$B$151</xm:f>
          </x14:formula1>
          <xm:sqref>H17</xm:sqref>
        </x14:dataValidation>
        <x14:dataValidation type="list" allowBlank="1" showInputMessage="1" showErrorMessage="1" xr:uid="{00000000-0002-0000-1300-000001000000}">
          <x14:formula1>
            <xm:f>IF(L33=4,IF(H17="SA",'Datos varios'!B154:B158,'Datos varios'!B156:B157),IF(H17="SA",'Datos varios'!B155:B158,'Datos varios'!B156:B157))</xm:f>
          </x14:formula1>
          <xm:sqref>L18:M18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H55"/>
  <sheetViews>
    <sheetView view="pageLayout" topLeftCell="A19" zoomScaleNormal="100" workbookViewId="0">
      <selection activeCell="G32" sqref="G32"/>
    </sheetView>
  </sheetViews>
  <sheetFormatPr baseColWidth="10" defaultColWidth="11.42578125" defaultRowHeight="15" x14ac:dyDescent="0.25"/>
  <cols>
    <col min="1" max="1" width="5.140625" style="87" customWidth="1"/>
    <col min="2" max="2" width="11.42578125" style="87"/>
    <col min="3" max="3" width="9.85546875" style="87" customWidth="1"/>
    <col min="4" max="4" width="11.42578125" style="87"/>
    <col min="5" max="5" width="8.85546875" style="87" customWidth="1"/>
    <col min="6" max="6" width="14.85546875" style="87" customWidth="1"/>
    <col min="7" max="7" width="11.42578125" style="87"/>
    <col min="8" max="8" width="12.42578125" style="87" customWidth="1"/>
    <col min="9" max="16384" width="11.42578125" style="87"/>
  </cols>
  <sheetData>
    <row r="1" spans="1:8" x14ac:dyDescent="0.25">
      <c r="A1" s="145"/>
      <c r="B1" s="146"/>
      <c r="C1" s="147"/>
      <c r="D1" s="2340" t="s">
        <v>172</v>
      </c>
      <c r="E1" s="2340"/>
      <c r="F1" s="2341"/>
      <c r="G1" s="148" t="s">
        <v>68</v>
      </c>
      <c r="H1" s="149" t="s">
        <v>173</v>
      </c>
    </row>
    <row r="2" spans="1:8" x14ac:dyDescent="0.25">
      <c r="A2" s="150"/>
      <c r="C2" s="151"/>
      <c r="D2" s="2394"/>
      <c r="E2" s="2394"/>
      <c r="F2" s="2344"/>
      <c r="G2" s="152" t="s">
        <v>69</v>
      </c>
      <c r="H2" s="153" t="s">
        <v>1231</v>
      </c>
    </row>
    <row r="3" spans="1:8" x14ac:dyDescent="0.25">
      <c r="A3" s="150"/>
      <c r="C3" s="151"/>
      <c r="D3" s="2394"/>
      <c r="E3" s="2394"/>
      <c r="F3" s="2344"/>
      <c r="G3" s="152" t="s">
        <v>70</v>
      </c>
      <c r="H3" s="153" t="s">
        <v>72</v>
      </c>
    </row>
    <row r="4" spans="1:8" x14ac:dyDescent="0.25">
      <c r="A4" s="154"/>
      <c r="B4" s="155"/>
      <c r="C4" s="156"/>
      <c r="D4" s="2346"/>
      <c r="E4" s="2346"/>
      <c r="F4" s="2347"/>
      <c r="G4" s="157" t="s">
        <v>71</v>
      </c>
      <c r="H4" s="158" t="s">
        <v>73</v>
      </c>
    </row>
    <row r="5" spans="1:8" ht="11.25" customHeight="1" x14ac:dyDescent="0.25">
      <c r="D5" s="67"/>
      <c r="E5" s="67"/>
      <c r="F5" s="67"/>
      <c r="G5" s="217"/>
      <c r="H5" s="217"/>
    </row>
    <row r="6" spans="1:8" ht="11.25" customHeight="1" x14ac:dyDescent="0.25">
      <c r="B6" s="2793" t="s">
        <v>1230</v>
      </c>
      <c r="C6" s="2794"/>
      <c r="D6" s="2795"/>
      <c r="E6" s="67"/>
      <c r="F6" s="67"/>
      <c r="G6" s="217"/>
      <c r="H6" s="217"/>
    </row>
    <row r="7" spans="1:8" x14ac:dyDescent="0.25">
      <c r="B7" s="2796" t="s">
        <v>175</v>
      </c>
      <c r="C7" s="2796"/>
      <c r="D7" s="2796"/>
      <c r="E7" s="2797" t="s">
        <v>1256</v>
      </c>
      <c r="F7" s="2790"/>
      <c r="G7" s="2790"/>
      <c r="H7" s="2791"/>
    </row>
    <row r="8" spans="1:8" x14ac:dyDescent="0.25">
      <c r="B8" s="2796" t="s">
        <v>176</v>
      </c>
      <c r="C8" s="2796"/>
      <c r="D8" s="2796"/>
      <c r="E8" s="2798" t="s">
        <v>1257</v>
      </c>
      <c r="F8" s="2799"/>
      <c r="G8" s="2799"/>
      <c r="H8" s="2800"/>
    </row>
    <row r="9" spans="1:8" ht="15" customHeight="1" x14ac:dyDescent="0.25">
      <c r="B9" s="2796" t="s">
        <v>177</v>
      </c>
      <c r="C9" s="2796"/>
      <c r="D9" s="2796"/>
      <c r="E9" s="2798" t="s">
        <v>1258</v>
      </c>
      <c r="F9" s="2799"/>
      <c r="G9" s="2799"/>
      <c r="H9" s="2800"/>
    </row>
    <row r="10" spans="1:8" x14ac:dyDescent="0.25">
      <c r="B10" s="2801" t="s">
        <v>178</v>
      </c>
      <c r="C10" s="2802"/>
      <c r="D10" s="2803"/>
      <c r="E10" s="2798" t="s">
        <v>1259</v>
      </c>
      <c r="F10" s="2799"/>
      <c r="G10" s="2799"/>
      <c r="H10" s="2800"/>
    </row>
    <row r="11" spans="1:8" x14ac:dyDescent="0.25">
      <c r="B11" s="2801" t="s">
        <v>69</v>
      </c>
      <c r="C11" s="2802"/>
      <c r="D11" s="2803"/>
      <c r="E11" s="2804">
        <v>43802</v>
      </c>
      <c r="F11" s="2805"/>
      <c r="G11" s="2805"/>
      <c r="H11" s="2806"/>
    </row>
    <row r="12" spans="1:8" x14ac:dyDescent="0.25">
      <c r="B12" s="249"/>
      <c r="C12" s="250"/>
      <c r="D12" s="251" t="s">
        <v>308</v>
      </c>
      <c r="E12" s="2807" t="s">
        <v>1260</v>
      </c>
      <c r="F12" s="2808"/>
      <c r="G12" s="2808"/>
      <c r="H12" s="2809"/>
    </row>
    <row r="13" spans="1:8" x14ac:dyDescent="0.25">
      <c r="B13" s="2801" t="s">
        <v>179</v>
      </c>
      <c r="C13" s="2802"/>
      <c r="D13" s="2803"/>
      <c r="E13" s="2789" t="s">
        <v>1261</v>
      </c>
      <c r="F13" s="2790"/>
      <c r="G13" s="2790"/>
      <c r="H13" s="2791"/>
    </row>
    <row r="14" spans="1:8" ht="4.5" customHeight="1" x14ac:dyDescent="0.25"/>
    <row r="15" spans="1:8" ht="46.5" customHeight="1" x14ac:dyDescent="0.25">
      <c r="A15" s="71" t="s">
        <v>180</v>
      </c>
      <c r="B15" s="71" t="s">
        <v>181</v>
      </c>
      <c r="C15" s="71" t="s">
        <v>182</v>
      </c>
      <c r="D15" s="2792" t="s">
        <v>183</v>
      </c>
      <c r="E15" s="2792"/>
      <c r="F15" s="71" t="s">
        <v>184</v>
      </c>
      <c r="G15" s="71" t="s">
        <v>185</v>
      </c>
      <c r="H15" s="71" t="s">
        <v>186</v>
      </c>
    </row>
    <row r="16" spans="1:8" x14ac:dyDescent="0.25">
      <c r="A16" s="417" t="s">
        <v>187</v>
      </c>
      <c r="B16" s="417" t="s">
        <v>1262</v>
      </c>
      <c r="C16" s="417" t="s">
        <v>1263</v>
      </c>
      <c r="D16" s="2788">
        <v>905395</v>
      </c>
      <c r="E16" s="2788"/>
      <c r="F16" s="1888" t="s">
        <v>115</v>
      </c>
      <c r="G16" s="1900">
        <v>3</v>
      </c>
      <c r="H16" s="1890" t="str">
        <f>IF(F16="D(10)","mGy",IF(F16="-","-","mSv"))</f>
        <v>mSv</v>
      </c>
    </row>
    <row r="17" spans="1:8" x14ac:dyDescent="0.25">
      <c r="A17" s="417" t="s">
        <v>188</v>
      </c>
      <c r="B17" s="417" t="s">
        <v>1262</v>
      </c>
      <c r="C17" s="417" t="s">
        <v>1263</v>
      </c>
      <c r="D17" s="2788">
        <v>905309</v>
      </c>
      <c r="E17" s="2788"/>
      <c r="F17" s="1888" t="s">
        <v>115</v>
      </c>
      <c r="G17" s="1900">
        <v>3</v>
      </c>
      <c r="H17" s="1890" t="str">
        <f t="shared" ref="H17:H55" si="0">IF(F17="D(10)","mGy",IF(F17="-","-","mSv"))</f>
        <v>mSv</v>
      </c>
    </row>
    <row r="18" spans="1:8" x14ac:dyDescent="0.25">
      <c r="A18" s="417" t="s">
        <v>189</v>
      </c>
      <c r="B18" s="417" t="s">
        <v>1262</v>
      </c>
      <c r="C18" s="417" t="s">
        <v>1263</v>
      </c>
      <c r="D18" s="2788">
        <v>905161</v>
      </c>
      <c r="E18" s="2788"/>
      <c r="F18" s="1888" t="s">
        <v>115</v>
      </c>
      <c r="G18" s="1900">
        <v>3</v>
      </c>
      <c r="H18" s="1890" t="str">
        <f t="shared" si="0"/>
        <v>mSv</v>
      </c>
    </row>
    <row r="19" spans="1:8" x14ac:dyDescent="0.25">
      <c r="A19" s="417" t="s">
        <v>190</v>
      </c>
      <c r="B19" s="417" t="s">
        <v>1262</v>
      </c>
      <c r="C19" s="417" t="s">
        <v>1263</v>
      </c>
      <c r="D19" s="2788">
        <v>905327</v>
      </c>
      <c r="E19" s="2788"/>
      <c r="F19" s="1888" t="s">
        <v>115</v>
      </c>
      <c r="G19" s="1900">
        <v>3</v>
      </c>
      <c r="H19" s="1890" t="str">
        <f t="shared" si="0"/>
        <v>mSv</v>
      </c>
    </row>
    <row r="20" spans="1:8" x14ac:dyDescent="0.25">
      <c r="A20" s="417" t="s">
        <v>191</v>
      </c>
      <c r="B20" s="417" t="s">
        <v>1262</v>
      </c>
      <c r="C20" s="417" t="s">
        <v>1263</v>
      </c>
      <c r="D20" s="2788">
        <v>905125</v>
      </c>
      <c r="E20" s="2788"/>
      <c r="F20" s="1888" t="s">
        <v>115</v>
      </c>
      <c r="G20" s="1900">
        <v>3</v>
      </c>
      <c r="H20" s="1890" t="str">
        <f t="shared" si="0"/>
        <v>mSv</v>
      </c>
    </row>
    <row r="21" spans="1:8" x14ac:dyDescent="0.25">
      <c r="A21" s="417" t="s">
        <v>192</v>
      </c>
      <c r="B21" s="417" t="s">
        <v>1262</v>
      </c>
      <c r="C21" s="417" t="s">
        <v>1263</v>
      </c>
      <c r="D21" s="2788">
        <v>905066</v>
      </c>
      <c r="E21" s="2788"/>
      <c r="F21" s="1888" t="s">
        <v>115</v>
      </c>
      <c r="G21" s="1900">
        <v>30</v>
      </c>
      <c r="H21" s="1890" t="str">
        <f t="shared" si="0"/>
        <v>mSv</v>
      </c>
    </row>
    <row r="22" spans="1:8" x14ac:dyDescent="0.25">
      <c r="A22" s="417" t="s">
        <v>193</v>
      </c>
      <c r="B22" s="417" t="s">
        <v>1262</v>
      </c>
      <c r="C22" s="417" t="s">
        <v>1263</v>
      </c>
      <c r="D22" s="2788">
        <v>905339</v>
      </c>
      <c r="E22" s="2788"/>
      <c r="F22" s="1888" t="s">
        <v>115</v>
      </c>
      <c r="G22" s="1900">
        <v>30</v>
      </c>
      <c r="H22" s="1890" t="str">
        <f t="shared" si="0"/>
        <v>mSv</v>
      </c>
    </row>
    <row r="23" spans="1:8" x14ac:dyDescent="0.25">
      <c r="A23" s="417" t="s">
        <v>194</v>
      </c>
      <c r="B23" s="417" t="s">
        <v>1262</v>
      </c>
      <c r="C23" s="417" t="s">
        <v>1263</v>
      </c>
      <c r="D23" s="2788">
        <v>905189</v>
      </c>
      <c r="E23" s="2788"/>
      <c r="F23" s="1888" t="s">
        <v>115</v>
      </c>
      <c r="G23" s="1900">
        <v>30</v>
      </c>
      <c r="H23" s="1890" t="str">
        <f t="shared" si="0"/>
        <v>mSv</v>
      </c>
    </row>
    <row r="24" spans="1:8" x14ac:dyDescent="0.25">
      <c r="A24" s="417" t="s">
        <v>195</v>
      </c>
      <c r="B24" s="417" t="s">
        <v>1262</v>
      </c>
      <c r="C24" s="417" t="s">
        <v>1263</v>
      </c>
      <c r="D24" s="2788">
        <v>905334</v>
      </c>
      <c r="E24" s="2788"/>
      <c r="F24" s="1888" t="s">
        <v>115</v>
      </c>
      <c r="G24" s="1900">
        <v>30</v>
      </c>
      <c r="H24" s="1890" t="str">
        <f t="shared" si="0"/>
        <v>mSv</v>
      </c>
    </row>
    <row r="25" spans="1:8" x14ac:dyDescent="0.25">
      <c r="A25" s="417" t="s">
        <v>196</v>
      </c>
      <c r="B25" s="417" t="s">
        <v>1262</v>
      </c>
      <c r="C25" s="417" t="s">
        <v>1263</v>
      </c>
      <c r="D25" s="2788">
        <v>905153</v>
      </c>
      <c r="E25" s="2788"/>
      <c r="F25" s="1888" t="s">
        <v>115</v>
      </c>
      <c r="G25" s="1900">
        <v>30</v>
      </c>
      <c r="H25" s="1890" t="str">
        <f t="shared" si="0"/>
        <v>mSv</v>
      </c>
    </row>
    <row r="26" spans="1:8" x14ac:dyDescent="0.25">
      <c r="A26" s="417" t="s">
        <v>197</v>
      </c>
      <c r="B26" s="417" t="s">
        <v>1262</v>
      </c>
      <c r="C26" s="417" t="s">
        <v>1263</v>
      </c>
      <c r="D26" s="2788">
        <v>3848</v>
      </c>
      <c r="E26" s="2788"/>
      <c r="F26" s="1888" t="s">
        <v>141</v>
      </c>
      <c r="G26" s="1900">
        <v>3</v>
      </c>
      <c r="H26" s="1890" t="str">
        <f t="shared" si="0"/>
        <v>mSv</v>
      </c>
    </row>
    <row r="27" spans="1:8" x14ac:dyDescent="0.25">
      <c r="A27" s="417" t="s">
        <v>198</v>
      </c>
      <c r="B27" s="417" t="s">
        <v>1262</v>
      </c>
      <c r="C27" s="417" t="s">
        <v>1263</v>
      </c>
      <c r="D27" s="2788">
        <v>3884</v>
      </c>
      <c r="E27" s="2788"/>
      <c r="F27" s="1888" t="s">
        <v>141</v>
      </c>
      <c r="G27" s="1900">
        <v>3</v>
      </c>
      <c r="H27" s="1890" t="str">
        <f t="shared" si="0"/>
        <v>mSv</v>
      </c>
    </row>
    <row r="28" spans="1:8" x14ac:dyDescent="0.25">
      <c r="A28" s="417" t="s">
        <v>1026</v>
      </c>
      <c r="B28" s="417" t="s">
        <v>1262</v>
      </c>
      <c r="C28" s="417" t="s">
        <v>1263</v>
      </c>
      <c r="D28" s="2788">
        <v>9037</v>
      </c>
      <c r="E28" s="2788"/>
      <c r="F28" s="1888" t="s">
        <v>141</v>
      </c>
      <c r="G28" s="1900">
        <v>3</v>
      </c>
      <c r="H28" s="1890" t="str">
        <f t="shared" si="0"/>
        <v>mSv</v>
      </c>
    </row>
    <row r="29" spans="1:8" x14ac:dyDescent="0.25">
      <c r="A29" s="417" t="s">
        <v>1027</v>
      </c>
      <c r="B29" s="417" t="s">
        <v>1262</v>
      </c>
      <c r="C29" s="417" t="s">
        <v>1263</v>
      </c>
      <c r="D29" s="2788">
        <v>905136</v>
      </c>
      <c r="E29" s="2788"/>
      <c r="F29" s="1884" t="s">
        <v>93</v>
      </c>
      <c r="G29" s="1883" t="s">
        <v>93</v>
      </c>
      <c r="H29" s="1890" t="str">
        <f t="shared" si="0"/>
        <v>-</v>
      </c>
    </row>
    <row r="30" spans="1:8" x14ac:dyDescent="0.25">
      <c r="A30" s="417" t="s">
        <v>1028</v>
      </c>
      <c r="B30" s="417" t="s">
        <v>1262</v>
      </c>
      <c r="C30" s="417" t="s">
        <v>1263</v>
      </c>
      <c r="D30" s="2788">
        <v>905390</v>
      </c>
      <c r="E30" s="2788"/>
      <c r="F30" s="1884" t="s">
        <v>93</v>
      </c>
      <c r="G30" s="1883" t="s">
        <v>93</v>
      </c>
      <c r="H30" s="1890" t="str">
        <f t="shared" si="0"/>
        <v>-</v>
      </c>
    </row>
    <row r="31" spans="1:8" x14ac:dyDescent="0.25">
      <c r="A31" s="417" t="s">
        <v>1264</v>
      </c>
      <c r="B31" s="417" t="s">
        <v>1262</v>
      </c>
      <c r="C31" s="417" t="s">
        <v>1263</v>
      </c>
      <c r="D31" s="2788">
        <v>905100</v>
      </c>
      <c r="E31" s="2788"/>
      <c r="F31" s="1884" t="s">
        <v>93</v>
      </c>
      <c r="G31" s="1883" t="s">
        <v>93</v>
      </c>
      <c r="H31" s="1890" t="str">
        <f t="shared" si="0"/>
        <v>-</v>
      </c>
    </row>
    <row r="32" spans="1:8" x14ac:dyDescent="0.25">
      <c r="A32" s="417" t="s">
        <v>1265</v>
      </c>
      <c r="B32" s="417" t="s">
        <v>1262</v>
      </c>
      <c r="C32" s="417" t="s">
        <v>1263</v>
      </c>
      <c r="D32" s="2788">
        <v>905350</v>
      </c>
      <c r="E32" s="2788"/>
      <c r="F32" s="1884" t="s">
        <v>93</v>
      </c>
      <c r="G32" s="1883" t="s">
        <v>93</v>
      </c>
      <c r="H32" s="1890" t="str">
        <f t="shared" si="0"/>
        <v>-</v>
      </c>
    </row>
    <row r="33" spans="1:8" x14ac:dyDescent="0.25">
      <c r="A33" s="417" t="s">
        <v>1266</v>
      </c>
      <c r="B33" s="417" t="s">
        <v>1262</v>
      </c>
      <c r="C33" s="417" t="s">
        <v>1263</v>
      </c>
      <c r="D33" s="2788">
        <v>905328</v>
      </c>
      <c r="E33" s="2788"/>
      <c r="F33" s="1884" t="s">
        <v>93</v>
      </c>
      <c r="G33" s="1883" t="s">
        <v>93</v>
      </c>
      <c r="H33" s="1890" t="str">
        <f t="shared" si="0"/>
        <v>-</v>
      </c>
    </row>
    <row r="34" spans="1:8" x14ac:dyDescent="0.25">
      <c r="A34" s="417" t="s">
        <v>1267</v>
      </c>
      <c r="B34" s="417" t="s">
        <v>1262</v>
      </c>
      <c r="C34" s="417" t="s">
        <v>1263</v>
      </c>
      <c r="D34" s="2788">
        <v>904779</v>
      </c>
      <c r="E34" s="2788"/>
      <c r="F34" s="1884" t="s">
        <v>93</v>
      </c>
      <c r="G34" s="1883" t="s">
        <v>93</v>
      </c>
      <c r="H34" s="1890" t="str">
        <f t="shared" si="0"/>
        <v>-</v>
      </c>
    </row>
    <row r="35" spans="1:8" x14ac:dyDescent="0.25">
      <c r="A35" s="417" t="s">
        <v>1268</v>
      </c>
      <c r="B35" s="417" t="s">
        <v>1262</v>
      </c>
      <c r="C35" s="417" t="s">
        <v>1263</v>
      </c>
      <c r="D35" s="2788">
        <v>95005</v>
      </c>
      <c r="E35" s="2788"/>
      <c r="F35" s="1884" t="s">
        <v>93</v>
      </c>
      <c r="G35" s="1883" t="s">
        <v>93</v>
      </c>
      <c r="H35" s="1890" t="str">
        <f t="shared" si="0"/>
        <v>-</v>
      </c>
    </row>
    <row r="36" spans="1:8" x14ac:dyDescent="0.25">
      <c r="A36" s="417" t="s">
        <v>93</v>
      </c>
      <c r="B36" s="417" t="s">
        <v>93</v>
      </c>
      <c r="C36" s="417" t="s">
        <v>93</v>
      </c>
      <c r="D36" s="2788" t="s">
        <v>93</v>
      </c>
      <c r="E36" s="2788"/>
      <c r="F36" s="1884" t="s">
        <v>93</v>
      </c>
      <c r="G36" s="1883" t="s">
        <v>93</v>
      </c>
      <c r="H36" s="1890" t="str">
        <f t="shared" si="0"/>
        <v>-</v>
      </c>
    </row>
    <row r="37" spans="1:8" x14ac:dyDescent="0.25">
      <c r="A37" s="417" t="s">
        <v>93</v>
      </c>
      <c r="B37" s="417" t="s">
        <v>93</v>
      </c>
      <c r="C37" s="417" t="s">
        <v>93</v>
      </c>
      <c r="D37" s="2788" t="s">
        <v>93</v>
      </c>
      <c r="E37" s="2788"/>
      <c r="F37" s="1884" t="s">
        <v>93</v>
      </c>
      <c r="G37" s="1883" t="s">
        <v>93</v>
      </c>
      <c r="H37" s="1890" t="str">
        <f t="shared" si="0"/>
        <v>-</v>
      </c>
    </row>
    <row r="38" spans="1:8" x14ac:dyDescent="0.25">
      <c r="A38" s="417" t="s">
        <v>93</v>
      </c>
      <c r="B38" s="417" t="s">
        <v>93</v>
      </c>
      <c r="C38" s="417" t="s">
        <v>93</v>
      </c>
      <c r="D38" s="2788" t="s">
        <v>93</v>
      </c>
      <c r="E38" s="2788"/>
      <c r="F38" s="1884" t="s">
        <v>93</v>
      </c>
      <c r="G38" s="1883" t="s">
        <v>93</v>
      </c>
      <c r="H38" s="1890" t="str">
        <f t="shared" si="0"/>
        <v>-</v>
      </c>
    </row>
    <row r="39" spans="1:8" x14ac:dyDescent="0.25">
      <c r="A39" s="417" t="s">
        <v>93</v>
      </c>
      <c r="B39" s="417" t="s">
        <v>93</v>
      </c>
      <c r="C39" s="417" t="s">
        <v>93</v>
      </c>
      <c r="D39" s="2788" t="s">
        <v>93</v>
      </c>
      <c r="E39" s="2788"/>
      <c r="F39" s="1884" t="s">
        <v>93</v>
      </c>
      <c r="G39" s="1883" t="s">
        <v>93</v>
      </c>
      <c r="H39" s="1890" t="str">
        <f t="shared" si="0"/>
        <v>-</v>
      </c>
    </row>
    <row r="40" spans="1:8" x14ac:dyDescent="0.25">
      <c r="A40" s="417" t="s">
        <v>93</v>
      </c>
      <c r="B40" s="417" t="s">
        <v>93</v>
      </c>
      <c r="C40" s="417" t="s">
        <v>93</v>
      </c>
      <c r="D40" s="2788" t="s">
        <v>93</v>
      </c>
      <c r="E40" s="2788"/>
      <c r="F40" s="1884" t="s">
        <v>93</v>
      </c>
      <c r="G40" s="1883" t="s">
        <v>93</v>
      </c>
      <c r="H40" s="1890" t="str">
        <f t="shared" si="0"/>
        <v>-</v>
      </c>
    </row>
    <row r="41" spans="1:8" x14ac:dyDescent="0.25">
      <c r="A41" s="417" t="s">
        <v>93</v>
      </c>
      <c r="B41" s="417" t="s">
        <v>93</v>
      </c>
      <c r="C41" s="417" t="s">
        <v>93</v>
      </c>
      <c r="D41" s="2788" t="s">
        <v>93</v>
      </c>
      <c r="E41" s="2788"/>
      <c r="F41" s="1884" t="s">
        <v>93</v>
      </c>
      <c r="G41" s="1883" t="s">
        <v>93</v>
      </c>
      <c r="H41" s="1890" t="str">
        <f t="shared" si="0"/>
        <v>-</v>
      </c>
    </row>
    <row r="42" spans="1:8" x14ac:dyDescent="0.25">
      <c r="A42" s="417" t="s">
        <v>93</v>
      </c>
      <c r="B42" s="417" t="s">
        <v>93</v>
      </c>
      <c r="C42" s="417" t="s">
        <v>93</v>
      </c>
      <c r="D42" s="2788" t="s">
        <v>93</v>
      </c>
      <c r="E42" s="2788"/>
      <c r="F42" s="1884" t="s">
        <v>93</v>
      </c>
      <c r="G42" s="1883" t="s">
        <v>93</v>
      </c>
      <c r="H42" s="1890" t="str">
        <f t="shared" si="0"/>
        <v>-</v>
      </c>
    </row>
    <row r="43" spans="1:8" x14ac:dyDescent="0.25">
      <c r="A43" s="417" t="s">
        <v>93</v>
      </c>
      <c r="B43" s="417" t="s">
        <v>93</v>
      </c>
      <c r="C43" s="417" t="s">
        <v>93</v>
      </c>
      <c r="D43" s="2788" t="s">
        <v>93</v>
      </c>
      <c r="E43" s="2788"/>
      <c r="F43" s="1884" t="s">
        <v>93</v>
      </c>
      <c r="G43" s="1883" t="s">
        <v>93</v>
      </c>
      <c r="H43" s="1890" t="str">
        <f t="shared" si="0"/>
        <v>-</v>
      </c>
    </row>
    <row r="44" spans="1:8" x14ac:dyDescent="0.25">
      <c r="A44" s="417" t="s">
        <v>93</v>
      </c>
      <c r="B44" s="417" t="s">
        <v>93</v>
      </c>
      <c r="C44" s="417" t="s">
        <v>93</v>
      </c>
      <c r="D44" s="2788" t="s">
        <v>93</v>
      </c>
      <c r="E44" s="2788"/>
      <c r="F44" s="1884" t="s">
        <v>93</v>
      </c>
      <c r="G44" s="1883" t="s">
        <v>93</v>
      </c>
      <c r="H44" s="1890" t="str">
        <f t="shared" si="0"/>
        <v>-</v>
      </c>
    </row>
    <row r="45" spans="1:8" x14ac:dyDescent="0.25">
      <c r="A45" s="417" t="s">
        <v>93</v>
      </c>
      <c r="B45" s="417" t="s">
        <v>93</v>
      </c>
      <c r="C45" s="417" t="s">
        <v>93</v>
      </c>
      <c r="D45" s="2788" t="s">
        <v>93</v>
      </c>
      <c r="E45" s="2788"/>
      <c r="F45" s="1884" t="s">
        <v>93</v>
      </c>
      <c r="G45" s="1883" t="s">
        <v>93</v>
      </c>
      <c r="H45" s="1890" t="str">
        <f t="shared" si="0"/>
        <v>-</v>
      </c>
    </row>
    <row r="46" spans="1:8" x14ac:dyDescent="0.25">
      <c r="A46" s="417" t="s">
        <v>93</v>
      </c>
      <c r="B46" s="417" t="s">
        <v>93</v>
      </c>
      <c r="C46" s="417" t="s">
        <v>93</v>
      </c>
      <c r="D46" s="2788" t="s">
        <v>93</v>
      </c>
      <c r="E46" s="2788"/>
      <c r="F46" s="1884" t="s">
        <v>93</v>
      </c>
      <c r="G46" s="1883" t="s">
        <v>93</v>
      </c>
      <c r="H46" s="1890" t="str">
        <f t="shared" si="0"/>
        <v>-</v>
      </c>
    </row>
    <row r="47" spans="1:8" x14ac:dyDescent="0.25">
      <c r="A47" s="417" t="s">
        <v>93</v>
      </c>
      <c r="B47" s="417" t="s">
        <v>93</v>
      </c>
      <c r="C47" s="417" t="s">
        <v>93</v>
      </c>
      <c r="D47" s="2788" t="s">
        <v>93</v>
      </c>
      <c r="E47" s="2788"/>
      <c r="F47" s="1884" t="s">
        <v>93</v>
      </c>
      <c r="G47" s="1883" t="s">
        <v>93</v>
      </c>
      <c r="H47" s="1890" t="str">
        <f t="shared" si="0"/>
        <v>-</v>
      </c>
    </row>
    <row r="48" spans="1:8" x14ac:dyDescent="0.25">
      <c r="A48" s="417" t="s">
        <v>93</v>
      </c>
      <c r="B48" s="417" t="s">
        <v>93</v>
      </c>
      <c r="C48" s="417" t="s">
        <v>93</v>
      </c>
      <c r="D48" s="2788" t="s">
        <v>93</v>
      </c>
      <c r="E48" s="2788"/>
      <c r="F48" s="1884" t="s">
        <v>93</v>
      </c>
      <c r="G48" s="1883" t="s">
        <v>93</v>
      </c>
      <c r="H48" s="1890" t="str">
        <f t="shared" si="0"/>
        <v>-</v>
      </c>
    </row>
    <row r="49" spans="1:8" x14ac:dyDescent="0.25">
      <c r="A49" s="417" t="s">
        <v>93</v>
      </c>
      <c r="B49" s="417" t="s">
        <v>93</v>
      </c>
      <c r="C49" s="417" t="s">
        <v>93</v>
      </c>
      <c r="D49" s="2788" t="s">
        <v>93</v>
      </c>
      <c r="E49" s="2788"/>
      <c r="F49" s="1884" t="s">
        <v>93</v>
      </c>
      <c r="G49" s="1883" t="s">
        <v>93</v>
      </c>
      <c r="H49" s="1890" t="str">
        <f t="shared" si="0"/>
        <v>-</v>
      </c>
    </row>
    <row r="50" spans="1:8" x14ac:dyDescent="0.25">
      <c r="A50" s="417" t="s">
        <v>93</v>
      </c>
      <c r="B50" s="417" t="s">
        <v>93</v>
      </c>
      <c r="C50" s="417" t="s">
        <v>93</v>
      </c>
      <c r="D50" s="2788" t="s">
        <v>93</v>
      </c>
      <c r="E50" s="2788"/>
      <c r="F50" s="1884" t="s">
        <v>93</v>
      </c>
      <c r="G50" s="1883" t="s">
        <v>93</v>
      </c>
      <c r="H50" s="1890" t="str">
        <f t="shared" si="0"/>
        <v>-</v>
      </c>
    </row>
    <row r="51" spans="1:8" x14ac:dyDescent="0.25">
      <c r="A51" s="417" t="s">
        <v>93</v>
      </c>
      <c r="B51" s="417" t="s">
        <v>93</v>
      </c>
      <c r="C51" s="417" t="s">
        <v>93</v>
      </c>
      <c r="D51" s="2788" t="s">
        <v>93</v>
      </c>
      <c r="E51" s="2788"/>
      <c r="F51" s="1884" t="s">
        <v>93</v>
      </c>
      <c r="G51" s="1883" t="s">
        <v>93</v>
      </c>
      <c r="H51" s="1890" t="str">
        <f t="shared" si="0"/>
        <v>-</v>
      </c>
    </row>
    <row r="52" spans="1:8" x14ac:dyDescent="0.25">
      <c r="A52" s="417" t="s">
        <v>93</v>
      </c>
      <c r="B52" s="417" t="s">
        <v>93</v>
      </c>
      <c r="C52" s="417" t="s">
        <v>93</v>
      </c>
      <c r="D52" s="2788" t="s">
        <v>93</v>
      </c>
      <c r="E52" s="2788"/>
      <c r="F52" s="1884" t="s">
        <v>93</v>
      </c>
      <c r="G52" s="1883" t="s">
        <v>93</v>
      </c>
      <c r="H52" s="1890" t="str">
        <f t="shared" si="0"/>
        <v>-</v>
      </c>
    </row>
    <row r="53" spans="1:8" x14ac:dyDescent="0.25">
      <c r="A53" s="417" t="s">
        <v>93</v>
      </c>
      <c r="B53" s="417" t="s">
        <v>93</v>
      </c>
      <c r="C53" s="417" t="s">
        <v>93</v>
      </c>
      <c r="D53" s="2788" t="s">
        <v>93</v>
      </c>
      <c r="E53" s="2788"/>
      <c r="F53" s="1884" t="s">
        <v>93</v>
      </c>
      <c r="G53" s="1883" t="s">
        <v>93</v>
      </c>
      <c r="H53" s="1890" t="str">
        <f t="shared" si="0"/>
        <v>-</v>
      </c>
    </row>
    <row r="54" spans="1:8" x14ac:dyDescent="0.25">
      <c r="A54" s="417" t="s">
        <v>93</v>
      </c>
      <c r="B54" s="417" t="s">
        <v>93</v>
      </c>
      <c r="C54" s="417" t="s">
        <v>93</v>
      </c>
      <c r="D54" s="2788" t="s">
        <v>93</v>
      </c>
      <c r="E54" s="2788"/>
      <c r="F54" s="1884" t="s">
        <v>93</v>
      </c>
      <c r="G54" s="1883" t="s">
        <v>93</v>
      </c>
      <c r="H54" s="1890" t="str">
        <f t="shared" si="0"/>
        <v>-</v>
      </c>
    </row>
    <row r="55" spans="1:8" x14ac:dyDescent="0.25">
      <c r="A55" s="417" t="s">
        <v>93</v>
      </c>
      <c r="B55" s="417" t="s">
        <v>93</v>
      </c>
      <c r="C55" s="417" t="s">
        <v>93</v>
      </c>
      <c r="D55" s="2788" t="s">
        <v>93</v>
      </c>
      <c r="E55" s="2788"/>
      <c r="F55" s="1884" t="s">
        <v>93</v>
      </c>
      <c r="G55" s="1883" t="s">
        <v>93</v>
      </c>
      <c r="H55" s="1890" t="str">
        <f t="shared" si="0"/>
        <v>-</v>
      </c>
    </row>
  </sheetData>
  <mergeCells count="56">
    <mergeCell ref="D55:E55"/>
    <mergeCell ref="D1:F4"/>
    <mergeCell ref="B6:D6"/>
    <mergeCell ref="B7:D7"/>
    <mergeCell ref="E7:H7"/>
    <mergeCell ref="B8:D8"/>
    <mergeCell ref="E8:H8"/>
    <mergeCell ref="B9:D9"/>
    <mergeCell ref="E9:H9"/>
    <mergeCell ref="B10:D10"/>
    <mergeCell ref="E10:H10"/>
    <mergeCell ref="B11:D11"/>
    <mergeCell ref="E11:H11"/>
    <mergeCell ref="D23:E23"/>
    <mergeCell ref="E12:H12"/>
    <mergeCell ref="B13:D13"/>
    <mergeCell ref="E13:H13"/>
    <mergeCell ref="D15:E15"/>
    <mergeCell ref="D16:E16"/>
    <mergeCell ref="D17:E17"/>
    <mergeCell ref="D18:E18"/>
    <mergeCell ref="D19:E19"/>
    <mergeCell ref="D20:E20"/>
    <mergeCell ref="D21:E21"/>
    <mergeCell ref="D22:E22"/>
    <mergeCell ref="D35:E35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47:E47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54:E54"/>
    <mergeCell ref="D48:E48"/>
    <mergeCell ref="D49:E49"/>
    <mergeCell ref="D50:E50"/>
    <mergeCell ref="D51:E51"/>
    <mergeCell ref="D52:E52"/>
    <mergeCell ref="D53:E53"/>
  </mergeCells>
  <pageMargins left="0.7" right="0.7" top="0.19791666666666666" bottom="0.17708333333333334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'Datos varios'!$B$162:$B$166</xm:f>
          </x14:formula1>
          <xm:sqref>F16:F55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Q72"/>
  <sheetViews>
    <sheetView view="pageLayout" topLeftCell="A13" zoomScaleNormal="100" workbookViewId="0">
      <selection activeCell="M15" sqref="M15"/>
    </sheetView>
  </sheetViews>
  <sheetFormatPr baseColWidth="10" defaultColWidth="11.42578125" defaultRowHeight="15" x14ac:dyDescent="0.25"/>
  <cols>
    <col min="1" max="1" width="4.85546875" style="87" customWidth="1"/>
    <col min="2" max="2" width="12.7109375" style="87" customWidth="1"/>
    <col min="3" max="3" width="14.85546875" style="87" customWidth="1"/>
    <col min="4" max="4" width="6.85546875" style="87" customWidth="1"/>
    <col min="5" max="5" width="7.28515625" style="87" customWidth="1"/>
    <col min="6" max="6" width="8.7109375" style="87" customWidth="1"/>
    <col min="7" max="7" width="7.140625" style="87" customWidth="1"/>
    <col min="8" max="8" width="6.42578125" style="87" customWidth="1"/>
    <col min="9" max="9" width="11.7109375" style="87" customWidth="1"/>
    <col min="10" max="10" width="16.5703125" style="87" customWidth="1"/>
    <col min="11" max="11" width="4.85546875" style="87" customWidth="1"/>
    <col min="12" max="12" width="5.42578125" style="87" customWidth="1"/>
    <col min="13" max="13" width="4.5703125" style="87" customWidth="1"/>
    <col min="14" max="14" width="16.5703125" style="87" customWidth="1"/>
    <col min="15" max="15" width="4.7109375" style="87" customWidth="1"/>
    <col min="16" max="16" width="5.42578125" style="87" customWidth="1"/>
    <col min="17" max="17" width="3.85546875" style="87" customWidth="1"/>
    <col min="18" max="16384" width="11.42578125" style="87"/>
  </cols>
  <sheetData>
    <row r="1" spans="1:17" ht="15" customHeight="1" x14ac:dyDescent="0.25">
      <c r="A1" s="145"/>
      <c r="B1" s="146"/>
      <c r="C1" s="147"/>
      <c r="D1" s="2340" t="s">
        <v>199</v>
      </c>
      <c r="E1" s="2340"/>
      <c r="F1" s="2340"/>
      <c r="G1" s="2340"/>
      <c r="H1" s="2340"/>
      <c r="I1" s="2340"/>
      <c r="J1" s="2340"/>
      <c r="K1" s="2340"/>
      <c r="L1" s="2340"/>
      <c r="M1" s="2340"/>
      <c r="N1" s="148" t="s">
        <v>68</v>
      </c>
      <c r="O1" s="149" t="s">
        <v>200</v>
      </c>
      <c r="P1" s="146"/>
      <c r="Q1" s="147"/>
    </row>
    <row r="2" spans="1:17" ht="15" customHeight="1" x14ac:dyDescent="0.25">
      <c r="A2" s="150"/>
      <c r="C2" s="151"/>
      <c r="D2" s="2394"/>
      <c r="E2" s="2394"/>
      <c r="F2" s="2394"/>
      <c r="G2" s="2394"/>
      <c r="H2" s="2394"/>
      <c r="I2" s="2394"/>
      <c r="J2" s="2394"/>
      <c r="K2" s="2394"/>
      <c r="L2" s="2394"/>
      <c r="M2" s="2394"/>
      <c r="N2" s="152" t="s">
        <v>69</v>
      </c>
      <c r="O2" s="153" t="s">
        <v>1232</v>
      </c>
      <c r="Q2" s="151"/>
    </row>
    <row r="3" spans="1:17" ht="15" customHeight="1" x14ac:dyDescent="0.25">
      <c r="A3" s="150"/>
      <c r="C3" s="151"/>
      <c r="D3" s="2394"/>
      <c r="E3" s="2394"/>
      <c r="F3" s="2394"/>
      <c r="G3" s="2394"/>
      <c r="H3" s="2394"/>
      <c r="I3" s="2394"/>
      <c r="J3" s="2394"/>
      <c r="K3" s="2394"/>
      <c r="L3" s="2394"/>
      <c r="M3" s="2394"/>
      <c r="N3" s="152" t="s">
        <v>70</v>
      </c>
      <c r="O3" s="217" t="s">
        <v>858</v>
      </c>
      <c r="Q3" s="151"/>
    </row>
    <row r="4" spans="1:17" ht="15" customHeight="1" x14ac:dyDescent="0.25">
      <c r="A4" s="154"/>
      <c r="B4" s="155"/>
      <c r="C4" s="156"/>
      <c r="D4" s="2346"/>
      <c r="E4" s="2346"/>
      <c r="F4" s="2346"/>
      <c r="G4" s="2346"/>
      <c r="H4" s="2346"/>
      <c r="I4" s="2346"/>
      <c r="J4" s="2346"/>
      <c r="K4" s="2346"/>
      <c r="L4" s="2346"/>
      <c r="M4" s="2346"/>
      <c r="N4" s="157" t="s">
        <v>71</v>
      </c>
      <c r="O4" s="158" t="s">
        <v>73</v>
      </c>
      <c r="P4" s="155"/>
      <c r="Q4" s="156"/>
    </row>
    <row r="5" spans="1:17" ht="11.25" customHeight="1" x14ac:dyDescent="0.25">
      <c r="D5" s="67"/>
      <c r="E5" s="67"/>
      <c r="F5" s="67"/>
      <c r="G5" s="217"/>
      <c r="H5" s="217"/>
      <c r="I5" s="217"/>
    </row>
    <row r="6" spans="1:17" x14ac:dyDescent="0.25">
      <c r="A6" s="2389" t="s">
        <v>237</v>
      </c>
      <c r="B6" s="2389"/>
      <c r="C6" s="2822" t="str">
        <f>'F-LSCD-007'!E12</f>
        <v>Solicitud N° 017-2019, según F-LD-018</v>
      </c>
      <c r="D6" s="2822"/>
      <c r="E6" s="2822"/>
      <c r="F6" s="2822"/>
      <c r="G6" s="1552" t="s">
        <v>318</v>
      </c>
      <c r="H6" s="2829" t="s">
        <v>219</v>
      </c>
      <c r="I6" s="2829"/>
      <c r="J6" s="2829"/>
      <c r="K6" s="2829"/>
      <c r="L6" s="2829"/>
      <c r="M6" s="2829"/>
      <c r="N6" s="2829"/>
      <c r="O6" s="2829"/>
      <c r="P6" s="2829"/>
      <c r="Q6" s="2829"/>
    </row>
    <row r="7" spans="1:17" x14ac:dyDescent="0.25">
      <c r="A7" s="2389" t="s">
        <v>319</v>
      </c>
      <c r="B7" s="2389"/>
      <c r="C7" s="2836" t="s">
        <v>1269</v>
      </c>
      <c r="D7" s="2836"/>
      <c r="E7" s="2836"/>
      <c r="F7" s="2836"/>
      <c r="G7" s="1552" t="s">
        <v>320</v>
      </c>
      <c r="H7" s="2829" t="s">
        <v>1270</v>
      </c>
      <c r="I7" s="2829"/>
      <c r="J7" s="1552" t="s">
        <v>321</v>
      </c>
      <c r="K7" s="2829" t="s">
        <v>1271</v>
      </c>
      <c r="L7" s="2829"/>
      <c r="M7" s="2829"/>
      <c r="N7" s="1552" t="s">
        <v>322</v>
      </c>
      <c r="O7" s="2829" t="s">
        <v>1271</v>
      </c>
      <c r="P7" s="2829"/>
      <c r="Q7" s="2829"/>
    </row>
    <row r="8" spans="1:17" x14ac:dyDescent="0.25">
      <c r="A8" s="2389" t="s">
        <v>238</v>
      </c>
      <c r="B8" s="2389"/>
      <c r="C8" s="2823">
        <v>43802</v>
      </c>
      <c r="D8" s="2823"/>
      <c r="E8" s="2389" t="s">
        <v>201</v>
      </c>
      <c r="F8" s="2389"/>
      <c r="G8" s="2389"/>
      <c r="H8" s="2824">
        <v>43802</v>
      </c>
      <c r="I8" s="2824"/>
      <c r="J8" s="2821" t="s">
        <v>1067</v>
      </c>
      <c r="K8" s="2821"/>
      <c r="L8" s="2825">
        <v>43802</v>
      </c>
      <c r="M8" s="2826"/>
      <c r="N8" s="2826"/>
      <c r="O8" s="2826"/>
      <c r="P8" s="2826"/>
      <c r="Q8" s="2827"/>
    </row>
    <row r="9" spans="1:17" x14ac:dyDescent="0.25">
      <c r="A9" s="2389" t="s">
        <v>1275</v>
      </c>
      <c r="B9" s="2389"/>
      <c r="C9" s="2830" t="s">
        <v>1276</v>
      </c>
      <c r="D9" s="2831"/>
      <c r="E9" s="2831"/>
      <c r="F9" s="2832"/>
      <c r="G9" s="1551" t="s">
        <v>350</v>
      </c>
      <c r="H9" s="2830" t="s">
        <v>1262</v>
      </c>
      <c r="I9" s="2831"/>
      <c r="J9" s="2831"/>
      <c r="K9" s="2832"/>
      <c r="L9" s="1255"/>
      <c r="M9" s="1551" t="s">
        <v>351</v>
      </c>
      <c r="N9" s="2833" t="s">
        <v>1263</v>
      </c>
      <c r="O9" s="2834"/>
      <c r="P9" s="2834"/>
      <c r="Q9" s="2835"/>
    </row>
    <row r="10" spans="1:17" x14ac:dyDescent="0.25">
      <c r="A10" s="2389" t="s">
        <v>202</v>
      </c>
      <c r="B10" s="2389"/>
      <c r="C10" s="2843" t="s">
        <v>1242</v>
      </c>
      <c r="D10" s="2844"/>
      <c r="E10" s="2844"/>
      <c r="F10" s="2844"/>
      <c r="G10" s="2844"/>
      <c r="H10" s="2844"/>
      <c r="I10" s="2844"/>
      <c r="J10" s="2844"/>
      <c r="K10" s="2844"/>
      <c r="L10" s="2844"/>
      <c r="M10" s="2844"/>
      <c r="N10" s="2844"/>
      <c r="O10" s="2844"/>
      <c r="P10" s="2844"/>
      <c r="Q10" s="1705"/>
    </row>
    <row r="11" spans="1:17" ht="26.25" customHeight="1" x14ac:dyDescent="0.25">
      <c r="A11" s="2821" t="s">
        <v>124</v>
      </c>
      <c r="B11" s="2821"/>
      <c r="C11" s="2828" t="str">
        <f>IF(C6="","",'F-LSCD-004'!H8)</f>
        <v>Cámara de ionización patrón de 1 L , marca: PTW; modelo: TN32002; serie: 000568; Reporte de calibración de Kerma en aire DG: 13580-21 con fecha 2021-04-01 (NIST); trazable al NIST.</v>
      </c>
      <c r="D11" s="2828"/>
      <c r="E11" s="2828"/>
      <c r="F11" s="2828"/>
      <c r="G11" s="2828"/>
      <c r="H11" s="2828"/>
      <c r="I11" s="2828"/>
      <c r="J11" s="2828"/>
      <c r="K11" s="2828"/>
      <c r="L11" s="2828"/>
      <c r="M11" s="2828"/>
      <c r="N11" s="2828"/>
      <c r="O11" s="2828"/>
      <c r="P11" s="2828"/>
      <c r="Q11" s="2828"/>
    </row>
    <row r="12" spans="1:17" ht="15" customHeight="1" x14ac:dyDescent="0.25">
      <c r="A12" s="2389" t="s">
        <v>1066</v>
      </c>
      <c r="B12" s="2389"/>
      <c r="C12" s="2837" t="s">
        <v>1252</v>
      </c>
      <c r="D12" s="2837"/>
      <c r="E12" s="2837"/>
      <c r="F12" s="2837"/>
      <c r="G12" s="2837"/>
      <c r="H12" s="2837"/>
      <c r="I12" s="2837"/>
      <c r="J12" s="2837"/>
      <c r="K12" s="2837"/>
      <c r="L12" s="2837"/>
      <c r="M12" s="2837"/>
      <c r="N12" s="2837"/>
      <c r="O12" s="2837"/>
      <c r="P12" s="2837"/>
      <c r="Q12" s="2837"/>
    </row>
    <row r="13" spans="1:17" ht="15" customHeight="1" x14ac:dyDescent="0.25">
      <c r="A13" s="2389" t="s">
        <v>126</v>
      </c>
      <c r="B13" s="2389"/>
      <c r="C13" s="2816" t="str">
        <f>IF(C6="","","Punto medio de la superfice anterior y punto medio del espesor del dosímetro")</f>
        <v>Punto medio de la superfice anterior y punto medio del espesor del dosímetro</v>
      </c>
      <c r="D13" s="2817"/>
      <c r="E13" s="2817"/>
      <c r="F13" s="2817"/>
      <c r="G13" s="2817"/>
      <c r="H13" s="2817"/>
      <c r="I13" s="2817"/>
      <c r="J13" s="1929"/>
      <c r="K13" s="1927"/>
      <c r="L13" s="1930" t="s">
        <v>1274</v>
      </c>
      <c r="M13" s="1925">
        <v>13</v>
      </c>
      <c r="N13" s="1928"/>
      <c r="O13" s="1927"/>
      <c r="P13" s="1930" t="s">
        <v>1273</v>
      </c>
      <c r="Q13" s="1926">
        <v>7</v>
      </c>
    </row>
    <row r="14" spans="1:17" ht="15" customHeight="1" x14ac:dyDescent="0.25">
      <c r="A14" s="2389" t="s">
        <v>1069</v>
      </c>
      <c r="B14" s="2389"/>
      <c r="C14" s="2840" t="s">
        <v>1070</v>
      </c>
      <c r="D14" s="2841"/>
      <c r="E14" s="2841"/>
      <c r="F14" s="2841"/>
      <c r="G14" s="2841"/>
      <c r="H14" s="2842"/>
      <c r="I14" s="1556" t="s">
        <v>328</v>
      </c>
      <c r="J14" s="1587" t="s">
        <v>1272</v>
      </c>
      <c r="K14" s="2838" t="s">
        <v>1068</v>
      </c>
      <c r="L14" s="2839"/>
      <c r="M14" s="2839"/>
      <c r="N14" s="1704">
        <v>43802</v>
      </c>
      <c r="O14" s="1553"/>
      <c r="P14" s="1553"/>
      <c r="Q14" s="1554"/>
    </row>
    <row r="16" spans="1:17" ht="15" customHeight="1" x14ac:dyDescent="0.25">
      <c r="A16" s="2332" t="s">
        <v>180</v>
      </c>
      <c r="B16" s="2332" t="s">
        <v>183</v>
      </c>
      <c r="C16" s="2818" t="s">
        <v>203</v>
      </c>
      <c r="D16" s="2820" t="s">
        <v>204</v>
      </c>
      <c r="E16" s="2332" t="s">
        <v>205</v>
      </c>
      <c r="F16" s="2332" t="s">
        <v>206</v>
      </c>
      <c r="G16" s="2332" t="s">
        <v>207</v>
      </c>
      <c r="H16" s="2818" t="s">
        <v>208</v>
      </c>
      <c r="I16" s="2332" t="s">
        <v>209</v>
      </c>
      <c r="J16" s="2810" t="s">
        <v>210</v>
      </c>
      <c r="K16" s="2811"/>
      <c r="L16" s="2811"/>
      <c r="M16" s="2812"/>
      <c r="N16" s="2810" t="s">
        <v>211</v>
      </c>
      <c r="O16" s="2811"/>
      <c r="P16" s="2811"/>
      <c r="Q16" s="2812"/>
    </row>
    <row r="17" spans="1:17" ht="31.5" customHeight="1" x14ac:dyDescent="0.25">
      <c r="A17" s="2332"/>
      <c r="B17" s="2332"/>
      <c r="C17" s="2819"/>
      <c r="D17" s="2820"/>
      <c r="E17" s="2332"/>
      <c r="F17" s="2332"/>
      <c r="G17" s="2332"/>
      <c r="H17" s="2819"/>
      <c r="I17" s="2332"/>
      <c r="J17" s="1550" t="s">
        <v>212</v>
      </c>
      <c r="K17" s="1550" t="s">
        <v>57</v>
      </c>
      <c r="L17" s="1550" t="s">
        <v>213</v>
      </c>
      <c r="M17" s="1550" t="s">
        <v>58</v>
      </c>
      <c r="N17" s="1550" t="s">
        <v>212</v>
      </c>
      <c r="O17" s="1550" t="s">
        <v>57</v>
      </c>
      <c r="P17" s="1550" t="s">
        <v>213</v>
      </c>
      <c r="Q17" s="1550" t="s">
        <v>58</v>
      </c>
    </row>
    <row r="18" spans="1:17" x14ac:dyDescent="0.25">
      <c r="A18" s="1524" t="str">
        <f>'F-LSCD-007'!A16</f>
        <v>1</v>
      </c>
      <c r="B18" s="244">
        <f>IF('F-LSCD-007'!D16="","-",'F-LSCD-007'!D16)</f>
        <v>905395</v>
      </c>
      <c r="C18" s="1593" t="str">
        <f>IF(B18="-","-",'F-LSCD-004'!$H$9)</f>
        <v>S-Cs (ISO 4037-3)</v>
      </c>
      <c r="D18" s="244" t="str">
        <f>IF(B18="-","-",'F-LSCD-004'!$H$10)</f>
        <v>0°</v>
      </c>
      <c r="E18" s="1594" t="str">
        <f>IF('F-LSCD-007'!F16="H*(10)",'F-LSCD-007'!G16,"-")</f>
        <v>-</v>
      </c>
      <c r="F18" s="1594" t="str">
        <f>IF('F-LSCD-007'!F16="Hp(0,07)",'F-LSCD-007'!G16,"-")</f>
        <v>-</v>
      </c>
      <c r="G18" s="1594">
        <f>IF('F-LSCD-007'!F16="Hp(10)",'F-LSCD-007'!G16,"-")</f>
        <v>3</v>
      </c>
      <c r="H18" s="1594" t="str">
        <f>IF('F-LSCD-007'!F16="D(10)",'F-LSCD-007'!G16,"-")</f>
        <v>-</v>
      </c>
      <c r="I18" s="207">
        <v>1.2881944444444446E-2</v>
      </c>
      <c r="J18" s="1706">
        <v>43802.51666666667</v>
      </c>
      <c r="K18" s="1496">
        <v>20.6</v>
      </c>
      <c r="L18" s="1887">
        <v>1008.5</v>
      </c>
      <c r="M18" s="1887">
        <v>54</v>
      </c>
      <c r="N18" s="1706">
        <f>IF(J18="-","-",J18+I18)</f>
        <v>43802.529548611114</v>
      </c>
      <c r="O18" s="1821">
        <v>20.7</v>
      </c>
      <c r="P18" s="1887">
        <v>1008.3</v>
      </c>
      <c r="Q18" s="1887">
        <v>54</v>
      </c>
    </row>
    <row r="19" spans="1:17" x14ac:dyDescent="0.25">
      <c r="A19" s="1524" t="str">
        <f>'F-LSCD-007'!A17</f>
        <v>2</v>
      </c>
      <c r="B19" s="244">
        <f>IF('F-LSCD-007'!D17="","-",'F-LSCD-007'!D17)</f>
        <v>905309</v>
      </c>
      <c r="C19" s="1593" t="str">
        <f>IF(B19="-","-",'F-LSCD-004'!$H$9)</f>
        <v>S-Cs (ISO 4037-3)</v>
      </c>
      <c r="D19" s="244" t="str">
        <f>IF(B19="-","-",'F-LSCD-004'!$H$10)</f>
        <v>0°</v>
      </c>
      <c r="E19" s="1594" t="str">
        <f>IF('F-LSCD-007'!F17="H*(10)",'F-LSCD-007'!G17,"-")</f>
        <v>-</v>
      </c>
      <c r="F19" s="1594" t="str">
        <f>IF('F-LSCD-007'!F17="Hp(0,07)",'F-LSCD-007'!G17,"-")</f>
        <v>-</v>
      </c>
      <c r="G19" s="1594">
        <f>IF('F-LSCD-007'!F17="Hp(10)",'F-LSCD-007'!G17,"-")</f>
        <v>3</v>
      </c>
      <c r="H19" s="1594" t="str">
        <f>IF('F-LSCD-007'!F17="D(10)",'F-LSCD-007'!G17,"-")</f>
        <v>-</v>
      </c>
      <c r="I19" s="207">
        <v>1.2881944444444446E-2</v>
      </c>
      <c r="J19" s="1706">
        <v>43802.51666666667</v>
      </c>
      <c r="K19" s="1496">
        <v>20.6</v>
      </c>
      <c r="L19" s="1887">
        <v>1008.5</v>
      </c>
      <c r="M19" s="1887">
        <v>54</v>
      </c>
      <c r="N19" s="1706">
        <f t="shared" ref="N19:N32" si="0">IF(J19="-","-",J19+I19)</f>
        <v>43802.529548611114</v>
      </c>
      <c r="O19" s="1891">
        <v>20.7</v>
      </c>
      <c r="P19" s="1891">
        <v>1008.3</v>
      </c>
      <c r="Q19" s="1891">
        <v>54</v>
      </c>
    </row>
    <row r="20" spans="1:17" x14ac:dyDescent="0.25">
      <c r="A20" s="1524" t="str">
        <f>'F-LSCD-007'!A18</f>
        <v>3</v>
      </c>
      <c r="B20" s="244">
        <f>IF('F-LSCD-007'!D18="","-",'F-LSCD-007'!D18)</f>
        <v>905161</v>
      </c>
      <c r="C20" s="1593" t="str">
        <f>IF(B20="-","-",'F-LSCD-004'!$H$9)</f>
        <v>S-Cs (ISO 4037-3)</v>
      </c>
      <c r="D20" s="244" t="str">
        <f>IF(B20="-","-",'F-LSCD-004'!$H$10)</f>
        <v>0°</v>
      </c>
      <c r="E20" s="1594" t="str">
        <f>IF('F-LSCD-007'!F18="H*(10)",'F-LSCD-007'!G18,"-")</f>
        <v>-</v>
      </c>
      <c r="F20" s="1594" t="str">
        <f>IF('F-LSCD-007'!F18="Hp(0,07)",'F-LSCD-007'!G18,"-")</f>
        <v>-</v>
      </c>
      <c r="G20" s="1594">
        <f>IF('F-LSCD-007'!F18="Hp(10)",'F-LSCD-007'!G18,"-")</f>
        <v>3</v>
      </c>
      <c r="H20" s="1594" t="str">
        <f>IF('F-LSCD-007'!F18="D(10)",'F-LSCD-007'!G18,"-")</f>
        <v>-</v>
      </c>
      <c r="I20" s="207">
        <v>1.2881944444444446E-2</v>
      </c>
      <c r="J20" s="1706">
        <v>43802.51666666667</v>
      </c>
      <c r="K20" s="1496">
        <v>20.6</v>
      </c>
      <c r="L20" s="1895">
        <v>1008.5</v>
      </c>
      <c r="M20" s="1895">
        <v>54</v>
      </c>
      <c r="N20" s="1706">
        <f t="shared" si="0"/>
        <v>43802.529548611114</v>
      </c>
      <c r="O20" s="1895">
        <v>20.7</v>
      </c>
      <c r="P20" s="1895">
        <v>1008.3</v>
      </c>
      <c r="Q20" s="1895">
        <v>54</v>
      </c>
    </row>
    <row r="21" spans="1:17" x14ac:dyDescent="0.25">
      <c r="A21" s="1524" t="str">
        <f>'F-LSCD-007'!A19</f>
        <v>4</v>
      </c>
      <c r="B21" s="244">
        <f>IF('F-LSCD-007'!D19="","-",'F-LSCD-007'!D19)</f>
        <v>905327</v>
      </c>
      <c r="C21" s="1593" t="str">
        <f>IF(B21="-","-",'F-LSCD-004'!$H$9)</f>
        <v>S-Cs (ISO 4037-3)</v>
      </c>
      <c r="D21" s="244" t="str">
        <f>IF(B21="-","-",'F-LSCD-004'!$H$10)</f>
        <v>0°</v>
      </c>
      <c r="E21" s="1594" t="str">
        <f>IF('F-LSCD-007'!F19="H*(10)",'F-LSCD-007'!G19,"-")</f>
        <v>-</v>
      </c>
      <c r="F21" s="1594" t="str">
        <f>IF('F-LSCD-007'!F19="Hp(0,07)",'F-LSCD-007'!G19,"-")</f>
        <v>-</v>
      </c>
      <c r="G21" s="1594">
        <f>IF('F-LSCD-007'!F19="Hp(10)",'F-LSCD-007'!G19,"-")</f>
        <v>3</v>
      </c>
      <c r="H21" s="1594" t="str">
        <f>IF('F-LSCD-007'!F19="D(10)",'F-LSCD-007'!G19,"-")</f>
        <v>-</v>
      </c>
      <c r="I21" s="207">
        <v>1.2881944444444446E-2</v>
      </c>
      <c r="J21" s="1706">
        <v>43802.51666666667</v>
      </c>
      <c r="K21" s="1496">
        <v>20.6</v>
      </c>
      <c r="L21" s="1895">
        <v>1008.5</v>
      </c>
      <c r="M21" s="1895">
        <v>54</v>
      </c>
      <c r="N21" s="1706">
        <f t="shared" si="0"/>
        <v>43802.529548611114</v>
      </c>
      <c r="O21" s="1895">
        <v>20.7</v>
      </c>
      <c r="P21" s="1895">
        <v>1008.3</v>
      </c>
      <c r="Q21" s="1895">
        <v>54</v>
      </c>
    </row>
    <row r="22" spans="1:17" x14ac:dyDescent="0.25">
      <c r="A22" s="1524" t="str">
        <f>'F-LSCD-007'!A20</f>
        <v>5</v>
      </c>
      <c r="B22" s="244">
        <f>IF('F-LSCD-007'!D20="","-",'F-LSCD-007'!D20)</f>
        <v>905125</v>
      </c>
      <c r="C22" s="1593" t="str">
        <f>IF(B22="-","-",'F-LSCD-004'!$H$9)</f>
        <v>S-Cs (ISO 4037-3)</v>
      </c>
      <c r="D22" s="244" t="str">
        <f>IF(B22="-","-",'F-LSCD-004'!$H$10)</f>
        <v>0°</v>
      </c>
      <c r="E22" s="1594" t="str">
        <f>IF('F-LSCD-007'!F20="H*(10)",'F-LSCD-007'!G20,"-")</f>
        <v>-</v>
      </c>
      <c r="F22" s="1594" t="str">
        <f>IF('F-LSCD-007'!F20="Hp(0,07)",'F-LSCD-007'!G20,"-")</f>
        <v>-</v>
      </c>
      <c r="G22" s="1594">
        <f>IF('F-LSCD-007'!F20="Hp(10)",'F-LSCD-007'!G20,"-")</f>
        <v>3</v>
      </c>
      <c r="H22" s="1594" t="str">
        <f>IF('F-LSCD-007'!F20="D(10)",'F-LSCD-007'!G20,"-")</f>
        <v>-</v>
      </c>
      <c r="I22" s="207">
        <v>1.2881944444444446E-2</v>
      </c>
      <c r="J22" s="1706">
        <v>43802.51666666667</v>
      </c>
      <c r="K22" s="1496">
        <v>20.6</v>
      </c>
      <c r="L22" s="1895">
        <v>1008.5</v>
      </c>
      <c r="M22" s="1895">
        <v>54</v>
      </c>
      <c r="N22" s="1706">
        <f t="shared" si="0"/>
        <v>43802.529548611114</v>
      </c>
      <c r="O22" s="1895">
        <v>20.7</v>
      </c>
      <c r="P22" s="1895">
        <v>1008.3</v>
      </c>
      <c r="Q22" s="1895">
        <v>54</v>
      </c>
    </row>
    <row r="23" spans="1:17" x14ac:dyDescent="0.25">
      <c r="A23" s="1524" t="str">
        <f>'F-LSCD-007'!A21</f>
        <v>6</v>
      </c>
      <c r="B23" s="244">
        <f>IF('F-LSCD-007'!D21="","-",'F-LSCD-007'!D21)</f>
        <v>905066</v>
      </c>
      <c r="C23" s="1593" t="str">
        <f>IF(B23="-","-",'F-LSCD-004'!$H$9)</f>
        <v>S-Cs (ISO 4037-3)</v>
      </c>
      <c r="D23" s="244" t="str">
        <f>IF(B23="-","-",'F-LSCD-004'!$H$10)</f>
        <v>0°</v>
      </c>
      <c r="E23" s="1594" t="str">
        <f>IF('F-LSCD-007'!F21="H*(10)",'F-LSCD-007'!G21,"-")</f>
        <v>-</v>
      </c>
      <c r="F23" s="1594" t="str">
        <f>IF('F-LSCD-007'!F21="Hp(0,07)",'F-LSCD-007'!G21,"-")</f>
        <v>-</v>
      </c>
      <c r="G23" s="1594">
        <f>IF('F-LSCD-007'!F21="Hp(10)",'F-LSCD-007'!G21,"-")</f>
        <v>30</v>
      </c>
      <c r="H23" s="1594" t="str">
        <f>IF('F-LSCD-007'!F21="D(10)",'F-LSCD-007'!G21,"-")</f>
        <v>-</v>
      </c>
      <c r="I23" s="207">
        <v>0.12892361111111111</v>
      </c>
      <c r="J23" s="1706">
        <v>43536.559027777781</v>
      </c>
      <c r="K23" s="1496">
        <v>20.8</v>
      </c>
      <c r="L23" s="1887">
        <v>1008.1</v>
      </c>
      <c r="M23" s="1887">
        <v>54</v>
      </c>
      <c r="N23" s="1706">
        <f t="shared" si="0"/>
        <v>43536.687951388893</v>
      </c>
      <c r="O23" s="1496">
        <v>20.8</v>
      </c>
      <c r="P23" s="1891">
        <v>1007.6</v>
      </c>
      <c r="Q23" s="1891">
        <v>54</v>
      </c>
    </row>
    <row r="24" spans="1:17" x14ac:dyDescent="0.25">
      <c r="A24" s="1524" t="str">
        <f>'F-LSCD-007'!A22</f>
        <v>7</v>
      </c>
      <c r="B24" s="244">
        <f>IF('F-LSCD-007'!D22="","-",'F-LSCD-007'!D22)</f>
        <v>905339</v>
      </c>
      <c r="C24" s="1593" t="str">
        <f>IF(B24="-","-",'F-LSCD-004'!$H$9)</f>
        <v>S-Cs (ISO 4037-3)</v>
      </c>
      <c r="D24" s="244" t="str">
        <f>IF(B24="-","-",'F-LSCD-004'!$H$10)</f>
        <v>0°</v>
      </c>
      <c r="E24" s="1594" t="str">
        <f>IF('F-LSCD-007'!F22="H*(10)",'F-LSCD-007'!G22,"-")</f>
        <v>-</v>
      </c>
      <c r="F24" s="1594" t="str">
        <f>IF('F-LSCD-007'!F22="Hp(0,07)",'F-LSCD-007'!G22,"-")</f>
        <v>-</v>
      </c>
      <c r="G24" s="1594">
        <f>IF('F-LSCD-007'!F22="Hp(10)",'F-LSCD-007'!G22,"-")</f>
        <v>30</v>
      </c>
      <c r="H24" s="1594" t="str">
        <f>IF('F-LSCD-007'!F22="D(10)",'F-LSCD-007'!G22,"-")</f>
        <v>-</v>
      </c>
      <c r="I24" s="207">
        <v>0.12892361111111111</v>
      </c>
      <c r="J24" s="1706">
        <v>43536.559027777781</v>
      </c>
      <c r="K24" s="1496">
        <v>20.8</v>
      </c>
      <c r="L24" s="1891">
        <v>1008.1</v>
      </c>
      <c r="M24" s="1891">
        <v>54</v>
      </c>
      <c r="N24" s="1706">
        <f t="shared" si="0"/>
        <v>43536.687951388893</v>
      </c>
      <c r="O24" s="1496">
        <v>20.8</v>
      </c>
      <c r="P24" s="1891">
        <v>1007.6</v>
      </c>
      <c r="Q24" s="1891">
        <v>54</v>
      </c>
    </row>
    <row r="25" spans="1:17" x14ac:dyDescent="0.25">
      <c r="A25" s="1524" t="str">
        <f>'F-LSCD-007'!A23</f>
        <v>8</v>
      </c>
      <c r="B25" s="244">
        <f>IF('F-LSCD-007'!D23="","-",'F-LSCD-007'!D23)</f>
        <v>905189</v>
      </c>
      <c r="C25" s="1593" t="str">
        <f>IF(B25="-","-",'F-LSCD-004'!$H$9)</f>
        <v>S-Cs (ISO 4037-3)</v>
      </c>
      <c r="D25" s="244" t="str">
        <f>IF(B25="-","-",'F-LSCD-004'!$H$10)</f>
        <v>0°</v>
      </c>
      <c r="E25" s="1594" t="str">
        <f>IF('F-LSCD-007'!F23="H*(10)",'F-LSCD-007'!G23,"-")</f>
        <v>-</v>
      </c>
      <c r="F25" s="1594" t="str">
        <f>IF('F-LSCD-007'!F23="Hp(0,07)",'F-LSCD-007'!G23,"-")</f>
        <v>-</v>
      </c>
      <c r="G25" s="1594">
        <f>IF('F-LSCD-007'!F23="Hp(10)",'F-LSCD-007'!G23,"-")</f>
        <v>30</v>
      </c>
      <c r="H25" s="1594" t="str">
        <f>IF('F-LSCD-007'!F23="D(10)",'F-LSCD-007'!G23,"-")</f>
        <v>-</v>
      </c>
      <c r="I25" s="1898">
        <v>0.12892361111111111</v>
      </c>
      <c r="J25" s="1706">
        <v>43536.559027777781</v>
      </c>
      <c r="K25" s="1496">
        <v>20.8</v>
      </c>
      <c r="L25" s="1895">
        <v>1008.1</v>
      </c>
      <c r="M25" s="1895">
        <v>54</v>
      </c>
      <c r="N25" s="1706">
        <f t="shared" si="0"/>
        <v>43536.687951388893</v>
      </c>
      <c r="O25" s="1496">
        <v>20.8</v>
      </c>
      <c r="P25" s="1895">
        <v>1007.6</v>
      </c>
      <c r="Q25" s="1895">
        <v>54</v>
      </c>
    </row>
    <row r="26" spans="1:17" x14ac:dyDescent="0.25">
      <c r="A26" s="1524" t="str">
        <f>'F-LSCD-007'!A24</f>
        <v>9</v>
      </c>
      <c r="B26" s="244">
        <f>IF('F-LSCD-007'!D24="","-",'F-LSCD-007'!D24)</f>
        <v>905334</v>
      </c>
      <c r="C26" s="1593" t="str">
        <f>IF(B26="-","-",'F-LSCD-004'!$H$9)</f>
        <v>S-Cs (ISO 4037-3)</v>
      </c>
      <c r="D26" s="244" t="str">
        <f>IF(B26="-","-",'F-LSCD-004'!$H$10)</f>
        <v>0°</v>
      </c>
      <c r="E26" s="1594" t="str">
        <f>IF('F-LSCD-007'!F24="H*(10)",'F-LSCD-007'!G24,"-")</f>
        <v>-</v>
      </c>
      <c r="F26" s="1594" t="str">
        <f>IF('F-LSCD-007'!F24="Hp(0,07)",'F-LSCD-007'!G24,"-")</f>
        <v>-</v>
      </c>
      <c r="G26" s="1594">
        <f>IF('F-LSCD-007'!F24="Hp(10)",'F-LSCD-007'!G24,"-")</f>
        <v>30</v>
      </c>
      <c r="H26" s="1594" t="str">
        <f>IF('F-LSCD-007'!F24="D(10)",'F-LSCD-007'!G24,"-")</f>
        <v>-</v>
      </c>
      <c r="I26" s="207">
        <v>0.12892361111111111</v>
      </c>
      <c r="J26" s="1706">
        <v>43536.559027777781</v>
      </c>
      <c r="K26" s="1496">
        <v>20.8</v>
      </c>
      <c r="L26" s="1895">
        <v>1008.1</v>
      </c>
      <c r="M26" s="1895">
        <v>54</v>
      </c>
      <c r="N26" s="1706">
        <f t="shared" si="0"/>
        <v>43536.687951388893</v>
      </c>
      <c r="O26" s="1496">
        <v>20.8</v>
      </c>
      <c r="P26" s="1895">
        <v>1007.6</v>
      </c>
      <c r="Q26" s="1895">
        <v>54</v>
      </c>
    </row>
    <row r="27" spans="1:17" x14ac:dyDescent="0.25">
      <c r="A27" s="1524" t="str">
        <f>'F-LSCD-007'!A25</f>
        <v>10</v>
      </c>
      <c r="B27" s="244">
        <f>IF('F-LSCD-007'!D25="","-",'F-LSCD-007'!D25)</f>
        <v>905153</v>
      </c>
      <c r="C27" s="1593" t="str">
        <f>IF(B27="-","-",'F-LSCD-004'!$H$9)</f>
        <v>S-Cs (ISO 4037-3)</v>
      </c>
      <c r="D27" s="244" t="str">
        <f>IF(B27="-","-",'F-LSCD-004'!$H$10)</f>
        <v>0°</v>
      </c>
      <c r="E27" s="1594" t="str">
        <f>IF('F-LSCD-007'!F25="H*(10)",'F-LSCD-007'!G25,"-")</f>
        <v>-</v>
      </c>
      <c r="F27" s="1594" t="str">
        <f>IF('F-LSCD-007'!F25="Hp(0,07)",'F-LSCD-007'!G25,"-")</f>
        <v>-</v>
      </c>
      <c r="G27" s="1594">
        <f>IF('F-LSCD-007'!F25="Hp(10)",'F-LSCD-007'!G25,"-")</f>
        <v>30</v>
      </c>
      <c r="H27" s="1594" t="str">
        <f>IF('F-LSCD-007'!F25="D(10)",'F-LSCD-007'!G25,"-")</f>
        <v>-</v>
      </c>
      <c r="I27" s="207">
        <v>0.12892361111111111</v>
      </c>
      <c r="J27" s="1706">
        <v>43536.559027777781</v>
      </c>
      <c r="K27" s="1496">
        <v>20.8</v>
      </c>
      <c r="L27" s="1895">
        <v>1008.1</v>
      </c>
      <c r="M27" s="1895">
        <v>54</v>
      </c>
      <c r="N27" s="1706">
        <f t="shared" si="0"/>
        <v>43536.687951388893</v>
      </c>
      <c r="O27" s="1496">
        <v>20.8</v>
      </c>
      <c r="P27" s="1895">
        <v>1007.6</v>
      </c>
      <c r="Q27" s="1895">
        <v>54</v>
      </c>
    </row>
    <row r="28" spans="1:17" x14ac:dyDescent="0.25">
      <c r="A28" s="1524" t="str">
        <f>'F-LSCD-007'!A26</f>
        <v>11</v>
      </c>
      <c r="B28" s="244">
        <f>IF('F-LSCD-007'!D26="","-",'F-LSCD-007'!D26)</f>
        <v>3848</v>
      </c>
      <c r="C28" s="1593" t="str">
        <f>IF(B28="-","-",'F-LSCD-004'!$H$9)</f>
        <v>S-Cs (ISO 4037-3)</v>
      </c>
      <c r="D28" s="244" t="str">
        <f>IF(B28="-","-",'F-LSCD-004'!$H$10)</f>
        <v>0°</v>
      </c>
      <c r="E28" s="1594" t="str">
        <f>IF('F-LSCD-007'!F26="H*(10)",'F-LSCD-007'!G26,"-")</f>
        <v>-</v>
      </c>
      <c r="F28" s="1594">
        <f>IF('F-LSCD-007'!F26="Hp(0,07)",'F-LSCD-007'!G26,"-")</f>
        <v>3</v>
      </c>
      <c r="G28" s="1594" t="str">
        <f>IF('F-LSCD-007'!F26="Hp(10)",'F-LSCD-007'!G26,"-")</f>
        <v>-</v>
      </c>
      <c r="H28" s="1594" t="str">
        <f>IF('F-LSCD-007'!F26="D(10)",'F-LSCD-007'!G26,"-")</f>
        <v>-</v>
      </c>
      <c r="I28" s="207">
        <v>1.247685185185185E-2</v>
      </c>
      <c r="J28" s="1706">
        <v>43536.536111111112</v>
      </c>
      <c r="K28" s="1496">
        <v>20.7</v>
      </c>
      <c r="L28" s="1891">
        <v>1008.3</v>
      </c>
      <c r="M28" s="1891">
        <v>54</v>
      </c>
      <c r="N28" s="1706">
        <f t="shared" si="0"/>
        <v>43536.548587962963</v>
      </c>
      <c r="O28" s="1496">
        <v>20.7</v>
      </c>
      <c r="P28" s="1887">
        <v>1008.2</v>
      </c>
      <c r="Q28" s="1887">
        <v>53</v>
      </c>
    </row>
    <row r="29" spans="1:17" x14ac:dyDescent="0.25">
      <c r="A29" s="1524" t="str">
        <f>'F-LSCD-007'!A27</f>
        <v>12</v>
      </c>
      <c r="B29" s="244">
        <f>IF('F-LSCD-007'!D27="","-",'F-LSCD-007'!D27)</f>
        <v>3884</v>
      </c>
      <c r="C29" s="1593" t="str">
        <f>IF(B29="-","-",'F-LSCD-004'!$H$9)</f>
        <v>S-Cs (ISO 4037-3)</v>
      </c>
      <c r="D29" s="244" t="str">
        <f>IF(B29="-","-",'F-LSCD-004'!$H$10)</f>
        <v>0°</v>
      </c>
      <c r="E29" s="1594" t="str">
        <f>IF('F-LSCD-007'!F27="H*(10)",'F-LSCD-007'!G27,"-")</f>
        <v>-</v>
      </c>
      <c r="F29" s="1594">
        <f>IF('F-LSCD-007'!F27="Hp(0,07)",'F-LSCD-007'!G27,"-")</f>
        <v>3</v>
      </c>
      <c r="G29" s="1594" t="str">
        <f>IF('F-LSCD-007'!F27="Hp(10)",'F-LSCD-007'!G27,"-")</f>
        <v>-</v>
      </c>
      <c r="H29" s="1594" t="str">
        <f>IF('F-LSCD-007'!F27="D(10)",'F-LSCD-007'!G27,"-")</f>
        <v>-</v>
      </c>
      <c r="I29" s="207">
        <v>1.247685185185185E-2</v>
      </c>
      <c r="J29" s="1706">
        <v>43536.536111111112</v>
      </c>
      <c r="K29" s="1496">
        <v>20.7</v>
      </c>
      <c r="L29" s="1891">
        <v>1008.3</v>
      </c>
      <c r="M29" s="1891">
        <v>54</v>
      </c>
      <c r="N29" s="1706">
        <f t="shared" si="0"/>
        <v>43536.548587962963</v>
      </c>
      <c r="O29" s="1496">
        <v>20.7</v>
      </c>
      <c r="P29" s="1891">
        <v>1008.2</v>
      </c>
      <c r="Q29" s="1891">
        <v>53</v>
      </c>
    </row>
    <row r="30" spans="1:17" x14ac:dyDescent="0.25">
      <c r="A30" s="1524" t="str">
        <f>'F-LSCD-007'!A28</f>
        <v>13</v>
      </c>
      <c r="B30" s="244">
        <f>IF('F-LSCD-007'!D28="","-",'F-LSCD-007'!D28)</f>
        <v>9037</v>
      </c>
      <c r="C30" s="1593" t="str">
        <f>IF(B30="-","-",'F-LSCD-004'!$H$9)</f>
        <v>S-Cs (ISO 4037-3)</v>
      </c>
      <c r="D30" s="244" t="str">
        <f>IF(B30="-","-",'F-LSCD-004'!$H$10)</f>
        <v>0°</v>
      </c>
      <c r="E30" s="1594" t="str">
        <f>IF('F-LSCD-007'!F28="H*(10)",'F-LSCD-007'!G28,"-")</f>
        <v>-</v>
      </c>
      <c r="F30" s="1594">
        <f>IF('F-LSCD-007'!F28="Hp(0,07)",'F-LSCD-007'!G28,"-")</f>
        <v>3</v>
      </c>
      <c r="G30" s="1594" t="str">
        <f>IF('F-LSCD-007'!F28="Hp(10)",'F-LSCD-007'!G28,"-")</f>
        <v>-</v>
      </c>
      <c r="H30" s="1594" t="str">
        <f>IF('F-LSCD-007'!F28="D(10)",'F-LSCD-007'!G28,"-")</f>
        <v>-</v>
      </c>
      <c r="I30" s="207">
        <v>1.247685185185185E-2</v>
      </c>
      <c r="J30" s="1706">
        <v>43536.536111111112</v>
      </c>
      <c r="K30" s="1496">
        <v>20.7</v>
      </c>
      <c r="L30" s="1895">
        <v>1008.3</v>
      </c>
      <c r="M30" s="1895">
        <v>54</v>
      </c>
      <c r="N30" s="1706">
        <f t="shared" si="0"/>
        <v>43536.548587962963</v>
      </c>
      <c r="O30" s="1496">
        <v>20.7</v>
      </c>
      <c r="P30" s="1895">
        <v>1008.2</v>
      </c>
      <c r="Q30" s="1895">
        <v>53</v>
      </c>
    </row>
    <row r="31" spans="1:17" x14ac:dyDescent="0.25">
      <c r="A31" s="1524" t="str">
        <f>'F-LSCD-007'!A29</f>
        <v>14</v>
      </c>
      <c r="B31" s="244">
        <f>IF('F-LSCD-007'!D29="","-",'F-LSCD-007'!D29)</f>
        <v>905136</v>
      </c>
      <c r="C31" s="1593" t="str">
        <f>IF(B31="-","-",'F-LSCD-004'!$H$9)</f>
        <v>S-Cs (ISO 4037-3)</v>
      </c>
      <c r="D31" s="244" t="str">
        <f>IF(B31="-","-",'F-LSCD-004'!$H$10)</f>
        <v>0°</v>
      </c>
      <c r="E31" s="1594" t="str">
        <f>IF('F-LSCD-007'!F29="H*(10)",'F-LSCD-007'!G29,"-")</f>
        <v>-</v>
      </c>
      <c r="F31" s="1594" t="str">
        <f>IF('F-LSCD-007'!F29="Hp(0,07)",'F-LSCD-007'!G29,"-")</f>
        <v>-</v>
      </c>
      <c r="G31" s="1594" t="str">
        <f>IF('F-LSCD-007'!F29="Hp(10)",'F-LSCD-007'!G29,"-")</f>
        <v>-</v>
      </c>
      <c r="H31" s="1594" t="str">
        <f>IF('F-LSCD-007'!F29="D(10)",'F-LSCD-007'!G29,"-")</f>
        <v>-</v>
      </c>
      <c r="I31" s="207" t="s">
        <v>93</v>
      </c>
      <c r="J31" s="1706" t="s">
        <v>93</v>
      </c>
      <c r="K31" s="208" t="s">
        <v>93</v>
      </c>
      <c r="L31" s="208" t="s">
        <v>93</v>
      </c>
      <c r="M31" s="208" t="s">
        <v>93</v>
      </c>
      <c r="N31" s="1706" t="str">
        <f t="shared" si="0"/>
        <v>-</v>
      </c>
      <c r="O31" s="208" t="s">
        <v>93</v>
      </c>
      <c r="P31" s="208" t="s">
        <v>93</v>
      </c>
      <c r="Q31" s="208" t="s">
        <v>93</v>
      </c>
    </row>
    <row r="32" spans="1:17" x14ac:dyDescent="0.25">
      <c r="A32" s="1524" t="str">
        <f>'F-LSCD-007'!A30</f>
        <v>15</v>
      </c>
      <c r="B32" s="244">
        <f>IF('F-LSCD-007'!D30="","-",'F-LSCD-007'!D30)</f>
        <v>905390</v>
      </c>
      <c r="C32" s="1593" t="str">
        <f>IF(B32="-","-",'F-LSCD-004'!$H$9)</f>
        <v>S-Cs (ISO 4037-3)</v>
      </c>
      <c r="D32" s="244" t="str">
        <f>IF(B32="-","-",'F-LSCD-004'!$H$10)</f>
        <v>0°</v>
      </c>
      <c r="E32" s="1594" t="str">
        <f>IF('F-LSCD-007'!F30="H*(10)",'F-LSCD-007'!G30,"-")</f>
        <v>-</v>
      </c>
      <c r="F32" s="1594" t="str">
        <f>IF('F-LSCD-007'!F30="Hp(0,07)",'F-LSCD-007'!G30,"-")</f>
        <v>-</v>
      </c>
      <c r="G32" s="1594" t="str">
        <f>IF('F-LSCD-007'!F30="Hp(10)",'F-LSCD-007'!G30,"-")</f>
        <v>-</v>
      </c>
      <c r="H32" s="1594" t="str">
        <f>IF('F-LSCD-007'!F30="D(10)",'F-LSCD-007'!G30,"-")</f>
        <v>-</v>
      </c>
      <c r="I32" s="207" t="s">
        <v>93</v>
      </c>
      <c r="J32" s="1706" t="s">
        <v>93</v>
      </c>
      <c r="K32" s="208" t="s">
        <v>93</v>
      </c>
      <c r="L32" s="208" t="s">
        <v>93</v>
      </c>
      <c r="M32" s="208" t="s">
        <v>93</v>
      </c>
      <c r="N32" s="1706" t="str">
        <f t="shared" si="0"/>
        <v>-</v>
      </c>
      <c r="O32" s="208" t="s">
        <v>93</v>
      </c>
      <c r="P32" s="208" t="s">
        <v>93</v>
      </c>
      <c r="Q32" s="208" t="s">
        <v>93</v>
      </c>
    </row>
    <row r="33" spans="1:17" ht="15" customHeight="1" x14ac:dyDescent="0.25">
      <c r="A33" s="2813" t="s">
        <v>214</v>
      </c>
      <c r="B33" s="2813"/>
      <c r="C33" s="2813"/>
      <c r="D33" s="2813"/>
      <c r="E33" s="2813"/>
      <c r="F33" s="2813"/>
      <c r="G33" s="2813"/>
      <c r="H33" s="2813"/>
      <c r="I33" s="2813"/>
    </row>
    <row r="35" spans="1:17" ht="15" customHeight="1" x14ac:dyDescent="0.25">
      <c r="A35" s="2814" t="s">
        <v>215</v>
      </c>
      <c r="B35" s="2814"/>
      <c r="C35" s="2815" t="s">
        <v>93</v>
      </c>
      <c r="D35" s="2815"/>
      <c r="E35" s="2815"/>
      <c r="F35" s="2815"/>
      <c r="G35" s="2815"/>
      <c r="H35" s="2815"/>
      <c r="I35" s="2815"/>
      <c r="J35" s="2815"/>
      <c r="K35" s="2815"/>
      <c r="L35" s="2815"/>
      <c r="M35" s="2815"/>
      <c r="N35" s="2815"/>
      <c r="O35" s="2815"/>
      <c r="P35" s="2815"/>
      <c r="Q35" s="2815"/>
    </row>
    <row r="36" spans="1:17" x14ac:dyDescent="0.25">
      <c r="A36" s="1523" t="str">
        <f>"Referencia: "&amp;$C$6</f>
        <v>Referencia: Solicitud N° 017-2019, según F-LD-018</v>
      </c>
    </row>
    <row r="37" spans="1:17" s="1905" customFormat="1" ht="15" customHeight="1" x14ac:dyDescent="0.25">
      <c r="A37" s="145"/>
      <c r="B37" s="146"/>
      <c r="C37" s="147"/>
      <c r="D37" s="2340" t="s">
        <v>199</v>
      </c>
      <c r="E37" s="2340"/>
      <c r="F37" s="2340"/>
      <c r="G37" s="2340"/>
      <c r="H37" s="2340"/>
      <c r="I37" s="2340"/>
      <c r="J37" s="2340"/>
      <c r="K37" s="2340"/>
      <c r="L37" s="2340"/>
      <c r="M37" s="2340"/>
      <c r="N37" s="148" t="s">
        <v>68</v>
      </c>
      <c r="O37" s="149" t="s">
        <v>200</v>
      </c>
      <c r="P37" s="146"/>
      <c r="Q37" s="147"/>
    </row>
    <row r="38" spans="1:17" s="1905" customFormat="1" ht="15" customHeight="1" x14ac:dyDescent="0.25">
      <c r="A38" s="150"/>
      <c r="C38" s="151"/>
      <c r="D38" s="2394"/>
      <c r="E38" s="2394"/>
      <c r="F38" s="2394"/>
      <c r="G38" s="2394"/>
      <c r="H38" s="2394"/>
      <c r="I38" s="2394"/>
      <c r="J38" s="2394"/>
      <c r="K38" s="2394"/>
      <c r="L38" s="2394"/>
      <c r="M38" s="2394"/>
      <c r="N38" s="152" t="s">
        <v>69</v>
      </c>
      <c r="O38" s="153" t="s">
        <v>1232</v>
      </c>
      <c r="Q38" s="151"/>
    </row>
    <row r="39" spans="1:17" s="1905" customFormat="1" ht="15" customHeight="1" x14ac:dyDescent="0.25">
      <c r="A39" s="150"/>
      <c r="C39" s="151"/>
      <c r="D39" s="2394"/>
      <c r="E39" s="2394"/>
      <c r="F39" s="2394"/>
      <c r="G39" s="2394"/>
      <c r="H39" s="2394"/>
      <c r="I39" s="2394"/>
      <c r="J39" s="2394"/>
      <c r="K39" s="2394"/>
      <c r="L39" s="2394"/>
      <c r="M39" s="2394"/>
      <c r="N39" s="152" t="s">
        <v>70</v>
      </c>
      <c r="O39" s="217" t="s">
        <v>858</v>
      </c>
      <c r="Q39" s="151"/>
    </row>
    <row r="40" spans="1:17" s="1905" customFormat="1" ht="15" customHeight="1" x14ac:dyDescent="0.25">
      <c r="A40" s="154"/>
      <c r="B40" s="155"/>
      <c r="C40" s="156"/>
      <c r="D40" s="2346"/>
      <c r="E40" s="2346"/>
      <c r="F40" s="2346"/>
      <c r="G40" s="2346"/>
      <c r="H40" s="2346"/>
      <c r="I40" s="2346"/>
      <c r="J40" s="2346"/>
      <c r="K40" s="2346"/>
      <c r="L40" s="2346"/>
      <c r="M40" s="2346"/>
      <c r="N40" s="157" t="s">
        <v>71</v>
      </c>
      <c r="O40" s="158" t="s">
        <v>73</v>
      </c>
      <c r="P40" s="155"/>
      <c r="Q40" s="156"/>
    </row>
    <row r="42" spans="1:17" s="1905" customFormat="1" ht="15" customHeight="1" x14ac:dyDescent="0.25">
      <c r="A42" s="2332" t="s">
        <v>180</v>
      </c>
      <c r="B42" s="2332" t="s">
        <v>183</v>
      </c>
      <c r="C42" s="2818" t="s">
        <v>203</v>
      </c>
      <c r="D42" s="2820" t="s">
        <v>204</v>
      </c>
      <c r="E42" s="2332" t="s">
        <v>205</v>
      </c>
      <c r="F42" s="2332" t="s">
        <v>206</v>
      </c>
      <c r="G42" s="2332" t="s">
        <v>207</v>
      </c>
      <c r="H42" s="2818" t="s">
        <v>208</v>
      </c>
      <c r="I42" s="2332" t="s">
        <v>209</v>
      </c>
      <c r="J42" s="2810" t="s">
        <v>210</v>
      </c>
      <c r="K42" s="2811"/>
      <c r="L42" s="2811"/>
      <c r="M42" s="2812"/>
      <c r="N42" s="2810" t="s">
        <v>211</v>
      </c>
      <c r="O42" s="2811"/>
      <c r="P42" s="2811"/>
      <c r="Q42" s="2812"/>
    </row>
    <row r="43" spans="1:17" s="1905" customFormat="1" ht="31.5" customHeight="1" x14ac:dyDescent="0.25">
      <c r="A43" s="2332"/>
      <c r="B43" s="2332"/>
      <c r="C43" s="2819"/>
      <c r="D43" s="2820"/>
      <c r="E43" s="2332"/>
      <c r="F43" s="2332"/>
      <c r="G43" s="2332"/>
      <c r="H43" s="2819"/>
      <c r="I43" s="2332"/>
      <c r="J43" s="1899" t="s">
        <v>212</v>
      </c>
      <c r="K43" s="1899" t="s">
        <v>57</v>
      </c>
      <c r="L43" s="1899" t="s">
        <v>213</v>
      </c>
      <c r="M43" s="1899" t="s">
        <v>58</v>
      </c>
      <c r="N43" s="1899" t="s">
        <v>212</v>
      </c>
      <c r="O43" s="1899" t="s">
        <v>57</v>
      </c>
      <c r="P43" s="1899" t="s">
        <v>213</v>
      </c>
      <c r="Q43" s="1899" t="s">
        <v>58</v>
      </c>
    </row>
    <row r="44" spans="1:17" s="1905" customFormat="1" x14ac:dyDescent="0.25">
      <c r="A44" s="1524" t="str">
        <f>'F-LSCD-007'!A31</f>
        <v>16</v>
      </c>
      <c r="B44" s="1901">
        <f>IF('F-LSCD-007'!D31="","-",'F-LSCD-007'!D31)</f>
        <v>905100</v>
      </c>
      <c r="C44" s="1593" t="str">
        <f>IF(B44="-","-",'F-LSCD-004'!$H$9)</f>
        <v>S-Cs (ISO 4037-3)</v>
      </c>
      <c r="D44" s="1901" t="str">
        <f>IF(B44="-","-",'F-LSCD-004'!$H$10)</f>
        <v>0°</v>
      </c>
      <c r="E44" s="1594" t="str">
        <f>IF('F-LSCD-007'!F31="H*(10)",'F-LSCD-007'!G31,"-")</f>
        <v>-</v>
      </c>
      <c r="F44" s="1594" t="str">
        <f>IF('F-LSCD-007'!F31="Hp(0,07)",'F-LSCD-007'!G31,"-")</f>
        <v>-</v>
      </c>
      <c r="G44" s="1594" t="str">
        <f>IF('F-LSCD-007'!F31="Hp(10)",'F-LSCD-007'!G31,"-")</f>
        <v>-</v>
      </c>
      <c r="H44" s="1594" t="str">
        <f>IF('F-LSCD-007'!F31="D(10)",'F-LSCD-007'!G31,"-")</f>
        <v>-</v>
      </c>
      <c r="I44" s="207" t="s">
        <v>93</v>
      </c>
      <c r="J44" s="1706" t="s">
        <v>93</v>
      </c>
      <c r="K44" s="1496" t="s">
        <v>93</v>
      </c>
      <c r="L44" s="1900" t="s">
        <v>93</v>
      </c>
      <c r="M44" s="1900" t="s">
        <v>93</v>
      </c>
      <c r="N44" s="1706" t="str">
        <f>IF(J44="-","-",J44+I44)</f>
        <v>-</v>
      </c>
      <c r="O44" s="1900" t="s">
        <v>93</v>
      </c>
      <c r="P44" s="1900" t="s">
        <v>93</v>
      </c>
      <c r="Q44" s="1900" t="s">
        <v>93</v>
      </c>
    </row>
    <row r="45" spans="1:17" s="1905" customFormat="1" x14ac:dyDescent="0.25">
      <c r="A45" s="1524" t="str">
        <f>'F-LSCD-007'!A32</f>
        <v>17</v>
      </c>
      <c r="B45" s="1901">
        <f>IF('F-LSCD-007'!D32="","-",'F-LSCD-007'!D32)</f>
        <v>905350</v>
      </c>
      <c r="C45" s="1593" t="str">
        <f>IF(B45="-","-",'F-LSCD-004'!$H$9)</f>
        <v>S-Cs (ISO 4037-3)</v>
      </c>
      <c r="D45" s="1901" t="str">
        <f>IF(B45="-","-",'F-LSCD-004'!$H$10)</f>
        <v>0°</v>
      </c>
      <c r="E45" s="1594" t="str">
        <f>IF('F-LSCD-007'!F32="H*(10)",'F-LSCD-007'!G32,"-")</f>
        <v>-</v>
      </c>
      <c r="F45" s="1594" t="str">
        <f>IF('F-LSCD-007'!F32="Hp(0,07)",'F-LSCD-007'!G32,"-")</f>
        <v>-</v>
      </c>
      <c r="G45" s="1594" t="str">
        <f>IF('F-LSCD-007'!F32="Hp(10)",'F-LSCD-007'!G32,"-")</f>
        <v>-</v>
      </c>
      <c r="H45" s="1594" t="str">
        <f>IF('F-LSCD-007'!F32="D(10)",'F-LSCD-007'!G32,"-")</f>
        <v>-</v>
      </c>
      <c r="I45" s="207" t="s">
        <v>93</v>
      </c>
      <c r="J45" s="1706" t="s">
        <v>93</v>
      </c>
      <c r="K45" s="1496" t="s">
        <v>93</v>
      </c>
      <c r="L45" s="1900" t="s">
        <v>93</v>
      </c>
      <c r="M45" s="1900" t="s">
        <v>93</v>
      </c>
      <c r="N45" s="1706" t="str">
        <f t="shared" ref="N45:N68" si="1">IF(J45="-","-",J45+I45)</f>
        <v>-</v>
      </c>
      <c r="O45" s="1900" t="s">
        <v>93</v>
      </c>
      <c r="P45" s="1900" t="s">
        <v>93</v>
      </c>
      <c r="Q45" s="1900" t="s">
        <v>93</v>
      </c>
    </row>
    <row r="46" spans="1:17" s="1905" customFormat="1" x14ac:dyDescent="0.25">
      <c r="A46" s="1524" t="str">
        <f>'F-LSCD-007'!A33</f>
        <v>18</v>
      </c>
      <c r="B46" s="1901">
        <f>IF('F-LSCD-007'!D33="","-",'F-LSCD-007'!D33)</f>
        <v>905328</v>
      </c>
      <c r="C46" s="1593" t="str">
        <f>IF(B46="-","-",'F-LSCD-004'!$H$9)</f>
        <v>S-Cs (ISO 4037-3)</v>
      </c>
      <c r="D46" s="1901" t="str">
        <f>IF(B46="-","-",'F-LSCD-004'!$H$10)</f>
        <v>0°</v>
      </c>
      <c r="E46" s="1594" t="str">
        <f>IF('F-LSCD-007'!F33="H*(10)",'F-LSCD-007'!G33,"-")</f>
        <v>-</v>
      </c>
      <c r="F46" s="1594" t="str">
        <f>IF('F-LSCD-007'!F33="Hp(0,07)",'F-LSCD-007'!G33,"-")</f>
        <v>-</v>
      </c>
      <c r="G46" s="1594" t="str">
        <f>IF('F-LSCD-007'!F33="Hp(10)",'F-LSCD-007'!G33,"-")</f>
        <v>-</v>
      </c>
      <c r="H46" s="1594" t="str">
        <f>IF('F-LSCD-007'!F33="D(10)",'F-LSCD-007'!G33,"-")</f>
        <v>-</v>
      </c>
      <c r="I46" s="207" t="s">
        <v>93</v>
      </c>
      <c r="J46" s="1706" t="s">
        <v>93</v>
      </c>
      <c r="K46" s="1496" t="s">
        <v>93</v>
      </c>
      <c r="L46" s="1900" t="s">
        <v>93</v>
      </c>
      <c r="M46" s="1900" t="s">
        <v>93</v>
      </c>
      <c r="N46" s="1706" t="str">
        <f t="shared" si="1"/>
        <v>-</v>
      </c>
      <c r="O46" s="1900" t="s">
        <v>93</v>
      </c>
      <c r="P46" s="1900" t="s">
        <v>93</v>
      </c>
      <c r="Q46" s="1900" t="s">
        <v>93</v>
      </c>
    </row>
    <row r="47" spans="1:17" s="1905" customFormat="1" x14ac:dyDescent="0.25">
      <c r="A47" s="1524" t="str">
        <f>'F-LSCD-007'!A34</f>
        <v>19</v>
      </c>
      <c r="B47" s="1901">
        <f>IF('F-LSCD-007'!D34="","-",'F-LSCD-007'!D34)</f>
        <v>904779</v>
      </c>
      <c r="C47" s="1593" t="str">
        <f>IF(B47="-","-",'F-LSCD-004'!$H$9)</f>
        <v>S-Cs (ISO 4037-3)</v>
      </c>
      <c r="D47" s="1901" t="str">
        <f>IF(B47="-","-",'F-LSCD-004'!$H$10)</f>
        <v>0°</v>
      </c>
      <c r="E47" s="1594" t="str">
        <f>IF('F-LSCD-007'!F34="H*(10)",'F-LSCD-007'!G34,"-")</f>
        <v>-</v>
      </c>
      <c r="F47" s="1594" t="str">
        <f>IF('F-LSCD-007'!F34="Hp(0,07)",'F-LSCD-007'!G34,"-")</f>
        <v>-</v>
      </c>
      <c r="G47" s="1594" t="str">
        <f>IF('F-LSCD-007'!F34="Hp(10)",'F-LSCD-007'!G34,"-")</f>
        <v>-</v>
      </c>
      <c r="H47" s="1594" t="str">
        <f>IF('F-LSCD-007'!F34="D(10)",'F-LSCD-007'!G34,"-")</f>
        <v>-</v>
      </c>
      <c r="I47" s="207" t="s">
        <v>93</v>
      </c>
      <c r="J47" s="1706" t="s">
        <v>93</v>
      </c>
      <c r="K47" s="1496" t="s">
        <v>93</v>
      </c>
      <c r="L47" s="1900" t="s">
        <v>93</v>
      </c>
      <c r="M47" s="1900" t="s">
        <v>93</v>
      </c>
      <c r="N47" s="1706" t="str">
        <f t="shared" si="1"/>
        <v>-</v>
      </c>
      <c r="O47" s="1900" t="s">
        <v>93</v>
      </c>
      <c r="P47" s="1900" t="s">
        <v>93</v>
      </c>
      <c r="Q47" s="1900" t="s">
        <v>93</v>
      </c>
    </row>
    <row r="48" spans="1:17" s="1905" customFormat="1" x14ac:dyDescent="0.25">
      <c r="A48" s="1524" t="str">
        <f>'F-LSCD-007'!A35</f>
        <v>20</v>
      </c>
      <c r="B48" s="1901">
        <f>IF('F-LSCD-007'!D35="","-",'F-LSCD-007'!D35)</f>
        <v>95005</v>
      </c>
      <c r="C48" s="1593" t="str">
        <f>IF(B48="-","-",'F-LSCD-004'!$H$9)</f>
        <v>S-Cs (ISO 4037-3)</v>
      </c>
      <c r="D48" s="1901" t="str">
        <f>IF(B48="-","-",'F-LSCD-004'!$H$10)</f>
        <v>0°</v>
      </c>
      <c r="E48" s="1594" t="str">
        <f>IF('F-LSCD-007'!F35="H*(10)",'F-LSCD-007'!G35,"-")</f>
        <v>-</v>
      </c>
      <c r="F48" s="1594" t="str">
        <f>IF('F-LSCD-007'!F35="Hp(0,07)",'F-LSCD-007'!G35,"-")</f>
        <v>-</v>
      </c>
      <c r="G48" s="1594" t="str">
        <f>IF('F-LSCD-007'!F35="Hp(10)",'F-LSCD-007'!G35,"-")</f>
        <v>-</v>
      </c>
      <c r="H48" s="1594" t="str">
        <f>IF('F-LSCD-007'!F35="D(10)",'F-LSCD-007'!G35,"-")</f>
        <v>-</v>
      </c>
      <c r="I48" s="207" t="s">
        <v>93</v>
      </c>
      <c r="J48" s="1706" t="s">
        <v>93</v>
      </c>
      <c r="K48" s="1496" t="s">
        <v>93</v>
      </c>
      <c r="L48" s="1900" t="s">
        <v>93</v>
      </c>
      <c r="M48" s="1900" t="s">
        <v>93</v>
      </c>
      <c r="N48" s="1706" t="str">
        <f t="shared" si="1"/>
        <v>-</v>
      </c>
      <c r="O48" s="1900" t="s">
        <v>93</v>
      </c>
      <c r="P48" s="1900" t="s">
        <v>93</v>
      </c>
      <c r="Q48" s="1900" t="s">
        <v>93</v>
      </c>
    </row>
    <row r="49" spans="1:17" s="1905" customFormat="1" x14ac:dyDescent="0.25">
      <c r="A49" s="1524" t="str">
        <f>'F-LSCD-007'!A36</f>
        <v>-</v>
      </c>
      <c r="B49" s="1901" t="str">
        <f>IF('F-LSCD-007'!D36="","-",'F-LSCD-007'!D36)</f>
        <v>-</v>
      </c>
      <c r="C49" s="1593" t="str">
        <f>IF(B49="-","-",'F-LSCD-004'!$H$9)</f>
        <v>-</v>
      </c>
      <c r="D49" s="1901" t="str">
        <f>IF(B49="-","-",'F-LSCD-004'!$H$10)</f>
        <v>-</v>
      </c>
      <c r="E49" s="1594" t="str">
        <f>IF('F-LSCD-007'!F36="H*(10)",'F-LSCD-007'!G36,"-")</f>
        <v>-</v>
      </c>
      <c r="F49" s="1594" t="str">
        <f>IF('F-LSCD-007'!F36="Hp(0,07)",'F-LSCD-007'!G36,"-")</f>
        <v>-</v>
      </c>
      <c r="G49" s="1594" t="str">
        <f>IF('F-LSCD-007'!F36="Hp(10)",'F-LSCD-007'!G36,"-")</f>
        <v>-</v>
      </c>
      <c r="H49" s="1594" t="str">
        <f>IF('F-LSCD-007'!F36="D(10)",'F-LSCD-007'!G36,"-")</f>
        <v>-</v>
      </c>
      <c r="I49" s="207" t="s">
        <v>93</v>
      </c>
      <c r="J49" s="1706" t="s">
        <v>93</v>
      </c>
      <c r="K49" s="1496" t="s">
        <v>93</v>
      </c>
      <c r="L49" s="1900" t="s">
        <v>93</v>
      </c>
      <c r="M49" s="1900" t="s">
        <v>93</v>
      </c>
      <c r="N49" s="1706" t="str">
        <f t="shared" si="1"/>
        <v>-</v>
      </c>
      <c r="O49" s="1496" t="s">
        <v>93</v>
      </c>
      <c r="P49" s="1900" t="s">
        <v>93</v>
      </c>
      <c r="Q49" s="1900" t="s">
        <v>93</v>
      </c>
    </row>
    <row r="50" spans="1:17" s="1905" customFormat="1" x14ac:dyDescent="0.25">
      <c r="A50" s="1524" t="str">
        <f>'F-LSCD-007'!A37</f>
        <v>-</v>
      </c>
      <c r="B50" s="1901" t="str">
        <f>IF('F-LSCD-007'!D37="","-",'F-LSCD-007'!D37)</f>
        <v>-</v>
      </c>
      <c r="C50" s="1593" t="str">
        <f>IF(B50="-","-",'F-LSCD-004'!$H$9)</f>
        <v>-</v>
      </c>
      <c r="D50" s="1901" t="str">
        <f>IF(B50="-","-",'F-LSCD-004'!$H$10)</f>
        <v>-</v>
      </c>
      <c r="E50" s="1594" t="str">
        <f>IF('F-LSCD-007'!F37="H*(10)",'F-LSCD-007'!G37,"-")</f>
        <v>-</v>
      </c>
      <c r="F50" s="1594" t="str">
        <f>IF('F-LSCD-007'!F37="Hp(0,07)",'F-LSCD-007'!G37,"-")</f>
        <v>-</v>
      </c>
      <c r="G50" s="1594" t="str">
        <f>IF('F-LSCD-007'!F37="Hp(10)",'F-LSCD-007'!G37,"-")</f>
        <v>-</v>
      </c>
      <c r="H50" s="1594" t="str">
        <f>IF('F-LSCD-007'!F37="D(10)",'F-LSCD-007'!G37,"-")</f>
        <v>-</v>
      </c>
      <c r="I50" s="207" t="s">
        <v>93</v>
      </c>
      <c r="J50" s="1706" t="s">
        <v>93</v>
      </c>
      <c r="K50" s="1496" t="s">
        <v>93</v>
      </c>
      <c r="L50" s="1900" t="s">
        <v>93</v>
      </c>
      <c r="M50" s="1900" t="s">
        <v>93</v>
      </c>
      <c r="N50" s="1706" t="str">
        <f t="shared" si="1"/>
        <v>-</v>
      </c>
      <c r="O50" s="1496" t="s">
        <v>93</v>
      </c>
      <c r="P50" s="1900" t="s">
        <v>93</v>
      </c>
      <c r="Q50" s="1900" t="s">
        <v>93</v>
      </c>
    </row>
    <row r="51" spans="1:17" s="1905" customFormat="1" x14ac:dyDescent="0.25">
      <c r="A51" s="1524" t="str">
        <f>'F-LSCD-007'!A38</f>
        <v>-</v>
      </c>
      <c r="B51" s="1901" t="str">
        <f>IF('F-LSCD-007'!D38="","-",'F-LSCD-007'!D38)</f>
        <v>-</v>
      </c>
      <c r="C51" s="1593" t="str">
        <f>IF(B51="-","-",'F-LSCD-004'!$H$9)</f>
        <v>-</v>
      </c>
      <c r="D51" s="1901" t="str">
        <f>IF(B51="-","-",'F-LSCD-004'!$H$10)</f>
        <v>-</v>
      </c>
      <c r="E51" s="1594" t="str">
        <f>IF('F-LSCD-007'!F38="H*(10)",'F-LSCD-007'!G38,"-")</f>
        <v>-</v>
      </c>
      <c r="F51" s="1594" t="str">
        <f>IF('F-LSCD-007'!F38="Hp(0,07)",'F-LSCD-007'!G38,"-")</f>
        <v>-</v>
      </c>
      <c r="G51" s="1594" t="str">
        <f>IF('F-LSCD-007'!F38="Hp(10)",'F-LSCD-007'!G38,"-")</f>
        <v>-</v>
      </c>
      <c r="H51" s="1594" t="str">
        <f>IF('F-LSCD-007'!F38="D(10)",'F-LSCD-007'!G38,"-")</f>
        <v>-</v>
      </c>
      <c r="I51" s="1898" t="s">
        <v>93</v>
      </c>
      <c r="J51" s="1706" t="s">
        <v>93</v>
      </c>
      <c r="K51" s="1496" t="s">
        <v>93</v>
      </c>
      <c r="L51" s="1900" t="s">
        <v>93</v>
      </c>
      <c r="M51" s="1900" t="s">
        <v>93</v>
      </c>
      <c r="N51" s="1706" t="str">
        <f t="shared" si="1"/>
        <v>-</v>
      </c>
      <c r="O51" s="1496" t="s">
        <v>93</v>
      </c>
      <c r="P51" s="1900" t="s">
        <v>93</v>
      </c>
      <c r="Q51" s="1900" t="s">
        <v>93</v>
      </c>
    </row>
    <row r="52" spans="1:17" s="1905" customFormat="1" x14ac:dyDescent="0.25">
      <c r="A52" s="1524" t="str">
        <f>'F-LSCD-007'!A39</f>
        <v>-</v>
      </c>
      <c r="B52" s="1901" t="str">
        <f>IF('F-LSCD-007'!D39="","-",'F-LSCD-007'!D39)</f>
        <v>-</v>
      </c>
      <c r="C52" s="1593" t="str">
        <f>IF(B52="-","-",'F-LSCD-004'!$H$9)</f>
        <v>-</v>
      </c>
      <c r="D52" s="1901" t="str">
        <f>IF(B52="-","-",'F-LSCD-004'!$H$10)</f>
        <v>-</v>
      </c>
      <c r="E52" s="1594" t="str">
        <f>IF('F-LSCD-007'!F39="H*(10)",'F-LSCD-007'!G39,"-")</f>
        <v>-</v>
      </c>
      <c r="F52" s="1594" t="str">
        <f>IF('F-LSCD-007'!F39="Hp(0,07)",'F-LSCD-007'!G39,"-")</f>
        <v>-</v>
      </c>
      <c r="G52" s="1594" t="str">
        <f>IF('F-LSCD-007'!F39="Hp(10)",'F-LSCD-007'!G39,"-")</f>
        <v>-</v>
      </c>
      <c r="H52" s="1594" t="str">
        <f>IF('F-LSCD-007'!F39="D(10)",'F-LSCD-007'!G39,"-")</f>
        <v>-</v>
      </c>
      <c r="I52" s="207" t="s">
        <v>93</v>
      </c>
      <c r="J52" s="1706" t="s">
        <v>93</v>
      </c>
      <c r="K52" s="1496" t="s">
        <v>93</v>
      </c>
      <c r="L52" s="1900" t="s">
        <v>93</v>
      </c>
      <c r="M52" s="1900" t="s">
        <v>93</v>
      </c>
      <c r="N52" s="1706" t="str">
        <f t="shared" ref="N52:N54" si="2">IF(J52="-","-",J52+I52)</f>
        <v>-</v>
      </c>
      <c r="O52" s="1496" t="s">
        <v>93</v>
      </c>
      <c r="P52" s="1900" t="s">
        <v>93</v>
      </c>
      <c r="Q52" s="1900" t="s">
        <v>93</v>
      </c>
    </row>
    <row r="53" spans="1:17" s="1905" customFormat="1" x14ac:dyDescent="0.25">
      <c r="A53" s="1524" t="str">
        <f>'F-LSCD-007'!A40</f>
        <v>-</v>
      </c>
      <c r="B53" s="1901" t="str">
        <f>IF('F-LSCD-007'!D40="","-",'F-LSCD-007'!D40)</f>
        <v>-</v>
      </c>
      <c r="C53" s="1593" t="str">
        <f>IF(B53="-","-",'F-LSCD-004'!$H$9)</f>
        <v>-</v>
      </c>
      <c r="D53" s="1901" t="str">
        <f>IF(B53="-","-",'F-LSCD-004'!$H$10)</f>
        <v>-</v>
      </c>
      <c r="E53" s="1594" t="str">
        <f>IF('F-LSCD-007'!F40="H*(10)",'F-LSCD-007'!G40,"-")</f>
        <v>-</v>
      </c>
      <c r="F53" s="1594" t="str">
        <f>IF('F-LSCD-007'!F40="Hp(0,07)",'F-LSCD-007'!G40,"-")</f>
        <v>-</v>
      </c>
      <c r="G53" s="1594" t="str">
        <f>IF('F-LSCD-007'!F40="Hp(10)",'F-LSCD-007'!G40,"-")</f>
        <v>-</v>
      </c>
      <c r="H53" s="1594" t="str">
        <f>IF('F-LSCD-007'!F40="D(10)",'F-LSCD-007'!G40,"-")</f>
        <v>-</v>
      </c>
      <c r="I53" s="207" t="s">
        <v>93</v>
      </c>
      <c r="J53" s="1706" t="s">
        <v>93</v>
      </c>
      <c r="K53" s="1496" t="s">
        <v>93</v>
      </c>
      <c r="L53" s="1900" t="s">
        <v>93</v>
      </c>
      <c r="M53" s="1900" t="s">
        <v>93</v>
      </c>
      <c r="N53" s="1706" t="str">
        <f t="shared" si="2"/>
        <v>-</v>
      </c>
      <c r="O53" s="1496" t="s">
        <v>93</v>
      </c>
      <c r="P53" s="1900" t="s">
        <v>93</v>
      </c>
      <c r="Q53" s="1900" t="s">
        <v>93</v>
      </c>
    </row>
    <row r="54" spans="1:17" s="1905" customFormat="1" x14ac:dyDescent="0.25">
      <c r="A54" s="1524" t="str">
        <f>'F-LSCD-007'!A41</f>
        <v>-</v>
      </c>
      <c r="B54" s="1901" t="str">
        <f>IF('F-LSCD-007'!D41="","-",'F-LSCD-007'!D41)</f>
        <v>-</v>
      </c>
      <c r="C54" s="1593" t="str">
        <f>IF(B54="-","-",'F-LSCD-004'!$H$9)</f>
        <v>-</v>
      </c>
      <c r="D54" s="1901" t="str">
        <f>IF(B54="-","-",'F-LSCD-004'!$H$10)</f>
        <v>-</v>
      </c>
      <c r="E54" s="1594" t="str">
        <f>IF('F-LSCD-007'!F41="H*(10)",'F-LSCD-007'!G41,"-")</f>
        <v>-</v>
      </c>
      <c r="F54" s="1594" t="str">
        <f>IF('F-LSCD-007'!F41="Hp(0,07)",'F-LSCD-007'!G41,"-")</f>
        <v>-</v>
      </c>
      <c r="G54" s="1594" t="str">
        <f>IF('F-LSCD-007'!F41="Hp(10)",'F-LSCD-007'!G41,"-")</f>
        <v>-</v>
      </c>
      <c r="H54" s="1594" t="str">
        <f>IF('F-LSCD-007'!F41="D(10)",'F-LSCD-007'!G41,"-")</f>
        <v>-</v>
      </c>
      <c r="I54" s="1898" t="s">
        <v>93</v>
      </c>
      <c r="J54" s="1706" t="s">
        <v>93</v>
      </c>
      <c r="K54" s="1496" t="s">
        <v>93</v>
      </c>
      <c r="L54" s="1900" t="s">
        <v>93</v>
      </c>
      <c r="M54" s="1900" t="s">
        <v>93</v>
      </c>
      <c r="N54" s="1706" t="str">
        <f t="shared" si="2"/>
        <v>-</v>
      </c>
      <c r="O54" s="1496" t="s">
        <v>93</v>
      </c>
      <c r="P54" s="1900" t="s">
        <v>93</v>
      </c>
      <c r="Q54" s="1900" t="s">
        <v>93</v>
      </c>
    </row>
    <row r="55" spans="1:17" s="1905" customFormat="1" x14ac:dyDescent="0.25">
      <c r="A55" s="1524" t="str">
        <f>'F-LSCD-007'!A42</f>
        <v>-</v>
      </c>
      <c r="B55" s="1901" t="str">
        <f>IF('F-LSCD-007'!D42="","-",'F-LSCD-007'!D42)</f>
        <v>-</v>
      </c>
      <c r="C55" s="1593" t="str">
        <f>IF(B55="-","-",'F-LSCD-004'!$H$9)</f>
        <v>-</v>
      </c>
      <c r="D55" s="1901" t="str">
        <f>IF(B55="-","-",'F-LSCD-004'!$H$10)</f>
        <v>-</v>
      </c>
      <c r="E55" s="1594" t="str">
        <f>IF('F-LSCD-007'!F42="H*(10)",'F-LSCD-007'!G42,"-")</f>
        <v>-</v>
      </c>
      <c r="F55" s="1594" t="str">
        <f>IF('F-LSCD-007'!F42="Hp(0,07)",'F-LSCD-007'!G42,"-")</f>
        <v>-</v>
      </c>
      <c r="G55" s="1594" t="str">
        <f>IF('F-LSCD-007'!F42="Hp(10)",'F-LSCD-007'!G42,"-")</f>
        <v>-</v>
      </c>
      <c r="H55" s="1594" t="str">
        <f>IF('F-LSCD-007'!F42="D(10)",'F-LSCD-007'!G42,"-")</f>
        <v>-</v>
      </c>
      <c r="I55" s="207" t="s">
        <v>93</v>
      </c>
      <c r="J55" s="1706" t="s">
        <v>93</v>
      </c>
      <c r="K55" s="1496" t="s">
        <v>93</v>
      </c>
      <c r="L55" s="1900" t="s">
        <v>93</v>
      </c>
      <c r="M55" s="1900" t="s">
        <v>93</v>
      </c>
      <c r="N55" s="1706" t="str">
        <f t="shared" ref="N55:N57" si="3">IF(J55="-","-",J55+I55)</f>
        <v>-</v>
      </c>
      <c r="O55" s="1496" t="s">
        <v>93</v>
      </c>
      <c r="P55" s="1900" t="s">
        <v>93</v>
      </c>
      <c r="Q55" s="1900" t="s">
        <v>93</v>
      </c>
    </row>
    <row r="56" spans="1:17" s="1905" customFormat="1" x14ac:dyDescent="0.25">
      <c r="A56" s="1524" t="str">
        <f>'F-LSCD-007'!A43</f>
        <v>-</v>
      </c>
      <c r="B56" s="1901" t="str">
        <f>IF('F-LSCD-007'!D43="","-",'F-LSCD-007'!D43)</f>
        <v>-</v>
      </c>
      <c r="C56" s="1593" t="str">
        <f>IF(B56="-","-",'F-LSCD-004'!$H$9)</f>
        <v>-</v>
      </c>
      <c r="D56" s="1901" t="str">
        <f>IF(B56="-","-",'F-LSCD-004'!$H$10)</f>
        <v>-</v>
      </c>
      <c r="E56" s="1594" t="str">
        <f>IF('F-LSCD-007'!F43="H*(10)",'F-LSCD-007'!G43,"-")</f>
        <v>-</v>
      </c>
      <c r="F56" s="1594" t="str">
        <f>IF('F-LSCD-007'!F43="Hp(0,07)",'F-LSCD-007'!G43,"-")</f>
        <v>-</v>
      </c>
      <c r="G56" s="1594" t="str">
        <f>IF('F-LSCD-007'!F43="Hp(10)",'F-LSCD-007'!G43,"-")</f>
        <v>-</v>
      </c>
      <c r="H56" s="1594" t="str">
        <f>IF('F-LSCD-007'!F43="D(10)",'F-LSCD-007'!G43,"-")</f>
        <v>-</v>
      </c>
      <c r="I56" s="207" t="s">
        <v>93</v>
      </c>
      <c r="J56" s="1706" t="s">
        <v>93</v>
      </c>
      <c r="K56" s="1496" t="s">
        <v>93</v>
      </c>
      <c r="L56" s="1900" t="s">
        <v>93</v>
      </c>
      <c r="M56" s="1900" t="s">
        <v>93</v>
      </c>
      <c r="N56" s="1706" t="str">
        <f t="shared" si="3"/>
        <v>-</v>
      </c>
      <c r="O56" s="1496" t="s">
        <v>93</v>
      </c>
      <c r="P56" s="1900" t="s">
        <v>93</v>
      </c>
      <c r="Q56" s="1900" t="s">
        <v>93</v>
      </c>
    </row>
    <row r="57" spans="1:17" s="1905" customFormat="1" x14ac:dyDescent="0.25">
      <c r="A57" s="1524" t="str">
        <f>'F-LSCD-007'!A44</f>
        <v>-</v>
      </c>
      <c r="B57" s="1901" t="str">
        <f>IF('F-LSCD-007'!D44="","-",'F-LSCD-007'!D44)</f>
        <v>-</v>
      </c>
      <c r="C57" s="1593" t="str">
        <f>IF(B57="-","-",'F-LSCD-004'!$H$9)</f>
        <v>-</v>
      </c>
      <c r="D57" s="1901" t="str">
        <f>IF(B57="-","-",'F-LSCD-004'!$H$10)</f>
        <v>-</v>
      </c>
      <c r="E57" s="1594" t="str">
        <f>IF('F-LSCD-007'!F44="H*(10)",'F-LSCD-007'!G44,"-")</f>
        <v>-</v>
      </c>
      <c r="F57" s="1594" t="str">
        <f>IF('F-LSCD-007'!F44="Hp(0,07)",'F-LSCD-007'!G44,"-")</f>
        <v>-</v>
      </c>
      <c r="G57" s="1594" t="str">
        <f>IF('F-LSCD-007'!F44="Hp(10)",'F-LSCD-007'!G44,"-")</f>
        <v>-</v>
      </c>
      <c r="H57" s="1594" t="str">
        <f>IF('F-LSCD-007'!F44="D(10)",'F-LSCD-007'!G44,"-")</f>
        <v>-</v>
      </c>
      <c r="I57" s="1898" t="s">
        <v>93</v>
      </c>
      <c r="J57" s="1706" t="s">
        <v>93</v>
      </c>
      <c r="K57" s="1496" t="s">
        <v>93</v>
      </c>
      <c r="L57" s="1900" t="s">
        <v>93</v>
      </c>
      <c r="M57" s="1900" t="s">
        <v>93</v>
      </c>
      <c r="N57" s="1706" t="str">
        <f t="shared" si="3"/>
        <v>-</v>
      </c>
      <c r="O57" s="1496" t="s">
        <v>93</v>
      </c>
      <c r="P57" s="1900" t="s">
        <v>93</v>
      </c>
      <c r="Q57" s="1900" t="s">
        <v>93</v>
      </c>
    </row>
    <row r="58" spans="1:17" s="1905" customFormat="1" x14ac:dyDescent="0.25">
      <c r="A58" s="1524" t="str">
        <f>'F-LSCD-007'!A45</f>
        <v>-</v>
      </c>
      <c r="B58" s="1901" t="str">
        <f>IF('F-LSCD-007'!D45="","-",'F-LSCD-007'!D45)</f>
        <v>-</v>
      </c>
      <c r="C58" s="1593" t="str">
        <f>IF(B58="-","-",'F-LSCD-004'!$H$9)</f>
        <v>-</v>
      </c>
      <c r="D58" s="1901" t="str">
        <f>IF(B58="-","-",'F-LSCD-004'!$H$10)</f>
        <v>-</v>
      </c>
      <c r="E58" s="1594" t="str">
        <f>IF('F-LSCD-007'!F45="H*(10)",'F-LSCD-007'!G45,"-")</f>
        <v>-</v>
      </c>
      <c r="F58" s="1594" t="str">
        <f>IF('F-LSCD-007'!F45="Hp(0,07)",'F-LSCD-007'!G45,"-")</f>
        <v>-</v>
      </c>
      <c r="G58" s="1594" t="str">
        <f>IF('F-LSCD-007'!F45="Hp(10)",'F-LSCD-007'!G45,"-")</f>
        <v>-</v>
      </c>
      <c r="H58" s="1594" t="str">
        <f>IF('F-LSCD-007'!F45="D(10)",'F-LSCD-007'!G45,"-")</f>
        <v>-</v>
      </c>
      <c r="I58" s="207" t="s">
        <v>93</v>
      </c>
      <c r="J58" s="1706" t="s">
        <v>93</v>
      </c>
      <c r="K58" s="1496" t="s">
        <v>93</v>
      </c>
      <c r="L58" s="1900" t="s">
        <v>93</v>
      </c>
      <c r="M58" s="1900" t="s">
        <v>93</v>
      </c>
      <c r="N58" s="1706" t="str">
        <f t="shared" ref="N58:N60" si="4">IF(J58="-","-",J58+I58)</f>
        <v>-</v>
      </c>
      <c r="O58" s="1496" t="s">
        <v>93</v>
      </c>
      <c r="P58" s="1900" t="s">
        <v>93</v>
      </c>
      <c r="Q58" s="1900" t="s">
        <v>93</v>
      </c>
    </row>
    <row r="59" spans="1:17" s="1905" customFormat="1" x14ac:dyDescent="0.25">
      <c r="A59" s="1524" t="str">
        <f>'F-LSCD-007'!A46</f>
        <v>-</v>
      </c>
      <c r="B59" s="1901" t="str">
        <f>IF('F-LSCD-007'!D46="","-",'F-LSCD-007'!D46)</f>
        <v>-</v>
      </c>
      <c r="C59" s="1593" t="str">
        <f>IF(B59="-","-",'F-LSCD-004'!$H$9)</f>
        <v>-</v>
      </c>
      <c r="D59" s="1901" t="str">
        <f>IF(B59="-","-",'F-LSCD-004'!$H$10)</f>
        <v>-</v>
      </c>
      <c r="E59" s="1594" t="str">
        <f>IF('F-LSCD-007'!F46="H*(10)",'F-LSCD-007'!G46,"-")</f>
        <v>-</v>
      </c>
      <c r="F59" s="1594" t="str">
        <f>IF('F-LSCD-007'!F46="Hp(0,07)",'F-LSCD-007'!G46,"-")</f>
        <v>-</v>
      </c>
      <c r="G59" s="1594" t="str">
        <f>IF('F-LSCD-007'!F46="Hp(10)",'F-LSCD-007'!G46,"-")</f>
        <v>-</v>
      </c>
      <c r="H59" s="1594" t="str">
        <f>IF('F-LSCD-007'!F46="D(10)",'F-LSCD-007'!G46,"-")</f>
        <v>-</v>
      </c>
      <c r="I59" s="207" t="s">
        <v>93</v>
      </c>
      <c r="J59" s="1706" t="s">
        <v>93</v>
      </c>
      <c r="K59" s="1496" t="s">
        <v>93</v>
      </c>
      <c r="L59" s="1900" t="s">
        <v>93</v>
      </c>
      <c r="M59" s="1900" t="s">
        <v>93</v>
      </c>
      <c r="N59" s="1706" t="str">
        <f t="shared" si="4"/>
        <v>-</v>
      </c>
      <c r="O59" s="1496" t="s">
        <v>93</v>
      </c>
      <c r="P59" s="1900" t="s">
        <v>93</v>
      </c>
      <c r="Q59" s="1900" t="s">
        <v>93</v>
      </c>
    </row>
    <row r="60" spans="1:17" s="1905" customFormat="1" x14ac:dyDescent="0.25">
      <c r="A60" s="1524" t="str">
        <f>'F-LSCD-007'!A47</f>
        <v>-</v>
      </c>
      <c r="B60" s="1901" t="str">
        <f>IF('F-LSCD-007'!D47="","-",'F-LSCD-007'!D47)</f>
        <v>-</v>
      </c>
      <c r="C60" s="1593" t="str">
        <f>IF(B60="-","-",'F-LSCD-004'!$H$9)</f>
        <v>-</v>
      </c>
      <c r="D60" s="1901" t="str">
        <f>IF(B60="-","-",'F-LSCD-004'!$H$10)</f>
        <v>-</v>
      </c>
      <c r="E60" s="1594" t="str">
        <f>IF('F-LSCD-007'!F47="H*(10)",'F-LSCD-007'!G47,"-")</f>
        <v>-</v>
      </c>
      <c r="F60" s="1594" t="str">
        <f>IF('F-LSCD-007'!F47="Hp(0,07)",'F-LSCD-007'!G47,"-")</f>
        <v>-</v>
      </c>
      <c r="G60" s="1594" t="str">
        <f>IF('F-LSCD-007'!F47="Hp(10)",'F-LSCD-007'!G47,"-")</f>
        <v>-</v>
      </c>
      <c r="H60" s="1594" t="str">
        <f>IF('F-LSCD-007'!F47="D(10)",'F-LSCD-007'!G47,"-")</f>
        <v>-</v>
      </c>
      <c r="I60" s="1898" t="s">
        <v>93</v>
      </c>
      <c r="J60" s="1706" t="s">
        <v>93</v>
      </c>
      <c r="K60" s="1496" t="s">
        <v>93</v>
      </c>
      <c r="L60" s="1900" t="s">
        <v>93</v>
      </c>
      <c r="M60" s="1900" t="s">
        <v>93</v>
      </c>
      <c r="N60" s="1706" t="str">
        <f t="shared" si="4"/>
        <v>-</v>
      </c>
      <c r="O60" s="1496" t="s">
        <v>93</v>
      </c>
      <c r="P60" s="1900" t="s">
        <v>93</v>
      </c>
      <c r="Q60" s="1900" t="s">
        <v>93</v>
      </c>
    </row>
    <row r="61" spans="1:17" s="1905" customFormat="1" x14ac:dyDescent="0.25">
      <c r="A61" s="1524" t="str">
        <f>'F-LSCD-007'!A48</f>
        <v>-</v>
      </c>
      <c r="B61" s="1901" t="str">
        <f>IF('F-LSCD-007'!D48="","-",'F-LSCD-007'!D48)</f>
        <v>-</v>
      </c>
      <c r="C61" s="1593" t="str">
        <f>IF(B61="-","-",'F-LSCD-004'!$H$9)</f>
        <v>-</v>
      </c>
      <c r="D61" s="1901" t="str">
        <f>IF(B61="-","-",'F-LSCD-004'!$H$10)</f>
        <v>-</v>
      </c>
      <c r="E61" s="1594" t="str">
        <f>IF('F-LSCD-007'!F48="H*(10)",'F-LSCD-007'!G48,"-")</f>
        <v>-</v>
      </c>
      <c r="F61" s="1594" t="str">
        <f>IF('F-LSCD-007'!F48="Hp(0,07)",'F-LSCD-007'!G48,"-")</f>
        <v>-</v>
      </c>
      <c r="G61" s="1594" t="str">
        <f>IF('F-LSCD-007'!F48="Hp(10)",'F-LSCD-007'!G48,"-")</f>
        <v>-</v>
      </c>
      <c r="H61" s="1594" t="str">
        <f>IF('F-LSCD-007'!F48="D(10)",'F-LSCD-007'!G48,"-")</f>
        <v>-</v>
      </c>
      <c r="I61" s="1898" t="s">
        <v>93</v>
      </c>
      <c r="J61" s="1706" t="s">
        <v>93</v>
      </c>
      <c r="K61" s="1496" t="s">
        <v>93</v>
      </c>
      <c r="L61" s="1900" t="s">
        <v>93</v>
      </c>
      <c r="M61" s="1900" t="s">
        <v>93</v>
      </c>
      <c r="N61" s="1706" t="str">
        <f t="shared" ref="N61" si="5">IF(J61="-","-",J61+I61)</f>
        <v>-</v>
      </c>
      <c r="O61" s="1496" t="s">
        <v>93</v>
      </c>
      <c r="P61" s="1900" t="s">
        <v>93</v>
      </c>
      <c r="Q61" s="1900" t="s">
        <v>93</v>
      </c>
    </row>
    <row r="62" spans="1:17" s="1905" customFormat="1" x14ac:dyDescent="0.25">
      <c r="A62" s="1524" t="str">
        <f>'F-LSCD-007'!A49</f>
        <v>-</v>
      </c>
      <c r="B62" s="1901" t="str">
        <f>IF('F-LSCD-007'!D49="","-",'F-LSCD-007'!D49)</f>
        <v>-</v>
      </c>
      <c r="C62" s="1593" t="str">
        <f>IF(B62="-","-",'F-LSCD-004'!$H$9)</f>
        <v>-</v>
      </c>
      <c r="D62" s="1901" t="str">
        <f>IF(B62="-","-",'F-LSCD-004'!$H$10)</f>
        <v>-</v>
      </c>
      <c r="E62" s="1594" t="str">
        <f>IF('F-LSCD-007'!F49="H*(10)",'F-LSCD-007'!G49,"-")</f>
        <v>-</v>
      </c>
      <c r="F62" s="1594" t="str">
        <f>IF('F-LSCD-007'!F49="Hp(0,07)",'F-LSCD-007'!G49,"-")</f>
        <v>-</v>
      </c>
      <c r="G62" s="1594" t="str">
        <f>IF('F-LSCD-007'!F49="Hp(10)",'F-LSCD-007'!G49,"-")</f>
        <v>-</v>
      </c>
      <c r="H62" s="1594" t="str">
        <f>IF('F-LSCD-007'!F49="D(10)",'F-LSCD-007'!G49,"-")</f>
        <v>-</v>
      </c>
      <c r="I62" s="207" t="s">
        <v>93</v>
      </c>
      <c r="J62" s="1706" t="s">
        <v>93</v>
      </c>
      <c r="K62" s="1496" t="s">
        <v>93</v>
      </c>
      <c r="L62" s="1900" t="s">
        <v>93</v>
      </c>
      <c r="M62" s="1900" t="s">
        <v>93</v>
      </c>
      <c r="N62" s="1706" t="str">
        <f t="shared" si="1"/>
        <v>-</v>
      </c>
      <c r="O62" s="1496" t="s">
        <v>93</v>
      </c>
      <c r="P62" s="1900" t="s">
        <v>93</v>
      </c>
      <c r="Q62" s="1900" t="s">
        <v>93</v>
      </c>
    </row>
    <row r="63" spans="1:17" s="1905" customFormat="1" x14ac:dyDescent="0.25">
      <c r="A63" s="1524" t="str">
        <f>'F-LSCD-007'!A50</f>
        <v>-</v>
      </c>
      <c r="B63" s="1901" t="str">
        <f>IF('F-LSCD-007'!D50="","-",'F-LSCD-007'!D50)</f>
        <v>-</v>
      </c>
      <c r="C63" s="1593" t="str">
        <f>IF(B63="-","-",'F-LSCD-004'!$H$9)</f>
        <v>-</v>
      </c>
      <c r="D63" s="1901" t="str">
        <f>IF(B63="-","-",'F-LSCD-004'!$H$10)</f>
        <v>-</v>
      </c>
      <c r="E63" s="1594" t="str">
        <f>IF('F-LSCD-007'!F50="H*(10)",'F-LSCD-007'!G50,"-")</f>
        <v>-</v>
      </c>
      <c r="F63" s="1594" t="str">
        <f>IF('F-LSCD-007'!F50="Hp(0,07)",'F-LSCD-007'!G50,"-")</f>
        <v>-</v>
      </c>
      <c r="G63" s="1594" t="str">
        <f>IF('F-LSCD-007'!F50="Hp(10)",'F-LSCD-007'!G50,"-")</f>
        <v>-</v>
      </c>
      <c r="H63" s="1594" t="str">
        <f>IF('F-LSCD-007'!F50="D(10)",'F-LSCD-007'!G50,"-")</f>
        <v>-</v>
      </c>
      <c r="I63" s="207" t="s">
        <v>93</v>
      </c>
      <c r="J63" s="1706" t="s">
        <v>93</v>
      </c>
      <c r="K63" s="1496" t="s">
        <v>93</v>
      </c>
      <c r="L63" s="1900" t="s">
        <v>93</v>
      </c>
      <c r="M63" s="1900" t="s">
        <v>93</v>
      </c>
      <c r="N63" s="1706" t="str">
        <f t="shared" si="1"/>
        <v>-</v>
      </c>
      <c r="O63" s="1496" t="s">
        <v>93</v>
      </c>
      <c r="P63" s="1900" t="s">
        <v>93</v>
      </c>
      <c r="Q63" s="1900" t="s">
        <v>93</v>
      </c>
    </row>
    <row r="64" spans="1:17" s="1905" customFormat="1" x14ac:dyDescent="0.25">
      <c r="A64" s="1524" t="str">
        <f>'F-LSCD-007'!A51</f>
        <v>-</v>
      </c>
      <c r="B64" s="1901" t="str">
        <f>IF('F-LSCD-007'!D51="","-",'F-LSCD-007'!D51)</f>
        <v>-</v>
      </c>
      <c r="C64" s="1593" t="str">
        <f>IF(B64="-","-",'F-LSCD-004'!$H$9)</f>
        <v>-</v>
      </c>
      <c r="D64" s="1901" t="str">
        <f>IF(B64="-","-",'F-LSCD-004'!$H$10)</f>
        <v>-</v>
      </c>
      <c r="E64" s="1594" t="str">
        <f>IF('F-LSCD-007'!F51="H*(10)",'F-LSCD-007'!G51,"-")</f>
        <v>-</v>
      </c>
      <c r="F64" s="1594" t="str">
        <f>IF('F-LSCD-007'!F51="Hp(0,07)",'F-LSCD-007'!G51,"-")</f>
        <v>-</v>
      </c>
      <c r="G64" s="1594" t="str">
        <f>IF('F-LSCD-007'!F51="Hp(10)",'F-LSCD-007'!G51,"-")</f>
        <v>-</v>
      </c>
      <c r="H64" s="1594" t="str">
        <f>IF('F-LSCD-007'!F51="D(10)",'F-LSCD-007'!G51,"-")</f>
        <v>-</v>
      </c>
      <c r="I64" s="207" t="s">
        <v>93</v>
      </c>
      <c r="J64" s="1706" t="s">
        <v>93</v>
      </c>
      <c r="K64" s="1496" t="s">
        <v>93</v>
      </c>
      <c r="L64" s="1924" t="s">
        <v>93</v>
      </c>
      <c r="M64" s="1900" t="s">
        <v>93</v>
      </c>
      <c r="N64" s="1706" t="str">
        <f t="shared" si="1"/>
        <v>-</v>
      </c>
      <c r="O64" s="1496" t="s">
        <v>93</v>
      </c>
      <c r="P64" s="1900" t="s">
        <v>93</v>
      </c>
      <c r="Q64" s="1900" t="s">
        <v>93</v>
      </c>
    </row>
    <row r="65" spans="1:17" s="1905" customFormat="1" x14ac:dyDescent="0.25">
      <c r="A65" s="1524" t="str">
        <f>'F-LSCD-007'!A52</f>
        <v>-</v>
      </c>
      <c r="B65" s="1901" t="str">
        <f>IF('F-LSCD-007'!D52="","-",'F-LSCD-007'!D52)</f>
        <v>-</v>
      </c>
      <c r="C65" s="1593" t="str">
        <f>IF(B65="-","-",'F-LSCD-004'!$H$9)</f>
        <v>-</v>
      </c>
      <c r="D65" s="1901" t="str">
        <f>IF(B65="-","-",'F-LSCD-004'!$H$10)</f>
        <v>-</v>
      </c>
      <c r="E65" s="1594" t="str">
        <f>IF('F-LSCD-007'!F52="H*(10)",'F-LSCD-007'!G52,"-")</f>
        <v>-</v>
      </c>
      <c r="F65" s="1594" t="str">
        <f>IF('F-LSCD-007'!F52="Hp(0,07)",'F-LSCD-007'!G52,"-")</f>
        <v>-</v>
      </c>
      <c r="G65" s="1594" t="str">
        <f>IF('F-LSCD-007'!F52="Hp(10)",'F-LSCD-007'!G52,"-")</f>
        <v>-</v>
      </c>
      <c r="H65" s="1594" t="str">
        <f>IF('F-LSCD-007'!F52="D(10)",'F-LSCD-007'!G52,"-")</f>
        <v>-</v>
      </c>
      <c r="I65" s="207" t="s">
        <v>93</v>
      </c>
      <c r="J65" s="1706" t="s">
        <v>93</v>
      </c>
      <c r="K65" s="1496" t="s">
        <v>93</v>
      </c>
      <c r="L65" s="1900" t="s">
        <v>93</v>
      </c>
      <c r="M65" s="1900" t="s">
        <v>93</v>
      </c>
      <c r="N65" s="1706" t="str">
        <f t="shared" si="1"/>
        <v>-</v>
      </c>
      <c r="O65" s="1496" t="s">
        <v>93</v>
      </c>
      <c r="P65" s="1900" t="s">
        <v>93</v>
      </c>
      <c r="Q65" s="1900" t="s">
        <v>93</v>
      </c>
    </row>
    <row r="66" spans="1:17" s="1905" customFormat="1" x14ac:dyDescent="0.25">
      <c r="A66" s="1524" t="str">
        <f>'F-LSCD-007'!A53</f>
        <v>-</v>
      </c>
      <c r="B66" s="1901" t="str">
        <f>IF('F-LSCD-007'!D53="","-",'F-LSCD-007'!D53)</f>
        <v>-</v>
      </c>
      <c r="C66" s="1593" t="str">
        <f>IF(B66="-","-",'F-LSCD-004'!$H$9)</f>
        <v>-</v>
      </c>
      <c r="D66" s="1901" t="str">
        <f>IF(B66="-","-",'F-LSCD-004'!$H$10)</f>
        <v>-</v>
      </c>
      <c r="E66" s="1594" t="str">
        <f>IF('F-LSCD-007'!F53="H*(10)",'F-LSCD-007'!G53,"-")</f>
        <v>-</v>
      </c>
      <c r="F66" s="1594" t="str">
        <f>IF('F-LSCD-007'!F53="Hp(0,07)",'F-LSCD-007'!G53,"-")</f>
        <v>-</v>
      </c>
      <c r="G66" s="1594" t="str">
        <f>IF('F-LSCD-007'!F53="Hp(10)",'F-LSCD-007'!G53,"-")</f>
        <v>-</v>
      </c>
      <c r="H66" s="1594" t="str">
        <f>IF('F-LSCD-007'!F53="D(10)",'F-LSCD-007'!G53,"-")</f>
        <v>-</v>
      </c>
      <c r="I66" s="207" t="s">
        <v>93</v>
      </c>
      <c r="J66" s="1706" t="s">
        <v>93</v>
      </c>
      <c r="K66" s="1496" t="s">
        <v>93</v>
      </c>
      <c r="L66" s="1900" t="s">
        <v>93</v>
      </c>
      <c r="M66" s="1900" t="s">
        <v>93</v>
      </c>
      <c r="N66" s="1706" t="str">
        <f t="shared" si="1"/>
        <v>-</v>
      </c>
      <c r="O66" s="1496" t="s">
        <v>93</v>
      </c>
      <c r="P66" s="1900" t="s">
        <v>93</v>
      </c>
      <c r="Q66" s="1900" t="s">
        <v>93</v>
      </c>
    </row>
    <row r="67" spans="1:17" s="1905" customFormat="1" x14ac:dyDescent="0.25">
      <c r="A67" s="1524" t="str">
        <f>'F-LSCD-007'!A54</f>
        <v>-</v>
      </c>
      <c r="B67" s="1901" t="str">
        <f>IF('F-LSCD-007'!D54="","-",'F-LSCD-007'!D54)</f>
        <v>-</v>
      </c>
      <c r="C67" s="1593" t="str">
        <f>IF(B67="-","-",'F-LSCD-004'!$H$9)</f>
        <v>-</v>
      </c>
      <c r="D67" s="1901" t="str">
        <f>IF(B67="-","-",'F-LSCD-004'!$H$10)</f>
        <v>-</v>
      </c>
      <c r="E67" s="1594" t="str">
        <f>IF('F-LSCD-007'!F54="H*(10)",'F-LSCD-007'!G54,"-")</f>
        <v>-</v>
      </c>
      <c r="F67" s="1594" t="str">
        <f>IF('F-LSCD-007'!F54="Hp(0,07)",'F-LSCD-007'!G54,"-")</f>
        <v>-</v>
      </c>
      <c r="G67" s="1594" t="str">
        <f>IF('F-LSCD-007'!F54="Hp(10)",'F-LSCD-007'!G54,"-")</f>
        <v>-</v>
      </c>
      <c r="H67" s="1594" t="str">
        <f>IF('F-LSCD-007'!F54="D(10)",'F-LSCD-007'!G54,"-")</f>
        <v>-</v>
      </c>
      <c r="I67" s="207" t="s">
        <v>93</v>
      </c>
      <c r="J67" s="1706" t="s">
        <v>93</v>
      </c>
      <c r="K67" s="1900" t="s">
        <v>93</v>
      </c>
      <c r="L67" s="1900" t="s">
        <v>93</v>
      </c>
      <c r="M67" s="1900" t="s">
        <v>93</v>
      </c>
      <c r="N67" s="1706" t="str">
        <f t="shared" si="1"/>
        <v>-</v>
      </c>
      <c r="O67" s="1900" t="s">
        <v>93</v>
      </c>
      <c r="P67" s="1900" t="s">
        <v>93</v>
      </c>
      <c r="Q67" s="1900" t="s">
        <v>93</v>
      </c>
    </row>
    <row r="68" spans="1:17" s="1905" customFormat="1" x14ac:dyDescent="0.25">
      <c r="A68" s="1524" t="str">
        <f>'F-LSCD-007'!A55</f>
        <v>-</v>
      </c>
      <c r="B68" s="1901" t="str">
        <f>IF('F-LSCD-007'!D55="","-",'F-LSCD-007'!D55)</f>
        <v>-</v>
      </c>
      <c r="C68" s="1593" t="str">
        <f>IF(B68="-","-",'F-LSCD-004'!$H$9)</f>
        <v>-</v>
      </c>
      <c r="D68" s="1901" t="str">
        <f>IF(B68="-","-",'F-LSCD-004'!$H$10)</f>
        <v>-</v>
      </c>
      <c r="E68" s="1594" t="str">
        <f>IF('F-LSCD-007'!F55="H*(10)",'F-LSCD-007'!G55,"-")</f>
        <v>-</v>
      </c>
      <c r="F68" s="1594" t="str">
        <f>IF('F-LSCD-007'!F55="Hp(0,07)",'F-LSCD-007'!G55,"-")</f>
        <v>-</v>
      </c>
      <c r="G68" s="1594" t="str">
        <f>IF('F-LSCD-007'!F55="Hp(10)",'F-LSCD-007'!G55,"-")</f>
        <v>-</v>
      </c>
      <c r="H68" s="1594" t="str">
        <f>IF('F-LSCD-007'!F55="D(10)",'F-LSCD-007'!G55,"-")</f>
        <v>-</v>
      </c>
      <c r="I68" s="207" t="s">
        <v>93</v>
      </c>
      <c r="J68" s="1706" t="s">
        <v>93</v>
      </c>
      <c r="K68" s="1900" t="s">
        <v>93</v>
      </c>
      <c r="L68" s="1900" t="s">
        <v>93</v>
      </c>
      <c r="M68" s="1900" t="s">
        <v>93</v>
      </c>
      <c r="N68" s="1706" t="str">
        <f t="shared" si="1"/>
        <v>-</v>
      </c>
      <c r="O68" s="1900" t="s">
        <v>93</v>
      </c>
      <c r="P68" s="1900" t="s">
        <v>93</v>
      </c>
      <c r="Q68" s="1900" t="s">
        <v>93</v>
      </c>
    </row>
    <row r="69" spans="1:17" s="1905" customFormat="1" ht="15" customHeight="1" x14ac:dyDescent="0.25">
      <c r="A69" s="2813" t="s">
        <v>214</v>
      </c>
      <c r="B69" s="2813"/>
      <c r="C69" s="2813"/>
      <c r="D69" s="2813"/>
      <c r="E69" s="2813"/>
      <c r="F69" s="2813"/>
      <c r="G69" s="2813"/>
      <c r="H69" s="2813"/>
      <c r="I69" s="2813"/>
    </row>
    <row r="70" spans="1:17" s="1905" customFormat="1" x14ac:dyDescent="0.25"/>
    <row r="71" spans="1:17" s="1905" customFormat="1" ht="15" customHeight="1" x14ac:dyDescent="0.25">
      <c r="A71" s="2814" t="s">
        <v>215</v>
      </c>
      <c r="B71" s="2814"/>
      <c r="C71" s="2815" t="s">
        <v>93</v>
      </c>
      <c r="D71" s="2815"/>
      <c r="E71" s="2815"/>
      <c r="F71" s="2815"/>
      <c r="G71" s="2815"/>
      <c r="H71" s="2815"/>
      <c r="I71" s="2815"/>
      <c r="J71" s="2815"/>
      <c r="K71" s="2815"/>
      <c r="L71" s="2815"/>
      <c r="M71" s="2815"/>
      <c r="N71" s="2815"/>
      <c r="O71" s="2815"/>
      <c r="P71" s="2815"/>
      <c r="Q71" s="2815"/>
    </row>
    <row r="72" spans="1:17" s="1905" customFormat="1" x14ac:dyDescent="0.25">
      <c r="A72" s="1523" t="str">
        <f>"Referencia: "&amp;$C$6</f>
        <v>Referencia: Solicitud N° 017-2019, según F-LD-018</v>
      </c>
    </row>
  </sheetData>
  <mergeCells count="59">
    <mergeCell ref="A14:B14"/>
    <mergeCell ref="C7:F7"/>
    <mergeCell ref="C12:Q12"/>
    <mergeCell ref="K14:M14"/>
    <mergeCell ref="C14:H14"/>
    <mergeCell ref="C10:P10"/>
    <mergeCell ref="D1:M4"/>
    <mergeCell ref="C8:D8"/>
    <mergeCell ref="H8:I8"/>
    <mergeCell ref="L8:Q8"/>
    <mergeCell ref="C11:Q11"/>
    <mergeCell ref="H6:Q6"/>
    <mergeCell ref="K7:M7"/>
    <mergeCell ref="O7:Q7"/>
    <mergeCell ref="H7:I7"/>
    <mergeCell ref="C9:F9"/>
    <mergeCell ref="N9:Q9"/>
    <mergeCell ref="H9:K9"/>
    <mergeCell ref="J16:M16"/>
    <mergeCell ref="N16:Q16"/>
    <mergeCell ref="A33:I33"/>
    <mergeCell ref="A16:A17"/>
    <mergeCell ref="B16:B17"/>
    <mergeCell ref="C16:C17"/>
    <mergeCell ref="D16:D17"/>
    <mergeCell ref="E16:E17"/>
    <mergeCell ref="F16:F17"/>
    <mergeCell ref="A35:B35"/>
    <mergeCell ref="C35:Q35"/>
    <mergeCell ref="A6:B6"/>
    <mergeCell ref="A7:B7"/>
    <mergeCell ref="A8:B8"/>
    <mergeCell ref="A9:B9"/>
    <mergeCell ref="A10:B10"/>
    <mergeCell ref="A11:B11"/>
    <mergeCell ref="A12:B12"/>
    <mergeCell ref="A13:B13"/>
    <mergeCell ref="C6:F6"/>
    <mergeCell ref="E8:G8"/>
    <mergeCell ref="J8:K8"/>
    <mergeCell ref="G16:G17"/>
    <mergeCell ref="H16:H17"/>
    <mergeCell ref="I16:I17"/>
    <mergeCell ref="N42:Q42"/>
    <mergeCell ref="A69:I69"/>
    <mergeCell ref="A71:B71"/>
    <mergeCell ref="C71:Q71"/>
    <mergeCell ref="C13:I13"/>
    <mergeCell ref="D37:M40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2:M42"/>
  </mergeCells>
  <pageMargins left="7.2916666666666671E-2" right="4.1666666666666664E-2" top="0.19685039370078741" bottom="0.47244094488188981" header="0.31496062992125984" footer="0.31496062992125984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500-000000000000}">
          <x14:formula1>
            <xm:f>'Datos varios'!$B$84:$B$87</xm:f>
          </x14:formula1>
          <xm:sqref>C12</xm:sqref>
        </x14:dataValidation>
        <x14:dataValidation type="list" allowBlank="1" showInputMessage="1" showErrorMessage="1" xr:uid="{00000000-0002-0000-1500-000001000000}">
          <x14:formula1>
            <xm:f>'Datos varios'!$B$101:$B$107</xm:f>
          </x14:formula1>
          <xm:sqref>C14</xm:sqref>
        </x14:dataValidation>
        <x14:dataValidation type="list" allowBlank="1" showInputMessage="1" showErrorMessage="1" xr:uid="{00000000-0002-0000-1500-000002000000}">
          <x14:formula1>
            <xm:f>'Datos varios'!$B$128:$B$131</xm:f>
          </x14:formula1>
          <xm:sqref>C10 Q10</xm:sqref>
        </x14:dataValidation>
        <x14:dataValidation type="list" allowBlank="1" showInputMessage="1" showErrorMessage="1" xr:uid="{00000000-0002-0000-1500-000003000000}">
          <x14:formula1>
            <xm:f>'Datos varios'!$B$92:$B$97</xm:f>
          </x14:formula1>
          <xm:sqref>C9:F9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35"/>
  <dimension ref="A1:V73"/>
  <sheetViews>
    <sheetView view="pageBreakPreview" topLeftCell="E26" zoomScale="90" zoomScaleNormal="90" zoomScaleSheetLayoutView="90" zoomScalePageLayoutView="70" workbookViewId="0">
      <selection activeCell="N34" sqref="N34"/>
    </sheetView>
  </sheetViews>
  <sheetFormatPr baseColWidth="10" defaultColWidth="11.42578125" defaultRowHeight="15" x14ac:dyDescent="0.25"/>
  <cols>
    <col min="1" max="1" width="11.42578125" style="87"/>
    <col min="2" max="2" width="17.5703125" style="87" customWidth="1"/>
    <col min="3" max="3" width="11.85546875" style="87" bestFit="1" customWidth="1"/>
    <col min="4" max="14" width="11.42578125" style="87"/>
    <col min="15" max="15" width="13.42578125" style="87" customWidth="1"/>
    <col min="16" max="17" width="11.42578125" style="87"/>
    <col min="18" max="19" width="11.42578125" style="87" customWidth="1"/>
    <col min="20" max="20" width="11.42578125" style="87"/>
    <col min="21" max="22" width="11.42578125" style="87" customWidth="1"/>
    <col min="23" max="16384" width="11.42578125" style="87"/>
  </cols>
  <sheetData>
    <row r="1" spans="1:21" ht="15" customHeight="1" x14ac:dyDescent="0.25">
      <c r="A1" s="145"/>
      <c r="B1" s="146"/>
      <c r="C1" s="146"/>
      <c r="D1" s="2339" t="s">
        <v>261</v>
      </c>
      <c r="E1" s="2340"/>
      <c r="F1" s="2340"/>
      <c r="G1" s="2340"/>
      <c r="H1" s="2340"/>
      <c r="I1" s="2340"/>
      <c r="J1" s="2340"/>
      <c r="K1" s="2340"/>
      <c r="L1" s="2340"/>
      <c r="M1" s="2340"/>
      <c r="N1" s="2340"/>
      <c r="O1" s="2340"/>
      <c r="P1" s="2340"/>
      <c r="Q1" s="2340"/>
      <c r="R1" s="2341"/>
      <c r="S1" s="201" t="s">
        <v>68</v>
      </c>
      <c r="T1" s="201" t="s">
        <v>282</v>
      </c>
      <c r="U1" s="147"/>
    </row>
    <row r="2" spans="1:21" ht="15" customHeight="1" x14ac:dyDescent="0.25">
      <c r="A2" s="150"/>
      <c r="D2" s="2342"/>
      <c r="E2" s="2394"/>
      <c r="F2" s="2394"/>
      <c r="G2" s="2394"/>
      <c r="H2" s="2394"/>
      <c r="I2" s="2394"/>
      <c r="J2" s="2394"/>
      <c r="K2" s="2394"/>
      <c r="L2" s="2394"/>
      <c r="M2" s="2394"/>
      <c r="N2" s="2394"/>
      <c r="O2" s="2394"/>
      <c r="P2" s="2394"/>
      <c r="Q2" s="2394"/>
      <c r="R2" s="2344"/>
      <c r="S2" s="217" t="s">
        <v>69</v>
      </c>
      <c r="T2" s="217" t="s">
        <v>843</v>
      </c>
      <c r="U2" s="151"/>
    </row>
    <row r="3" spans="1:21" ht="15" customHeight="1" x14ac:dyDescent="0.25">
      <c r="A3" s="150"/>
      <c r="D3" s="2342"/>
      <c r="E3" s="2394"/>
      <c r="F3" s="2394"/>
      <c r="G3" s="2394"/>
      <c r="H3" s="2394"/>
      <c r="I3" s="2394"/>
      <c r="J3" s="2394"/>
      <c r="K3" s="2394"/>
      <c r="L3" s="2394"/>
      <c r="M3" s="2394"/>
      <c r="N3" s="2394"/>
      <c r="O3" s="2394"/>
      <c r="P3" s="2394"/>
      <c r="Q3" s="2394"/>
      <c r="R3" s="2344"/>
      <c r="S3" s="217" t="s">
        <v>70</v>
      </c>
      <c r="T3" s="217" t="s">
        <v>844</v>
      </c>
      <c r="U3" s="151"/>
    </row>
    <row r="4" spans="1:21" ht="15" customHeight="1" x14ac:dyDescent="0.25">
      <c r="A4" s="154"/>
      <c r="B4" s="155"/>
      <c r="C4" s="155"/>
      <c r="D4" s="2345"/>
      <c r="E4" s="2346"/>
      <c r="F4" s="2346"/>
      <c r="G4" s="2346"/>
      <c r="H4" s="2346"/>
      <c r="I4" s="2346"/>
      <c r="J4" s="2346"/>
      <c r="K4" s="2346"/>
      <c r="L4" s="2346"/>
      <c r="M4" s="2346"/>
      <c r="N4" s="2346"/>
      <c r="O4" s="2346"/>
      <c r="P4" s="2346"/>
      <c r="Q4" s="2346"/>
      <c r="R4" s="2347"/>
      <c r="S4" s="202" t="s">
        <v>71</v>
      </c>
      <c r="T4" s="202" t="s">
        <v>73</v>
      </c>
      <c r="U4" s="156"/>
    </row>
    <row r="5" spans="1:21" ht="15.75" thickBot="1" x14ac:dyDescent="0.3">
      <c r="A5" s="159"/>
    </row>
    <row r="6" spans="1:21" x14ac:dyDescent="0.25">
      <c r="A6" s="2395" t="s">
        <v>237</v>
      </c>
      <c r="B6" s="2396"/>
      <c r="C6" s="1213" t="s">
        <v>921</v>
      </c>
      <c r="D6" s="1214"/>
      <c r="E6" s="1214"/>
      <c r="F6" s="1214"/>
      <c r="G6" s="1214"/>
      <c r="H6" s="1214"/>
      <c r="I6" s="1214"/>
      <c r="J6" s="1214"/>
      <c r="K6" s="1214"/>
      <c r="L6" s="1214"/>
      <c r="M6" s="1214"/>
      <c r="N6" s="1214"/>
      <c r="O6" s="1214"/>
      <c r="P6" s="1214"/>
      <c r="Q6" s="1214"/>
      <c r="R6" s="1214"/>
      <c r="S6" s="1214"/>
      <c r="T6" s="1214"/>
      <c r="U6" s="1215"/>
    </row>
    <row r="7" spans="1:21" x14ac:dyDescent="0.25">
      <c r="A7" s="2388" t="s">
        <v>318</v>
      </c>
      <c r="B7" s="2389"/>
      <c r="C7" s="1216" t="s">
        <v>922</v>
      </c>
      <c r="D7" s="1211"/>
      <c r="E7" s="1211"/>
      <c r="F7" s="1211"/>
      <c r="G7" s="1211"/>
      <c r="H7" s="1211"/>
      <c r="I7" s="1211"/>
      <c r="J7" s="1211"/>
      <c r="K7" s="1211"/>
      <c r="L7" s="1211"/>
      <c r="M7" s="1211"/>
      <c r="N7" s="1211"/>
      <c r="O7" s="1211"/>
      <c r="P7" s="1211"/>
      <c r="Q7" s="1211"/>
      <c r="R7" s="1211"/>
      <c r="S7" s="1211"/>
      <c r="T7" s="1211"/>
      <c r="U7" s="1212"/>
    </row>
    <row r="8" spans="1:21" x14ac:dyDescent="0.25">
      <c r="A8" s="2388" t="s">
        <v>319</v>
      </c>
      <c r="B8" s="2389"/>
      <c r="C8" s="1216" t="s">
        <v>923</v>
      </c>
      <c r="D8" s="1211"/>
      <c r="E8" s="1211"/>
      <c r="F8" s="1211"/>
      <c r="G8" s="1211"/>
      <c r="H8" s="1255" t="s">
        <v>320</v>
      </c>
      <c r="I8" s="1217" t="s">
        <v>924</v>
      </c>
      <c r="J8" s="1256"/>
      <c r="K8" s="1255" t="s">
        <v>321</v>
      </c>
      <c r="L8" s="1217" t="s">
        <v>924</v>
      </c>
      <c r="M8" s="1211"/>
      <c r="N8" s="1257"/>
      <c r="O8" s="1254" t="s">
        <v>322</v>
      </c>
      <c r="P8" s="1217" t="s">
        <v>924</v>
      </c>
      <c r="Q8" s="1219"/>
      <c r="R8" s="1255" t="s">
        <v>830</v>
      </c>
      <c r="S8" s="1288"/>
      <c r="T8" s="1217" t="s">
        <v>906</v>
      </c>
      <c r="U8" s="1256"/>
    </row>
    <row r="9" spans="1:21" x14ac:dyDescent="0.25">
      <c r="A9" s="2388" t="s">
        <v>468</v>
      </c>
      <c r="B9" s="2389"/>
      <c r="C9" s="1216" t="s">
        <v>940</v>
      </c>
      <c r="D9" s="1211"/>
      <c r="E9" s="1211"/>
      <c r="F9" s="1211"/>
      <c r="G9" s="1211"/>
      <c r="H9" s="1211"/>
      <c r="I9" s="1217"/>
      <c r="J9" s="1211"/>
      <c r="K9" s="1211"/>
      <c r="L9" s="1211"/>
      <c r="M9" s="1211"/>
      <c r="N9" s="1217"/>
      <c r="O9" s="1211"/>
      <c r="P9" s="1218"/>
      <c r="Q9" s="1217"/>
      <c r="R9" s="1211"/>
      <c r="S9" s="1211"/>
      <c r="T9" s="1211"/>
      <c r="U9" s="1212"/>
    </row>
    <row r="10" spans="1:21" x14ac:dyDescent="0.25">
      <c r="A10" s="2388" t="s">
        <v>315</v>
      </c>
      <c r="B10" s="2389"/>
      <c r="C10" s="1216" t="s">
        <v>925</v>
      </c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  <c r="R10" s="1211"/>
      <c r="S10" s="1211"/>
      <c r="T10" s="1211"/>
      <c r="U10" s="1212"/>
    </row>
    <row r="11" spans="1:21" x14ac:dyDescent="0.25">
      <c r="A11" s="2388" t="s">
        <v>311</v>
      </c>
      <c r="B11" s="2389"/>
      <c r="C11" s="1216" t="s">
        <v>930</v>
      </c>
      <c r="D11" s="1211"/>
      <c r="E11" s="1211"/>
      <c r="F11" s="1211"/>
      <c r="G11" s="1211"/>
      <c r="H11" s="1211"/>
      <c r="I11" s="1211"/>
      <c r="J11" s="1211"/>
      <c r="K11" s="1211"/>
      <c r="L11" s="1211"/>
      <c r="M11" s="1211"/>
      <c r="N11" s="1211"/>
      <c r="O11" s="1211"/>
      <c r="P11" s="1211"/>
      <c r="Q11" s="1211"/>
      <c r="R11" s="1211"/>
      <c r="S11" s="1211"/>
      <c r="T11" s="1211"/>
      <c r="U11" s="1212"/>
    </row>
    <row r="12" spans="1:21" x14ac:dyDescent="0.25">
      <c r="A12" s="2388" t="s">
        <v>312</v>
      </c>
      <c r="B12" s="2389"/>
      <c r="C12" s="1220" t="s">
        <v>931</v>
      </c>
      <c r="D12" s="1211"/>
      <c r="E12" s="1211"/>
      <c r="F12" s="1211"/>
      <c r="G12" s="1211"/>
      <c r="H12" s="1211"/>
      <c r="I12" s="1211"/>
      <c r="J12" s="1211"/>
      <c r="K12" s="1211"/>
      <c r="L12" s="1211"/>
      <c r="M12" s="1211"/>
      <c r="N12" s="1211"/>
      <c r="O12" s="1211"/>
      <c r="P12" s="1211"/>
      <c r="Q12" s="1211"/>
      <c r="R12" s="1211"/>
      <c r="S12" s="1211"/>
      <c r="T12" s="1211"/>
      <c r="U12" s="1212"/>
    </row>
    <row r="13" spans="1:21" x14ac:dyDescent="0.25">
      <c r="A13" s="2388" t="s">
        <v>316</v>
      </c>
      <c r="B13" s="2389"/>
      <c r="C13" s="1427" t="s">
        <v>93</v>
      </c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2"/>
    </row>
    <row r="14" spans="1:21" x14ac:dyDescent="0.25">
      <c r="A14" s="2388" t="s">
        <v>313</v>
      </c>
      <c r="B14" s="2389"/>
      <c r="C14" s="1427" t="s">
        <v>93</v>
      </c>
      <c r="D14" s="1211"/>
      <c r="E14" s="1211"/>
      <c r="F14" s="1211"/>
      <c r="G14" s="1211"/>
      <c r="H14" s="1211"/>
      <c r="I14" s="1211"/>
      <c r="J14" s="1211"/>
      <c r="K14" s="1211"/>
      <c r="L14" s="1211"/>
      <c r="M14" s="1211"/>
      <c r="N14" s="1211"/>
      <c r="O14" s="1211"/>
      <c r="P14" s="1211"/>
      <c r="Q14" s="1211"/>
      <c r="R14" s="1211"/>
      <c r="S14" s="1211"/>
      <c r="T14" s="1211"/>
      <c r="U14" s="1212"/>
    </row>
    <row r="15" spans="1:21" x14ac:dyDescent="0.25">
      <c r="A15" s="2388" t="s">
        <v>314</v>
      </c>
      <c r="B15" s="2389"/>
      <c r="C15" s="1427" t="s">
        <v>93</v>
      </c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  <c r="R15" s="1211"/>
      <c r="S15" s="1211"/>
      <c r="T15" s="1211"/>
      <c r="U15" s="1212"/>
    </row>
    <row r="16" spans="1:21" x14ac:dyDescent="0.25">
      <c r="A16" s="2388" t="s">
        <v>238</v>
      </c>
      <c r="B16" s="2389"/>
      <c r="C16" s="2845">
        <v>43145</v>
      </c>
      <c r="D16" s="2846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1211"/>
      <c r="S16" s="1211"/>
      <c r="T16" s="1211"/>
      <c r="U16" s="1212"/>
    </row>
    <row r="17" spans="1:21" x14ac:dyDescent="0.25">
      <c r="A17" s="2388" t="s">
        <v>332</v>
      </c>
      <c r="B17" s="2389"/>
      <c r="C17" s="2845">
        <v>43146</v>
      </c>
      <c r="D17" s="2846"/>
      <c r="E17" s="1211"/>
      <c r="F17" s="1211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  <c r="R17" s="1211"/>
      <c r="S17" s="1211"/>
      <c r="T17" s="1211"/>
      <c r="U17" s="1212"/>
    </row>
    <row r="18" spans="1:21" x14ac:dyDescent="0.25">
      <c r="A18" s="2388" t="s">
        <v>331</v>
      </c>
      <c r="B18" s="2389"/>
      <c r="C18" s="2845">
        <v>43146</v>
      </c>
      <c r="D18" s="2846"/>
      <c r="E18" s="1211"/>
      <c r="F18" s="1211"/>
      <c r="G18" s="1211"/>
      <c r="H18" s="1211"/>
      <c r="I18" s="1211"/>
      <c r="J18" s="1211"/>
      <c r="K18" s="1211"/>
      <c r="L18" s="1211"/>
      <c r="M18" s="1211"/>
      <c r="N18" s="1211"/>
      <c r="O18" s="1211"/>
      <c r="P18" s="1211"/>
      <c r="Q18" s="1211"/>
      <c r="R18" s="1211"/>
      <c r="S18" s="1211"/>
      <c r="T18" s="1211"/>
      <c r="U18" s="1212"/>
    </row>
    <row r="19" spans="1:21" x14ac:dyDescent="0.25">
      <c r="A19" s="2388" t="s">
        <v>262</v>
      </c>
      <c r="B19" s="2389"/>
      <c r="C19" s="2406" t="s">
        <v>932</v>
      </c>
      <c r="D19" s="2407"/>
      <c r="E19" s="2407"/>
      <c r="F19" s="2407"/>
      <c r="G19" s="2407"/>
      <c r="H19" s="2407"/>
      <c r="I19" s="2407"/>
      <c r="J19" s="2407"/>
      <c r="K19" s="2407"/>
      <c r="L19" s="1211"/>
      <c r="M19" s="1211"/>
      <c r="N19" s="1211"/>
      <c r="O19" s="1211"/>
      <c r="P19" s="1211"/>
      <c r="Q19" s="1211"/>
      <c r="R19" s="1211"/>
      <c r="S19" s="1211"/>
      <c r="T19" s="1211"/>
      <c r="U19" s="1212"/>
    </row>
    <row r="20" spans="1:21" x14ac:dyDescent="0.25">
      <c r="A20" s="2392" t="s">
        <v>124</v>
      </c>
      <c r="B20" s="2393"/>
      <c r="C20" s="1427" t="s">
        <v>846</v>
      </c>
      <c r="D20" s="1211"/>
      <c r="E20" s="1211"/>
      <c r="F20" s="1211"/>
      <c r="G20" s="1211"/>
      <c r="H20" s="1211"/>
      <c r="I20" s="1211"/>
      <c r="J20" s="1211"/>
      <c r="K20" s="1211"/>
      <c r="L20" s="1211"/>
      <c r="M20" s="1211"/>
      <c r="N20" s="1211"/>
      <c r="O20" s="1211"/>
      <c r="P20" s="1211"/>
      <c r="Q20" s="1211"/>
      <c r="R20" s="1211"/>
      <c r="S20" s="1211"/>
      <c r="T20" s="1211"/>
      <c r="U20" s="1212"/>
    </row>
    <row r="21" spans="1:21" x14ac:dyDescent="0.25">
      <c r="A21" s="2392" t="s">
        <v>127</v>
      </c>
      <c r="B21" s="2393"/>
      <c r="C21" s="1427" t="s">
        <v>317</v>
      </c>
      <c r="D21" s="1211"/>
      <c r="E21" s="1211"/>
      <c r="F21" s="1211"/>
      <c r="G21" s="1211"/>
      <c r="H21" s="1211"/>
      <c r="I21" s="1211"/>
      <c r="J21" s="1211"/>
      <c r="K21" s="1211"/>
      <c r="L21" s="1211"/>
      <c r="M21" s="1211"/>
      <c r="N21" s="1211"/>
      <c r="O21" s="1211"/>
      <c r="P21" s="1211"/>
      <c r="Q21" s="1211"/>
      <c r="R21" s="1211"/>
      <c r="S21" s="1211"/>
      <c r="T21" s="1211"/>
      <c r="U21" s="1212"/>
    </row>
    <row r="22" spans="1:21" ht="15" customHeight="1" x14ac:dyDescent="0.25">
      <c r="A22" s="2392" t="s">
        <v>125</v>
      </c>
      <c r="B22" s="2393"/>
      <c r="C22" s="2406" t="s">
        <v>937</v>
      </c>
      <c r="D22" s="2407"/>
      <c r="E22" s="2407"/>
      <c r="F22" s="2407"/>
      <c r="G22" s="2407"/>
      <c r="H22" s="2407"/>
      <c r="I22" s="2407"/>
      <c r="J22" s="2407"/>
      <c r="K22" s="2407"/>
      <c r="L22" s="1418"/>
      <c r="M22" s="1211"/>
      <c r="N22" s="1211"/>
      <c r="O22" s="1211"/>
      <c r="P22" s="1211"/>
      <c r="Q22" s="1211"/>
      <c r="R22" s="1211"/>
      <c r="S22" s="1211"/>
      <c r="T22" s="1211"/>
      <c r="U22" s="1212"/>
    </row>
    <row r="23" spans="1:21" x14ac:dyDescent="0.25">
      <c r="A23" s="2392" t="s">
        <v>126</v>
      </c>
      <c r="B23" s="2393"/>
      <c r="C23" s="2406" t="s">
        <v>850</v>
      </c>
      <c r="D23" s="2407"/>
      <c r="E23" s="2407"/>
      <c r="F23" s="2407"/>
      <c r="G23" s="2407"/>
      <c r="H23" s="2407"/>
      <c r="I23" s="2407"/>
      <c r="J23" s="2407"/>
      <c r="K23" s="2407"/>
      <c r="L23" s="2407"/>
      <c r="M23" s="2407"/>
      <c r="N23" s="1211"/>
      <c r="O23" s="1211"/>
      <c r="P23" s="1211"/>
      <c r="Q23" s="1211"/>
      <c r="R23" s="1211"/>
      <c r="S23" s="1211"/>
      <c r="T23" s="1211"/>
      <c r="U23" s="1212"/>
    </row>
    <row r="24" spans="1:21" x14ac:dyDescent="0.25">
      <c r="A24" s="2392" t="s">
        <v>323</v>
      </c>
      <c r="B24" s="2393"/>
      <c r="C24" s="1427" t="s">
        <v>929</v>
      </c>
      <c r="D24" s="1211"/>
      <c r="E24" s="1211" t="s">
        <v>324</v>
      </c>
      <c r="F24" s="1221" t="s">
        <v>325</v>
      </c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  <c r="R24" s="1211"/>
      <c r="S24" s="1211"/>
      <c r="T24" s="1211"/>
      <c r="U24" s="1212"/>
    </row>
    <row r="25" spans="1:21" x14ac:dyDescent="0.25">
      <c r="A25" s="2388" t="s">
        <v>328</v>
      </c>
      <c r="B25" s="2389"/>
      <c r="C25" s="1426" t="s">
        <v>938</v>
      </c>
      <c r="D25" s="1211"/>
      <c r="E25" s="1211"/>
      <c r="F25" s="1222"/>
      <c r="G25" s="1211"/>
      <c r="H25" s="1211"/>
      <c r="I25" s="1211"/>
      <c r="J25" s="1211"/>
      <c r="K25" s="1211"/>
      <c r="L25" s="1211"/>
      <c r="M25" s="1211"/>
      <c r="N25" s="1211"/>
      <c r="O25" s="1211"/>
      <c r="P25" s="1211"/>
      <c r="Q25" s="1211"/>
      <c r="R25" s="1211"/>
      <c r="S25" s="1211"/>
      <c r="T25" s="1211"/>
      <c r="U25" s="1212"/>
    </row>
    <row r="26" spans="1:21" ht="15.75" thickBot="1" x14ac:dyDescent="0.3">
      <c r="A26" s="2390" t="s">
        <v>336</v>
      </c>
      <c r="B26" s="2391"/>
      <c r="C26" s="1223" t="s">
        <v>928</v>
      </c>
      <c r="D26" s="1224"/>
      <c r="E26" s="1224"/>
      <c r="F26" s="1224"/>
      <c r="G26" s="1224"/>
      <c r="H26" s="1224"/>
      <c r="I26" s="1224"/>
      <c r="J26" s="1224"/>
      <c r="K26" s="1224"/>
      <c r="L26" s="1224"/>
      <c r="M26" s="1224"/>
      <c r="N26" s="1224"/>
      <c r="O26" s="1224"/>
      <c r="P26" s="1224"/>
      <c r="Q26" s="1224"/>
      <c r="R26" s="1224"/>
      <c r="S26" s="1224"/>
      <c r="T26" s="1224"/>
      <c r="U26" s="1225"/>
    </row>
    <row r="27" spans="1:21" ht="15.75" thickBot="1" x14ac:dyDescent="0.3"/>
    <row r="28" spans="1:21" x14ac:dyDescent="0.25">
      <c r="A28" s="2384" t="s">
        <v>333</v>
      </c>
      <c r="B28" s="2385"/>
      <c r="C28" s="1164" t="s">
        <v>852</v>
      </c>
      <c r="D28" s="1266">
        <v>19.899999999999999</v>
      </c>
      <c r="E28" s="1164" t="s">
        <v>853</v>
      </c>
      <c r="F28" s="1230">
        <v>52</v>
      </c>
      <c r="G28" s="983" t="s">
        <v>854</v>
      </c>
      <c r="H28" s="1234">
        <v>1010</v>
      </c>
      <c r="I28" s="219"/>
      <c r="J28" s="219"/>
      <c r="N28" s="219"/>
      <c r="O28" s="219"/>
    </row>
    <row r="29" spans="1:21" ht="15.75" thickBot="1" x14ac:dyDescent="0.3">
      <c r="A29" s="2386"/>
      <c r="B29" s="2387"/>
      <c r="C29" s="1228" t="s">
        <v>855</v>
      </c>
      <c r="D29" s="1267">
        <v>19.899999999999999</v>
      </c>
      <c r="E29" s="1228" t="s">
        <v>856</v>
      </c>
      <c r="F29" s="1231">
        <v>52</v>
      </c>
      <c r="G29" s="1229" t="s">
        <v>857</v>
      </c>
      <c r="H29" s="1235">
        <v>1010</v>
      </c>
      <c r="I29" s="219"/>
      <c r="J29" s="219"/>
      <c r="N29" s="219"/>
      <c r="O29" s="219"/>
    </row>
    <row r="30" spans="1:21" ht="15.75" thickTop="1" x14ac:dyDescent="0.25">
      <c r="A30" s="2402" t="s">
        <v>334</v>
      </c>
      <c r="B30" s="2403"/>
      <c r="C30" s="1226" t="s">
        <v>852</v>
      </c>
      <c r="D30" s="1281" t="s">
        <v>93</v>
      </c>
      <c r="E30" s="1226" t="s">
        <v>853</v>
      </c>
      <c r="F30" s="1232" t="s">
        <v>93</v>
      </c>
      <c r="G30" s="1227" t="s">
        <v>854</v>
      </c>
      <c r="H30" s="1236" t="s">
        <v>93</v>
      </c>
      <c r="I30" s="219"/>
      <c r="J30" s="219"/>
      <c r="N30" s="219"/>
      <c r="O30" s="219"/>
    </row>
    <row r="31" spans="1:21" ht="15.75" thickBot="1" x14ac:dyDescent="0.3">
      <c r="A31" s="2404"/>
      <c r="B31" s="2405"/>
      <c r="C31" s="985" t="s">
        <v>855</v>
      </c>
      <c r="D31" s="1332" t="s">
        <v>93</v>
      </c>
      <c r="E31" s="985" t="s">
        <v>856</v>
      </c>
      <c r="F31" s="1233" t="s">
        <v>93</v>
      </c>
      <c r="G31" s="986" t="s">
        <v>857</v>
      </c>
      <c r="H31" s="1237" t="s">
        <v>93</v>
      </c>
      <c r="I31" s="219"/>
      <c r="J31" s="219"/>
      <c r="N31" s="219"/>
      <c r="O31" s="219"/>
    </row>
    <row r="32" spans="1:21" ht="15.75" thickBot="1" x14ac:dyDescent="0.3">
      <c r="A32" s="56"/>
      <c r="B32" s="56"/>
      <c r="C32" s="220"/>
      <c r="E32" s="220"/>
      <c r="N32" s="219"/>
      <c r="O32" s="219"/>
    </row>
    <row r="33" spans="1:22" ht="15.75" thickBot="1" x14ac:dyDescent="0.3">
      <c r="A33" s="992" t="s">
        <v>701</v>
      </c>
      <c r="B33" s="1205" t="s">
        <v>826</v>
      </c>
      <c r="C33" s="1206" t="s">
        <v>816</v>
      </c>
      <c r="D33" s="1207" t="s">
        <v>817</v>
      </c>
      <c r="E33" s="1207" t="s">
        <v>818</v>
      </c>
      <c r="F33" s="1207" t="s">
        <v>819</v>
      </c>
      <c r="G33" s="1207" t="s">
        <v>820</v>
      </c>
      <c r="H33" s="1207" t="s">
        <v>821</v>
      </c>
      <c r="I33" s="1207" t="s">
        <v>822</v>
      </c>
      <c r="J33" s="1207" t="s">
        <v>823</v>
      </c>
      <c r="K33" s="1207" t="s">
        <v>824</v>
      </c>
      <c r="L33" s="1208" t="s">
        <v>825</v>
      </c>
      <c r="M33" s="1203" t="s">
        <v>668</v>
      </c>
      <c r="N33" s="1209" t="s">
        <v>117</v>
      </c>
      <c r="O33" s="1202" t="s">
        <v>248</v>
      </c>
      <c r="P33" s="1203" t="s">
        <v>62</v>
      </c>
      <c r="Q33" s="1204" t="s">
        <v>249</v>
      </c>
      <c r="R33" s="1202" t="s">
        <v>832</v>
      </c>
      <c r="S33" s="1203" t="s">
        <v>845</v>
      </c>
      <c r="T33" s="1203" t="s">
        <v>310</v>
      </c>
      <c r="U33" s="1203" t="s">
        <v>831</v>
      </c>
    </row>
    <row r="34" spans="1:22" ht="15.75" thickBot="1" x14ac:dyDescent="0.3">
      <c r="A34" s="1162">
        <f>IF('F-LSCD-003'!D17="-","-",'F-LSCD-003'!D17*1000000)</f>
        <v>25000</v>
      </c>
      <c r="B34" s="1187" t="s">
        <v>933</v>
      </c>
      <c r="C34" s="1424">
        <v>60</v>
      </c>
      <c r="D34" s="1244">
        <v>60</v>
      </c>
      <c r="E34" s="1244">
        <v>60</v>
      </c>
      <c r="F34" s="1244">
        <v>60</v>
      </c>
      <c r="G34" s="1244">
        <v>60</v>
      </c>
      <c r="H34" s="1244">
        <v>60</v>
      </c>
      <c r="I34" s="1244">
        <v>60</v>
      </c>
      <c r="J34" s="1244">
        <v>60</v>
      </c>
      <c r="K34" s="1244">
        <v>60</v>
      </c>
      <c r="L34" s="1245">
        <v>60</v>
      </c>
      <c r="M34" s="1263">
        <v>1</v>
      </c>
      <c r="N34" s="1246" t="s">
        <v>935</v>
      </c>
      <c r="O34" s="1195">
        <f t="shared" ref="O34:O40" si="0">IF(C34="-","-",IF(C34="full range","full range",IF(C34="Alarma on","Alarma on",IF(C34="Alarma off","Alarma off",AVERAGE(C34:L34)))))</f>
        <v>60</v>
      </c>
      <c r="P34" s="1195">
        <f>IF(C34="-","-",IF(O34="full range","-",STDEVA(C34:L34)))</f>
        <v>0</v>
      </c>
      <c r="Q34" s="1196">
        <f t="shared" ref="Q34:Q57" si="1">IF(C34="-","-",IF(O34="full range","-",P34/O34*100))</f>
        <v>0</v>
      </c>
      <c r="R34" s="1289">
        <f>CHOOSE(V34,A34/O34,A34/(O34*1000),A34/(O34*1000000),A34/(O34*'Datos varios'!$E$119),A34/(O34*'Datos varios'!$E$120),A34/(O34*'Datos varios'!$E$121),A34/(O34*'Datos varios'!$E$122),A34/(O34*'Datos varios'!$E$123),O34/O35,"-")</f>
        <v>0.70339976553341155</v>
      </c>
      <c r="S34" s="1292" t="str">
        <f>CHOOSE(V34,O34/A34-1,(O34*1000)/A34-1,(O34*1000000)/A34-1,(O34*'Datos varios'!$E$119)/A34-1,(O34*'Datos varios'!$E$120)/A34-1,(O34*'Datos varios'!$E$121)/A34-1,(O34*'Datos varios'!$E$122)/A34-1,(O34*'Datos varios'!$E$123)/A34-1,"-")</f>
        <v>-</v>
      </c>
      <c r="T34" s="1197">
        <v>0.1</v>
      </c>
      <c r="U34" s="1195" t="str">
        <f>IF(O34="full range","OUT",CHOOSE(V34,IF(AND(O34&lt;=(A34+10/100*A34),O34&gt;=(A34-10/100*A34),T34&lt;=10%),"OK","OUT"),IF(AND(O34*1000&lt;=(A34+10/100*A34),O34*1000&gt;=(A34-10/100*A34),T34&lt;=10%),"OK","OUT"),IF(AND(O34*1000000&lt;=(A34+10/100*A34),O34*1000000&gt;=(A34-10/100*A34),T34&lt;=10%),"OK","OUT"),IF(AND(O34*'Datos varios'!$E$119&lt;=(A34+10/100*A34),O34*'Datos varios'!$E$119&gt;=(A34-10/100*A34),T34&lt;=10%),"OK","OUT"),IF(AND(O34*'Datos varios'!$E$120&lt;=(A34+10/100*A34),O34*'Datos varios'!$E$120&gt;=(A34-10/100*A34),T34&lt;=10%),"OK","OUT"),IF(AND(O34*'Datos varios'!$E$121&lt;=(A34+10/100*A34),O34*'Datos varios'!$E$121&gt;=(A34-10/100*A34),T34&lt;=10%),"OK","OUT"),IF(AND(O34*'Datos varios'!$E$122&lt;=(A34+10/100*A34),O34*'Datos varios'!$E$122&gt;=(A34-10/100*A34),T34&lt;=10%),"OK","OUT"),IF(AND(O34*'Datos varios'!$E$123&lt;=(A34+10/100*A34),O34*'Datos varios'!$E$123&gt;=(A34-10/100*A34),T34&lt;=10%),"OK","OUT"),"-"))</f>
        <v>-</v>
      </c>
      <c r="V34" s="87">
        <f>IF(N34="µSv/h",1,IF(N34="mSv/h",2,IF(N34="Sv/h",3,IF(N34="R/h",4,IF(N34="mR/h",5,IF(N34="µR/h",6,IF(N34="rem/h",7,IF(N34="mrem/h",8,IF(N34="Chirps/min",9,IF(N34="-",10))))))))))</f>
        <v>9</v>
      </c>
    </row>
    <row r="35" spans="1:22" ht="16.5" thickTop="1" thickBot="1" x14ac:dyDescent="0.3">
      <c r="A35" s="1161" t="str">
        <f>IF(A34="-","-","µSv/h")</f>
        <v>µSv/h</v>
      </c>
      <c r="B35" s="1188" t="s">
        <v>941</v>
      </c>
      <c r="C35" s="1283">
        <v>84</v>
      </c>
      <c r="D35" s="1285">
        <v>88</v>
      </c>
      <c r="E35" s="1285">
        <v>84</v>
      </c>
      <c r="F35" s="1285">
        <v>85</v>
      </c>
      <c r="G35" s="1285">
        <v>81</v>
      </c>
      <c r="H35" s="1285">
        <v>81</v>
      </c>
      <c r="I35" s="1285">
        <v>86</v>
      </c>
      <c r="J35" s="1285">
        <v>92</v>
      </c>
      <c r="K35" s="1285">
        <v>87</v>
      </c>
      <c r="L35" s="1286">
        <v>85</v>
      </c>
      <c r="M35" s="1284">
        <v>1</v>
      </c>
      <c r="N35" s="1431" t="s">
        <v>935</v>
      </c>
      <c r="O35" s="1261">
        <f t="shared" si="0"/>
        <v>85.3</v>
      </c>
      <c r="P35" s="1191">
        <f t="shared" ref="P35:P57" si="2">IF(C35="-","-",IF(O35="full range","-",STDEVA(C35:L35)))</f>
        <v>3.2676869155073254</v>
      </c>
      <c r="Q35" s="1192">
        <f t="shared" si="1"/>
        <v>3.8308170170074161</v>
      </c>
      <c r="R35" s="1290">
        <f>CHOOSE(V35,A34/O35,A34/(O35*1000),A34/(O35*1000000),A34/(O35*'Datos varios'!$E$119),A34/(O35*'Datos varios'!$E$120),A34/(O35*'Datos varios'!$E$121),A34/(O35*'Datos varios'!$E$122),A34/(O35*'Datos varios'!$E$123),O34/O35,"-")</f>
        <v>0.70339976553341155</v>
      </c>
      <c r="S35" s="1293" t="str">
        <f>CHOOSE(V35,O35/A34-1,(O35*1000)/A34-1,(O35*1000000)/A34-1,(O35*'Datos varios'!$E$119)/A34-1,(O35*'Datos varios'!$E$120)/A34-1,(O35*'Datos varios'!$E$121)/A34-1,(O35*'Datos varios'!$E$122)/A34-1,(O35*'Datos varios'!$E$123)/A34-1,"-")</f>
        <v>-</v>
      </c>
      <c r="T35" s="1193">
        <v>0.1</v>
      </c>
      <c r="U35" s="1193" t="str">
        <f>IF(O35="full range","OUT",CHOOSE(V35,IF(AND(O35&lt;=(A34+10/100*A34),O35&gt;=(A34-10/100*A34),T35&lt;=10%),"OK","OUT"),IF(AND(O35*1000&lt;=(A34+10/100*A34),O35*1000&gt;=(A34-10/100*A34),T35&lt;=10%),"OK","OUT"),IF(AND(O35*1000000&lt;=(A34+10/100*A34),O35*1000000&gt;=(A34-10/100*A34),T35&lt;=10%),"OK","OUT"),IF(AND(O35*'Datos varios'!$E$119&lt;=(A34+10/100*A34),O35*'Datos varios'!$E$119&gt;=(A34-10/100*A34),T35&lt;=10%),"OK","OUT"),IF(AND(O35*'Datos varios'!$E$120&lt;=(A34+10/100*A34),O35*'Datos varios'!$E$120&gt;=(A34-10/100*A34),T35&lt;=10%),"OK","OUT"),IF(AND(O35*'Datos varios'!$E$121&lt;=(A34+10/100*A34),O35*'Datos varios'!$E$121&gt;=(A34-10/100*A34),T35&lt;=10%),"OK","OUT"),IF(AND(O35*'Datos varios'!$E$122&lt;=(A34+10/100*A34),O35*'Datos varios'!$E$122&gt;=(A34-10/100*A34),T35&lt;=10%),"OK","OUT"),IF(AND(O35*'Datos varios'!$E$123&lt;=(A34+10/100*A34),O35*'Datos varios'!$E$123&gt;=(A34-10/100*A34),T35&lt;=10%),"OK","OUT"),"-"))</f>
        <v>-</v>
      </c>
      <c r="V35" s="87">
        <f>IF(N35="µSv/h",1,IF(N35="mSv/h",2,IF(N35="Sv/h",3,IF(N35="R/h",4,IF(N35="mR/h",5,IF(N35="µR/h",6,IF(N35="rem/h",7,IF(N35="mrem/h",8,IF(N35="Chirps/min",9,IF(N35="-",10))))))))))</f>
        <v>9</v>
      </c>
    </row>
    <row r="36" spans="1:22" ht="15.75" thickBot="1" x14ac:dyDescent="0.3">
      <c r="A36" s="1163" t="str">
        <f>IF('F-LSCD-003'!D18="-","-",'F-LSCD-003'!D18*1000000)</f>
        <v>-</v>
      </c>
      <c r="B36" s="1185" t="s">
        <v>933</v>
      </c>
      <c r="C36" s="1268">
        <v>60</v>
      </c>
      <c r="D36" s="1269">
        <v>60</v>
      </c>
      <c r="E36" s="1269">
        <v>60</v>
      </c>
      <c r="F36" s="1269">
        <v>60</v>
      </c>
      <c r="G36" s="1269">
        <v>60</v>
      </c>
      <c r="H36" s="1269">
        <v>60</v>
      </c>
      <c r="I36" s="1269">
        <v>60</v>
      </c>
      <c r="J36" s="1269">
        <v>60</v>
      </c>
      <c r="K36" s="1269">
        <v>60</v>
      </c>
      <c r="L36" s="1270">
        <v>60</v>
      </c>
      <c r="M36" s="1271">
        <v>1</v>
      </c>
      <c r="N36" s="1248" t="s">
        <v>935</v>
      </c>
      <c r="O36" s="1198">
        <f t="shared" si="0"/>
        <v>60</v>
      </c>
      <c r="P36" s="1198">
        <f t="shared" si="2"/>
        <v>0</v>
      </c>
      <c r="Q36" s="1199">
        <f t="shared" si="1"/>
        <v>0</v>
      </c>
      <c r="R36" s="1291">
        <f>CHOOSE(V36,A36/O36,A36/(O36*1000),A36/(O36*1000000),A36/(O36*'Datos varios'!$E$119),A36/(O36*'Datos varios'!$E$120),A36/(O36*'Datos varios'!$E$121),A36/(O36*'Datos varios'!$E$122),A36/(O36*'Datos varios'!$E$123),O36/O37,"-")</f>
        <v>1.3129102844638949</v>
      </c>
      <c r="S36" s="1294" t="str">
        <f>CHOOSE(V36,O36/A36-1,(O36*1000)/A36-1,(O36*1000000)/A36-1,(O36*'Datos varios'!$E$119)/A36-1,(O36*'Datos varios'!$E$120)/A36-1,(O36*'Datos varios'!$E$121)/A36-1,(O36*'Datos varios'!$E$122)/A36-1,(O36*'Datos varios'!$E$123)/A36-1,"-")</f>
        <v>-</v>
      </c>
      <c r="T36" s="1200">
        <v>0.1</v>
      </c>
      <c r="U36" s="1198" t="str">
        <f>IF(O36="full range","OUT",CHOOSE(V36,IF(AND(O36&lt;=(A36+10/100*A36),O36&gt;=(A36-10/100*A36),T36&lt;=10%),"OK","OUT"),IF(AND(O36*1000&lt;=(A36+10/100*A36),O36*1000&gt;=(A36-10/100*A36),T36&lt;=10%),"OK","OUT"),IF(AND(O36*1000000&lt;=(A36+10/100*A36),O36*1000000&gt;=(A36-10/100*A36),T36&lt;=10%),"OK","OUT"),IF(AND(O36*'Datos varios'!$E$119&lt;=(A36+10/100*A36),O36*'Datos varios'!$E$119&gt;=(A36-10/100*A36),T36&lt;=10%),"OK","OUT"),IF(AND(O36*'Datos varios'!$E$120&lt;=(A36+10/100*A36),O36*'Datos varios'!$E$120&gt;=(A36-10/100*A36),T36&lt;=10%),"OK","OUT"),IF(AND(O36*'Datos varios'!$E$121&lt;=(A36+10/100*A36),O36*'Datos varios'!$E$121&gt;=(A36-10/100*A36),T36&lt;=10%),"OK","OUT"),IF(AND(O36*'Datos varios'!$E$122&lt;=(A36+10/100*A36),O36*'Datos varios'!$E$122&gt;=(A36-10/100*A36),T36&lt;=10%),"OK","OUT"),IF(AND(O36*'Datos varios'!$E$123&lt;=(A36+10/100*A36),O36*'Datos varios'!$E$123&gt;=(A36-10/100*A36),T36&lt;=10%),"OK","OUT"),"-"))</f>
        <v>-</v>
      </c>
      <c r="V36" s="87">
        <f>IF(N36="µSv/h",1,IF(N36="mSv/h",2,IF(N36="Sv/h",3,IF(N36="R/h",4,IF(N36="mR/h",5,IF(N36="µR/h",6,IF(N36="rem/h",7,IF(N36="mrem/h",8,IF(N36="Chirps/min",9,IF(N36="-",10))))))))))</f>
        <v>9</v>
      </c>
    </row>
    <row r="37" spans="1:22" ht="16.5" thickTop="1" thickBot="1" x14ac:dyDescent="0.3">
      <c r="A37" s="1161" t="str">
        <f>IF(A36="-","-","µSv/h")</f>
        <v>-</v>
      </c>
      <c r="B37" s="1186" t="s">
        <v>941</v>
      </c>
      <c r="C37" s="1240">
        <v>46</v>
      </c>
      <c r="D37" s="1241">
        <v>47</v>
      </c>
      <c r="E37" s="1241">
        <v>45</v>
      </c>
      <c r="F37" s="1241">
        <v>45</v>
      </c>
      <c r="G37" s="1241">
        <v>45</v>
      </c>
      <c r="H37" s="1241">
        <v>47</v>
      </c>
      <c r="I37" s="1241">
        <v>46</v>
      </c>
      <c r="J37" s="1241">
        <v>45</v>
      </c>
      <c r="K37" s="1241">
        <v>45</v>
      </c>
      <c r="L37" s="1242">
        <v>46</v>
      </c>
      <c r="M37" s="1282">
        <v>1</v>
      </c>
      <c r="N37" s="1432" t="s">
        <v>935</v>
      </c>
      <c r="O37" s="1260">
        <f t="shared" si="0"/>
        <v>45.7</v>
      </c>
      <c r="P37" s="1005">
        <f t="shared" si="2"/>
        <v>0.82327260234856448</v>
      </c>
      <c r="Q37" s="1189">
        <f t="shared" si="1"/>
        <v>1.8014717775679745</v>
      </c>
      <c r="R37" s="1006">
        <f>CHOOSE(V37,A36/O37,A36/(O37*1000),A36/(O37*1000000),A36/(O37*'Datos varios'!$E$119),A36/(O37*'Datos varios'!$E$120),A36/(O37*'Datos varios'!$E$121),A36/(O37*'Datos varios'!$E$122),A36/(O37*'Datos varios'!$E$123),O36/O37,"-")</f>
        <v>1.3129102844638949</v>
      </c>
      <c r="S37" s="1295" t="str">
        <f>CHOOSE(V37,O37/A36-1,(O37*1000)/A36-1,(O37*1000000)/A36-1,(O37*'Datos varios'!$E$119)/A36-1,(O37*'Datos varios'!$E$120)/A36-1,(O37*'Datos varios'!$E$121)/A36-1,(O37*'Datos varios'!$E$122)/A36-1,(O37*'Datos varios'!$E$123)/A36-1,"-")</f>
        <v>-</v>
      </c>
      <c r="T37" s="1190">
        <v>0.1</v>
      </c>
      <c r="U37" s="1190" t="str">
        <f>IF(O37="full range","OUT",CHOOSE(V37,IF(AND(O37&lt;=(A36+10/100*A36),O37&gt;=(A36-10/100*A36),T37&lt;=10%),"OK","OUT"),IF(AND(O37*1000&lt;=(A36+10/100*A36),O37*1000&gt;=(A36-10/100*A36),T37&lt;=10%),"OK","OUT"),IF(AND(O37*1000000&lt;=(A36+10/100*A36),O37*1000000&gt;=(A36-10/100*A36),T37&lt;=10%),"OK","OUT"),IF(AND(O37*'Datos varios'!$E$119&lt;=(A36+10/100*A36),O37*'Datos varios'!$E$119&gt;=(A36-10/100*A36),T37&lt;=10%),"OK","OUT"),IF(AND(O37*'Datos varios'!$E$120&lt;=(A36+10/100*A36),O37*'Datos varios'!$E$120&gt;=(A36-10/100*A36),T37&lt;=10%),"OK","OUT"),IF(AND(O37*'Datos varios'!$E$121&lt;=(A36+10/100*A36),O37*'Datos varios'!$E$121&gt;=(A36-10/100*A36),T37&lt;=10%),"OK","OUT"),IF(AND(O37*'Datos varios'!$E$122&lt;=(A36+10/100*A36),O37*'Datos varios'!$E$122&gt;=(A429-10/100*A36),T37&lt;=10%),"OK","OUT"),IF(AND(O37*'Datos varios'!$E$123&lt;=(A36+10/100*A36),O37*'Datos varios'!$E$123&gt;=(A36-10/100*A36),T37&lt;=10%),"OK","OUT"),"-"))</f>
        <v>-</v>
      </c>
      <c r="V37" s="87">
        <f>IF(N37="µSv/h",1,IF(N37="mSv/h",2,IF(N37="Sv/h",3,IF(N37="R/h",4,IF(N37="mR/h",5,IF(N37="µR/h",6,IF(N37="rem/h",7,IF(N37="mrem/h",8,IF(N37="Chirps/min",9,IF(N37="-",10))))))))))</f>
        <v>9</v>
      </c>
    </row>
    <row r="38" spans="1:22" ht="15.75" thickBot="1" x14ac:dyDescent="0.3">
      <c r="A38" s="1162" t="str">
        <f>IF('F-LSCD-003'!D19="-","-",'F-LSCD-003'!D19*1000000)</f>
        <v>-</v>
      </c>
      <c r="B38" s="1187" t="str">
        <f>IF(A38="-","-","Antes del ajuste")</f>
        <v>-</v>
      </c>
      <c r="C38" s="1243" t="s">
        <v>93</v>
      </c>
      <c r="D38" s="1244" t="s">
        <v>93</v>
      </c>
      <c r="E38" s="1244" t="s">
        <v>93</v>
      </c>
      <c r="F38" s="1244" t="s">
        <v>93</v>
      </c>
      <c r="G38" s="1244" t="s">
        <v>93</v>
      </c>
      <c r="H38" s="1244" t="s">
        <v>93</v>
      </c>
      <c r="I38" s="1244" t="s">
        <v>93</v>
      </c>
      <c r="J38" s="1244" t="s">
        <v>93</v>
      </c>
      <c r="K38" s="1244" t="s">
        <v>93</v>
      </c>
      <c r="L38" s="1245" t="s">
        <v>93</v>
      </c>
      <c r="M38" s="1263" t="s">
        <v>93</v>
      </c>
      <c r="N38" s="1246" t="s">
        <v>93</v>
      </c>
      <c r="O38" s="1287" t="str">
        <f t="shared" si="0"/>
        <v>-</v>
      </c>
      <c r="P38" s="1195" t="str">
        <f t="shared" si="2"/>
        <v>-</v>
      </c>
      <c r="Q38" s="1196" t="str">
        <f t="shared" si="1"/>
        <v>-</v>
      </c>
      <c r="R38" s="1289" t="str">
        <f>CHOOSE(V38,A38/O38,A38/(O38*1000),A38/(O38*1000000),A38/(O38*'Datos varios'!$E$119),A38/(O38*'Datos varios'!$E$120),A38/(O38*'Datos varios'!$E$121),A38/(O38*'Datos varios'!$E$122),A38/(O38*'Datos varios'!$E$123),"-")</f>
        <v>-</v>
      </c>
      <c r="S38" s="1292" t="str">
        <f>CHOOSE(V38,O38/A38-1,(O38*1000)/A38-1,(O38*1000000)/A38-1,(O38*'Datos varios'!$E$119)/A38-1,(O38*'Datos varios'!$E$120)/A38-1,(O38*'Datos varios'!$E$121)/A38-1,(O38*'Datos varios'!$E$122)/A38-1,(O38*'Datos varios'!$E$123)/A38-1,"-")</f>
        <v>-</v>
      </c>
      <c r="T38" s="1197" t="str">
        <f>IF(C38="-","-",IF(C38="full range","-",IF(C38="Alarma off","10",IF(C38="Alarma on","10",'Incert. Cal. Mon.'!AO39))))</f>
        <v>-</v>
      </c>
      <c r="U38" s="1195" t="str">
        <f>IF(O38="full range","OUT",CHOOSE(V38,IF(AND(O38&lt;=(A38+10/100*A38),O38&gt;=(A38-10/100*A38),T38&lt;=10%),"OK","OUT"),IF(AND(O38*1000&lt;=(A38+10/100*A38),O38*1000&gt;=(A38-10/100*A38),T38&lt;=10%),"OK","OUT"),IF(AND(O38*1000000&lt;=(A38+10/100*A38),O38*1000000&gt;=(A38-10/100*A38),T38&lt;=10%),"OK","OUT"),IF(AND(O38*'Datos varios'!$E$119&lt;=(A38+10/100*A38),O38*'Datos varios'!$E$119&gt;=(A38-10/100*A38),T38&lt;=10%),"OK","OUT"),IF(AND(O38*'Datos varios'!$E$120&lt;=(A38+10/100*A38),O38*'Datos varios'!$E$120&gt;=(A38-10/100*A38),T38&lt;=10%),"OK","OUT"),IF(AND(O38*'Datos varios'!$E$121&lt;=(A38+10/100*A38),O38*'Datos varios'!$E$121&gt;=(A38-10/100*A38),T38&lt;=10%),"OK","OUT"),IF(AND(O38*'Datos varios'!$E$122&lt;=(A38+10/100*A38),O38*'Datos varios'!$E$122&gt;=(A38-10/100*A38),T38&lt;=10%),"OK","OUT"),IF(AND(O38*'Datos varios'!$E$123&lt;=(A38+10/100*A38),O38*'Datos varios'!$E$123&gt;=(A38-10/100*A38),T38&lt;=10%),"OK","OUT"),"-"))</f>
        <v>-</v>
      </c>
      <c r="V38" s="87">
        <f t="shared" ref="V38:V57" si="3">IF(N38="µSv/h",1,IF(N38="mSv/h",2,IF(N38="Sv/h",3,IF(N38="R/h",4,IF(N38="mR/h",5,IF(N38="µR/h",6,IF(N38="rem/h",7,IF(N38="mrem/h",8,IF(N38="-",9)))))))))</f>
        <v>9</v>
      </c>
    </row>
    <row r="39" spans="1:22" ht="16.5" thickTop="1" thickBot="1" x14ac:dyDescent="0.3">
      <c r="A39" s="1161" t="str">
        <f>IF(A38="-","-","µSv/h")</f>
        <v>-</v>
      </c>
      <c r="B39" s="1188" t="str">
        <f>IF(A38="-","-","Después del ajuste")</f>
        <v>-</v>
      </c>
      <c r="C39" s="1283" t="s">
        <v>93</v>
      </c>
      <c r="D39" s="1285" t="s">
        <v>93</v>
      </c>
      <c r="E39" s="1285" t="s">
        <v>93</v>
      </c>
      <c r="F39" s="1285" t="s">
        <v>93</v>
      </c>
      <c r="G39" s="1285" t="s">
        <v>93</v>
      </c>
      <c r="H39" s="1285" t="s">
        <v>93</v>
      </c>
      <c r="I39" s="1285" t="s">
        <v>93</v>
      </c>
      <c r="J39" s="1285" t="s">
        <v>93</v>
      </c>
      <c r="K39" s="1285" t="s">
        <v>93</v>
      </c>
      <c r="L39" s="1286" t="s">
        <v>93</v>
      </c>
      <c r="M39" s="1284" t="s">
        <v>93</v>
      </c>
      <c r="N39" s="1431" t="s">
        <v>93</v>
      </c>
      <c r="O39" s="1331" t="str">
        <f t="shared" si="0"/>
        <v>-</v>
      </c>
      <c r="P39" s="1191" t="str">
        <f t="shared" si="2"/>
        <v>-</v>
      </c>
      <c r="Q39" s="1192" t="str">
        <f t="shared" si="1"/>
        <v>-</v>
      </c>
      <c r="R39" s="1290" t="str">
        <f>CHOOSE(V39,A38/O39,A38/(O39*1000),A38/(O39*1000000),A38/(O39*'Datos varios'!$E$119),A38/(O39*'Datos varios'!$E$120),A38/(O39*'Datos varios'!$E$121),A38/(O39*'Datos varios'!$E$122),A38/(O39*'Datos varios'!$E$123),"-")</f>
        <v>-</v>
      </c>
      <c r="S39" s="1293" t="str">
        <f>CHOOSE(V39,O39/A38-1,(O39*1000)/A38-1,(O39*1000000)/A38-1,(O39*'Datos varios'!$E$119)/A38-1,(O39*'Datos varios'!$E$120)/A38-1,(O39*'Datos varios'!$E$121)/A38-1,(O39*'Datos varios'!$E$122)/A38-1,(O39*'Datos varios'!$E$123)/A38-1,"-")</f>
        <v>-</v>
      </c>
      <c r="T39" s="1193" t="str">
        <f>IF(C39="-","-",IF(C39="full range","-",'Incert. Cal. Mon.'!AV39))</f>
        <v>-</v>
      </c>
      <c r="U39" s="1193" t="str">
        <f>IF(O39="full range","OUT",CHOOSE(V39,IF(AND(O39&lt;=(A38+10/100*A38),O39&gt;=(A38-10/100*A38),T39&lt;=10%),"OK","OUT"),IF(AND(O39*1000&lt;=(A38+10/100*A38),O39*1000&gt;=(A38-10/100*A38),T39&lt;=10%),"OK","OUT"),IF(AND(O39*1000000&lt;=(A38+10/100*A38),O39*1000000&gt;=(A38-10/100*A38),T39&lt;=10%),"OK","OUT"),IF(AND(O39*'Datos varios'!$E$119&lt;=(A38+10/100*A38),O39*'Datos varios'!$E$119&gt;=(A38-10/100*A38),T39&lt;=10%),"OK","OUT"),IF(AND(O39*'Datos varios'!$E$120&lt;=(A38+10/100*A38),O39*'Datos varios'!$E$120&gt;=(A38-10/100*A38),T39&lt;=10%),"OK","OUT"),IF(AND(O39*'Datos varios'!$E$121&lt;=(A38+10/100*A38),O39*'Datos varios'!$E$121&gt;=(A38-10/100*A38),T39&lt;=10%),"OK","OUT"),IF(AND(O39*'Datos varios'!$E$122&lt;=(A38+10/100*A38),O39*'Datos varios'!$E$122&gt;=(A38-10/100*A38),T39&lt;=10%),"OK","OUT"),IF(AND(O39*'Datos varios'!$E$123&lt;=(A38+10/100*A38),O39*'Datos varios'!$E$123&gt;=(A38-10/100*A38),T39&lt;=10%),"OK","OUT"),"-"))</f>
        <v>-</v>
      </c>
      <c r="V39" s="87">
        <f t="shared" si="3"/>
        <v>9</v>
      </c>
    </row>
    <row r="40" spans="1:22" ht="15.75" thickBot="1" x14ac:dyDescent="0.3">
      <c r="A40" s="1162" t="str">
        <f>IF('F-LSCD-003'!D20="-","-",'F-LSCD-003'!D20*1000000)</f>
        <v>-</v>
      </c>
      <c r="B40" s="1185" t="str">
        <f>IF(A40="-","-","Antes del ajuste")</f>
        <v>-</v>
      </c>
      <c r="C40" s="1268" t="s">
        <v>93</v>
      </c>
      <c r="D40" s="1269" t="s">
        <v>93</v>
      </c>
      <c r="E40" s="1269" t="s">
        <v>93</v>
      </c>
      <c r="F40" s="1269" t="s">
        <v>93</v>
      </c>
      <c r="G40" s="1269" t="s">
        <v>93</v>
      </c>
      <c r="H40" s="1269" t="s">
        <v>93</v>
      </c>
      <c r="I40" s="1269" t="s">
        <v>93</v>
      </c>
      <c r="J40" s="1269" t="s">
        <v>93</v>
      </c>
      <c r="K40" s="1269" t="s">
        <v>93</v>
      </c>
      <c r="L40" s="1270" t="s">
        <v>93</v>
      </c>
      <c r="M40" s="1271" t="s">
        <v>93</v>
      </c>
      <c r="N40" s="1248" t="s">
        <v>93</v>
      </c>
      <c r="O40" s="1330" t="str">
        <f t="shared" si="0"/>
        <v>-</v>
      </c>
      <c r="P40" s="1198" t="str">
        <f t="shared" si="2"/>
        <v>-</v>
      </c>
      <c r="Q40" s="1198" t="str">
        <f t="shared" si="1"/>
        <v>-</v>
      </c>
      <c r="R40" s="1199" t="str">
        <f>CHOOSE(V40,A40/O40,A40/(O40*1000),A40/(O40*1000000),A40/(O40*'Datos varios'!$E$119),A40/(O40*'Datos varios'!$E$120),A40/(O40*'Datos varios'!$E$121),A40/(O40*'Datos varios'!$E$122),A40/(O40*'Datos varios'!$E$123),"-")</f>
        <v>-</v>
      </c>
      <c r="S40" s="1294" t="str">
        <f>CHOOSE(V40,O40/A40-1,(O40*1000)/A40-1,(O40*1000000)/A40-1,(O40*'Datos varios'!$E$119)/A40-1,(O40*'Datos varios'!$E$120)/A40-1,(O40*'Datos varios'!$E$121)/A40-1,(O40*'Datos varios'!$E$122)/A40-1,(O40*'Datos varios'!$E$123)/A40-1,"-")</f>
        <v>-</v>
      </c>
      <c r="T40" s="1200" t="str">
        <f>IF(C40="-","-",IF(C40="full range","-",IF(C40="Alarma on","10",'Incert. Cal. Mon.'!BC39)))</f>
        <v>-</v>
      </c>
      <c r="U40" s="1198" t="str">
        <f>IF(O40="full range","OUT",CHOOSE(V40,IF(AND(O40&lt;=(A40+10/100*A40),O40&gt;=(A40-10/100*A40),T40&lt;=10%),"OK","OUT"),IF(AND(O40*1000&lt;=(A40+10/100*A40),O40*1000&gt;=(A40-10/100*A40),T40&lt;=10%),"OK","OUT"),IF(AND(O40*1000000&lt;=(A40+10/100*A40),O40*1000000&gt;=(A40-10/100*A40),T40&lt;=10%),"OK","OUT"),IF(AND(O40*'Datos varios'!$E$119&lt;=(A40+10/100*A40),O40*'Datos varios'!$E$119&gt;=(A40-10/100*A40),T40&lt;=10%),"OK","OUT"),IF(AND(O40*'Datos varios'!$E$120&lt;=(A40+10/100*A40),O40*'Datos varios'!$E$120&gt;=(A40-10/100*A40),T40&lt;=10%),"OK","OUT"),IF(AND(O40*'Datos varios'!$E$121&lt;=(A40+10/100*A40),O40*'Datos varios'!$E$121&gt;=(A40-10/100*A40),T40&lt;=10%),"OK","OUT"),IF(AND(O40*'Datos varios'!$E$122&lt;=(A40+10/100*A40),O40*'Datos varios'!$E$122&gt;=(A40-10/100*A40),T40&lt;=10%),"OK","OUT"),IF(AND(O40*'Datos varios'!$E$123&lt;=(A40+10/100*A40),O40*'Datos varios'!$E$123&gt;=(A40-10/100*A40),T40&lt;=10%),"OK","OUT"),"-"))</f>
        <v>-</v>
      </c>
      <c r="V40" s="87">
        <f t="shared" si="3"/>
        <v>9</v>
      </c>
    </row>
    <row r="41" spans="1:22" ht="16.5" thickTop="1" thickBot="1" x14ac:dyDescent="0.3">
      <c r="A41" s="1161" t="str">
        <f>IF(A40="-","-","µSv/h")</f>
        <v>-</v>
      </c>
      <c r="B41" s="1186" t="str">
        <f>IF(A40="-","-","Después del ajuste")</f>
        <v>-</v>
      </c>
      <c r="C41" s="1240" t="s">
        <v>93</v>
      </c>
      <c r="D41" s="1241" t="s">
        <v>93</v>
      </c>
      <c r="E41" s="1241" t="s">
        <v>93</v>
      </c>
      <c r="F41" s="1241" t="s">
        <v>93</v>
      </c>
      <c r="G41" s="1241" t="s">
        <v>93</v>
      </c>
      <c r="H41" s="1241" t="s">
        <v>93</v>
      </c>
      <c r="I41" s="1241" t="s">
        <v>93</v>
      </c>
      <c r="J41" s="1241" t="s">
        <v>93</v>
      </c>
      <c r="K41" s="1241" t="s">
        <v>93</v>
      </c>
      <c r="L41" s="1242" t="s">
        <v>93</v>
      </c>
      <c r="M41" s="1282" t="s">
        <v>93</v>
      </c>
      <c r="N41" s="1432" t="s">
        <v>93</v>
      </c>
      <c r="O41" s="1329" t="str">
        <f t="shared" ref="O41:O51" si="4">IF(C41="-","-",IF(C41="full range","full range",AVERAGE(C41:L41)))</f>
        <v>-</v>
      </c>
      <c r="P41" s="1005" t="str">
        <f t="shared" si="2"/>
        <v>-</v>
      </c>
      <c r="Q41" s="1005" t="str">
        <f t="shared" si="1"/>
        <v>-</v>
      </c>
      <c r="R41" s="1189" t="str">
        <f>CHOOSE(V41,A40/O41,A40/(O41*1000),A40/(O41*1000000),A40/(O41*'Datos varios'!$E$119),A40/(O41*'Datos varios'!$E$120),A40/(O41*'Datos varios'!$E$121),A40/(O41*'Datos varios'!$E$122),A40/(O41*'Datos varios'!$E$123),"-")</f>
        <v>-</v>
      </c>
      <c r="S41" s="1295" t="str">
        <f>CHOOSE(V41,O41/A40-1,(O41*1000)/A40-1,(O41*1000000)/A40-1,(O41*'Datos varios'!$E$119)/A40-1,(O41*'Datos varios'!$E$120)/A40-1,(O41*'Datos varios'!$E$121)/A40-1,(O41*'Datos varios'!$E$122)/A40-1,(O41*'Datos varios'!$E$123)/A40-1,"-")</f>
        <v>-</v>
      </c>
      <c r="T41" s="1190" t="str">
        <f>IF(C41="-","-",IF(C41="full range","-",'Incert. Cal. Mon.'!BJ39))</f>
        <v>-</v>
      </c>
      <c r="U41" s="1190" t="str">
        <f>IF(O41="full range","OUT",CHOOSE(V41,IF(AND(O41&lt;=(A40+10/100*A40),O41&gt;=(A40-10/100*A40),T41&lt;=10%),"OK","OUT"),IF(AND(O41*1000&lt;=(A40+10/100*A40),O41*1000&gt;=(A40-10/100*A40),T41&lt;=10%),"OK","OUT"),IF(AND(O41*1000000&lt;=(A40+10/100*A40),O41*1000000&gt;(A40-10/100*A40),T41&lt;=10%),"OK","OUT"),IF(AND(O41*'Datos varios'!$E$119&lt;=(A40+10/100*A40),O41*'Datos varios'!$E$119&gt;=(A40-10/100*A40),T41&lt;=10%),"OK","OUT"),IF(AND(O41*'Datos varios'!$E$120&lt;=(A40+10/100*A40),O41*'Datos varios'!$E$120&gt;=(A40-10/100*A40),T41&lt;=10%),"OK","OUT"),IF(AND(O41*'Datos varios'!$E$121&lt;=(A40+10/100*A40),O41*'Datos varios'!$E$121&gt;=(A40-10/100*A40),T41&lt;=10%),"OK","OUT"),IF(AND(O41*'Datos varios'!$E$122&lt;=(A40+10/100*A40),O41*'Datos varios'!$E$122&gt;=(A40-10/100*A40),T41&lt;=10%),"OK","OUT"),IF(AND(O41*'Datos varios'!$E$123&lt;=(A40+10/100*A40),O41*'Datos varios'!$E$123&gt;=(A40-10/100*A40),T41&lt;=10%),"OK","OUT"),"-"))</f>
        <v>-</v>
      </c>
      <c r="V41" s="87">
        <f t="shared" si="3"/>
        <v>9</v>
      </c>
    </row>
    <row r="42" spans="1:22" ht="15.75" thickBot="1" x14ac:dyDescent="0.3">
      <c r="A42" s="1162" t="str">
        <f>IF('F-LSCD-003'!D21="-","-",'F-LSCD-003'!D21*1000000)</f>
        <v>-</v>
      </c>
      <c r="B42" s="1187" t="str">
        <f>IF(A42="-","-","Antes del ajuste")</f>
        <v>-</v>
      </c>
      <c r="C42" s="1243" t="s">
        <v>93</v>
      </c>
      <c r="D42" s="1244" t="s">
        <v>93</v>
      </c>
      <c r="E42" s="1244" t="s">
        <v>93</v>
      </c>
      <c r="F42" s="1244" t="s">
        <v>93</v>
      </c>
      <c r="G42" s="1244" t="s">
        <v>93</v>
      </c>
      <c r="H42" s="1244" t="s">
        <v>93</v>
      </c>
      <c r="I42" s="1244" t="s">
        <v>93</v>
      </c>
      <c r="J42" s="1244" t="s">
        <v>93</v>
      </c>
      <c r="K42" s="1244" t="s">
        <v>93</v>
      </c>
      <c r="L42" s="1245" t="s">
        <v>93</v>
      </c>
      <c r="M42" s="1263" t="s">
        <v>93</v>
      </c>
      <c r="N42" s="1246" t="s">
        <v>93</v>
      </c>
      <c r="O42" s="1287" t="str">
        <f t="shared" si="4"/>
        <v>-</v>
      </c>
      <c r="P42" s="1195" t="str">
        <f t="shared" si="2"/>
        <v>-</v>
      </c>
      <c r="Q42" s="1195" t="str">
        <f t="shared" si="1"/>
        <v>-</v>
      </c>
      <c r="R42" s="1196" t="str">
        <f>CHOOSE(V42,A42/O42,A42/(O42*1000),A42/(O42*1000000),A42/(O42*'Datos varios'!$E$119),A42/(O42*'Datos varios'!$E$120),A42/(O42*'Datos varios'!$E$121),A42/(O42*'Datos varios'!$E$122),A42/(O42*'Datos varios'!$E$123),"-")</f>
        <v>-</v>
      </c>
      <c r="S42" s="1292" t="str">
        <f>CHOOSE(V42,O42/A42-1,(O42*1000)/A42-1,(O42*1000000)/A42-1,(O42*'Datos varios'!$E$119)/A42-1,(O42*'Datos varios'!$E$120)/A42-1,(O42*'Datos varios'!$E$121)/A42-1,(O42*'Datos varios'!$E$122)/A42-1,(O42*'Datos varios'!$E$123)/A42-1,"-")</f>
        <v>-</v>
      </c>
      <c r="T42" s="1197" t="str">
        <f>IF(C42="-","-",IF(C42="full range","-",'Incert. Cal. Mon.'!BQ39))</f>
        <v>-</v>
      </c>
      <c r="U42" s="1197" t="str">
        <f>IF(O42="full range","OUT",CHOOSE(V42,IF(AND(O42&lt;=(A42+10/100*A42),O42&gt;=(A42-10/100*A42),T42&lt;=10%),"OK","OUT"),IF(AND(O42*1000&lt;=(A42+10/100*A42),O42*1000&gt;=(A42-10/100*A42),T42&lt;=10%),"OK","OUT"),IF(AND(O42*1000000&lt;=(A42+10/100*A42),O42*1000000&gt;=(A42-10/100*A42),T42&lt;=10%),"OK","OUT"),IF(AND(O42*'Datos varios'!$E$119&lt;=(A42+10/100*A42),O42*'Datos varios'!$E$119&gt;=(A42-10/100*A42),T42&lt;=10%),"OK","OUT"),IF(AND(O42*'Datos varios'!$E$120&lt;=(A42+10/100*A42),O42*'Datos varios'!$E$120&gt;=(A42-10/100*A42),T42&lt;=10%),"OK","OUT"),IF(AND(O42*'Datos varios'!$E$121&lt;=(A42+10/100*A42),O42*'Datos varios'!$E$121&gt;=(A42-10/100*A42),T42&lt;=10%),"OK","OUT"),IF(AND(O42*'Datos varios'!$E$122&lt;=(A42+10/100*A42),O42*'Datos varios'!$E$122&gt;=(A42-10/100*A42),T42&lt;=10%),"OK","OUT"),IF(AND(O42*'Datos varios'!$E$123&lt;=(A42+10/100*A42),O42*'Datos varios'!$E$123&gt;=(A42-10/100*A42),T42&lt;=10%),"OK","OUT"),"-"))</f>
        <v>-</v>
      </c>
      <c r="V42" s="87">
        <f t="shared" si="3"/>
        <v>9</v>
      </c>
    </row>
    <row r="43" spans="1:22" ht="16.5" thickTop="1" thickBot="1" x14ac:dyDescent="0.3">
      <c r="A43" s="1161" t="str">
        <f>IF(A42="-","-","µSv/h")</f>
        <v>-</v>
      </c>
      <c r="B43" s="1188" t="str">
        <f>IF(A42="-","-","Después del ajuste")</f>
        <v>-</v>
      </c>
      <c r="C43" s="1283" t="s">
        <v>93</v>
      </c>
      <c r="D43" s="1238" t="s">
        <v>93</v>
      </c>
      <c r="E43" s="1238" t="s">
        <v>93</v>
      </c>
      <c r="F43" s="1238" t="s">
        <v>93</v>
      </c>
      <c r="G43" s="1238" t="s">
        <v>93</v>
      </c>
      <c r="H43" s="1238" t="s">
        <v>93</v>
      </c>
      <c r="I43" s="1238" t="s">
        <v>93</v>
      </c>
      <c r="J43" s="1238" t="s">
        <v>93</v>
      </c>
      <c r="K43" s="1238" t="s">
        <v>93</v>
      </c>
      <c r="L43" s="1286" t="s">
        <v>93</v>
      </c>
      <c r="M43" s="1284" t="s">
        <v>93</v>
      </c>
      <c r="N43" s="1431" t="s">
        <v>93</v>
      </c>
      <c r="O43" s="1261" t="str">
        <f t="shared" si="4"/>
        <v>-</v>
      </c>
      <c r="P43" s="1191" t="str">
        <f t="shared" si="2"/>
        <v>-</v>
      </c>
      <c r="Q43" s="1191" t="str">
        <f t="shared" si="1"/>
        <v>-</v>
      </c>
      <c r="R43" s="1192" t="str">
        <f>CHOOSE(V43,A42/O43,A42/(O43*1000),A42/(O43*1000000),A42/(O43*'Datos varios'!$E$119),A42/(O43*'Datos varios'!$E$120),A42/(O43*'Datos varios'!$E$121),A42/(O43*'Datos varios'!$E$122),A42/(O43*'Datos varios'!$E$123),"-")</f>
        <v>-</v>
      </c>
      <c r="S43" s="1293" t="str">
        <f>CHOOSE(V43,O43/A42-1,(O43*1000)/A42-1,(O43*1000000)/A42-1,(O43*'Datos varios'!$E$119)/A42-1,(O43*'Datos varios'!$E$120)/A42-1,(O43*'Datos varios'!$E$121)/A42-1,(O43*'Datos varios'!$E$122)/A42-1,(O43*'Datos varios'!$E$123)/A42-1,"-")</f>
        <v>-</v>
      </c>
      <c r="T43" s="1193" t="str">
        <f>IF(C43="-","-",IF(C43="full range","-",'Incert. Cal. Mon.'!BX39))</f>
        <v>-</v>
      </c>
      <c r="U43" s="1193" t="str">
        <f>IF(O43="full range","OUT",CHOOSE(V43,IF(AND(O43&lt;=(A42+10/100*A42),O43&gt;=(A42-10/100*A42),T43&lt;=10%),"OK","OUT"),IF(AND(O43*1000&lt;=(A42+10/100*A42),O43*1000&gt;=(A42-10/100*A42),T43&lt;=10%),"OK","OUT"),IF(AND(O43*1000000&lt;=(A42+10/100*A42),O43*1000000&gt;=(A42-10/100*A42),T43&lt;=10%),"OK","OUT"),IF(AND(O43*'Datos varios'!$E$119&lt;=(A42+10/100*A42),O43*'Datos varios'!$E$119&gt;=(A42-10/100*A42),T43&lt;=10%),"OK","OUT"),IF(AND(O43*'Datos varios'!$E$120&lt;=(A42+10/100*A42),O43*'Datos varios'!$E$120&gt;=(A42-10/100*A42),T43&lt;=10%),"OK","OUT"),IF(AND(O43*'Datos varios'!$E$121&lt;=(A42+10/100*A42),O43*'Datos varios'!$E$121&gt;=(A42-10/100*A42),T43&lt;=10%),"OK","OUT"),IF(AND(O43*'Datos varios'!$E$122&lt;=(A42+10/100*A42),O43*'Datos varios'!$E$122&gt;=(A42-10/100*A42),T43&lt;=10%),"OK","OUT"),IF(AND(O43*'Datos varios'!$E$123&lt;=(A42+10/100*A42),O43*'Datos varios'!$E$123&gt;=(A42-10/100*A42),T43&lt;=10%),"OK","OUT"),"-"))</f>
        <v>-</v>
      </c>
      <c r="V43" s="87">
        <f t="shared" si="3"/>
        <v>9</v>
      </c>
    </row>
    <row r="44" spans="1:22" ht="15.75" thickBot="1" x14ac:dyDescent="0.3">
      <c r="A44" s="1162" t="str">
        <f>IF('F-LSCD-003'!D22="-","-",'F-LSCD-003'!D22*1000000)</f>
        <v>-</v>
      </c>
      <c r="B44" s="1185" t="str">
        <f>IF(A44="-","-","Antes del ajuste")</f>
        <v>-</v>
      </c>
      <c r="C44" s="1268" t="s">
        <v>93</v>
      </c>
      <c r="D44" s="1269" t="s">
        <v>93</v>
      </c>
      <c r="E44" s="1269" t="s">
        <v>93</v>
      </c>
      <c r="F44" s="1269" t="s">
        <v>93</v>
      </c>
      <c r="G44" s="1269" t="s">
        <v>93</v>
      </c>
      <c r="H44" s="1269" t="s">
        <v>93</v>
      </c>
      <c r="I44" s="1269" t="s">
        <v>93</v>
      </c>
      <c r="J44" s="1269" t="s">
        <v>93</v>
      </c>
      <c r="K44" s="1269" t="s">
        <v>93</v>
      </c>
      <c r="L44" s="1270" t="s">
        <v>93</v>
      </c>
      <c r="M44" s="1271" t="s">
        <v>93</v>
      </c>
      <c r="N44" s="1248" t="s">
        <v>93</v>
      </c>
      <c r="O44" s="1330" t="str">
        <f t="shared" si="4"/>
        <v>-</v>
      </c>
      <c r="P44" s="1198" t="str">
        <f t="shared" si="2"/>
        <v>-</v>
      </c>
      <c r="Q44" s="1198" t="str">
        <f t="shared" si="1"/>
        <v>-</v>
      </c>
      <c r="R44" s="1199" t="str">
        <f>CHOOSE(V44,A44/O44,A44/(O44*1000),A44/(O44*1000000),A44/(O44*'Datos varios'!$E$119),A44/(O44*'Datos varios'!$E$120),A44/(O44*'Datos varios'!$E$121),A44/(O44*'Datos varios'!$E$122),A44/(O44*'Datos varios'!$E$123),"-")</f>
        <v>-</v>
      </c>
      <c r="S44" s="1294" t="str">
        <f>CHOOSE(V44,O44/A44-1,(O44*1000)/A44-1,(O44*1000000)/A44-1,(O44*'Datos varios'!$E$119)/A44-1,(O44*'Datos varios'!$E$120)/A44-1,(O44*'Datos varios'!$E$121)/A44-1,(O44*'Datos varios'!$E$122)/A44-1,(O44*'Datos varios'!$E$123)/A44-1,"-")</f>
        <v>-</v>
      </c>
      <c r="T44" s="1200" t="str">
        <f>IF(C44="-","-",IF(C44="full range","-",'Incert. Cal. Mon.'!CE39))</f>
        <v>-</v>
      </c>
      <c r="U44" s="1200" t="str">
        <f>IF(O44="full range","OUT",CHOOSE(V44,IF(AND(O44&lt;=(A44+10/100*A44),O44&gt;=(A44-10/100*A44),T44&lt;=10%),"OK","OUT"),IF(AND(O44*1000&lt;=(A44+10/100*A44),O44*1000&gt;=(A44-10/100*A44),T44&lt;=10%),"OK","OUT"),IF(AND(O44*1000000&lt;=(A44+10/100*A44),O44*1000000&gt;=(A44-10/100*A44),T44&lt;=10%),"OK","OUT"),IF(AND(O44*'Datos varios'!$E$119&lt;=(A44+10/100*A44),O44*'Datos varios'!$E$119&gt;=(A44-10/100*A44),T44&lt;=10%),"OK","OUT"),IF(AND(O44*'Datos varios'!$E$120&lt;=(A44+10/100*A44),O44*'Datos varios'!$E$120&gt;=(A44-10/100*A44),T44&lt;=10%),"OK","OUT"),IF(AND(O44*'Datos varios'!$E$121&lt;=(A44+10/100*A44),O44*'Datos varios'!$E$121&gt;=(A44-10/100*A44),T44&lt;=10%),"OK","OUT"),IF(AND(O44*'Datos varios'!$E$122&lt;=(A44+10/100*A44),O44*'Datos varios'!$E$122&gt;=(A44-10/100*A44),T44&lt;=10%),"OK","OUT"),IF(AND(O44*'Datos varios'!$E$123&lt;=(A44+10/100*A44),O44*'Datos varios'!$E$123&gt;=(A44-10/100*A44),T44&lt;=10%),"OK","OUT"),"-"))</f>
        <v>-</v>
      </c>
      <c r="V44" s="87">
        <f t="shared" si="3"/>
        <v>9</v>
      </c>
    </row>
    <row r="45" spans="1:22" ht="16.5" thickTop="1" thickBot="1" x14ac:dyDescent="0.3">
      <c r="A45" s="1161" t="str">
        <f>IF(A44="-","-","µSv/h")</f>
        <v>-</v>
      </c>
      <c r="B45" s="1186" t="str">
        <f>IF(A44="-","-","Después del ajuste")</f>
        <v>-</v>
      </c>
      <c r="C45" s="1240" t="s">
        <v>93</v>
      </c>
      <c r="D45" s="1239" t="s">
        <v>93</v>
      </c>
      <c r="E45" s="1239" t="s">
        <v>93</v>
      </c>
      <c r="F45" s="1239" t="s">
        <v>93</v>
      </c>
      <c r="G45" s="1239" t="s">
        <v>93</v>
      </c>
      <c r="H45" s="1239" t="s">
        <v>93</v>
      </c>
      <c r="I45" s="1239" t="s">
        <v>93</v>
      </c>
      <c r="J45" s="1239" t="s">
        <v>93</v>
      </c>
      <c r="K45" s="1239" t="s">
        <v>93</v>
      </c>
      <c r="L45" s="1242" t="s">
        <v>93</v>
      </c>
      <c r="M45" s="1282" t="s">
        <v>93</v>
      </c>
      <c r="N45" s="1432" t="s">
        <v>93</v>
      </c>
      <c r="O45" s="1260" t="str">
        <f t="shared" si="4"/>
        <v>-</v>
      </c>
      <c r="P45" s="1005" t="str">
        <f t="shared" si="2"/>
        <v>-</v>
      </c>
      <c r="Q45" s="1005" t="str">
        <f t="shared" si="1"/>
        <v>-</v>
      </c>
      <c r="R45" s="1189" t="str">
        <f>CHOOSE(V45,A44/O45,A44/(O45*1000),A44/(O45*1000000),A44/(O45*'Datos varios'!$E$119),A44/(O45*'Datos varios'!$E$120),A44/(O45*'Datos varios'!$E$121),A44/(O45*'Datos varios'!$E$122),A44/(O45*'Datos varios'!$E$123),"-")</f>
        <v>-</v>
      </c>
      <c r="S45" s="1295" t="str">
        <f>CHOOSE(V45,O45/A44-1,(O45*1000)/A44-1,(O45*1000000)/A44-1,(O45*'Datos varios'!$E$119)/A44-1,(O45*'Datos varios'!$E$120)/A44-1,(O45*'Datos varios'!$E$121)/A44-1,(O45*'Datos varios'!$E$122)/A44-1,(O45*'Datos varios'!$E$123)/A44-1,"-")</f>
        <v>-</v>
      </c>
      <c r="T45" s="1190" t="str">
        <f>IF(C45="-","-",IF(C45="full range","-",'Incert. Cal. Mon.'!CL39))</f>
        <v>-</v>
      </c>
      <c r="U45" s="1190" t="str">
        <f>IF(O45="full range","OUT",CHOOSE(V45,IF(AND(O45&lt;=(A44+10/100*A44),O45&gt;=(A44-10/100*A44),T45&lt;=10%),"OK","OUT"),IF(AND(O45*1000&lt;=(A44+10/100*A44),O45*1000&gt;=(A44-10/100*A44),T45&lt;=10%),"OK","OUT"),IF(AND(O45*1000000&lt;=(A44+10/100*A44),O45*1000000&gt;=(A44-10/100*A44),T45&lt;=10%),"OK","OUT"),IF(AND(O45*'Datos varios'!$E$119&lt;=(A44+10/100*A44),O45*'Datos varios'!$E$119&gt;=(A44-10/100*A44),T45&lt;=10%),"OK","OUT"),IF(AND(O45*'Datos varios'!$E$120&lt;=(A44+10/100*A44),O45*'Datos varios'!$E$120&gt;=(A44-10/100*A44),T45&lt;=10%),"OK","OUT"),IF(AND(O45*'Datos varios'!$E$121&lt;=(A44+10/100*A44),O45*'Datos varios'!$E$121&gt;=(A44-10/100*A44),T45&lt;=10%),"OK","OUT"),IF(AND(O45*'Datos varios'!$E$122&lt;=(A44+10/100*A44),O45*'Datos varios'!$E$122&gt;=(A44-10/100*A44),T45&lt;=10%),"OK","OUT"),IF(AND(O45*'Datos varios'!$E$123&lt;=(A44+10/100*A44),O45*'Datos varios'!$E$123&gt;=(A44-10/100*A44),T45&lt;=10%),"OK","OUT"),"-"))</f>
        <v>-</v>
      </c>
      <c r="V45" s="87">
        <f t="shared" si="3"/>
        <v>9</v>
      </c>
    </row>
    <row r="46" spans="1:22" ht="15.75" thickBot="1" x14ac:dyDescent="0.3">
      <c r="A46" s="1162" t="str">
        <f>IF('F-LSCD-003'!D23="-","-",'F-LSCD-003'!D23*1000000)</f>
        <v>-</v>
      </c>
      <c r="B46" s="1187" t="str">
        <f>IF(A46="-","-","Antes del ajuste")</f>
        <v>-</v>
      </c>
      <c r="C46" s="1243" t="s">
        <v>93</v>
      </c>
      <c r="D46" s="1244" t="s">
        <v>93</v>
      </c>
      <c r="E46" s="1244" t="s">
        <v>93</v>
      </c>
      <c r="F46" s="1244" t="s">
        <v>93</v>
      </c>
      <c r="G46" s="1244" t="s">
        <v>93</v>
      </c>
      <c r="H46" s="1244" t="s">
        <v>93</v>
      </c>
      <c r="I46" s="1244" t="s">
        <v>93</v>
      </c>
      <c r="J46" s="1244" t="s">
        <v>93</v>
      </c>
      <c r="K46" s="1244" t="s">
        <v>93</v>
      </c>
      <c r="L46" s="1245" t="s">
        <v>93</v>
      </c>
      <c r="M46" s="1263" t="s">
        <v>93</v>
      </c>
      <c r="N46" s="1246" t="s">
        <v>93</v>
      </c>
      <c r="O46" s="1287" t="str">
        <f t="shared" si="4"/>
        <v>-</v>
      </c>
      <c r="P46" s="1195" t="str">
        <f t="shared" si="2"/>
        <v>-</v>
      </c>
      <c r="Q46" s="1195" t="str">
        <f t="shared" si="1"/>
        <v>-</v>
      </c>
      <c r="R46" s="1196" t="str">
        <f>CHOOSE(V46,A46/O46,A46/(O46*1000),A46/(O46*1000000),A46/(O46*'Datos varios'!$E$119),A46/(O46*'Datos varios'!$E$120),A46/(O46*'Datos varios'!$E$121),A46/(O46*'Datos varios'!$E$122),A46/(O46*'Datos varios'!$E$123),"-")</f>
        <v>-</v>
      </c>
      <c r="S46" s="1292" t="str">
        <f>CHOOSE(V46,O46/A46-1,(O46*1000)/A46-1,(O46*1000000)/A46-1,(O46*'Datos varios'!$E$119)/A46-1,(O46*'Datos varios'!$E$120)/A46-1,(O46*'Datos varios'!$E$121)/A46-1,(O46*'Datos varios'!$E$122)/A46-1,(O46*'Datos varios'!$E$123)/A46-1,"-")</f>
        <v>-</v>
      </c>
      <c r="T46" s="1197" t="str">
        <f>IF(C46="-","-",IF(C46="full range","-",'Incert. Cal. Mon.'!CS39))</f>
        <v>-</v>
      </c>
      <c r="U46" s="1197" t="str">
        <f>IF(O46="full range","OUT",CHOOSE(V46,IF(AND(O46&lt;=(A46+10/100*A46),O46&gt;=(A46-10/100*A46),T46&lt;=10%),"OK","OUT"),IF(AND(O46*1000&lt;=(A46+10/100*A46),O46*1000&gt;=(A46-10/100*A46),T46&lt;=10%),"OK","OUT"),IF(AND(O46*1000000&lt;=(A46+10/100*A46),O46*1000000&gt;=(A46-10/100*A46),T46&lt;=10%),"OK","OUT"),IF(AND(O46*'Datos varios'!$E$119&lt;=(A46+10/100*A46),O46*'Datos varios'!$E$119&gt;=(A46-10/100*A46),T46&lt;=10%),"OK","OUT"),IF(AND(O46*'Datos varios'!$E$120&lt;=(A46+10/100*A46),O46*'Datos varios'!$E$120&gt;=(A46-10/100*A46),T46&lt;=10%),"OK","OUT"),IF(AND(O46*'Datos varios'!$E$121&lt;=(A46+10/100*A46),O46*'Datos varios'!$E$121&gt;=(A46-10/100*A46),T46&lt;=10%),"OK","OUT"),IF(AND(O46*'Datos varios'!$E$122&lt;=(A46+10/100*A46),O46*'Datos varios'!$E$122&gt;=(A46-10/100*A46),T46&lt;=10%),"OK","OUT"),IF(AND(O46*'Datos varios'!$E$123&lt;=(A46+10/100*A46),O46*'Datos varios'!$E$123&gt;=(A46-10/100*A46),T46&lt;=10%),"OK","OUT"),"-"))</f>
        <v>-</v>
      </c>
      <c r="V46" s="87">
        <f t="shared" si="3"/>
        <v>9</v>
      </c>
    </row>
    <row r="47" spans="1:22" ht="16.5" thickTop="1" thickBot="1" x14ac:dyDescent="0.3">
      <c r="A47" s="1161" t="str">
        <f>IF(A46="-","-","µSv/h")</f>
        <v>-</v>
      </c>
      <c r="B47" s="1188" t="str">
        <f>IF(A46="-","-","Después del ajuste")</f>
        <v>-</v>
      </c>
      <c r="C47" s="1408" t="s">
        <v>93</v>
      </c>
      <c r="D47" s="1409" t="s">
        <v>93</v>
      </c>
      <c r="E47" s="1409" t="s">
        <v>93</v>
      </c>
      <c r="F47" s="1409" t="s">
        <v>93</v>
      </c>
      <c r="G47" s="1285" t="s">
        <v>93</v>
      </c>
      <c r="H47" s="1285" t="s">
        <v>93</v>
      </c>
      <c r="I47" s="1285" t="s">
        <v>93</v>
      </c>
      <c r="J47" s="1285" t="s">
        <v>93</v>
      </c>
      <c r="K47" s="1285" t="s">
        <v>93</v>
      </c>
      <c r="L47" s="1286" t="s">
        <v>93</v>
      </c>
      <c r="M47" s="1284" t="s">
        <v>93</v>
      </c>
      <c r="N47" s="1431" t="s">
        <v>93</v>
      </c>
      <c r="O47" s="1261" t="str">
        <f t="shared" si="4"/>
        <v>-</v>
      </c>
      <c r="P47" s="1191" t="str">
        <f t="shared" si="2"/>
        <v>-</v>
      </c>
      <c r="Q47" s="1191" t="str">
        <f t="shared" si="1"/>
        <v>-</v>
      </c>
      <c r="R47" s="1192" t="str">
        <f>CHOOSE(V47,A46/O47,A46/(O47*1000),A46/(O47*1000000),A46/(O47*'Datos varios'!$E$119),A46/(O47*'Datos varios'!$E$120),A46/(O47*'Datos varios'!$E$121),A46/(O47*'Datos varios'!$E$122),A46/(O47*'Datos varios'!$E$123),"-")</f>
        <v>-</v>
      </c>
      <c r="S47" s="1296" t="str">
        <f>CHOOSE(V47,O47/A46-1,(O47*1000)/A46-1,(O47*1000000)/A46-1,(O47*'Datos varios'!$E$119)/A46-1,(O47*'Datos varios'!$E$120)/A46-1,(O47*'Datos varios'!$E$121)/A46-1,(O47*'Datos varios'!$E$122)/A46-1,(O47*'Datos varios'!$E$123)/A46-1,"-")</f>
        <v>-</v>
      </c>
      <c r="T47" s="1194" t="str">
        <f>IF(C47="-","-",IF(C47="full range","-",'Incert. Cal. Mon.'!CZ39))</f>
        <v>-</v>
      </c>
      <c r="U47" s="1193" t="str">
        <f>IF(O47="full range","OUT",CHOOSE(V47,IF(AND(O47&lt;=(A46+10/100*A46),O47&gt;=(A46-10/100*A46),T47&lt;=10%),"OK","OUT"),IF(AND(O47*1000&lt;=(A46+10/100*A46),O47*1000&gt;=(A46-10/100*A46),T47&lt;=10%),"OK","OUT"),IF(AND(O47*1000000&lt;=(A46+10/100*A46),O47*1000000&gt;=(A46-10/100*A46),T47&lt;=10%),"OK","OUT"),IF(AND(O47*'Datos varios'!$E$119&lt;=(A46+10/100*A46),O47*'Datos varios'!$E$119&gt;=(A46-10/100*A46),T47&lt;=10%),"OK","OUT"),IF(AND(O47*'Datos varios'!$E$120&lt;=(A46+10/100*A46),O47*'Datos varios'!$E$120&gt;=(A46-10/100*A46),T47&lt;=10%),"OK","OUT"),IF(AND(O47*'Datos varios'!$E$121&lt;=(A46+10/100*A46),O47*'Datos varios'!$E$121&gt;=(A46-10/100*A46),T47&lt;=10%),"OK","OUT"),IF(AND(O47*'Datos varios'!$E$122&lt;=(A46+10/100*A46),O47*'Datos varios'!$E$122&gt;=(A46-10/100*A46),T47&lt;=10%),"OK","OUT"),IF(AND(O47*'Datos varios'!$E$123&lt;=(A46+10/100*A46),O47*'Datos varios'!$E$123&gt;=(A46-10/100*A46),T47&lt;=10%),"OK","OUT"),"-"))</f>
        <v>-</v>
      </c>
      <c r="V47" s="87">
        <f t="shared" si="3"/>
        <v>9</v>
      </c>
    </row>
    <row r="48" spans="1:22" ht="15.75" thickBot="1" x14ac:dyDescent="0.3">
      <c r="A48" s="1162" t="str">
        <f>IF('F-LSCD-003'!D24="-","-",'F-LSCD-003'!D24*1000000)</f>
        <v>-</v>
      </c>
      <c r="B48" s="1185" t="str">
        <f>IF(A48="-","-","Antes del ajuste")</f>
        <v>-</v>
      </c>
      <c r="C48" s="1268" t="s">
        <v>93</v>
      </c>
      <c r="D48" s="1269" t="s">
        <v>93</v>
      </c>
      <c r="E48" s="1269" t="s">
        <v>93</v>
      </c>
      <c r="F48" s="1269" t="s">
        <v>93</v>
      </c>
      <c r="G48" s="1269" t="s">
        <v>93</v>
      </c>
      <c r="H48" s="1269" t="s">
        <v>93</v>
      </c>
      <c r="I48" s="1269" t="s">
        <v>93</v>
      </c>
      <c r="J48" s="1269" t="s">
        <v>93</v>
      </c>
      <c r="K48" s="1269" t="s">
        <v>93</v>
      </c>
      <c r="L48" s="1270" t="s">
        <v>93</v>
      </c>
      <c r="M48" s="1271" t="s">
        <v>93</v>
      </c>
      <c r="N48" s="1248" t="s">
        <v>93</v>
      </c>
      <c r="O48" s="1198" t="str">
        <f>IF(C48="-","-",IF(C48="full range","full range",AVERAGE(C48:L48)))</f>
        <v>-</v>
      </c>
      <c r="P48" s="1198" t="str">
        <f t="shared" si="2"/>
        <v>-</v>
      </c>
      <c r="Q48" s="1198" t="str">
        <f t="shared" si="1"/>
        <v>-</v>
      </c>
      <c r="R48" s="1199" t="str">
        <f>CHOOSE(V48,A48/O48,A48/(O48*1000),A48/(O48*1000000),A48/(O48*'Datos varios'!$E$119),A48/(O48*'Datos varios'!$E$120),A48/(O48*'Datos varios'!$E$121),A48/(O48*'Datos varios'!$E$122),A48/(O48*'Datos varios'!$E$123),"-")</f>
        <v>-</v>
      </c>
      <c r="S48" s="1294" t="str">
        <f>CHOOSE(V48,O48/A48-1,(O48*1000)/A48-1,(O48*1000000)/A48-1,(O48*'Datos varios'!$E$119)/A48-1,(O48*'Datos varios'!$E$120)/A48-1,(O48*'Datos varios'!$E$121)/A48-1,(O48*'Datos varios'!$E$122)/A48-1,(O48*'Datos varios'!$E$123)/A48-1,"-")</f>
        <v>-</v>
      </c>
      <c r="T48" s="1200" t="str">
        <f>IF(C48="-","-",IF(C48="full range","-",'Incert. Cal. Mon.'!DG39))</f>
        <v>-</v>
      </c>
      <c r="U48" s="1200" t="str">
        <f>IF(O48="full range","OUT",CHOOSE(V48,IF(AND(O48&lt;=(A48+10/100*A48),O48&gt;=(A48-10/100*A48),T48&lt;=10%),"OK","OUT"),IF(AND(O48*1000&lt;=(A48+10/100*A48),O48*1000&gt;=(A48-10/100*A48),T48&lt;=10%),"OK","OUT"),IF(AND(O48*1000000&lt;=(A48+10/100*A48),O48*1000000&gt;=(A48-10/100*A48),T48&lt;=10%),"OK","OUT"),IF(AND(O48*'Datos varios'!$E$119&lt;=(A48+10/100*A48),O48*'Datos varios'!$E$119&gt;=(A48-10/100*A48),T48&lt;=10%),"OK","OUT"),IF(AND(O48*'Datos varios'!$E$120&lt;=(A48+10/100*A48),O48*'Datos varios'!$E$120&gt;=(A48-10/100*A48),T48&lt;=10%),"OK","OUT"),IF(AND(O48*'Datos varios'!$E$121&lt;=(A48+10/100*A48),O48*'Datos varios'!$E$121&gt;=(A48-10/100*A48),T48&lt;=10%),"OK","OUT"),IF(AND(O48*'Datos varios'!$E$122&lt;=(A48+10/100*A48),O48*'Datos varios'!$E$122&gt;=(A48-10/100*A48),T48&lt;=10%),"OK","OUT"),IF(AND(O48*'Datos varios'!$E$123&lt;=(A48+10/100*A48),O48*'Datos varios'!$E$123&gt;=(A48-10/100*A48),T48&lt;=10%),"OK","OUT"),"-"))</f>
        <v>-</v>
      </c>
      <c r="V48" s="87">
        <f t="shared" si="3"/>
        <v>9</v>
      </c>
    </row>
    <row r="49" spans="1:22" ht="16.5" thickTop="1" thickBot="1" x14ac:dyDescent="0.3">
      <c r="A49" s="1161" t="str">
        <f>IF(A48="-","-","µSv/h")</f>
        <v>-</v>
      </c>
      <c r="B49" s="1186" t="str">
        <f>IF(A48="-","-","Después del ajuste")</f>
        <v>-</v>
      </c>
      <c r="C49" s="1240" t="s">
        <v>93</v>
      </c>
      <c r="D49" s="1241" t="s">
        <v>93</v>
      </c>
      <c r="E49" s="1241" t="s">
        <v>93</v>
      </c>
      <c r="F49" s="1241" t="s">
        <v>93</v>
      </c>
      <c r="G49" s="1241" t="s">
        <v>93</v>
      </c>
      <c r="H49" s="1241" t="s">
        <v>93</v>
      </c>
      <c r="I49" s="1241" t="s">
        <v>93</v>
      </c>
      <c r="J49" s="1241" t="s">
        <v>93</v>
      </c>
      <c r="K49" s="1241" t="s">
        <v>93</v>
      </c>
      <c r="L49" s="1242" t="s">
        <v>93</v>
      </c>
      <c r="M49" s="1282" t="s">
        <v>93</v>
      </c>
      <c r="N49" s="1432" t="s">
        <v>93</v>
      </c>
      <c r="O49" s="1260" t="str">
        <f>IF(C49="-","-",IF(C49="full range","full range",AVERAGE(C49:L49)))</f>
        <v>-</v>
      </c>
      <c r="P49" s="1005" t="str">
        <f t="shared" si="2"/>
        <v>-</v>
      </c>
      <c r="Q49" s="1005" t="str">
        <f t="shared" si="1"/>
        <v>-</v>
      </c>
      <c r="R49" s="1189" t="str">
        <f>CHOOSE(V49,A48/O49,A48/(O49*1000),A48/(O49*1000000),A48/(O49*'Datos varios'!$E$119),A48/(O49*'Datos varios'!$E$120),A48/(O49*'Datos varios'!$E$121),A48/(O49*'Datos varios'!$E$122),A48/(O49*'Datos varios'!$E$123),"-")</f>
        <v>-</v>
      </c>
      <c r="S49" s="1297" t="str">
        <f>CHOOSE(V49,O49/A48-1,(O49*1000)/A48-1,(O49*1000000)/A48-1,(O49*'Datos varios'!$E$119)/A48-1,(O49*'Datos varios'!$E$120)/A48-1,(O49*'Datos varios'!$E$121)/A48-1,(O49*'Datos varios'!$E$122)/A48-1,(O49*'Datos varios'!$E$123)/A48-1,"-")</f>
        <v>-</v>
      </c>
      <c r="T49" s="1201" t="str">
        <f>IF(C49="-","-",IF(C49="full range","-",'Incert. Cal. Mon.'!DN39))</f>
        <v>-</v>
      </c>
      <c r="U49" s="1190" t="str">
        <f>IF(O49="full range","OUT",CHOOSE(V49,IF(AND(O49&lt;=(A48+10/100*A48),O49&gt;=(A48-10/100*A48),T49&lt;=10%),"OK","OUT"),IF(AND(O49*1000&lt;=(A48+10/100*A48),O49*1000&gt;=(A48-10/100*A48),T49&lt;=10%),"OK","OUT"),IF(AND(O49*1000000&lt;=(A48+10/100*A48),O49*1000000&gt;=(A48-10/100*A48),T49&lt;=10%),"OK","OUT"),IF(AND(O49*'Datos varios'!$E$119&lt;=(A48+10/100*A48),O49*'Datos varios'!$E$119&gt;=(A48-10/100*A48),T49&lt;=10%),"OK","OUT"),IF(AND(O49*'Datos varios'!$E$120&lt;=(A48+10/100*A48),O49*'Datos varios'!$E$120&gt;=(A48-10/100*A48),T49&lt;=10%),"OK","OUT"),IF(AND(O49*'Datos varios'!$E$121&lt;=(A48+10/100*A48),O49*'Datos varios'!$E$121&gt;=(A48-10/100*A48),T49&lt;=10%),"OK","OUT"),IF(AND(O49*'Datos varios'!$E$122&lt;=(A48+10/100*A48),O49*'Datos varios'!$E$122&gt;=(A48-10/100*A48),T49&lt;=10%),"OK","OUT"),IF(AND(O49*'Datos varios'!$E$123&lt;=(A48+10/100*A48),O49*'Datos varios'!$E$123&gt;=(A48-10/100*A48),T49&lt;=10%),"OK","OUT"),"-"))</f>
        <v>-</v>
      </c>
      <c r="V49" s="87">
        <f t="shared" si="3"/>
        <v>9</v>
      </c>
    </row>
    <row r="50" spans="1:22" ht="15.75" thickBot="1" x14ac:dyDescent="0.3">
      <c r="A50" s="1162" t="str">
        <f>IF('F-LSCD-003'!D25="-","-",'F-LSCD-003'!D25*1000000)</f>
        <v>-</v>
      </c>
      <c r="B50" s="1187" t="str">
        <f>IF(A50="-","-","Antes del ajuste")</f>
        <v>-</v>
      </c>
      <c r="C50" s="1243" t="s">
        <v>93</v>
      </c>
      <c r="D50" s="1244" t="s">
        <v>93</v>
      </c>
      <c r="E50" s="1244" t="s">
        <v>93</v>
      </c>
      <c r="F50" s="1244" t="s">
        <v>93</v>
      </c>
      <c r="G50" s="1244" t="s">
        <v>93</v>
      </c>
      <c r="H50" s="1244" t="s">
        <v>93</v>
      </c>
      <c r="I50" s="1244" t="s">
        <v>93</v>
      </c>
      <c r="J50" s="1244" t="s">
        <v>93</v>
      </c>
      <c r="K50" s="1244" t="s">
        <v>93</v>
      </c>
      <c r="L50" s="1245" t="s">
        <v>93</v>
      </c>
      <c r="M50" s="1263" t="s">
        <v>93</v>
      </c>
      <c r="N50" s="1246" t="s">
        <v>93</v>
      </c>
      <c r="O50" s="1195" t="str">
        <f t="shared" si="4"/>
        <v>-</v>
      </c>
      <c r="P50" s="1195" t="str">
        <f t="shared" si="2"/>
        <v>-</v>
      </c>
      <c r="Q50" s="1195" t="str">
        <f t="shared" si="1"/>
        <v>-</v>
      </c>
      <c r="R50" s="1196" t="str">
        <f>CHOOSE(V50,A50/O50,A50/(O50*1000),A50/(O50*1000000),A50/(O50*'Datos varios'!$E$119),A50/(O50*'Datos varios'!$E$120),A50/(O50*'Datos varios'!$E$121),A50/(O50*'Datos varios'!$E$122),A50/(O50*'Datos varios'!$E$123),"-")</f>
        <v>-</v>
      </c>
      <c r="S50" s="1292" t="str">
        <f>CHOOSE(V50,O50/A50-1,(O50*1000)/A50-1,(O50*1000000)/A50-1,(O50*'Datos varios'!$E$119)/A50-1,(O50*'Datos varios'!$E$120)/A50-1,(O50*'Datos varios'!$E$121)/A50-1,(O50*'Datos varios'!$E$122)/A50-1,(O50*'Datos varios'!$E$123)/A50-1,"-")</f>
        <v>-</v>
      </c>
      <c r="T50" s="1197" t="str">
        <f>IF(C50="-","-",IF(C50="full range","-",'Incert. Cal. Mon.'!DU39))</f>
        <v>-</v>
      </c>
      <c r="U50" s="1197" t="str">
        <f>IF(O50="full range","OUT",CHOOSE(V50,IF(AND(O50&lt;=(A50+10/100*A50),O50&gt;=(A50-10/100*A50),T50&lt;=10%),"OK","OUT"),IF(AND(O50*1000&lt;=(A50+10/100*A50),O50*1000&gt;=(A50-10/100*A50),T50&lt;=10%),"OK","OUT"),IF(AND(O50*1000000&lt;=(A50+10/100*A50),O50*1000000&gt;=(A50-10/100*A50),T50&lt;=10%),"OK","OUT"),IF(AND(O50*'Datos varios'!$E$119&lt;=(A50+10/100*A50),O50*'Datos varios'!$E$119&gt;=(A50-10/100*A50),T50&lt;=10%),"OK","OUT"),IF(AND(O50*'Datos varios'!$E$120&lt;=(A50+10/100*A50),O50*'Datos varios'!$E$120&gt;=(A50-10/100*A50),T50&lt;=10%),"OK","OUT"),IF(AND(O50*'Datos varios'!$E$121&lt;=(A50+10/100*A50),O50*'Datos varios'!$E$121&gt;=(A50-10/100*A50),T50&lt;=10%),"OK","OUT"),IF(AND(O50*'Datos varios'!$E$122&lt;=(A50+10/100*A50),O50*'Datos varios'!$E$122&gt;=(A50-10/100*A50),T50&lt;=10%),"OK","OUT"),IF(AND(O50*'Datos varios'!$E$123&lt;=(A50+10/100*A50),O50*'Datos varios'!$E$123&gt;=(A50-10/100*A50),T50&lt;=10%),"OK","OUT"),"-"))</f>
        <v>-</v>
      </c>
      <c r="V50" s="87">
        <f t="shared" si="3"/>
        <v>9</v>
      </c>
    </row>
    <row r="51" spans="1:22" ht="16.5" thickTop="1" thickBot="1" x14ac:dyDescent="0.3">
      <c r="A51" s="1161" t="str">
        <f>IF(A50="-","-","µSv/h")</f>
        <v>-</v>
      </c>
      <c r="B51" s="1188" t="str">
        <f>IF(A50="-","-","Después del ajuste")</f>
        <v>-</v>
      </c>
      <c r="C51" s="1283" t="s">
        <v>93</v>
      </c>
      <c r="D51" s="1285" t="s">
        <v>93</v>
      </c>
      <c r="E51" s="1285" t="s">
        <v>93</v>
      </c>
      <c r="F51" s="1285" t="s">
        <v>93</v>
      </c>
      <c r="G51" s="1285" t="s">
        <v>93</v>
      </c>
      <c r="H51" s="1285" t="s">
        <v>93</v>
      </c>
      <c r="I51" s="1285" t="s">
        <v>93</v>
      </c>
      <c r="J51" s="1285" t="s">
        <v>93</v>
      </c>
      <c r="K51" s="1285" t="s">
        <v>93</v>
      </c>
      <c r="L51" s="1286" t="s">
        <v>93</v>
      </c>
      <c r="M51" s="1284" t="s">
        <v>93</v>
      </c>
      <c r="N51" s="1431" t="s">
        <v>93</v>
      </c>
      <c r="O51" s="1261" t="str">
        <f t="shared" si="4"/>
        <v>-</v>
      </c>
      <c r="P51" s="1191" t="str">
        <f t="shared" si="2"/>
        <v>-</v>
      </c>
      <c r="Q51" s="1191" t="str">
        <f t="shared" si="1"/>
        <v>-</v>
      </c>
      <c r="R51" s="1192" t="str">
        <f>CHOOSE(V51,A50/O51,A50/(O51*1000),A50/(O51*1000000),A50/(O51*'Datos varios'!$E$119),A50/(O51*'Datos varios'!$E$120),A50/(O51*'Datos varios'!$E$121),A50/(O51*'Datos varios'!$E$122),A50/(O51*'Datos varios'!$E$123),"-")</f>
        <v>-</v>
      </c>
      <c r="S51" s="1296" t="str">
        <f>CHOOSE(V51,O51/A50-1,(O51*1000)/A50-1,(O51*1000000)/A50-1,(O51*'Datos varios'!$E$119)/A50-1,(O51*'Datos varios'!$E$120)/A50-1,(O51*'Datos varios'!$E$121)/A50-1,(O51*'Datos varios'!$E$122)/A50-1,(O51*'Datos varios'!$E$123)/A50-1,"-")</f>
        <v>-</v>
      </c>
      <c r="T51" s="1194" t="str">
        <f>IF(C51="-","-",IF(C51="full range","-",'Incert. Cal. Mon.'!EB39))</f>
        <v>-</v>
      </c>
      <c r="U51" s="1193" t="str">
        <f>IF(O51="full range","OUT",CHOOSE(V51,IF(AND(O51&lt;=(A50+10/100*A50),O51&gt;=(A50-10/100*A50),T51&lt;=10%),"OK","OUT"),IF(AND(O51*1000&lt;=(A50+10/100*A50),O51*1000&gt;=(A50-10/100*A50),T51&lt;=10%),"OK","OUT"),IF(AND(O51*1000000&lt;=(A50+10/100*A50),O51*1000000&gt;=(A50-10/100*A50),T51&lt;=10%),"OK","OUT"),IF(AND(O51*'Datos varios'!$E$119&lt;=(A50+10/100*A50),O51*'Datos varios'!$E$119&gt;=(A50-10/100*A50),T51&lt;=10%),"OK","OUT"),IF(AND(O51*'Datos varios'!$E$120&lt;=(A50+10/100*A50),O51*'Datos varios'!$E$120&gt;=(A50-10/100*A50),T51&lt;=10%),"OK","OUT"),IF(AND(O51*'Datos varios'!$E$121&lt;=(A50+10/100*A50),O51*'Datos varios'!$E$121&gt;=(A50-10/100*A50),T51&lt;=10%),"OK","OUT"),IF(AND(O51*'Datos varios'!$E$122&lt;=(A50+10/100*A50),O51*'Datos varios'!$E$122&gt;=(A50-10/100*A50),T51&lt;=10%),"OK","OUT"),IF(AND(O51*'Datos varios'!$E$123&lt;=(A50+10/100*A50),O51*'Datos varios'!$E$123&gt;=(A50-10/100*A50),T51&lt;=10%),"OK","OUT"),"-"))</f>
        <v>-</v>
      </c>
      <c r="V51" s="87">
        <f t="shared" si="3"/>
        <v>9</v>
      </c>
    </row>
    <row r="52" spans="1:22" ht="15.75" thickBot="1" x14ac:dyDescent="0.3">
      <c r="A52" s="1162" t="str">
        <f>IF('F-LSCD-003'!D26="-","-",'F-LSCD-003'!D26*1000000)</f>
        <v>-</v>
      </c>
      <c r="B52" s="1185" t="str">
        <f>IF(A52="-","-","Antes del ajuste")</f>
        <v>-</v>
      </c>
      <c r="C52" s="1268" t="s">
        <v>93</v>
      </c>
      <c r="D52" s="1269" t="s">
        <v>93</v>
      </c>
      <c r="E52" s="1269" t="s">
        <v>93</v>
      </c>
      <c r="F52" s="1269" t="s">
        <v>93</v>
      </c>
      <c r="G52" s="1269" t="s">
        <v>93</v>
      </c>
      <c r="H52" s="1269" t="s">
        <v>93</v>
      </c>
      <c r="I52" s="1269" t="s">
        <v>93</v>
      </c>
      <c r="J52" s="1269" t="s">
        <v>93</v>
      </c>
      <c r="K52" s="1269" t="s">
        <v>93</v>
      </c>
      <c r="L52" s="1270" t="s">
        <v>93</v>
      </c>
      <c r="M52" s="1271" t="s">
        <v>93</v>
      </c>
      <c r="N52" s="1248" t="s">
        <v>93</v>
      </c>
      <c r="O52" s="1198" t="str">
        <f>IF(C52="-","-",IF(C52="full range","full range",AVERAGE(C52:L52)))</f>
        <v>-</v>
      </c>
      <c r="P52" s="1198" t="str">
        <f t="shared" si="2"/>
        <v>-</v>
      </c>
      <c r="Q52" s="1198" t="str">
        <f t="shared" si="1"/>
        <v>-</v>
      </c>
      <c r="R52" s="1199" t="str">
        <f>CHOOSE(V52,A52/O52,A52/(O52*1000),A52/(O52*1000000),A52/(O52*'Datos varios'!$E$119),A52/(O52*'Datos varios'!$E$120),A52/(O52*'Datos varios'!$E$121),A52/(O52*'Datos varios'!$E$122),A52/(O52*'Datos varios'!$E$123),"-")</f>
        <v>-</v>
      </c>
      <c r="S52" s="1294" t="str">
        <f>CHOOSE(V52,O52/A52-1,(O52*1000)/A52-1,(O52*1000000)/A52-1,(O52*'Datos varios'!$E$119)/A52-1,(O52*'Datos varios'!$E$120)/A52-1,(O52*'Datos varios'!$E$121)/A52-1,(O52*'Datos varios'!$E$122)/A52-1,(O52*'Datos varios'!$E$123)/A52-1,"-")</f>
        <v>-</v>
      </c>
      <c r="T52" s="1200" t="str">
        <f>IF(C52="-","-",IF(C52="full range","-",'Incert. Cal. Mon.'!EI39))</f>
        <v>-</v>
      </c>
      <c r="U52" s="1200" t="str">
        <f>IF(O52="full range","OUT",CHOOSE(V52,IF(AND(O52&lt;=(A52+10/100*A52),O52&gt;=(A52-10/100*A52),T52&lt;=10%),"OK","OUT"),IF(AND(O52*1000&lt;=(A52+10/100*A52),O52*1000&gt;=(A52-10/100*A52),T52&lt;=10%),"OK","OUT"),IF(AND(O52*1000000&lt;=(A52+10/100*A52),O52*1000000&gt;=(A52-10/100*A52),T52&lt;=10%),"OK","OUT"),IF(AND(O52*'Datos varios'!$E$119&lt;=(A52+10/100*A52),O52*'Datos varios'!$E$119&gt;=(A52-10/100*A52),T52&lt;=10%),"OK","OUT"),IF(AND(O52*'Datos varios'!$E$120&lt;=(A52+10/100*A52),O52*'Datos varios'!$E$120&gt;=(A52-10/100*A52),T52&lt;=10%),"OK","OUT"),IF(AND(O52*'Datos varios'!$E$121&lt;=(A52+10/100*A52),O52*'Datos varios'!$E$121&gt;=(A52-10/100*A52),T52&lt;=10%),"OK","OUT"),IF(AND(O52*'Datos varios'!$E$122&lt;=(A52+10/100*A52),O52*'Datos varios'!$E$122&gt;=(A52-10/100*A52),T52&lt;=10%),"OK","OUT"),IF(AND(O52*'Datos varios'!$E$123&lt;=(A52+10/100*A52),O52*'Datos varios'!$E$123&gt;=(A52-10/100*A52),T52&lt;=10%),"OK","OUT"),"-"))</f>
        <v>-</v>
      </c>
      <c r="V52" s="87">
        <f t="shared" si="3"/>
        <v>9</v>
      </c>
    </row>
    <row r="53" spans="1:22" ht="16.5" thickTop="1" thickBot="1" x14ac:dyDescent="0.3">
      <c r="A53" s="1161" t="str">
        <f>IF(A52="-","-","µSv/h")</f>
        <v>-</v>
      </c>
      <c r="B53" s="1186" t="str">
        <f>IF(A52="-","-","Después del ajuste")</f>
        <v>-</v>
      </c>
      <c r="C53" s="1240" t="s">
        <v>93</v>
      </c>
      <c r="D53" s="1241" t="s">
        <v>93</v>
      </c>
      <c r="E53" s="1241" t="s">
        <v>93</v>
      </c>
      <c r="F53" s="1241" t="s">
        <v>93</v>
      </c>
      <c r="G53" s="1241" t="s">
        <v>93</v>
      </c>
      <c r="H53" s="1241" t="s">
        <v>93</v>
      </c>
      <c r="I53" s="1241" t="s">
        <v>93</v>
      </c>
      <c r="J53" s="1241" t="s">
        <v>93</v>
      </c>
      <c r="K53" s="1241" t="s">
        <v>93</v>
      </c>
      <c r="L53" s="1242" t="s">
        <v>93</v>
      </c>
      <c r="M53" s="1282" t="s">
        <v>93</v>
      </c>
      <c r="N53" s="1432" t="s">
        <v>93</v>
      </c>
      <c r="O53" s="1260" t="str">
        <f t="shared" ref="O53" si="5">IF(C53="-","-",IF(C53="full range","full range",AVERAGE(C53:L53)))</f>
        <v>-</v>
      </c>
      <c r="P53" s="1005" t="str">
        <f t="shared" si="2"/>
        <v>-</v>
      </c>
      <c r="Q53" s="1005" t="str">
        <f t="shared" si="1"/>
        <v>-</v>
      </c>
      <c r="R53" s="1189" t="str">
        <f>CHOOSE(V53,A52/O53,A52/(O53*1000),A52/(O53*1000000),A52/(O53*'Datos varios'!$E$119),A52/(O53*'Datos varios'!$E$120),A52/(O53*'Datos varios'!$E$121),A52/(O53*'Datos varios'!$E$122),A52/(O53*'Datos varios'!$E$123),"-")</f>
        <v>-</v>
      </c>
      <c r="S53" s="1297" t="str">
        <f>CHOOSE(V53,O53/A52-1,(O53*1000)/A52-1,(O53*1000000)/A52-1,(O53*'Datos varios'!$E$119)/A52-1,(O53*'Datos varios'!$E$120)/A52-1,(O53*'Datos varios'!$E$121)/A52-1,(O53*'Datos varios'!$E$122)/A52-1,(O53*'Datos varios'!$E$123)/A52-1,"-")</f>
        <v>-</v>
      </c>
      <c r="T53" s="1201" t="str">
        <f>IF(C53="-","-",IF(C53="full range","-",'Incert. Cal. Mon.'!EP39))</f>
        <v>-</v>
      </c>
      <c r="U53" s="1190" t="str">
        <f>IF(O53="full range","OUT",CHOOSE(V53,IF(AND(O53&lt;=(A52+10/100*A52),O53&gt;=(A52-10/100*A52),T53&lt;=10%),"OK","OUT"),IF(AND(O53*1000&lt;=(A52+10/100*A52),O53*1000&gt;=(A52-10/100*A52),T53&lt;=10%),"OK","OUT"),IF(AND(O53*1000000&lt;=(A52+10/100*A52),O53*1000000&gt;=(A52-10/100*A52),T53&lt;=10%),"OK","OUT"),IF(AND(O53*'Datos varios'!$E$119&lt;=(A52+10/100*A52),O53*'Datos varios'!$E$119&gt;=(A52-10/100*A52),T53&lt;=10%),"OK","OUT"),IF(AND(O53*'Datos varios'!$E$120&lt;=(A52+10/100*A52),O53*'Datos varios'!$E$120&gt;=(A52-10/100*A52),T53&lt;=10%),"OK","OUT"),IF(AND(O53*'Datos varios'!$E$121&lt;=(A52+10/100*A52),O53*'Datos varios'!$E$121&gt;=(A52-10/100*A52),T53&lt;=10%),"OK","OUT"),IF(AND(O53*'Datos varios'!$E$122&lt;=(A52+10/100*A52),O53*'Datos varios'!$E$122&gt;=(A52-10/100*A52),T53&lt;=10%),"OK","OUT"),IF(AND(O53*'Datos varios'!$E$123&lt;=(A52+10/100*A52),O53*'Datos varios'!$E$123&gt;=(A52-10/100*A52),T53&lt;=10%),"OK","OUT"),"-"))</f>
        <v>-</v>
      </c>
      <c r="V53" s="87">
        <f t="shared" si="3"/>
        <v>9</v>
      </c>
    </row>
    <row r="54" spans="1:22" ht="15.75" thickBot="1" x14ac:dyDescent="0.3">
      <c r="A54" s="1162" t="str">
        <f>IF('F-LSCD-003'!D27="-","-",'F-LSCD-003'!D27*1000000)</f>
        <v>-</v>
      </c>
      <c r="B54" s="1187" t="str">
        <f>IF(A54="-","-","Antes del ajuste")</f>
        <v>-</v>
      </c>
      <c r="C54" s="1243" t="s">
        <v>93</v>
      </c>
      <c r="D54" s="1244" t="s">
        <v>93</v>
      </c>
      <c r="E54" s="1244" t="s">
        <v>93</v>
      </c>
      <c r="F54" s="1244" t="s">
        <v>93</v>
      </c>
      <c r="G54" s="1244" t="s">
        <v>93</v>
      </c>
      <c r="H54" s="1244" t="s">
        <v>93</v>
      </c>
      <c r="I54" s="1244" t="s">
        <v>93</v>
      </c>
      <c r="J54" s="1244" t="s">
        <v>93</v>
      </c>
      <c r="K54" s="1244" t="s">
        <v>93</v>
      </c>
      <c r="L54" s="1245" t="s">
        <v>93</v>
      </c>
      <c r="M54" s="1263" t="s">
        <v>93</v>
      </c>
      <c r="N54" s="1246" t="s">
        <v>93</v>
      </c>
      <c r="O54" s="1195" t="str">
        <f>IF(C54="-","-",IF(C54="full range","full range",AVERAGE(C54:L54)))</f>
        <v>-</v>
      </c>
      <c r="P54" s="1195" t="str">
        <f t="shared" si="2"/>
        <v>-</v>
      </c>
      <c r="Q54" s="1195" t="str">
        <f t="shared" si="1"/>
        <v>-</v>
      </c>
      <c r="R54" s="1196" t="str">
        <f>CHOOSE(V54,A54/O54,A54/(O54*1000),A54/(O54*1000000),A54/(O54*'Datos varios'!$E$119),A54/(O54*'Datos varios'!$E$120),A54/(O54*'Datos varios'!$E$121),A54/(O54*'Datos varios'!$E$122),A54/(O54*'Datos varios'!$E$123),"-")</f>
        <v>-</v>
      </c>
      <c r="S54" s="1292" t="str">
        <f>CHOOSE(V54,O54/A54-1,(O54*1000)/A54-1,(O54*1000000)/A54-1,(O54*'Datos varios'!$E$119)/A54-1,(O54*'Datos varios'!$E$120)/A54-1,(O54*'Datos varios'!$E$121)/A54-1,(O54*'Datos varios'!$E$122)/A54-1,(O54*'Datos varios'!$E$123)/A54-1,"-")</f>
        <v>-</v>
      </c>
      <c r="T54" s="1197" t="str">
        <f>IF(C54="-","-",IF(C54="full range","-",'Incert. Cal. Mon.'!EW39))</f>
        <v>-</v>
      </c>
      <c r="U54" s="1197" t="str">
        <f>IF(O54="full range","OUT",CHOOSE(V54,IF(AND(O54&lt;=(A54+10/100*A54),O54&gt;=(A54-10/100*A54),T54&lt;=10%),"OK","OUT"),IF(AND(O54*1000&lt;=(A54+10/100*A54),O54*1000&gt;=(A54-10/100*A54),T54&lt;=10%),"OK","OUT"),IF(AND(O54*1000000&lt;=(A54+10/100*A54),O54*1000000&gt;=(A54-10/100*A54),T54&lt;=10%),"OK","OUT"),IF(AND(O54*'Datos varios'!$E$119&lt;=(A54+10/100*A54),O54*'Datos varios'!$E$119&gt;=(A54-10/100*A54),T54&lt;=10%),"OK","OUT"),IF(AND(O54*'Datos varios'!$E$120&lt;=(A54+10/100*A54),O54*'Datos varios'!$E$120&gt;=(A54-10/100*A54),T54&lt;=10%),"OK","OUT"),IF(AND(O54*'Datos varios'!$E$121&lt;=(A54+10/100*A54),O54*'Datos varios'!$E$121&gt;=(A54-10/100*A54),T54&lt;=10%),"OK","OUT"),IF(AND(O54*'Datos varios'!$E$122&lt;=(A54+10/100*A54),O54*'Datos varios'!$E$122&gt;=(A54-10/100*A54),T54&lt;=10%),"OK","OUT"),IF(AND(O54*'Datos varios'!$E$123&lt;=(A54+10/100*A54),O54*'Datos varios'!$E$123&gt;=(A54-10/100*A54),T54&lt;=10%),"OK","OUT"),"-"))</f>
        <v>-</v>
      </c>
      <c r="V54" s="87">
        <f t="shared" si="3"/>
        <v>9</v>
      </c>
    </row>
    <row r="55" spans="1:22" ht="16.5" thickTop="1" thickBot="1" x14ac:dyDescent="0.3">
      <c r="A55" s="1161" t="str">
        <f>IF(A54="-","-","µSv/h")</f>
        <v>-</v>
      </c>
      <c r="B55" s="1188" t="str">
        <f>IF(A54="-","-","Después del ajuste")</f>
        <v>-</v>
      </c>
      <c r="C55" s="1283" t="s">
        <v>93</v>
      </c>
      <c r="D55" s="1285" t="s">
        <v>93</v>
      </c>
      <c r="E55" s="1285" t="s">
        <v>93</v>
      </c>
      <c r="F55" s="1285" t="s">
        <v>93</v>
      </c>
      <c r="G55" s="1285" t="s">
        <v>93</v>
      </c>
      <c r="H55" s="1285" t="s">
        <v>93</v>
      </c>
      <c r="I55" s="1285" t="s">
        <v>93</v>
      </c>
      <c r="J55" s="1285" t="s">
        <v>93</v>
      </c>
      <c r="K55" s="1285" t="s">
        <v>93</v>
      </c>
      <c r="L55" s="1286" t="s">
        <v>93</v>
      </c>
      <c r="M55" s="1284" t="s">
        <v>93</v>
      </c>
      <c r="N55" s="1431" t="s">
        <v>93</v>
      </c>
      <c r="O55" s="1261" t="str">
        <f>IF(C55="-","-",IF(C55="full range","full range",AVERAGE(C55:L55)))</f>
        <v>-</v>
      </c>
      <c r="P55" s="1191" t="str">
        <f t="shared" si="2"/>
        <v>-</v>
      </c>
      <c r="Q55" s="1191" t="str">
        <f t="shared" si="1"/>
        <v>-</v>
      </c>
      <c r="R55" s="1192" t="str">
        <f>CHOOSE(V55,A54/O55,A54/(O55*1000),A54/(O55*1000000),A54/(O55*'Datos varios'!$E$119),A54/(O55*'Datos varios'!$E$120),A54/(O55*'Datos varios'!$E$121),A54/(O55*'Datos varios'!$E$122),A54/(O55*'Datos varios'!$E$123),"-")</f>
        <v>-</v>
      </c>
      <c r="S55" s="1296" t="str">
        <f>CHOOSE(V55,O55/A54-1,(O55*1000)/A54-1,(O55*1000000)/A54-1,(O55*'Datos varios'!$E$119)/A54-1,(O55*'Datos varios'!$E$120)/A54-1,(O55*'Datos varios'!$E$121)/A54-1,(O55*'Datos varios'!$E$122)/A54-1,(O55*'Datos varios'!$E$123)/A54-1,"-")</f>
        <v>-</v>
      </c>
      <c r="T55" s="1194" t="str">
        <f>IF(C55="-","-",IF(C55="full range","-",'Incert. Cal. Mon.'!FD39))</f>
        <v>-</v>
      </c>
      <c r="U55" s="1193" t="str">
        <f>IF(O55="full range","OUT",CHOOSE(V55,IF(AND(O55&lt;=(A54+10/100*A54),O55&gt;=(A54-10/100*A54),T55&lt;=10%),"OK","OUT"),IF(AND(O55*1000&lt;=(A54+10/100*A54),O55*1000&gt;=(A54-10/100*A54),T55&lt;=10%),"OK","OUT"),IF(AND(O55*1000000&lt;=(A54+10/100*A54),O55*1000000&gt;=(A54-10/100*A54),T55&lt;=10%),"OK","OUT"),IF(AND(O55*'Datos varios'!$E$119&lt;=(A54+10/100*A54),O55*'Datos varios'!$E$119&gt;=(A54-10/100*A54),T55&lt;=10%),"OK","OUT"),IF(AND(O55*'Datos varios'!$E$120&lt;=(A54+10/100*A54),O55*'Datos varios'!$E$120&gt;=(A54-10/100*A54),T55&lt;=10%),"OK","OUT"),IF(AND(O55*'Datos varios'!$E$121&lt;=(A54+10/100*A54),O55*'Datos varios'!$E$121&gt;=(A54-10/100*A54),T55&lt;=10%),"OK","OUT"),IF(AND(O55*'Datos varios'!$E$122&lt;=(A54+10/100*A54),O55*'Datos varios'!$E$122&gt;=(A54-10/100*A54),T55&lt;=10%),"OK","OUT"),IF(AND(O55*'Datos varios'!$E$123&lt;=(A54+10/100*A54),O55*'Datos varios'!$E$123&gt;=(A54-10/100*A54),T55&lt;=10%),"OK","OUT"),"-"))</f>
        <v>-</v>
      </c>
      <c r="V55" s="87">
        <f t="shared" si="3"/>
        <v>9</v>
      </c>
    </row>
    <row r="56" spans="1:22" ht="15.75" thickBot="1" x14ac:dyDescent="0.3">
      <c r="A56" s="1162" t="str">
        <f>IF('F-LSCD-003'!D28="-","-",'F-LSCD-003'!D28*1000000)</f>
        <v>-</v>
      </c>
      <c r="B56" s="1185" t="str">
        <f>IF(A56="-","-","Antes del ajuste")</f>
        <v>-</v>
      </c>
      <c r="C56" s="1298" t="s">
        <v>93</v>
      </c>
      <c r="D56" s="1299" t="s">
        <v>93</v>
      </c>
      <c r="E56" s="1299" t="s">
        <v>93</v>
      </c>
      <c r="F56" s="1299" t="s">
        <v>93</v>
      </c>
      <c r="G56" s="1299" t="s">
        <v>93</v>
      </c>
      <c r="H56" s="1299" t="s">
        <v>93</v>
      </c>
      <c r="I56" s="1299" t="s">
        <v>93</v>
      </c>
      <c r="J56" s="1299" t="s">
        <v>93</v>
      </c>
      <c r="K56" s="1299" t="s">
        <v>93</v>
      </c>
      <c r="L56" s="1300" t="s">
        <v>93</v>
      </c>
      <c r="M56" s="1301" t="s">
        <v>93</v>
      </c>
      <c r="N56" s="1248" t="s">
        <v>93</v>
      </c>
      <c r="O56" s="1198" t="s">
        <v>93</v>
      </c>
      <c r="P56" s="1198" t="str">
        <f t="shared" si="2"/>
        <v>-</v>
      </c>
      <c r="Q56" s="1198" t="str">
        <f t="shared" si="1"/>
        <v>-</v>
      </c>
      <c r="R56" s="1199" t="str">
        <f>CHOOSE(V56,A56/O56,A56/(O56*1000),A56/(O56*1000000),A56/(O56*'Datos varios'!$E$119),A56/(O56*'Datos varios'!$E$120),A56/(O56*'Datos varios'!$E$121),A56/(O56*'Datos varios'!$E$122),A56/(O56*'Datos varios'!$E$123),"-")</f>
        <v>-</v>
      </c>
      <c r="S56" s="1294" t="str">
        <f>CHOOSE(V56,O56/A56-1,(O56*1000)/A56-1,(O56*1000000)/A56-1,(O56*'Datos varios'!$E$119)/A56-1,(O56*'Datos varios'!$E$120)/A56-1,(O56*'Datos varios'!$E$121)/A56-1,(O56*'Datos varios'!$E$122)/A56-1,(O56*'Datos varios'!$E$123)/A56-1,"-")</f>
        <v>-</v>
      </c>
      <c r="T56" s="1200" t="str">
        <f>IF(C56="-","-",IF(C56="full range","-",'Incert. Cal. Mon.'!FK39))</f>
        <v>-</v>
      </c>
      <c r="U56" s="1200" t="str">
        <f>IF(O56="full range","OUT",CHOOSE(V56,IF(AND(O56&lt;=(A56+10/100*A56),O56&gt;=(A56-10/100*A56),T56&lt;=10%),"OK","OUT"),IF(AND(O56*1000&lt;=(A56+10/100*A56),O56*1000&gt;=(A56-10/100*A56),T56&lt;=10%),"OK","OUT"),IF(AND(O56*1000000&lt;=(A56+10/100*A56),O56*1000000&gt;=(A56-10/100*A56),T56&lt;=10%),"OK","OUT"),IF(AND(O56*'Datos varios'!$E$119&lt;=(A56+10/100*A56),O56*'Datos varios'!$E$119&gt;=(A56-10/100*A56),T56&lt;=10%),"OK","OUT"),IF(AND(O56*'Datos varios'!$E$120&lt;=(A56+10/100*A56),O56*'Datos varios'!$E$120&gt;=(A56-10/100*A56),T56&lt;=10%),"OK","OUT"),IF(AND(O56*'Datos varios'!$E$121&lt;=(A56+10/100*A56),O56*'Datos varios'!$E$121&gt;=(A56-10/100*A56),T56&lt;=10%),"OK","OUT"),IF(AND(O56*'Datos varios'!$E$122&lt;=(A56+10/100*A56),O56*'Datos varios'!$E$122&gt;=(A56-10/100*A56),T56&lt;=10%),"OK","OUT"),IF(AND(O56*'Datos varios'!$E$123&lt;=(A56+10/100*A56),O56*'Datos varios'!$E$123&gt;=(A56-10/100*A56),T56&lt;=10%),"OK","OUT"),"-"))</f>
        <v>-</v>
      </c>
      <c r="V56" s="87">
        <f t="shared" si="3"/>
        <v>9</v>
      </c>
    </row>
    <row r="57" spans="1:22" ht="16.5" thickTop="1" thickBot="1" x14ac:dyDescent="0.3">
      <c r="A57" s="1161" t="str">
        <f>IF(A56="-","-","µSv/h")</f>
        <v>-</v>
      </c>
      <c r="B57" s="1186" t="str">
        <f>IF(A56="-","-","Después del ajuste")</f>
        <v>-</v>
      </c>
      <c r="C57" s="1240" t="s">
        <v>93</v>
      </c>
      <c r="D57" s="1241" t="s">
        <v>93</v>
      </c>
      <c r="E57" s="1241" t="s">
        <v>93</v>
      </c>
      <c r="F57" s="1241" t="s">
        <v>93</v>
      </c>
      <c r="G57" s="1241" t="s">
        <v>93</v>
      </c>
      <c r="H57" s="1241" t="s">
        <v>93</v>
      </c>
      <c r="I57" s="1241" t="s">
        <v>93</v>
      </c>
      <c r="J57" s="1241" t="s">
        <v>93</v>
      </c>
      <c r="K57" s="1241" t="s">
        <v>93</v>
      </c>
      <c r="L57" s="1242" t="s">
        <v>93</v>
      </c>
      <c r="M57" s="1282" t="s">
        <v>93</v>
      </c>
      <c r="N57" s="1432" t="s">
        <v>93</v>
      </c>
      <c r="O57" s="1260" t="str">
        <f>IF(C57="-","-",IF(C57="full range","full range",AVERAGE(C57:L57)))</f>
        <v>-</v>
      </c>
      <c r="P57" s="1005" t="str">
        <f t="shared" si="2"/>
        <v>-</v>
      </c>
      <c r="Q57" s="1005" t="str">
        <f t="shared" si="1"/>
        <v>-</v>
      </c>
      <c r="R57" s="1189" t="str">
        <f>CHOOSE(V57,A56/O57,A56/(O57*1000),A56/(O57*1000000),A56/(O57*'Datos varios'!$E$119),A56/(O57*'Datos varios'!$E$120),A56/(O57*'Datos varios'!$E$121),A56/(O57*'Datos varios'!$E$122),A56/(O57*'Datos varios'!$E$123),"-")</f>
        <v>-</v>
      </c>
      <c r="S57" s="1297" t="str">
        <f>CHOOSE(V57,O57/A56-1,(O57*1000)/A56-1,(O57*1000000)/A56-1,(O57*'Datos varios'!$E$119)/A56-1,(O57*'Datos varios'!$E$120)/A56-1,(O57*'Datos varios'!$E$121)/A56-1,(O57*'Datos varios'!$E$122)/A56-1,(O57*'Datos varios'!$E$123)/A56-1,"-")</f>
        <v>-</v>
      </c>
      <c r="T57" s="1201" t="str">
        <f>IF(C57="-","-",IF(C57="full range","-",'Incert. Cal. Mon.'!FR39))</f>
        <v>-</v>
      </c>
      <c r="U57" s="1190" t="str">
        <f>IF(O57="full range","OUT",CHOOSE(V57,IF(AND(O57&lt;=(A56+10/100*A56),O57&gt;=(A56-10/100*A56),T57&lt;=10%),"OK","OUT"),IF(AND(O57*1000&lt;=(A56+10/100*A56),O57*1000&gt;=(A56-10/100*A56),T57&lt;=10%),"OK","OUT"),IF(AND(O57*1000000&lt;=(A56+10/100*A56),O57*1000000&gt;=(A56-10/100*A56),T57&lt;=10%),"OK","OUT"),IF(AND(O57*'Datos varios'!$E$119&lt;=(A56+10/100*A56),O57*'Datos varios'!$E$119&gt;=(A56-10/100*A56),T57&lt;=10%),"OK","OUT"),IF(AND(O57*'Datos varios'!$E$120&lt;=(A56+10/100*A56),O57*'Datos varios'!$E$120&gt;=(A56-10/100*A56),T57&lt;=10%),"OK","OUT"),IF(AND(O57*'Datos varios'!$E$121&lt;=(A56+10/100*A56),O57*'Datos varios'!$E$121&gt;=(A56-10/100*A56),T57&lt;=10%),"OK","OUT"),IF(AND(O57*'Datos varios'!$E$122&lt;=(A56+10/100*A56),O57*'Datos varios'!$E$122&gt;=(A56-10/100*A56),T57&lt;=10%),"OK","OUT"),IF(AND(O57*'Datos varios'!$E$123&lt;=(A56+10/100*A56),O57*'Datos varios'!$E$123&gt;=(A56-10/100*A56),T57&lt;=10%),"OK","OUT"),"-"))</f>
        <v>-</v>
      </c>
      <c r="V57" s="87">
        <f t="shared" si="3"/>
        <v>9</v>
      </c>
    </row>
    <row r="58" spans="1:22" ht="15.75" thickBot="1" x14ac:dyDescent="0.3">
      <c r="A58" s="217"/>
    </row>
    <row r="59" spans="1:22" ht="15.75" thickBot="1" x14ac:dyDescent="0.3">
      <c r="C59" s="2375" t="s">
        <v>827</v>
      </c>
      <c r="D59" s="2376"/>
      <c r="E59" s="2376"/>
      <c r="F59" s="2376"/>
      <c r="G59" s="2376"/>
      <c r="H59" s="2377"/>
      <c r="J59" s="2375" t="s">
        <v>828</v>
      </c>
      <c r="K59" s="2376"/>
      <c r="L59" s="2376"/>
      <c r="M59" s="2376"/>
      <c r="N59" s="2376"/>
      <c r="O59" s="2377"/>
      <c r="P59" s="219"/>
      <c r="Q59" s="219"/>
      <c r="R59" s="222"/>
      <c r="S59" s="222"/>
    </row>
    <row r="60" spans="1:22" ht="30.75" thickBot="1" x14ac:dyDescent="0.3">
      <c r="C60" s="1250" t="str">
        <f>"Rango "&amp;"("&amp;F24&amp;")"</f>
        <v>Rango (µSv/h)</v>
      </c>
      <c r="D60" s="1251" t="s">
        <v>329</v>
      </c>
      <c r="E60" s="1252" t="s">
        <v>829</v>
      </c>
      <c r="F60" s="1253" t="s">
        <v>832</v>
      </c>
      <c r="G60" s="1188" t="s">
        <v>831</v>
      </c>
      <c r="H60" s="1251" t="s">
        <v>251</v>
      </c>
      <c r="J60" s="1250" t="s">
        <v>330</v>
      </c>
      <c r="K60" s="1251" t="s">
        <v>329</v>
      </c>
      <c r="L60" s="1252" t="s">
        <v>829</v>
      </c>
      <c r="M60" s="1253" t="s">
        <v>832</v>
      </c>
      <c r="N60" s="1188" t="s">
        <v>831</v>
      </c>
      <c r="O60" s="1251" t="s">
        <v>251</v>
      </c>
    </row>
    <row r="61" spans="1:22" x14ac:dyDescent="0.25">
      <c r="C61" s="2381" t="str">
        <f>C24</f>
        <v>10 - 300</v>
      </c>
      <c r="D61" s="998">
        <f>A34</f>
        <v>25000</v>
      </c>
      <c r="E61" s="999">
        <f>O34</f>
        <v>60</v>
      </c>
      <c r="F61" s="998">
        <f>R34</f>
        <v>0.70339976553341155</v>
      </c>
      <c r="G61" s="999" t="str">
        <f>U34</f>
        <v>-</v>
      </c>
      <c r="H61" s="2378">
        <f>AVERAGE(F61:F72)</f>
        <v>1.0081550249986533</v>
      </c>
      <c r="J61" s="2381" t="str">
        <f>IF(M61="-","-",C24)</f>
        <v>10 - 300</v>
      </c>
      <c r="K61" s="998">
        <f>IF(M61="-","-",A34)</f>
        <v>25000</v>
      </c>
      <c r="L61" s="999">
        <f>O35</f>
        <v>85.3</v>
      </c>
      <c r="M61" s="998">
        <f>R35</f>
        <v>0.70339976553341155</v>
      </c>
      <c r="N61" s="999" t="str">
        <f>U35</f>
        <v>-</v>
      </c>
      <c r="O61" s="2378">
        <f>IF(M61="-","-",AVERAGE(M61:M72))</f>
        <v>1.0081550249986533</v>
      </c>
    </row>
    <row r="62" spans="1:22" x14ac:dyDescent="0.25">
      <c r="C62" s="2382"/>
      <c r="D62" s="1000" t="str">
        <f>A36</f>
        <v>-</v>
      </c>
      <c r="E62" s="1001">
        <f>O36</f>
        <v>60</v>
      </c>
      <c r="F62" s="1000">
        <f>R36</f>
        <v>1.3129102844638949</v>
      </c>
      <c r="G62" s="1001" t="str">
        <f>U36</f>
        <v>-</v>
      </c>
      <c r="H62" s="2379"/>
      <c r="J62" s="2382"/>
      <c r="K62" s="1000" t="str">
        <f>IF(M62="-","-",A36)</f>
        <v>-</v>
      </c>
      <c r="L62" s="1001">
        <f>O37</f>
        <v>45.7</v>
      </c>
      <c r="M62" s="1000">
        <f>R37</f>
        <v>1.3129102844638949</v>
      </c>
      <c r="N62" s="1001" t="str">
        <f>U37</f>
        <v>-</v>
      </c>
      <c r="O62" s="2379"/>
    </row>
    <row r="63" spans="1:22" x14ac:dyDescent="0.25">
      <c r="C63" s="2382"/>
      <c r="D63" s="1002" t="str">
        <f>A38</f>
        <v>-</v>
      </c>
      <c r="E63" s="1001" t="str">
        <f>O38</f>
        <v>-</v>
      </c>
      <c r="F63" s="1000" t="str">
        <f>R38</f>
        <v>-</v>
      </c>
      <c r="G63" s="1001" t="str">
        <f>U38</f>
        <v>-</v>
      </c>
      <c r="H63" s="2379"/>
      <c r="J63" s="2382"/>
      <c r="K63" s="1002" t="str">
        <f>IF(M63="-","-",A38)</f>
        <v>-</v>
      </c>
      <c r="L63" s="1001" t="str">
        <f>O39</f>
        <v>-</v>
      </c>
      <c r="M63" s="1000" t="str">
        <f>R39</f>
        <v>-</v>
      </c>
      <c r="N63" s="1001" t="str">
        <f>U39</f>
        <v>-</v>
      </c>
      <c r="O63" s="2379"/>
    </row>
    <row r="64" spans="1:22" x14ac:dyDescent="0.25">
      <c r="C64" s="2382"/>
      <c r="D64" s="1002" t="str">
        <f>A40</f>
        <v>-</v>
      </c>
      <c r="E64" s="1001" t="str">
        <f>O40</f>
        <v>-</v>
      </c>
      <c r="F64" s="1000" t="str">
        <f>R40</f>
        <v>-</v>
      </c>
      <c r="G64" s="1001" t="str">
        <f>U40</f>
        <v>-</v>
      </c>
      <c r="H64" s="2379"/>
      <c r="J64" s="2382"/>
      <c r="K64" s="1002" t="str">
        <f>IF(M64="-","-",A40)</f>
        <v>-</v>
      </c>
      <c r="L64" s="1001" t="str">
        <f>O41</f>
        <v>-</v>
      </c>
      <c r="M64" s="1000" t="str">
        <f>R41</f>
        <v>-</v>
      </c>
      <c r="N64" s="1001" t="str">
        <f>U41</f>
        <v>-</v>
      </c>
      <c r="O64" s="2379"/>
      <c r="R64" s="1303"/>
    </row>
    <row r="65" spans="3:17" x14ac:dyDescent="0.25">
      <c r="C65" s="2382"/>
      <c r="D65" s="1002" t="str">
        <f>A42</f>
        <v>-</v>
      </c>
      <c r="E65" s="1001" t="str">
        <f>O42</f>
        <v>-</v>
      </c>
      <c r="F65" s="1000" t="str">
        <f>R42</f>
        <v>-</v>
      </c>
      <c r="G65" s="1001" t="str">
        <f>U42</f>
        <v>-</v>
      </c>
      <c r="H65" s="2379"/>
      <c r="J65" s="2382"/>
      <c r="K65" s="1002" t="str">
        <f>IF(M65="-","-",A42)</f>
        <v>-</v>
      </c>
      <c r="L65" s="1001" t="str">
        <f>O43</f>
        <v>-</v>
      </c>
      <c r="M65" s="1000" t="str">
        <f>R43</f>
        <v>-</v>
      </c>
      <c r="N65" s="1001" t="str">
        <f>U43</f>
        <v>-</v>
      </c>
      <c r="O65" s="2379"/>
      <c r="Q65" s="222"/>
    </row>
    <row r="66" spans="3:17" x14ac:dyDescent="0.25">
      <c r="C66" s="2382"/>
      <c r="D66" s="1002" t="str">
        <f>A44</f>
        <v>-</v>
      </c>
      <c r="E66" s="1001" t="str">
        <f>O44</f>
        <v>-</v>
      </c>
      <c r="F66" s="1000" t="str">
        <f>R44</f>
        <v>-</v>
      </c>
      <c r="G66" s="1001" t="str">
        <f>U44</f>
        <v>-</v>
      </c>
      <c r="H66" s="2379"/>
      <c r="J66" s="2382"/>
      <c r="K66" s="1002" t="str">
        <f>IF(M66="-","-",A44)</f>
        <v>-</v>
      </c>
      <c r="L66" s="1001" t="str">
        <f>O45</f>
        <v>-</v>
      </c>
      <c r="M66" s="1000" t="str">
        <f>R45</f>
        <v>-</v>
      </c>
      <c r="N66" s="1001" t="str">
        <f>U45</f>
        <v>-</v>
      </c>
      <c r="O66" s="2379"/>
    </row>
    <row r="67" spans="3:17" x14ac:dyDescent="0.25">
      <c r="C67" s="2382"/>
      <c r="D67" s="1002" t="str">
        <f>A46</f>
        <v>-</v>
      </c>
      <c r="E67" s="1001" t="str">
        <f>O46</f>
        <v>-</v>
      </c>
      <c r="F67" s="1000" t="str">
        <f>R46</f>
        <v>-</v>
      </c>
      <c r="G67" s="1001" t="str">
        <f>U46</f>
        <v>-</v>
      </c>
      <c r="H67" s="2379"/>
      <c r="J67" s="2382"/>
      <c r="K67" s="1002" t="str">
        <f>IF(M67="-","-",A46)</f>
        <v>-</v>
      </c>
      <c r="L67" s="1001" t="str">
        <f>O47</f>
        <v>-</v>
      </c>
      <c r="M67" s="1000" t="str">
        <f>R47</f>
        <v>-</v>
      </c>
      <c r="N67" s="1001" t="str">
        <f>U47</f>
        <v>-</v>
      </c>
      <c r="O67" s="2379"/>
    </row>
    <row r="68" spans="3:17" x14ac:dyDescent="0.25">
      <c r="C68" s="2382"/>
      <c r="D68" s="1003" t="str">
        <f>A48</f>
        <v>-</v>
      </c>
      <c r="E68" s="1001" t="str">
        <f>O48</f>
        <v>-</v>
      </c>
      <c r="F68" s="1000" t="str">
        <f>R48</f>
        <v>-</v>
      </c>
      <c r="G68" s="1001" t="str">
        <f>U48</f>
        <v>-</v>
      </c>
      <c r="H68" s="2379"/>
      <c r="J68" s="2382"/>
      <c r="K68" s="1003" t="str">
        <f>IF(M68="-","-",A48)</f>
        <v>-</v>
      </c>
      <c r="L68" s="1001" t="str">
        <f>O49</f>
        <v>-</v>
      </c>
      <c r="M68" s="1000" t="str">
        <f>R49</f>
        <v>-</v>
      </c>
      <c r="N68" s="1001" t="str">
        <f>U49</f>
        <v>-</v>
      </c>
      <c r="O68" s="2379"/>
    </row>
    <row r="69" spans="3:17" x14ac:dyDescent="0.25">
      <c r="C69" s="2382"/>
      <c r="D69" s="1002" t="str">
        <f>A50</f>
        <v>-</v>
      </c>
      <c r="E69" s="1001" t="str">
        <f>O50</f>
        <v>-</v>
      </c>
      <c r="F69" s="1000" t="str">
        <f>R50</f>
        <v>-</v>
      </c>
      <c r="G69" s="1001" t="str">
        <f>U50</f>
        <v>-</v>
      </c>
      <c r="H69" s="2379"/>
      <c r="J69" s="2382"/>
      <c r="K69" s="1003" t="str">
        <f>IF(M69="-","-",A50)</f>
        <v>-</v>
      </c>
      <c r="L69" s="1001" t="str">
        <f>O51</f>
        <v>-</v>
      </c>
      <c r="M69" s="1000" t="str">
        <f>R51</f>
        <v>-</v>
      </c>
      <c r="N69" s="1001" t="str">
        <f>U51</f>
        <v>-</v>
      </c>
      <c r="O69" s="2379"/>
    </row>
    <row r="70" spans="3:17" x14ac:dyDescent="0.25">
      <c r="C70" s="2382"/>
      <c r="D70" s="1003" t="str">
        <f>A52</f>
        <v>-</v>
      </c>
      <c r="E70" s="1001" t="str">
        <f>O52</f>
        <v>-</v>
      </c>
      <c r="F70" s="1000" t="str">
        <f>R52</f>
        <v>-</v>
      </c>
      <c r="G70" s="1001" t="str">
        <f>U52</f>
        <v>-</v>
      </c>
      <c r="H70" s="2379"/>
      <c r="J70" s="2382"/>
      <c r="K70" s="1003" t="str">
        <f>IF(M70="-","-",A52)</f>
        <v>-</v>
      </c>
      <c r="L70" s="1001" t="str">
        <f>O53</f>
        <v>-</v>
      </c>
      <c r="M70" s="1000" t="str">
        <f>R53</f>
        <v>-</v>
      </c>
      <c r="N70" s="1001" t="str">
        <f>U53</f>
        <v>-</v>
      </c>
      <c r="O70" s="2379"/>
    </row>
    <row r="71" spans="3:17" x14ac:dyDescent="0.25">
      <c r="C71" s="2382"/>
      <c r="D71" s="1003" t="str">
        <f>A54</f>
        <v>-</v>
      </c>
      <c r="E71" s="1001" t="str">
        <f>O54</f>
        <v>-</v>
      </c>
      <c r="F71" s="1000" t="str">
        <f>R54</f>
        <v>-</v>
      </c>
      <c r="G71" s="1001" t="str">
        <f>U54</f>
        <v>-</v>
      </c>
      <c r="H71" s="2379"/>
      <c r="J71" s="2382"/>
      <c r="K71" s="1003" t="str">
        <f>IF(M71="-","-",A54)</f>
        <v>-</v>
      </c>
      <c r="L71" s="1001" t="str">
        <f>O55</f>
        <v>-</v>
      </c>
      <c r="M71" s="1000" t="str">
        <f>R55</f>
        <v>-</v>
      </c>
      <c r="N71" s="1001" t="str">
        <f>U55</f>
        <v>-</v>
      </c>
      <c r="O71" s="2379"/>
    </row>
    <row r="72" spans="3:17" ht="15.75" thickBot="1" x14ac:dyDescent="0.3">
      <c r="C72" s="2383"/>
      <c r="D72" s="1004" t="str">
        <f>A56</f>
        <v>-</v>
      </c>
      <c r="E72" s="1005" t="str">
        <f>O56</f>
        <v>-</v>
      </c>
      <c r="F72" s="1006" t="str">
        <f>R56</f>
        <v>-</v>
      </c>
      <c r="G72" s="1005" t="str">
        <f>U56</f>
        <v>-</v>
      </c>
      <c r="H72" s="2380"/>
      <c r="J72" s="2383"/>
      <c r="K72" s="1004" t="str">
        <f>IF(M72="-","-",A56)</f>
        <v>-</v>
      </c>
      <c r="L72" s="1005" t="str">
        <f>O57</f>
        <v>-</v>
      </c>
      <c r="M72" s="1006" t="str">
        <f>R57</f>
        <v>-</v>
      </c>
      <c r="N72" s="1005" t="str">
        <f>U57</f>
        <v>-</v>
      </c>
      <c r="O72" s="2380"/>
    </row>
    <row r="73" spans="3:17" ht="15.75" thickBot="1" x14ac:dyDescent="0.3">
      <c r="F73" s="222"/>
      <c r="H73" s="1210">
        <f>AVERAGE(H61)</f>
        <v>1.0081550249986533</v>
      </c>
      <c r="M73" s="222"/>
      <c r="O73" s="1210">
        <f>IF(M61="-","-",AVERAGE(O61))</f>
        <v>1.0081550249986533</v>
      </c>
    </row>
  </sheetData>
  <mergeCells count="36">
    <mergeCell ref="J59:O59"/>
    <mergeCell ref="C61:C72"/>
    <mergeCell ref="H61:H72"/>
    <mergeCell ref="J61:J72"/>
    <mergeCell ref="O61:O72"/>
    <mergeCell ref="C59:H59"/>
    <mergeCell ref="A24:B24"/>
    <mergeCell ref="A25:B25"/>
    <mergeCell ref="A26:B26"/>
    <mergeCell ref="A28:B29"/>
    <mergeCell ref="A30:B31"/>
    <mergeCell ref="A20:B20"/>
    <mergeCell ref="A21:B21"/>
    <mergeCell ref="A22:B22"/>
    <mergeCell ref="C22:K22"/>
    <mergeCell ref="A23:B23"/>
    <mergeCell ref="C23:M23"/>
    <mergeCell ref="A19:B19"/>
    <mergeCell ref="C19:K19"/>
    <mergeCell ref="A11:B11"/>
    <mergeCell ref="A12:B12"/>
    <mergeCell ref="A13:B13"/>
    <mergeCell ref="A14:B14"/>
    <mergeCell ref="A15:B15"/>
    <mergeCell ref="A16:B16"/>
    <mergeCell ref="C16:D16"/>
    <mergeCell ref="A17:B17"/>
    <mergeCell ref="C17:D17"/>
    <mergeCell ref="A18:B18"/>
    <mergeCell ref="C18:D18"/>
    <mergeCell ref="A10:B10"/>
    <mergeCell ref="D1:R4"/>
    <mergeCell ref="A6:B6"/>
    <mergeCell ref="A7:B7"/>
    <mergeCell ref="A8:B8"/>
    <mergeCell ref="A9:B9"/>
  </mergeCells>
  <conditionalFormatting sqref="U34:U51 G61:G72 N61:N72">
    <cfRule type="containsErrors" dxfId="244" priority="45">
      <formula>ISERROR(G34)</formula>
    </cfRule>
    <cfRule type="containsText" dxfId="243" priority="49" operator="containsText" text="OK">
      <formula>NOT(ISERROR(SEARCH("OK",G34)))</formula>
    </cfRule>
  </conditionalFormatting>
  <conditionalFormatting sqref="U34:U51 G61:G72 N61:N72">
    <cfRule type="containsText" dxfId="242" priority="48" operator="containsText" text="OUT">
      <formula>NOT(ISERROR(SEARCH("OUT",G34)))</formula>
    </cfRule>
  </conditionalFormatting>
  <conditionalFormatting sqref="H73">
    <cfRule type="expression" dxfId="241" priority="47">
      <formula>$O$73="-"</formula>
    </cfRule>
  </conditionalFormatting>
  <conditionalFormatting sqref="O73">
    <cfRule type="expression" dxfId="240" priority="46">
      <formula>NOT($O$61="-")</formula>
    </cfRule>
  </conditionalFormatting>
  <conditionalFormatting sqref="O34:O51 E61:E72 L61:L72">
    <cfRule type="containsText" dxfId="239" priority="44" operator="containsText" text="Full range">
      <formula>NOT(ISERROR(SEARCH("Full range",E34)))</formula>
    </cfRule>
  </conditionalFormatting>
  <conditionalFormatting sqref="T34:T51">
    <cfRule type="cellIs" dxfId="238" priority="43" operator="greaterThan">
      <formula>0.1</formula>
    </cfRule>
  </conditionalFormatting>
  <conditionalFormatting sqref="S34:S51">
    <cfRule type="cellIs" dxfId="237" priority="40" operator="notBetween">
      <formula>-0.1</formula>
      <formula>0.1</formula>
    </cfRule>
  </conditionalFormatting>
  <conditionalFormatting sqref="U52:U53">
    <cfRule type="containsErrors" dxfId="236" priority="35">
      <formula>ISERROR(U52)</formula>
    </cfRule>
    <cfRule type="containsText" dxfId="235" priority="37" operator="containsText" text="OK">
      <formula>NOT(ISERROR(SEARCH("OK",U52)))</formula>
    </cfRule>
  </conditionalFormatting>
  <conditionalFormatting sqref="U52:U53">
    <cfRule type="containsText" dxfId="234" priority="36" operator="containsText" text="OUT">
      <formula>NOT(ISERROR(SEARCH("OUT",U52)))</formula>
    </cfRule>
  </conditionalFormatting>
  <conditionalFormatting sqref="O52:O53">
    <cfRule type="containsText" dxfId="233" priority="34" operator="containsText" text="Full range">
      <formula>NOT(ISERROR(SEARCH("Full range",O52)))</formula>
    </cfRule>
  </conditionalFormatting>
  <conditionalFormatting sqref="T52:T53">
    <cfRule type="cellIs" dxfId="232" priority="33" operator="greaterThan">
      <formula>0.1</formula>
    </cfRule>
  </conditionalFormatting>
  <conditionalFormatting sqref="S52:S53">
    <cfRule type="cellIs" dxfId="231" priority="31" operator="notBetween">
      <formula>-0.1</formula>
      <formula>0.1</formula>
    </cfRule>
  </conditionalFormatting>
  <conditionalFormatting sqref="U54:U55">
    <cfRule type="containsErrors" dxfId="230" priority="27">
      <formula>ISERROR(U54)</formula>
    </cfRule>
    <cfRule type="containsText" dxfId="229" priority="29" operator="containsText" text="OK">
      <formula>NOT(ISERROR(SEARCH("OK",U54)))</formula>
    </cfRule>
  </conditionalFormatting>
  <conditionalFormatting sqref="U54:U55">
    <cfRule type="containsText" dxfId="228" priority="28" operator="containsText" text="OUT">
      <formula>NOT(ISERROR(SEARCH("OUT",U54)))</formula>
    </cfRule>
  </conditionalFormatting>
  <conditionalFormatting sqref="O54:O55">
    <cfRule type="containsText" dxfId="227" priority="26" operator="containsText" text="Full range">
      <formula>NOT(ISERROR(SEARCH("Full range",O54)))</formula>
    </cfRule>
  </conditionalFormatting>
  <conditionalFormatting sqref="T54:T55">
    <cfRule type="cellIs" dxfId="226" priority="25" operator="greaterThan">
      <formula>0.1</formula>
    </cfRule>
  </conditionalFormatting>
  <conditionalFormatting sqref="S54:S55">
    <cfRule type="cellIs" dxfId="225" priority="23" operator="notBetween">
      <formula>-0.1</formula>
      <formula>0.1</formula>
    </cfRule>
  </conditionalFormatting>
  <conditionalFormatting sqref="U56:U57">
    <cfRule type="containsErrors" dxfId="224" priority="19">
      <formula>ISERROR(U56)</formula>
    </cfRule>
    <cfRule type="containsText" dxfId="223" priority="21" operator="containsText" text="OK">
      <formula>NOT(ISERROR(SEARCH("OK",U56)))</formula>
    </cfRule>
  </conditionalFormatting>
  <conditionalFormatting sqref="U56:U57">
    <cfRule type="containsText" dxfId="222" priority="20" operator="containsText" text="OUT">
      <formula>NOT(ISERROR(SEARCH("OUT",U56)))</formula>
    </cfRule>
  </conditionalFormatting>
  <conditionalFormatting sqref="O56:O57">
    <cfRule type="containsText" dxfId="221" priority="18" operator="containsText" text="Full range">
      <formula>NOT(ISERROR(SEARCH("Full range",O56)))</formula>
    </cfRule>
  </conditionalFormatting>
  <conditionalFormatting sqref="T56:T57">
    <cfRule type="cellIs" dxfId="220" priority="17" operator="greaterThan">
      <formula>0.1</formula>
    </cfRule>
  </conditionalFormatting>
  <conditionalFormatting sqref="S56:S57">
    <cfRule type="cellIs" dxfId="219" priority="15" operator="notBetween">
      <formula>-0.1</formula>
      <formula>0.1</formula>
    </cfRule>
  </conditionalFormatting>
  <conditionalFormatting sqref="S34:S35 S38:S39 S42:S43 S46:S47 S50:S51 S54:S55">
    <cfRule type="cellIs" dxfId="218" priority="13" operator="lessThan">
      <formula>-0.1</formula>
    </cfRule>
  </conditionalFormatting>
  <conditionalFormatting sqref="S36">
    <cfRule type="cellIs" dxfId="217" priority="12" operator="lessThan">
      <formula>-0.1</formula>
    </cfRule>
  </conditionalFormatting>
  <conditionalFormatting sqref="S40">
    <cfRule type="cellIs" dxfId="216" priority="11" operator="lessThan">
      <formula>-0.1</formula>
    </cfRule>
  </conditionalFormatting>
  <conditionalFormatting sqref="S44">
    <cfRule type="cellIs" dxfId="215" priority="10" operator="lessThan">
      <formula>-0.1</formula>
    </cfRule>
  </conditionalFormatting>
  <conditionalFormatting sqref="S48">
    <cfRule type="cellIs" dxfId="214" priority="9" operator="lessThan">
      <formula>-0.1</formula>
    </cfRule>
  </conditionalFormatting>
  <conditionalFormatting sqref="S52">
    <cfRule type="cellIs" dxfId="213" priority="8" operator="lessThan">
      <formula>-0.1</formula>
    </cfRule>
  </conditionalFormatting>
  <conditionalFormatting sqref="S56">
    <cfRule type="cellIs" dxfId="212" priority="7" operator="lessThan">
      <formula>-0.1</formula>
    </cfRule>
  </conditionalFormatting>
  <conditionalFormatting sqref="S57">
    <cfRule type="cellIs" dxfId="211" priority="6" operator="lessThan">
      <formula>-0.1</formula>
    </cfRule>
  </conditionalFormatting>
  <conditionalFormatting sqref="S53">
    <cfRule type="cellIs" dxfId="210" priority="5" operator="lessThan">
      <formula>-0.1</formula>
    </cfRule>
  </conditionalFormatting>
  <conditionalFormatting sqref="S49">
    <cfRule type="cellIs" dxfId="209" priority="4" operator="lessThan">
      <formula>-0.1</formula>
    </cfRule>
  </conditionalFormatting>
  <conditionalFormatting sqref="S45">
    <cfRule type="cellIs" dxfId="208" priority="3" operator="lessThan">
      <formula>-0.1</formula>
    </cfRule>
  </conditionalFormatting>
  <conditionalFormatting sqref="S41">
    <cfRule type="cellIs" dxfId="207" priority="2" operator="lessThan">
      <formula>-0.1</formula>
    </cfRule>
  </conditionalFormatting>
  <conditionalFormatting sqref="S37">
    <cfRule type="cellIs" dxfId="206" priority="1" operator="lessThan">
      <formula>-0.1</formula>
    </cfRule>
  </conditionalFormatting>
  <pageMargins left="0.23622047244094491" right="0.23622047244094491" top="0" bottom="0" header="0.31496062992125984" footer="0.31496062992125984"/>
  <pageSetup paperSize="9" scale="50" orientation="landscape" r:id="rId1"/>
  <headerFooter>
    <oddFooter>&amp;R&amp;P de &amp;N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2" operator="containsText" id="{F2AEB196-7535-49E9-82C6-2A00A09BD7CE}">
            <xm:f>NOT(ISERROR(SEARCH("-",T34)))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T34:T35 T38:T39 T42:T43 T46:T47 T50:T51</xm:sqref>
        </x14:conditionalFormatting>
        <x14:conditionalFormatting xmlns:xm="http://schemas.microsoft.com/office/excel/2006/main">
          <x14:cfRule type="containsText" priority="41" operator="containsText" id="{BFD36D4E-9FE6-4245-9C8A-5C386FE42ABE}">
            <xm:f>NOT(ISERROR(SEARCH("-",T36)))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T36:T37 T40:T41 T44:T45 T48:T49</xm:sqref>
        </x14:conditionalFormatting>
        <x14:conditionalFormatting xmlns:xm="http://schemas.microsoft.com/office/excel/2006/main">
          <x14:cfRule type="containsText" priority="39" operator="containsText" id="{8AFDF9C9-5AB2-424A-8EFB-19413B98C1CE}">
            <xm:f>NOT(ISERROR(SEARCH("-",S34)))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S34:S35 S38:S39 S42:S43 S46:S47 S50:S51</xm:sqref>
        </x14:conditionalFormatting>
        <x14:conditionalFormatting xmlns:xm="http://schemas.microsoft.com/office/excel/2006/main">
          <x14:cfRule type="containsText" priority="38" operator="containsText" id="{DA94A7C2-281F-44F7-8DD6-176A9303BB9A}">
            <xm:f>NOT(ISERROR(SEARCH("-",S36)))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S36:S37 S40:S41 S44:S45 S48:S49</xm:sqref>
        </x14:conditionalFormatting>
        <x14:conditionalFormatting xmlns:xm="http://schemas.microsoft.com/office/excel/2006/main">
          <x14:cfRule type="containsText" priority="32" operator="containsText" id="{AA44E06A-2A75-48AE-B179-9CCDCF6AEBCB}">
            <xm:f>NOT(ISERROR(SEARCH("-",T52)))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T52:T53</xm:sqref>
        </x14:conditionalFormatting>
        <x14:conditionalFormatting xmlns:xm="http://schemas.microsoft.com/office/excel/2006/main">
          <x14:cfRule type="containsText" priority="30" operator="containsText" id="{61970B6C-27AD-4BE8-9850-EA60AD0B4C69}">
            <xm:f>NOT(ISERROR(SEARCH("-",S52)))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S52:S53</xm:sqref>
        </x14:conditionalFormatting>
        <x14:conditionalFormatting xmlns:xm="http://schemas.microsoft.com/office/excel/2006/main">
          <x14:cfRule type="containsText" priority="24" operator="containsText" id="{BB72853C-8116-4852-817D-FE4A3E892DEC}">
            <xm:f>NOT(ISERROR(SEARCH("-",T54)))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T54:T55</xm:sqref>
        </x14:conditionalFormatting>
        <x14:conditionalFormatting xmlns:xm="http://schemas.microsoft.com/office/excel/2006/main">
          <x14:cfRule type="containsText" priority="22" operator="containsText" id="{49ED9F94-766B-4164-8F10-8D35742C0120}">
            <xm:f>NOT(ISERROR(SEARCH("-",S54)))</xm:f>
            <xm:f>"-"</xm:f>
            <x14:dxf>
              <fill>
                <patternFill>
                  <bgColor theme="4" tint="0.59996337778862885"/>
                </patternFill>
              </fill>
            </x14:dxf>
          </x14:cfRule>
          <xm:sqref>S54:S55</xm:sqref>
        </x14:conditionalFormatting>
        <x14:conditionalFormatting xmlns:xm="http://schemas.microsoft.com/office/excel/2006/main">
          <x14:cfRule type="containsText" priority="16" operator="containsText" id="{BDDE6F6D-C3D2-4957-8B2A-BB49D78F2E59}">
            <xm:f>NOT(ISERROR(SEARCH("-",T56)))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T56:T57</xm:sqref>
        </x14:conditionalFormatting>
        <x14:conditionalFormatting xmlns:xm="http://schemas.microsoft.com/office/excel/2006/main">
          <x14:cfRule type="containsText" priority="14" operator="containsText" id="{F47AC8D0-AE5C-4580-BF06-094928377301}">
            <xm:f>NOT(ISERROR(SEARCH("-",S56)))</xm:f>
            <xm:f>"-"</xm:f>
            <x14:dxf>
              <fill>
                <patternFill>
                  <bgColor theme="9" tint="0.79998168889431442"/>
                </patternFill>
              </fill>
            </x14:dxf>
          </x14:cfRule>
          <xm:sqref>S56:S57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600-000000000000}">
          <x14:formula1>
            <xm:f>'Datos varios'!$B$111:$B$115</xm:f>
          </x14:formula1>
          <xm:sqref>C23:M23</xm:sqref>
        </x14:dataValidation>
        <x14:dataValidation type="list" allowBlank="1" showInputMessage="1" showErrorMessage="1" xr:uid="{00000000-0002-0000-1600-000001000000}">
          <x14:formula1>
            <xm:f>'Datos varios'!$B$5:$B$13</xm:f>
          </x14:formula1>
          <xm:sqref>F24 N34:N57</xm:sqref>
        </x14:dataValidation>
        <x14:dataValidation type="list" allowBlank="1" showInputMessage="1" showErrorMessage="1" xr:uid="{00000000-0002-0000-1600-000002000000}">
          <x14:formula1>
            <xm:f>'Datos varios'!$B$128:$B$131</xm:f>
          </x14:formula1>
          <xm:sqref>C19</xm:sqref>
        </x14:dataValidation>
        <x14:dataValidation type="list" allowBlank="1" showInputMessage="1" showErrorMessage="1" xr:uid="{00000000-0002-0000-1600-000003000000}">
          <x14:formula1>
            <xm:f>'Datos varios'!$B$55:$B$82</xm:f>
          </x14:formula1>
          <xm:sqref>C22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6" filterMode="1"/>
  <dimension ref="A1:U69"/>
  <sheetViews>
    <sheetView view="pageBreakPreview" topLeftCell="A8" zoomScaleNormal="100" zoomScaleSheetLayoutView="100" workbookViewId="0">
      <selection activeCell="C45" sqref="C45:D45"/>
    </sheetView>
  </sheetViews>
  <sheetFormatPr baseColWidth="10" defaultColWidth="11.42578125" defaultRowHeight="12.75" x14ac:dyDescent="0.2"/>
  <cols>
    <col min="1" max="1" width="2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3" style="1008" customWidth="1"/>
    <col min="7" max="7" width="6.140625" style="1008" customWidth="1"/>
    <col min="8" max="8" width="5" style="1008" customWidth="1"/>
    <col min="9" max="9" width="3.5703125" style="1008" customWidth="1"/>
    <col min="10" max="10" width="5.85546875" style="1008" customWidth="1"/>
    <col min="11" max="11" width="3.5703125" style="1008" customWidth="1"/>
    <col min="12" max="12" width="6" style="1008" customWidth="1"/>
    <col min="13" max="13" width="3.28515625" style="1008" customWidth="1"/>
    <col min="14" max="14" width="5.85546875" style="1008" customWidth="1"/>
    <col min="15" max="15" width="1.7109375" style="1008" customWidth="1"/>
    <col min="16" max="16" width="1" style="1008" customWidth="1"/>
    <col min="17" max="17" width="2.28515625" style="1008" customWidth="1"/>
    <col min="18" max="18" width="11.7109375" style="1008" customWidth="1"/>
    <col min="19" max="19" width="6.140625" style="1008" customWidth="1"/>
    <col min="20" max="20" width="1.140625" style="1008" customWidth="1"/>
    <col min="21" max="239" width="11.42578125" style="1008"/>
    <col min="240" max="240" width="2.28515625" style="1008" customWidth="1"/>
    <col min="241" max="241" width="2.7109375" style="1008" customWidth="1"/>
    <col min="242" max="242" width="2.42578125" style="1008" customWidth="1"/>
    <col min="243" max="243" width="17.7109375" style="1008" customWidth="1"/>
    <col min="244" max="244" width="1.5703125" style="1008" customWidth="1"/>
    <col min="245" max="245" width="6.42578125" style="1008" customWidth="1"/>
    <col min="246" max="246" width="13.140625" style="1008" customWidth="1"/>
    <col min="247" max="247" width="1" style="1008" customWidth="1"/>
    <col min="248" max="248" width="19.5703125" style="1008" customWidth="1"/>
    <col min="249" max="249" width="0.85546875" style="1008" customWidth="1"/>
    <col min="250" max="250" width="14.42578125" style="1008" customWidth="1"/>
    <col min="251" max="251" width="12.85546875" style="1008" customWidth="1"/>
    <col min="252" max="252" width="6.140625" style="1008" customWidth="1"/>
    <col min="253" max="254" width="11.42578125" style="1008"/>
    <col min="255" max="255" width="15.42578125" style="1008" customWidth="1"/>
    <col min="256" max="495" width="11.42578125" style="1008"/>
    <col min="496" max="496" width="2.28515625" style="1008" customWidth="1"/>
    <col min="497" max="497" width="2.7109375" style="1008" customWidth="1"/>
    <col min="498" max="498" width="2.42578125" style="1008" customWidth="1"/>
    <col min="499" max="499" width="17.7109375" style="1008" customWidth="1"/>
    <col min="500" max="500" width="1.5703125" style="1008" customWidth="1"/>
    <col min="501" max="501" width="6.42578125" style="1008" customWidth="1"/>
    <col min="502" max="502" width="13.140625" style="1008" customWidth="1"/>
    <col min="503" max="503" width="1" style="1008" customWidth="1"/>
    <col min="504" max="504" width="19.5703125" style="1008" customWidth="1"/>
    <col min="505" max="505" width="0.85546875" style="1008" customWidth="1"/>
    <col min="506" max="506" width="14.42578125" style="1008" customWidth="1"/>
    <col min="507" max="507" width="12.85546875" style="1008" customWidth="1"/>
    <col min="508" max="508" width="6.140625" style="1008" customWidth="1"/>
    <col min="509" max="510" width="11.42578125" style="1008"/>
    <col min="511" max="511" width="15.42578125" style="1008" customWidth="1"/>
    <col min="512" max="751" width="11.42578125" style="1008"/>
    <col min="752" max="752" width="2.28515625" style="1008" customWidth="1"/>
    <col min="753" max="753" width="2.7109375" style="1008" customWidth="1"/>
    <col min="754" max="754" width="2.42578125" style="1008" customWidth="1"/>
    <col min="755" max="755" width="17.7109375" style="1008" customWidth="1"/>
    <col min="756" max="756" width="1.5703125" style="1008" customWidth="1"/>
    <col min="757" max="757" width="6.42578125" style="1008" customWidth="1"/>
    <col min="758" max="758" width="13.140625" style="1008" customWidth="1"/>
    <col min="759" max="759" width="1" style="1008" customWidth="1"/>
    <col min="760" max="760" width="19.5703125" style="1008" customWidth="1"/>
    <col min="761" max="761" width="0.85546875" style="1008" customWidth="1"/>
    <col min="762" max="762" width="14.42578125" style="1008" customWidth="1"/>
    <col min="763" max="763" width="12.85546875" style="1008" customWidth="1"/>
    <col min="764" max="764" width="6.140625" style="1008" customWidth="1"/>
    <col min="765" max="766" width="11.42578125" style="1008"/>
    <col min="767" max="767" width="15.42578125" style="1008" customWidth="1"/>
    <col min="768" max="1007" width="11.42578125" style="1008"/>
    <col min="1008" max="1008" width="2.28515625" style="1008" customWidth="1"/>
    <col min="1009" max="1009" width="2.7109375" style="1008" customWidth="1"/>
    <col min="1010" max="1010" width="2.42578125" style="1008" customWidth="1"/>
    <col min="1011" max="1011" width="17.7109375" style="1008" customWidth="1"/>
    <col min="1012" max="1012" width="1.5703125" style="1008" customWidth="1"/>
    <col min="1013" max="1013" width="6.42578125" style="1008" customWidth="1"/>
    <col min="1014" max="1014" width="13.140625" style="1008" customWidth="1"/>
    <col min="1015" max="1015" width="1" style="1008" customWidth="1"/>
    <col min="1016" max="1016" width="19.5703125" style="1008" customWidth="1"/>
    <col min="1017" max="1017" width="0.85546875" style="1008" customWidth="1"/>
    <col min="1018" max="1018" width="14.42578125" style="1008" customWidth="1"/>
    <col min="1019" max="1019" width="12.85546875" style="1008" customWidth="1"/>
    <col min="1020" max="1020" width="6.140625" style="1008" customWidth="1"/>
    <col min="1021" max="1022" width="11.42578125" style="1008"/>
    <col min="1023" max="1023" width="15.42578125" style="1008" customWidth="1"/>
    <col min="1024" max="1263" width="11.42578125" style="1008"/>
    <col min="1264" max="1264" width="2.28515625" style="1008" customWidth="1"/>
    <col min="1265" max="1265" width="2.7109375" style="1008" customWidth="1"/>
    <col min="1266" max="1266" width="2.42578125" style="1008" customWidth="1"/>
    <col min="1267" max="1267" width="17.7109375" style="1008" customWidth="1"/>
    <col min="1268" max="1268" width="1.5703125" style="1008" customWidth="1"/>
    <col min="1269" max="1269" width="6.42578125" style="1008" customWidth="1"/>
    <col min="1270" max="1270" width="13.140625" style="1008" customWidth="1"/>
    <col min="1271" max="1271" width="1" style="1008" customWidth="1"/>
    <col min="1272" max="1272" width="19.5703125" style="1008" customWidth="1"/>
    <col min="1273" max="1273" width="0.85546875" style="1008" customWidth="1"/>
    <col min="1274" max="1274" width="14.42578125" style="1008" customWidth="1"/>
    <col min="1275" max="1275" width="12.85546875" style="1008" customWidth="1"/>
    <col min="1276" max="1276" width="6.140625" style="1008" customWidth="1"/>
    <col min="1277" max="1278" width="11.42578125" style="1008"/>
    <col min="1279" max="1279" width="15.42578125" style="1008" customWidth="1"/>
    <col min="1280" max="1519" width="11.42578125" style="1008"/>
    <col min="1520" max="1520" width="2.28515625" style="1008" customWidth="1"/>
    <col min="1521" max="1521" width="2.7109375" style="1008" customWidth="1"/>
    <col min="1522" max="1522" width="2.42578125" style="1008" customWidth="1"/>
    <col min="1523" max="1523" width="17.7109375" style="1008" customWidth="1"/>
    <col min="1524" max="1524" width="1.5703125" style="1008" customWidth="1"/>
    <col min="1525" max="1525" width="6.42578125" style="1008" customWidth="1"/>
    <col min="1526" max="1526" width="13.140625" style="1008" customWidth="1"/>
    <col min="1527" max="1527" width="1" style="1008" customWidth="1"/>
    <col min="1528" max="1528" width="19.5703125" style="1008" customWidth="1"/>
    <col min="1529" max="1529" width="0.85546875" style="1008" customWidth="1"/>
    <col min="1530" max="1530" width="14.42578125" style="1008" customWidth="1"/>
    <col min="1531" max="1531" width="12.85546875" style="1008" customWidth="1"/>
    <col min="1532" max="1532" width="6.140625" style="1008" customWidth="1"/>
    <col min="1533" max="1534" width="11.42578125" style="1008"/>
    <col min="1535" max="1535" width="15.42578125" style="1008" customWidth="1"/>
    <col min="1536" max="1775" width="11.42578125" style="1008"/>
    <col min="1776" max="1776" width="2.28515625" style="1008" customWidth="1"/>
    <col min="1777" max="1777" width="2.7109375" style="1008" customWidth="1"/>
    <col min="1778" max="1778" width="2.42578125" style="1008" customWidth="1"/>
    <col min="1779" max="1779" width="17.7109375" style="1008" customWidth="1"/>
    <col min="1780" max="1780" width="1.5703125" style="1008" customWidth="1"/>
    <col min="1781" max="1781" width="6.42578125" style="1008" customWidth="1"/>
    <col min="1782" max="1782" width="13.140625" style="1008" customWidth="1"/>
    <col min="1783" max="1783" width="1" style="1008" customWidth="1"/>
    <col min="1784" max="1784" width="19.5703125" style="1008" customWidth="1"/>
    <col min="1785" max="1785" width="0.85546875" style="1008" customWidth="1"/>
    <col min="1786" max="1786" width="14.42578125" style="1008" customWidth="1"/>
    <col min="1787" max="1787" width="12.85546875" style="1008" customWidth="1"/>
    <col min="1788" max="1788" width="6.140625" style="1008" customWidth="1"/>
    <col min="1789" max="1790" width="11.42578125" style="1008"/>
    <col min="1791" max="1791" width="15.42578125" style="1008" customWidth="1"/>
    <col min="1792" max="2031" width="11.42578125" style="1008"/>
    <col min="2032" max="2032" width="2.28515625" style="1008" customWidth="1"/>
    <col min="2033" max="2033" width="2.7109375" style="1008" customWidth="1"/>
    <col min="2034" max="2034" width="2.42578125" style="1008" customWidth="1"/>
    <col min="2035" max="2035" width="17.7109375" style="1008" customWidth="1"/>
    <col min="2036" max="2036" width="1.5703125" style="1008" customWidth="1"/>
    <col min="2037" max="2037" width="6.42578125" style="1008" customWidth="1"/>
    <col min="2038" max="2038" width="13.140625" style="1008" customWidth="1"/>
    <col min="2039" max="2039" width="1" style="1008" customWidth="1"/>
    <col min="2040" max="2040" width="19.5703125" style="1008" customWidth="1"/>
    <col min="2041" max="2041" width="0.85546875" style="1008" customWidth="1"/>
    <col min="2042" max="2042" width="14.42578125" style="1008" customWidth="1"/>
    <col min="2043" max="2043" width="12.85546875" style="1008" customWidth="1"/>
    <col min="2044" max="2044" width="6.140625" style="1008" customWidth="1"/>
    <col min="2045" max="2046" width="11.42578125" style="1008"/>
    <col min="2047" max="2047" width="15.42578125" style="1008" customWidth="1"/>
    <col min="2048" max="2287" width="11.42578125" style="1008"/>
    <col min="2288" max="2288" width="2.28515625" style="1008" customWidth="1"/>
    <col min="2289" max="2289" width="2.7109375" style="1008" customWidth="1"/>
    <col min="2290" max="2290" width="2.42578125" style="1008" customWidth="1"/>
    <col min="2291" max="2291" width="17.7109375" style="1008" customWidth="1"/>
    <col min="2292" max="2292" width="1.5703125" style="1008" customWidth="1"/>
    <col min="2293" max="2293" width="6.42578125" style="1008" customWidth="1"/>
    <col min="2294" max="2294" width="13.140625" style="1008" customWidth="1"/>
    <col min="2295" max="2295" width="1" style="1008" customWidth="1"/>
    <col min="2296" max="2296" width="19.5703125" style="1008" customWidth="1"/>
    <col min="2297" max="2297" width="0.85546875" style="1008" customWidth="1"/>
    <col min="2298" max="2298" width="14.42578125" style="1008" customWidth="1"/>
    <col min="2299" max="2299" width="12.85546875" style="1008" customWidth="1"/>
    <col min="2300" max="2300" width="6.140625" style="1008" customWidth="1"/>
    <col min="2301" max="2302" width="11.42578125" style="1008"/>
    <col min="2303" max="2303" width="15.42578125" style="1008" customWidth="1"/>
    <col min="2304" max="2543" width="11.42578125" style="1008"/>
    <col min="2544" max="2544" width="2.28515625" style="1008" customWidth="1"/>
    <col min="2545" max="2545" width="2.7109375" style="1008" customWidth="1"/>
    <col min="2546" max="2546" width="2.42578125" style="1008" customWidth="1"/>
    <col min="2547" max="2547" width="17.7109375" style="1008" customWidth="1"/>
    <col min="2548" max="2548" width="1.5703125" style="1008" customWidth="1"/>
    <col min="2549" max="2549" width="6.42578125" style="1008" customWidth="1"/>
    <col min="2550" max="2550" width="13.140625" style="1008" customWidth="1"/>
    <col min="2551" max="2551" width="1" style="1008" customWidth="1"/>
    <col min="2552" max="2552" width="19.5703125" style="1008" customWidth="1"/>
    <col min="2553" max="2553" width="0.85546875" style="1008" customWidth="1"/>
    <col min="2554" max="2554" width="14.42578125" style="1008" customWidth="1"/>
    <col min="2555" max="2555" width="12.85546875" style="1008" customWidth="1"/>
    <col min="2556" max="2556" width="6.140625" style="1008" customWidth="1"/>
    <col min="2557" max="2558" width="11.42578125" style="1008"/>
    <col min="2559" max="2559" width="15.42578125" style="1008" customWidth="1"/>
    <col min="2560" max="2799" width="11.42578125" style="1008"/>
    <col min="2800" max="2800" width="2.28515625" style="1008" customWidth="1"/>
    <col min="2801" max="2801" width="2.7109375" style="1008" customWidth="1"/>
    <col min="2802" max="2802" width="2.42578125" style="1008" customWidth="1"/>
    <col min="2803" max="2803" width="17.7109375" style="1008" customWidth="1"/>
    <col min="2804" max="2804" width="1.5703125" style="1008" customWidth="1"/>
    <col min="2805" max="2805" width="6.42578125" style="1008" customWidth="1"/>
    <col min="2806" max="2806" width="13.140625" style="1008" customWidth="1"/>
    <col min="2807" max="2807" width="1" style="1008" customWidth="1"/>
    <col min="2808" max="2808" width="19.5703125" style="1008" customWidth="1"/>
    <col min="2809" max="2809" width="0.85546875" style="1008" customWidth="1"/>
    <col min="2810" max="2810" width="14.42578125" style="1008" customWidth="1"/>
    <col min="2811" max="2811" width="12.85546875" style="1008" customWidth="1"/>
    <col min="2812" max="2812" width="6.140625" style="1008" customWidth="1"/>
    <col min="2813" max="2814" width="11.42578125" style="1008"/>
    <col min="2815" max="2815" width="15.42578125" style="1008" customWidth="1"/>
    <col min="2816" max="3055" width="11.42578125" style="1008"/>
    <col min="3056" max="3056" width="2.28515625" style="1008" customWidth="1"/>
    <col min="3057" max="3057" width="2.7109375" style="1008" customWidth="1"/>
    <col min="3058" max="3058" width="2.42578125" style="1008" customWidth="1"/>
    <col min="3059" max="3059" width="17.7109375" style="1008" customWidth="1"/>
    <col min="3060" max="3060" width="1.5703125" style="1008" customWidth="1"/>
    <col min="3061" max="3061" width="6.42578125" style="1008" customWidth="1"/>
    <col min="3062" max="3062" width="13.140625" style="1008" customWidth="1"/>
    <col min="3063" max="3063" width="1" style="1008" customWidth="1"/>
    <col min="3064" max="3064" width="19.5703125" style="1008" customWidth="1"/>
    <col min="3065" max="3065" width="0.85546875" style="1008" customWidth="1"/>
    <col min="3066" max="3066" width="14.42578125" style="1008" customWidth="1"/>
    <col min="3067" max="3067" width="12.85546875" style="1008" customWidth="1"/>
    <col min="3068" max="3068" width="6.140625" style="1008" customWidth="1"/>
    <col min="3069" max="3070" width="11.42578125" style="1008"/>
    <col min="3071" max="3071" width="15.42578125" style="1008" customWidth="1"/>
    <col min="3072" max="3311" width="11.42578125" style="1008"/>
    <col min="3312" max="3312" width="2.28515625" style="1008" customWidth="1"/>
    <col min="3313" max="3313" width="2.7109375" style="1008" customWidth="1"/>
    <col min="3314" max="3314" width="2.42578125" style="1008" customWidth="1"/>
    <col min="3315" max="3315" width="17.7109375" style="1008" customWidth="1"/>
    <col min="3316" max="3316" width="1.5703125" style="1008" customWidth="1"/>
    <col min="3317" max="3317" width="6.42578125" style="1008" customWidth="1"/>
    <col min="3318" max="3318" width="13.140625" style="1008" customWidth="1"/>
    <col min="3319" max="3319" width="1" style="1008" customWidth="1"/>
    <col min="3320" max="3320" width="19.5703125" style="1008" customWidth="1"/>
    <col min="3321" max="3321" width="0.85546875" style="1008" customWidth="1"/>
    <col min="3322" max="3322" width="14.42578125" style="1008" customWidth="1"/>
    <col min="3323" max="3323" width="12.85546875" style="1008" customWidth="1"/>
    <col min="3324" max="3324" width="6.140625" style="1008" customWidth="1"/>
    <col min="3325" max="3326" width="11.42578125" style="1008"/>
    <col min="3327" max="3327" width="15.42578125" style="1008" customWidth="1"/>
    <col min="3328" max="3567" width="11.42578125" style="1008"/>
    <col min="3568" max="3568" width="2.28515625" style="1008" customWidth="1"/>
    <col min="3569" max="3569" width="2.7109375" style="1008" customWidth="1"/>
    <col min="3570" max="3570" width="2.42578125" style="1008" customWidth="1"/>
    <col min="3571" max="3571" width="17.7109375" style="1008" customWidth="1"/>
    <col min="3572" max="3572" width="1.5703125" style="1008" customWidth="1"/>
    <col min="3573" max="3573" width="6.42578125" style="1008" customWidth="1"/>
    <col min="3574" max="3574" width="13.140625" style="1008" customWidth="1"/>
    <col min="3575" max="3575" width="1" style="1008" customWidth="1"/>
    <col min="3576" max="3576" width="19.5703125" style="1008" customWidth="1"/>
    <col min="3577" max="3577" width="0.85546875" style="1008" customWidth="1"/>
    <col min="3578" max="3578" width="14.42578125" style="1008" customWidth="1"/>
    <col min="3579" max="3579" width="12.85546875" style="1008" customWidth="1"/>
    <col min="3580" max="3580" width="6.140625" style="1008" customWidth="1"/>
    <col min="3581" max="3582" width="11.42578125" style="1008"/>
    <col min="3583" max="3583" width="15.42578125" style="1008" customWidth="1"/>
    <col min="3584" max="3823" width="11.42578125" style="1008"/>
    <col min="3824" max="3824" width="2.28515625" style="1008" customWidth="1"/>
    <col min="3825" max="3825" width="2.7109375" style="1008" customWidth="1"/>
    <col min="3826" max="3826" width="2.42578125" style="1008" customWidth="1"/>
    <col min="3827" max="3827" width="17.7109375" style="1008" customWidth="1"/>
    <col min="3828" max="3828" width="1.5703125" style="1008" customWidth="1"/>
    <col min="3829" max="3829" width="6.42578125" style="1008" customWidth="1"/>
    <col min="3830" max="3830" width="13.140625" style="1008" customWidth="1"/>
    <col min="3831" max="3831" width="1" style="1008" customWidth="1"/>
    <col min="3832" max="3832" width="19.5703125" style="1008" customWidth="1"/>
    <col min="3833" max="3833" width="0.85546875" style="1008" customWidth="1"/>
    <col min="3834" max="3834" width="14.42578125" style="1008" customWidth="1"/>
    <col min="3835" max="3835" width="12.85546875" style="1008" customWidth="1"/>
    <col min="3836" max="3836" width="6.140625" style="1008" customWidth="1"/>
    <col min="3837" max="3838" width="11.42578125" style="1008"/>
    <col min="3839" max="3839" width="15.42578125" style="1008" customWidth="1"/>
    <col min="3840" max="4079" width="11.42578125" style="1008"/>
    <col min="4080" max="4080" width="2.28515625" style="1008" customWidth="1"/>
    <col min="4081" max="4081" width="2.7109375" style="1008" customWidth="1"/>
    <col min="4082" max="4082" width="2.42578125" style="1008" customWidth="1"/>
    <col min="4083" max="4083" width="17.7109375" style="1008" customWidth="1"/>
    <col min="4084" max="4084" width="1.5703125" style="1008" customWidth="1"/>
    <col min="4085" max="4085" width="6.42578125" style="1008" customWidth="1"/>
    <col min="4086" max="4086" width="13.140625" style="1008" customWidth="1"/>
    <col min="4087" max="4087" width="1" style="1008" customWidth="1"/>
    <col min="4088" max="4088" width="19.5703125" style="1008" customWidth="1"/>
    <col min="4089" max="4089" width="0.85546875" style="1008" customWidth="1"/>
    <col min="4090" max="4090" width="14.42578125" style="1008" customWidth="1"/>
    <col min="4091" max="4091" width="12.85546875" style="1008" customWidth="1"/>
    <col min="4092" max="4092" width="6.140625" style="1008" customWidth="1"/>
    <col min="4093" max="4094" width="11.42578125" style="1008"/>
    <col min="4095" max="4095" width="15.42578125" style="1008" customWidth="1"/>
    <col min="4096" max="4335" width="11.42578125" style="1008"/>
    <col min="4336" max="4336" width="2.28515625" style="1008" customWidth="1"/>
    <col min="4337" max="4337" width="2.7109375" style="1008" customWidth="1"/>
    <col min="4338" max="4338" width="2.42578125" style="1008" customWidth="1"/>
    <col min="4339" max="4339" width="17.7109375" style="1008" customWidth="1"/>
    <col min="4340" max="4340" width="1.5703125" style="1008" customWidth="1"/>
    <col min="4341" max="4341" width="6.42578125" style="1008" customWidth="1"/>
    <col min="4342" max="4342" width="13.140625" style="1008" customWidth="1"/>
    <col min="4343" max="4343" width="1" style="1008" customWidth="1"/>
    <col min="4344" max="4344" width="19.5703125" style="1008" customWidth="1"/>
    <col min="4345" max="4345" width="0.85546875" style="1008" customWidth="1"/>
    <col min="4346" max="4346" width="14.42578125" style="1008" customWidth="1"/>
    <col min="4347" max="4347" width="12.85546875" style="1008" customWidth="1"/>
    <col min="4348" max="4348" width="6.140625" style="1008" customWidth="1"/>
    <col min="4349" max="4350" width="11.42578125" style="1008"/>
    <col min="4351" max="4351" width="15.42578125" style="1008" customWidth="1"/>
    <col min="4352" max="4591" width="11.42578125" style="1008"/>
    <col min="4592" max="4592" width="2.28515625" style="1008" customWidth="1"/>
    <col min="4593" max="4593" width="2.7109375" style="1008" customWidth="1"/>
    <col min="4594" max="4594" width="2.42578125" style="1008" customWidth="1"/>
    <col min="4595" max="4595" width="17.7109375" style="1008" customWidth="1"/>
    <col min="4596" max="4596" width="1.5703125" style="1008" customWidth="1"/>
    <col min="4597" max="4597" width="6.42578125" style="1008" customWidth="1"/>
    <col min="4598" max="4598" width="13.140625" style="1008" customWidth="1"/>
    <col min="4599" max="4599" width="1" style="1008" customWidth="1"/>
    <col min="4600" max="4600" width="19.5703125" style="1008" customWidth="1"/>
    <col min="4601" max="4601" width="0.85546875" style="1008" customWidth="1"/>
    <col min="4602" max="4602" width="14.42578125" style="1008" customWidth="1"/>
    <col min="4603" max="4603" width="12.85546875" style="1008" customWidth="1"/>
    <col min="4604" max="4604" width="6.140625" style="1008" customWidth="1"/>
    <col min="4605" max="4606" width="11.42578125" style="1008"/>
    <col min="4607" max="4607" width="15.42578125" style="1008" customWidth="1"/>
    <col min="4608" max="4847" width="11.42578125" style="1008"/>
    <col min="4848" max="4848" width="2.28515625" style="1008" customWidth="1"/>
    <col min="4849" max="4849" width="2.7109375" style="1008" customWidth="1"/>
    <col min="4850" max="4850" width="2.42578125" style="1008" customWidth="1"/>
    <col min="4851" max="4851" width="17.7109375" style="1008" customWidth="1"/>
    <col min="4852" max="4852" width="1.5703125" style="1008" customWidth="1"/>
    <col min="4853" max="4853" width="6.42578125" style="1008" customWidth="1"/>
    <col min="4854" max="4854" width="13.140625" style="1008" customWidth="1"/>
    <col min="4855" max="4855" width="1" style="1008" customWidth="1"/>
    <col min="4856" max="4856" width="19.5703125" style="1008" customWidth="1"/>
    <col min="4857" max="4857" width="0.85546875" style="1008" customWidth="1"/>
    <col min="4858" max="4858" width="14.42578125" style="1008" customWidth="1"/>
    <col min="4859" max="4859" width="12.85546875" style="1008" customWidth="1"/>
    <col min="4860" max="4860" width="6.140625" style="1008" customWidth="1"/>
    <col min="4861" max="4862" width="11.42578125" style="1008"/>
    <col min="4863" max="4863" width="15.42578125" style="1008" customWidth="1"/>
    <col min="4864" max="5103" width="11.42578125" style="1008"/>
    <col min="5104" max="5104" width="2.28515625" style="1008" customWidth="1"/>
    <col min="5105" max="5105" width="2.7109375" style="1008" customWidth="1"/>
    <col min="5106" max="5106" width="2.42578125" style="1008" customWidth="1"/>
    <col min="5107" max="5107" width="17.7109375" style="1008" customWidth="1"/>
    <col min="5108" max="5108" width="1.5703125" style="1008" customWidth="1"/>
    <col min="5109" max="5109" width="6.42578125" style="1008" customWidth="1"/>
    <col min="5110" max="5110" width="13.140625" style="1008" customWidth="1"/>
    <col min="5111" max="5111" width="1" style="1008" customWidth="1"/>
    <col min="5112" max="5112" width="19.5703125" style="1008" customWidth="1"/>
    <col min="5113" max="5113" width="0.85546875" style="1008" customWidth="1"/>
    <col min="5114" max="5114" width="14.42578125" style="1008" customWidth="1"/>
    <col min="5115" max="5115" width="12.85546875" style="1008" customWidth="1"/>
    <col min="5116" max="5116" width="6.140625" style="1008" customWidth="1"/>
    <col min="5117" max="5118" width="11.42578125" style="1008"/>
    <col min="5119" max="5119" width="15.42578125" style="1008" customWidth="1"/>
    <col min="5120" max="5359" width="11.42578125" style="1008"/>
    <col min="5360" max="5360" width="2.28515625" style="1008" customWidth="1"/>
    <col min="5361" max="5361" width="2.7109375" style="1008" customWidth="1"/>
    <col min="5362" max="5362" width="2.42578125" style="1008" customWidth="1"/>
    <col min="5363" max="5363" width="17.7109375" style="1008" customWidth="1"/>
    <col min="5364" max="5364" width="1.5703125" style="1008" customWidth="1"/>
    <col min="5365" max="5365" width="6.42578125" style="1008" customWidth="1"/>
    <col min="5366" max="5366" width="13.140625" style="1008" customWidth="1"/>
    <col min="5367" max="5367" width="1" style="1008" customWidth="1"/>
    <col min="5368" max="5368" width="19.5703125" style="1008" customWidth="1"/>
    <col min="5369" max="5369" width="0.85546875" style="1008" customWidth="1"/>
    <col min="5370" max="5370" width="14.42578125" style="1008" customWidth="1"/>
    <col min="5371" max="5371" width="12.85546875" style="1008" customWidth="1"/>
    <col min="5372" max="5372" width="6.140625" style="1008" customWidth="1"/>
    <col min="5373" max="5374" width="11.42578125" style="1008"/>
    <col min="5375" max="5375" width="15.42578125" style="1008" customWidth="1"/>
    <col min="5376" max="5615" width="11.42578125" style="1008"/>
    <col min="5616" max="5616" width="2.28515625" style="1008" customWidth="1"/>
    <col min="5617" max="5617" width="2.7109375" style="1008" customWidth="1"/>
    <col min="5618" max="5618" width="2.42578125" style="1008" customWidth="1"/>
    <col min="5619" max="5619" width="17.7109375" style="1008" customWidth="1"/>
    <col min="5620" max="5620" width="1.5703125" style="1008" customWidth="1"/>
    <col min="5621" max="5621" width="6.42578125" style="1008" customWidth="1"/>
    <col min="5622" max="5622" width="13.140625" style="1008" customWidth="1"/>
    <col min="5623" max="5623" width="1" style="1008" customWidth="1"/>
    <col min="5624" max="5624" width="19.5703125" style="1008" customWidth="1"/>
    <col min="5625" max="5625" width="0.85546875" style="1008" customWidth="1"/>
    <col min="5626" max="5626" width="14.42578125" style="1008" customWidth="1"/>
    <col min="5627" max="5627" width="12.85546875" style="1008" customWidth="1"/>
    <col min="5628" max="5628" width="6.140625" style="1008" customWidth="1"/>
    <col min="5629" max="5630" width="11.42578125" style="1008"/>
    <col min="5631" max="5631" width="15.42578125" style="1008" customWidth="1"/>
    <col min="5632" max="5871" width="11.42578125" style="1008"/>
    <col min="5872" max="5872" width="2.28515625" style="1008" customWidth="1"/>
    <col min="5873" max="5873" width="2.7109375" style="1008" customWidth="1"/>
    <col min="5874" max="5874" width="2.42578125" style="1008" customWidth="1"/>
    <col min="5875" max="5875" width="17.7109375" style="1008" customWidth="1"/>
    <col min="5876" max="5876" width="1.5703125" style="1008" customWidth="1"/>
    <col min="5877" max="5877" width="6.42578125" style="1008" customWidth="1"/>
    <col min="5878" max="5878" width="13.140625" style="1008" customWidth="1"/>
    <col min="5879" max="5879" width="1" style="1008" customWidth="1"/>
    <col min="5880" max="5880" width="19.5703125" style="1008" customWidth="1"/>
    <col min="5881" max="5881" width="0.85546875" style="1008" customWidth="1"/>
    <col min="5882" max="5882" width="14.42578125" style="1008" customWidth="1"/>
    <col min="5883" max="5883" width="12.85546875" style="1008" customWidth="1"/>
    <col min="5884" max="5884" width="6.140625" style="1008" customWidth="1"/>
    <col min="5885" max="5886" width="11.42578125" style="1008"/>
    <col min="5887" max="5887" width="15.42578125" style="1008" customWidth="1"/>
    <col min="5888" max="6127" width="11.42578125" style="1008"/>
    <col min="6128" max="6128" width="2.28515625" style="1008" customWidth="1"/>
    <col min="6129" max="6129" width="2.7109375" style="1008" customWidth="1"/>
    <col min="6130" max="6130" width="2.42578125" style="1008" customWidth="1"/>
    <col min="6131" max="6131" width="17.7109375" style="1008" customWidth="1"/>
    <col min="6132" max="6132" width="1.5703125" style="1008" customWidth="1"/>
    <col min="6133" max="6133" width="6.42578125" style="1008" customWidth="1"/>
    <col min="6134" max="6134" width="13.140625" style="1008" customWidth="1"/>
    <col min="6135" max="6135" width="1" style="1008" customWidth="1"/>
    <col min="6136" max="6136" width="19.5703125" style="1008" customWidth="1"/>
    <col min="6137" max="6137" width="0.85546875" style="1008" customWidth="1"/>
    <col min="6138" max="6138" width="14.42578125" style="1008" customWidth="1"/>
    <col min="6139" max="6139" width="12.85546875" style="1008" customWidth="1"/>
    <col min="6140" max="6140" width="6.140625" style="1008" customWidth="1"/>
    <col min="6141" max="6142" width="11.42578125" style="1008"/>
    <col min="6143" max="6143" width="15.42578125" style="1008" customWidth="1"/>
    <col min="6144" max="6383" width="11.42578125" style="1008"/>
    <col min="6384" max="6384" width="2.28515625" style="1008" customWidth="1"/>
    <col min="6385" max="6385" width="2.7109375" style="1008" customWidth="1"/>
    <col min="6386" max="6386" width="2.42578125" style="1008" customWidth="1"/>
    <col min="6387" max="6387" width="17.7109375" style="1008" customWidth="1"/>
    <col min="6388" max="6388" width="1.5703125" style="1008" customWidth="1"/>
    <col min="6389" max="6389" width="6.42578125" style="1008" customWidth="1"/>
    <col min="6390" max="6390" width="13.140625" style="1008" customWidth="1"/>
    <col min="6391" max="6391" width="1" style="1008" customWidth="1"/>
    <col min="6392" max="6392" width="19.5703125" style="1008" customWidth="1"/>
    <col min="6393" max="6393" width="0.85546875" style="1008" customWidth="1"/>
    <col min="6394" max="6394" width="14.42578125" style="1008" customWidth="1"/>
    <col min="6395" max="6395" width="12.85546875" style="1008" customWidth="1"/>
    <col min="6396" max="6396" width="6.140625" style="1008" customWidth="1"/>
    <col min="6397" max="6398" width="11.42578125" style="1008"/>
    <col min="6399" max="6399" width="15.42578125" style="1008" customWidth="1"/>
    <col min="6400" max="6639" width="11.42578125" style="1008"/>
    <col min="6640" max="6640" width="2.28515625" style="1008" customWidth="1"/>
    <col min="6641" max="6641" width="2.7109375" style="1008" customWidth="1"/>
    <col min="6642" max="6642" width="2.42578125" style="1008" customWidth="1"/>
    <col min="6643" max="6643" width="17.7109375" style="1008" customWidth="1"/>
    <col min="6644" max="6644" width="1.5703125" style="1008" customWidth="1"/>
    <col min="6645" max="6645" width="6.42578125" style="1008" customWidth="1"/>
    <col min="6646" max="6646" width="13.140625" style="1008" customWidth="1"/>
    <col min="6647" max="6647" width="1" style="1008" customWidth="1"/>
    <col min="6648" max="6648" width="19.5703125" style="1008" customWidth="1"/>
    <col min="6649" max="6649" width="0.85546875" style="1008" customWidth="1"/>
    <col min="6650" max="6650" width="14.42578125" style="1008" customWidth="1"/>
    <col min="6651" max="6651" width="12.85546875" style="1008" customWidth="1"/>
    <col min="6652" max="6652" width="6.140625" style="1008" customWidth="1"/>
    <col min="6653" max="6654" width="11.42578125" style="1008"/>
    <col min="6655" max="6655" width="15.42578125" style="1008" customWidth="1"/>
    <col min="6656" max="6895" width="11.42578125" style="1008"/>
    <col min="6896" max="6896" width="2.28515625" style="1008" customWidth="1"/>
    <col min="6897" max="6897" width="2.7109375" style="1008" customWidth="1"/>
    <col min="6898" max="6898" width="2.42578125" style="1008" customWidth="1"/>
    <col min="6899" max="6899" width="17.7109375" style="1008" customWidth="1"/>
    <col min="6900" max="6900" width="1.5703125" style="1008" customWidth="1"/>
    <col min="6901" max="6901" width="6.42578125" style="1008" customWidth="1"/>
    <col min="6902" max="6902" width="13.140625" style="1008" customWidth="1"/>
    <col min="6903" max="6903" width="1" style="1008" customWidth="1"/>
    <col min="6904" max="6904" width="19.5703125" style="1008" customWidth="1"/>
    <col min="6905" max="6905" width="0.85546875" style="1008" customWidth="1"/>
    <col min="6906" max="6906" width="14.42578125" style="1008" customWidth="1"/>
    <col min="6907" max="6907" width="12.85546875" style="1008" customWidth="1"/>
    <col min="6908" max="6908" width="6.140625" style="1008" customWidth="1"/>
    <col min="6909" max="6910" width="11.42578125" style="1008"/>
    <col min="6911" max="6911" width="15.42578125" style="1008" customWidth="1"/>
    <col min="6912" max="7151" width="11.42578125" style="1008"/>
    <col min="7152" max="7152" width="2.28515625" style="1008" customWidth="1"/>
    <col min="7153" max="7153" width="2.7109375" style="1008" customWidth="1"/>
    <col min="7154" max="7154" width="2.42578125" style="1008" customWidth="1"/>
    <col min="7155" max="7155" width="17.7109375" style="1008" customWidth="1"/>
    <col min="7156" max="7156" width="1.5703125" style="1008" customWidth="1"/>
    <col min="7157" max="7157" width="6.42578125" style="1008" customWidth="1"/>
    <col min="7158" max="7158" width="13.140625" style="1008" customWidth="1"/>
    <col min="7159" max="7159" width="1" style="1008" customWidth="1"/>
    <col min="7160" max="7160" width="19.5703125" style="1008" customWidth="1"/>
    <col min="7161" max="7161" width="0.85546875" style="1008" customWidth="1"/>
    <col min="7162" max="7162" width="14.42578125" style="1008" customWidth="1"/>
    <col min="7163" max="7163" width="12.85546875" style="1008" customWidth="1"/>
    <col min="7164" max="7164" width="6.140625" style="1008" customWidth="1"/>
    <col min="7165" max="7166" width="11.42578125" style="1008"/>
    <col min="7167" max="7167" width="15.42578125" style="1008" customWidth="1"/>
    <col min="7168" max="7407" width="11.42578125" style="1008"/>
    <col min="7408" max="7408" width="2.28515625" style="1008" customWidth="1"/>
    <col min="7409" max="7409" width="2.7109375" style="1008" customWidth="1"/>
    <col min="7410" max="7410" width="2.42578125" style="1008" customWidth="1"/>
    <col min="7411" max="7411" width="17.7109375" style="1008" customWidth="1"/>
    <col min="7412" max="7412" width="1.5703125" style="1008" customWidth="1"/>
    <col min="7413" max="7413" width="6.42578125" style="1008" customWidth="1"/>
    <col min="7414" max="7414" width="13.140625" style="1008" customWidth="1"/>
    <col min="7415" max="7415" width="1" style="1008" customWidth="1"/>
    <col min="7416" max="7416" width="19.5703125" style="1008" customWidth="1"/>
    <col min="7417" max="7417" width="0.85546875" style="1008" customWidth="1"/>
    <col min="7418" max="7418" width="14.42578125" style="1008" customWidth="1"/>
    <col min="7419" max="7419" width="12.85546875" style="1008" customWidth="1"/>
    <col min="7420" max="7420" width="6.140625" style="1008" customWidth="1"/>
    <col min="7421" max="7422" width="11.42578125" style="1008"/>
    <col min="7423" max="7423" width="15.42578125" style="1008" customWidth="1"/>
    <col min="7424" max="7663" width="11.42578125" style="1008"/>
    <col min="7664" max="7664" width="2.28515625" style="1008" customWidth="1"/>
    <col min="7665" max="7665" width="2.7109375" style="1008" customWidth="1"/>
    <col min="7666" max="7666" width="2.42578125" style="1008" customWidth="1"/>
    <col min="7667" max="7667" width="17.7109375" style="1008" customWidth="1"/>
    <col min="7668" max="7668" width="1.5703125" style="1008" customWidth="1"/>
    <col min="7669" max="7669" width="6.42578125" style="1008" customWidth="1"/>
    <col min="7670" max="7670" width="13.140625" style="1008" customWidth="1"/>
    <col min="7671" max="7671" width="1" style="1008" customWidth="1"/>
    <col min="7672" max="7672" width="19.5703125" style="1008" customWidth="1"/>
    <col min="7673" max="7673" width="0.85546875" style="1008" customWidth="1"/>
    <col min="7674" max="7674" width="14.42578125" style="1008" customWidth="1"/>
    <col min="7675" max="7675" width="12.85546875" style="1008" customWidth="1"/>
    <col min="7676" max="7676" width="6.140625" style="1008" customWidth="1"/>
    <col min="7677" max="7678" width="11.42578125" style="1008"/>
    <col min="7679" max="7679" width="15.42578125" style="1008" customWidth="1"/>
    <col min="7680" max="7919" width="11.42578125" style="1008"/>
    <col min="7920" max="7920" width="2.28515625" style="1008" customWidth="1"/>
    <col min="7921" max="7921" width="2.7109375" style="1008" customWidth="1"/>
    <col min="7922" max="7922" width="2.42578125" style="1008" customWidth="1"/>
    <col min="7923" max="7923" width="17.7109375" style="1008" customWidth="1"/>
    <col min="7924" max="7924" width="1.5703125" style="1008" customWidth="1"/>
    <col min="7925" max="7925" width="6.42578125" style="1008" customWidth="1"/>
    <col min="7926" max="7926" width="13.140625" style="1008" customWidth="1"/>
    <col min="7927" max="7927" width="1" style="1008" customWidth="1"/>
    <col min="7928" max="7928" width="19.5703125" style="1008" customWidth="1"/>
    <col min="7929" max="7929" width="0.85546875" style="1008" customWidth="1"/>
    <col min="7930" max="7930" width="14.42578125" style="1008" customWidth="1"/>
    <col min="7931" max="7931" width="12.85546875" style="1008" customWidth="1"/>
    <col min="7932" max="7932" width="6.140625" style="1008" customWidth="1"/>
    <col min="7933" max="7934" width="11.42578125" style="1008"/>
    <col min="7935" max="7935" width="15.42578125" style="1008" customWidth="1"/>
    <col min="7936" max="8175" width="11.42578125" style="1008"/>
    <col min="8176" max="8176" width="2.28515625" style="1008" customWidth="1"/>
    <col min="8177" max="8177" width="2.7109375" style="1008" customWidth="1"/>
    <col min="8178" max="8178" width="2.42578125" style="1008" customWidth="1"/>
    <col min="8179" max="8179" width="17.7109375" style="1008" customWidth="1"/>
    <col min="8180" max="8180" width="1.5703125" style="1008" customWidth="1"/>
    <col min="8181" max="8181" width="6.42578125" style="1008" customWidth="1"/>
    <col min="8182" max="8182" width="13.140625" style="1008" customWidth="1"/>
    <col min="8183" max="8183" width="1" style="1008" customWidth="1"/>
    <col min="8184" max="8184" width="19.5703125" style="1008" customWidth="1"/>
    <col min="8185" max="8185" width="0.85546875" style="1008" customWidth="1"/>
    <col min="8186" max="8186" width="14.42578125" style="1008" customWidth="1"/>
    <col min="8187" max="8187" width="12.85546875" style="1008" customWidth="1"/>
    <col min="8188" max="8188" width="6.140625" style="1008" customWidth="1"/>
    <col min="8189" max="8190" width="11.42578125" style="1008"/>
    <col min="8191" max="8191" width="15.42578125" style="1008" customWidth="1"/>
    <col min="8192" max="8431" width="11.42578125" style="1008"/>
    <col min="8432" max="8432" width="2.28515625" style="1008" customWidth="1"/>
    <col min="8433" max="8433" width="2.7109375" style="1008" customWidth="1"/>
    <col min="8434" max="8434" width="2.42578125" style="1008" customWidth="1"/>
    <col min="8435" max="8435" width="17.7109375" style="1008" customWidth="1"/>
    <col min="8436" max="8436" width="1.5703125" style="1008" customWidth="1"/>
    <col min="8437" max="8437" width="6.42578125" style="1008" customWidth="1"/>
    <col min="8438" max="8438" width="13.140625" style="1008" customWidth="1"/>
    <col min="8439" max="8439" width="1" style="1008" customWidth="1"/>
    <col min="8440" max="8440" width="19.5703125" style="1008" customWidth="1"/>
    <col min="8441" max="8441" width="0.85546875" style="1008" customWidth="1"/>
    <col min="8442" max="8442" width="14.42578125" style="1008" customWidth="1"/>
    <col min="8443" max="8443" width="12.85546875" style="1008" customWidth="1"/>
    <col min="8444" max="8444" width="6.140625" style="1008" customWidth="1"/>
    <col min="8445" max="8446" width="11.42578125" style="1008"/>
    <col min="8447" max="8447" width="15.42578125" style="1008" customWidth="1"/>
    <col min="8448" max="8687" width="11.42578125" style="1008"/>
    <col min="8688" max="8688" width="2.28515625" style="1008" customWidth="1"/>
    <col min="8689" max="8689" width="2.7109375" style="1008" customWidth="1"/>
    <col min="8690" max="8690" width="2.42578125" style="1008" customWidth="1"/>
    <col min="8691" max="8691" width="17.7109375" style="1008" customWidth="1"/>
    <col min="8692" max="8692" width="1.5703125" style="1008" customWidth="1"/>
    <col min="8693" max="8693" width="6.42578125" style="1008" customWidth="1"/>
    <col min="8694" max="8694" width="13.140625" style="1008" customWidth="1"/>
    <col min="8695" max="8695" width="1" style="1008" customWidth="1"/>
    <col min="8696" max="8696" width="19.5703125" style="1008" customWidth="1"/>
    <col min="8697" max="8697" width="0.85546875" style="1008" customWidth="1"/>
    <col min="8698" max="8698" width="14.42578125" style="1008" customWidth="1"/>
    <col min="8699" max="8699" width="12.85546875" style="1008" customWidth="1"/>
    <col min="8700" max="8700" width="6.140625" style="1008" customWidth="1"/>
    <col min="8701" max="8702" width="11.42578125" style="1008"/>
    <col min="8703" max="8703" width="15.42578125" style="1008" customWidth="1"/>
    <col min="8704" max="8943" width="11.42578125" style="1008"/>
    <col min="8944" max="8944" width="2.28515625" style="1008" customWidth="1"/>
    <col min="8945" max="8945" width="2.7109375" style="1008" customWidth="1"/>
    <col min="8946" max="8946" width="2.42578125" style="1008" customWidth="1"/>
    <col min="8947" max="8947" width="17.7109375" style="1008" customWidth="1"/>
    <col min="8948" max="8948" width="1.5703125" style="1008" customWidth="1"/>
    <col min="8949" max="8949" width="6.42578125" style="1008" customWidth="1"/>
    <col min="8950" max="8950" width="13.140625" style="1008" customWidth="1"/>
    <col min="8951" max="8951" width="1" style="1008" customWidth="1"/>
    <col min="8952" max="8952" width="19.5703125" style="1008" customWidth="1"/>
    <col min="8953" max="8953" width="0.85546875" style="1008" customWidth="1"/>
    <col min="8954" max="8954" width="14.42578125" style="1008" customWidth="1"/>
    <col min="8955" max="8955" width="12.85546875" style="1008" customWidth="1"/>
    <col min="8956" max="8956" width="6.140625" style="1008" customWidth="1"/>
    <col min="8957" max="8958" width="11.42578125" style="1008"/>
    <col min="8959" max="8959" width="15.42578125" style="1008" customWidth="1"/>
    <col min="8960" max="9199" width="11.42578125" style="1008"/>
    <col min="9200" max="9200" width="2.28515625" style="1008" customWidth="1"/>
    <col min="9201" max="9201" width="2.7109375" style="1008" customWidth="1"/>
    <col min="9202" max="9202" width="2.42578125" style="1008" customWidth="1"/>
    <col min="9203" max="9203" width="17.7109375" style="1008" customWidth="1"/>
    <col min="9204" max="9204" width="1.5703125" style="1008" customWidth="1"/>
    <col min="9205" max="9205" width="6.42578125" style="1008" customWidth="1"/>
    <col min="9206" max="9206" width="13.140625" style="1008" customWidth="1"/>
    <col min="9207" max="9207" width="1" style="1008" customWidth="1"/>
    <col min="9208" max="9208" width="19.5703125" style="1008" customWidth="1"/>
    <col min="9209" max="9209" width="0.85546875" style="1008" customWidth="1"/>
    <col min="9210" max="9210" width="14.42578125" style="1008" customWidth="1"/>
    <col min="9211" max="9211" width="12.85546875" style="1008" customWidth="1"/>
    <col min="9212" max="9212" width="6.140625" style="1008" customWidth="1"/>
    <col min="9213" max="9214" width="11.42578125" style="1008"/>
    <col min="9215" max="9215" width="15.42578125" style="1008" customWidth="1"/>
    <col min="9216" max="9455" width="11.42578125" style="1008"/>
    <col min="9456" max="9456" width="2.28515625" style="1008" customWidth="1"/>
    <col min="9457" max="9457" width="2.7109375" style="1008" customWidth="1"/>
    <col min="9458" max="9458" width="2.42578125" style="1008" customWidth="1"/>
    <col min="9459" max="9459" width="17.7109375" style="1008" customWidth="1"/>
    <col min="9460" max="9460" width="1.5703125" style="1008" customWidth="1"/>
    <col min="9461" max="9461" width="6.42578125" style="1008" customWidth="1"/>
    <col min="9462" max="9462" width="13.140625" style="1008" customWidth="1"/>
    <col min="9463" max="9463" width="1" style="1008" customWidth="1"/>
    <col min="9464" max="9464" width="19.5703125" style="1008" customWidth="1"/>
    <col min="9465" max="9465" width="0.85546875" style="1008" customWidth="1"/>
    <col min="9466" max="9466" width="14.42578125" style="1008" customWidth="1"/>
    <col min="9467" max="9467" width="12.85546875" style="1008" customWidth="1"/>
    <col min="9468" max="9468" width="6.140625" style="1008" customWidth="1"/>
    <col min="9469" max="9470" width="11.42578125" style="1008"/>
    <col min="9471" max="9471" width="15.42578125" style="1008" customWidth="1"/>
    <col min="9472" max="9711" width="11.42578125" style="1008"/>
    <col min="9712" max="9712" width="2.28515625" style="1008" customWidth="1"/>
    <col min="9713" max="9713" width="2.7109375" style="1008" customWidth="1"/>
    <col min="9714" max="9714" width="2.42578125" style="1008" customWidth="1"/>
    <col min="9715" max="9715" width="17.7109375" style="1008" customWidth="1"/>
    <col min="9716" max="9716" width="1.5703125" style="1008" customWidth="1"/>
    <col min="9717" max="9717" width="6.42578125" style="1008" customWidth="1"/>
    <col min="9718" max="9718" width="13.140625" style="1008" customWidth="1"/>
    <col min="9719" max="9719" width="1" style="1008" customWidth="1"/>
    <col min="9720" max="9720" width="19.5703125" style="1008" customWidth="1"/>
    <col min="9721" max="9721" width="0.85546875" style="1008" customWidth="1"/>
    <col min="9722" max="9722" width="14.42578125" style="1008" customWidth="1"/>
    <col min="9723" max="9723" width="12.85546875" style="1008" customWidth="1"/>
    <col min="9724" max="9724" width="6.140625" style="1008" customWidth="1"/>
    <col min="9725" max="9726" width="11.42578125" style="1008"/>
    <col min="9727" max="9727" width="15.42578125" style="1008" customWidth="1"/>
    <col min="9728" max="9967" width="11.42578125" style="1008"/>
    <col min="9968" max="9968" width="2.28515625" style="1008" customWidth="1"/>
    <col min="9969" max="9969" width="2.7109375" style="1008" customWidth="1"/>
    <col min="9970" max="9970" width="2.42578125" style="1008" customWidth="1"/>
    <col min="9971" max="9971" width="17.7109375" style="1008" customWidth="1"/>
    <col min="9972" max="9972" width="1.5703125" style="1008" customWidth="1"/>
    <col min="9973" max="9973" width="6.42578125" style="1008" customWidth="1"/>
    <col min="9974" max="9974" width="13.140625" style="1008" customWidth="1"/>
    <col min="9975" max="9975" width="1" style="1008" customWidth="1"/>
    <col min="9976" max="9976" width="19.5703125" style="1008" customWidth="1"/>
    <col min="9977" max="9977" width="0.85546875" style="1008" customWidth="1"/>
    <col min="9978" max="9978" width="14.42578125" style="1008" customWidth="1"/>
    <col min="9979" max="9979" width="12.85546875" style="1008" customWidth="1"/>
    <col min="9980" max="9980" width="6.140625" style="1008" customWidth="1"/>
    <col min="9981" max="9982" width="11.42578125" style="1008"/>
    <col min="9983" max="9983" width="15.42578125" style="1008" customWidth="1"/>
    <col min="9984" max="10223" width="11.42578125" style="1008"/>
    <col min="10224" max="10224" width="2.28515625" style="1008" customWidth="1"/>
    <col min="10225" max="10225" width="2.7109375" style="1008" customWidth="1"/>
    <col min="10226" max="10226" width="2.42578125" style="1008" customWidth="1"/>
    <col min="10227" max="10227" width="17.7109375" style="1008" customWidth="1"/>
    <col min="10228" max="10228" width="1.5703125" style="1008" customWidth="1"/>
    <col min="10229" max="10229" width="6.42578125" style="1008" customWidth="1"/>
    <col min="10230" max="10230" width="13.140625" style="1008" customWidth="1"/>
    <col min="10231" max="10231" width="1" style="1008" customWidth="1"/>
    <col min="10232" max="10232" width="19.5703125" style="1008" customWidth="1"/>
    <col min="10233" max="10233" width="0.85546875" style="1008" customWidth="1"/>
    <col min="10234" max="10234" width="14.42578125" style="1008" customWidth="1"/>
    <col min="10235" max="10235" width="12.85546875" style="1008" customWidth="1"/>
    <col min="10236" max="10236" width="6.140625" style="1008" customWidth="1"/>
    <col min="10237" max="10238" width="11.42578125" style="1008"/>
    <col min="10239" max="10239" width="15.42578125" style="1008" customWidth="1"/>
    <col min="10240" max="10479" width="11.42578125" style="1008"/>
    <col min="10480" max="10480" width="2.28515625" style="1008" customWidth="1"/>
    <col min="10481" max="10481" width="2.7109375" style="1008" customWidth="1"/>
    <col min="10482" max="10482" width="2.42578125" style="1008" customWidth="1"/>
    <col min="10483" max="10483" width="17.7109375" style="1008" customWidth="1"/>
    <col min="10484" max="10484" width="1.5703125" style="1008" customWidth="1"/>
    <col min="10485" max="10485" width="6.42578125" style="1008" customWidth="1"/>
    <col min="10486" max="10486" width="13.140625" style="1008" customWidth="1"/>
    <col min="10487" max="10487" width="1" style="1008" customWidth="1"/>
    <col min="10488" max="10488" width="19.5703125" style="1008" customWidth="1"/>
    <col min="10489" max="10489" width="0.85546875" style="1008" customWidth="1"/>
    <col min="10490" max="10490" width="14.42578125" style="1008" customWidth="1"/>
    <col min="10491" max="10491" width="12.85546875" style="1008" customWidth="1"/>
    <col min="10492" max="10492" width="6.140625" style="1008" customWidth="1"/>
    <col min="10493" max="10494" width="11.42578125" style="1008"/>
    <col min="10495" max="10495" width="15.42578125" style="1008" customWidth="1"/>
    <col min="10496" max="10735" width="11.42578125" style="1008"/>
    <col min="10736" max="10736" width="2.28515625" style="1008" customWidth="1"/>
    <col min="10737" max="10737" width="2.7109375" style="1008" customWidth="1"/>
    <col min="10738" max="10738" width="2.42578125" style="1008" customWidth="1"/>
    <col min="10739" max="10739" width="17.7109375" style="1008" customWidth="1"/>
    <col min="10740" max="10740" width="1.5703125" style="1008" customWidth="1"/>
    <col min="10741" max="10741" width="6.42578125" style="1008" customWidth="1"/>
    <col min="10742" max="10742" width="13.140625" style="1008" customWidth="1"/>
    <col min="10743" max="10743" width="1" style="1008" customWidth="1"/>
    <col min="10744" max="10744" width="19.5703125" style="1008" customWidth="1"/>
    <col min="10745" max="10745" width="0.85546875" style="1008" customWidth="1"/>
    <col min="10746" max="10746" width="14.42578125" style="1008" customWidth="1"/>
    <col min="10747" max="10747" width="12.85546875" style="1008" customWidth="1"/>
    <col min="10748" max="10748" width="6.140625" style="1008" customWidth="1"/>
    <col min="10749" max="10750" width="11.42578125" style="1008"/>
    <col min="10751" max="10751" width="15.42578125" style="1008" customWidth="1"/>
    <col min="10752" max="10991" width="11.42578125" style="1008"/>
    <col min="10992" max="10992" width="2.28515625" style="1008" customWidth="1"/>
    <col min="10993" max="10993" width="2.7109375" style="1008" customWidth="1"/>
    <col min="10994" max="10994" width="2.42578125" style="1008" customWidth="1"/>
    <col min="10995" max="10995" width="17.7109375" style="1008" customWidth="1"/>
    <col min="10996" max="10996" width="1.5703125" style="1008" customWidth="1"/>
    <col min="10997" max="10997" width="6.42578125" style="1008" customWidth="1"/>
    <col min="10998" max="10998" width="13.140625" style="1008" customWidth="1"/>
    <col min="10999" max="10999" width="1" style="1008" customWidth="1"/>
    <col min="11000" max="11000" width="19.5703125" style="1008" customWidth="1"/>
    <col min="11001" max="11001" width="0.85546875" style="1008" customWidth="1"/>
    <col min="11002" max="11002" width="14.42578125" style="1008" customWidth="1"/>
    <col min="11003" max="11003" width="12.85546875" style="1008" customWidth="1"/>
    <col min="11004" max="11004" width="6.140625" style="1008" customWidth="1"/>
    <col min="11005" max="11006" width="11.42578125" style="1008"/>
    <col min="11007" max="11007" width="15.42578125" style="1008" customWidth="1"/>
    <col min="11008" max="11247" width="11.42578125" style="1008"/>
    <col min="11248" max="11248" width="2.28515625" style="1008" customWidth="1"/>
    <col min="11249" max="11249" width="2.7109375" style="1008" customWidth="1"/>
    <col min="11250" max="11250" width="2.42578125" style="1008" customWidth="1"/>
    <col min="11251" max="11251" width="17.7109375" style="1008" customWidth="1"/>
    <col min="11252" max="11252" width="1.5703125" style="1008" customWidth="1"/>
    <col min="11253" max="11253" width="6.42578125" style="1008" customWidth="1"/>
    <col min="11254" max="11254" width="13.140625" style="1008" customWidth="1"/>
    <col min="11255" max="11255" width="1" style="1008" customWidth="1"/>
    <col min="11256" max="11256" width="19.5703125" style="1008" customWidth="1"/>
    <col min="11257" max="11257" width="0.85546875" style="1008" customWidth="1"/>
    <col min="11258" max="11258" width="14.42578125" style="1008" customWidth="1"/>
    <col min="11259" max="11259" width="12.85546875" style="1008" customWidth="1"/>
    <col min="11260" max="11260" width="6.140625" style="1008" customWidth="1"/>
    <col min="11261" max="11262" width="11.42578125" style="1008"/>
    <col min="11263" max="11263" width="15.42578125" style="1008" customWidth="1"/>
    <col min="11264" max="11503" width="11.42578125" style="1008"/>
    <col min="11504" max="11504" width="2.28515625" style="1008" customWidth="1"/>
    <col min="11505" max="11505" width="2.7109375" style="1008" customWidth="1"/>
    <col min="11506" max="11506" width="2.42578125" style="1008" customWidth="1"/>
    <col min="11507" max="11507" width="17.7109375" style="1008" customWidth="1"/>
    <col min="11508" max="11508" width="1.5703125" style="1008" customWidth="1"/>
    <col min="11509" max="11509" width="6.42578125" style="1008" customWidth="1"/>
    <col min="11510" max="11510" width="13.140625" style="1008" customWidth="1"/>
    <col min="11511" max="11511" width="1" style="1008" customWidth="1"/>
    <col min="11512" max="11512" width="19.5703125" style="1008" customWidth="1"/>
    <col min="11513" max="11513" width="0.85546875" style="1008" customWidth="1"/>
    <col min="11514" max="11514" width="14.42578125" style="1008" customWidth="1"/>
    <col min="11515" max="11515" width="12.85546875" style="1008" customWidth="1"/>
    <col min="11516" max="11516" width="6.140625" style="1008" customWidth="1"/>
    <col min="11517" max="11518" width="11.42578125" style="1008"/>
    <col min="11519" max="11519" width="15.42578125" style="1008" customWidth="1"/>
    <col min="11520" max="11759" width="11.42578125" style="1008"/>
    <col min="11760" max="11760" width="2.28515625" style="1008" customWidth="1"/>
    <col min="11761" max="11761" width="2.7109375" style="1008" customWidth="1"/>
    <col min="11762" max="11762" width="2.42578125" style="1008" customWidth="1"/>
    <col min="11763" max="11763" width="17.7109375" style="1008" customWidth="1"/>
    <col min="11764" max="11764" width="1.5703125" style="1008" customWidth="1"/>
    <col min="11765" max="11765" width="6.42578125" style="1008" customWidth="1"/>
    <col min="11766" max="11766" width="13.140625" style="1008" customWidth="1"/>
    <col min="11767" max="11767" width="1" style="1008" customWidth="1"/>
    <col min="11768" max="11768" width="19.5703125" style="1008" customWidth="1"/>
    <col min="11769" max="11769" width="0.85546875" style="1008" customWidth="1"/>
    <col min="11770" max="11770" width="14.42578125" style="1008" customWidth="1"/>
    <col min="11771" max="11771" width="12.85546875" style="1008" customWidth="1"/>
    <col min="11772" max="11772" width="6.140625" style="1008" customWidth="1"/>
    <col min="11773" max="11774" width="11.42578125" style="1008"/>
    <col min="11775" max="11775" width="15.42578125" style="1008" customWidth="1"/>
    <col min="11776" max="12015" width="11.42578125" style="1008"/>
    <col min="12016" max="12016" width="2.28515625" style="1008" customWidth="1"/>
    <col min="12017" max="12017" width="2.7109375" style="1008" customWidth="1"/>
    <col min="12018" max="12018" width="2.42578125" style="1008" customWidth="1"/>
    <col min="12019" max="12019" width="17.7109375" style="1008" customWidth="1"/>
    <col min="12020" max="12020" width="1.5703125" style="1008" customWidth="1"/>
    <col min="12021" max="12021" width="6.42578125" style="1008" customWidth="1"/>
    <col min="12022" max="12022" width="13.140625" style="1008" customWidth="1"/>
    <col min="12023" max="12023" width="1" style="1008" customWidth="1"/>
    <col min="12024" max="12024" width="19.5703125" style="1008" customWidth="1"/>
    <col min="12025" max="12025" width="0.85546875" style="1008" customWidth="1"/>
    <col min="12026" max="12026" width="14.42578125" style="1008" customWidth="1"/>
    <col min="12027" max="12027" width="12.85546875" style="1008" customWidth="1"/>
    <col min="12028" max="12028" width="6.140625" style="1008" customWidth="1"/>
    <col min="12029" max="12030" width="11.42578125" style="1008"/>
    <col min="12031" max="12031" width="15.42578125" style="1008" customWidth="1"/>
    <col min="12032" max="12271" width="11.42578125" style="1008"/>
    <col min="12272" max="12272" width="2.28515625" style="1008" customWidth="1"/>
    <col min="12273" max="12273" width="2.7109375" style="1008" customWidth="1"/>
    <col min="12274" max="12274" width="2.42578125" style="1008" customWidth="1"/>
    <col min="12275" max="12275" width="17.7109375" style="1008" customWidth="1"/>
    <col min="12276" max="12276" width="1.5703125" style="1008" customWidth="1"/>
    <col min="12277" max="12277" width="6.42578125" style="1008" customWidth="1"/>
    <col min="12278" max="12278" width="13.140625" style="1008" customWidth="1"/>
    <col min="12279" max="12279" width="1" style="1008" customWidth="1"/>
    <col min="12280" max="12280" width="19.5703125" style="1008" customWidth="1"/>
    <col min="12281" max="12281" width="0.85546875" style="1008" customWidth="1"/>
    <col min="12282" max="12282" width="14.42578125" style="1008" customWidth="1"/>
    <col min="12283" max="12283" width="12.85546875" style="1008" customWidth="1"/>
    <col min="12284" max="12284" width="6.140625" style="1008" customWidth="1"/>
    <col min="12285" max="12286" width="11.42578125" style="1008"/>
    <col min="12287" max="12287" width="15.42578125" style="1008" customWidth="1"/>
    <col min="12288" max="12527" width="11.42578125" style="1008"/>
    <col min="12528" max="12528" width="2.28515625" style="1008" customWidth="1"/>
    <col min="12529" max="12529" width="2.7109375" style="1008" customWidth="1"/>
    <col min="12530" max="12530" width="2.42578125" style="1008" customWidth="1"/>
    <col min="12531" max="12531" width="17.7109375" style="1008" customWidth="1"/>
    <col min="12532" max="12532" width="1.5703125" style="1008" customWidth="1"/>
    <col min="12533" max="12533" width="6.42578125" style="1008" customWidth="1"/>
    <col min="12534" max="12534" width="13.140625" style="1008" customWidth="1"/>
    <col min="12535" max="12535" width="1" style="1008" customWidth="1"/>
    <col min="12536" max="12536" width="19.5703125" style="1008" customWidth="1"/>
    <col min="12537" max="12537" width="0.85546875" style="1008" customWidth="1"/>
    <col min="12538" max="12538" width="14.42578125" style="1008" customWidth="1"/>
    <col min="12539" max="12539" width="12.85546875" style="1008" customWidth="1"/>
    <col min="12540" max="12540" width="6.140625" style="1008" customWidth="1"/>
    <col min="12541" max="12542" width="11.42578125" style="1008"/>
    <col min="12543" max="12543" width="15.42578125" style="1008" customWidth="1"/>
    <col min="12544" max="12783" width="11.42578125" style="1008"/>
    <col min="12784" max="12784" width="2.28515625" style="1008" customWidth="1"/>
    <col min="12785" max="12785" width="2.7109375" style="1008" customWidth="1"/>
    <col min="12786" max="12786" width="2.42578125" style="1008" customWidth="1"/>
    <col min="12787" max="12787" width="17.7109375" style="1008" customWidth="1"/>
    <col min="12788" max="12788" width="1.5703125" style="1008" customWidth="1"/>
    <col min="12789" max="12789" width="6.42578125" style="1008" customWidth="1"/>
    <col min="12790" max="12790" width="13.140625" style="1008" customWidth="1"/>
    <col min="12791" max="12791" width="1" style="1008" customWidth="1"/>
    <col min="12792" max="12792" width="19.5703125" style="1008" customWidth="1"/>
    <col min="12793" max="12793" width="0.85546875" style="1008" customWidth="1"/>
    <col min="12794" max="12794" width="14.42578125" style="1008" customWidth="1"/>
    <col min="12795" max="12795" width="12.85546875" style="1008" customWidth="1"/>
    <col min="12796" max="12796" width="6.140625" style="1008" customWidth="1"/>
    <col min="12797" max="12798" width="11.42578125" style="1008"/>
    <col min="12799" max="12799" width="15.42578125" style="1008" customWidth="1"/>
    <col min="12800" max="13039" width="11.42578125" style="1008"/>
    <col min="13040" max="13040" width="2.28515625" style="1008" customWidth="1"/>
    <col min="13041" max="13041" width="2.7109375" style="1008" customWidth="1"/>
    <col min="13042" max="13042" width="2.42578125" style="1008" customWidth="1"/>
    <col min="13043" max="13043" width="17.7109375" style="1008" customWidth="1"/>
    <col min="13044" max="13044" width="1.5703125" style="1008" customWidth="1"/>
    <col min="13045" max="13045" width="6.42578125" style="1008" customWidth="1"/>
    <col min="13046" max="13046" width="13.140625" style="1008" customWidth="1"/>
    <col min="13047" max="13047" width="1" style="1008" customWidth="1"/>
    <col min="13048" max="13048" width="19.5703125" style="1008" customWidth="1"/>
    <col min="13049" max="13049" width="0.85546875" style="1008" customWidth="1"/>
    <col min="13050" max="13050" width="14.42578125" style="1008" customWidth="1"/>
    <col min="13051" max="13051" width="12.85546875" style="1008" customWidth="1"/>
    <col min="13052" max="13052" width="6.140625" style="1008" customWidth="1"/>
    <col min="13053" max="13054" width="11.42578125" style="1008"/>
    <col min="13055" max="13055" width="15.42578125" style="1008" customWidth="1"/>
    <col min="13056" max="13295" width="11.42578125" style="1008"/>
    <col min="13296" max="13296" width="2.28515625" style="1008" customWidth="1"/>
    <col min="13297" max="13297" width="2.7109375" style="1008" customWidth="1"/>
    <col min="13298" max="13298" width="2.42578125" style="1008" customWidth="1"/>
    <col min="13299" max="13299" width="17.7109375" style="1008" customWidth="1"/>
    <col min="13300" max="13300" width="1.5703125" style="1008" customWidth="1"/>
    <col min="13301" max="13301" width="6.42578125" style="1008" customWidth="1"/>
    <col min="13302" max="13302" width="13.140625" style="1008" customWidth="1"/>
    <col min="13303" max="13303" width="1" style="1008" customWidth="1"/>
    <col min="13304" max="13304" width="19.5703125" style="1008" customWidth="1"/>
    <col min="13305" max="13305" width="0.85546875" style="1008" customWidth="1"/>
    <col min="13306" max="13306" width="14.42578125" style="1008" customWidth="1"/>
    <col min="13307" max="13307" width="12.85546875" style="1008" customWidth="1"/>
    <col min="13308" max="13308" width="6.140625" style="1008" customWidth="1"/>
    <col min="13309" max="13310" width="11.42578125" style="1008"/>
    <col min="13311" max="13311" width="15.42578125" style="1008" customWidth="1"/>
    <col min="13312" max="13551" width="11.42578125" style="1008"/>
    <col min="13552" max="13552" width="2.28515625" style="1008" customWidth="1"/>
    <col min="13553" max="13553" width="2.7109375" style="1008" customWidth="1"/>
    <col min="13554" max="13554" width="2.42578125" style="1008" customWidth="1"/>
    <col min="13555" max="13555" width="17.7109375" style="1008" customWidth="1"/>
    <col min="13556" max="13556" width="1.5703125" style="1008" customWidth="1"/>
    <col min="13557" max="13557" width="6.42578125" style="1008" customWidth="1"/>
    <col min="13558" max="13558" width="13.140625" style="1008" customWidth="1"/>
    <col min="13559" max="13559" width="1" style="1008" customWidth="1"/>
    <col min="13560" max="13560" width="19.5703125" style="1008" customWidth="1"/>
    <col min="13561" max="13561" width="0.85546875" style="1008" customWidth="1"/>
    <col min="13562" max="13562" width="14.42578125" style="1008" customWidth="1"/>
    <col min="13563" max="13563" width="12.85546875" style="1008" customWidth="1"/>
    <col min="13564" max="13564" width="6.140625" style="1008" customWidth="1"/>
    <col min="13565" max="13566" width="11.42578125" style="1008"/>
    <col min="13567" max="13567" width="15.42578125" style="1008" customWidth="1"/>
    <col min="13568" max="13807" width="11.42578125" style="1008"/>
    <col min="13808" max="13808" width="2.28515625" style="1008" customWidth="1"/>
    <col min="13809" max="13809" width="2.7109375" style="1008" customWidth="1"/>
    <col min="13810" max="13810" width="2.42578125" style="1008" customWidth="1"/>
    <col min="13811" max="13811" width="17.7109375" style="1008" customWidth="1"/>
    <col min="13812" max="13812" width="1.5703125" style="1008" customWidth="1"/>
    <col min="13813" max="13813" width="6.42578125" style="1008" customWidth="1"/>
    <col min="13814" max="13814" width="13.140625" style="1008" customWidth="1"/>
    <col min="13815" max="13815" width="1" style="1008" customWidth="1"/>
    <col min="13816" max="13816" width="19.5703125" style="1008" customWidth="1"/>
    <col min="13817" max="13817" width="0.85546875" style="1008" customWidth="1"/>
    <col min="13818" max="13818" width="14.42578125" style="1008" customWidth="1"/>
    <col min="13819" max="13819" width="12.85546875" style="1008" customWidth="1"/>
    <col min="13820" max="13820" width="6.140625" style="1008" customWidth="1"/>
    <col min="13821" max="13822" width="11.42578125" style="1008"/>
    <col min="13823" max="13823" width="15.42578125" style="1008" customWidth="1"/>
    <col min="13824" max="14063" width="11.42578125" style="1008"/>
    <col min="14064" max="14064" width="2.28515625" style="1008" customWidth="1"/>
    <col min="14065" max="14065" width="2.7109375" style="1008" customWidth="1"/>
    <col min="14066" max="14066" width="2.42578125" style="1008" customWidth="1"/>
    <col min="14067" max="14067" width="17.7109375" style="1008" customWidth="1"/>
    <col min="14068" max="14068" width="1.5703125" style="1008" customWidth="1"/>
    <col min="14069" max="14069" width="6.42578125" style="1008" customWidth="1"/>
    <col min="14070" max="14070" width="13.140625" style="1008" customWidth="1"/>
    <col min="14071" max="14071" width="1" style="1008" customWidth="1"/>
    <col min="14072" max="14072" width="19.5703125" style="1008" customWidth="1"/>
    <col min="14073" max="14073" width="0.85546875" style="1008" customWidth="1"/>
    <col min="14074" max="14074" width="14.42578125" style="1008" customWidth="1"/>
    <col min="14075" max="14075" width="12.85546875" style="1008" customWidth="1"/>
    <col min="14076" max="14076" width="6.140625" style="1008" customWidth="1"/>
    <col min="14077" max="14078" width="11.42578125" style="1008"/>
    <col min="14079" max="14079" width="15.42578125" style="1008" customWidth="1"/>
    <col min="14080" max="14319" width="11.42578125" style="1008"/>
    <col min="14320" max="14320" width="2.28515625" style="1008" customWidth="1"/>
    <col min="14321" max="14321" width="2.7109375" style="1008" customWidth="1"/>
    <col min="14322" max="14322" width="2.42578125" style="1008" customWidth="1"/>
    <col min="14323" max="14323" width="17.7109375" style="1008" customWidth="1"/>
    <col min="14324" max="14324" width="1.5703125" style="1008" customWidth="1"/>
    <col min="14325" max="14325" width="6.42578125" style="1008" customWidth="1"/>
    <col min="14326" max="14326" width="13.140625" style="1008" customWidth="1"/>
    <col min="14327" max="14327" width="1" style="1008" customWidth="1"/>
    <col min="14328" max="14328" width="19.5703125" style="1008" customWidth="1"/>
    <col min="14329" max="14329" width="0.85546875" style="1008" customWidth="1"/>
    <col min="14330" max="14330" width="14.42578125" style="1008" customWidth="1"/>
    <col min="14331" max="14331" width="12.85546875" style="1008" customWidth="1"/>
    <col min="14332" max="14332" width="6.140625" style="1008" customWidth="1"/>
    <col min="14333" max="14334" width="11.42578125" style="1008"/>
    <col min="14335" max="14335" width="15.42578125" style="1008" customWidth="1"/>
    <col min="14336" max="14575" width="11.42578125" style="1008"/>
    <col min="14576" max="14576" width="2.28515625" style="1008" customWidth="1"/>
    <col min="14577" max="14577" width="2.7109375" style="1008" customWidth="1"/>
    <col min="14578" max="14578" width="2.42578125" style="1008" customWidth="1"/>
    <col min="14579" max="14579" width="17.7109375" style="1008" customWidth="1"/>
    <col min="14580" max="14580" width="1.5703125" style="1008" customWidth="1"/>
    <col min="14581" max="14581" width="6.42578125" style="1008" customWidth="1"/>
    <col min="14582" max="14582" width="13.140625" style="1008" customWidth="1"/>
    <col min="14583" max="14583" width="1" style="1008" customWidth="1"/>
    <col min="14584" max="14584" width="19.5703125" style="1008" customWidth="1"/>
    <col min="14585" max="14585" width="0.85546875" style="1008" customWidth="1"/>
    <col min="14586" max="14586" width="14.42578125" style="1008" customWidth="1"/>
    <col min="14587" max="14587" width="12.85546875" style="1008" customWidth="1"/>
    <col min="14588" max="14588" width="6.140625" style="1008" customWidth="1"/>
    <col min="14589" max="14590" width="11.42578125" style="1008"/>
    <col min="14591" max="14591" width="15.42578125" style="1008" customWidth="1"/>
    <col min="14592" max="14831" width="11.42578125" style="1008"/>
    <col min="14832" max="14832" width="2.28515625" style="1008" customWidth="1"/>
    <col min="14833" max="14833" width="2.7109375" style="1008" customWidth="1"/>
    <col min="14834" max="14834" width="2.42578125" style="1008" customWidth="1"/>
    <col min="14835" max="14835" width="17.7109375" style="1008" customWidth="1"/>
    <col min="14836" max="14836" width="1.5703125" style="1008" customWidth="1"/>
    <col min="14837" max="14837" width="6.42578125" style="1008" customWidth="1"/>
    <col min="14838" max="14838" width="13.140625" style="1008" customWidth="1"/>
    <col min="14839" max="14839" width="1" style="1008" customWidth="1"/>
    <col min="14840" max="14840" width="19.5703125" style="1008" customWidth="1"/>
    <col min="14841" max="14841" width="0.85546875" style="1008" customWidth="1"/>
    <col min="14842" max="14842" width="14.42578125" style="1008" customWidth="1"/>
    <col min="14843" max="14843" width="12.85546875" style="1008" customWidth="1"/>
    <col min="14844" max="14844" width="6.140625" style="1008" customWidth="1"/>
    <col min="14845" max="14846" width="11.42578125" style="1008"/>
    <col min="14847" max="14847" width="15.42578125" style="1008" customWidth="1"/>
    <col min="14848" max="15087" width="11.42578125" style="1008"/>
    <col min="15088" max="15088" width="2.28515625" style="1008" customWidth="1"/>
    <col min="15089" max="15089" width="2.7109375" style="1008" customWidth="1"/>
    <col min="15090" max="15090" width="2.42578125" style="1008" customWidth="1"/>
    <col min="15091" max="15091" width="17.7109375" style="1008" customWidth="1"/>
    <col min="15092" max="15092" width="1.5703125" style="1008" customWidth="1"/>
    <col min="15093" max="15093" width="6.42578125" style="1008" customWidth="1"/>
    <col min="15094" max="15094" width="13.140625" style="1008" customWidth="1"/>
    <col min="15095" max="15095" width="1" style="1008" customWidth="1"/>
    <col min="15096" max="15096" width="19.5703125" style="1008" customWidth="1"/>
    <col min="15097" max="15097" width="0.85546875" style="1008" customWidth="1"/>
    <col min="15098" max="15098" width="14.42578125" style="1008" customWidth="1"/>
    <col min="15099" max="15099" width="12.85546875" style="1008" customWidth="1"/>
    <col min="15100" max="15100" width="6.140625" style="1008" customWidth="1"/>
    <col min="15101" max="15102" width="11.42578125" style="1008"/>
    <col min="15103" max="15103" width="15.42578125" style="1008" customWidth="1"/>
    <col min="15104" max="15343" width="11.42578125" style="1008"/>
    <col min="15344" max="15344" width="2.28515625" style="1008" customWidth="1"/>
    <col min="15345" max="15345" width="2.7109375" style="1008" customWidth="1"/>
    <col min="15346" max="15346" width="2.42578125" style="1008" customWidth="1"/>
    <col min="15347" max="15347" width="17.7109375" style="1008" customWidth="1"/>
    <col min="15348" max="15348" width="1.5703125" style="1008" customWidth="1"/>
    <col min="15349" max="15349" width="6.42578125" style="1008" customWidth="1"/>
    <col min="15350" max="15350" width="13.140625" style="1008" customWidth="1"/>
    <col min="15351" max="15351" width="1" style="1008" customWidth="1"/>
    <col min="15352" max="15352" width="19.5703125" style="1008" customWidth="1"/>
    <col min="15353" max="15353" width="0.85546875" style="1008" customWidth="1"/>
    <col min="15354" max="15354" width="14.42578125" style="1008" customWidth="1"/>
    <col min="15355" max="15355" width="12.85546875" style="1008" customWidth="1"/>
    <col min="15356" max="15356" width="6.140625" style="1008" customWidth="1"/>
    <col min="15357" max="15358" width="11.42578125" style="1008"/>
    <col min="15359" max="15359" width="15.42578125" style="1008" customWidth="1"/>
    <col min="15360" max="15599" width="11.42578125" style="1008"/>
    <col min="15600" max="15600" width="2.28515625" style="1008" customWidth="1"/>
    <col min="15601" max="15601" width="2.7109375" style="1008" customWidth="1"/>
    <col min="15602" max="15602" width="2.42578125" style="1008" customWidth="1"/>
    <col min="15603" max="15603" width="17.7109375" style="1008" customWidth="1"/>
    <col min="15604" max="15604" width="1.5703125" style="1008" customWidth="1"/>
    <col min="15605" max="15605" width="6.42578125" style="1008" customWidth="1"/>
    <col min="15606" max="15606" width="13.140625" style="1008" customWidth="1"/>
    <col min="15607" max="15607" width="1" style="1008" customWidth="1"/>
    <col min="15608" max="15608" width="19.5703125" style="1008" customWidth="1"/>
    <col min="15609" max="15609" width="0.85546875" style="1008" customWidth="1"/>
    <col min="15610" max="15610" width="14.42578125" style="1008" customWidth="1"/>
    <col min="15611" max="15611" width="12.85546875" style="1008" customWidth="1"/>
    <col min="15612" max="15612" width="6.140625" style="1008" customWidth="1"/>
    <col min="15613" max="15614" width="11.42578125" style="1008"/>
    <col min="15615" max="15615" width="15.42578125" style="1008" customWidth="1"/>
    <col min="15616" max="15855" width="11.42578125" style="1008"/>
    <col min="15856" max="15856" width="2.28515625" style="1008" customWidth="1"/>
    <col min="15857" max="15857" width="2.7109375" style="1008" customWidth="1"/>
    <col min="15858" max="15858" width="2.42578125" style="1008" customWidth="1"/>
    <col min="15859" max="15859" width="17.7109375" style="1008" customWidth="1"/>
    <col min="15860" max="15860" width="1.5703125" style="1008" customWidth="1"/>
    <col min="15861" max="15861" width="6.42578125" style="1008" customWidth="1"/>
    <col min="15862" max="15862" width="13.140625" style="1008" customWidth="1"/>
    <col min="15863" max="15863" width="1" style="1008" customWidth="1"/>
    <col min="15864" max="15864" width="19.5703125" style="1008" customWidth="1"/>
    <col min="15865" max="15865" width="0.85546875" style="1008" customWidth="1"/>
    <col min="15866" max="15866" width="14.42578125" style="1008" customWidth="1"/>
    <col min="15867" max="15867" width="12.85546875" style="1008" customWidth="1"/>
    <col min="15868" max="15868" width="6.140625" style="1008" customWidth="1"/>
    <col min="15869" max="15870" width="11.42578125" style="1008"/>
    <col min="15871" max="15871" width="15.42578125" style="1008" customWidth="1"/>
    <col min="15872" max="16111" width="11.42578125" style="1008"/>
    <col min="16112" max="16112" width="2.28515625" style="1008" customWidth="1"/>
    <col min="16113" max="16113" width="2.7109375" style="1008" customWidth="1"/>
    <col min="16114" max="16114" width="2.42578125" style="1008" customWidth="1"/>
    <col min="16115" max="16115" width="17.7109375" style="1008" customWidth="1"/>
    <col min="16116" max="16116" width="1.5703125" style="1008" customWidth="1"/>
    <col min="16117" max="16117" width="6.42578125" style="1008" customWidth="1"/>
    <col min="16118" max="16118" width="13.140625" style="1008" customWidth="1"/>
    <col min="16119" max="16119" width="1" style="1008" customWidth="1"/>
    <col min="16120" max="16120" width="19.5703125" style="1008" customWidth="1"/>
    <col min="16121" max="16121" width="0.85546875" style="1008" customWidth="1"/>
    <col min="16122" max="16122" width="14.42578125" style="1008" customWidth="1"/>
    <col min="16123" max="16123" width="12.85546875" style="1008" customWidth="1"/>
    <col min="16124" max="16124" width="6.140625" style="1008" customWidth="1"/>
    <col min="16125" max="16126" width="11.42578125" style="1008"/>
    <col min="16127" max="16127" width="15.42578125" style="1008" customWidth="1"/>
    <col min="16128" max="16384" width="11.42578125" style="1008"/>
  </cols>
  <sheetData>
    <row r="1" spans="1:20" ht="9" hidden="1" customHeight="1" x14ac:dyDescent="0.2"/>
    <row r="2" spans="1:20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1"/>
    </row>
    <row r="3" spans="1:20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4"/>
    </row>
    <row r="4" spans="1:20" ht="16.5" thickTop="1" x14ac:dyDescent="0.25">
      <c r="A4" s="2875" t="str">
        <f>"CERTIFICADO DE CALIBRACIÓN N° "&amp;"LSCD "&amp;'F-LSCD-012'!C25</f>
        <v>CERTIFICADO DE CALIBRACIÓN N° LSCD 029-2021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7"/>
    </row>
    <row r="5" spans="1:20" ht="15.75" x14ac:dyDescent="0.2">
      <c r="A5" s="2878" t="s">
        <v>253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80"/>
    </row>
    <row r="6" spans="1:20" ht="15.75" x14ac:dyDescent="0.2">
      <c r="A6" s="2881" t="s">
        <v>1119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79"/>
      <c r="S6" s="2879"/>
      <c r="T6" s="2880"/>
    </row>
    <row r="7" spans="1:20" ht="6" customHeight="1" x14ac:dyDescent="0.2">
      <c r="A7" s="2885"/>
      <c r="B7" s="2886"/>
      <c r="C7" s="2886"/>
      <c r="D7" s="2886"/>
      <c r="E7" s="2886"/>
      <c r="F7" s="2886"/>
      <c r="G7" s="2886"/>
      <c r="H7" s="2886"/>
      <c r="I7" s="2886"/>
      <c r="J7" s="2886"/>
      <c r="K7" s="2886"/>
      <c r="L7" s="2886"/>
      <c r="M7" s="2886"/>
      <c r="N7" s="2886"/>
      <c r="O7" s="2886"/>
      <c r="P7" s="2886"/>
      <c r="Q7" s="2886"/>
      <c r="R7" s="2886"/>
      <c r="S7" s="2886"/>
      <c r="T7" s="2887"/>
    </row>
    <row r="8" spans="1:20" ht="13.5" customHeight="1" x14ac:dyDescent="0.2">
      <c r="A8" s="1009"/>
      <c r="B8" s="166" t="s">
        <v>1105</v>
      </c>
      <c r="D8" s="1010" t="s">
        <v>218</v>
      </c>
      <c r="E8" s="1008" t="str">
        <f>'F-LSCD-012'!C7</f>
        <v>ALEPH SAC</v>
      </c>
      <c r="Q8" s="2902" t="s">
        <v>221</v>
      </c>
      <c r="R8" s="2903"/>
      <c r="S8" s="2903"/>
      <c r="T8" s="1011"/>
    </row>
    <row r="9" spans="1:20" ht="12.75" customHeight="1" x14ac:dyDescent="0.2">
      <c r="A9" s="1009"/>
      <c r="E9" s="2882" t="str">
        <f>'F-LSCD-012'!C8</f>
        <v>Av. Rafael Escardo 154</v>
      </c>
      <c r="F9" s="2882"/>
      <c r="G9" s="2882"/>
      <c r="H9" s="2882"/>
      <c r="I9" s="2882"/>
      <c r="J9" s="2882"/>
      <c r="K9" s="2882"/>
      <c r="L9" s="2882"/>
      <c r="M9" s="2882"/>
      <c r="N9" s="2882"/>
      <c r="O9" s="2882"/>
      <c r="Q9" s="2902"/>
      <c r="R9" s="2903"/>
      <c r="S9" s="2903"/>
      <c r="T9" s="1011"/>
    </row>
    <row r="10" spans="1:20" x14ac:dyDescent="0.2">
      <c r="A10" s="1009"/>
      <c r="E10" s="1008" t="str">
        <f>'F-LSCD-012'!I8&amp;", "&amp;'F-LSCD-012'!L8&amp;", "&amp;'F-LSCD-012'!P8&amp;", "&amp;'F-LSCD-012'!T8</f>
        <v>San Miguel, Lima, Lima, Perú</v>
      </c>
      <c r="Q10" s="2902"/>
      <c r="R10" s="2903"/>
      <c r="S10" s="2903"/>
      <c r="T10" s="1011"/>
    </row>
    <row r="11" spans="1:20" x14ac:dyDescent="0.2">
      <c r="A11" s="1009"/>
      <c r="Q11" s="2902"/>
      <c r="R11" s="2903"/>
      <c r="S11" s="2903"/>
      <c r="T11" s="1011"/>
    </row>
    <row r="12" spans="1:20" x14ac:dyDescent="0.2">
      <c r="A12" s="1009"/>
      <c r="B12" s="166" t="s">
        <v>1106</v>
      </c>
      <c r="D12" s="1010" t="s">
        <v>218</v>
      </c>
      <c r="E12" s="1012" t="str">
        <f>'F-LSCD-012'!C6</f>
        <v>OT 111-12925</v>
      </c>
      <c r="F12" s="1013"/>
      <c r="G12" s="1013"/>
      <c r="H12" s="1013"/>
      <c r="I12" s="1013"/>
      <c r="J12" s="1013"/>
      <c r="K12" s="1013"/>
      <c r="L12" s="1013"/>
      <c r="M12" s="1014"/>
      <c r="N12" s="1014"/>
      <c r="O12" s="1014"/>
      <c r="P12" s="1016"/>
      <c r="Q12" s="2902"/>
      <c r="R12" s="2903"/>
      <c r="S12" s="2903"/>
      <c r="T12" s="1011"/>
    </row>
    <row r="13" spans="1:20" x14ac:dyDescent="0.2">
      <c r="A13" s="1009"/>
      <c r="Q13" s="2902"/>
      <c r="R13" s="2903"/>
      <c r="S13" s="2903"/>
      <c r="T13" s="1011"/>
    </row>
    <row r="14" spans="1:20" x14ac:dyDescent="0.2">
      <c r="A14" s="1009"/>
      <c r="B14" s="166" t="s">
        <v>1123</v>
      </c>
      <c r="D14" s="1010" t="s">
        <v>218</v>
      </c>
      <c r="E14" s="1448" t="s">
        <v>1134</v>
      </c>
      <c r="F14" s="1688"/>
      <c r="G14" s="1688"/>
      <c r="H14" s="1688"/>
      <c r="I14" s="1688"/>
      <c r="J14" s="1688"/>
      <c r="K14" s="1688"/>
      <c r="L14" s="1688"/>
      <c r="M14" s="1688"/>
      <c r="N14" s="1688"/>
      <c r="O14" s="1688"/>
      <c r="P14" s="1017"/>
      <c r="Q14" s="1018"/>
      <c r="R14" s="1019"/>
      <c r="S14" s="1019"/>
      <c r="T14" s="1011"/>
    </row>
    <row r="15" spans="1:20" x14ac:dyDescent="0.2">
      <c r="A15" s="1009"/>
      <c r="B15" s="1010"/>
      <c r="D15" s="1010"/>
      <c r="E15" s="1688"/>
      <c r="F15" s="1688"/>
      <c r="G15" s="1688"/>
      <c r="H15" s="1688"/>
      <c r="I15" s="1688"/>
      <c r="J15" s="1688"/>
      <c r="K15" s="1688"/>
      <c r="L15" s="1688"/>
      <c r="M15" s="1688"/>
      <c r="N15" s="1688"/>
      <c r="O15" s="1688"/>
      <c r="P15" s="1017"/>
      <c r="Q15" s="2906" t="s">
        <v>225</v>
      </c>
      <c r="R15" s="2907"/>
      <c r="S15" s="2907"/>
      <c r="T15" s="1011"/>
    </row>
    <row r="16" spans="1:20" ht="12.75" customHeight="1" x14ac:dyDescent="0.2">
      <c r="A16" s="1009"/>
      <c r="B16" s="166" t="s">
        <v>1124</v>
      </c>
      <c r="D16" s="1010" t="s">
        <v>218</v>
      </c>
      <c r="E16" s="2883" t="str">
        <f>'F-LSCD-012'!C9</f>
        <v>Monitor de radiación (digital)</v>
      </c>
      <c r="F16" s="2883"/>
      <c r="G16" s="2883"/>
      <c r="H16" s="2883"/>
      <c r="I16" s="2883"/>
      <c r="J16" s="2883"/>
      <c r="K16" s="2883"/>
      <c r="L16" s="2883"/>
      <c r="M16" s="2883"/>
      <c r="N16" s="2883"/>
      <c r="O16" s="2883"/>
      <c r="P16" s="1017"/>
      <c r="Q16" s="2906"/>
      <c r="R16" s="2907"/>
      <c r="S16" s="2907"/>
      <c r="T16" s="1011"/>
    </row>
    <row r="17" spans="1:20" x14ac:dyDescent="0.2">
      <c r="A17" s="1009"/>
      <c r="B17" s="1010"/>
      <c r="D17" s="1010"/>
      <c r="E17" s="2884" t="str">
        <f>IF('F-LSCD-012'!C13="-","Marca monitor: "&amp;'F-LSCD-012'!C10,"Marca monitor: "&amp;'F-LSCD-012'!C10&amp;" / Marca sonda: "&amp;'F-LSCD-012'!C13)</f>
        <v>Marca monitor: MGP</v>
      </c>
      <c r="F17" s="2884"/>
      <c r="G17" s="2884"/>
      <c r="H17" s="2884"/>
      <c r="I17" s="2884"/>
      <c r="J17" s="2884"/>
      <c r="K17" s="2884"/>
      <c r="L17" s="2884"/>
      <c r="M17" s="2884"/>
      <c r="N17" s="2884"/>
      <c r="O17" s="2884"/>
      <c r="P17" s="1017"/>
      <c r="Q17" s="2906"/>
      <c r="R17" s="2907"/>
      <c r="S17" s="2907"/>
      <c r="T17" s="1011"/>
    </row>
    <row r="18" spans="1:20" x14ac:dyDescent="0.2">
      <c r="A18" s="1009"/>
      <c r="B18" s="1010"/>
      <c r="D18" s="1010"/>
      <c r="E18" s="2883" t="str">
        <f>IF('F-LSCD-012'!C13="-","Modelo monitor: "&amp;'F-LSCD-012'!C11,"Modelo monitor: "&amp;'F-LSCD-012'!C11&amp;" / Modelo sonda: "&amp;'F-LSCD-012'!C14)</f>
        <v>Modelo monitor: DMC 2000S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2883"/>
      <c r="P18" s="1017"/>
      <c r="Q18" s="2906"/>
      <c r="R18" s="2907"/>
      <c r="S18" s="2907"/>
      <c r="T18" s="1011"/>
    </row>
    <row r="19" spans="1:20" ht="12" customHeight="1" x14ac:dyDescent="0.2">
      <c r="A19" s="1009"/>
      <c r="B19" s="1010"/>
      <c r="D19" s="1010"/>
      <c r="E19" s="2883" t="str">
        <f>IF('F-LSCD-012'!C13="-","Serie monitor: "&amp;'F-LSCD-012'!C12,"Serie monitor: "&amp;'F-LSCD-012'!C12&amp;" / Serie sonda: "&amp;'F-LSCD-012'!C15)</f>
        <v>Serie monitor: 690384T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2883"/>
      <c r="P19" s="1017"/>
      <c r="Q19" s="2906"/>
      <c r="R19" s="2907"/>
      <c r="S19" s="2907"/>
      <c r="T19" s="1011"/>
    </row>
    <row r="20" spans="1:20" x14ac:dyDescent="0.2">
      <c r="A20" s="1009"/>
      <c r="B20" s="1010"/>
      <c r="D20" s="1010"/>
      <c r="E20" s="2883"/>
      <c r="F20" s="2883"/>
      <c r="G20" s="2883"/>
      <c r="H20" s="2883"/>
      <c r="I20" s="2883"/>
      <c r="J20" s="2883"/>
      <c r="K20" s="2883"/>
      <c r="L20" s="2883"/>
      <c r="M20" s="2883"/>
      <c r="N20" s="2883"/>
      <c r="O20" s="2883"/>
      <c r="P20" s="1017"/>
      <c r="Q20" s="2906"/>
      <c r="R20" s="2907"/>
      <c r="S20" s="2907"/>
      <c r="T20" s="1011"/>
    </row>
    <row r="21" spans="1:20" x14ac:dyDescent="0.2">
      <c r="A21" s="1009"/>
      <c r="B21" s="175" t="s">
        <v>1125</v>
      </c>
      <c r="D21" s="175" t="s">
        <v>218</v>
      </c>
      <c r="E21" s="2908" t="str">
        <f>'F-LSCD-012'!C19</f>
        <v>Campo de radiación calibrado usando un fantoma, según ISO 4037-3 (2019), aplicado al PROC-LSCD-012 Calibración de dosímetros personales (versión 05)</v>
      </c>
      <c r="F21" s="2908"/>
      <c r="G21" s="2908"/>
      <c r="H21" s="2908"/>
      <c r="I21" s="2908"/>
      <c r="J21" s="2908"/>
      <c r="K21" s="2908"/>
      <c r="L21" s="2908"/>
      <c r="M21" s="2908"/>
      <c r="N21" s="2908"/>
      <c r="O21" s="2908"/>
      <c r="P21" s="1021"/>
      <c r="Q21" s="2906"/>
      <c r="R21" s="2907"/>
      <c r="S21" s="2907"/>
      <c r="T21" s="1011"/>
    </row>
    <row r="22" spans="1:20" ht="27.75" customHeight="1" x14ac:dyDescent="0.2">
      <c r="A22" s="1009"/>
      <c r="E22" s="2908"/>
      <c r="F22" s="2908"/>
      <c r="G22" s="2908"/>
      <c r="H22" s="2908"/>
      <c r="I22" s="2908"/>
      <c r="J22" s="2908"/>
      <c r="K22" s="2908"/>
      <c r="L22" s="2908"/>
      <c r="M22" s="2908"/>
      <c r="N22" s="2908"/>
      <c r="O22" s="2908"/>
      <c r="P22" s="1021"/>
      <c r="Q22" s="2906"/>
      <c r="R22" s="2907"/>
      <c r="S22" s="2907"/>
      <c r="T22" s="1011"/>
    </row>
    <row r="23" spans="1:20" ht="5.25" customHeight="1" x14ac:dyDescent="0.2">
      <c r="A23" s="1009"/>
      <c r="E23" s="1021"/>
      <c r="F23" s="1021"/>
      <c r="G23" s="1021"/>
      <c r="H23" s="1021"/>
      <c r="I23" s="1021"/>
      <c r="J23" s="1021"/>
      <c r="K23" s="1021"/>
      <c r="L23" s="1021"/>
      <c r="M23" s="1021"/>
      <c r="N23" s="1021"/>
      <c r="O23" s="1021"/>
      <c r="P23" s="1021"/>
      <c r="Q23" s="2906"/>
      <c r="R23" s="2907"/>
      <c r="S23" s="2907"/>
      <c r="T23" s="1011"/>
    </row>
    <row r="24" spans="1:20" ht="39.75" customHeight="1" x14ac:dyDescent="0.2">
      <c r="A24" s="1009"/>
      <c r="B24" s="170" t="s">
        <v>1126</v>
      </c>
      <c r="D24" s="1272" t="s">
        <v>218</v>
      </c>
      <c r="E24" s="2908" t="str">
        <f>'F-LSCD-012'!C20</f>
        <v>Cámara de ionización patrón de 1 L , marca: PTW; modelo: TN32002; serie: 000568; Reporte de calibración de Kerma en aire DG: 13580-21 con fecha 2021-04-01 (NIST); trazable al NIST.</v>
      </c>
      <c r="F24" s="2908"/>
      <c r="G24" s="2908"/>
      <c r="H24" s="2908"/>
      <c r="I24" s="2908"/>
      <c r="J24" s="2908"/>
      <c r="K24" s="2908"/>
      <c r="L24" s="2908"/>
      <c r="M24" s="2908"/>
      <c r="N24" s="2908"/>
      <c r="O24" s="2908"/>
      <c r="P24" s="1021"/>
      <c r="Q24" s="2906"/>
      <c r="R24" s="2907"/>
      <c r="S24" s="2907"/>
      <c r="T24" s="1011"/>
    </row>
    <row r="25" spans="1:20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1021"/>
      <c r="Q25" s="2904" t="s">
        <v>702</v>
      </c>
      <c r="R25" s="2905"/>
      <c r="S25" s="2905"/>
      <c r="T25" s="1011"/>
    </row>
    <row r="26" spans="1:20" ht="14.25" customHeight="1" x14ac:dyDescent="0.2">
      <c r="A26" s="1009"/>
      <c r="B26" s="166" t="s">
        <v>1127</v>
      </c>
      <c r="D26" s="1010"/>
      <c r="Q26" s="2904"/>
      <c r="R26" s="2905"/>
      <c r="S26" s="2905"/>
      <c r="T26" s="1011"/>
    </row>
    <row r="27" spans="1:20" ht="6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O27" s="2909"/>
      <c r="Q27" s="228"/>
      <c r="R27" s="229"/>
      <c r="S27" s="229"/>
      <c r="T27" s="1011"/>
    </row>
    <row r="28" spans="1:20" ht="12" customHeight="1" x14ac:dyDescent="0.2">
      <c r="A28" s="1009"/>
      <c r="C28" s="1401" t="s">
        <v>203</v>
      </c>
      <c r="D28" s="1022" t="s">
        <v>218</v>
      </c>
      <c r="E28" s="1275" t="str">
        <f>'F-LSCD-012'!C21</f>
        <v>S-Cs (ISO 4037-3)</v>
      </c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014"/>
      <c r="Q28" s="228"/>
      <c r="R28" s="229"/>
      <c r="S28" s="229"/>
      <c r="T28" s="1011"/>
    </row>
    <row r="29" spans="1:20" ht="12" customHeight="1" x14ac:dyDescent="0.2">
      <c r="A29" s="1009"/>
      <c r="C29" s="1699" t="s">
        <v>138</v>
      </c>
      <c r="D29" s="227" t="s">
        <v>218</v>
      </c>
      <c r="E29" s="2910" t="str">
        <f>'F-LSCD-012'!I24</f>
        <v>Dosis equivalente personal, Hp(10)</v>
      </c>
      <c r="F29" s="2910"/>
      <c r="G29" s="2910"/>
      <c r="H29" s="2910"/>
      <c r="I29" s="2910"/>
      <c r="J29" s="2910"/>
      <c r="K29" s="2910"/>
      <c r="L29" s="2910"/>
      <c r="M29" s="2910"/>
      <c r="N29" s="2910"/>
      <c r="O29" s="2910"/>
      <c r="P29" s="1014"/>
      <c r="Q29" s="228"/>
      <c r="R29" s="229"/>
      <c r="S29" s="229"/>
      <c r="T29" s="1011"/>
    </row>
    <row r="30" spans="1:20" x14ac:dyDescent="0.2">
      <c r="A30" s="1009"/>
      <c r="C30" s="1699" t="s">
        <v>1110</v>
      </c>
      <c r="D30" s="1022" t="s">
        <v>218</v>
      </c>
      <c r="E30" s="2888" t="str">
        <f>IF('F-LSCD-012'!D30="-","Inicio: "&amp;FIXED('F-LSCD-012'!D28,1)&amp;" °C ; "&amp;"Final: "&amp;FIXED('F-LSCD-012'!D29,1)&amp;" °C","Inicio: "&amp;FIXED('F-LSCD-012'!D28,1)&amp;" °C ; "&amp;"Final: "&amp;FIXED('F-LSCD-012'!D31,1)&amp;" °C")</f>
        <v>Inicio: 20.2 °C ; Final: 20.3 °C</v>
      </c>
      <c r="F30" s="2888"/>
      <c r="G30" s="2888"/>
      <c r="H30" s="2888"/>
      <c r="I30" s="2888"/>
      <c r="J30" s="2888"/>
      <c r="K30" s="2888"/>
      <c r="L30" s="2888"/>
      <c r="M30" s="2888"/>
      <c r="N30" s="2888"/>
      <c r="O30" s="1689"/>
      <c r="P30" s="1014"/>
      <c r="Q30" s="2906" t="s">
        <v>1115</v>
      </c>
      <c r="R30" s="2907"/>
      <c r="S30" s="2907"/>
      <c r="T30" s="1011"/>
    </row>
    <row r="31" spans="1:20" x14ac:dyDescent="0.2">
      <c r="A31" s="1009"/>
      <c r="C31" s="1699" t="s">
        <v>1108</v>
      </c>
      <c r="D31" s="1022" t="s">
        <v>218</v>
      </c>
      <c r="E31" s="2888" t="str">
        <f>IF('F-LSCD-012'!H30="-","Inicio: "&amp;FIXED('F-LSCD-012'!H28,1)&amp;" hPa ; "&amp;"Final: "&amp;FIXED('F-LSCD-012'!H29,1)&amp;" hPa","Inicio: "&amp;FIXED('F-LSCD-012'!H28,1)&amp;" hPa ; "&amp;"Final: "&amp;FIXED('F-LSCD-012'!H31,1)&amp;" hPa")</f>
        <v>Inicio: 1,010.0 hPa ; Final: 1,010.2 hPa</v>
      </c>
      <c r="F31" s="2888"/>
      <c r="G31" s="2888"/>
      <c r="H31" s="2888"/>
      <c r="I31" s="2888"/>
      <c r="J31" s="2888"/>
      <c r="K31" s="2888"/>
      <c r="L31" s="2888"/>
      <c r="M31" s="2888"/>
      <c r="N31" s="2888"/>
      <c r="O31" s="1689"/>
      <c r="P31" s="1014"/>
      <c r="Q31" s="2906"/>
      <c r="R31" s="2907"/>
      <c r="S31" s="2907"/>
      <c r="T31" s="1011"/>
    </row>
    <row r="32" spans="1:20" x14ac:dyDescent="0.2">
      <c r="A32" s="1009"/>
      <c r="C32" s="1699" t="s">
        <v>1109</v>
      </c>
      <c r="D32" s="1022" t="s">
        <v>218</v>
      </c>
      <c r="E32" s="2888" t="str">
        <f>IF('F-LSCD-012'!F30="-","Inicio: "&amp;'F-LSCD-012'!F28&amp;" % ; "&amp;"Final: "&amp;'F-LSCD-012'!F29&amp;" %","Inicio: "&amp;'F-LSCD-012'!F28&amp;" % ; "&amp;"Final: "&amp;'F-LSCD-012'!F31&amp;" %")</f>
        <v>Inicio: 52 % ; Final: 53 %</v>
      </c>
      <c r="F32" s="2888"/>
      <c r="G32" s="2888"/>
      <c r="H32" s="2888"/>
      <c r="I32" s="2888"/>
      <c r="J32" s="2888"/>
      <c r="K32" s="2888"/>
      <c r="L32" s="2888"/>
      <c r="M32" s="2888"/>
      <c r="N32" s="2888"/>
      <c r="O32" s="1689"/>
      <c r="P32" s="1014"/>
      <c r="Q32" s="2906"/>
      <c r="R32" s="2907"/>
      <c r="S32" s="2907"/>
      <c r="T32" s="1011"/>
    </row>
    <row r="33" spans="1:20" ht="25.5" customHeight="1" x14ac:dyDescent="0.2">
      <c r="A33" s="1009"/>
      <c r="C33" s="1315" t="s">
        <v>277</v>
      </c>
      <c r="D33" s="1280" t="s">
        <v>218</v>
      </c>
      <c r="E33" s="2912" t="str">
        <f>'F-LSCD-012'!C22</f>
        <v xml:space="preserve">Eje longitudinal del detector paralelo al eje central del haz de radiación
</v>
      </c>
      <c r="F33" s="2912"/>
      <c r="G33" s="2912"/>
      <c r="H33" s="2912"/>
      <c r="I33" s="2912"/>
      <c r="J33" s="2912"/>
      <c r="K33" s="2912"/>
      <c r="L33" s="2912"/>
      <c r="M33" s="2912"/>
      <c r="N33" s="2912"/>
      <c r="O33" s="2912"/>
      <c r="P33" s="1014"/>
      <c r="Q33" s="2906"/>
      <c r="R33" s="2907"/>
      <c r="S33" s="2907"/>
      <c r="T33" s="1011"/>
    </row>
    <row r="34" spans="1:20" ht="12.75" customHeight="1" x14ac:dyDescent="0.2">
      <c r="A34" s="1009"/>
      <c r="C34" s="1315" t="s">
        <v>231</v>
      </c>
      <c r="D34" s="1280" t="s">
        <v>218</v>
      </c>
      <c r="E34" s="2913" t="str">
        <f>'F-LSCD-012'!C23</f>
        <v>Centro geométrico del volumen sensible del detector</v>
      </c>
      <c r="F34" s="2913"/>
      <c r="G34" s="2913"/>
      <c r="H34" s="2913"/>
      <c r="I34" s="2913"/>
      <c r="J34" s="2913"/>
      <c r="K34" s="2913"/>
      <c r="L34" s="2913"/>
      <c r="M34" s="2913"/>
      <c r="N34" s="2913"/>
      <c r="O34" s="2913"/>
      <c r="P34" s="1014"/>
      <c r="Q34" s="2906"/>
      <c r="R34" s="2907"/>
      <c r="S34" s="2907"/>
      <c r="T34" s="1011"/>
    </row>
    <row r="35" spans="1:20" ht="6" customHeight="1" x14ac:dyDescent="0.2">
      <c r="A35" s="1009"/>
      <c r="C35" s="1315"/>
      <c r="D35" s="1280"/>
      <c r="E35" s="1672"/>
      <c r="F35" s="1672"/>
      <c r="G35" s="1672"/>
      <c r="H35" s="1672"/>
      <c r="I35" s="1672"/>
      <c r="J35" s="1672"/>
      <c r="K35" s="1672"/>
      <c r="L35" s="1672"/>
      <c r="M35" s="1672"/>
      <c r="N35" s="1672"/>
      <c r="O35" s="1672"/>
      <c r="P35" s="1014"/>
      <c r="Q35" s="2906"/>
      <c r="R35" s="2907"/>
      <c r="S35" s="2907"/>
      <c r="T35" s="1011"/>
    </row>
    <row r="36" spans="1:20" ht="12.75" customHeight="1" x14ac:dyDescent="0.2">
      <c r="A36" s="1009"/>
      <c r="B36" s="1693" t="s">
        <v>1128</v>
      </c>
      <c r="C36" s="1264"/>
      <c r="D36" s="1022" t="s">
        <v>218</v>
      </c>
      <c r="E36" s="2916">
        <f>'F-LSCD-012'!C18</f>
        <v>44336</v>
      </c>
      <c r="F36" s="2916"/>
      <c r="G36" s="2916"/>
      <c r="H36" s="2916"/>
      <c r="I36" s="2916"/>
      <c r="J36" s="2916"/>
      <c r="K36" s="2916"/>
      <c r="L36" s="2916"/>
      <c r="M36" s="2916"/>
      <c r="N36" s="2916"/>
      <c r="O36" s="1275"/>
      <c r="P36" s="1014"/>
      <c r="Q36" s="2906"/>
      <c r="R36" s="2907"/>
      <c r="S36" s="2907"/>
      <c r="T36" s="1011"/>
    </row>
    <row r="37" spans="1:20" ht="4.5" customHeight="1" x14ac:dyDescent="0.2">
      <c r="A37" s="1009"/>
      <c r="B37" s="1695"/>
      <c r="C37" s="1694"/>
      <c r="D37" s="1022"/>
      <c r="E37" s="1696"/>
      <c r="F37" s="1696"/>
      <c r="G37" s="1696"/>
      <c r="H37" s="1276"/>
      <c r="I37" s="1276"/>
      <c r="J37" s="1276"/>
      <c r="K37" s="1276"/>
      <c r="L37" s="1276"/>
      <c r="M37" s="1277"/>
      <c r="N37" s="1275"/>
      <c r="O37" s="1275"/>
      <c r="P37" s="1014"/>
      <c r="Q37" s="2906"/>
      <c r="R37" s="2907"/>
      <c r="S37" s="2907"/>
      <c r="T37" s="1011"/>
    </row>
    <row r="38" spans="1:20" ht="15" customHeight="1" x14ac:dyDescent="0.2">
      <c r="A38" s="1009"/>
      <c r="B38" s="1693" t="s">
        <v>1129</v>
      </c>
      <c r="C38" s="1697"/>
      <c r="D38" s="1022" t="s">
        <v>218</v>
      </c>
      <c r="E38" s="2911">
        <f>'F-LSCD-012'!C26</f>
        <v>44336</v>
      </c>
      <c r="F38" s="2911"/>
      <c r="G38" s="2911"/>
      <c r="H38" s="1278"/>
      <c r="I38" s="1278"/>
      <c r="J38" s="1278"/>
      <c r="K38" s="1278"/>
      <c r="L38" s="1278"/>
      <c r="M38" s="1279"/>
      <c r="N38" s="1279"/>
      <c r="O38" s="1279"/>
      <c r="P38" s="1027"/>
      <c r="Q38" s="2906"/>
      <c r="R38" s="2907"/>
      <c r="S38" s="2907"/>
      <c r="T38" s="1011"/>
    </row>
    <row r="39" spans="1:20" ht="6.75" customHeight="1" x14ac:dyDescent="0.2">
      <c r="A39" s="1009"/>
      <c r="C39" s="1315"/>
      <c r="D39" s="1280"/>
      <c r="E39" s="1672"/>
      <c r="F39" s="1672"/>
      <c r="G39" s="1672"/>
      <c r="H39" s="1672"/>
      <c r="I39" s="1672"/>
      <c r="J39" s="1672"/>
      <c r="K39" s="1672"/>
      <c r="L39" s="1672"/>
      <c r="M39" s="1672"/>
      <c r="N39" s="1672"/>
      <c r="O39" s="1672"/>
      <c r="P39" s="1014"/>
      <c r="Q39" s="1698"/>
      <c r="R39" s="1698"/>
      <c r="S39" s="1698"/>
      <c r="T39" s="1011"/>
    </row>
    <row r="40" spans="1:20" ht="15" customHeight="1" x14ac:dyDescent="0.2">
      <c r="A40" s="1009"/>
      <c r="B40" s="226" t="s">
        <v>1130</v>
      </c>
      <c r="C40" s="1010"/>
      <c r="D40" s="1029"/>
      <c r="E40" s="1029"/>
      <c r="F40" s="1010"/>
      <c r="G40" s="1010"/>
      <c r="H40" s="1010"/>
      <c r="I40" s="1010"/>
      <c r="J40" s="1010"/>
      <c r="K40" s="1010"/>
      <c r="L40" s="1010"/>
      <c r="T40" s="1011"/>
    </row>
    <row r="41" spans="1:20" ht="7.5" customHeight="1" x14ac:dyDescent="0.2">
      <c r="A41" s="1009"/>
      <c r="D41" s="1028"/>
      <c r="E41" s="1030"/>
      <c r="T41" s="1011"/>
    </row>
    <row r="42" spans="1:20" ht="15" customHeight="1" x14ac:dyDescent="0.2">
      <c r="A42" s="1009"/>
      <c r="C42" s="2889" t="str">
        <f>IF('F-LSCD-012'!I24="Tasa de dosis equivalente ambiental, H*(10)","VCV de la tasa de dosis equivalente ambiental H*(10)",IF('F-LSCD-012'!I24="Dosis equivalente personal, Hp(10)","VCV de la dosis equivalente personal Hp(10)",IF('F-LSCD-012'!I24="Dosis equivalente personal, Hp(0,07)","VCV de la dosis equivalente personal Hp(0,07) (mSv)",IF('F-LSCD-012'!I24="Dosis absorbida, D(10)","VCV de la dosis absorbida D(10)"))))</f>
        <v>VCV de la dosis equivalente personal Hp(10)</v>
      </c>
      <c r="D42" s="2890"/>
      <c r="E42" s="2893" t="s">
        <v>799</v>
      </c>
      <c r="F42" s="2894"/>
      <c r="G42" s="2894"/>
      <c r="H42" s="2895"/>
      <c r="I42" s="2866" t="s">
        <v>800</v>
      </c>
      <c r="J42" s="2867"/>
      <c r="K42" s="2867"/>
      <c r="L42" s="2868"/>
      <c r="M42" s="2853" t="s">
        <v>1111</v>
      </c>
      <c r="N42" s="2868"/>
      <c r="O42" s="2914" t="s">
        <v>1135</v>
      </c>
      <c r="P42" s="2915"/>
      <c r="Q42" s="2915"/>
      <c r="T42" s="1011"/>
    </row>
    <row r="43" spans="1:20" ht="22.5" customHeight="1" x14ac:dyDescent="0.2">
      <c r="A43" s="1009"/>
      <c r="C43" s="2891"/>
      <c r="D43" s="2892"/>
      <c r="E43" s="2853" t="s">
        <v>798</v>
      </c>
      <c r="F43" s="2854"/>
      <c r="G43" s="2853" t="s">
        <v>1114</v>
      </c>
      <c r="H43" s="2857"/>
      <c r="I43" s="2853" t="s">
        <v>798</v>
      </c>
      <c r="J43" s="2854"/>
      <c r="K43" s="2853" t="s">
        <v>1114</v>
      </c>
      <c r="L43" s="2857"/>
      <c r="M43" s="2896"/>
      <c r="N43" s="2897"/>
      <c r="O43" s="2915"/>
      <c r="P43" s="2915"/>
      <c r="Q43" s="2915"/>
      <c r="R43" s="1480"/>
      <c r="S43" s="1031"/>
      <c r="T43" s="1011"/>
    </row>
    <row r="44" spans="1:20" x14ac:dyDescent="0.2">
      <c r="A44" s="1009"/>
      <c r="C44" s="2891"/>
      <c r="D44" s="2892"/>
      <c r="E44" s="2855"/>
      <c r="F44" s="2856"/>
      <c r="G44" s="2855"/>
      <c r="H44" s="2858"/>
      <c r="I44" s="2855"/>
      <c r="J44" s="2856"/>
      <c r="K44" s="2855"/>
      <c r="L44" s="2858"/>
      <c r="M44" s="2898"/>
      <c r="N44" s="2897"/>
      <c r="O44" s="2915"/>
      <c r="P44" s="2915"/>
      <c r="Q44" s="2915"/>
      <c r="R44" s="1032"/>
      <c r="S44" s="1032"/>
      <c r="T44" s="1011"/>
    </row>
    <row r="45" spans="1:20" x14ac:dyDescent="0.2">
      <c r="A45" s="1009"/>
      <c r="C45" s="2851" t="str">
        <f>IF('F-LSCD-012'!A34="-","-",FIXED('F-LSCD-012'!A34,'F-LSCD-012'!W34+3)&amp;" "&amp;'F-LSCD-012'!A35)</f>
        <v>25,000.000 µSv</v>
      </c>
      <c r="D45" s="2851"/>
      <c r="E45" s="2849" t="str">
        <f>IF('F-LSCD-012'!A34="-","-",FIXED('F-LSCD-012'!O34,'F-LSCD-012'!W34)&amp;" "&amp;'F-LSCD-012'!N34)</f>
        <v>2,474 mrem</v>
      </c>
      <c r="F45" s="2849"/>
      <c r="G45" s="2849" t="str">
        <f>CHOOSE('F-LSCD-012'!V34,FIXED('F-LSCD-012'!O34,'F-LSCD-012'!W34),FIXED('F-LSCD-012'!O34*1000,'F-LSCD-012'!W34),FIXED('F-LSCD-012'!O34*1000000,'F-LSCD-012'!W34),FIXED('F-LSCD-012'!O34*'Datos varios'!$E$119,'F-LSCD-012'!W34),FIXED('F-LSCD-012'!O34*'Datos varios'!$E$120,'F-LSCD-012'!W34-1),FIXED('F-LSCD-012'!O34*'Datos varios'!$E$121,'F-LSCD-012'!W34),FIXED('F-LSCD-012'!O34*'Datos varios'!$E$122,'F-LSCD-012'!W34),FIXED('F-LSCD-012'!O34*'Datos varios'!$E$123,'F-LSCD-012'!W34),"-")&amp;" "&amp;'F-LSCD-012'!A35</f>
        <v>24,740 µSv</v>
      </c>
      <c r="H45" s="2849"/>
      <c r="I45" s="2849" t="str">
        <f>IF('F-LSCD-012'!O35="-","-",FIXED('F-LSCD-012'!O35,'F-LSCD-012'!W35)&amp;" "&amp;'F-LSCD-012'!N35)</f>
        <v>-</v>
      </c>
      <c r="J45" s="2849"/>
      <c r="K45" s="2849" t="str">
        <f>IF('F-LSCD-012'!O35="-","-",FIXED('F-LSCD-012'!O35,'F-LSCD-012'!W35)&amp;" "&amp;'F-LSCD-012'!N35)</f>
        <v>-</v>
      </c>
      <c r="L45" s="2849"/>
      <c r="M45" s="2850">
        <f>IF('F-LSCD-012'!R35="-",'F-LSCD-012'!R34,'F-LSCD-012'!R35)</f>
        <v>1.0105092966855296</v>
      </c>
      <c r="N45" s="2850"/>
      <c r="O45" s="2847">
        <f>IF('F-LSCD-012'!O35="-",'F-LSCD-012'!T34,'F-LSCD-012'!T35)</f>
        <v>4.4999999999999998E-2</v>
      </c>
      <c r="P45" s="2847"/>
      <c r="Q45" s="2847"/>
      <c r="R45" s="1874" t="str">
        <f>IF('F-LSCD-012'!N35="-",'F-LSCD-012'!N34,'F-LSCD-012'!N35)</f>
        <v>mrem</v>
      </c>
      <c r="S45" s="1032"/>
      <c r="T45" s="1011"/>
    </row>
    <row r="46" spans="1:20" hidden="1" x14ac:dyDescent="0.2">
      <c r="A46" s="1009"/>
      <c r="C46" s="2851" t="str">
        <f>IF('F-LSCD-012'!A36="-","-",FIXED('F-LSCD-012'!A36,'F-LSCD-012'!W36+1)&amp;" "&amp;'F-LSCD-012'!A37)</f>
        <v>-</v>
      </c>
      <c r="D46" s="2851"/>
      <c r="E46" s="2849" t="str">
        <f>IF('F-LSCD-012'!A36="-","-",FIXED('F-LSCD-012'!O36,'F-LSCD-012'!W36)&amp;" "&amp;'F-LSCD-012'!N36)</f>
        <v>-</v>
      </c>
      <c r="F46" s="2849"/>
      <c r="G46" s="2849" t="str">
        <f>CHOOSE('F-LSCD-012'!V36,FIXED('F-LSCD-012'!O36,'F-LSCD-012'!W36),FIXED('F-LSCD-012'!O36*1000,'F-LSCD-012'!W36),FIXED('F-LSCD-012'!O36*1000000,'F-LSCD-012'!W36),FIXED('F-LSCD-012'!O36*'Datos varios'!$E$119,'F-LSCD-012'!W36),FIXED('F-LSCD-012'!O36*'Datos varios'!$E$120,'F-LSCD-012'!W36-1),FIXED('F-LSCD-012'!O36*'Datos varios'!$E$121,'F-LSCD-012'!W36),FIXED('F-LSCD-012'!O36*'Datos varios'!$E$122,'F-LSCD-012'!W36),FIXED('F-LSCD-012'!O36*'Datos varios'!$E$123,'F-LSCD-012'!W36),"-")&amp;" "&amp;'F-LSCD-012'!A37</f>
        <v>- -</v>
      </c>
      <c r="H46" s="2849"/>
      <c r="I46" s="2849" t="str">
        <f>IF('F-LSCD-012'!O37="-","-",FIXED('F-LSCD-012'!O37,'F-LSCD-012'!W37)&amp;" "&amp;'F-LSCD-012'!N37)</f>
        <v>-</v>
      </c>
      <c r="J46" s="2849"/>
      <c r="K46" s="2849" t="str">
        <f>IF('F-LSCD-012'!O37="-","-",FIXED('F-LSCD-012'!O37,'F-LSCD-012'!W37)&amp;" "&amp;'F-LSCD-012'!N37)</f>
        <v>-</v>
      </c>
      <c r="L46" s="2849"/>
      <c r="M46" s="2850" t="str">
        <f>IF('F-LSCD-012'!R37="-",'F-LSCD-012'!R36,'F-LSCD-012'!R37)</f>
        <v>-</v>
      </c>
      <c r="N46" s="2850"/>
      <c r="O46" s="2847" t="str">
        <f>IF('F-LSCD-012'!O37="-",'F-LSCD-012'!T36,'F-LSCD-012'!T37)</f>
        <v>-</v>
      </c>
      <c r="P46" s="2847"/>
      <c r="Q46" s="2847"/>
      <c r="R46" s="1871" t="str">
        <f>IF('F-LSCD-012'!N37="-",'F-LSCD-012'!N36,'F-LSCD-012'!N37)</f>
        <v>-</v>
      </c>
      <c r="S46" s="1032"/>
      <c r="T46" s="1011"/>
    </row>
    <row r="47" spans="1:20" hidden="1" x14ac:dyDescent="0.2">
      <c r="A47" s="1009"/>
      <c r="C47" s="2851" t="str">
        <f>IF('F-LSCD-012'!A38="-","-",FIXED('F-LSCD-012'!A38,'F-LSCD-012'!W38+1)&amp;" "&amp;'F-LSCD-012'!A39)</f>
        <v>-</v>
      </c>
      <c r="D47" s="2851"/>
      <c r="E47" s="2849" t="str">
        <f>IF('F-LSCD-012'!A38="-","-",FIXED('F-LSCD-012'!O38,'F-LSCD-012'!W38)&amp;" "&amp;'F-LSCD-012'!N38)</f>
        <v>-</v>
      </c>
      <c r="F47" s="2849"/>
      <c r="G47" s="2849" t="str">
        <f>CHOOSE('F-LSCD-012'!V38,FIXED('F-LSCD-012'!O38,'F-LSCD-012'!W38),FIXED('F-LSCD-012'!O38*1000,'F-LSCD-012'!W38),FIXED('F-LSCD-012'!O38*1000000,'F-LSCD-012'!W38-1),FIXED('F-LSCD-012'!O38*'Datos varios'!$E$119,'F-LSCD-012'!W38),FIXED('F-LSCD-012'!O38*'Datos varios'!$E$120,'F-LSCD-012'!W38-1),FIXED('F-LSCD-012'!O38*'Datos varios'!$E$121,'F-LSCD-012'!W38),FIXED('F-LSCD-012'!O38*'Datos varios'!$E$122,'F-LSCD-012'!W38),FIXED('F-LSCD-012'!O38*'Datos varios'!$E$123,'F-LSCD-012'!W38),"-")&amp;" "&amp;'F-LSCD-012'!A39</f>
        <v>- -</v>
      </c>
      <c r="H47" s="2849"/>
      <c r="I47" s="2849" t="str">
        <f>IF('F-LSCD-012'!O39="-","-",FIXED('F-LSCD-012'!O39,'F-LSCD-012'!W39)&amp;" "&amp;'F-LSCD-012'!N39)</f>
        <v>-</v>
      </c>
      <c r="J47" s="2849"/>
      <c r="K47" s="2849" t="str">
        <f>IF('F-LSCD-012'!O39="-","-",FIXED('F-LSCD-012'!O39,'F-LSCD-012'!W39)&amp;" "&amp;'F-LSCD-012'!N39)</f>
        <v>-</v>
      </c>
      <c r="L47" s="2849"/>
      <c r="M47" s="2850" t="str">
        <f>IF('F-LSCD-012'!R39="-",'F-LSCD-012'!R38,'F-LSCD-012'!R39)</f>
        <v>-</v>
      </c>
      <c r="N47" s="2850"/>
      <c r="O47" s="2847" t="str">
        <f>IF('F-LSCD-012'!O39="-",'F-LSCD-012'!T38,'F-LSCD-012'!T39)</f>
        <v>-</v>
      </c>
      <c r="P47" s="2847"/>
      <c r="Q47" s="2847"/>
      <c r="R47" s="1874" t="str">
        <f>IF('F-LSCD-012'!N39="-",'F-LSCD-012'!N38,'F-LSCD-012'!N39)</f>
        <v>-</v>
      </c>
      <c r="S47" s="1032"/>
      <c r="T47" s="1011"/>
    </row>
    <row r="48" spans="1:20" hidden="1" x14ac:dyDescent="0.2">
      <c r="A48" s="1009"/>
      <c r="C48" s="2851" t="str">
        <f>IF('F-LSCD-012'!A40="-","-",FIXED('F-LSCD-012'!A40,'F-LSCD-012'!W40+1)&amp;" "&amp;'F-LSCD-012'!A41)</f>
        <v>-</v>
      </c>
      <c r="D48" s="2851"/>
      <c r="E48" s="2849" t="str">
        <f>IF('F-LSCD-012'!A40="-","-",FIXED('F-LSCD-012'!O40,'F-LSCD-012'!W40)&amp;" "&amp;'F-LSCD-012'!N40)</f>
        <v>-</v>
      </c>
      <c r="F48" s="2849"/>
      <c r="G48" s="2849" t="str">
        <f>CHOOSE('F-LSCD-012'!V40,FIXED('F-LSCD-012'!O40,'F-LSCD-012'!W40),FIXED('F-LSCD-012'!O40*1000,'F-LSCD-012'!W40),FIXED('F-LSCD-012'!O40*1000000,'F-LSCD-012'!W40),FIXED('F-LSCD-012'!O40*'Datos varios'!$E$119,'F-LSCD-012'!W40-1),FIXED('F-LSCD-012'!O40*'Datos varios'!$E$120,'F-LSCD-012'!W40-1),FIXED('F-LSCD-012'!O40*'Datos varios'!$E$121,'F-LSCD-012'!W40),FIXED('F-LSCD-012'!O40*'Datos varios'!$E$122,'F-LSCD-012'!W40),FIXED('F-LSCD-012'!O40*'Datos varios'!$E$123,'F-LSCD-012'!W40),"-")&amp;" "&amp;'F-LSCD-012'!A41</f>
        <v>- -</v>
      </c>
      <c r="H48" s="2849"/>
      <c r="I48" s="2849" t="str">
        <f>IF('F-LSCD-012'!O41="-","-",FIXED('F-LSCD-012'!O41,'F-LSCD-012'!W41)&amp;" "&amp;'F-LSCD-012'!N41)</f>
        <v>-</v>
      </c>
      <c r="J48" s="2849"/>
      <c r="K48" s="2852" t="str">
        <f>IF('F-LSCD-012'!O41="-","-",FIXED('F-LSCD-012'!O41,'F-LSCD-012'!W41)&amp;" "&amp;'F-LSCD-012'!N41)</f>
        <v>-</v>
      </c>
      <c r="L48" s="2849"/>
      <c r="M48" s="2850" t="str">
        <f>IF('F-LSCD-012'!R41="-",'F-LSCD-012'!R40,'F-LSCD-012'!R41)</f>
        <v>-</v>
      </c>
      <c r="N48" s="2850"/>
      <c r="O48" s="2847" t="str">
        <f>IF('F-LSCD-012'!O41="-",'F-LSCD-012'!T40,'F-LSCD-012'!T41)</f>
        <v>-</v>
      </c>
      <c r="P48" s="2847"/>
      <c r="Q48" s="2847"/>
      <c r="R48" s="1874" t="str">
        <f>IF('F-LSCD-012'!N41="-",'F-LSCD-012'!N40,'F-LSCD-012'!N41)</f>
        <v>-</v>
      </c>
      <c r="S48" s="1032"/>
      <c r="T48" s="1011"/>
    </row>
    <row r="49" spans="1:20" hidden="1" x14ac:dyDescent="0.2">
      <c r="A49" s="1009"/>
      <c r="C49" s="2851" t="str">
        <f>IF('F-LSCD-012'!A42="-","-",FIXED('F-LSCD-012'!A42,'F-LSCD-012'!W42+1)&amp;" "&amp;'F-LSCD-012'!A43)</f>
        <v>-</v>
      </c>
      <c r="D49" s="2851"/>
      <c r="E49" s="2849" t="str">
        <f>IF('F-LSCD-012'!A42="-","-",FIXED('F-LSCD-012'!O42,'F-LSCD-012'!W42)&amp;" "&amp;'F-LSCD-012'!N42)</f>
        <v>-</v>
      </c>
      <c r="F49" s="2849"/>
      <c r="G49" s="2849" t="str">
        <f>CHOOSE('F-LSCD-012'!V42,FIXED('F-LSCD-012'!O42,'F-LSCD-012'!W42),FIXED('F-LSCD-012'!O42*1000,'F-LSCD-012'!W42),FIXED('F-LSCD-012'!O42*1000000,'F-LSCD-012'!W42),FIXED('F-LSCD-012'!O42*'Datos varios'!$E$119,'F-LSCD-012'!W42),FIXED('F-LSCD-012'!O42*'Datos varios'!$E$120,'F-LSCD-012'!W42-1),FIXED('F-LSCD-012'!O42*'Datos varios'!$E$121,'F-LSCD-012'!W42-1),FIXED('F-LSCD-012'!O42*'Datos varios'!$E$122,'F-LSCD-012'!W42),FIXED('F-LSCD-012'!O42*'Datos varios'!$E$123,'F-LSCD-012'!W42),"-")&amp;" "&amp;'F-LSCD-012'!A43</f>
        <v>- -</v>
      </c>
      <c r="H49" s="2849"/>
      <c r="I49" s="2849" t="str">
        <f>IF('F-LSCD-012'!O43="-","-",FIXED('F-LSCD-012'!O43,'F-LSCD-012'!W43)&amp;" "&amp;'F-LSCD-012'!N43)</f>
        <v>-</v>
      </c>
      <c r="J49" s="2849"/>
      <c r="K49" s="2852" t="str">
        <f>IF('F-LSCD-012'!O43="-","-",FIXED('F-LSCD-012'!O43,'F-LSCD-012'!W43)&amp;" "&amp;'F-LSCD-012'!N43)</f>
        <v>-</v>
      </c>
      <c r="L49" s="2849"/>
      <c r="M49" s="2850" t="str">
        <f>IF('F-LSCD-012'!R43="-",'F-LSCD-012'!R42,'F-LSCD-012'!R43)</f>
        <v>-</v>
      </c>
      <c r="N49" s="2850"/>
      <c r="O49" s="2847" t="str">
        <f>IF('F-LSCD-012'!O43="-",'F-LSCD-012'!T42,'F-LSCD-012'!T43)</f>
        <v>-</v>
      </c>
      <c r="P49" s="2847"/>
      <c r="Q49" s="2847"/>
      <c r="R49" s="1874" t="str">
        <f>IF('F-LSCD-012'!N43="-",'F-LSCD-012'!N42,'F-LSCD-012'!N43)</f>
        <v>-</v>
      </c>
      <c r="S49" s="1032"/>
      <c r="T49" s="1011"/>
    </row>
    <row r="50" spans="1:20" hidden="1" x14ac:dyDescent="0.2">
      <c r="A50" s="1009"/>
      <c r="C50" s="2851" t="str">
        <f>IF('F-LSCD-012'!A44="-","-",FIXED('F-LSCD-012'!A44,'F-LSCD-012'!W44+1)&amp;" "&amp;'F-LSCD-012'!A45)</f>
        <v>-</v>
      </c>
      <c r="D50" s="2851"/>
      <c r="E50" s="2849" t="str">
        <f>IF('F-LSCD-012'!A44="-","-",FIXED('F-LSCD-012'!O44,'F-LSCD-012'!W44)&amp;" "&amp;'F-LSCD-012'!N44)</f>
        <v>-</v>
      </c>
      <c r="F50" s="2849"/>
      <c r="G50" s="2849" t="str">
        <f>CHOOSE('F-LSCD-012'!V44,FIXED('F-LSCD-012'!O44,'F-LSCD-012'!W44),FIXED('F-LSCD-012'!O44*1000,'F-LSCD-012'!W44),FIXED('F-LSCD-012'!O44*1000000,'F-LSCD-012'!W44),FIXED('F-LSCD-012'!O44*'Datos varios'!$E$119,'F-LSCD-012'!W44),FIXED('F-LSCD-012'!O44*'Datos varios'!$E$120,'F-LSCD-012'!W44-1),FIXED('F-LSCD-012'!O44*'Datos varios'!$E$121,'F-LSCD-012'!W44),FIXED('F-LSCD-012'!O44*'Datos varios'!$E$122,'F-LSCD-012'!W44-1),FIXED('F-LSCD-012'!O44*'Datos varios'!$E$123,'F-LSCD-012'!W44),"-")&amp;" "&amp;'F-LSCD-012'!A45</f>
        <v>- -</v>
      </c>
      <c r="H50" s="2849"/>
      <c r="I50" s="2849" t="str">
        <f>IF('F-LSCD-012'!O45="-","-",FIXED('F-LSCD-012'!O45,'F-LSCD-012'!W45)&amp;" "&amp;'F-LSCD-012'!N45)</f>
        <v>-</v>
      </c>
      <c r="J50" s="2849"/>
      <c r="K50" s="2852" t="str">
        <f>IF('F-LSCD-012'!O45="-","-",FIXED('F-LSCD-012'!O45,'F-LSCD-012'!W45)&amp;" "&amp;'F-LSCD-012'!N45)</f>
        <v>-</v>
      </c>
      <c r="L50" s="2849"/>
      <c r="M50" s="2850" t="str">
        <f>IF('F-LSCD-012'!R45="-",'F-LSCD-012'!R44,'F-LSCD-012'!R45)</f>
        <v>-</v>
      </c>
      <c r="N50" s="2850"/>
      <c r="O50" s="2847" t="str">
        <f>IF('F-LSCD-012'!O45="-",'F-LSCD-012'!T44,'F-LSCD-012'!T45)</f>
        <v>-</v>
      </c>
      <c r="P50" s="2847"/>
      <c r="Q50" s="2847"/>
      <c r="R50" s="1875" t="str">
        <f>IF('F-LSCD-012'!N45="-",'F-LSCD-012'!N44,'F-LSCD-012'!N45)</f>
        <v>-</v>
      </c>
      <c r="S50" s="1032"/>
      <c r="T50" s="1011"/>
    </row>
    <row r="51" spans="1:20" hidden="1" x14ac:dyDescent="0.2">
      <c r="A51" s="1009"/>
      <c r="C51" s="2851" t="str">
        <f>IF('F-LSCD-012'!A46="-","-",FIXED('F-LSCD-012'!A46,'F-LSCD-012'!W46+1)&amp;" "&amp;'F-LSCD-012'!A47)</f>
        <v>-</v>
      </c>
      <c r="D51" s="2851"/>
      <c r="E51" s="2849" t="str">
        <f>IF('F-LSCD-012'!A46="-","-",FIXED('F-LSCD-012'!O46,'F-LSCD-012'!W46)&amp;" "&amp;'F-LSCD-012'!N46)</f>
        <v>-</v>
      </c>
      <c r="F51" s="2849"/>
      <c r="G51" s="2849" t="str">
        <f>CHOOSE('F-LSCD-012'!V46,FIXED('F-LSCD-012'!O46,'F-LSCD-012'!W46),FIXED('F-LSCD-012'!O46*1000,'F-LSCD-012'!W46),FIXED('F-LSCD-012'!O46*1000000,'F-LSCD-012'!W46),FIXED('F-LSCD-012'!O46*'Datos varios'!$E$119,'F-LSCD-012'!W46),FIXED('F-LSCD-012'!O46*'Datos varios'!$E$120,'F-LSCD-012'!W46-1),FIXED('F-LSCD-012'!O46*'Datos varios'!$E$121,'F-LSCD-012'!W46),FIXED('F-LSCD-012'!O46*'Datos varios'!$E$122,'F-LSCD-012'!W46),FIXED('F-LSCD-012'!O46*'Datos varios'!$E$123,'F-LSCD-012'!W46-1),"-")&amp;" "&amp;'F-LSCD-012'!A47</f>
        <v>- -</v>
      </c>
      <c r="H51" s="2849"/>
      <c r="I51" s="2849" t="str">
        <f>IF('F-LSCD-012'!O47="-","-",FIXED('F-LSCD-012'!O47,'F-LSCD-012'!W47)&amp;" "&amp;'F-LSCD-012'!N47)</f>
        <v>-</v>
      </c>
      <c r="J51" s="2849"/>
      <c r="K51" s="2849" t="str">
        <f>IF('F-LSCD-012'!O47="-","-",FIXED('F-LSCD-012'!O47,'F-LSCD-012'!W47)&amp;" "&amp;'F-LSCD-012'!N47)</f>
        <v>-</v>
      </c>
      <c r="L51" s="2849"/>
      <c r="M51" s="2850" t="str">
        <f>IF('F-LSCD-012'!R47="-",'F-LSCD-012'!R46,'F-LSCD-012'!R47)</f>
        <v>-</v>
      </c>
      <c r="N51" s="2850"/>
      <c r="O51" s="2848" t="str">
        <f>IF('F-LSCD-012'!O47="-",'F-LSCD-012'!T46,'F-LSCD-012'!T47)</f>
        <v>-</v>
      </c>
      <c r="P51" s="2848"/>
      <c r="Q51" s="2848"/>
      <c r="R51" s="1874" t="str">
        <f>IF('F-LSCD-012'!N47="-",'F-LSCD-012'!N46,'F-LSCD-012'!N47)</f>
        <v>-</v>
      </c>
      <c r="S51" s="1032"/>
      <c r="T51" s="1011"/>
    </row>
    <row r="52" spans="1:20" hidden="1" x14ac:dyDescent="0.2">
      <c r="A52" s="1009"/>
      <c r="C52" s="2851" t="str">
        <f>IF('F-LSCD-012'!A48="-","-",FIXED('F-LSCD-012'!A48,'F-LSCD-012'!W48+1)&amp;" "&amp;'F-LSCD-012'!A49)</f>
        <v>-</v>
      </c>
      <c r="D52" s="2851"/>
      <c r="E52" s="2849" t="str">
        <f>IF('F-LSCD-012'!A48="-","-",FIXED('F-LSCD-012'!O48,'F-LSCD-012'!W48)&amp;" "&amp;'F-LSCD-012'!N48)</f>
        <v>-</v>
      </c>
      <c r="F52" s="2849"/>
      <c r="G52" s="2849" t="str">
        <f>CHOOSE('F-LSCD-012'!V48,FIXED('F-LSCD-012'!O48,'F-LSCD-012'!W48),FIXED('F-LSCD-012'!O48*1000,'F-LSCD-012'!W48),FIXED('F-LSCD-012'!O48*1000000,'F-LSCD-012'!W48),FIXED('F-LSCD-012'!O48*'Datos varios'!$E$119,'F-LSCD-012'!W48),FIXED('F-LSCD-012'!O48*'Datos varios'!$E$120,'F-LSCD-012'!W48-1),FIXED('F-LSCD-012'!O48*'Datos varios'!$E$121,'F-LSCD-012'!W48-1),FIXED('F-LSCD-012'!O48*'Datos varios'!$E$122,'F-LSCD-012'!W48),FIXED('F-LSCD-012'!O48*'Datos varios'!$E$123,'F-LSCD-012'!W48),"-")&amp;" "&amp;'F-LSCD-012'!A49</f>
        <v>- -</v>
      </c>
      <c r="H52" s="2849"/>
      <c r="I52" s="2849" t="str">
        <f>IF('F-LSCD-012'!O49="-","-",FIXED('F-LSCD-012'!O49,'F-LSCD-012'!W49)&amp;" "&amp;'F-LSCD-012'!N49)</f>
        <v>-</v>
      </c>
      <c r="J52" s="2849"/>
      <c r="K52" s="2849" t="str">
        <f>IF('F-LSCD-012'!O49="-","-",FIXED('F-LSCD-012'!O49,'F-LSCD-012'!W49)&amp;" "&amp;'F-LSCD-012'!N49)</f>
        <v>-</v>
      </c>
      <c r="L52" s="2849"/>
      <c r="M52" s="2850" t="str">
        <f>IF('F-LSCD-012'!R49="-",'F-LSCD-012'!R48,'F-LSCD-012'!R49)</f>
        <v>-</v>
      </c>
      <c r="N52" s="2850"/>
      <c r="O52" s="2847" t="str">
        <f>IF('F-LSCD-012'!O49="-",'F-LSCD-012'!T48,'F-LSCD-012'!T49)</f>
        <v>-</v>
      </c>
      <c r="P52" s="2847"/>
      <c r="Q52" s="2847"/>
      <c r="R52" s="1874" t="str">
        <f>IF('F-LSCD-012'!N49="-",'F-LSCD-012'!N48,'F-LSCD-012'!N49)</f>
        <v>-</v>
      </c>
      <c r="S52" s="1032"/>
      <c r="T52" s="1011"/>
    </row>
    <row r="53" spans="1:20" hidden="1" x14ac:dyDescent="0.2">
      <c r="A53" s="1009"/>
      <c r="C53" s="2851" t="str">
        <f>IF('F-LSCD-012'!A50="-","-",FIXED('F-LSCD-012'!A50,'F-LSCD-012'!W50+1)&amp;" "&amp;'F-LSCD-012'!A51)</f>
        <v>-</v>
      </c>
      <c r="D53" s="2851"/>
      <c r="E53" s="2849" t="str">
        <f>IF('F-LSCD-012'!A50="-","-",FIXED('F-LSCD-012'!O50,'F-LSCD-012'!W50)&amp;" "&amp;'F-LSCD-012'!N50)</f>
        <v>-</v>
      </c>
      <c r="F53" s="2849"/>
      <c r="G53" s="2849" t="str">
        <f>CHOOSE('F-LSCD-012'!V50,FIXED('F-LSCD-012'!O50,'F-LSCD-012'!W50),FIXED('F-LSCD-012'!O50*1000,'F-LSCD-012'!W50),FIXED('F-LSCD-012'!O50*1000000,'F-LSCD-012'!W50),FIXED('F-LSCD-012'!O50*'Datos varios'!$E$119,'F-LSCD-012'!W50),FIXED('F-LSCD-012'!O50*'Datos varios'!$E$120,'F-LSCD-012'!W50-1),FIXED('F-LSCD-012'!O50*'Datos varios'!$E$121,'F-LSCD-012'!W50),FIXED('F-LSCD-012'!O50*'Datos varios'!$E$122,'F-LSCD-012'!W50),FIXED('F-LSCD-012'!O50*'Datos varios'!$E$123,'F-LSCD-012'!W50),"-")&amp;" "&amp;'F-LSCD-012'!A51</f>
        <v>- -</v>
      </c>
      <c r="H53" s="2849"/>
      <c r="I53" s="2849" t="str">
        <f>IF('F-LSCD-012'!O51="-","-",FIXED('F-LSCD-012'!O51,'F-LSCD-012'!W51)&amp;" "&amp;'F-LSCD-012'!N51)</f>
        <v>-</v>
      </c>
      <c r="J53" s="2849"/>
      <c r="K53" s="2849" t="str">
        <f>IF('F-LSCD-012'!O51="-","-",FIXED('F-LSCD-012'!O51,'F-LSCD-012'!W51)&amp;" "&amp;'F-LSCD-012'!N51)</f>
        <v>-</v>
      </c>
      <c r="L53" s="2849"/>
      <c r="M53" s="2850" t="str">
        <f>IF('F-LSCD-012'!R51="-",'F-LSCD-012'!R50,'F-LSCD-012'!R51)</f>
        <v>-</v>
      </c>
      <c r="N53" s="2850"/>
      <c r="O53" s="2847" t="str">
        <f>IF('F-LSCD-012'!O51="-",'F-LSCD-012'!T50,'F-LSCD-012'!T51)</f>
        <v>-</v>
      </c>
      <c r="P53" s="2847"/>
      <c r="Q53" s="2847"/>
      <c r="R53" s="1874" t="str">
        <f>IF('F-LSCD-012'!N51="-",'F-LSCD-012'!N50,'F-LSCD-012'!N51)</f>
        <v>-</v>
      </c>
      <c r="S53" s="1032"/>
      <c r="T53" s="1011"/>
    </row>
    <row r="54" spans="1:20" hidden="1" x14ac:dyDescent="0.2">
      <c r="A54" s="1009"/>
      <c r="C54" s="2851" t="str">
        <f>IF('F-LSCD-012'!A52="-","-",FIXED('F-LSCD-012'!A52,'F-LSCD-012'!W52)&amp;" "&amp;'F-LSCD-012'!A53)</f>
        <v>-</v>
      </c>
      <c r="D54" s="2851"/>
      <c r="E54" s="2849" t="str">
        <f>IF('F-LSCD-012'!A52="-","-",FIXED('F-LSCD-012'!O52,'F-LSCD-012'!W52)&amp;" "&amp;'F-LSCD-012'!N52)</f>
        <v>-</v>
      </c>
      <c r="F54" s="2849"/>
      <c r="G54" s="2849" t="str">
        <f>CHOOSE('F-LSCD-012'!V52,FIXED('F-LSCD-012'!O52,'F-LSCD-012'!W52),FIXED('F-LSCD-012'!O52*1000,'F-LSCD-012'!W52),FIXED('F-LSCD-012'!O52*1000000,'F-LSCD-012'!W52),FIXED('F-LSCD-012'!O52*'Datos varios'!$E$119,'F-LSCD-012'!W52-1),FIXED('F-LSCD-012'!O52*'Datos varios'!$E$120,'F-LSCD-012'!W52-1),FIXED('F-LSCD-012'!O52*'Datos varios'!$E$121,'F-LSCD-012'!W52),FIXED('F-LSCD-012'!O52*'Datos varios'!$E$122,'F-LSCD-012'!W52),FIXED('F-LSCD-012'!O52*'Datos varios'!$E$123,'F-LSCD-012'!W52),"-")&amp;" "&amp;'F-LSCD-012'!A53</f>
        <v>- -</v>
      </c>
      <c r="H54" s="2849"/>
      <c r="I54" s="2849" t="str">
        <f>IF('F-LSCD-012'!O53="-","-",FIXED('F-LSCD-012'!O53,'F-LSCD-012'!W53)&amp;" "&amp;'F-LSCD-012'!N53)</f>
        <v>-</v>
      </c>
      <c r="J54" s="2849"/>
      <c r="K54" s="2849" t="str">
        <f>IF('F-LSCD-012'!O53="-","-",FIXED('F-LSCD-012'!O53,'F-LSCD-012'!W53)&amp;" "&amp;'F-LSCD-012'!N53)</f>
        <v>-</v>
      </c>
      <c r="L54" s="2849"/>
      <c r="M54" s="2850" t="str">
        <f>IF('F-LSCD-012'!R53="-",'F-LSCD-012'!R52,'F-LSCD-012'!R53)</f>
        <v>-</v>
      </c>
      <c r="N54" s="2850"/>
      <c r="O54" s="2848" t="str">
        <f>IF('F-LSCD-012'!O53="-",'F-LSCD-012'!T52,'F-LSCD-012'!T53)</f>
        <v>-</v>
      </c>
      <c r="P54" s="2848"/>
      <c r="Q54" s="2848"/>
      <c r="R54" s="1874" t="str">
        <f>IF('F-LSCD-012'!N53="-",'F-LSCD-012'!N52,'F-LSCD-012'!N53)</f>
        <v>-</v>
      </c>
      <c r="S54" s="1032"/>
      <c r="T54" s="1011"/>
    </row>
    <row r="55" spans="1:20" hidden="1" x14ac:dyDescent="0.2">
      <c r="A55" s="1009"/>
      <c r="C55" s="2851" t="str">
        <f>IF('F-LSCD-012'!A54="-","-",FIXED('F-LSCD-012'!A54,'F-LSCD-012'!W54)&amp;" "&amp;'F-LSCD-012'!A55)</f>
        <v>-</v>
      </c>
      <c r="D55" s="2851"/>
      <c r="E55" s="2849" t="str">
        <f>IF('F-LSCD-012'!A54="-","-",FIXED('F-LSCD-012'!O54,'F-LSCD-012'!W54)&amp;" "&amp;'F-LSCD-012'!N54)</f>
        <v>-</v>
      </c>
      <c r="F55" s="2849"/>
      <c r="G55" s="2849" t="str">
        <f>CHOOSE('F-LSCD-012'!V54,FIXED('F-LSCD-012'!O54,'F-LSCD-012'!W54),FIXED('F-LSCD-012'!O54*1000,'F-LSCD-012'!W54),FIXED('F-LSCD-012'!O54*1000000,'F-LSCD-012'!W54),FIXED('F-LSCD-012'!O54*'Datos varios'!$E$119,'F-LSCD-012'!W54-1),FIXED('F-LSCD-012'!O54*'Datos varios'!$E$120,'F-LSCD-012'!W54-1),FIXED('F-LSCD-012'!O54*'Datos varios'!$E$121,'F-LSCD-012'!W54),FIXED('F-LSCD-012'!O54*'Datos varios'!$E$122,'F-LSCD-012'!W54),FIXED('F-LSCD-012'!O54*'Datos varios'!$E$123,'F-LSCD-012'!W54),"-")&amp;" "&amp;'F-LSCD-012'!A55</f>
        <v>- -</v>
      </c>
      <c r="H55" s="2849"/>
      <c r="I55" s="2849" t="str">
        <f>IF('F-LSCD-012'!O55="-","-",FIXED('F-LSCD-012'!O55,'F-LSCD-012'!W55)&amp;" "&amp;'F-LSCD-012'!N55)</f>
        <v>-</v>
      </c>
      <c r="J55" s="2849"/>
      <c r="K55" s="2849" t="str">
        <f>IF('F-LSCD-012'!O55="-","-",FIXED('F-LSCD-012'!O55,'F-LSCD-012'!W55)&amp;" "&amp;'F-LSCD-012'!N55)</f>
        <v>-</v>
      </c>
      <c r="L55" s="2849"/>
      <c r="M55" s="2850" t="str">
        <f>IF('F-LSCD-012'!R55="-",'F-LSCD-012'!R54,'F-LSCD-012'!R55)</f>
        <v>-</v>
      </c>
      <c r="N55" s="2850"/>
      <c r="O55" s="2847" t="str">
        <f>IF('F-LSCD-012'!O55="-",'F-LSCD-012'!T54,'F-LSCD-012'!T55)</f>
        <v>-</v>
      </c>
      <c r="P55" s="2847"/>
      <c r="Q55" s="2847"/>
      <c r="R55" s="1874" t="str">
        <f>IF('F-LSCD-012'!N55="-",'F-LSCD-012'!N54,'F-LSCD-012'!N55)</f>
        <v>-</v>
      </c>
      <c r="S55" s="1032"/>
      <c r="T55" s="1011"/>
    </row>
    <row r="56" spans="1:20" hidden="1" x14ac:dyDescent="0.2">
      <c r="A56" s="1009"/>
      <c r="C56" s="2851" t="str">
        <f>IF('F-LSCD-012'!A56="-","-",FIXED('F-LSCD-012'!A56,'F-LSCD-012'!W56)&amp;" "&amp;'F-LSCD-012'!A57)</f>
        <v>-</v>
      </c>
      <c r="D56" s="2851"/>
      <c r="E56" s="2849" t="str">
        <f>IF('F-LSCD-012'!A56="-","-",FIXED('F-LSCD-012'!O56,'F-LSCD-012'!W56)&amp;" "&amp;'F-LSCD-012'!N56)</f>
        <v>-</v>
      </c>
      <c r="F56" s="2849"/>
      <c r="G56" s="2849" t="str">
        <f>CHOOSE('F-LSCD-012'!V56,FIXED('F-LSCD-012'!O56,'F-LSCD-012'!W56),FIXED('F-LSCD-012'!O56*1000,'F-LSCD-012'!W56),FIXED('F-LSCD-012'!O56*1000000,'F-LSCD-012'!W56),FIXED('F-LSCD-012'!O56*'Datos varios'!$E$119,'F-LSCD-012'!W56-1),FIXED('F-LSCD-012'!O56*'Datos varios'!$E$120,'F-LSCD-012'!W56-1),FIXED('F-LSCD-012'!O56*'Datos varios'!$E$121,'F-LSCD-012'!W56),FIXED('F-LSCD-012'!O56*'Datos varios'!$E$122,'F-LSCD-012'!W56),FIXED('F-LSCD-012'!O56*'Datos varios'!$E$123,'F-LSCD-012'!W56),"-")&amp;" "&amp;'F-LSCD-012'!A57</f>
        <v>- -</v>
      </c>
      <c r="H56" s="2849"/>
      <c r="I56" s="2849" t="str">
        <f>IF('F-LSCD-012'!O57="-","-",FIXED('F-LSCD-012'!O57,'F-LSCD-012'!W57)&amp;" "&amp;'F-LSCD-012'!N57)</f>
        <v>-</v>
      </c>
      <c r="J56" s="2849"/>
      <c r="K56" s="2849" t="str">
        <f>IF('F-LSCD-012'!O57="-","-",FIXED('F-LSCD-012'!O57,'F-LSCD-012'!W57)&amp;" "&amp;'F-LSCD-012'!N57)</f>
        <v>-</v>
      </c>
      <c r="L56" s="2849"/>
      <c r="M56" s="2850" t="str">
        <f>IF('F-LSCD-012'!R57="-",'F-LSCD-012'!R56,'F-LSCD-012'!R57)</f>
        <v>-</v>
      </c>
      <c r="N56" s="2850"/>
      <c r="O56" s="2847" t="str">
        <f>IF('F-LSCD-012'!O57="-",'F-LSCD-012'!T56,'F-LSCD-012'!T57)</f>
        <v>-</v>
      </c>
      <c r="P56" s="2847"/>
      <c r="Q56" s="2847"/>
      <c r="R56" s="1876" t="str">
        <f>IF('F-LSCD-012'!N57="-",'F-LSCD-012'!N56,'F-LSCD-012'!N57)</f>
        <v>-</v>
      </c>
      <c r="S56" s="1010"/>
      <c r="T56" s="1011"/>
    </row>
    <row r="57" spans="1:20" x14ac:dyDescent="0.2">
      <c r="A57" s="1009"/>
      <c r="C57" s="1702" t="s">
        <v>1255</v>
      </c>
      <c r="D57" s="1690"/>
      <c r="E57" s="1692"/>
      <c r="F57" s="1692"/>
      <c r="G57" s="1692"/>
      <c r="H57" s="1692"/>
      <c r="I57" s="1692"/>
      <c r="J57" s="1692"/>
      <c r="K57" s="1692"/>
      <c r="L57" s="1692"/>
      <c r="M57" s="1701"/>
      <c r="N57" s="1701"/>
      <c r="O57" s="1691"/>
      <c r="P57" s="1691"/>
      <c r="Q57" s="1691"/>
      <c r="R57" s="1010"/>
      <c r="S57" s="1010"/>
      <c r="T57" s="1011"/>
    </row>
    <row r="58" spans="1:20" x14ac:dyDescent="0.2">
      <c r="A58" s="1009"/>
      <c r="C58" s="180" t="s">
        <v>1149</v>
      </c>
      <c r="D58" s="1690"/>
      <c r="E58" s="1692"/>
      <c r="F58" s="1692"/>
      <c r="G58" s="1692"/>
      <c r="H58" s="1692"/>
      <c r="I58" s="1692"/>
      <c r="J58" s="1692"/>
      <c r="K58" s="1692"/>
      <c r="L58" s="1692"/>
      <c r="M58" s="1701"/>
      <c r="N58" s="1701"/>
      <c r="O58" s="1691"/>
      <c r="P58" s="1691"/>
      <c r="Q58" s="1691"/>
      <c r="R58" s="1010"/>
      <c r="S58" s="1010"/>
      <c r="T58" s="1011"/>
    </row>
    <row r="59" spans="1:20" x14ac:dyDescent="0.2">
      <c r="A59" s="1009"/>
      <c r="C59" s="1014" t="str">
        <f>IF(M45="-","","Promedio FC = "&amp;FIXED(AVERAGE(M45:N56),2))</f>
        <v>Promedio FC = 1.01</v>
      </c>
      <c r="D59" s="1262"/>
      <c r="E59" s="1262"/>
      <c r="F59" s="1262"/>
      <c r="G59" s="1262"/>
      <c r="H59" s="1262"/>
      <c r="I59" s="1262"/>
      <c r="J59" s="1262"/>
      <c r="K59" s="1262"/>
      <c r="L59" s="1262"/>
      <c r="M59" s="1262"/>
      <c r="N59" s="1262"/>
      <c r="O59" s="1262"/>
      <c r="P59" s="1262"/>
      <c r="Q59" s="1262"/>
      <c r="R59" s="1262"/>
      <c r="S59" s="1262"/>
      <c r="T59" s="1011"/>
    </row>
    <row r="60" spans="1:20" ht="6.75" customHeight="1" x14ac:dyDescent="0.2">
      <c r="A60" s="1009"/>
      <c r="C60" s="1014" t="str">
        <f>IF(OR(R45="mR/h",R46="mR/h",R47="mR/h",R48="mR/h",R49="mR/h",R50="mR/h",R51="mR/h",R52="mR/h",R53="mR/h",R54="mR/h",R55="mR/h",R56="mR/h"),"(*) Equipo calibrado asumiendo que: "&amp;'Datos varios'!B120&amp;" "&amp;'Datos varios'!C120&amp;" es equivalente a "&amp;'Datos varios'!E120&amp;" "&amp;'Datos varios'!F120,IF(OR(R45="mR/h",R46="mR/h",R47="mR/h",R48="mR/h",R49="mR/h",R50="mR/h",R51="mR/h",R52="mR/h",R53="mR/h",R54="mR/h",R55="mR/h",R56="mR/h"),"(*) Equipo calibrado asumiendo que: "&amp;'Datos varios'!B123&amp;" "&amp;'Datos varios'!C123&amp;" es equivalente a "&amp;'Datos varios'!E123&amp;" "&amp;'Datos varios'!F123,""))</f>
        <v/>
      </c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435"/>
      <c r="O60" s="1262"/>
      <c r="P60" s="1262"/>
      <c r="Q60" s="1262"/>
      <c r="R60" s="1262"/>
      <c r="S60" s="1262"/>
      <c r="T60" s="1011"/>
    </row>
    <row r="61" spans="1:20" x14ac:dyDescent="0.2">
      <c r="A61" s="1009"/>
      <c r="B61" s="175" t="s">
        <v>1302</v>
      </c>
      <c r="C61" s="180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435"/>
      <c r="O61" s="1262"/>
      <c r="P61" s="1262"/>
      <c r="Q61" s="1262"/>
      <c r="R61" s="1262"/>
      <c r="S61" s="1262"/>
      <c r="T61" s="1011"/>
    </row>
    <row r="62" spans="1:20" ht="6.75" customHeight="1" x14ac:dyDescent="0.2">
      <c r="A62" s="1009"/>
      <c r="C62" s="180"/>
      <c r="D62" s="1262"/>
      <c r="E62" s="1262"/>
      <c r="F62" s="1262"/>
      <c r="G62" s="1262"/>
      <c r="H62" s="1262"/>
      <c r="I62" s="1262"/>
      <c r="J62" s="1262"/>
      <c r="K62" s="1262"/>
      <c r="L62" s="1262"/>
      <c r="M62" s="1262"/>
      <c r="N62" s="1435"/>
      <c r="O62" s="1262"/>
      <c r="P62" s="1262"/>
      <c r="Q62" s="1262"/>
      <c r="R62" s="1262"/>
      <c r="S62" s="1262"/>
      <c r="T62" s="1011"/>
    </row>
    <row r="63" spans="1:20" ht="38.25" customHeight="1" x14ac:dyDescent="0.2">
      <c r="A63" s="1009"/>
      <c r="C63" s="2899" t="s">
        <v>1303</v>
      </c>
      <c r="D63" s="2900"/>
      <c r="E63" s="2900"/>
      <c r="F63" s="2900"/>
      <c r="G63" s="2900"/>
      <c r="H63" s="2900"/>
      <c r="I63" s="2900"/>
      <c r="J63" s="2900"/>
      <c r="K63" s="2900"/>
      <c r="L63" s="2900"/>
      <c r="M63" s="2900"/>
      <c r="N63" s="2900"/>
      <c r="O63" s="2900"/>
      <c r="P63" s="2900"/>
      <c r="Q63" s="2901"/>
      <c r="R63" s="1803"/>
      <c r="S63" s="1803"/>
      <c r="T63" s="1011"/>
    </row>
    <row r="64" spans="1:20" ht="12.75" customHeight="1" x14ac:dyDescent="0.2">
      <c r="A64" s="1009"/>
      <c r="C64" s="180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262"/>
      <c r="S64" s="1262"/>
      <c r="T64" s="1011"/>
    </row>
    <row r="65" spans="1:21" x14ac:dyDescent="0.2">
      <c r="A65" s="1009"/>
      <c r="B65" s="1033"/>
      <c r="C65" s="1873" t="s">
        <v>1245</v>
      </c>
      <c r="G65" s="1035"/>
      <c r="H65" s="1035"/>
      <c r="I65" s="1035"/>
      <c r="J65" s="1035"/>
      <c r="K65" s="1035"/>
      <c r="L65" s="2862"/>
      <c r="M65" s="2862"/>
      <c r="N65" s="2862"/>
      <c r="O65" s="2862"/>
      <c r="P65" s="2862"/>
      <c r="Q65" s="2862"/>
      <c r="R65" s="1035"/>
      <c r="S65" s="1020"/>
      <c r="T65" s="1011"/>
    </row>
    <row r="66" spans="1:21" ht="3" customHeight="1" thickBot="1" x14ac:dyDescent="0.25">
      <c r="A66" s="1036"/>
      <c r="B66" s="1037"/>
      <c r="C66" s="1037"/>
      <c r="D66" s="1037"/>
      <c r="E66" s="1037"/>
      <c r="F66" s="1037"/>
      <c r="G66" s="1037"/>
      <c r="H66" s="1037"/>
      <c r="I66" s="1037"/>
      <c r="J66" s="1037"/>
      <c r="K66" s="1037"/>
      <c r="L66" s="1037"/>
      <c r="M66" s="1037"/>
      <c r="N66" s="1037"/>
      <c r="O66" s="1037"/>
      <c r="P66" s="1037"/>
      <c r="Q66" s="1037"/>
      <c r="R66" s="1037"/>
      <c r="S66" s="1037"/>
      <c r="T66" s="1038"/>
    </row>
    <row r="67" spans="1:21" ht="15.75" thickTop="1" x14ac:dyDescent="0.25">
      <c r="A67" s="2863" t="s">
        <v>260</v>
      </c>
      <c r="B67" s="2864"/>
      <c r="C67" s="2864"/>
      <c r="D67" s="2864"/>
      <c r="E67" s="2864"/>
      <c r="F67" s="2864"/>
      <c r="G67" s="2864"/>
      <c r="H67" s="2864"/>
      <c r="I67" s="2864"/>
      <c r="J67" s="2864"/>
      <c r="K67" s="2864"/>
      <c r="L67" s="2864"/>
      <c r="M67" s="2864"/>
      <c r="N67" s="2864"/>
      <c r="O67" s="2864"/>
      <c r="P67" s="2864"/>
      <c r="Q67" s="2864"/>
      <c r="R67" s="2864"/>
      <c r="S67" s="2864"/>
      <c r="T67" s="2865"/>
    </row>
    <row r="68" spans="1:21" ht="11.25" customHeight="1" thickBot="1" x14ac:dyDescent="0.25">
      <c r="A68" s="2859" t="s">
        <v>810</v>
      </c>
      <c r="B68" s="2860"/>
      <c r="C68" s="2860"/>
      <c r="D68" s="2860"/>
      <c r="E68" s="2860"/>
      <c r="F68" s="2860"/>
      <c r="G68" s="2860"/>
      <c r="H68" s="2860"/>
      <c r="I68" s="2860"/>
      <c r="J68" s="2860"/>
      <c r="K68" s="2860"/>
      <c r="L68" s="2860"/>
      <c r="M68" s="2860"/>
      <c r="N68" s="2860"/>
      <c r="O68" s="2860"/>
      <c r="P68" s="2860"/>
      <c r="Q68" s="2860"/>
      <c r="R68" s="2860"/>
      <c r="S68" s="2860"/>
      <c r="T68" s="2861"/>
      <c r="U68" s="1039"/>
    </row>
    <row r="69" spans="1:21" x14ac:dyDescent="0.2">
      <c r="A69" s="1356" t="s">
        <v>907</v>
      </c>
      <c r="B69" s="163"/>
      <c r="S69" s="1357" t="str">
        <f>A4</f>
        <v>CERTIFICADO DE CALIBRACIÓN N° LSCD 029-2021</v>
      </c>
    </row>
  </sheetData>
  <autoFilter ref="C42:Q61" xr:uid="{00000000-0009-0000-0000-000017000000}">
    <filterColumn colId="0" showButton="0">
      <filters blank="1">
        <filter val="25,000.000 µSv"/>
        <filter val="El símbolo &quot;-&quot; significa que no se realizó dicha medición (no se realizó ajuste al equipo)"/>
        <filter val="Promedio FC = 1.01"/>
        <filter val="VCV = Valor convencionalmente verdadero = Lectura del equipo x FC"/>
      </filters>
    </filterColumn>
    <filterColumn colId="2" showButton="0"/>
    <filterColumn colId="3" showButton="0"/>
    <filterColumn colId="4" showButton="0"/>
    <filterColumn colId="6" showButton="0"/>
    <filterColumn colId="7" showButton="0"/>
    <filterColumn colId="8" showButton="0"/>
    <filterColumn colId="10" showButton="0"/>
    <filterColumn colId="12" showButton="0"/>
    <filterColumn colId="13" showButton="0"/>
  </autoFilter>
  <mergeCells count="123">
    <mergeCell ref="C63:Q63"/>
    <mergeCell ref="Q8:S13"/>
    <mergeCell ref="Q25:S26"/>
    <mergeCell ref="Q30:S38"/>
    <mergeCell ref="I55:J55"/>
    <mergeCell ref="E18:O18"/>
    <mergeCell ref="E19:O19"/>
    <mergeCell ref="E20:O20"/>
    <mergeCell ref="E21:O22"/>
    <mergeCell ref="E27:O27"/>
    <mergeCell ref="E29:O29"/>
    <mergeCell ref="E38:G38"/>
    <mergeCell ref="E30:N30"/>
    <mergeCell ref="E33:O33"/>
    <mergeCell ref="E34:O34"/>
    <mergeCell ref="E24:O24"/>
    <mergeCell ref="O46:Q46"/>
    <mergeCell ref="O47:Q47"/>
    <mergeCell ref="O48:Q48"/>
    <mergeCell ref="O42:Q44"/>
    <mergeCell ref="E36:N36"/>
    <mergeCell ref="Q15:S24"/>
    <mergeCell ref="O55:Q55"/>
    <mergeCell ref="M45:N45"/>
    <mergeCell ref="I42:L42"/>
    <mergeCell ref="A2:T3"/>
    <mergeCell ref="A4:T4"/>
    <mergeCell ref="A5:T5"/>
    <mergeCell ref="A6:T6"/>
    <mergeCell ref="E9:O9"/>
    <mergeCell ref="E16:O16"/>
    <mergeCell ref="E17:O17"/>
    <mergeCell ref="A7:T7"/>
    <mergeCell ref="E31:N31"/>
    <mergeCell ref="E32:N32"/>
    <mergeCell ref="C42:D44"/>
    <mergeCell ref="E42:H42"/>
    <mergeCell ref="M42:N44"/>
    <mergeCell ref="E43:F44"/>
    <mergeCell ref="A68:T68"/>
    <mergeCell ref="G45:H45"/>
    <mergeCell ref="L65:Q65"/>
    <mergeCell ref="C50:D50"/>
    <mergeCell ref="E50:F50"/>
    <mergeCell ref="G50:H50"/>
    <mergeCell ref="K50:L50"/>
    <mergeCell ref="M48:N48"/>
    <mergeCell ref="M47:N47"/>
    <mergeCell ref="C55:D55"/>
    <mergeCell ref="E53:F53"/>
    <mergeCell ref="E54:F54"/>
    <mergeCell ref="E55:F55"/>
    <mergeCell ref="M55:N55"/>
    <mergeCell ref="K48:L48"/>
    <mergeCell ref="K45:L45"/>
    <mergeCell ref="A67:T67"/>
    <mergeCell ref="C56:D56"/>
    <mergeCell ref="E56:F56"/>
    <mergeCell ref="G56:H56"/>
    <mergeCell ref="O45:Q45"/>
    <mergeCell ref="M56:N56"/>
    <mergeCell ref="C53:D53"/>
    <mergeCell ref="O56:Q56"/>
    <mergeCell ref="I56:J56"/>
    <mergeCell ref="K56:L56"/>
    <mergeCell ref="M54:N54"/>
    <mergeCell ref="M50:N50"/>
    <mergeCell ref="I43:J44"/>
    <mergeCell ref="K43:L44"/>
    <mergeCell ref="I45:J45"/>
    <mergeCell ref="C52:D52"/>
    <mergeCell ref="E52:F52"/>
    <mergeCell ref="G52:H52"/>
    <mergeCell ref="K52:L52"/>
    <mergeCell ref="M52:N52"/>
    <mergeCell ref="C51:D51"/>
    <mergeCell ref="E51:F51"/>
    <mergeCell ref="I51:J51"/>
    <mergeCell ref="G46:H46"/>
    <mergeCell ref="K46:L46"/>
    <mergeCell ref="M46:N46"/>
    <mergeCell ref="G43:H44"/>
    <mergeCell ref="G47:H47"/>
    <mergeCell ref="I50:J50"/>
    <mergeCell ref="I46:J46"/>
    <mergeCell ref="I47:J47"/>
    <mergeCell ref="I48:J48"/>
    <mergeCell ref="C54:D54"/>
    <mergeCell ref="I52:J52"/>
    <mergeCell ref="I53:J53"/>
    <mergeCell ref="I54:J54"/>
    <mergeCell ref="G55:H55"/>
    <mergeCell ref="K55:L55"/>
    <mergeCell ref="E49:F49"/>
    <mergeCell ref="C45:D45"/>
    <mergeCell ref="E45:F45"/>
    <mergeCell ref="E47:F47"/>
    <mergeCell ref="E46:F46"/>
    <mergeCell ref="C49:D49"/>
    <mergeCell ref="G49:H49"/>
    <mergeCell ref="K49:L49"/>
    <mergeCell ref="C47:D47"/>
    <mergeCell ref="C46:D46"/>
    <mergeCell ref="C48:D48"/>
    <mergeCell ref="E48:F48"/>
    <mergeCell ref="G48:H48"/>
    <mergeCell ref="K47:L47"/>
    <mergeCell ref="O49:Q49"/>
    <mergeCell ref="O50:Q50"/>
    <mergeCell ref="O51:Q51"/>
    <mergeCell ref="O52:Q52"/>
    <mergeCell ref="O53:Q53"/>
    <mergeCell ref="O54:Q54"/>
    <mergeCell ref="G53:H53"/>
    <mergeCell ref="G54:H54"/>
    <mergeCell ref="K53:L53"/>
    <mergeCell ref="K54:L54"/>
    <mergeCell ref="G51:H51"/>
    <mergeCell ref="K51:L51"/>
    <mergeCell ref="M51:N51"/>
    <mergeCell ref="I49:J49"/>
    <mergeCell ref="M53:N53"/>
    <mergeCell ref="M49:N49"/>
  </mergeCells>
  <conditionalFormatting sqref="E38 E9 P9 P29 P31:P35 E31:E35 E28:P28 M38:P38 N37:P37 E8:P8 E10:P10 O36:P36">
    <cfRule type="cellIs" dxfId="195" priority="12" operator="equal">
      <formula>0</formula>
    </cfRule>
  </conditionalFormatting>
  <conditionalFormatting sqref="E38 E9 P9 P29 P31:P35 E31:E35 E28:P28 M38:P38 N37:P37 E8:P8 E10:P10 O36:P36">
    <cfRule type="containsErrors" dxfId="194" priority="11">
      <formula>ISERROR(E8)</formula>
    </cfRule>
  </conditionalFormatting>
  <conditionalFormatting sqref="E36:E37">
    <cfRule type="cellIs" dxfId="193" priority="8" operator="equal">
      <formula>0</formula>
    </cfRule>
  </conditionalFormatting>
  <conditionalFormatting sqref="E36:E37">
    <cfRule type="containsErrors" dxfId="192" priority="7">
      <formula>ISERROR(E36)</formula>
    </cfRule>
  </conditionalFormatting>
  <conditionalFormatting sqref="E29">
    <cfRule type="cellIs" dxfId="191" priority="6" operator="equal">
      <formula>0</formula>
    </cfRule>
  </conditionalFormatting>
  <conditionalFormatting sqref="E29">
    <cfRule type="containsErrors" dxfId="190" priority="5">
      <formula>ISERROR(E29)</formula>
    </cfRule>
  </conditionalFormatting>
  <conditionalFormatting sqref="P30 E30">
    <cfRule type="containsErrors" dxfId="189" priority="3">
      <formula>ISERROR(E30)</formula>
    </cfRule>
  </conditionalFormatting>
  <conditionalFormatting sqref="P30 E30">
    <cfRule type="cellIs" dxfId="188" priority="4" operator="equal">
      <formula>0</formula>
    </cfRule>
  </conditionalFormatting>
  <conditionalFormatting sqref="P39 E39">
    <cfRule type="cellIs" dxfId="187" priority="2" operator="equal">
      <formula>0</formula>
    </cfRule>
  </conditionalFormatting>
  <conditionalFormatting sqref="P39 E39">
    <cfRule type="containsErrors" dxfId="186" priority="1">
      <formula>ISERROR(E39)</formula>
    </cfRule>
  </conditionalFormatting>
  <pageMargins left="0.27559055118110237" right="7.874015748031496E-2" top="0.23622047244094491" bottom="0" header="0.31496062992125984" footer="0"/>
  <pageSetup paperSize="9" scale="97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30"/>
  <dimension ref="A1:S64"/>
  <sheetViews>
    <sheetView view="pageLayout" topLeftCell="A11" zoomScaleNormal="100" workbookViewId="0">
      <selection activeCell="C58" sqref="C58"/>
    </sheetView>
  </sheetViews>
  <sheetFormatPr baseColWidth="10" defaultColWidth="11.42578125" defaultRowHeight="12.75" x14ac:dyDescent="0.2"/>
  <cols>
    <col min="1" max="1" width="2.7109375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1.85546875" style="1008" customWidth="1"/>
    <col min="7" max="7" width="6.140625" style="1008" customWidth="1"/>
    <col min="8" max="10" width="3.5703125" style="1008" customWidth="1"/>
    <col min="11" max="11" width="3.28515625" style="1008" customWidth="1"/>
    <col min="12" max="12" width="7.7109375" style="1008" customWidth="1"/>
    <col min="13" max="13" width="3.140625" style="1008" customWidth="1"/>
    <col min="14" max="14" width="9" style="1008" customWidth="1"/>
    <col min="15" max="15" width="1.42578125" style="1008" customWidth="1"/>
    <col min="16" max="16" width="14.140625" style="1008" customWidth="1"/>
    <col min="17" max="17" width="6.140625" style="1008" customWidth="1"/>
    <col min="18" max="18" width="1.140625" style="1008" customWidth="1"/>
    <col min="19" max="237" width="11.42578125" style="1008"/>
    <col min="238" max="238" width="2.28515625" style="1008" customWidth="1"/>
    <col min="239" max="239" width="2.7109375" style="1008" customWidth="1"/>
    <col min="240" max="240" width="2.42578125" style="1008" customWidth="1"/>
    <col min="241" max="241" width="17.7109375" style="1008" customWidth="1"/>
    <col min="242" max="242" width="1.5703125" style="1008" customWidth="1"/>
    <col min="243" max="243" width="6.42578125" style="1008" customWidth="1"/>
    <col min="244" max="244" width="13.140625" style="1008" customWidth="1"/>
    <col min="245" max="245" width="1" style="1008" customWidth="1"/>
    <col min="246" max="246" width="19.5703125" style="1008" customWidth="1"/>
    <col min="247" max="247" width="0.85546875" style="1008" customWidth="1"/>
    <col min="248" max="248" width="14.42578125" style="1008" customWidth="1"/>
    <col min="249" max="249" width="12.85546875" style="1008" customWidth="1"/>
    <col min="250" max="250" width="6.140625" style="1008" customWidth="1"/>
    <col min="251" max="252" width="11.42578125" style="1008"/>
    <col min="253" max="253" width="15.42578125" style="1008" customWidth="1"/>
    <col min="254" max="493" width="11.42578125" style="1008"/>
    <col min="494" max="494" width="2.28515625" style="1008" customWidth="1"/>
    <col min="495" max="495" width="2.7109375" style="1008" customWidth="1"/>
    <col min="496" max="496" width="2.42578125" style="1008" customWidth="1"/>
    <col min="497" max="497" width="17.7109375" style="1008" customWidth="1"/>
    <col min="498" max="498" width="1.5703125" style="1008" customWidth="1"/>
    <col min="499" max="499" width="6.42578125" style="1008" customWidth="1"/>
    <col min="500" max="500" width="13.140625" style="1008" customWidth="1"/>
    <col min="501" max="501" width="1" style="1008" customWidth="1"/>
    <col min="502" max="502" width="19.5703125" style="1008" customWidth="1"/>
    <col min="503" max="503" width="0.85546875" style="1008" customWidth="1"/>
    <col min="504" max="504" width="14.42578125" style="1008" customWidth="1"/>
    <col min="505" max="505" width="12.85546875" style="1008" customWidth="1"/>
    <col min="506" max="506" width="6.140625" style="1008" customWidth="1"/>
    <col min="507" max="508" width="11.42578125" style="1008"/>
    <col min="509" max="509" width="15.42578125" style="1008" customWidth="1"/>
    <col min="510" max="749" width="11.42578125" style="1008"/>
    <col min="750" max="750" width="2.28515625" style="1008" customWidth="1"/>
    <col min="751" max="751" width="2.7109375" style="1008" customWidth="1"/>
    <col min="752" max="752" width="2.42578125" style="1008" customWidth="1"/>
    <col min="753" max="753" width="17.7109375" style="1008" customWidth="1"/>
    <col min="754" max="754" width="1.5703125" style="1008" customWidth="1"/>
    <col min="755" max="755" width="6.42578125" style="1008" customWidth="1"/>
    <col min="756" max="756" width="13.140625" style="1008" customWidth="1"/>
    <col min="757" max="757" width="1" style="1008" customWidth="1"/>
    <col min="758" max="758" width="19.5703125" style="1008" customWidth="1"/>
    <col min="759" max="759" width="0.85546875" style="1008" customWidth="1"/>
    <col min="760" max="760" width="14.42578125" style="1008" customWidth="1"/>
    <col min="761" max="761" width="12.85546875" style="1008" customWidth="1"/>
    <col min="762" max="762" width="6.140625" style="1008" customWidth="1"/>
    <col min="763" max="764" width="11.42578125" style="1008"/>
    <col min="765" max="765" width="15.42578125" style="1008" customWidth="1"/>
    <col min="766" max="1005" width="11.42578125" style="1008"/>
    <col min="1006" max="1006" width="2.28515625" style="1008" customWidth="1"/>
    <col min="1007" max="1007" width="2.7109375" style="1008" customWidth="1"/>
    <col min="1008" max="1008" width="2.42578125" style="1008" customWidth="1"/>
    <col min="1009" max="1009" width="17.7109375" style="1008" customWidth="1"/>
    <col min="1010" max="1010" width="1.5703125" style="1008" customWidth="1"/>
    <col min="1011" max="1011" width="6.42578125" style="1008" customWidth="1"/>
    <col min="1012" max="1012" width="13.140625" style="1008" customWidth="1"/>
    <col min="1013" max="1013" width="1" style="1008" customWidth="1"/>
    <col min="1014" max="1014" width="19.5703125" style="1008" customWidth="1"/>
    <col min="1015" max="1015" width="0.85546875" style="1008" customWidth="1"/>
    <col min="1016" max="1016" width="14.42578125" style="1008" customWidth="1"/>
    <col min="1017" max="1017" width="12.85546875" style="1008" customWidth="1"/>
    <col min="1018" max="1018" width="6.140625" style="1008" customWidth="1"/>
    <col min="1019" max="1020" width="11.42578125" style="1008"/>
    <col min="1021" max="1021" width="15.42578125" style="1008" customWidth="1"/>
    <col min="1022" max="1261" width="11.42578125" style="1008"/>
    <col min="1262" max="1262" width="2.28515625" style="1008" customWidth="1"/>
    <col min="1263" max="1263" width="2.7109375" style="1008" customWidth="1"/>
    <col min="1264" max="1264" width="2.42578125" style="1008" customWidth="1"/>
    <col min="1265" max="1265" width="17.7109375" style="1008" customWidth="1"/>
    <col min="1266" max="1266" width="1.5703125" style="1008" customWidth="1"/>
    <col min="1267" max="1267" width="6.42578125" style="1008" customWidth="1"/>
    <col min="1268" max="1268" width="13.140625" style="1008" customWidth="1"/>
    <col min="1269" max="1269" width="1" style="1008" customWidth="1"/>
    <col min="1270" max="1270" width="19.5703125" style="1008" customWidth="1"/>
    <col min="1271" max="1271" width="0.85546875" style="1008" customWidth="1"/>
    <col min="1272" max="1272" width="14.42578125" style="1008" customWidth="1"/>
    <col min="1273" max="1273" width="12.85546875" style="1008" customWidth="1"/>
    <col min="1274" max="1274" width="6.140625" style="1008" customWidth="1"/>
    <col min="1275" max="1276" width="11.42578125" style="1008"/>
    <col min="1277" max="1277" width="15.42578125" style="1008" customWidth="1"/>
    <col min="1278" max="1517" width="11.42578125" style="1008"/>
    <col min="1518" max="1518" width="2.28515625" style="1008" customWidth="1"/>
    <col min="1519" max="1519" width="2.7109375" style="1008" customWidth="1"/>
    <col min="1520" max="1520" width="2.42578125" style="1008" customWidth="1"/>
    <col min="1521" max="1521" width="17.7109375" style="1008" customWidth="1"/>
    <col min="1522" max="1522" width="1.5703125" style="1008" customWidth="1"/>
    <col min="1523" max="1523" width="6.42578125" style="1008" customWidth="1"/>
    <col min="1524" max="1524" width="13.140625" style="1008" customWidth="1"/>
    <col min="1525" max="1525" width="1" style="1008" customWidth="1"/>
    <col min="1526" max="1526" width="19.5703125" style="1008" customWidth="1"/>
    <col min="1527" max="1527" width="0.85546875" style="1008" customWidth="1"/>
    <col min="1528" max="1528" width="14.42578125" style="1008" customWidth="1"/>
    <col min="1529" max="1529" width="12.85546875" style="1008" customWidth="1"/>
    <col min="1530" max="1530" width="6.140625" style="1008" customWidth="1"/>
    <col min="1531" max="1532" width="11.42578125" style="1008"/>
    <col min="1533" max="1533" width="15.42578125" style="1008" customWidth="1"/>
    <col min="1534" max="1773" width="11.42578125" style="1008"/>
    <col min="1774" max="1774" width="2.28515625" style="1008" customWidth="1"/>
    <col min="1775" max="1775" width="2.7109375" style="1008" customWidth="1"/>
    <col min="1776" max="1776" width="2.42578125" style="1008" customWidth="1"/>
    <col min="1777" max="1777" width="17.7109375" style="1008" customWidth="1"/>
    <col min="1778" max="1778" width="1.5703125" style="1008" customWidth="1"/>
    <col min="1779" max="1779" width="6.42578125" style="1008" customWidth="1"/>
    <col min="1780" max="1780" width="13.140625" style="1008" customWidth="1"/>
    <col min="1781" max="1781" width="1" style="1008" customWidth="1"/>
    <col min="1782" max="1782" width="19.5703125" style="1008" customWidth="1"/>
    <col min="1783" max="1783" width="0.85546875" style="1008" customWidth="1"/>
    <col min="1784" max="1784" width="14.42578125" style="1008" customWidth="1"/>
    <col min="1785" max="1785" width="12.85546875" style="1008" customWidth="1"/>
    <col min="1786" max="1786" width="6.140625" style="1008" customWidth="1"/>
    <col min="1787" max="1788" width="11.42578125" style="1008"/>
    <col min="1789" max="1789" width="15.42578125" style="1008" customWidth="1"/>
    <col min="1790" max="2029" width="11.42578125" style="1008"/>
    <col min="2030" max="2030" width="2.28515625" style="1008" customWidth="1"/>
    <col min="2031" max="2031" width="2.7109375" style="1008" customWidth="1"/>
    <col min="2032" max="2032" width="2.42578125" style="1008" customWidth="1"/>
    <col min="2033" max="2033" width="17.7109375" style="1008" customWidth="1"/>
    <col min="2034" max="2034" width="1.5703125" style="1008" customWidth="1"/>
    <col min="2035" max="2035" width="6.42578125" style="1008" customWidth="1"/>
    <col min="2036" max="2036" width="13.140625" style="1008" customWidth="1"/>
    <col min="2037" max="2037" width="1" style="1008" customWidth="1"/>
    <col min="2038" max="2038" width="19.5703125" style="1008" customWidth="1"/>
    <col min="2039" max="2039" width="0.85546875" style="1008" customWidth="1"/>
    <col min="2040" max="2040" width="14.42578125" style="1008" customWidth="1"/>
    <col min="2041" max="2041" width="12.85546875" style="1008" customWidth="1"/>
    <col min="2042" max="2042" width="6.140625" style="1008" customWidth="1"/>
    <col min="2043" max="2044" width="11.42578125" style="1008"/>
    <col min="2045" max="2045" width="15.42578125" style="1008" customWidth="1"/>
    <col min="2046" max="2285" width="11.42578125" style="1008"/>
    <col min="2286" max="2286" width="2.28515625" style="1008" customWidth="1"/>
    <col min="2287" max="2287" width="2.7109375" style="1008" customWidth="1"/>
    <col min="2288" max="2288" width="2.42578125" style="1008" customWidth="1"/>
    <col min="2289" max="2289" width="17.7109375" style="1008" customWidth="1"/>
    <col min="2290" max="2290" width="1.5703125" style="1008" customWidth="1"/>
    <col min="2291" max="2291" width="6.42578125" style="1008" customWidth="1"/>
    <col min="2292" max="2292" width="13.140625" style="1008" customWidth="1"/>
    <col min="2293" max="2293" width="1" style="1008" customWidth="1"/>
    <col min="2294" max="2294" width="19.5703125" style="1008" customWidth="1"/>
    <col min="2295" max="2295" width="0.85546875" style="1008" customWidth="1"/>
    <col min="2296" max="2296" width="14.42578125" style="1008" customWidth="1"/>
    <col min="2297" max="2297" width="12.85546875" style="1008" customWidth="1"/>
    <col min="2298" max="2298" width="6.140625" style="1008" customWidth="1"/>
    <col min="2299" max="2300" width="11.42578125" style="1008"/>
    <col min="2301" max="2301" width="15.42578125" style="1008" customWidth="1"/>
    <col min="2302" max="2541" width="11.42578125" style="1008"/>
    <col min="2542" max="2542" width="2.28515625" style="1008" customWidth="1"/>
    <col min="2543" max="2543" width="2.7109375" style="1008" customWidth="1"/>
    <col min="2544" max="2544" width="2.42578125" style="1008" customWidth="1"/>
    <col min="2545" max="2545" width="17.7109375" style="1008" customWidth="1"/>
    <col min="2546" max="2546" width="1.5703125" style="1008" customWidth="1"/>
    <col min="2547" max="2547" width="6.42578125" style="1008" customWidth="1"/>
    <col min="2548" max="2548" width="13.140625" style="1008" customWidth="1"/>
    <col min="2549" max="2549" width="1" style="1008" customWidth="1"/>
    <col min="2550" max="2550" width="19.5703125" style="1008" customWidth="1"/>
    <col min="2551" max="2551" width="0.85546875" style="1008" customWidth="1"/>
    <col min="2552" max="2552" width="14.42578125" style="1008" customWidth="1"/>
    <col min="2553" max="2553" width="12.85546875" style="1008" customWidth="1"/>
    <col min="2554" max="2554" width="6.140625" style="1008" customWidth="1"/>
    <col min="2555" max="2556" width="11.42578125" style="1008"/>
    <col min="2557" max="2557" width="15.42578125" style="1008" customWidth="1"/>
    <col min="2558" max="2797" width="11.42578125" style="1008"/>
    <col min="2798" max="2798" width="2.28515625" style="1008" customWidth="1"/>
    <col min="2799" max="2799" width="2.7109375" style="1008" customWidth="1"/>
    <col min="2800" max="2800" width="2.42578125" style="1008" customWidth="1"/>
    <col min="2801" max="2801" width="17.7109375" style="1008" customWidth="1"/>
    <col min="2802" max="2802" width="1.5703125" style="1008" customWidth="1"/>
    <col min="2803" max="2803" width="6.42578125" style="1008" customWidth="1"/>
    <col min="2804" max="2804" width="13.140625" style="1008" customWidth="1"/>
    <col min="2805" max="2805" width="1" style="1008" customWidth="1"/>
    <col min="2806" max="2806" width="19.5703125" style="1008" customWidth="1"/>
    <col min="2807" max="2807" width="0.85546875" style="1008" customWidth="1"/>
    <col min="2808" max="2808" width="14.42578125" style="1008" customWidth="1"/>
    <col min="2809" max="2809" width="12.85546875" style="1008" customWidth="1"/>
    <col min="2810" max="2810" width="6.140625" style="1008" customWidth="1"/>
    <col min="2811" max="2812" width="11.42578125" style="1008"/>
    <col min="2813" max="2813" width="15.42578125" style="1008" customWidth="1"/>
    <col min="2814" max="3053" width="11.42578125" style="1008"/>
    <col min="3054" max="3054" width="2.28515625" style="1008" customWidth="1"/>
    <col min="3055" max="3055" width="2.7109375" style="1008" customWidth="1"/>
    <col min="3056" max="3056" width="2.42578125" style="1008" customWidth="1"/>
    <col min="3057" max="3057" width="17.7109375" style="1008" customWidth="1"/>
    <col min="3058" max="3058" width="1.5703125" style="1008" customWidth="1"/>
    <col min="3059" max="3059" width="6.42578125" style="1008" customWidth="1"/>
    <col min="3060" max="3060" width="13.140625" style="1008" customWidth="1"/>
    <col min="3061" max="3061" width="1" style="1008" customWidth="1"/>
    <col min="3062" max="3062" width="19.5703125" style="1008" customWidth="1"/>
    <col min="3063" max="3063" width="0.85546875" style="1008" customWidth="1"/>
    <col min="3064" max="3064" width="14.42578125" style="1008" customWidth="1"/>
    <col min="3065" max="3065" width="12.85546875" style="1008" customWidth="1"/>
    <col min="3066" max="3066" width="6.140625" style="1008" customWidth="1"/>
    <col min="3067" max="3068" width="11.42578125" style="1008"/>
    <col min="3069" max="3069" width="15.42578125" style="1008" customWidth="1"/>
    <col min="3070" max="3309" width="11.42578125" style="1008"/>
    <col min="3310" max="3310" width="2.28515625" style="1008" customWidth="1"/>
    <col min="3311" max="3311" width="2.7109375" style="1008" customWidth="1"/>
    <col min="3312" max="3312" width="2.42578125" style="1008" customWidth="1"/>
    <col min="3313" max="3313" width="17.7109375" style="1008" customWidth="1"/>
    <col min="3314" max="3314" width="1.5703125" style="1008" customWidth="1"/>
    <col min="3315" max="3315" width="6.42578125" style="1008" customWidth="1"/>
    <col min="3316" max="3316" width="13.140625" style="1008" customWidth="1"/>
    <col min="3317" max="3317" width="1" style="1008" customWidth="1"/>
    <col min="3318" max="3318" width="19.5703125" style="1008" customWidth="1"/>
    <col min="3319" max="3319" width="0.85546875" style="1008" customWidth="1"/>
    <col min="3320" max="3320" width="14.42578125" style="1008" customWidth="1"/>
    <col min="3321" max="3321" width="12.85546875" style="1008" customWidth="1"/>
    <col min="3322" max="3322" width="6.140625" style="1008" customWidth="1"/>
    <col min="3323" max="3324" width="11.42578125" style="1008"/>
    <col min="3325" max="3325" width="15.42578125" style="1008" customWidth="1"/>
    <col min="3326" max="3565" width="11.42578125" style="1008"/>
    <col min="3566" max="3566" width="2.28515625" style="1008" customWidth="1"/>
    <col min="3567" max="3567" width="2.7109375" style="1008" customWidth="1"/>
    <col min="3568" max="3568" width="2.42578125" style="1008" customWidth="1"/>
    <col min="3569" max="3569" width="17.7109375" style="1008" customWidth="1"/>
    <col min="3570" max="3570" width="1.5703125" style="1008" customWidth="1"/>
    <col min="3571" max="3571" width="6.42578125" style="1008" customWidth="1"/>
    <col min="3572" max="3572" width="13.140625" style="1008" customWidth="1"/>
    <col min="3573" max="3573" width="1" style="1008" customWidth="1"/>
    <col min="3574" max="3574" width="19.5703125" style="1008" customWidth="1"/>
    <col min="3575" max="3575" width="0.85546875" style="1008" customWidth="1"/>
    <col min="3576" max="3576" width="14.42578125" style="1008" customWidth="1"/>
    <col min="3577" max="3577" width="12.85546875" style="1008" customWidth="1"/>
    <col min="3578" max="3578" width="6.140625" style="1008" customWidth="1"/>
    <col min="3579" max="3580" width="11.42578125" style="1008"/>
    <col min="3581" max="3581" width="15.42578125" style="1008" customWidth="1"/>
    <col min="3582" max="3821" width="11.42578125" style="1008"/>
    <col min="3822" max="3822" width="2.28515625" style="1008" customWidth="1"/>
    <col min="3823" max="3823" width="2.7109375" style="1008" customWidth="1"/>
    <col min="3824" max="3824" width="2.42578125" style="1008" customWidth="1"/>
    <col min="3825" max="3825" width="17.7109375" style="1008" customWidth="1"/>
    <col min="3826" max="3826" width="1.5703125" style="1008" customWidth="1"/>
    <col min="3827" max="3827" width="6.42578125" style="1008" customWidth="1"/>
    <col min="3828" max="3828" width="13.140625" style="1008" customWidth="1"/>
    <col min="3829" max="3829" width="1" style="1008" customWidth="1"/>
    <col min="3830" max="3830" width="19.5703125" style="1008" customWidth="1"/>
    <col min="3831" max="3831" width="0.85546875" style="1008" customWidth="1"/>
    <col min="3832" max="3832" width="14.42578125" style="1008" customWidth="1"/>
    <col min="3833" max="3833" width="12.85546875" style="1008" customWidth="1"/>
    <col min="3834" max="3834" width="6.140625" style="1008" customWidth="1"/>
    <col min="3835" max="3836" width="11.42578125" style="1008"/>
    <col min="3837" max="3837" width="15.42578125" style="1008" customWidth="1"/>
    <col min="3838" max="4077" width="11.42578125" style="1008"/>
    <col min="4078" max="4078" width="2.28515625" style="1008" customWidth="1"/>
    <col min="4079" max="4079" width="2.7109375" style="1008" customWidth="1"/>
    <col min="4080" max="4080" width="2.42578125" style="1008" customWidth="1"/>
    <col min="4081" max="4081" width="17.7109375" style="1008" customWidth="1"/>
    <col min="4082" max="4082" width="1.5703125" style="1008" customWidth="1"/>
    <col min="4083" max="4083" width="6.42578125" style="1008" customWidth="1"/>
    <col min="4084" max="4084" width="13.140625" style="1008" customWidth="1"/>
    <col min="4085" max="4085" width="1" style="1008" customWidth="1"/>
    <col min="4086" max="4086" width="19.5703125" style="1008" customWidth="1"/>
    <col min="4087" max="4087" width="0.85546875" style="1008" customWidth="1"/>
    <col min="4088" max="4088" width="14.42578125" style="1008" customWidth="1"/>
    <col min="4089" max="4089" width="12.85546875" style="1008" customWidth="1"/>
    <col min="4090" max="4090" width="6.140625" style="1008" customWidth="1"/>
    <col min="4091" max="4092" width="11.42578125" style="1008"/>
    <col min="4093" max="4093" width="15.42578125" style="1008" customWidth="1"/>
    <col min="4094" max="4333" width="11.42578125" style="1008"/>
    <col min="4334" max="4334" width="2.28515625" style="1008" customWidth="1"/>
    <col min="4335" max="4335" width="2.7109375" style="1008" customWidth="1"/>
    <col min="4336" max="4336" width="2.42578125" style="1008" customWidth="1"/>
    <col min="4337" max="4337" width="17.7109375" style="1008" customWidth="1"/>
    <col min="4338" max="4338" width="1.5703125" style="1008" customWidth="1"/>
    <col min="4339" max="4339" width="6.42578125" style="1008" customWidth="1"/>
    <col min="4340" max="4340" width="13.140625" style="1008" customWidth="1"/>
    <col min="4341" max="4341" width="1" style="1008" customWidth="1"/>
    <col min="4342" max="4342" width="19.5703125" style="1008" customWidth="1"/>
    <col min="4343" max="4343" width="0.85546875" style="1008" customWidth="1"/>
    <col min="4344" max="4344" width="14.42578125" style="1008" customWidth="1"/>
    <col min="4345" max="4345" width="12.85546875" style="1008" customWidth="1"/>
    <col min="4346" max="4346" width="6.140625" style="1008" customWidth="1"/>
    <col min="4347" max="4348" width="11.42578125" style="1008"/>
    <col min="4349" max="4349" width="15.42578125" style="1008" customWidth="1"/>
    <col min="4350" max="4589" width="11.42578125" style="1008"/>
    <col min="4590" max="4590" width="2.28515625" style="1008" customWidth="1"/>
    <col min="4591" max="4591" width="2.7109375" style="1008" customWidth="1"/>
    <col min="4592" max="4592" width="2.42578125" style="1008" customWidth="1"/>
    <col min="4593" max="4593" width="17.7109375" style="1008" customWidth="1"/>
    <col min="4594" max="4594" width="1.5703125" style="1008" customWidth="1"/>
    <col min="4595" max="4595" width="6.42578125" style="1008" customWidth="1"/>
    <col min="4596" max="4596" width="13.140625" style="1008" customWidth="1"/>
    <col min="4597" max="4597" width="1" style="1008" customWidth="1"/>
    <col min="4598" max="4598" width="19.5703125" style="1008" customWidth="1"/>
    <col min="4599" max="4599" width="0.85546875" style="1008" customWidth="1"/>
    <col min="4600" max="4600" width="14.42578125" style="1008" customWidth="1"/>
    <col min="4601" max="4601" width="12.85546875" style="1008" customWidth="1"/>
    <col min="4602" max="4602" width="6.140625" style="1008" customWidth="1"/>
    <col min="4603" max="4604" width="11.42578125" style="1008"/>
    <col min="4605" max="4605" width="15.42578125" style="1008" customWidth="1"/>
    <col min="4606" max="4845" width="11.42578125" style="1008"/>
    <col min="4846" max="4846" width="2.28515625" style="1008" customWidth="1"/>
    <col min="4847" max="4847" width="2.7109375" style="1008" customWidth="1"/>
    <col min="4848" max="4848" width="2.42578125" style="1008" customWidth="1"/>
    <col min="4849" max="4849" width="17.7109375" style="1008" customWidth="1"/>
    <col min="4850" max="4850" width="1.5703125" style="1008" customWidth="1"/>
    <col min="4851" max="4851" width="6.42578125" style="1008" customWidth="1"/>
    <col min="4852" max="4852" width="13.140625" style="1008" customWidth="1"/>
    <col min="4853" max="4853" width="1" style="1008" customWidth="1"/>
    <col min="4854" max="4854" width="19.5703125" style="1008" customWidth="1"/>
    <col min="4855" max="4855" width="0.85546875" style="1008" customWidth="1"/>
    <col min="4856" max="4856" width="14.42578125" style="1008" customWidth="1"/>
    <col min="4857" max="4857" width="12.85546875" style="1008" customWidth="1"/>
    <col min="4858" max="4858" width="6.140625" style="1008" customWidth="1"/>
    <col min="4859" max="4860" width="11.42578125" style="1008"/>
    <col min="4861" max="4861" width="15.42578125" style="1008" customWidth="1"/>
    <col min="4862" max="5101" width="11.42578125" style="1008"/>
    <col min="5102" max="5102" width="2.28515625" style="1008" customWidth="1"/>
    <col min="5103" max="5103" width="2.7109375" style="1008" customWidth="1"/>
    <col min="5104" max="5104" width="2.42578125" style="1008" customWidth="1"/>
    <col min="5105" max="5105" width="17.7109375" style="1008" customWidth="1"/>
    <col min="5106" max="5106" width="1.5703125" style="1008" customWidth="1"/>
    <col min="5107" max="5107" width="6.42578125" style="1008" customWidth="1"/>
    <col min="5108" max="5108" width="13.140625" style="1008" customWidth="1"/>
    <col min="5109" max="5109" width="1" style="1008" customWidth="1"/>
    <col min="5110" max="5110" width="19.5703125" style="1008" customWidth="1"/>
    <col min="5111" max="5111" width="0.85546875" style="1008" customWidth="1"/>
    <col min="5112" max="5112" width="14.42578125" style="1008" customWidth="1"/>
    <col min="5113" max="5113" width="12.85546875" style="1008" customWidth="1"/>
    <col min="5114" max="5114" width="6.140625" style="1008" customWidth="1"/>
    <col min="5115" max="5116" width="11.42578125" style="1008"/>
    <col min="5117" max="5117" width="15.42578125" style="1008" customWidth="1"/>
    <col min="5118" max="5357" width="11.42578125" style="1008"/>
    <col min="5358" max="5358" width="2.28515625" style="1008" customWidth="1"/>
    <col min="5359" max="5359" width="2.7109375" style="1008" customWidth="1"/>
    <col min="5360" max="5360" width="2.42578125" style="1008" customWidth="1"/>
    <col min="5361" max="5361" width="17.7109375" style="1008" customWidth="1"/>
    <col min="5362" max="5362" width="1.5703125" style="1008" customWidth="1"/>
    <col min="5363" max="5363" width="6.42578125" style="1008" customWidth="1"/>
    <col min="5364" max="5364" width="13.140625" style="1008" customWidth="1"/>
    <col min="5365" max="5365" width="1" style="1008" customWidth="1"/>
    <col min="5366" max="5366" width="19.5703125" style="1008" customWidth="1"/>
    <col min="5367" max="5367" width="0.85546875" style="1008" customWidth="1"/>
    <col min="5368" max="5368" width="14.42578125" style="1008" customWidth="1"/>
    <col min="5369" max="5369" width="12.85546875" style="1008" customWidth="1"/>
    <col min="5370" max="5370" width="6.140625" style="1008" customWidth="1"/>
    <col min="5371" max="5372" width="11.42578125" style="1008"/>
    <col min="5373" max="5373" width="15.42578125" style="1008" customWidth="1"/>
    <col min="5374" max="5613" width="11.42578125" style="1008"/>
    <col min="5614" max="5614" width="2.28515625" style="1008" customWidth="1"/>
    <col min="5615" max="5615" width="2.7109375" style="1008" customWidth="1"/>
    <col min="5616" max="5616" width="2.42578125" style="1008" customWidth="1"/>
    <col min="5617" max="5617" width="17.7109375" style="1008" customWidth="1"/>
    <col min="5618" max="5618" width="1.5703125" style="1008" customWidth="1"/>
    <col min="5619" max="5619" width="6.42578125" style="1008" customWidth="1"/>
    <col min="5620" max="5620" width="13.140625" style="1008" customWidth="1"/>
    <col min="5621" max="5621" width="1" style="1008" customWidth="1"/>
    <col min="5622" max="5622" width="19.5703125" style="1008" customWidth="1"/>
    <col min="5623" max="5623" width="0.85546875" style="1008" customWidth="1"/>
    <col min="5624" max="5624" width="14.42578125" style="1008" customWidth="1"/>
    <col min="5625" max="5625" width="12.85546875" style="1008" customWidth="1"/>
    <col min="5626" max="5626" width="6.140625" style="1008" customWidth="1"/>
    <col min="5627" max="5628" width="11.42578125" style="1008"/>
    <col min="5629" max="5629" width="15.42578125" style="1008" customWidth="1"/>
    <col min="5630" max="5869" width="11.42578125" style="1008"/>
    <col min="5870" max="5870" width="2.28515625" style="1008" customWidth="1"/>
    <col min="5871" max="5871" width="2.7109375" style="1008" customWidth="1"/>
    <col min="5872" max="5872" width="2.42578125" style="1008" customWidth="1"/>
    <col min="5873" max="5873" width="17.7109375" style="1008" customWidth="1"/>
    <col min="5874" max="5874" width="1.5703125" style="1008" customWidth="1"/>
    <col min="5875" max="5875" width="6.42578125" style="1008" customWidth="1"/>
    <col min="5876" max="5876" width="13.140625" style="1008" customWidth="1"/>
    <col min="5877" max="5877" width="1" style="1008" customWidth="1"/>
    <col min="5878" max="5878" width="19.5703125" style="1008" customWidth="1"/>
    <col min="5879" max="5879" width="0.85546875" style="1008" customWidth="1"/>
    <col min="5880" max="5880" width="14.42578125" style="1008" customWidth="1"/>
    <col min="5881" max="5881" width="12.85546875" style="1008" customWidth="1"/>
    <col min="5882" max="5882" width="6.140625" style="1008" customWidth="1"/>
    <col min="5883" max="5884" width="11.42578125" style="1008"/>
    <col min="5885" max="5885" width="15.42578125" style="1008" customWidth="1"/>
    <col min="5886" max="6125" width="11.42578125" style="1008"/>
    <col min="6126" max="6126" width="2.28515625" style="1008" customWidth="1"/>
    <col min="6127" max="6127" width="2.7109375" style="1008" customWidth="1"/>
    <col min="6128" max="6128" width="2.42578125" style="1008" customWidth="1"/>
    <col min="6129" max="6129" width="17.7109375" style="1008" customWidth="1"/>
    <col min="6130" max="6130" width="1.5703125" style="1008" customWidth="1"/>
    <col min="6131" max="6131" width="6.42578125" style="1008" customWidth="1"/>
    <col min="6132" max="6132" width="13.140625" style="1008" customWidth="1"/>
    <col min="6133" max="6133" width="1" style="1008" customWidth="1"/>
    <col min="6134" max="6134" width="19.5703125" style="1008" customWidth="1"/>
    <col min="6135" max="6135" width="0.85546875" style="1008" customWidth="1"/>
    <col min="6136" max="6136" width="14.42578125" style="1008" customWidth="1"/>
    <col min="6137" max="6137" width="12.85546875" style="1008" customWidth="1"/>
    <col min="6138" max="6138" width="6.140625" style="1008" customWidth="1"/>
    <col min="6139" max="6140" width="11.42578125" style="1008"/>
    <col min="6141" max="6141" width="15.42578125" style="1008" customWidth="1"/>
    <col min="6142" max="6381" width="11.42578125" style="1008"/>
    <col min="6382" max="6382" width="2.28515625" style="1008" customWidth="1"/>
    <col min="6383" max="6383" width="2.7109375" style="1008" customWidth="1"/>
    <col min="6384" max="6384" width="2.42578125" style="1008" customWidth="1"/>
    <col min="6385" max="6385" width="17.7109375" style="1008" customWidth="1"/>
    <col min="6386" max="6386" width="1.5703125" style="1008" customWidth="1"/>
    <col min="6387" max="6387" width="6.42578125" style="1008" customWidth="1"/>
    <col min="6388" max="6388" width="13.140625" style="1008" customWidth="1"/>
    <col min="6389" max="6389" width="1" style="1008" customWidth="1"/>
    <col min="6390" max="6390" width="19.5703125" style="1008" customWidth="1"/>
    <col min="6391" max="6391" width="0.85546875" style="1008" customWidth="1"/>
    <col min="6392" max="6392" width="14.42578125" style="1008" customWidth="1"/>
    <col min="6393" max="6393" width="12.85546875" style="1008" customWidth="1"/>
    <col min="6394" max="6394" width="6.140625" style="1008" customWidth="1"/>
    <col min="6395" max="6396" width="11.42578125" style="1008"/>
    <col min="6397" max="6397" width="15.42578125" style="1008" customWidth="1"/>
    <col min="6398" max="6637" width="11.42578125" style="1008"/>
    <col min="6638" max="6638" width="2.28515625" style="1008" customWidth="1"/>
    <col min="6639" max="6639" width="2.7109375" style="1008" customWidth="1"/>
    <col min="6640" max="6640" width="2.42578125" style="1008" customWidth="1"/>
    <col min="6641" max="6641" width="17.7109375" style="1008" customWidth="1"/>
    <col min="6642" max="6642" width="1.5703125" style="1008" customWidth="1"/>
    <col min="6643" max="6643" width="6.42578125" style="1008" customWidth="1"/>
    <col min="6644" max="6644" width="13.140625" style="1008" customWidth="1"/>
    <col min="6645" max="6645" width="1" style="1008" customWidth="1"/>
    <col min="6646" max="6646" width="19.5703125" style="1008" customWidth="1"/>
    <col min="6647" max="6647" width="0.85546875" style="1008" customWidth="1"/>
    <col min="6648" max="6648" width="14.42578125" style="1008" customWidth="1"/>
    <col min="6649" max="6649" width="12.85546875" style="1008" customWidth="1"/>
    <col min="6650" max="6650" width="6.140625" style="1008" customWidth="1"/>
    <col min="6651" max="6652" width="11.42578125" style="1008"/>
    <col min="6653" max="6653" width="15.42578125" style="1008" customWidth="1"/>
    <col min="6654" max="6893" width="11.42578125" style="1008"/>
    <col min="6894" max="6894" width="2.28515625" style="1008" customWidth="1"/>
    <col min="6895" max="6895" width="2.7109375" style="1008" customWidth="1"/>
    <col min="6896" max="6896" width="2.42578125" style="1008" customWidth="1"/>
    <col min="6897" max="6897" width="17.7109375" style="1008" customWidth="1"/>
    <col min="6898" max="6898" width="1.5703125" style="1008" customWidth="1"/>
    <col min="6899" max="6899" width="6.42578125" style="1008" customWidth="1"/>
    <col min="6900" max="6900" width="13.140625" style="1008" customWidth="1"/>
    <col min="6901" max="6901" width="1" style="1008" customWidth="1"/>
    <col min="6902" max="6902" width="19.5703125" style="1008" customWidth="1"/>
    <col min="6903" max="6903" width="0.85546875" style="1008" customWidth="1"/>
    <col min="6904" max="6904" width="14.42578125" style="1008" customWidth="1"/>
    <col min="6905" max="6905" width="12.85546875" style="1008" customWidth="1"/>
    <col min="6906" max="6906" width="6.140625" style="1008" customWidth="1"/>
    <col min="6907" max="6908" width="11.42578125" style="1008"/>
    <col min="6909" max="6909" width="15.42578125" style="1008" customWidth="1"/>
    <col min="6910" max="7149" width="11.42578125" style="1008"/>
    <col min="7150" max="7150" width="2.28515625" style="1008" customWidth="1"/>
    <col min="7151" max="7151" width="2.7109375" style="1008" customWidth="1"/>
    <col min="7152" max="7152" width="2.42578125" style="1008" customWidth="1"/>
    <col min="7153" max="7153" width="17.7109375" style="1008" customWidth="1"/>
    <col min="7154" max="7154" width="1.5703125" style="1008" customWidth="1"/>
    <col min="7155" max="7155" width="6.42578125" style="1008" customWidth="1"/>
    <col min="7156" max="7156" width="13.140625" style="1008" customWidth="1"/>
    <col min="7157" max="7157" width="1" style="1008" customWidth="1"/>
    <col min="7158" max="7158" width="19.5703125" style="1008" customWidth="1"/>
    <col min="7159" max="7159" width="0.85546875" style="1008" customWidth="1"/>
    <col min="7160" max="7160" width="14.42578125" style="1008" customWidth="1"/>
    <col min="7161" max="7161" width="12.85546875" style="1008" customWidth="1"/>
    <col min="7162" max="7162" width="6.140625" style="1008" customWidth="1"/>
    <col min="7163" max="7164" width="11.42578125" style="1008"/>
    <col min="7165" max="7165" width="15.42578125" style="1008" customWidth="1"/>
    <col min="7166" max="7405" width="11.42578125" style="1008"/>
    <col min="7406" max="7406" width="2.28515625" style="1008" customWidth="1"/>
    <col min="7407" max="7407" width="2.7109375" style="1008" customWidth="1"/>
    <col min="7408" max="7408" width="2.42578125" style="1008" customWidth="1"/>
    <col min="7409" max="7409" width="17.7109375" style="1008" customWidth="1"/>
    <col min="7410" max="7410" width="1.5703125" style="1008" customWidth="1"/>
    <col min="7411" max="7411" width="6.42578125" style="1008" customWidth="1"/>
    <col min="7412" max="7412" width="13.140625" style="1008" customWidth="1"/>
    <col min="7413" max="7413" width="1" style="1008" customWidth="1"/>
    <col min="7414" max="7414" width="19.5703125" style="1008" customWidth="1"/>
    <col min="7415" max="7415" width="0.85546875" style="1008" customWidth="1"/>
    <col min="7416" max="7416" width="14.42578125" style="1008" customWidth="1"/>
    <col min="7417" max="7417" width="12.85546875" style="1008" customWidth="1"/>
    <col min="7418" max="7418" width="6.140625" style="1008" customWidth="1"/>
    <col min="7419" max="7420" width="11.42578125" style="1008"/>
    <col min="7421" max="7421" width="15.42578125" style="1008" customWidth="1"/>
    <col min="7422" max="7661" width="11.42578125" style="1008"/>
    <col min="7662" max="7662" width="2.28515625" style="1008" customWidth="1"/>
    <col min="7663" max="7663" width="2.7109375" style="1008" customWidth="1"/>
    <col min="7664" max="7664" width="2.42578125" style="1008" customWidth="1"/>
    <col min="7665" max="7665" width="17.7109375" style="1008" customWidth="1"/>
    <col min="7666" max="7666" width="1.5703125" style="1008" customWidth="1"/>
    <col min="7667" max="7667" width="6.42578125" style="1008" customWidth="1"/>
    <col min="7668" max="7668" width="13.140625" style="1008" customWidth="1"/>
    <col min="7669" max="7669" width="1" style="1008" customWidth="1"/>
    <col min="7670" max="7670" width="19.5703125" style="1008" customWidth="1"/>
    <col min="7671" max="7671" width="0.85546875" style="1008" customWidth="1"/>
    <col min="7672" max="7672" width="14.42578125" style="1008" customWidth="1"/>
    <col min="7673" max="7673" width="12.85546875" style="1008" customWidth="1"/>
    <col min="7674" max="7674" width="6.140625" style="1008" customWidth="1"/>
    <col min="7675" max="7676" width="11.42578125" style="1008"/>
    <col min="7677" max="7677" width="15.42578125" style="1008" customWidth="1"/>
    <col min="7678" max="7917" width="11.42578125" style="1008"/>
    <col min="7918" max="7918" width="2.28515625" style="1008" customWidth="1"/>
    <col min="7919" max="7919" width="2.7109375" style="1008" customWidth="1"/>
    <col min="7920" max="7920" width="2.42578125" style="1008" customWidth="1"/>
    <col min="7921" max="7921" width="17.7109375" style="1008" customWidth="1"/>
    <col min="7922" max="7922" width="1.5703125" style="1008" customWidth="1"/>
    <col min="7923" max="7923" width="6.42578125" style="1008" customWidth="1"/>
    <col min="7924" max="7924" width="13.140625" style="1008" customWidth="1"/>
    <col min="7925" max="7925" width="1" style="1008" customWidth="1"/>
    <col min="7926" max="7926" width="19.5703125" style="1008" customWidth="1"/>
    <col min="7927" max="7927" width="0.85546875" style="1008" customWidth="1"/>
    <col min="7928" max="7928" width="14.42578125" style="1008" customWidth="1"/>
    <col min="7929" max="7929" width="12.85546875" style="1008" customWidth="1"/>
    <col min="7930" max="7930" width="6.140625" style="1008" customWidth="1"/>
    <col min="7931" max="7932" width="11.42578125" style="1008"/>
    <col min="7933" max="7933" width="15.42578125" style="1008" customWidth="1"/>
    <col min="7934" max="8173" width="11.42578125" style="1008"/>
    <col min="8174" max="8174" width="2.28515625" style="1008" customWidth="1"/>
    <col min="8175" max="8175" width="2.7109375" style="1008" customWidth="1"/>
    <col min="8176" max="8176" width="2.42578125" style="1008" customWidth="1"/>
    <col min="8177" max="8177" width="17.7109375" style="1008" customWidth="1"/>
    <col min="8178" max="8178" width="1.5703125" style="1008" customWidth="1"/>
    <col min="8179" max="8179" width="6.42578125" style="1008" customWidth="1"/>
    <col min="8180" max="8180" width="13.140625" style="1008" customWidth="1"/>
    <col min="8181" max="8181" width="1" style="1008" customWidth="1"/>
    <col min="8182" max="8182" width="19.5703125" style="1008" customWidth="1"/>
    <col min="8183" max="8183" width="0.85546875" style="1008" customWidth="1"/>
    <col min="8184" max="8184" width="14.42578125" style="1008" customWidth="1"/>
    <col min="8185" max="8185" width="12.85546875" style="1008" customWidth="1"/>
    <col min="8186" max="8186" width="6.140625" style="1008" customWidth="1"/>
    <col min="8187" max="8188" width="11.42578125" style="1008"/>
    <col min="8189" max="8189" width="15.42578125" style="1008" customWidth="1"/>
    <col min="8190" max="8429" width="11.42578125" style="1008"/>
    <col min="8430" max="8430" width="2.28515625" style="1008" customWidth="1"/>
    <col min="8431" max="8431" width="2.7109375" style="1008" customWidth="1"/>
    <col min="8432" max="8432" width="2.42578125" style="1008" customWidth="1"/>
    <col min="8433" max="8433" width="17.7109375" style="1008" customWidth="1"/>
    <col min="8434" max="8434" width="1.5703125" style="1008" customWidth="1"/>
    <col min="8435" max="8435" width="6.42578125" style="1008" customWidth="1"/>
    <col min="8436" max="8436" width="13.140625" style="1008" customWidth="1"/>
    <col min="8437" max="8437" width="1" style="1008" customWidth="1"/>
    <col min="8438" max="8438" width="19.5703125" style="1008" customWidth="1"/>
    <col min="8439" max="8439" width="0.85546875" style="1008" customWidth="1"/>
    <col min="8440" max="8440" width="14.42578125" style="1008" customWidth="1"/>
    <col min="8441" max="8441" width="12.85546875" style="1008" customWidth="1"/>
    <col min="8442" max="8442" width="6.140625" style="1008" customWidth="1"/>
    <col min="8443" max="8444" width="11.42578125" style="1008"/>
    <col min="8445" max="8445" width="15.42578125" style="1008" customWidth="1"/>
    <col min="8446" max="8685" width="11.42578125" style="1008"/>
    <col min="8686" max="8686" width="2.28515625" style="1008" customWidth="1"/>
    <col min="8687" max="8687" width="2.7109375" style="1008" customWidth="1"/>
    <col min="8688" max="8688" width="2.42578125" style="1008" customWidth="1"/>
    <col min="8689" max="8689" width="17.7109375" style="1008" customWidth="1"/>
    <col min="8690" max="8690" width="1.5703125" style="1008" customWidth="1"/>
    <col min="8691" max="8691" width="6.42578125" style="1008" customWidth="1"/>
    <col min="8692" max="8692" width="13.140625" style="1008" customWidth="1"/>
    <col min="8693" max="8693" width="1" style="1008" customWidth="1"/>
    <col min="8694" max="8694" width="19.5703125" style="1008" customWidth="1"/>
    <col min="8695" max="8695" width="0.85546875" style="1008" customWidth="1"/>
    <col min="8696" max="8696" width="14.42578125" style="1008" customWidth="1"/>
    <col min="8697" max="8697" width="12.85546875" style="1008" customWidth="1"/>
    <col min="8698" max="8698" width="6.140625" style="1008" customWidth="1"/>
    <col min="8699" max="8700" width="11.42578125" style="1008"/>
    <col min="8701" max="8701" width="15.42578125" style="1008" customWidth="1"/>
    <col min="8702" max="8941" width="11.42578125" style="1008"/>
    <col min="8942" max="8942" width="2.28515625" style="1008" customWidth="1"/>
    <col min="8943" max="8943" width="2.7109375" style="1008" customWidth="1"/>
    <col min="8944" max="8944" width="2.42578125" style="1008" customWidth="1"/>
    <col min="8945" max="8945" width="17.7109375" style="1008" customWidth="1"/>
    <col min="8946" max="8946" width="1.5703125" style="1008" customWidth="1"/>
    <col min="8947" max="8947" width="6.42578125" style="1008" customWidth="1"/>
    <col min="8948" max="8948" width="13.140625" style="1008" customWidth="1"/>
    <col min="8949" max="8949" width="1" style="1008" customWidth="1"/>
    <col min="8950" max="8950" width="19.5703125" style="1008" customWidth="1"/>
    <col min="8951" max="8951" width="0.85546875" style="1008" customWidth="1"/>
    <col min="8952" max="8952" width="14.42578125" style="1008" customWidth="1"/>
    <col min="8953" max="8953" width="12.85546875" style="1008" customWidth="1"/>
    <col min="8954" max="8954" width="6.140625" style="1008" customWidth="1"/>
    <col min="8955" max="8956" width="11.42578125" style="1008"/>
    <col min="8957" max="8957" width="15.42578125" style="1008" customWidth="1"/>
    <col min="8958" max="9197" width="11.42578125" style="1008"/>
    <col min="9198" max="9198" width="2.28515625" style="1008" customWidth="1"/>
    <col min="9199" max="9199" width="2.7109375" style="1008" customWidth="1"/>
    <col min="9200" max="9200" width="2.42578125" style="1008" customWidth="1"/>
    <col min="9201" max="9201" width="17.7109375" style="1008" customWidth="1"/>
    <col min="9202" max="9202" width="1.5703125" style="1008" customWidth="1"/>
    <col min="9203" max="9203" width="6.42578125" style="1008" customWidth="1"/>
    <col min="9204" max="9204" width="13.140625" style="1008" customWidth="1"/>
    <col min="9205" max="9205" width="1" style="1008" customWidth="1"/>
    <col min="9206" max="9206" width="19.5703125" style="1008" customWidth="1"/>
    <col min="9207" max="9207" width="0.85546875" style="1008" customWidth="1"/>
    <col min="9208" max="9208" width="14.42578125" style="1008" customWidth="1"/>
    <col min="9209" max="9209" width="12.85546875" style="1008" customWidth="1"/>
    <col min="9210" max="9210" width="6.140625" style="1008" customWidth="1"/>
    <col min="9211" max="9212" width="11.42578125" style="1008"/>
    <col min="9213" max="9213" width="15.42578125" style="1008" customWidth="1"/>
    <col min="9214" max="9453" width="11.42578125" style="1008"/>
    <col min="9454" max="9454" width="2.28515625" style="1008" customWidth="1"/>
    <col min="9455" max="9455" width="2.7109375" style="1008" customWidth="1"/>
    <col min="9456" max="9456" width="2.42578125" style="1008" customWidth="1"/>
    <col min="9457" max="9457" width="17.7109375" style="1008" customWidth="1"/>
    <col min="9458" max="9458" width="1.5703125" style="1008" customWidth="1"/>
    <col min="9459" max="9459" width="6.42578125" style="1008" customWidth="1"/>
    <col min="9460" max="9460" width="13.140625" style="1008" customWidth="1"/>
    <col min="9461" max="9461" width="1" style="1008" customWidth="1"/>
    <col min="9462" max="9462" width="19.5703125" style="1008" customWidth="1"/>
    <col min="9463" max="9463" width="0.85546875" style="1008" customWidth="1"/>
    <col min="9464" max="9464" width="14.42578125" style="1008" customWidth="1"/>
    <col min="9465" max="9465" width="12.85546875" style="1008" customWidth="1"/>
    <col min="9466" max="9466" width="6.140625" style="1008" customWidth="1"/>
    <col min="9467" max="9468" width="11.42578125" style="1008"/>
    <col min="9469" max="9469" width="15.42578125" style="1008" customWidth="1"/>
    <col min="9470" max="9709" width="11.42578125" style="1008"/>
    <col min="9710" max="9710" width="2.28515625" style="1008" customWidth="1"/>
    <col min="9711" max="9711" width="2.7109375" style="1008" customWidth="1"/>
    <col min="9712" max="9712" width="2.42578125" style="1008" customWidth="1"/>
    <col min="9713" max="9713" width="17.7109375" style="1008" customWidth="1"/>
    <col min="9714" max="9714" width="1.5703125" style="1008" customWidth="1"/>
    <col min="9715" max="9715" width="6.42578125" style="1008" customWidth="1"/>
    <col min="9716" max="9716" width="13.140625" style="1008" customWidth="1"/>
    <col min="9717" max="9717" width="1" style="1008" customWidth="1"/>
    <col min="9718" max="9718" width="19.5703125" style="1008" customWidth="1"/>
    <col min="9719" max="9719" width="0.85546875" style="1008" customWidth="1"/>
    <col min="9720" max="9720" width="14.42578125" style="1008" customWidth="1"/>
    <col min="9721" max="9721" width="12.85546875" style="1008" customWidth="1"/>
    <col min="9722" max="9722" width="6.140625" style="1008" customWidth="1"/>
    <col min="9723" max="9724" width="11.42578125" style="1008"/>
    <col min="9725" max="9725" width="15.42578125" style="1008" customWidth="1"/>
    <col min="9726" max="9965" width="11.42578125" style="1008"/>
    <col min="9966" max="9966" width="2.28515625" style="1008" customWidth="1"/>
    <col min="9967" max="9967" width="2.7109375" style="1008" customWidth="1"/>
    <col min="9968" max="9968" width="2.42578125" style="1008" customWidth="1"/>
    <col min="9969" max="9969" width="17.7109375" style="1008" customWidth="1"/>
    <col min="9970" max="9970" width="1.5703125" style="1008" customWidth="1"/>
    <col min="9971" max="9971" width="6.42578125" style="1008" customWidth="1"/>
    <col min="9972" max="9972" width="13.140625" style="1008" customWidth="1"/>
    <col min="9973" max="9973" width="1" style="1008" customWidth="1"/>
    <col min="9974" max="9974" width="19.5703125" style="1008" customWidth="1"/>
    <col min="9975" max="9975" width="0.85546875" style="1008" customWidth="1"/>
    <col min="9976" max="9976" width="14.42578125" style="1008" customWidth="1"/>
    <col min="9977" max="9977" width="12.85546875" style="1008" customWidth="1"/>
    <col min="9978" max="9978" width="6.140625" style="1008" customWidth="1"/>
    <col min="9979" max="9980" width="11.42578125" style="1008"/>
    <col min="9981" max="9981" width="15.42578125" style="1008" customWidth="1"/>
    <col min="9982" max="10221" width="11.42578125" style="1008"/>
    <col min="10222" max="10222" width="2.28515625" style="1008" customWidth="1"/>
    <col min="10223" max="10223" width="2.7109375" style="1008" customWidth="1"/>
    <col min="10224" max="10224" width="2.42578125" style="1008" customWidth="1"/>
    <col min="10225" max="10225" width="17.7109375" style="1008" customWidth="1"/>
    <col min="10226" max="10226" width="1.5703125" style="1008" customWidth="1"/>
    <col min="10227" max="10227" width="6.42578125" style="1008" customWidth="1"/>
    <col min="10228" max="10228" width="13.140625" style="1008" customWidth="1"/>
    <col min="10229" max="10229" width="1" style="1008" customWidth="1"/>
    <col min="10230" max="10230" width="19.5703125" style="1008" customWidth="1"/>
    <col min="10231" max="10231" width="0.85546875" style="1008" customWidth="1"/>
    <col min="10232" max="10232" width="14.42578125" style="1008" customWidth="1"/>
    <col min="10233" max="10233" width="12.85546875" style="1008" customWidth="1"/>
    <col min="10234" max="10234" width="6.140625" style="1008" customWidth="1"/>
    <col min="10235" max="10236" width="11.42578125" style="1008"/>
    <col min="10237" max="10237" width="15.42578125" style="1008" customWidth="1"/>
    <col min="10238" max="10477" width="11.42578125" style="1008"/>
    <col min="10478" max="10478" width="2.28515625" style="1008" customWidth="1"/>
    <col min="10479" max="10479" width="2.7109375" style="1008" customWidth="1"/>
    <col min="10480" max="10480" width="2.42578125" style="1008" customWidth="1"/>
    <col min="10481" max="10481" width="17.7109375" style="1008" customWidth="1"/>
    <col min="10482" max="10482" width="1.5703125" style="1008" customWidth="1"/>
    <col min="10483" max="10483" width="6.42578125" style="1008" customWidth="1"/>
    <col min="10484" max="10484" width="13.140625" style="1008" customWidth="1"/>
    <col min="10485" max="10485" width="1" style="1008" customWidth="1"/>
    <col min="10486" max="10486" width="19.5703125" style="1008" customWidth="1"/>
    <col min="10487" max="10487" width="0.85546875" style="1008" customWidth="1"/>
    <col min="10488" max="10488" width="14.42578125" style="1008" customWidth="1"/>
    <col min="10489" max="10489" width="12.85546875" style="1008" customWidth="1"/>
    <col min="10490" max="10490" width="6.140625" style="1008" customWidth="1"/>
    <col min="10491" max="10492" width="11.42578125" style="1008"/>
    <col min="10493" max="10493" width="15.42578125" style="1008" customWidth="1"/>
    <col min="10494" max="10733" width="11.42578125" style="1008"/>
    <col min="10734" max="10734" width="2.28515625" style="1008" customWidth="1"/>
    <col min="10735" max="10735" width="2.7109375" style="1008" customWidth="1"/>
    <col min="10736" max="10736" width="2.42578125" style="1008" customWidth="1"/>
    <col min="10737" max="10737" width="17.7109375" style="1008" customWidth="1"/>
    <col min="10738" max="10738" width="1.5703125" style="1008" customWidth="1"/>
    <col min="10739" max="10739" width="6.42578125" style="1008" customWidth="1"/>
    <col min="10740" max="10740" width="13.140625" style="1008" customWidth="1"/>
    <col min="10741" max="10741" width="1" style="1008" customWidth="1"/>
    <col min="10742" max="10742" width="19.5703125" style="1008" customWidth="1"/>
    <col min="10743" max="10743" width="0.85546875" style="1008" customWidth="1"/>
    <col min="10744" max="10744" width="14.42578125" style="1008" customWidth="1"/>
    <col min="10745" max="10745" width="12.85546875" style="1008" customWidth="1"/>
    <col min="10746" max="10746" width="6.140625" style="1008" customWidth="1"/>
    <col min="10747" max="10748" width="11.42578125" style="1008"/>
    <col min="10749" max="10749" width="15.42578125" style="1008" customWidth="1"/>
    <col min="10750" max="10989" width="11.42578125" style="1008"/>
    <col min="10990" max="10990" width="2.28515625" style="1008" customWidth="1"/>
    <col min="10991" max="10991" width="2.7109375" style="1008" customWidth="1"/>
    <col min="10992" max="10992" width="2.42578125" style="1008" customWidth="1"/>
    <col min="10993" max="10993" width="17.7109375" style="1008" customWidth="1"/>
    <col min="10994" max="10994" width="1.5703125" style="1008" customWidth="1"/>
    <col min="10995" max="10995" width="6.42578125" style="1008" customWidth="1"/>
    <col min="10996" max="10996" width="13.140625" style="1008" customWidth="1"/>
    <col min="10997" max="10997" width="1" style="1008" customWidth="1"/>
    <col min="10998" max="10998" width="19.5703125" style="1008" customWidth="1"/>
    <col min="10999" max="10999" width="0.85546875" style="1008" customWidth="1"/>
    <col min="11000" max="11000" width="14.42578125" style="1008" customWidth="1"/>
    <col min="11001" max="11001" width="12.85546875" style="1008" customWidth="1"/>
    <col min="11002" max="11002" width="6.140625" style="1008" customWidth="1"/>
    <col min="11003" max="11004" width="11.42578125" style="1008"/>
    <col min="11005" max="11005" width="15.42578125" style="1008" customWidth="1"/>
    <col min="11006" max="11245" width="11.42578125" style="1008"/>
    <col min="11246" max="11246" width="2.28515625" style="1008" customWidth="1"/>
    <col min="11247" max="11247" width="2.7109375" style="1008" customWidth="1"/>
    <col min="11248" max="11248" width="2.42578125" style="1008" customWidth="1"/>
    <col min="11249" max="11249" width="17.7109375" style="1008" customWidth="1"/>
    <col min="11250" max="11250" width="1.5703125" style="1008" customWidth="1"/>
    <col min="11251" max="11251" width="6.42578125" style="1008" customWidth="1"/>
    <col min="11252" max="11252" width="13.140625" style="1008" customWidth="1"/>
    <col min="11253" max="11253" width="1" style="1008" customWidth="1"/>
    <col min="11254" max="11254" width="19.5703125" style="1008" customWidth="1"/>
    <col min="11255" max="11255" width="0.85546875" style="1008" customWidth="1"/>
    <col min="11256" max="11256" width="14.42578125" style="1008" customWidth="1"/>
    <col min="11257" max="11257" width="12.85546875" style="1008" customWidth="1"/>
    <col min="11258" max="11258" width="6.140625" style="1008" customWidth="1"/>
    <col min="11259" max="11260" width="11.42578125" style="1008"/>
    <col min="11261" max="11261" width="15.42578125" style="1008" customWidth="1"/>
    <col min="11262" max="11501" width="11.42578125" style="1008"/>
    <col min="11502" max="11502" width="2.28515625" style="1008" customWidth="1"/>
    <col min="11503" max="11503" width="2.7109375" style="1008" customWidth="1"/>
    <col min="11504" max="11504" width="2.42578125" style="1008" customWidth="1"/>
    <col min="11505" max="11505" width="17.7109375" style="1008" customWidth="1"/>
    <col min="11506" max="11506" width="1.5703125" style="1008" customWidth="1"/>
    <col min="11507" max="11507" width="6.42578125" style="1008" customWidth="1"/>
    <col min="11508" max="11508" width="13.140625" style="1008" customWidth="1"/>
    <col min="11509" max="11509" width="1" style="1008" customWidth="1"/>
    <col min="11510" max="11510" width="19.5703125" style="1008" customWidth="1"/>
    <col min="11511" max="11511" width="0.85546875" style="1008" customWidth="1"/>
    <col min="11512" max="11512" width="14.42578125" style="1008" customWidth="1"/>
    <col min="11513" max="11513" width="12.85546875" style="1008" customWidth="1"/>
    <col min="11514" max="11514" width="6.140625" style="1008" customWidth="1"/>
    <col min="11515" max="11516" width="11.42578125" style="1008"/>
    <col min="11517" max="11517" width="15.42578125" style="1008" customWidth="1"/>
    <col min="11518" max="11757" width="11.42578125" style="1008"/>
    <col min="11758" max="11758" width="2.28515625" style="1008" customWidth="1"/>
    <col min="11759" max="11759" width="2.7109375" style="1008" customWidth="1"/>
    <col min="11760" max="11760" width="2.42578125" style="1008" customWidth="1"/>
    <col min="11761" max="11761" width="17.7109375" style="1008" customWidth="1"/>
    <col min="11762" max="11762" width="1.5703125" style="1008" customWidth="1"/>
    <col min="11763" max="11763" width="6.42578125" style="1008" customWidth="1"/>
    <col min="11764" max="11764" width="13.140625" style="1008" customWidth="1"/>
    <col min="11765" max="11765" width="1" style="1008" customWidth="1"/>
    <col min="11766" max="11766" width="19.5703125" style="1008" customWidth="1"/>
    <col min="11767" max="11767" width="0.85546875" style="1008" customWidth="1"/>
    <col min="11768" max="11768" width="14.42578125" style="1008" customWidth="1"/>
    <col min="11769" max="11769" width="12.85546875" style="1008" customWidth="1"/>
    <col min="11770" max="11770" width="6.140625" style="1008" customWidth="1"/>
    <col min="11771" max="11772" width="11.42578125" style="1008"/>
    <col min="11773" max="11773" width="15.42578125" style="1008" customWidth="1"/>
    <col min="11774" max="12013" width="11.42578125" style="1008"/>
    <col min="12014" max="12014" width="2.28515625" style="1008" customWidth="1"/>
    <col min="12015" max="12015" width="2.7109375" style="1008" customWidth="1"/>
    <col min="12016" max="12016" width="2.42578125" style="1008" customWidth="1"/>
    <col min="12017" max="12017" width="17.7109375" style="1008" customWidth="1"/>
    <col min="12018" max="12018" width="1.5703125" style="1008" customWidth="1"/>
    <col min="12019" max="12019" width="6.42578125" style="1008" customWidth="1"/>
    <col min="12020" max="12020" width="13.140625" style="1008" customWidth="1"/>
    <col min="12021" max="12021" width="1" style="1008" customWidth="1"/>
    <col min="12022" max="12022" width="19.5703125" style="1008" customWidth="1"/>
    <col min="12023" max="12023" width="0.85546875" style="1008" customWidth="1"/>
    <col min="12024" max="12024" width="14.42578125" style="1008" customWidth="1"/>
    <col min="12025" max="12025" width="12.85546875" style="1008" customWidth="1"/>
    <col min="12026" max="12026" width="6.140625" style="1008" customWidth="1"/>
    <col min="12027" max="12028" width="11.42578125" style="1008"/>
    <col min="12029" max="12029" width="15.42578125" style="1008" customWidth="1"/>
    <col min="12030" max="12269" width="11.42578125" style="1008"/>
    <col min="12270" max="12270" width="2.28515625" style="1008" customWidth="1"/>
    <col min="12271" max="12271" width="2.7109375" style="1008" customWidth="1"/>
    <col min="12272" max="12272" width="2.42578125" style="1008" customWidth="1"/>
    <col min="12273" max="12273" width="17.7109375" style="1008" customWidth="1"/>
    <col min="12274" max="12274" width="1.5703125" style="1008" customWidth="1"/>
    <col min="12275" max="12275" width="6.42578125" style="1008" customWidth="1"/>
    <col min="12276" max="12276" width="13.140625" style="1008" customWidth="1"/>
    <col min="12277" max="12277" width="1" style="1008" customWidth="1"/>
    <col min="12278" max="12278" width="19.5703125" style="1008" customWidth="1"/>
    <col min="12279" max="12279" width="0.85546875" style="1008" customWidth="1"/>
    <col min="12280" max="12280" width="14.42578125" style="1008" customWidth="1"/>
    <col min="12281" max="12281" width="12.85546875" style="1008" customWidth="1"/>
    <col min="12282" max="12282" width="6.140625" style="1008" customWidth="1"/>
    <col min="12283" max="12284" width="11.42578125" style="1008"/>
    <col min="12285" max="12285" width="15.42578125" style="1008" customWidth="1"/>
    <col min="12286" max="12525" width="11.42578125" style="1008"/>
    <col min="12526" max="12526" width="2.28515625" style="1008" customWidth="1"/>
    <col min="12527" max="12527" width="2.7109375" style="1008" customWidth="1"/>
    <col min="12528" max="12528" width="2.42578125" style="1008" customWidth="1"/>
    <col min="12529" max="12529" width="17.7109375" style="1008" customWidth="1"/>
    <col min="12530" max="12530" width="1.5703125" style="1008" customWidth="1"/>
    <col min="12531" max="12531" width="6.42578125" style="1008" customWidth="1"/>
    <col min="12532" max="12532" width="13.140625" style="1008" customWidth="1"/>
    <col min="12533" max="12533" width="1" style="1008" customWidth="1"/>
    <col min="12534" max="12534" width="19.5703125" style="1008" customWidth="1"/>
    <col min="12535" max="12535" width="0.85546875" style="1008" customWidth="1"/>
    <col min="12536" max="12536" width="14.42578125" style="1008" customWidth="1"/>
    <col min="12537" max="12537" width="12.85546875" style="1008" customWidth="1"/>
    <col min="12538" max="12538" width="6.140625" style="1008" customWidth="1"/>
    <col min="12539" max="12540" width="11.42578125" style="1008"/>
    <col min="12541" max="12541" width="15.42578125" style="1008" customWidth="1"/>
    <col min="12542" max="12781" width="11.42578125" style="1008"/>
    <col min="12782" max="12782" width="2.28515625" style="1008" customWidth="1"/>
    <col min="12783" max="12783" width="2.7109375" style="1008" customWidth="1"/>
    <col min="12784" max="12784" width="2.42578125" style="1008" customWidth="1"/>
    <col min="12785" max="12785" width="17.7109375" style="1008" customWidth="1"/>
    <col min="12786" max="12786" width="1.5703125" style="1008" customWidth="1"/>
    <col min="12787" max="12787" width="6.42578125" style="1008" customWidth="1"/>
    <col min="12788" max="12788" width="13.140625" style="1008" customWidth="1"/>
    <col min="12789" max="12789" width="1" style="1008" customWidth="1"/>
    <col min="12790" max="12790" width="19.5703125" style="1008" customWidth="1"/>
    <col min="12791" max="12791" width="0.85546875" style="1008" customWidth="1"/>
    <col min="12792" max="12792" width="14.42578125" style="1008" customWidth="1"/>
    <col min="12793" max="12793" width="12.85546875" style="1008" customWidth="1"/>
    <col min="12794" max="12794" width="6.140625" style="1008" customWidth="1"/>
    <col min="12795" max="12796" width="11.42578125" style="1008"/>
    <col min="12797" max="12797" width="15.42578125" style="1008" customWidth="1"/>
    <col min="12798" max="13037" width="11.42578125" style="1008"/>
    <col min="13038" max="13038" width="2.28515625" style="1008" customWidth="1"/>
    <col min="13039" max="13039" width="2.7109375" style="1008" customWidth="1"/>
    <col min="13040" max="13040" width="2.42578125" style="1008" customWidth="1"/>
    <col min="13041" max="13041" width="17.7109375" style="1008" customWidth="1"/>
    <col min="13042" max="13042" width="1.5703125" style="1008" customWidth="1"/>
    <col min="13043" max="13043" width="6.42578125" style="1008" customWidth="1"/>
    <col min="13044" max="13044" width="13.140625" style="1008" customWidth="1"/>
    <col min="13045" max="13045" width="1" style="1008" customWidth="1"/>
    <col min="13046" max="13046" width="19.5703125" style="1008" customWidth="1"/>
    <col min="13047" max="13047" width="0.85546875" style="1008" customWidth="1"/>
    <col min="13048" max="13048" width="14.42578125" style="1008" customWidth="1"/>
    <col min="13049" max="13049" width="12.85546875" style="1008" customWidth="1"/>
    <col min="13050" max="13050" width="6.140625" style="1008" customWidth="1"/>
    <col min="13051" max="13052" width="11.42578125" style="1008"/>
    <col min="13053" max="13053" width="15.42578125" style="1008" customWidth="1"/>
    <col min="13054" max="13293" width="11.42578125" style="1008"/>
    <col min="13294" max="13294" width="2.28515625" style="1008" customWidth="1"/>
    <col min="13295" max="13295" width="2.7109375" style="1008" customWidth="1"/>
    <col min="13296" max="13296" width="2.42578125" style="1008" customWidth="1"/>
    <col min="13297" max="13297" width="17.7109375" style="1008" customWidth="1"/>
    <col min="13298" max="13298" width="1.5703125" style="1008" customWidth="1"/>
    <col min="13299" max="13299" width="6.42578125" style="1008" customWidth="1"/>
    <col min="13300" max="13300" width="13.140625" style="1008" customWidth="1"/>
    <col min="13301" max="13301" width="1" style="1008" customWidth="1"/>
    <col min="13302" max="13302" width="19.5703125" style="1008" customWidth="1"/>
    <col min="13303" max="13303" width="0.85546875" style="1008" customWidth="1"/>
    <col min="13304" max="13304" width="14.42578125" style="1008" customWidth="1"/>
    <col min="13305" max="13305" width="12.85546875" style="1008" customWidth="1"/>
    <col min="13306" max="13306" width="6.140625" style="1008" customWidth="1"/>
    <col min="13307" max="13308" width="11.42578125" style="1008"/>
    <col min="13309" max="13309" width="15.42578125" style="1008" customWidth="1"/>
    <col min="13310" max="13549" width="11.42578125" style="1008"/>
    <col min="13550" max="13550" width="2.28515625" style="1008" customWidth="1"/>
    <col min="13551" max="13551" width="2.7109375" style="1008" customWidth="1"/>
    <col min="13552" max="13552" width="2.42578125" style="1008" customWidth="1"/>
    <col min="13553" max="13553" width="17.7109375" style="1008" customWidth="1"/>
    <col min="13554" max="13554" width="1.5703125" style="1008" customWidth="1"/>
    <col min="13555" max="13555" width="6.42578125" style="1008" customWidth="1"/>
    <col min="13556" max="13556" width="13.140625" style="1008" customWidth="1"/>
    <col min="13557" max="13557" width="1" style="1008" customWidth="1"/>
    <col min="13558" max="13558" width="19.5703125" style="1008" customWidth="1"/>
    <col min="13559" max="13559" width="0.85546875" style="1008" customWidth="1"/>
    <col min="13560" max="13560" width="14.42578125" style="1008" customWidth="1"/>
    <col min="13561" max="13561" width="12.85546875" style="1008" customWidth="1"/>
    <col min="13562" max="13562" width="6.140625" style="1008" customWidth="1"/>
    <col min="13563" max="13564" width="11.42578125" style="1008"/>
    <col min="13565" max="13565" width="15.42578125" style="1008" customWidth="1"/>
    <col min="13566" max="13805" width="11.42578125" style="1008"/>
    <col min="13806" max="13806" width="2.28515625" style="1008" customWidth="1"/>
    <col min="13807" max="13807" width="2.7109375" style="1008" customWidth="1"/>
    <col min="13808" max="13808" width="2.42578125" style="1008" customWidth="1"/>
    <col min="13809" max="13809" width="17.7109375" style="1008" customWidth="1"/>
    <col min="13810" max="13810" width="1.5703125" style="1008" customWidth="1"/>
    <col min="13811" max="13811" width="6.42578125" style="1008" customWidth="1"/>
    <col min="13812" max="13812" width="13.140625" style="1008" customWidth="1"/>
    <col min="13813" max="13813" width="1" style="1008" customWidth="1"/>
    <col min="13814" max="13814" width="19.5703125" style="1008" customWidth="1"/>
    <col min="13815" max="13815" width="0.85546875" style="1008" customWidth="1"/>
    <col min="13816" max="13816" width="14.42578125" style="1008" customWidth="1"/>
    <col min="13817" max="13817" width="12.85546875" style="1008" customWidth="1"/>
    <col min="13818" max="13818" width="6.140625" style="1008" customWidth="1"/>
    <col min="13819" max="13820" width="11.42578125" style="1008"/>
    <col min="13821" max="13821" width="15.42578125" style="1008" customWidth="1"/>
    <col min="13822" max="14061" width="11.42578125" style="1008"/>
    <col min="14062" max="14062" width="2.28515625" style="1008" customWidth="1"/>
    <col min="14063" max="14063" width="2.7109375" style="1008" customWidth="1"/>
    <col min="14064" max="14064" width="2.42578125" style="1008" customWidth="1"/>
    <col min="14065" max="14065" width="17.7109375" style="1008" customWidth="1"/>
    <col min="14066" max="14066" width="1.5703125" style="1008" customWidth="1"/>
    <col min="14067" max="14067" width="6.42578125" style="1008" customWidth="1"/>
    <col min="14068" max="14068" width="13.140625" style="1008" customWidth="1"/>
    <col min="14069" max="14069" width="1" style="1008" customWidth="1"/>
    <col min="14070" max="14070" width="19.5703125" style="1008" customWidth="1"/>
    <col min="14071" max="14071" width="0.85546875" style="1008" customWidth="1"/>
    <col min="14072" max="14072" width="14.42578125" style="1008" customWidth="1"/>
    <col min="14073" max="14073" width="12.85546875" style="1008" customWidth="1"/>
    <col min="14074" max="14074" width="6.140625" style="1008" customWidth="1"/>
    <col min="14075" max="14076" width="11.42578125" style="1008"/>
    <col min="14077" max="14077" width="15.42578125" style="1008" customWidth="1"/>
    <col min="14078" max="14317" width="11.42578125" style="1008"/>
    <col min="14318" max="14318" width="2.28515625" style="1008" customWidth="1"/>
    <col min="14319" max="14319" width="2.7109375" style="1008" customWidth="1"/>
    <col min="14320" max="14320" width="2.42578125" style="1008" customWidth="1"/>
    <col min="14321" max="14321" width="17.7109375" style="1008" customWidth="1"/>
    <col min="14322" max="14322" width="1.5703125" style="1008" customWidth="1"/>
    <col min="14323" max="14323" width="6.42578125" style="1008" customWidth="1"/>
    <col min="14324" max="14324" width="13.140625" style="1008" customWidth="1"/>
    <col min="14325" max="14325" width="1" style="1008" customWidth="1"/>
    <col min="14326" max="14326" width="19.5703125" style="1008" customWidth="1"/>
    <col min="14327" max="14327" width="0.85546875" style="1008" customWidth="1"/>
    <col min="14328" max="14328" width="14.42578125" style="1008" customWidth="1"/>
    <col min="14329" max="14329" width="12.85546875" style="1008" customWidth="1"/>
    <col min="14330" max="14330" width="6.140625" style="1008" customWidth="1"/>
    <col min="14331" max="14332" width="11.42578125" style="1008"/>
    <col min="14333" max="14333" width="15.42578125" style="1008" customWidth="1"/>
    <col min="14334" max="14573" width="11.42578125" style="1008"/>
    <col min="14574" max="14574" width="2.28515625" style="1008" customWidth="1"/>
    <col min="14575" max="14575" width="2.7109375" style="1008" customWidth="1"/>
    <col min="14576" max="14576" width="2.42578125" style="1008" customWidth="1"/>
    <col min="14577" max="14577" width="17.7109375" style="1008" customWidth="1"/>
    <col min="14578" max="14578" width="1.5703125" style="1008" customWidth="1"/>
    <col min="14579" max="14579" width="6.42578125" style="1008" customWidth="1"/>
    <col min="14580" max="14580" width="13.140625" style="1008" customWidth="1"/>
    <col min="14581" max="14581" width="1" style="1008" customWidth="1"/>
    <col min="14582" max="14582" width="19.5703125" style="1008" customWidth="1"/>
    <col min="14583" max="14583" width="0.85546875" style="1008" customWidth="1"/>
    <col min="14584" max="14584" width="14.42578125" style="1008" customWidth="1"/>
    <col min="14585" max="14585" width="12.85546875" style="1008" customWidth="1"/>
    <col min="14586" max="14586" width="6.140625" style="1008" customWidth="1"/>
    <col min="14587" max="14588" width="11.42578125" style="1008"/>
    <col min="14589" max="14589" width="15.42578125" style="1008" customWidth="1"/>
    <col min="14590" max="14829" width="11.42578125" style="1008"/>
    <col min="14830" max="14830" width="2.28515625" style="1008" customWidth="1"/>
    <col min="14831" max="14831" width="2.7109375" style="1008" customWidth="1"/>
    <col min="14832" max="14832" width="2.42578125" style="1008" customWidth="1"/>
    <col min="14833" max="14833" width="17.7109375" style="1008" customWidth="1"/>
    <col min="14834" max="14834" width="1.5703125" style="1008" customWidth="1"/>
    <col min="14835" max="14835" width="6.42578125" style="1008" customWidth="1"/>
    <col min="14836" max="14836" width="13.140625" style="1008" customWidth="1"/>
    <col min="14837" max="14837" width="1" style="1008" customWidth="1"/>
    <col min="14838" max="14838" width="19.5703125" style="1008" customWidth="1"/>
    <col min="14839" max="14839" width="0.85546875" style="1008" customWidth="1"/>
    <col min="14840" max="14840" width="14.42578125" style="1008" customWidth="1"/>
    <col min="14841" max="14841" width="12.85546875" style="1008" customWidth="1"/>
    <col min="14842" max="14842" width="6.140625" style="1008" customWidth="1"/>
    <col min="14843" max="14844" width="11.42578125" style="1008"/>
    <col min="14845" max="14845" width="15.42578125" style="1008" customWidth="1"/>
    <col min="14846" max="15085" width="11.42578125" style="1008"/>
    <col min="15086" max="15086" width="2.28515625" style="1008" customWidth="1"/>
    <col min="15087" max="15087" width="2.7109375" style="1008" customWidth="1"/>
    <col min="15088" max="15088" width="2.42578125" style="1008" customWidth="1"/>
    <col min="15089" max="15089" width="17.7109375" style="1008" customWidth="1"/>
    <col min="15090" max="15090" width="1.5703125" style="1008" customWidth="1"/>
    <col min="15091" max="15091" width="6.42578125" style="1008" customWidth="1"/>
    <col min="15092" max="15092" width="13.140625" style="1008" customWidth="1"/>
    <col min="15093" max="15093" width="1" style="1008" customWidth="1"/>
    <col min="15094" max="15094" width="19.5703125" style="1008" customWidth="1"/>
    <col min="15095" max="15095" width="0.85546875" style="1008" customWidth="1"/>
    <col min="15096" max="15096" width="14.42578125" style="1008" customWidth="1"/>
    <col min="15097" max="15097" width="12.85546875" style="1008" customWidth="1"/>
    <col min="15098" max="15098" width="6.140625" style="1008" customWidth="1"/>
    <col min="15099" max="15100" width="11.42578125" style="1008"/>
    <col min="15101" max="15101" width="15.42578125" style="1008" customWidth="1"/>
    <col min="15102" max="15341" width="11.42578125" style="1008"/>
    <col min="15342" max="15342" width="2.28515625" style="1008" customWidth="1"/>
    <col min="15343" max="15343" width="2.7109375" style="1008" customWidth="1"/>
    <col min="15344" max="15344" width="2.42578125" style="1008" customWidth="1"/>
    <col min="15345" max="15345" width="17.7109375" style="1008" customWidth="1"/>
    <col min="15346" max="15346" width="1.5703125" style="1008" customWidth="1"/>
    <col min="15347" max="15347" width="6.42578125" style="1008" customWidth="1"/>
    <col min="15348" max="15348" width="13.140625" style="1008" customWidth="1"/>
    <col min="15349" max="15349" width="1" style="1008" customWidth="1"/>
    <col min="15350" max="15350" width="19.5703125" style="1008" customWidth="1"/>
    <col min="15351" max="15351" width="0.85546875" style="1008" customWidth="1"/>
    <col min="15352" max="15352" width="14.42578125" style="1008" customWidth="1"/>
    <col min="15353" max="15353" width="12.85546875" style="1008" customWidth="1"/>
    <col min="15354" max="15354" width="6.140625" style="1008" customWidth="1"/>
    <col min="15355" max="15356" width="11.42578125" style="1008"/>
    <col min="15357" max="15357" width="15.42578125" style="1008" customWidth="1"/>
    <col min="15358" max="15597" width="11.42578125" style="1008"/>
    <col min="15598" max="15598" width="2.28515625" style="1008" customWidth="1"/>
    <col min="15599" max="15599" width="2.7109375" style="1008" customWidth="1"/>
    <col min="15600" max="15600" width="2.42578125" style="1008" customWidth="1"/>
    <col min="15601" max="15601" width="17.7109375" style="1008" customWidth="1"/>
    <col min="15602" max="15602" width="1.5703125" style="1008" customWidth="1"/>
    <col min="15603" max="15603" width="6.42578125" style="1008" customWidth="1"/>
    <col min="15604" max="15604" width="13.140625" style="1008" customWidth="1"/>
    <col min="15605" max="15605" width="1" style="1008" customWidth="1"/>
    <col min="15606" max="15606" width="19.5703125" style="1008" customWidth="1"/>
    <col min="15607" max="15607" width="0.85546875" style="1008" customWidth="1"/>
    <col min="15608" max="15608" width="14.42578125" style="1008" customWidth="1"/>
    <col min="15609" max="15609" width="12.85546875" style="1008" customWidth="1"/>
    <col min="15610" max="15610" width="6.140625" style="1008" customWidth="1"/>
    <col min="15611" max="15612" width="11.42578125" style="1008"/>
    <col min="15613" max="15613" width="15.42578125" style="1008" customWidth="1"/>
    <col min="15614" max="15853" width="11.42578125" style="1008"/>
    <col min="15854" max="15854" width="2.28515625" style="1008" customWidth="1"/>
    <col min="15855" max="15855" width="2.7109375" style="1008" customWidth="1"/>
    <col min="15856" max="15856" width="2.42578125" style="1008" customWidth="1"/>
    <col min="15857" max="15857" width="17.7109375" style="1008" customWidth="1"/>
    <col min="15858" max="15858" width="1.5703125" style="1008" customWidth="1"/>
    <col min="15859" max="15859" width="6.42578125" style="1008" customWidth="1"/>
    <col min="15860" max="15860" width="13.140625" style="1008" customWidth="1"/>
    <col min="15861" max="15861" width="1" style="1008" customWidth="1"/>
    <col min="15862" max="15862" width="19.5703125" style="1008" customWidth="1"/>
    <col min="15863" max="15863" width="0.85546875" style="1008" customWidth="1"/>
    <col min="15864" max="15864" width="14.42578125" style="1008" customWidth="1"/>
    <col min="15865" max="15865" width="12.85546875" style="1008" customWidth="1"/>
    <col min="15866" max="15866" width="6.140625" style="1008" customWidth="1"/>
    <col min="15867" max="15868" width="11.42578125" style="1008"/>
    <col min="15869" max="15869" width="15.42578125" style="1008" customWidth="1"/>
    <col min="15870" max="16109" width="11.42578125" style="1008"/>
    <col min="16110" max="16110" width="2.28515625" style="1008" customWidth="1"/>
    <col min="16111" max="16111" width="2.7109375" style="1008" customWidth="1"/>
    <col min="16112" max="16112" width="2.42578125" style="1008" customWidth="1"/>
    <col min="16113" max="16113" width="17.7109375" style="1008" customWidth="1"/>
    <col min="16114" max="16114" width="1.5703125" style="1008" customWidth="1"/>
    <col min="16115" max="16115" width="6.42578125" style="1008" customWidth="1"/>
    <col min="16116" max="16116" width="13.140625" style="1008" customWidth="1"/>
    <col min="16117" max="16117" width="1" style="1008" customWidth="1"/>
    <col min="16118" max="16118" width="19.5703125" style="1008" customWidth="1"/>
    <col min="16119" max="16119" width="0.85546875" style="1008" customWidth="1"/>
    <col min="16120" max="16120" width="14.42578125" style="1008" customWidth="1"/>
    <col min="16121" max="16121" width="12.85546875" style="1008" customWidth="1"/>
    <col min="16122" max="16122" width="6.140625" style="1008" customWidth="1"/>
    <col min="16123" max="16124" width="11.42578125" style="1008"/>
    <col min="16125" max="16125" width="15.42578125" style="1008" customWidth="1"/>
    <col min="16126" max="16384" width="11.42578125" style="1008"/>
  </cols>
  <sheetData>
    <row r="1" spans="1:18" ht="9" hidden="1" customHeight="1" x14ac:dyDescent="0.2"/>
    <row r="2" spans="1:18" ht="51" customHeight="1" x14ac:dyDescent="0.2">
      <c r="A2" s="2869" t="s">
        <v>280</v>
      </c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1"/>
    </row>
    <row r="3" spans="1:18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4"/>
    </row>
    <row r="4" spans="1:18" ht="16.5" thickTop="1" x14ac:dyDescent="0.25">
      <c r="A4" s="2953" t="s">
        <v>1076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7"/>
    </row>
    <row r="5" spans="1:18" ht="15.75" x14ac:dyDescent="0.2">
      <c r="A5" s="2954" t="str">
        <f>"N° "&amp;'F-LSCD-012'!C25&amp;" ALEPH/GR/LSCD"</f>
        <v>N° 029-2021 ALEPH/GR/LSCD</v>
      </c>
      <c r="B5" s="2955"/>
      <c r="C5" s="2955"/>
      <c r="D5" s="2955"/>
      <c r="E5" s="2955"/>
      <c r="F5" s="2955"/>
      <c r="G5" s="2955"/>
      <c r="H5" s="2955"/>
      <c r="I5" s="2955"/>
      <c r="J5" s="2955"/>
      <c r="K5" s="2955"/>
      <c r="L5" s="2955"/>
      <c r="M5" s="2955"/>
      <c r="N5" s="2955"/>
      <c r="O5" s="2955"/>
      <c r="P5" s="2955"/>
      <c r="Q5" s="2955"/>
      <c r="R5" s="2956"/>
    </row>
    <row r="6" spans="1:18" ht="15.75" x14ac:dyDescent="0.2">
      <c r="A6" s="2878" t="s">
        <v>253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80"/>
    </row>
    <row r="7" spans="1:18" ht="15.75" x14ac:dyDescent="0.2">
      <c r="A7" s="2878" t="s">
        <v>275</v>
      </c>
      <c r="B7" s="2879"/>
      <c r="C7" s="2879"/>
      <c r="D7" s="2879"/>
      <c r="E7" s="2879"/>
      <c r="F7" s="2879"/>
      <c r="G7" s="2879"/>
      <c r="H7" s="2879"/>
      <c r="I7" s="2879"/>
      <c r="J7" s="2879"/>
      <c r="K7" s="2879"/>
      <c r="L7" s="2879"/>
      <c r="M7" s="2879"/>
      <c r="N7" s="2879"/>
      <c r="O7" s="2879"/>
      <c r="P7" s="2879"/>
      <c r="Q7" s="2879"/>
      <c r="R7" s="2880"/>
    </row>
    <row r="8" spans="1:18" ht="4.9000000000000004" customHeight="1" x14ac:dyDescent="0.2">
      <c r="A8" s="2885"/>
      <c r="B8" s="2886"/>
      <c r="C8" s="2886"/>
      <c r="D8" s="2886"/>
      <c r="E8" s="2886"/>
      <c r="F8" s="2886"/>
      <c r="G8" s="2886"/>
      <c r="H8" s="2886"/>
      <c r="I8" s="2886"/>
      <c r="J8" s="2886"/>
      <c r="K8" s="2886"/>
      <c r="L8" s="2886"/>
      <c r="M8" s="2886"/>
      <c r="N8" s="2886"/>
      <c r="O8" s="2886"/>
      <c r="P8" s="2886"/>
      <c r="Q8" s="2886"/>
      <c r="R8" s="2887"/>
    </row>
    <row r="9" spans="1:18" ht="15" customHeight="1" x14ac:dyDescent="0.2">
      <c r="A9" s="1009"/>
      <c r="B9" s="1010" t="s">
        <v>217</v>
      </c>
      <c r="D9" s="1010" t="s">
        <v>218</v>
      </c>
      <c r="E9" s="163" t="s">
        <v>1053</v>
      </c>
      <c r="R9" s="1011"/>
    </row>
    <row r="10" spans="1:18" ht="12.75" customHeight="1" x14ac:dyDescent="0.2">
      <c r="A10" s="1009"/>
      <c r="C10" s="1010"/>
      <c r="D10" s="1010"/>
      <c r="E10" s="1008" t="s">
        <v>219</v>
      </c>
      <c r="P10" s="1428"/>
      <c r="Q10" s="1428"/>
      <c r="R10" s="1011"/>
    </row>
    <row r="11" spans="1:18" ht="6.75" customHeight="1" x14ac:dyDescent="0.2">
      <c r="A11" s="1009"/>
      <c r="P11" s="1428"/>
      <c r="Q11" s="1428"/>
      <c r="R11" s="1011"/>
    </row>
    <row r="12" spans="1:18" ht="13.5" customHeight="1" x14ac:dyDescent="0.2">
      <c r="A12" s="1009"/>
      <c r="B12" s="1010" t="s">
        <v>220</v>
      </c>
      <c r="D12" s="1010" t="s">
        <v>218</v>
      </c>
      <c r="E12" s="1008" t="str">
        <f>'F-LSCD-012'!C7</f>
        <v>ALEPH SAC</v>
      </c>
      <c r="P12" s="2906" t="s">
        <v>862</v>
      </c>
      <c r="Q12" s="2930"/>
      <c r="R12" s="1011"/>
    </row>
    <row r="13" spans="1:18" ht="24.75" customHeight="1" x14ac:dyDescent="0.2">
      <c r="A13" s="1009"/>
      <c r="E13" s="2882" t="str">
        <f>'F-LSCD-012'!C8</f>
        <v>Av. Rafael Escardo 154</v>
      </c>
      <c r="F13" s="2882"/>
      <c r="G13" s="2882"/>
      <c r="H13" s="2882"/>
      <c r="I13" s="2882"/>
      <c r="J13" s="2882"/>
      <c r="K13" s="2882"/>
      <c r="L13" s="2882"/>
      <c r="M13" s="2882"/>
      <c r="N13" s="2882"/>
      <c r="P13" s="2902"/>
      <c r="Q13" s="2930"/>
      <c r="R13" s="1011"/>
    </row>
    <row r="14" spans="1:18" ht="15" customHeight="1" x14ac:dyDescent="0.2">
      <c r="A14" s="1009"/>
      <c r="E14" s="1008" t="str">
        <f>'F-LSCD-012'!I8&amp;", "&amp;'F-LSCD-012'!L8&amp;", "&amp;'F-LSCD-012'!P8&amp;", "&amp;'F-LSCD-012'!T8</f>
        <v>San Miguel, Lima, Lima, Perú</v>
      </c>
      <c r="P14" s="2902"/>
      <c r="Q14" s="2930"/>
      <c r="R14" s="1011"/>
    </row>
    <row r="15" spans="1:18" ht="8.25" customHeight="1" x14ac:dyDescent="0.2">
      <c r="A15" s="1009"/>
      <c r="P15" s="2902"/>
      <c r="Q15" s="2930"/>
      <c r="R15" s="1011"/>
    </row>
    <row r="16" spans="1:18" x14ac:dyDescent="0.2">
      <c r="A16" s="1009"/>
      <c r="B16" s="1010" t="s">
        <v>222</v>
      </c>
      <c r="D16" s="1010" t="s">
        <v>218</v>
      </c>
      <c r="E16" s="1012" t="str">
        <f>'F-LSCD-012'!C6</f>
        <v>OT 111-12925</v>
      </c>
      <c r="F16" s="1013"/>
      <c r="G16" s="1013"/>
      <c r="H16" s="1013"/>
      <c r="I16" s="1013"/>
      <c r="J16" s="1013"/>
      <c r="K16" s="1014"/>
      <c r="L16" s="1014"/>
      <c r="M16" s="1014"/>
      <c r="N16" s="1015"/>
      <c r="O16" s="1016"/>
      <c r="P16" s="2902"/>
      <c r="Q16" s="2930"/>
      <c r="R16" s="1011"/>
    </row>
    <row r="17" spans="1:18" ht="5.25" customHeight="1" x14ac:dyDescent="0.2">
      <c r="A17" s="1009"/>
      <c r="P17" s="2902"/>
      <c r="Q17" s="2930"/>
      <c r="R17" s="1011"/>
    </row>
    <row r="18" spans="1:18" x14ac:dyDescent="0.2">
      <c r="A18" s="1009"/>
      <c r="B18" s="1010" t="s">
        <v>255</v>
      </c>
      <c r="D18" s="1010" t="s">
        <v>218</v>
      </c>
      <c r="E18" s="2883" t="str">
        <f>'F-LSCD-012'!C9</f>
        <v>Monitor de radiación (digital)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1017"/>
      <c r="P18" s="1018"/>
      <c r="Q18" s="1019"/>
      <c r="R18" s="1011"/>
    </row>
    <row r="19" spans="1:18" x14ac:dyDescent="0.2">
      <c r="A19" s="1009"/>
      <c r="B19" s="1010"/>
      <c r="D19" s="1010"/>
      <c r="E19" s="2884" t="str">
        <f>IF('F-LSCD-012'!C13="-","Marca monitor: "&amp;'F-LSCD-012'!C10,"Marca monitor: "&amp;'F-LSCD-012'!C10&amp;" / Marca sonda: "&amp;'F-LSCD-012'!C13)</f>
        <v>Marca monitor: MGP</v>
      </c>
      <c r="F19" s="2884"/>
      <c r="G19" s="2884"/>
      <c r="H19" s="2884"/>
      <c r="I19" s="2884"/>
      <c r="J19" s="2884"/>
      <c r="K19" s="2884"/>
      <c r="L19" s="2884"/>
      <c r="M19" s="2884"/>
      <c r="N19" s="2884"/>
      <c r="O19" s="1017"/>
      <c r="P19" s="1429"/>
      <c r="Q19" s="1428"/>
      <c r="R19" s="1011"/>
    </row>
    <row r="20" spans="1:18" ht="12" customHeight="1" x14ac:dyDescent="0.2">
      <c r="A20" s="1009"/>
      <c r="B20" s="1010"/>
      <c r="D20" s="1010"/>
      <c r="E20" s="2883" t="str">
        <f>IF('F-LSCD-012'!C13="-","Modelo monitor: "&amp;'F-LSCD-012'!C11,"Modelo monitor: "&amp;'F-LSCD-012'!C11&amp;" / Modelo sonda: "&amp;'F-LSCD-012'!C14)</f>
        <v>Modelo monitor: DMC 2000S</v>
      </c>
      <c r="F20" s="2883"/>
      <c r="G20" s="2883"/>
      <c r="H20" s="2883"/>
      <c r="I20" s="2883"/>
      <c r="J20" s="2883"/>
      <c r="K20" s="2883"/>
      <c r="L20" s="2883"/>
      <c r="M20" s="2883"/>
      <c r="N20" s="2883"/>
      <c r="O20" s="1017"/>
      <c r="P20" s="2904" t="s">
        <v>1077</v>
      </c>
      <c r="Q20" s="2947"/>
      <c r="R20" s="1011"/>
    </row>
    <row r="21" spans="1:18" ht="12" customHeight="1" x14ac:dyDescent="0.2">
      <c r="A21" s="1009"/>
      <c r="B21" s="1010"/>
      <c r="D21" s="1010"/>
      <c r="E21" s="2883" t="str">
        <f>IF('F-LSCD-012'!C13="-","Serie monitor: "&amp;'F-LSCD-012'!C12,"Serie monitor: "&amp;'F-LSCD-012'!C12&amp;" / Serie sonda: "&amp;'F-LSCD-012'!C15)</f>
        <v>Serie monitor: 690384T</v>
      </c>
      <c r="F21" s="2883"/>
      <c r="G21" s="2883"/>
      <c r="H21" s="2883"/>
      <c r="I21" s="2883"/>
      <c r="J21" s="2883"/>
      <c r="K21" s="2883"/>
      <c r="L21" s="2883"/>
      <c r="M21" s="2883"/>
      <c r="N21" s="2883"/>
      <c r="O21" s="1017"/>
      <c r="P21" s="2948"/>
      <c r="Q21" s="2947"/>
      <c r="R21" s="1011"/>
    </row>
    <row r="22" spans="1:18" ht="8.25" customHeight="1" x14ac:dyDescent="0.2">
      <c r="A22" s="1009"/>
      <c r="B22" s="1010"/>
      <c r="D22" s="1010"/>
      <c r="E22" s="2883"/>
      <c r="F22" s="2883"/>
      <c r="G22" s="2883"/>
      <c r="H22" s="2883"/>
      <c r="I22" s="2883"/>
      <c r="J22" s="2883"/>
      <c r="K22" s="2883"/>
      <c r="L22" s="2883"/>
      <c r="M22" s="2883"/>
      <c r="N22" s="2883"/>
      <c r="O22" s="1017"/>
      <c r="P22" s="2948"/>
      <c r="Q22" s="2947"/>
      <c r="R22" s="1011"/>
    </row>
    <row r="23" spans="1:18" x14ac:dyDescent="0.2">
      <c r="A23" s="1009"/>
      <c r="B23" s="1020" t="s">
        <v>224</v>
      </c>
      <c r="D23" s="175" t="s">
        <v>218</v>
      </c>
      <c r="E23" s="2908" t="str">
        <f>'F-LSCD-012'!C19</f>
        <v>Campo de radiación calibrado usando un fantoma, según ISO 4037-3 (2019), aplicado al PROC-LSCD-012 Calibración de dosímetros personales (versión 05)</v>
      </c>
      <c r="F23" s="2908"/>
      <c r="G23" s="2908"/>
      <c r="H23" s="2908"/>
      <c r="I23" s="2908"/>
      <c r="J23" s="2908"/>
      <c r="K23" s="2908"/>
      <c r="L23" s="2908"/>
      <c r="M23" s="2908"/>
      <c r="N23" s="2908"/>
      <c r="O23" s="1021"/>
      <c r="P23" s="2948"/>
      <c r="Q23" s="2947"/>
      <c r="R23" s="1011"/>
    </row>
    <row r="24" spans="1:18" x14ac:dyDescent="0.2">
      <c r="A24" s="1009"/>
      <c r="E24" s="2908"/>
      <c r="F24" s="2908"/>
      <c r="G24" s="2908"/>
      <c r="H24" s="2908"/>
      <c r="I24" s="2908"/>
      <c r="J24" s="2908"/>
      <c r="K24" s="2908"/>
      <c r="L24" s="2908"/>
      <c r="M24" s="2908"/>
      <c r="N24" s="2908"/>
      <c r="O24" s="1021"/>
      <c r="P24" s="2948"/>
      <c r="Q24" s="2947"/>
      <c r="R24" s="1011"/>
    </row>
    <row r="25" spans="1:18" ht="6.7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2948"/>
      <c r="Q25" s="2947"/>
      <c r="R25" s="1011"/>
    </row>
    <row r="26" spans="1:18" ht="14.25" customHeight="1" x14ac:dyDescent="0.2">
      <c r="A26" s="1009"/>
      <c r="B26" s="1010" t="s">
        <v>226</v>
      </c>
      <c r="D26" s="1010" t="s">
        <v>218</v>
      </c>
      <c r="P26" s="2948"/>
      <c r="Q26" s="2947"/>
      <c r="R26" s="1011"/>
    </row>
    <row r="27" spans="1:18" ht="8.25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P27" s="2948"/>
      <c r="Q27" s="2947"/>
      <c r="R27" s="1011"/>
    </row>
    <row r="28" spans="1:18" ht="42" customHeight="1" x14ac:dyDescent="0.2">
      <c r="A28" s="1009"/>
      <c r="C28" s="1272" t="s">
        <v>227</v>
      </c>
      <c r="D28" s="1280" t="s">
        <v>218</v>
      </c>
      <c r="E28" s="2908" t="str">
        <f>'F-LSCD-012'!C20</f>
        <v>Cámara de ionización patrón de 1 L , marca: PTW; modelo: TN32002; serie: 000568; Reporte de calibración de Kerma en aire DG: 13580-21 con fecha 2021-04-01 (NIST); trazable al NIST.</v>
      </c>
      <c r="F28" s="2908"/>
      <c r="G28" s="2908"/>
      <c r="H28" s="2908"/>
      <c r="I28" s="2908"/>
      <c r="J28" s="2908"/>
      <c r="K28" s="2908"/>
      <c r="L28" s="2908"/>
      <c r="M28" s="2908"/>
      <c r="N28" s="2908"/>
      <c r="O28" s="1023"/>
      <c r="P28" s="2948"/>
      <c r="Q28" s="2947"/>
      <c r="R28" s="1011"/>
    </row>
    <row r="29" spans="1:18" ht="12" customHeight="1" x14ac:dyDescent="0.2">
      <c r="A29" s="1009"/>
      <c r="C29" s="1272" t="s">
        <v>203</v>
      </c>
      <c r="D29" s="1022" t="s">
        <v>218</v>
      </c>
      <c r="E29" s="1275" t="str">
        <f>'F-LSCD-012'!C21</f>
        <v>S-Cs (ISO 4037-3)</v>
      </c>
      <c r="F29" s="1275"/>
      <c r="G29" s="1275"/>
      <c r="H29" s="1275"/>
      <c r="I29" s="1275"/>
      <c r="J29" s="1275"/>
      <c r="K29" s="1275"/>
      <c r="L29" s="1275"/>
      <c r="M29" s="1275"/>
      <c r="N29" s="1275"/>
      <c r="O29" s="1014"/>
      <c r="P29" s="2949" t="s">
        <v>230</v>
      </c>
      <c r="Q29" s="2950"/>
      <c r="R29" s="1011"/>
    </row>
    <row r="30" spans="1:18" ht="12" customHeight="1" x14ac:dyDescent="0.2">
      <c r="A30" s="1009"/>
      <c r="C30" s="181" t="s">
        <v>138</v>
      </c>
      <c r="D30" s="227" t="s">
        <v>218</v>
      </c>
      <c r="E30" s="2910" t="str">
        <f>'F-LSCD-012'!I24</f>
        <v>Dosis equivalente personal, Hp(10)</v>
      </c>
      <c r="F30" s="2910"/>
      <c r="G30" s="2910"/>
      <c r="H30" s="2910"/>
      <c r="I30" s="2910"/>
      <c r="J30" s="2910"/>
      <c r="K30" s="2910"/>
      <c r="L30" s="2910"/>
      <c r="M30" s="2910"/>
      <c r="N30" s="2910"/>
      <c r="O30" s="1014"/>
      <c r="P30" s="2951"/>
      <c r="Q30" s="2950"/>
      <c r="R30" s="1011"/>
    </row>
    <row r="31" spans="1:18" ht="25.5" x14ac:dyDescent="0.2">
      <c r="A31" s="1009"/>
      <c r="C31" s="1274" t="s">
        <v>228</v>
      </c>
      <c r="D31" s="1022" t="s">
        <v>218</v>
      </c>
      <c r="E31" s="2952" t="str">
        <f>IF('F-LSCD-012'!D30="-","Temp (°C): "&amp;'F-LSCD-012'!D28&amp;"; Presión (hPa): "&amp;'F-LSCD-012'!H28&amp;"; HR(%): "&amp;'F-LSCD-012'!F28,"Temp (°C): "&amp;'F-LSCD-012'!D30&amp;"; Presión (hPa): "&amp;'F-LSCD-012'!H30&amp;"; HR(%): "&amp;'F-LSCD-012'!F30)</f>
        <v>Temp (°C): 20.2; Presión (hPa): 1010; HR(%): 52</v>
      </c>
      <c r="F31" s="2952"/>
      <c r="G31" s="2952"/>
      <c r="H31" s="2952"/>
      <c r="I31" s="2952"/>
      <c r="J31" s="2952"/>
      <c r="K31" s="2952"/>
      <c r="L31" s="2952"/>
      <c r="M31" s="2952"/>
      <c r="N31" s="2952"/>
      <c r="O31" s="1014"/>
      <c r="P31" s="2951"/>
      <c r="Q31" s="2950"/>
      <c r="R31" s="1011"/>
    </row>
    <row r="32" spans="1:18" ht="25.5" x14ac:dyDescent="0.2">
      <c r="A32" s="1009"/>
      <c r="C32" s="1273" t="s">
        <v>277</v>
      </c>
      <c r="D32" s="1280" t="s">
        <v>218</v>
      </c>
      <c r="E32" s="2912" t="str">
        <f>'F-LSCD-012'!C22</f>
        <v xml:space="preserve">Eje longitudinal del detector paralelo al eje central del haz de radiación
</v>
      </c>
      <c r="F32" s="2912"/>
      <c r="G32" s="2912"/>
      <c r="H32" s="2912"/>
      <c r="I32" s="2912"/>
      <c r="J32" s="2912"/>
      <c r="K32" s="2912"/>
      <c r="L32" s="2912"/>
      <c r="M32" s="2912"/>
      <c r="N32" s="2912"/>
      <c r="O32" s="1014"/>
      <c r="P32" s="1024"/>
      <c r="Q32" s="1025"/>
      <c r="R32" s="1011"/>
    </row>
    <row r="33" spans="1:18" x14ac:dyDescent="0.2">
      <c r="A33" s="1009"/>
      <c r="C33" s="1273" t="s">
        <v>231</v>
      </c>
      <c r="D33" s="1280" t="s">
        <v>218</v>
      </c>
      <c r="E33" s="2913" t="str">
        <f>'F-LSCD-012'!C23</f>
        <v>Centro geométrico del volumen sensible del detector</v>
      </c>
      <c r="F33" s="2913"/>
      <c r="G33" s="2913"/>
      <c r="H33" s="2913"/>
      <c r="I33" s="2913"/>
      <c r="J33" s="2913"/>
      <c r="K33" s="2913"/>
      <c r="L33" s="2913"/>
      <c r="M33" s="2913"/>
      <c r="N33" s="2913"/>
      <c r="O33" s="1014"/>
      <c r="P33" s="2906" t="s">
        <v>813</v>
      </c>
      <c r="Q33" s="2930"/>
      <c r="R33" s="1011"/>
    </row>
    <row r="34" spans="1:18" ht="12.75" customHeight="1" x14ac:dyDescent="0.2">
      <c r="A34" s="1009"/>
      <c r="C34" s="1273" t="s">
        <v>232</v>
      </c>
      <c r="D34" s="1022" t="s">
        <v>218</v>
      </c>
      <c r="E34" s="2931">
        <f>'F-LSCD-012'!C16</f>
        <v>44336</v>
      </c>
      <c r="F34" s="2931"/>
      <c r="G34" s="2931"/>
      <c r="H34" s="1276"/>
      <c r="I34" s="1276"/>
      <c r="J34" s="1276"/>
      <c r="K34" s="1277"/>
      <c r="L34" s="1275"/>
      <c r="M34" s="1275"/>
      <c r="N34" s="1275"/>
      <c r="O34" s="1014"/>
      <c r="P34" s="2902"/>
      <c r="Q34" s="2930"/>
      <c r="R34" s="1011"/>
    </row>
    <row r="35" spans="1:18" ht="15" customHeight="1" x14ac:dyDescent="0.2">
      <c r="A35" s="1009"/>
      <c r="C35" s="1272" t="s">
        <v>257</v>
      </c>
      <c r="D35" s="1022" t="s">
        <v>218</v>
      </c>
      <c r="E35" s="2931">
        <f>'F-LSCD-012'!C18</f>
        <v>44336</v>
      </c>
      <c r="F35" s="2931"/>
      <c r="G35" s="2931"/>
      <c r="H35" s="1278"/>
      <c r="I35" s="1278"/>
      <c r="J35" s="1278"/>
      <c r="K35" s="1279"/>
      <c r="L35" s="1279"/>
      <c r="M35" s="1279"/>
      <c r="N35" s="1279"/>
      <c r="O35" s="1027"/>
      <c r="P35" s="2902"/>
      <c r="Q35" s="2930"/>
      <c r="R35" s="1011"/>
    </row>
    <row r="36" spans="1:18" ht="4.5" customHeight="1" x14ac:dyDescent="0.25">
      <c r="A36" s="1009"/>
      <c r="B36" s="1010"/>
      <c r="D36" s="1028"/>
      <c r="E36" s="1028"/>
      <c r="H36" s="1026"/>
      <c r="R36" s="1011"/>
    </row>
    <row r="37" spans="1:18" ht="15" customHeight="1" x14ac:dyDescent="0.2">
      <c r="A37" s="1009"/>
      <c r="B37" s="1010" t="s">
        <v>258</v>
      </c>
      <c r="C37" s="1010"/>
      <c r="D37" s="1029"/>
      <c r="E37" s="1029"/>
      <c r="F37" s="1010"/>
      <c r="G37" s="1010"/>
      <c r="H37" s="1010"/>
      <c r="I37" s="1010"/>
      <c r="J37" s="1010"/>
      <c r="R37" s="1011"/>
    </row>
    <row r="38" spans="1:18" ht="3.75" customHeight="1" x14ac:dyDescent="0.2">
      <c r="A38" s="1009"/>
      <c r="D38" s="1028"/>
      <c r="E38" s="1030"/>
      <c r="R38" s="1011"/>
    </row>
    <row r="39" spans="1:18" ht="15" customHeight="1" x14ac:dyDescent="0.2">
      <c r="A39" s="1009"/>
      <c r="C39" s="2889" t="str">
        <f>IF('F-LSCD-012'!I24="Tasa de dosis equivalente ambiental, H*(10)","VCV de la tasa de dosis equivalente ambiental H*(10) (µSv/h)",IF('F-LSCD-012'!I24="Dosis equivalente personal, Hp(10)","VCV de la dosis equivalente personal Hp(10) (mSv)",IF('F-LSCD-012'!I24="Dosis equivalente personal, Hp(0,07)","VCV de la dosis equivalente personal Hp(0,07) (mSv)",IF('F-LSCD-012'!I24="Dosis absorbida, D(10)","VCV de la dosis absorbida D(10) (mGy)"))))</f>
        <v>VCV de la dosis equivalente personal Hp(10) (mSv)</v>
      </c>
      <c r="D39" s="2890"/>
      <c r="E39" s="2893" t="s">
        <v>798</v>
      </c>
      <c r="F39" s="2894"/>
      <c r="G39" s="2894"/>
      <c r="H39" s="2894"/>
      <c r="I39" s="2894"/>
      <c r="J39" s="2895"/>
      <c r="K39" s="2866" t="s">
        <v>801</v>
      </c>
      <c r="L39" s="2868"/>
      <c r="M39" s="2940" t="s">
        <v>259</v>
      </c>
      <c r="N39" s="2941"/>
      <c r="O39" s="2942"/>
      <c r="R39" s="1011"/>
    </row>
    <row r="40" spans="1:18" ht="22.5" customHeight="1" x14ac:dyDescent="0.2">
      <c r="A40" s="1009"/>
      <c r="C40" s="2936"/>
      <c r="D40" s="2937"/>
      <c r="E40" s="2893" t="s">
        <v>799</v>
      </c>
      <c r="F40" s="2895"/>
      <c r="G40" s="2893" t="s">
        <v>800</v>
      </c>
      <c r="H40" s="2895"/>
      <c r="I40" s="2946" t="s">
        <v>117</v>
      </c>
      <c r="J40" s="2939"/>
      <c r="K40" s="2938"/>
      <c r="L40" s="2939"/>
      <c r="M40" s="2943"/>
      <c r="N40" s="2944"/>
      <c r="O40" s="2945"/>
      <c r="P40" s="1480"/>
      <c r="Q40" s="1031"/>
      <c r="R40" s="1011"/>
    </row>
    <row r="41" spans="1:18" x14ac:dyDescent="0.2">
      <c r="A41" s="1009"/>
      <c r="C41" s="2851">
        <f>'F-LSCD-012'!A34</f>
        <v>25000</v>
      </c>
      <c r="D41" s="2851"/>
      <c r="E41" s="2932">
        <f>'F-LSCD-012'!O34</f>
        <v>2474</v>
      </c>
      <c r="F41" s="2933"/>
      <c r="G41" s="2929" t="str">
        <f>'F-LSCD-012'!O35</f>
        <v>-</v>
      </c>
      <c r="H41" s="2929"/>
      <c r="I41" s="2850" t="str">
        <f>IF('F-LSCD-012'!N35="-",'F-LSCD-012'!N34,'F-LSCD-012'!N35)</f>
        <v>mrem</v>
      </c>
      <c r="J41" s="2920"/>
      <c r="K41" s="2934">
        <f>IF('F-LSCD-012'!R35="-",'F-LSCD-012'!R34,'F-LSCD-012'!R35)</f>
        <v>1.0105092966855296</v>
      </c>
      <c r="L41" s="2935"/>
      <c r="M41" s="2847">
        <f>IF('F-LSCD-012'!O35="-",'F-LSCD-012'!T34,'F-LSCD-012'!T35)</f>
        <v>4.4999999999999998E-2</v>
      </c>
      <c r="N41" s="2847"/>
      <c r="O41" s="2847"/>
      <c r="P41" s="1032"/>
      <c r="Q41" s="1032"/>
      <c r="R41" s="1011"/>
    </row>
    <row r="42" spans="1:18" x14ac:dyDescent="0.2">
      <c r="A42" s="1009"/>
      <c r="C42" s="2851" t="str">
        <f>'F-LSCD-012'!A36</f>
        <v>-</v>
      </c>
      <c r="D42" s="2851"/>
      <c r="E42" s="2927" t="str">
        <f>'F-LSCD-012'!O36</f>
        <v>-</v>
      </c>
      <c r="F42" s="2928"/>
      <c r="G42" s="2929" t="str">
        <f>'F-LSCD-012'!O37</f>
        <v>-</v>
      </c>
      <c r="H42" s="2929"/>
      <c r="I42" s="2920" t="str">
        <f>IF('F-LSCD-012'!N37="-",'F-LSCD-012'!N36,'F-LSCD-012'!N37)</f>
        <v>-</v>
      </c>
      <c r="J42" s="2920"/>
      <c r="K42" s="2850" t="str">
        <f>IF('F-LSCD-012'!R37="-",'F-LSCD-012'!R36,'F-LSCD-012'!R37)</f>
        <v>-</v>
      </c>
      <c r="L42" s="2850"/>
      <c r="M42" s="2847" t="str">
        <f>IF('F-LSCD-012'!O37="-",'F-LSCD-012'!T36,'F-LSCD-012'!T37)</f>
        <v>-</v>
      </c>
      <c r="N42" s="2847"/>
      <c r="O42" s="2847"/>
      <c r="P42" s="1032"/>
      <c r="Q42" s="1032"/>
      <c r="R42" s="1011"/>
    </row>
    <row r="43" spans="1:18" x14ac:dyDescent="0.2">
      <c r="A43" s="1009"/>
      <c r="C43" s="2925" t="str">
        <f>'F-LSCD-012'!A38</f>
        <v>-</v>
      </c>
      <c r="D43" s="2926"/>
      <c r="E43" s="2918" t="str">
        <f>'F-LSCD-012'!O38</f>
        <v>-</v>
      </c>
      <c r="F43" s="2919"/>
      <c r="G43" s="2850" t="str">
        <f>'F-LSCD-012'!O39</f>
        <v>-</v>
      </c>
      <c r="H43" s="2850"/>
      <c r="I43" s="2920" t="str">
        <f>IF('F-LSCD-012'!N39="-",'F-LSCD-012'!N38,'F-LSCD-012'!N39)</f>
        <v>-</v>
      </c>
      <c r="J43" s="2920"/>
      <c r="K43" s="2850" t="str">
        <f>IF('F-LSCD-012'!R39="-",'F-LSCD-012'!R38,'F-LSCD-012'!R39)</f>
        <v>-</v>
      </c>
      <c r="L43" s="2850"/>
      <c r="M43" s="2847" t="str">
        <f>IF('F-LSCD-012'!O39="-",'F-LSCD-012'!T38,'F-LSCD-012'!T39)</f>
        <v>-</v>
      </c>
      <c r="N43" s="2847"/>
      <c r="O43" s="2847"/>
      <c r="P43" s="1445"/>
      <c r="Q43" s="1032"/>
      <c r="R43" s="1011"/>
    </row>
    <row r="44" spans="1:18" x14ac:dyDescent="0.2">
      <c r="A44" s="1009"/>
      <c r="C44" s="2851" t="str">
        <f>'F-LSCD-012'!A40</f>
        <v>-</v>
      </c>
      <c r="D44" s="2851"/>
      <c r="E44" s="2921" t="str">
        <f>'F-LSCD-012'!O40</f>
        <v>-</v>
      </c>
      <c r="F44" s="2922"/>
      <c r="G44" s="2849" t="str">
        <f>'F-LSCD-012'!O41</f>
        <v>-</v>
      </c>
      <c r="H44" s="2849"/>
      <c r="I44" s="2920" t="str">
        <f>IF('F-LSCD-012'!N41="-",'F-LSCD-012'!N40,'F-LSCD-012'!N41)</f>
        <v>-</v>
      </c>
      <c r="J44" s="2920"/>
      <c r="K44" s="2850" t="str">
        <f>IF('F-LSCD-012'!R41="-",'F-LSCD-012'!R40,'F-LSCD-012'!R41)</f>
        <v>-</v>
      </c>
      <c r="L44" s="2850"/>
      <c r="M44" s="2847" t="str">
        <f>IF('F-LSCD-012'!O41="-",'F-LSCD-012'!T40,'F-LSCD-012'!T41)</f>
        <v>-</v>
      </c>
      <c r="N44" s="2847"/>
      <c r="O44" s="2847"/>
      <c r="P44" s="1032"/>
      <c r="Q44" s="1032"/>
      <c r="R44" s="1011"/>
    </row>
    <row r="45" spans="1:18" x14ac:dyDescent="0.2">
      <c r="A45" s="1009"/>
      <c r="C45" s="2851" t="str">
        <f>'F-LSCD-012'!A42</f>
        <v>-</v>
      </c>
      <c r="D45" s="2851"/>
      <c r="E45" s="2923" t="str">
        <f>'F-LSCD-012'!O42</f>
        <v>-</v>
      </c>
      <c r="F45" s="2924"/>
      <c r="G45" s="2849" t="str">
        <f>'F-LSCD-012'!O43</f>
        <v>-</v>
      </c>
      <c r="H45" s="2849"/>
      <c r="I45" s="2920" t="str">
        <f>IF('F-LSCD-012'!N43="-",'F-LSCD-012'!N42,'F-LSCD-012'!N43)</f>
        <v>-</v>
      </c>
      <c r="J45" s="2920"/>
      <c r="K45" s="2850" t="str">
        <f>IF('F-LSCD-012'!R43="-",'F-LSCD-012'!R42,'F-LSCD-012'!R43)</f>
        <v>-</v>
      </c>
      <c r="L45" s="2850"/>
      <c r="M45" s="2847" t="str">
        <f>IF('F-LSCD-012'!O43="-",'F-LSCD-012'!T42,'F-LSCD-012'!T43)</f>
        <v>-</v>
      </c>
      <c r="N45" s="2847"/>
      <c r="O45" s="2847"/>
      <c r="P45" s="1032"/>
      <c r="Q45" s="1032"/>
      <c r="R45" s="1011"/>
    </row>
    <row r="46" spans="1:18" x14ac:dyDescent="0.2">
      <c r="A46" s="1009"/>
      <c r="C46" s="2851" t="str">
        <f>'F-LSCD-012'!A44</f>
        <v>-</v>
      </c>
      <c r="D46" s="2851"/>
      <c r="E46" s="2921" t="str">
        <f>'F-LSCD-012'!O44</f>
        <v>-</v>
      </c>
      <c r="F46" s="2922"/>
      <c r="G46" s="2850" t="str">
        <f>'F-LSCD-012'!O45</f>
        <v>-</v>
      </c>
      <c r="H46" s="2850"/>
      <c r="I46" s="2920" t="str">
        <f>IF('F-LSCD-012'!N45="-",'F-LSCD-012'!N44,'F-LSCD-012'!N45)</f>
        <v>-</v>
      </c>
      <c r="J46" s="2920"/>
      <c r="K46" s="2850" t="str">
        <f>IF('F-LSCD-012'!R45="-",'F-LSCD-012'!R44,'F-LSCD-012'!R45)</f>
        <v>-</v>
      </c>
      <c r="L46" s="2850"/>
      <c r="M46" s="2847" t="str">
        <f>IF('F-LSCD-012'!O45="-",'F-LSCD-012'!T44,'F-LSCD-012'!T45)</f>
        <v>-</v>
      </c>
      <c r="N46" s="2847"/>
      <c r="O46" s="2847"/>
      <c r="P46" s="1032"/>
      <c r="Q46" s="1032"/>
      <c r="R46" s="1011"/>
    </row>
    <row r="47" spans="1:18" hidden="1" x14ac:dyDescent="0.2">
      <c r="A47" s="1009"/>
      <c r="C47" s="2851" t="str">
        <f>'F-LSCD-012'!A46</f>
        <v>-</v>
      </c>
      <c r="D47" s="2851"/>
      <c r="E47" s="2921" t="str">
        <f>'F-LSCD-012'!O46</f>
        <v>-</v>
      </c>
      <c r="F47" s="2922"/>
      <c r="G47" s="2850" t="str">
        <f>'F-LSCD-012'!O47</f>
        <v>-</v>
      </c>
      <c r="H47" s="2850"/>
      <c r="I47" s="2920" t="str">
        <f>IF('F-LSCD-012'!N47="-",'F-LSCD-012'!N46,'F-LSCD-012'!N47)</f>
        <v>-</v>
      </c>
      <c r="J47" s="2920"/>
      <c r="K47" s="2850" t="str">
        <f>IF('F-LSCD-012'!R47="-",'F-LSCD-012'!R46,'F-LSCD-012'!R47)</f>
        <v>-</v>
      </c>
      <c r="L47" s="2850"/>
      <c r="M47" s="2847" t="str">
        <f>IF('F-LSCD-012'!O47="-",'F-LSCD-012'!T46,'F-LSCD-012'!T47)</f>
        <v>-</v>
      </c>
      <c r="N47" s="2847"/>
      <c r="O47" s="2847"/>
      <c r="P47" s="1385"/>
      <c r="Q47" s="1032"/>
      <c r="R47" s="1011"/>
    </row>
    <row r="48" spans="1:18" hidden="1" x14ac:dyDescent="0.2">
      <c r="A48" s="1009"/>
      <c r="C48" s="2851" t="str">
        <f>'F-LSCD-012'!A48</f>
        <v>-</v>
      </c>
      <c r="D48" s="2851"/>
      <c r="E48" s="2918" t="str">
        <f>'F-LSCD-012'!O48</f>
        <v>-</v>
      </c>
      <c r="F48" s="2919"/>
      <c r="G48" s="2850" t="str">
        <f>'F-LSCD-012'!O49</f>
        <v>-</v>
      </c>
      <c r="H48" s="2850"/>
      <c r="I48" s="2920" t="str">
        <f>IF('F-LSCD-012'!N49="-",'F-LSCD-012'!N48,'F-LSCD-012'!N49)</f>
        <v>-</v>
      </c>
      <c r="J48" s="2920"/>
      <c r="K48" s="2850" t="str">
        <f>IF('F-LSCD-012'!R49="-",'F-LSCD-012'!R48,'F-LSCD-012'!R49)</f>
        <v>-</v>
      </c>
      <c r="L48" s="2850"/>
      <c r="M48" s="2847" t="str">
        <f>IF('F-LSCD-012'!O49="-",'F-LSCD-012'!T48,'F-LSCD-012'!T49)</f>
        <v>-</v>
      </c>
      <c r="N48" s="2847"/>
      <c r="O48" s="2847"/>
      <c r="P48" s="1032"/>
      <c r="Q48" s="1032"/>
      <c r="R48" s="1011"/>
    </row>
    <row r="49" spans="1:19" hidden="1" x14ac:dyDescent="0.2">
      <c r="A49" s="1009"/>
      <c r="C49" s="2851" t="str">
        <f>'F-LSCD-012'!A50</f>
        <v>-</v>
      </c>
      <c r="D49" s="2851"/>
      <c r="E49" s="2918" t="str">
        <f>'F-LSCD-012'!O50</f>
        <v>-</v>
      </c>
      <c r="F49" s="2919"/>
      <c r="G49" s="2850" t="str">
        <f>'F-LSCD-012'!O51</f>
        <v>-</v>
      </c>
      <c r="H49" s="2850"/>
      <c r="I49" s="2920" t="str">
        <f>IF('F-LSCD-012'!N51="-",'F-LSCD-012'!N50,'F-LSCD-012'!N51)</f>
        <v>-</v>
      </c>
      <c r="J49" s="2920"/>
      <c r="K49" s="2850" t="str">
        <f>IF('F-LSCD-012'!R51="-",'F-LSCD-012'!R50,'F-LSCD-012'!R51)</f>
        <v>-</v>
      </c>
      <c r="L49" s="2850"/>
      <c r="M49" s="2847" t="str">
        <f>IF('F-LSCD-012'!O51="-",'F-LSCD-012'!T50,'F-LSCD-012'!T51)</f>
        <v>-</v>
      </c>
      <c r="N49" s="2847"/>
      <c r="O49" s="2847"/>
      <c r="P49" s="1032"/>
      <c r="Q49" s="1032"/>
      <c r="R49" s="1011"/>
    </row>
    <row r="50" spans="1:19" hidden="1" x14ac:dyDescent="0.2">
      <c r="A50" s="1009"/>
      <c r="C50" s="2851" t="str">
        <f>'F-LSCD-012'!A52</f>
        <v>-</v>
      </c>
      <c r="D50" s="2851"/>
      <c r="E50" s="2918" t="str">
        <f>'F-LSCD-012'!O52</f>
        <v>-</v>
      </c>
      <c r="F50" s="2919"/>
      <c r="G50" s="2850" t="str">
        <f>'F-LSCD-012'!O53</f>
        <v>-</v>
      </c>
      <c r="H50" s="2850"/>
      <c r="I50" s="2920" t="str">
        <f>IF('F-LSCD-012'!N53="-",'F-LSCD-012'!N52,'F-LSCD-012'!N53)</f>
        <v>-</v>
      </c>
      <c r="J50" s="2920"/>
      <c r="K50" s="2850" t="str">
        <f>IF('F-LSCD-012'!R53="-",'F-LSCD-012'!R52,'F-LSCD-012'!R53)</f>
        <v>-</v>
      </c>
      <c r="L50" s="2850"/>
      <c r="M50" s="2847" t="str">
        <f>IF('F-LSCD-012'!O53="-",'F-LSCD-012'!T52,'F-LSCD-012'!T53)</f>
        <v>-</v>
      </c>
      <c r="N50" s="2847"/>
      <c r="O50" s="2847"/>
      <c r="P50" s="1032"/>
      <c r="Q50" s="1032"/>
      <c r="R50" s="1011"/>
    </row>
    <row r="51" spans="1:19" hidden="1" x14ac:dyDescent="0.2">
      <c r="A51" s="1009"/>
      <c r="C51" s="2851" t="str">
        <f>'F-LSCD-012'!A54</f>
        <v>-</v>
      </c>
      <c r="D51" s="2851"/>
      <c r="E51" s="2918" t="str">
        <f>'F-LSCD-012'!O54</f>
        <v>-</v>
      </c>
      <c r="F51" s="2919"/>
      <c r="G51" s="2850" t="str">
        <f>'F-LSCD-012'!O55</f>
        <v>-</v>
      </c>
      <c r="H51" s="2850"/>
      <c r="I51" s="2920" t="str">
        <f>IF('F-LSCD-012'!N55="-",'F-LSCD-012'!N54,'F-LSCD-012'!N55)</f>
        <v>-</v>
      </c>
      <c r="J51" s="2920"/>
      <c r="K51" s="2850" t="str">
        <f>IF('F-LSCD-012'!R55="-",'F-LSCD-012'!R54,'F-LSCD-012'!R55)</f>
        <v>-</v>
      </c>
      <c r="L51" s="2850"/>
      <c r="M51" s="2847" t="str">
        <f>IF('F-LSCD-012'!O55="-",'F-LSCD-012'!T54,'F-LSCD-012'!T55)</f>
        <v>-</v>
      </c>
      <c r="N51" s="2847"/>
      <c r="O51" s="2847"/>
      <c r="P51" s="1032"/>
      <c r="Q51" s="1032"/>
      <c r="R51" s="1011"/>
    </row>
    <row r="52" spans="1:19" hidden="1" x14ac:dyDescent="0.2">
      <c r="A52" s="1009"/>
      <c r="C52" s="2851" t="str">
        <f>'F-LSCD-012'!A56</f>
        <v>-</v>
      </c>
      <c r="D52" s="2851"/>
      <c r="E52" s="2918" t="str">
        <f>'F-LSCD-012'!O56</f>
        <v>-</v>
      </c>
      <c r="F52" s="2919"/>
      <c r="G52" s="2850" t="str">
        <f>'F-LSCD-012'!O57</f>
        <v>-</v>
      </c>
      <c r="H52" s="2850"/>
      <c r="I52" s="2920" t="str">
        <f>IF('F-LSCD-012'!N57="-",'F-LSCD-012'!N56,'F-LSCD-012'!N57)</f>
        <v>-</v>
      </c>
      <c r="J52" s="2920"/>
      <c r="K52" s="2850" t="str">
        <f>IF('F-LSCD-012'!R57="-",'F-LSCD-012'!R56,'F-LSCD-012'!R57)</f>
        <v>-</v>
      </c>
      <c r="L52" s="2850"/>
      <c r="M52" s="2847" t="str">
        <f>IF('F-LSCD-012'!O57="-",'F-LSCD-012'!T56,'F-LSCD-012'!T57)</f>
        <v>-</v>
      </c>
      <c r="N52" s="2847"/>
      <c r="O52" s="2847"/>
      <c r="P52" s="1032"/>
      <c r="Q52" s="1032"/>
      <c r="R52" s="1011"/>
    </row>
    <row r="53" spans="1:19" x14ac:dyDescent="0.2">
      <c r="A53" s="1009"/>
      <c r="C53" s="1033" t="str">
        <f>IF(K41="-","","VCV = Valor convencionalmente verdadero = "&amp;"Lectura del monitor x FC")</f>
        <v>VCV = Valor convencionalmente verdadero = Lectura del monitor x FC</v>
      </c>
      <c r="D53" s="1033"/>
      <c r="E53" s="1449"/>
      <c r="F53" s="1449"/>
      <c r="G53" s="1034"/>
      <c r="H53" s="1034"/>
      <c r="I53" s="1034"/>
      <c r="J53" s="1034"/>
      <c r="N53" s="1010"/>
      <c r="O53" s="1010"/>
      <c r="P53" s="1010"/>
      <c r="Q53" s="1010"/>
      <c r="R53" s="1011"/>
    </row>
    <row r="54" spans="1:19" x14ac:dyDescent="0.2">
      <c r="A54" s="1009"/>
      <c r="C54" s="1014" t="str">
        <f>IF(K41="-","","Promedio FC = "&amp;TEXT(AVERAGE(K41:L52),"#0,00"))</f>
        <v>Promedio FC = 001</v>
      </c>
      <c r="D54" s="1262"/>
      <c r="E54" s="1262"/>
      <c r="F54" s="1262"/>
      <c r="G54" s="1262"/>
      <c r="H54" s="1262"/>
      <c r="I54" s="1262"/>
      <c r="J54" s="1262"/>
      <c r="K54" s="1262"/>
      <c r="L54" s="1262"/>
      <c r="M54" s="1262"/>
      <c r="N54" s="1262"/>
      <c r="O54" s="1262"/>
      <c r="P54" s="1262"/>
      <c r="Q54" s="1262"/>
      <c r="R54" s="1011"/>
    </row>
    <row r="55" spans="1:19" x14ac:dyDescent="0.2">
      <c r="A55" s="1009"/>
      <c r="C55" s="1014" t="str">
        <f>IF(OR(I41="mR/h",I42="mR/h",I43="mR/h",I44="mR/h",I45="mR/h"),"Monitor calibrado asumiendo que: "&amp;'Datos varios'!B120&amp;" "&amp;'Datos varios'!C120&amp;" es equivalente a "&amp;'Datos varios'!E120&amp;" "&amp;'Datos varios'!F120,IF(OR(I41="mrem/h",I42="mrem/h",I43="mrem/h",I44="mrem/h",I45="mrem/h"),"Monitor calibrado asumiendo que: "&amp;'Datos varios'!B123&amp;" "&amp;'Datos varios'!C123&amp;" es equivalente a "&amp;'Datos varios'!E123&amp;" "&amp;'Datos varios'!F123,""))</f>
        <v/>
      </c>
      <c r="D55" s="1262"/>
      <c r="E55" s="1262"/>
      <c r="F55" s="1262"/>
      <c r="G55" s="1262"/>
      <c r="H55" s="1262"/>
      <c r="I55" s="1262"/>
      <c r="J55" s="1262"/>
      <c r="K55" s="1262"/>
      <c r="L55" s="1435"/>
      <c r="M55" s="1262"/>
      <c r="N55" s="1262"/>
      <c r="O55" s="1262"/>
      <c r="P55" s="1262"/>
      <c r="Q55" s="1262"/>
      <c r="R55" s="1011"/>
    </row>
    <row r="56" spans="1:19" ht="7.5" customHeight="1" x14ac:dyDescent="0.2">
      <c r="A56" s="1009"/>
      <c r="C56" s="180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011"/>
    </row>
    <row r="57" spans="1:19" ht="4.5" customHeight="1" x14ac:dyDescent="0.2">
      <c r="A57" s="1009"/>
      <c r="C57" s="1014"/>
      <c r="D57" s="1262"/>
      <c r="E57" s="1262"/>
      <c r="F57" s="1262"/>
      <c r="G57" s="1262"/>
      <c r="H57" s="1262"/>
      <c r="I57" s="1262"/>
      <c r="J57" s="1262"/>
      <c r="K57" s="1262"/>
      <c r="L57" s="1262"/>
      <c r="M57" s="1262"/>
      <c r="N57" s="1262"/>
      <c r="O57" s="1262"/>
      <c r="P57" s="1262"/>
      <c r="Q57" s="1262"/>
      <c r="R57" s="1011"/>
    </row>
    <row r="58" spans="1:19" ht="24.75" customHeight="1" x14ac:dyDescent="0.2">
      <c r="A58" s="1009"/>
      <c r="C58" s="1411">
        <f>'F-LSCD-012'!C26</f>
        <v>44336</v>
      </c>
      <c r="G58" s="1430"/>
      <c r="H58" s="1430"/>
      <c r="I58" s="1430"/>
      <c r="J58" s="2917"/>
      <c r="K58" s="2917"/>
      <c r="L58" s="2917"/>
      <c r="M58" s="2917"/>
      <c r="N58" s="2917"/>
      <c r="O58" s="2917"/>
      <c r="P58" s="2917"/>
      <c r="Q58" s="1010"/>
      <c r="R58" s="1011"/>
    </row>
    <row r="59" spans="1:19" ht="37.5" customHeight="1" x14ac:dyDescent="0.2">
      <c r="A59" s="1009"/>
      <c r="G59" s="1035"/>
      <c r="H59" s="1035"/>
      <c r="I59" s="1035"/>
      <c r="J59" s="2886"/>
      <c r="K59" s="2886"/>
      <c r="L59" s="2886"/>
      <c r="M59" s="2886"/>
      <c r="N59" s="2886"/>
      <c r="O59" s="2886"/>
      <c r="P59" s="2886"/>
      <c r="Q59" s="1020"/>
      <c r="R59" s="1011"/>
    </row>
    <row r="60" spans="1:19" ht="15" customHeight="1" x14ac:dyDescent="0.2">
      <c r="A60" s="1009"/>
      <c r="B60" s="1033"/>
      <c r="G60" s="1035"/>
      <c r="H60" s="1035"/>
      <c r="I60" s="1035"/>
      <c r="J60" s="2862"/>
      <c r="K60" s="2862"/>
      <c r="L60" s="2862"/>
      <c r="M60" s="2862"/>
      <c r="N60" s="2862"/>
      <c r="O60" s="2862"/>
      <c r="P60" s="2862"/>
      <c r="Q60" s="1020"/>
      <c r="R60" s="1011"/>
    </row>
    <row r="61" spans="1:19" ht="3" customHeight="1" thickBot="1" x14ac:dyDescent="0.25">
      <c r="A61" s="1036"/>
      <c r="B61" s="1037"/>
      <c r="C61" s="1037"/>
      <c r="D61" s="1037"/>
      <c r="E61" s="1037"/>
      <c r="F61" s="1037"/>
      <c r="G61" s="1037"/>
      <c r="H61" s="1037"/>
      <c r="I61" s="1037"/>
      <c r="J61" s="1037"/>
      <c r="K61" s="1037"/>
      <c r="L61" s="1037"/>
      <c r="M61" s="1037"/>
      <c r="N61" s="1037"/>
      <c r="O61" s="1037"/>
      <c r="P61" s="1037"/>
      <c r="Q61" s="1037"/>
      <c r="R61" s="1038"/>
    </row>
    <row r="62" spans="1:19" ht="15.75" thickTop="1" x14ac:dyDescent="0.25">
      <c r="A62" s="2863" t="s">
        <v>260</v>
      </c>
      <c r="B62" s="2864"/>
      <c r="C62" s="2864"/>
      <c r="D62" s="2864"/>
      <c r="E62" s="2864"/>
      <c r="F62" s="2864"/>
      <c r="G62" s="2864"/>
      <c r="H62" s="2864"/>
      <c r="I62" s="2864"/>
      <c r="J62" s="2864"/>
      <c r="K62" s="2864"/>
      <c r="L62" s="2864"/>
      <c r="M62" s="2864"/>
      <c r="N62" s="2864"/>
      <c r="O62" s="2864"/>
      <c r="P62" s="2864"/>
      <c r="Q62" s="2864"/>
      <c r="R62" s="2865"/>
    </row>
    <row r="63" spans="1:19" ht="11.25" customHeight="1" thickBot="1" x14ac:dyDescent="0.25">
      <c r="A63" s="2859" t="s">
        <v>810</v>
      </c>
      <c r="B63" s="2860"/>
      <c r="C63" s="2860"/>
      <c r="D63" s="2860"/>
      <c r="E63" s="2860"/>
      <c r="F63" s="2860"/>
      <c r="G63" s="2860"/>
      <c r="H63" s="2860"/>
      <c r="I63" s="2860"/>
      <c r="J63" s="2860"/>
      <c r="K63" s="2860"/>
      <c r="L63" s="2860"/>
      <c r="M63" s="2860"/>
      <c r="N63" s="2860"/>
      <c r="O63" s="2860"/>
      <c r="P63" s="2860"/>
      <c r="Q63" s="2860"/>
      <c r="R63" s="2861"/>
      <c r="S63" s="1039"/>
    </row>
    <row r="64" spans="1:19" x14ac:dyDescent="0.2">
      <c r="A64" s="1356" t="s">
        <v>907</v>
      </c>
      <c r="B64" s="163"/>
      <c r="Q64" s="1357" t="str">
        <f>A4&amp;" "&amp;A5</f>
        <v>INFORME DE CALIBRACIÓN N° 029-2021 ALEPH/GR/LSCD</v>
      </c>
    </row>
  </sheetData>
  <sheetProtection password="D8A8"/>
  <autoFilter ref="C39:O55" xr:uid="{00000000-0009-0000-0000-000018000000}">
    <filterColumn colId="0" showButton="0"/>
    <filterColumn colId="2" showButton="0"/>
    <filterColumn colId="3" showButton="0"/>
    <filterColumn colId="4" showButton="0"/>
    <filterColumn colId="5" showButton="0"/>
    <filterColumn colId="6" showButton="0"/>
    <filterColumn colId="8" showButton="0"/>
    <filterColumn colId="10" showButton="0"/>
    <filterColumn colId="11" showButton="0"/>
  </autoFilter>
  <mergeCells count="109">
    <mergeCell ref="A2:R3"/>
    <mergeCell ref="A4:R4"/>
    <mergeCell ref="A5:R5"/>
    <mergeCell ref="A6:R6"/>
    <mergeCell ref="A7:R7"/>
    <mergeCell ref="A8:R8"/>
    <mergeCell ref="P12:Q17"/>
    <mergeCell ref="E13:N13"/>
    <mergeCell ref="E18:N18"/>
    <mergeCell ref="E19:N19"/>
    <mergeCell ref="E20:N20"/>
    <mergeCell ref="P20:Q28"/>
    <mergeCell ref="E21:N21"/>
    <mergeCell ref="E22:N22"/>
    <mergeCell ref="E23:N24"/>
    <mergeCell ref="E27:N27"/>
    <mergeCell ref="E28:N28"/>
    <mergeCell ref="P29:Q31"/>
    <mergeCell ref="E30:N30"/>
    <mergeCell ref="E31:N31"/>
    <mergeCell ref="E32:N32"/>
    <mergeCell ref="E33:N33"/>
    <mergeCell ref="P33:Q35"/>
    <mergeCell ref="E34:G34"/>
    <mergeCell ref="E35:G35"/>
    <mergeCell ref="C41:D41"/>
    <mergeCell ref="E41:F41"/>
    <mergeCell ref="G41:H41"/>
    <mergeCell ref="I41:J41"/>
    <mergeCell ref="K41:L41"/>
    <mergeCell ref="M41:O41"/>
    <mergeCell ref="C39:D40"/>
    <mergeCell ref="E39:J39"/>
    <mergeCell ref="K39:L40"/>
    <mergeCell ref="M39:O40"/>
    <mergeCell ref="E40:F40"/>
    <mergeCell ref="G40:H40"/>
    <mergeCell ref="I40:J40"/>
    <mergeCell ref="C43:D43"/>
    <mergeCell ref="E43:F43"/>
    <mergeCell ref="G43:H43"/>
    <mergeCell ref="I43:J43"/>
    <mergeCell ref="K43:L43"/>
    <mergeCell ref="M43:O43"/>
    <mergeCell ref="C42:D42"/>
    <mergeCell ref="E42:F42"/>
    <mergeCell ref="G42:H42"/>
    <mergeCell ref="I42:J42"/>
    <mergeCell ref="K42:L42"/>
    <mergeCell ref="M42:O42"/>
    <mergeCell ref="C45:D45"/>
    <mergeCell ref="E45:F45"/>
    <mergeCell ref="G45:H45"/>
    <mergeCell ref="I45:J45"/>
    <mergeCell ref="K45:L45"/>
    <mergeCell ref="M45:O45"/>
    <mergeCell ref="C44:D44"/>
    <mergeCell ref="E44:F44"/>
    <mergeCell ref="G44:H44"/>
    <mergeCell ref="I44:J44"/>
    <mergeCell ref="K44:L44"/>
    <mergeCell ref="M44:O44"/>
    <mergeCell ref="C47:D47"/>
    <mergeCell ref="E47:F47"/>
    <mergeCell ref="G47:H47"/>
    <mergeCell ref="I47:J47"/>
    <mergeCell ref="K47:L47"/>
    <mergeCell ref="M47:O47"/>
    <mergeCell ref="C46:D46"/>
    <mergeCell ref="E46:F46"/>
    <mergeCell ref="G46:H46"/>
    <mergeCell ref="I46:J46"/>
    <mergeCell ref="K46:L46"/>
    <mergeCell ref="M46:O46"/>
    <mergeCell ref="C49:D49"/>
    <mergeCell ref="E49:F49"/>
    <mergeCell ref="G49:H49"/>
    <mergeCell ref="I49:J49"/>
    <mergeCell ref="K49:L49"/>
    <mergeCell ref="M49:O49"/>
    <mergeCell ref="C48:D48"/>
    <mergeCell ref="E48:F48"/>
    <mergeCell ref="G48:H48"/>
    <mergeCell ref="I48:J48"/>
    <mergeCell ref="K48:L48"/>
    <mergeCell ref="M48:O48"/>
    <mergeCell ref="C51:D51"/>
    <mergeCell ref="E51:F51"/>
    <mergeCell ref="G51:H51"/>
    <mergeCell ref="I51:J51"/>
    <mergeCell ref="K51:L51"/>
    <mergeCell ref="M51:O51"/>
    <mergeCell ref="C50:D50"/>
    <mergeCell ref="E50:F50"/>
    <mergeCell ref="G50:H50"/>
    <mergeCell ref="I50:J50"/>
    <mergeCell ref="K50:L50"/>
    <mergeCell ref="M50:O50"/>
    <mergeCell ref="J58:P58"/>
    <mergeCell ref="J59:P59"/>
    <mergeCell ref="J60:P60"/>
    <mergeCell ref="A62:R62"/>
    <mergeCell ref="A63:R63"/>
    <mergeCell ref="C52:D52"/>
    <mergeCell ref="E52:F52"/>
    <mergeCell ref="G52:H52"/>
    <mergeCell ref="I52:J52"/>
    <mergeCell ref="K52:L52"/>
    <mergeCell ref="M52:O52"/>
  </mergeCells>
  <conditionalFormatting sqref="E29:O29 K35:O35 E35 L34:O34 E12:O12 E14:O14 E13 O13 E31:E33 O30:O33">
    <cfRule type="cellIs" dxfId="185" priority="8" operator="equal">
      <formula>0</formula>
    </cfRule>
  </conditionalFormatting>
  <conditionalFormatting sqref="E29:O29 K35:O35 E35 L34:O34 E12:O12 E14:O14 E13 O13 E31:E33 O30:O33">
    <cfRule type="containsErrors" dxfId="184" priority="7">
      <formula>ISERROR(E12)</formula>
    </cfRule>
  </conditionalFormatting>
  <conditionalFormatting sqref="P19">
    <cfRule type="cellIs" dxfId="183" priority="6" operator="equal">
      <formula>0</formula>
    </cfRule>
  </conditionalFormatting>
  <conditionalFormatting sqref="P19">
    <cfRule type="containsErrors" dxfId="182" priority="5">
      <formula>ISERROR(P19)</formula>
    </cfRule>
  </conditionalFormatting>
  <conditionalFormatting sqref="E34">
    <cfRule type="cellIs" dxfId="181" priority="4" operator="equal">
      <formula>0</formula>
    </cfRule>
  </conditionalFormatting>
  <conditionalFormatting sqref="E34">
    <cfRule type="containsErrors" dxfId="180" priority="3">
      <formula>ISERROR(E34)</formula>
    </cfRule>
  </conditionalFormatting>
  <conditionalFormatting sqref="E30">
    <cfRule type="cellIs" dxfId="179" priority="2" operator="equal">
      <formula>0</formula>
    </cfRule>
  </conditionalFormatting>
  <conditionalFormatting sqref="E30">
    <cfRule type="containsErrors" dxfId="178" priority="1">
      <formula>ISERROR(E30)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37"/>
  <dimension ref="A1:S77"/>
  <sheetViews>
    <sheetView view="pageLayout" topLeftCell="A20" zoomScaleNormal="100" workbookViewId="0">
      <selection activeCell="C39" sqref="C39:D40"/>
    </sheetView>
  </sheetViews>
  <sheetFormatPr baseColWidth="10" defaultColWidth="11.42578125" defaultRowHeight="12.75" x14ac:dyDescent="0.2"/>
  <cols>
    <col min="1" max="1" width="2.7109375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1.85546875" style="1008" customWidth="1"/>
    <col min="7" max="7" width="6.140625" style="1008" customWidth="1"/>
    <col min="8" max="10" width="3.5703125" style="1008" customWidth="1"/>
    <col min="11" max="11" width="3.28515625" style="1008" customWidth="1"/>
    <col min="12" max="12" width="7.7109375" style="1008" customWidth="1"/>
    <col min="13" max="13" width="3.140625" style="1008" customWidth="1"/>
    <col min="14" max="14" width="10" style="1008" customWidth="1"/>
    <col min="15" max="15" width="1.140625" style="1008" customWidth="1"/>
    <col min="16" max="16" width="8.7109375" style="1008" customWidth="1"/>
    <col min="17" max="17" width="11.5703125" style="1008" customWidth="1"/>
    <col min="18" max="18" width="0.85546875" style="1008" customWidth="1"/>
    <col min="19" max="237" width="11.42578125" style="1008"/>
    <col min="238" max="238" width="2.28515625" style="1008" customWidth="1"/>
    <col min="239" max="239" width="2.7109375" style="1008" customWidth="1"/>
    <col min="240" max="240" width="2.42578125" style="1008" customWidth="1"/>
    <col min="241" max="241" width="17.7109375" style="1008" customWidth="1"/>
    <col min="242" max="242" width="1.5703125" style="1008" customWidth="1"/>
    <col min="243" max="243" width="6.42578125" style="1008" customWidth="1"/>
    <col min="244" max="244" width="13.140625" style="1008" customWidth="1"/>
    <col min="245" max="245" width="1" style="1008" customWidth="1"/>
    <col min="246" max="246" width="19.5703125" style="1008" customWidth="1"/>
    <col min="247" max="247" width="0.85546875" style="1008" customWidth="1"/>
    <col min="248" max="248" width="14.42578125" style="1008" customWidth="1"/>
    <col min="249" max="249" width="12.85546875" style="1008" customWidth="1"/>
    <col min="250" max="250" width="6.140625" style="1008" customWidth="1"/>
    <col min="251" max="252" width="11.42578125" style="1008"/>
    <col min="253" max="253" width="15.42578125" style="1008" customWidth="1"/>
    <col min="254" max="493" width="11.42578125" style="1008"/>
    <col min="494" max="494" width="2.28515625" style="1008" customWidth="1"/>
    <col min="495" max="495" width="2.7109375" style="1008" customWidth="1"/>
    <col min="496" max="496" width="2.42578125" style="1008" customWidth="1"/>
    <col min="497" max="497" width="17.7109375" style="1008" customWidth="1"/>
    <col min="498" max="498" width="1.5703125" style="1008" customWidth="1"/>
    <col min="499" max="499" width="6.42578125" style="1008" customWidth="1"/>
    <col min="500" max="500" width="13.140625" style="1008" customWidth="1"/>
    <col min="501" max="501" width="1" style="1008" customWidth="1"/>
    <col min="502" max="502" width="19.5703125" style="1008" customWidth="1"/>
    <col min="503" max="503" width="0.85546875" style="1008" customWidth="1"/>
    <col min="504" max="504" width="14.42578125" style="1008" customWidth="1"/>
    <col min="505" max="505" width="12.85546875" style="1008" customWidth="1"/>
    <col min="506" max="506" width="6.140625" style="1008" customWidth="1"/>
    <col min="507" max="508" width="11.42578125" style="1008"/>
    <col min="509" max="509" width="15.42578125" style="1008" customWidth="1"/>
    <col min="510" max="749" width="11.42578125" style="1008"/>
    <col min="750" max="750" width="2.28515625" style="1008" customWidth="1"/>
    <col min="751" max="751" width="2.7109375" style="1008" customWidth="1"/>
    <col min="752" max="752" width="2.42578125" style="1008" customWidth="1"/>
    <col min="753" max="753" width="17.7109375" style="1008" customWidth="1"/>
    <col min="754" max="754" width="1.5703125" style="1008" customWidth="1"/>
    <col min="755" max="755" width="6.42578125" style="1008" customWidth="1"/>
    <col min="756" max="756" width="13.140625" style="1008" customWidth="1"/>
    <col min="757" max="757" width="1" style="1008" customWidth="1"/>
    <col min="758" max="758" width="19.5703125" style="1008" customWidth="1"/>
    <col min="759" max="759" width="0.85546875" style="1008" customWidth="1"/>
    <col min="760" max="760" width="14.42578125" style="1008" customWidth="1"/>
    <col min="761" max="761" width="12.85546875" style="1008" customWidth="1"/>
    <col min="762" max="762" width="6.140625" style="1008" customWidth="1"/>
    <col min="763" max="764" width="11.42578125" style="1008"/>
    <col min="765" max="765" width="15.42578125" style="1008" customWidth="1"/>
    <col min="766" max="1005" width="11.42578125" style="1008"/>
    <col min="1006" max="1006" width="2.28515625" style="1008" customWidth="1"/>
    <col min="1007" max="1007" width="2.7109375" style="1008" customWidth="1"/>
    <col min="1008" max="1008" width="2.42578125" style="1008" customWidth="1"/>
    <col min="1009" max="1009" width="17.7109375" style="1008" customWidth="1"/>
    <col min="1010" max="1010" width="1.5703125" style="1008" customWidth="1"/>
    <col min="1011" max="1011" width="6.42578125" style="1008" customWidth="1"/>
    <col min="1012" max="1012" width="13.140625" style="1008" customWidth="1"/>
    <col min="1013" max="1013" width="1" style="1008" customWidth="1"/>
    <col min="1014" max="1014" width="19.5703125" style="1008" customWidth="1"/>
    <col min="1015" max="1015" width="0.85546875" style="1008" customWidth="1"/>
    <col min="1016" max="1016" width="14.42578125" style="1008" customWidth="1"/>
    <col min="1017" max="1017" width="12.85546875" style="1008" customWidth="1"/>
    <col min="1018" max="1018" width="6.140625" style="1008" customWidth="1"/>
    <col min="1019" max="1020" width="11.42578125" style="1008"/>
    <col min="1021" max="1021" width="15.42578125" style="1008" customWidth="1"/>
    <col min="1022" max="1261" width="11.42578125" style="1008"/>
    <col min="1262" max="1262" width="2.28515625" style="1008" customWidth="1"/>
    <col min="1263" max="1263" width="2.7109375" style="1008" customWidth="1"/>
    <col min="1264" max="1264" width="2.42578125" style="1008" customWidth="1"/>
    <col min="1265" max="1265" width="17.7109375" style="1008" customWidth="1"/>
    <col min="1266" max="1266" width="1.5703125" style="1008" customWidth="1"/>
    <col min="1267" max="1267" width="6.42578125" style="1008" customWidth="1"/>
    <col min="1268" max="1268" width="13.140625" style="1008" customWidth="1"/>
    <col min="1269" max="1269" width="1" style="1008" customWidth="1"/>
    <col min="1270" max="1270" width="19.5703125" style="1008" customWidth="1"/>
    <col min="1271" max="1271" width="0.85546875" style="1008" customWidth="1"/>
    <col min="1272" max="1272" width="14.42578125" style="1008" customWidth="1"/>
    <col min="1273" max="1273" width="12.85546875" style="1008" customWidth="1"/>
    <col min="1274" max="1274" width="6.140625" style="1008" customWidth="1"/>
    <col min="1275" max="1276" width="11.42578125" style="1008"/>
    <col min="1277" max="1277" width="15.42578125" style="1008" customWidth="1"/>
    <col min="1278" max="1517" width="11.42578125" style="1008"/>
    <col min="1518" max="1518" width="2.28515625" style="1008" customWidth="1"/>
    <col min="1519" max="1519" width="2.7109375" style="1008" customWidth="1"/>
    <col min="1520" max="1520" width="2.42578125" style="1008" customWidth="1"/>
    <col min="1521" max="1521" width="17.7109375" style="1008" customWidth="1"/>
    <col min="1522" max="1522" width="1.5703125" style="1008" customWidth="1"/>
    <col min="1523" max="1523" width="6.42578125" style="1008" customWidth="1"/>
    <col min="1524" max="1524" width="13.140625" style="1008" customWidth="1"/>
    <col min="1525" max="1525" width="1" style="1008" customWidth="1"/>
    <col min="1526" max="1526" width="19.5703125" style="1008" customWidth="1"/>
    <col min="1527" max="1527" width="0.85546875" style="1008" customWidth="1"/>
    <col min="1528" max="1528" width="14.42578125" style="1008" customWidth="1"/>
    <col min="1529" max="1529" width="12.85546875" style="1008" customWidth="1"/>
    <col min="1530" max="1530" width="6.140625" style="1008" customWidth="1"/>
    <col min="1531" max="1532" width="11.42578125" style="1008"/>
    <col min="1533" max="1533" width="15.42578125" style="1008" customWidth="1"/>
    <col min="1534" max="1773" width="11.42578125" style="1008"/>
    <col min="1774" max="1774" width="2.28515625" style="1008" customWidth="1"/>
    <col min="1775" max="1775" width="2.7109375" style="1008" customWidth="1"/>
    <col min="1776" max="1776" width="2.42578125" style="1008" customWidth="1"/>
    <col min="1777" max="1777" width="17.7109375" style="1008" customWidth="1"/>
    <col min="1778" max="1778" width="1.5703125" style="1008" customWidth="1"/>
    <col min="1779" max="1779" width="6.42578125" style="1008" customWidth="1"/>
    <col min="1780" max="1780" width="13.140625" style="1008" customWidth="1"/>
    <col min="1781" max="1781" width="1" style="1008" customWidth="1"/>
    <col min="1782" max="1782" width="19.5703125" style="1008" customWidth="1"/>
    <col min="1783" max="1783" width="0.85546875" style="1008" customWidth="1"/>
    <col min="1784" max="1784" width="14.42578125" style="1008" customWidth="1"/>
    <col min="1785" max="1785" width="12.85546875" style="1008" customWidth="1"/>
    <col min="1786" max="1786" width="6.140625" style="1008" customWidth="1"/>
    <col min="1787" max="1788" width="11.42578125" style="1008"/>
    <col min="1789" max="1789" width="15.42578125" style="1008" customWidth="1"/>
    <col min="1790" max="2029" width="11.42578125" style="1008"/>
    <col min="2030" max="2030" width="2.28515625" style="1008" customWidth="1"/>
    <col min="2031" max="2031" width="2.7109375" style="1008" customWidth="1"/>
    <col min="2032" max="2032" width="2.42578125" style="1008" customWidth="1"/>
    <col min="2033" max="2033" width="17.7109375" style="1008" customWidth="1"/>
    <col min="2034" max="2034" width="1.5703125" style="1008" customWidth="1"/>
    <col min="2035" max="2035" width="6.42578125" style="1008" customWidth="1"/>
    <col min="2036" max="2036" width="13.140625" style="1008" customWidth="1"/>
    <col min="2037" max="2037" width="1" style="1008" customWidth="1"/>
    <col min="2038" max="2038" width="19.5703125" style="1008" customWidth="1"/>
    <col min="2039" max="2039" width="0.85546875" style="1008" customWidth="1"/>
    <col min="2040" max="2040" width="14.42578125" style="1008" customWidth="1"/>
    <col min="2041" max="2041" width="12.85546875" style="1008" customWidth="1"/>
    <col min="2042" max="2042" width="6.140625" style="1008" customWidth="1"/>
    <col min="2043" max="2044" width="11.42578125" style="1008"/>
    <col min="2045" max="2045" width="15.42578125" style="1008" customWidth="1"/>
    <col min="2046" max="2285" width="11.42578125" style="1008"/>
    <col min="2286" max="2286" width="2.28515625" style="1008" customWidth="1"/>
    <col min="2287" max="2287" width="2.7109375" style="1008" customWidth="1"/>
    <col min="2288" max="2288" width="2.42578125" style="1008" customWidth="1"/>
    <col min="2289" max="2289" width="17.7109375" style="1008" customWidth="1"/>
    <col min="2290" max="2290" width="1.5703125" style="1008" customWidth="1"/>
    <col min="2291" max="2291" width="6.42578125" style="1008" customWidth="1"/>
    <col min="2292" max="2292" width="13.140625" style="1008" customWidth="1"/>
    <col min="2293" max="2293" width="1" style="1008" customWidth="1"/>
    <col min="2294" max="2294" width="19.5703125" style="1008" customWidth="1"/>
    <col min="2295" max="2295" width="0.85546875" style="1008" customWidth="1"/>
    <col min="2296" max="2296" width="14.42578125" style="1008" customWidth="1"/>
    <col min="2297" max="2297" width="12.85546875" style="1008" customWidth="1"/>
    <col min="2298" max="2298" width="6.140625" style="1008" customWidth="1"/>
    <col min="2299" max="2300" width="11.42578125" style="1008"/>
    <col min="2301" max="2301" width="15.42578125" style="1008" customWidth="1"/>
    <col min="2302" max="2541" width="11.42578125" style="1008"/>
    <col min="2542" max="2542" width="2.28515625" style="1008" customWidth="1"/>
    <col min="2543" max="2543" width="2.7109375" style="1008" customWidth="1"/>
    <col min="2544" max="2544" width="2.42578125" style="1008" customWidth="1"/>
    <col min="2545" max="2545" width="17.7109375" style="1008" customWidth="1"/>
    <col min="2546" max="2546" width="1.5703125" style="1008" customWidth="1"/>
    <col min="2547" max="2547" width="6.42578125" style="1008" customWidth="1"/>
    <col min="2548" max="2548" width="13.140625" style="1008" customWidth="1"/>
    <col min="2549" max="2549" width="1" style="1008" customWidth="1"/>
    <col min="2550" max="2550" width="19.5703125" style="1008" customWidth="1"/>
    <col min="2551" max="2551" width="0.85546875" style="1008" customWidth="1"/>
    <col min="2552" max="2552" width="14.42578125" style="1008" customWidth="1"/>
    <col min="2553" max="2553" width="12.85546875" style="1008" customWidth="1"/>
    <col min="2554" max="2554" width="6.140625" style="1008" customWidth="1"/>
    <col min="2555" max="2556" width="11.42578125" style="1008"/>
    <col min="2557" max="2557" width="15.42578125" style="1008" customWidth="1"/>
    <col min="2558" max="2797" width="11.42578125" style="1008"/>
    <col min="2798" max="2798" width="2.28515625" style="1008" customWidth="1"/>
    <col min="2799" max="2799" width="2.7109375" style="1008" customWidth="1"/>
    <col min="2800" max="2800" width="2.42578125" style="1008" customWidth="1"/>
    <col min="2801" max="2801" width="17.7109375" style="1008" customWidth="1"/>
    <col min="2802" max="2802" width="1.5703125" style="1008" customWidth="1"/>
    <col min="2803" max="2803" width="6.42578125" style="1008" customWidth="1"/>
    <col min="2804" max="2804" width="13.140625" style="1008" customWidth="1"/>
    <col min="2805" max="2805" width="1" style="1008" customWidth="1"/>
    <col min="2806" max="2806" width="19.5703125" style="1008" customWidth="1"/>
    <col min="2807" max="2807" width="0.85546875" style="1008" customWidth="1"/>
    <col min="2808" max="2808" width="14.42578125" style="1008" customWidth="1"/>
    <col min="2809" max="2809" width="12.85546875" style="1008" customWidth="1"/>
    <col min="2810" max="2810" width="6.140625" style="1008" customWidth="1"/>
    <col min="2811" max="2812" width="11.42578125" style="1008"/>
    <col min="2813" max="2813" width="15.42578125" style="1008" customWidth="1"/>
    <col min="2814" max="3053" width="11.42578125" style="1008"/>
    <col min="3054" max="3054" width="2.28515625" style="1008" customWidth="1"/>
    <col min="3055" max="3055" width="2.7109375" style="1008" customWidth="1"/>
    <col min="3056" max="3056" width="2.42578125" style="1008" customWidth="1"/>
    <col min="3057" max="3057" width="17.7109375" style="1008" customWidth="1"/>
    <col min="3058" max="3058" width="1.5703125" style="1008" customWidth="1"/>
    <col min="3059" max="3059" width="6.42578125" style="1008" customWidth="1"/>
    <col min="3060" max="3060" width="13.140625" style="1008" customWidth="1"/>
    <col min="3061" max="3061" width="1" style="1008" customWidth="1"/>
    <col min="3062" max="3062" width="19.5703125" style="1008" customWidth="1"/>
    <col min="3063" max="3063" width="0.85546875" style="1008" customWidth="1"/>
    <col min="3064" max="3064" width="14.42578125" style="1008" customWidth="1"/>
    <col min="3065" max="3065" width="12.85546875" style="1008" customWidth="1"/>
    <col min="3066" max="3066" width="6.140625" style="1008" customWidth="1"/>
    <col min="3067" max="3068" width="11.42578125" style="1008"/>
    <col min="3069" max="3069" width="15.42578125" style="1008" customWidth="1"/>
    <col min="3070" max="3309" width="11.42578125" style="1008"/>
    <col min="3310" max="3310" width="2.28515625" style="1008" customWidth="1"/>
    <col min="3311" max="3311" width="2.7109375" style="1008" customWidth="1"/>
    <col min="3312" max="3312" width="2.42578125" style="1008" customWidth="1"/>
    <col min="3313" max="3313" width="17.7109375" style="1008" customWidth="1"/>
    <col min="3314" max="3314" width="1.5703125" style="1008" customWidth="1"/>
    <col min="3315" max="3315" width="6.42578125" style="1008" customWidth="1"/>
    <col min="3316" max="3316" width="13.140625" style="1008" customWidth="1"/>
    <col min="3317" max="3317" width="1" style="1008" customWidth="1"/>
    <col min="3318" max="3318" width="19.5703125" style="1008" customWidth="1"/>
    <col min="3319" max="3319" width="0.85546875" style="1008" customWidth="1"/>
    <col min="3320" max="3320" width="14.42578125" style="1008" customWidth="1"/>
    <col min="3321" max="3321" width="12.85546875" style="1008" customWidth="1"/>
    <col min="3322" max="3322" width="6.140625" style="1008" customWidth="1"/>
    <col min="3323" max="3324" width="11.42578125" style="1008"/>
    <col min="3325" max="3325" width="15.42578125" style="1008" customWidth="1"/>
    <col min="3326" max="3565" width="11.42578125" style="1008"/>
    <col min="3566" max="3566" width="2.28515625" style="1008" customWidth="1"/>
    <col min="3567" max="3567" width="2.7109375" style="1008" customWidth="1"/>
    <col min="3568" max="3568" width="2.42578125" style="1008" customWidth="1"/>
    <col min="3569" max="3569" width="17.7109375" style="1008" customWidth="1"/>
    <col min="3570" max="3570" width="1.5703125" style="1008" customWidth="1"/>
    <col min="3571" max="3571" width="6.42578125" style="1008" customWidth="1"/>
    <col min="3572" max="3572" width="13.140625" style="1008" customWidth="1"/>
    <col min="3573" max="3573" width="1" style="1008" customWidth="1"/>
    <col min="3574" max="3574" width="19.5703125" style="1008" customWidth="1"/>
    <col min="3575" max="3575" width="0.85546875" style="1008" customWidth="1"/>
    <col min="3576" max="3576" width="14.42578125" style="1008" customWidth="1"/>
    <col min="3577" max="3577" width="12.85546875" style="1008" customWidth="1"/>
    <col min="3578" max="3578" width="6.140625" style="1008" customWidth="1"/>
    <col min="3579" max="3580" width="11.42578125" style="1008"/>
    <col min="3581" max="3581" width="15.42578125" style="1008" customWidth="1"/>
    <col min="3582" max="3821" width="11.42578125" style="1008"/>
    <col min="3822" max="3822" width="2.28515625" style="1008" customWidth="1"/>
    <col min="3823" max="3823" width="2.7109375" style="1008" customWidth="1"/>
    <col min="3824" max="3824" width="2.42578125" style="1008" customWidth="1"/>
    <col min="3825" max="3825" width="17.7109375" style="1008" customWidth="1"/>
    <col min="3826" max="3826" width="1.5703125" style="1008" customWidth="1"/>
    <col min="3827" max="3827" width="6.42578125" style="1008" customWidth="1"/>
    <col min="3828" max="3828" width="13.140625" style="1008" customWidth="1"/>
    <col min="3829" max="3829" width="1" style="1008" customWidth="1"/>
    <col min="3830" max="3830" width="19.5703125" style="1008" customWidth="1"/>
    <col min="3831" max="3831" width="0.85546875" style="1008" customWidth="1"/>
    <col min="3832" max="3832" width="14.42578125" style="1008" customWidth="1"/>
    <col min="3833" max="3833" width="12.85546875" style="1008" customWidth="1"/>
    <col min="3834" max="3834" width="6.140625" style="1008" customWidth="1"/>
    <col min="3835" max="3836" width="11.42578125" style="1008"/>
    <col min="3837" max="3837" width="15.42578125" style="1008" customWidth="1"/>
    <col min="3838" max="4077" width="11.42578125" style="1008"/>
    <col min="4078" max="4078" width="2.28515625" style="1008" customWidth="1"/>
    <col min="4079" max="4079" width="2.7109375" style="1008" customWidth="1"/>
    <col min="4080" max="4080" width="2.42578125" style="1008" customWidth="1"/>
    <col min="4081" max="4081" width="17.7109375" style="1008" customWidth="1"/>
    <col min="4082" max="4082" width="1.5703125" style="1008" customWidth="1"/>
    <col min="4083" max="4083" width="6.42578125" style="1008" customWidth="1"/>
    <col min="4084" max="4084" width="13.140625" style="1008" customWidth="1"/>
    <col min="4085" max="4085" width="1" style="1008" customWidth="1"/>
    <col min="4086" max="4086" width="19.5703125" style="1008" customWidth="1"/>
    <col min="4087" max="4087" width="0.85546875" style="1008" customWidth="1"/>
    <col min="4088" max="4088" width="14.42578125" style="1008" customWidth="1"/>
    <col min="4089" max="4089" width="12.85546875" style="1008" customWidth="1"/>
    <col min="4090" max="4090" width="6.140625" style="1008" customWidth="1"/>
    <col min="4091" max="4092" width="11.42578125" style="1008"/>
    <col min="4093" max="4093" width="15.42578125" style="1008" customWidth="1"/>
    <col min="4094" max="4333" width="11.42578125" style="1008"/>
    <col min="4334" max="4334" width="2.28515625" style="1008" customWidth="1"/>
    <col min="4335" max="4335" width="2.7109375" style="1008" customWidth="1"/>
    <col min="4336" max="4336" width="2.42578125" style="1008" customWidth="1"/>
    <col min="4337" max="4337" width="17.7109375" style="1008" customWidth="1"/>
    <col min="4338" max="4338" width="1.5703125" style="1008" customWidth="1"/>
    <col min="4339" max="4339" width="6.42578125" style="1008" customWidth="1"/>
    <col min="4340" max="4340" width="13.140625" style="1008" customWidth="1"/>
    <col min="4341" max="4341" width="1" style="1008" customWidth="1"/>
    <col min="4342" max="4342" width="19.5703125" style="1008" customWidth="1"/>
    <col min="4343" max="4343" width="0.85546875" style="1008" customWidth="1"/>
    <col min="4344" max="4344" width="14.42578125" style="1008" customWidth="1"/>
    <col min="4345" max="4345" width="12.85546875" style="1008" customWidth="1"/>
    <col min="4346" max="4346" width="6.140625" style="1008" customWidth="1"/>
    <col min="4347" max="4348" width="11.42578125" style="1008"/>
    <col min="4349" max="4349" width="15.42578125" style="1008" customWidth="1"/>
    <col min="4350" max="4589" width="11.42578125" style="1008"/>
    <col min="4590" max="4590" width="2.28515625" style="1008" customWidth="1"/>
    <col min="4591" max="4591" width="2.7109375" style="1008" customWidth="1"/>
    <col min="4592" max="4592" width="2.42578125" style="1008" customWidth="1"/>
    <col min="4593" max="4593" width="17.7109375" style="1008" customWidth="1"/>
    <col min="4594" max="4594" width="1.5703125" style="1008" customWidth="1"/>
    <col min="4595" max="4595" width="6.42578125" style="1008" customWidth="1"/>
    <col min="4596" max="4596" width="13.140625" style="1008" customWidth="1"/>
    <col min="4597" max="4597" width="1" style="1008" customWidth="1"/>
    <col min="4598" max="4598" width="19.5703125" style="1008" customWidth="1"/>
    <col min="4599" max="4599" width="0.85546875" style="1008" customWidth="1"/>
    <col min="4600" max="4600" width="14.42578125" style="1008" customWidth="1"/>
    <col min="4601" max="4601" width="12.85546875" style="1008" customWidth="1"/>
    <col min="4602" max="4602" width="6.140625" style="1008" customWidth="1"/>
    <col min="4603" max="4604" width="11.42578125" style="1008"/>
    <col min="4605" max="4605" width="15.42578125" style="1008" customWidth="1"/>
    <col min="4606" max="4845" width="11.42578125" style="1008"/>
    <col min="4846" max="4846" width="2.28515625" style="1008" customWidth="1"/>
    <col min="4847" max="4847" width="2.7109375" style="1008" customWidth="1"/>
    <col min="4848" max="4848" width="2.42578125" style="1008" customWidth="1"/>
    <col min="4849" max="4849" width="17.7109375" style="1008" customWidth="1"/>
    <col min="4850" max="4850" width="1.5703125" style="1008" customWidth="1"/>
    <col min="4851" max="4851" width="6.42578125" style="1008" customWidth="1"/>
    <col min="4852" max="4852" width="13.140625" style="1008" customWidth="1"/>
    <col min="4853" max="4853" width="1" style="1008" customWidth="1"/>
    <col min="4854" max="4854" width="19.5703125" style="1008" customWidth="1"/>
    <col min="4855" max="4855" width="0.85546875" style="1008" customWidth="1"/>
    <col min="4856" max="4856" width="14.42578125" style="1008" customWidth="1"/>
    <col min="4857" max="4857" width="12.85546875" style="1008" customWidth="1"/>
    <col min="4858" max="4858" width="6.140625" style="1008" customWidth="1"/>
    <col min="4859" max="4860" width="11.42578125" style="1008"/>
    <col min="4861" max="4861" width="15.42578125" style="1008" customWidth="1"/>
    <col min="4862" max="5101" width="11.42578125" style="1008"/>
    <col min="5102" max="5102" width="2.28515625" style="1008" customWidth="1"/>
    <col min="5103" max="5103" width="2.7109375" style="1008" customWidth="1"/>
    <col min="5104" max="5104" width="2.42578125" style="1008" customWidth="1"/>
    <col min="5105" max="5105" width="17.7109375" style="1008" customWidth="1"/>
    <col min="5106" max="5106" width="1.5703125" style="1008" customWidth="1"/>
    <col min="5107" max="5107" width="6.42578125" style="1008" customWidth="1"/>
    <col min="5108" max="5108" width="13.140625" style="1008" customWidth="1"/>
    <col min="5109" max="5109" width="1" style="1008" customWidth="1"/>
    <col min="5110" max="5110" width="19.5703125" style="1008" customWidth="1"/>
    <col min="5111" max="5111" width="0.85546875" style="1008" customWidth="1"/>
    <col min="5112" max="5112" width="14.42578125" style="1008" customWidth="1"/>
    <col min="5113" max="5113" width="12.85546875" style="1008" customWidth="1"/>
    <col min="5114" max="5114" width="6.140625" style="1008" customWidth="1"/>
    <col min="5115" max="5116" width="11.42578125" style="1008"/>
    <col min="5117" max="5117" width="15.42578125" style="1008" customWidth="1"/>
    <col min="5118" max="5357" width="11.42578125" style="1008"/>
    <col min="5358" max="5358" width="2.28515625" style="1008" customWidth="1"/>
    <col min="5359" max="5359" width="2.7109375" style="1008" customWidth="1"/>
    <col min="5360" max="5360" width="2.42578125" style="1008" customWidth="1"/>
    <col min="5361" max="5361" width="17.7109375" style="1008" customWidth="1"/>
    <col min="5362" max="5362" width="1.5703125" style="1008" customWidth="1"/>
    <col min="5363" max="5363" width="6.42578125" style="1008" customWidth="1"/>
    <col min="5364" max="5364" width="13.140625" style="1008" customWidth="1"/>
    <col min="5365" max="5365" width="1" style="1008" customWidth="1"/>
    <col min="5366" max="5366" width="19.5703125" style="1008" customWidth="1"/>
    <col min="5367" max="5367" width="0.85546875" style="1008" customWidth="1"/>
    <col min="5368" max="5368" width="14.42578125" style="1008" customWidth="1"/>
    <col min="5369" max="5369" width="12.85546875" style="1008" customWidth="1"/>
    <col min="5370" max="5370" width="6.140625" style="1008" customWidth="1"/>
    <col min="5371" max="5372" width="11.42578125" style="1008"/>
    <col min="5373" max="5373" width="15.42578125" style="1008" customWidth="1"/>
    <col min="5374" max="5613" width="11.42578125" style="1008"/>
    <col min="5614" max="5614" width="2.28515625" style="1008" customWidth="1"/>
    <col min="5615" max="5615" width="2.7109375" style="1008" customWidth="1"/>
    <col min="5616" max="5616" width="2.42578125" style="1008" customWidth="1"/>
    <col min="5617" max="5617" width="17.7109375" style="1008" customWidth="1"/>
    <col min="5618" max="5618" width="1.5703125" style="1008" customWidth="1"/>
    <col min="5619" max="5619" width="6.42578125" style="1008" customWidth="1"/>
    <col min="5620" max="5620" width="13.140625" style="1008" customWidth="1"/>
    <col min="5621" max="5621" width="1" style="1008" customWidth="1"/>
    <col min="5622" max="5622" width="19.5703125" style="1008" customWidth="1"/>
    <col min="5623" max="5623" width="0.85546875" style="1008" customWidth="1"/>
    <col min="5624" max="5624" width="14.42578125" style="1008" customWidth="1"/>
    <col min="5625" max="5625" width="12.85546875" style="1008" customWidth="1"/>
    <col min="5626" max="5626" width="6.140625" style="1008" customWidth="1"/>
    <col min="5627" max="5628" width="11.42578125" style="1008"/>
    <col min="5629" max="5629" width="15.42578125" style="1008" customWidth="1"/>
    <col min="5630" max="5869" width="11.42578125" style="1008"/>
    <col min="5870" max="5870" width="2.28515625" style="1008" customWidth="1"/>
    <col min="5871" max="5871" width="2.7109375" style="1008" customWidth="1"/>
    <col min="5872" max="5872" width="2.42578125" style="1008" customWidth="1"/>
    <col min="5873" max="5873" width="17.7109375" style="1008" customWidth="1"/>
    <col min="5874" max="5874" width="1.5703125" style="1008" customWidth="1"/>
    <col min="5875" max="5875" width="6.42578125" style="1008" customWidth="1"/>
    <col min="5876" max="5876" width="13.140625" style="1008" customWidth="1"/>
    <col min="5877" max="5877" width="1" style="1008" customWidth="1"/>
    <col min="5878" max="5878" width="19.5703125" style="1008" customWidth="1"/>
    <col min="5879" max="5879" width="0.85546875" style="1008" customWidth="1"/>
    <col min="5880" max="5880" width="14.42578125" style="1008" customWidth="1"/>
    <col min="5881" max="5881" width="12.85546875" style="1008" customWidth="1"/>
    <col min="5882" max="5882" width="6.140625" style="1008" customWidth="1"/>
    <col min="5883" max="5884" width="11.42578125" style="1008"/>
    <col min="5885" max="5885" width="15.42578125" style="1008" customWidth="1"/>
    <col min="5886" max="6125" width="11.42578125" style="1008"/>
    <col min="6126" max="6126" width="2.28515625" style="1008" customWidth="1"/>
    <col min="6127" max="6127" width="2.7109375" style="1008" customWidth="1"/>
    <col min="6128" max="6128" width="2.42578125" style="1008" customWidth="1"/>
    <col min="6129" max="6129" width="17.7109375" style="1008" customWidth="1"/>
    <col min="6130" max="6130" width="1.5703125" style="1008" customWidth="1"/>
    <col min="6131" max="6131" width="6.42578125" style="1008" customWidth="1"/>
    <col min="6132" max="6132" width="13.140625" style="1008" customWidth="1"/>
    <col min="6133" max="6133" width="1" style="1008" customWidth="1"/>
    <col min="6134" max="6134" width="19.5703125" style="1008" customWidth="1"/>
    <col min="6135" max="6135" width="0.85546875" style="1008" customWidth="1"/>
    <col min="6136" max="6136" width="14.42578125" style="1008" customWidth="1"/>
    <col min="6137" max="6137" width="12.85546875" style="1008" customWidth="1"/>
    <col min="6138" max="6138" width="6.140625" style="1008" customWidth="1"/>
    <col min="6139" max="6140" width="11.42578125" style="1008"/>
    <col min="6141" max="6141" width="15.42578125" style="1008" customWidth="1"/>
    <col min="6142" max="6381" width="11.42578125" style="1008"/>
    <col min="6382" max="6382" width="2.28515625" style="1008" customWidth="1"/>
    <col min="6383" max="6383" width="2.7109375" style="1008" customWidth="1"/>
    <col min="6384" max="6384" width="2.42578125" style="1008" customWidth="1"/>
    <col min="6385" max="6385" width="17.7109375" style="1008" customWidth="1"/>
    <col min="6386" max="6386" width="1.5703125" style="1008" customWidth="1"/>
    <col min="6387" max="6387" width="6.42578125" style="1008" customWidth="1"/>
    <col min="6388" max="6388" width="13.140625" style="1008" customWidth="1"/>
    <col min="6389" max="6389" width="1" style="1008" customWidth="1"/>
    <col min="6390" max="6390" width="19.5703125" style="1008" customWidth="1"/>
    <col min="6391" max="6391" width="0.85546875" style="1008" customWidth="1"/>
    <col min="6392" max="6392" width="14.42578125" style="1008" customWidth="1"/>
    <col min="6393" max="6393" width="12.85546875" style="1008" customWidth="1"/>
    <col min="6394" max="6394" width="6.140625" style="1008" customWidth="1"/>
    <col min="6395" max="6396" width="11.42578125" style="1008"/>
    <col min="6397" max="6397" width="15.42578125" style="1008" customWidth="1"/>
    <col min="6398" max="6637" width="11.42578125" style="1008"/>
    <col min="6638" max="6638" width="2.28515625" style="1008" customWidth="1"/>
    <col min="6639" max="6639" width="2.7109375" style="1008" customWidth="1"/>
    <col min="6640" max="6640" width="2.42578125" style="1008" customWidth="1"/>
    <col min="6641" max="6641" width="17.7109375" style="1008" customWidth="1"/>
    <col min="6642" max="6642" width="1.5703125" style="1008" customWidth="1"/>
    <col min="6643" max="6643" width="6.42578125" style="1008" customWidth="1"/>
    <col min="6644" max="6644" width="13.140625" style="1008" customWidth="1"/>
    <col min="6645" max="6645" width="1" style="1008" customWidth="1"/>
    <col min="6646" max="6646" width="19.5703125" style="1008" customWidth="1"/>
    <col min="6647" max="6647" width="0.85546875" style="1008" customWidth="1"/>
    <col min="6648" max="6648" width="14.42578125" style="1008" customWidth="1"/>
    <col min="6649" max="6649" width="12.85546875" style="1008" customWidth="1"/>
    <col min="6650" max="6650" width="6.140625" style="1008" customWidth="1"/>
    <col min="6651" max="6652" width="11.42578125" style="1008"/>
    <col min="6653" max="6653" width="15.42578125" style="1008" customWidth="1"/>
    <col min="6654" max="6893" width="11.42578125" style="1008"/>
    <col min="6894" max="6894" width="2.28515625" style="1008" customWidth="1"/>
    <col min="6895" max="6895" width="2.7109375" style="1008" customWidth="1"/>
    <col min="6896" max="6896" width="2.42578125" style="1008" customWidth="1"/>
    <col min="6897" max="6897" width="17.7109375" style="1008" customWidth="1"/>
    <col min="6898" max="6898" width="1.5703125" style="1008" customWidth="1"/>
    <col min="6899" max="6899" width="6.42578125" style="1008" customWidth="1"/>
    <col min="6900" max="6900" width="13.140625" style="1008" customWidth="1"/>
    <col min="6901" max="6901" width="1" style="1008" customWidth="1"/>
    <col min="6902" max="6902" width="19.5703125" style="1008" customWidth="1"/>
    <col min="6903" max="6903" width="0.85546875" style="1008" customWidth="1"/>
    <col min="6904" max="6904" width="14.42578125" style="1008" customWidth="1"/>
    <col min="6905" max="6905" width="12.85546875" style="1008" customWidth="1"/>
    <col min="6906" max="6906" width="6.140625" style="1008" customWidth="1"/>
    <col min="6907" max="6908" width="11.42578125" style="1008"/>
    <col min="6909" max="6909" width="15.42578125" style="1008" customWidth="1"/>
    <col min="6910" max="7149" width="11.42578125" style="1008"/>
    <col min="7150" max="7150" width="2.28515625" style="1008" customWidth="1"/>
    <col min="7151" max="7151" width="2.7109375" style="1008" customWidth="1"/>
    <col min="7152" max="7152" width="2.42578125" style="1008" customWidth="1"/>
    <col min="7153" max="7153" width="17.7109375" style="1008" customWidth="1"/>
    <col min="7154" max="7154" width="1.5703125" style="1008" customWidth="1"/>
    <col min="7155" max="7155" width="6.42578125" style="1008" customWidth="1"/>
    <col min="7156" max="7156" width="13.140625" style="1008" customWidth="1"/>
    <col min="7157" max="7157" width="1" style="1008" customWidth="1"/>
    <col min="7158" max="7158" width="19.5703125" style="1008" customWidth="1"/>
    <col min="7159" max="7159" width="0.85546875" style="1008" customWidth="1"/>
    <col min="7160" max="7160" width="14.42578125" style="1008" customWidth="1"/>
    <col min="7161" max="7161" width="12.85546875" style="1008" customWidth="1"/>
    <col min="7162" max="7162" width="6.140625" style="1008" customWidth="1"/>
    <col min="7163" max="7164" width="11.42578125" style="1008"/>
    <col min="7165" max="7165" width="15.42578125" style="1008" customWidth="1"/>
    <col min="7166" max="7405" width="11.42578125" style="1008"/>
    <col min="7406" max="7406" width="2.28515625" style="1008" customWidth="1"/>
    <col min="7407" max="7407" width="2.7109375" style="1008" customWidth="1"/>
    <col min="7408" max="7408" width="2.42578125" style="1008" customWidth="1"/>
    <col min="7409" max="7409" width="17.7109375" style="1008" customWidth="1"/>
    <col min="7410" max="7410" width="1.5703125" style="1008" customWidth="1"/>
    <col min="7411" max="7411" width="6.42578125" style="1008" customWidth="1"/>
    <col min="7412" max="7412" width="13.140625" style="1008" customWidth="1"/>
    <col min="7413" max="7413" width="1" style="1008" customWidth="1"/>
    <col min="7414" max="7414" width="19.5703125" style="1008" customWidth="1"/>
    <col min="7415" max="7415" width="0.85546875" style="1008" customWidth="1"/>
    <col min="7416" max="7416" width="14.42578125" style="1008" customWidth="1"/>
    <col min="7417" max="7417" width="12.85546875" style="1008" customWidth="1"/>
    <col min="7418" max="7418" width="6.140625" style="1008" customWidth="1"/>
    <col min="7419" max="7420" width="11.42578125" style="1008"/>
    <col min="7421" max="7421" width="15.42578125" style="1008" customWidth="1"/>
    <col min="7422" max="7661" width="11.42578125" style="1008"/>
    <col min="7662" max="7662" width="2.28515625" style="1008" customWidth="1"/>
    <col min="7663" max="7663" width="2.7109375" style="1008" customWidth="1"/>
    <col min="7664" max="7664" width="2.42578125" style="1008" customWidth="1"/>
    <col min="7665" max="7665" width="17.7109375" style="1008" customWidth="1"/>
    <col min="7666" max="7666" width="1.5703125" style="1008" customWidth="1"/>
    <col min="7667" max="7667" width="6.42578125" style="1008" customWidth="1"/>
    <col min="7668" max="7668" width="13.140625" style="1008" customWidth="1"/>
    <col min="7669" max="7669" width="1" style="1008" customWidth="1"/>
    <col min="7670" max="7670" width="19.5703125" style="1008" customWidth="1"/>
    <col min="7671" max="7671" width="0.85546875" style="1008" customWidth="1"/>
    <col min="7672" max="7672" width="14.42578125" style="1008" customWidth="1"/>
    <col min="7673" max="7673" width="12.85546875" style="1008" customWidth="1"/>
    <col min="7674" max="7674" width="6.140625" style="1008" customWidth="1"/>
    <col min="7675" max="7676" width="11.42578125" style="1008"/>
    <col min="7677" max="7677" width="15.42578125" style="1008" customWidth="1"/>
    <col min="7678" max="7917" width="11.42578125" style="1008"/>
    <col min="7918" max="7918" width="2.28515625" style="1008" customWidth="1"/>
    <col min="7919" max="7919" width="2.7109375" style="1008" customWidth="1"/>
    <col min="7920" max="7920" width="2.42578125" style="1008" customWidth="1"/>
    <col min="7921" max="7921" width="17.7109375" style="1008" customWidth="1"/>
    <col min="7922" max="7922" width="1.5703125" style="1008" customWidth="1"/>
    <col min="7923" max="7923" width="6.42578125" style="1008" customWidth="1"/>
    <col min="7924" max="7924" width="13.140625" style="1008" customWidth="1"/>
    <col min="7925" max="7925" width="1" style="1008" customWidth="1"/>
    <col min="7926" max="7926" width="19.5703125" style="1008" customWidth="1"/>
    <col min="7927" max="7927" width="0.85546875" style="1008" customWidth="1"/>
    <col min="7928" max="7928" width="14.42578125" style="1008" customWidth="1"/>
    <col min="7929" max="7929" width="12.85546875" style="1008" customWidth="1"/>
    <col min="7930" max="7930" width="6.140625" style="1008" customWidth="1"/>
    <col min="7931" max="7932" width="11.42578125" style="1008"/>
    <col min="7933" max="7933" width="15.42578125" style="1008" customWidth="1"/>
    <col min="7934" max="8173" width="11.42578125" style="1008"/>
    <col min="8174" max="8174" width="2.28515625" style="1008" customWidth="1"/>
    <col min="8175" max="8175" width="2.7109375" style="1008" customWidth="1"/>
    <col min="8176" max="8176" width="2.42578125" style="1008" customWidth="1"/>
    <col min="8177" max="8177" width="17.7109375" style="1008" customWidth="1"/>
    <col min="8178" max="8178" width="1.5703125" style="1008" customWidth="1"/>
    <col min="8179" max="8179" width="6.42578125" style="1008" customWidth="1"/>
    <col min="8180" max="8180" width="13.140625" style="1008" customWidth="1"/>
    <col min="8181" max="8181" width="1" style="1008" customWidth="1"/>
    <col min="8182" max="8182" width="19.5703125" style="1008" customWidth="1"/>
    <col min="8183" max="8183" width="0.85546875" style="1008" customWidth="1"/>
    <col min="8184" max="8184" width="14.42578125" style="1008" customWidth="1"/>
    <col min="8185" max="8185" width="12.85546875" style="1008" customWidth="1"/>
    <col min="8186" max="8186" width="6.140625" style="1008" customWidth="1"/>
    <col min="8187" max="8188" width="11.42578125" style="1008"/>
    <col min="8189" max="8189" width="15.42578125" style="1008" customWidth="1"/>
    <col min="8190" max="8429" width="11.42578125" style="1008"/>
    <col min="8430" max="8430" width="2.28515625" style="1008" customWidth="1"/>
    <col min="8431" max="8431" width="2.7109375" style="1008" customWidth="1"/>
    <col min="8432" max="8432" width="2.42578125" style="1008" customWidth="1"/>
    <col min="8433" max="8433" width="17.7109375" style="1008" customWidth="1"/>
    <col min="8434" max="8434" width="1.5703125" style="1008" customWidth="1"/>
    <col min="8435" max="8435" width="6.42578125" style="1008" customWidth="1"/>
    <col min="8436" max="8436" width="13.140625" style="1008" customWidth="1"/>
    <col min="8437" max="8437" width="1" style="1008" customWidth="1"/>
    <col min="8438" max="8438" width="19.5703125" style="1008" customWidth="1"/>
    <col min="8439" max="8439" width="0.85546875" style="1008" customWidth="1"/>
    <col min="8440" max="8440" width="14.42578125" style="1008" customWidth="1"/>
    <col min="8441" max="8441" width="12.85546875" style="1008" customWidth="1"/>
    <col min="8442" max="8442" width="6.140625" style="1008" customWidth="1"/>
    <col min="8443" max="8444" width="11.42578125" style="1008"/>
    <col min="8445" max="8445" width="15.42578125" style="1008" customWidth="1"/>
    <col min="8446" max="8685" width="11.42578125" style="1008"/>
    <col min="8686" max="8686" width="2.28515625" style="1008" customWidth="1"/>
    <col min="8687" max="8687" width="2.7109375" style="1008" customWidth="1"/>
    <col min="8688" max="8688" width="2.42578125" style="1008" customWidth="1"/>
    <col min="8689" max="8689" width="17.7109375" style="1008" customWidth="1"/>
    <col min="8690" max="8690" width="1.5703125" style="1008" customWidth="1"/>
    <col min="8691" max="8691" width="6.42578125" style="1008" customWidth="1"/>
    <col min="8692" max="8692" width="13.140625" style="1008" customWidth="1"/>
    <col min="8693" max="8693" width="1" style="1008" customWidth="1"/>
    <col min="8694" max="8694" width="19.5703125" style="1008" customWidth="1"/>
    <col min="8695" max="8695" width="0.85546875" style="1008" customWidth="1"/>
    <col min="8696" max="8696" width="14.42578125" style="1008" customWidth="1"/>
    <col min="8697" max="8697" width="12.85546875" style="1008" customWidth="1"/>
    <col min="8698" max="8698" width="6.140625" style="1008" customWidth="1"/>
    <col min="8699" max="8700" width="11.42578125" style="1008"/>
    <col min="8701" max="8701" width="15.42578125" style="1008" customWidth="1"/>
    <col min="8702" max="8941" width="11.42578125" style="1008"/>
    <col min="8942" max="8942" width="2.28515625" style="1008" customWidth="1"/>
    <col min="8943" max="8943" width="2.7109375" style="1008" customWidth="1"/>
    <col min="8944" max="8944" width="2.42578125" style="1008" customWidth="1"/>
    <col min="8945" max="8945" width="17.7109375" style="1008" customWidth="1"/>
    <col min="8946" max="8946" width="1.5703125" style="1008" customWidth="1"/>
    <col min="8947" max="8947" width="6.42578125" style="1008" customWidth="1"/>
    <col min="8948" max="8948" width="13.140625" style="1008" customWidth="1"/>
    <col min="8949" max="8949" width="1" style="1008" customWidth="1"/>
    <col min="8950" max="8950" width="19.5703125" style="1008" customWidth="1"/>
    <col min="8951" max="8951" width="0.85546875" style="1008" customWidth="1"/>
    <col min="8952" max="8952" width="14.42578125" style="1008" customWidth="1"/>
    <col min="8953" max="8953" width="12.85546875" style="1008" customWidth="1"/>
    <col min="8954" max="8954" width="6.140625" style="1008" customWidth="1"/>
    <col min="8955" max="8956" width="11.42578125" style="1008"/>
    <col min="8957" max="8957" width="15.42578125" style="1008" customWidth="1"/>
    <col min="8958" max="9197" width="11.42578125" style="1008"/>
    <col min="9198" max="9198" width="2.28515625" style="1008" customWidth="1"/>
    <col min="9199" max="9199" width="2.7109375" style="1008" customWidth="1"/>
    <col min="9200" max="9200" width="2.42578125" style="1008" customWidth="1"/>
    <col min="9201" max="9201" width="17.7109375" style="1008" customWidth="1"/>
    <col min="9202" max="9202" width="1.5703125" style="1008" customWidth="1"/>
    <col min="9203" max="9203" width="6.42578125" style="1008" customWidth="1"/>
    <col min="9204" max="9204" width="13.140625" style="1008" customWidth="1"/>
    <col min="9205" max="9205" width="1" style="1008" customWidth="1"/>
    <col min="9206" max="9206" width="19.5703125" style="1008" customWidth="1"/>
    <col min="9207" max="9207" width="0.85546875" style="1008" customWidth="1"/>
    <col min="9208" max="9208" width="14.42578125" style="1008" customWidth="1"/>
    <col min="9209" max="9209" width="12.85546875" style="1008" customWidth="1"/>
    <col min="9210" max="9210" width="6.140625" style="1008" customWidth="1"/>
    <col min="9211" max="9212" width="11.42578125" style="1008"/>
    <col min="9213" max="9213" width="15.42578125" style="1008" customWidth="1"/>
    <col min="9214" max="9453" width="11.42578125" style="1008"/>
    <col min="9454" max="9454" width="2.28515625" style="1008" customWidth="1"/>
    <col min="9455" max="9455" width="2.7109375" style="1008" customWidth="1"/>
    <col min="9456" max="9456" width="2.42578125" style="1008" customWidth="1"/>
    <col min="9457" max="9457" width="17.7109375" style="1008" customWidth="1"/>
    <col min="9458" max="9458" width="1.5703125" style="1008" customWidth="1"/>
    <col min="9459" max="9459" width="6.42578125" style="1008" customWidth="1"/>
    <col min="9460" max="9460" width="13.140625" style="1008" customWidth="1"/>
    <col min="9461" max="9461" width="1" style="1008" customWidth="1"/>
    <col min="9462" max="9462" width="19.5703125" style="1008" customWidth="1"/>
    <col min="9463" max="9463" width="0.85546875" style="1008" customWidth="1"/>
    <col min="9464" max="9464" width="14.42578125" style="1008" customWidth="1"/>
    <col min="9465" max="9465" width="12.85546875" style="1008" customWidth="1"/>
    <col min="9466" max="9466" width="6.140625" style="1008" customWidth="1"/>
    <col min="9467" max="9468" width="11.42578125" style="1008"/>
    <col min="9469" max="9469" width="15.42578125" style="1008" customWidth="1"/>
    <col min="9470" max="9709" width="11.42578125" style="1008"/>
    <col min="9710" max="9710" width="2.28515625" style="1008" customWidth="1"/>
    <col min="9711" max="9711" width="2.7109375" style="1008" customWidth="1"/>
    <col min="9712" max="9712" width="2.42578125" style="1008" customWidth="1"/>
    <col min="9713" max="9713" width="17.7109375" style="1008" customWidth="1"/>
    <col min="9714" max="9714" width="1.5703125" style="1008" customWidth="1"/>
    <col min="9715" max="9715" width="6.42578125" style="1008" customWidth="1"/>
    <col min="9716" max="9716" width="13.140625" style="1008" customWidth="1"/>
    <col min="9717" max="9717" width="1" style="1008" customWidth="1"/>
    <col min="9718" max="9718" width="19.5703125" style="1008" customWidth="1"/>
    <col min="9719" max="9719" width="0.85546875" style="1008" customWidth="1"/>
    <col min="9720" max="9720" width="14.42578125" style="1008" customWidth="1"/>
    <col min="9721" max="9721" width="12.85546875" style="1008" customWidth="1"/>
    <col min="9722" max="9722" width="6.140625" style="1008" customWidth="1"/>
    <col min="9723" max="9724" width="11.42578125" style="1008"/>
    <col min="9725" max="9725" width="15.42578125" style="1008" customWidth="1"/>
    <col min="9726" max="9965" width="11.42578125" style="1008"/>
    <col min="9966" max="9966" width="2.28515625" style="1008" customWidth="1"/>
    <col min="9967" max="9967" width="2.7109375" style="1008" customWidth="1"/>
    <col min="9968" max="9968" width="2.42578125" style="1008" customWidth="1"/>
    <col min="9969" max="9969" width="17.7109375" style="1008" customWidth="1"/>
    <col min="9970" max="9970" width="1.5703125" style="1008" customWidth="1"/>
    <col min="9971" max="9971" width="6.42578125" style="1008" customWidth="1"/>
    <col min="9972" max="9972" width="13.140625" style="1008" customWidth="1"/>
    <col min="9973" max="9973" width="1" style="1008" customWidth="1"/>
    <col min="9974" max="9974" width="19.5703125" style="1008" customWidth="1"/>
    <col min="9975" max="9975" width="0.85546875" style="1008" customWidth="1"/>
    <col min="9976" max="9976" width="14.42578125" style="1008" customWidth="1"/>
    <col min="9977" max="9977" width="12.85546875" style="1008" customWidth="1"/>
    <col min="9978" max="9978" width="6.140625" style="1008" customWidth="1"/>
    <col min="9979" max="9980" width="11.42578125" style="1008"/>
    <col min="9981" max="9981" width="15.42578125" style="1008" customWidth="1"/>
    <col min="9982" max="10221" width="11.42578125" style="1008"/>
    <col min="10222" max="10222" width="2.28515625" style="1008" customWidth="1"/>
    <col min="10223" max="10223" width="2.7109375" style="1008" customWidth="1"/>
    <col min="10224" max="10224" width="2.42578125" style="1008" customWidth="1"/>
    <col min="10225" max="10225" width="17.7109375" style="1008" customWidth="1"/>
    <col min="10226" max="10226" width="1.5703125" style="1008" customWidth="1"/>
    <col min="10227" max="10227" width="6.42578125" style="1008" customWidth="1"/>
    <col min="10228" max="10228" width="13.140625" style="1008" customWidth="1"/>
    <col min="10229" max="10229" width="1" style="1008" customWidth="1"/>
    <col min="10230" max="10230" width="19.5703125" style="1008" customWidth="1"/>
    <col min="10231" max="10231" width="0.85546875" style="1008" customWidth="1"/>
    <col min="10232" max="10232" width="14.42578125" style="1008" customWidth="1"/>
    <col min="10233" max="10233" width="12.85546875" style="1008" customWidth="1"/>
    <col min="10234" max="10234" width="6.140625" style="1008" customWidth="1"/>
    <col min="10235" max="10236" width="11.42578125" style="1008"/>
    <col min="10237" max="10237" width="15.42578125" style="1008" customWidth="1"/>
    <col min="10238" max="10477" width="11.42578125" style="1008"/>
    <col min="10478" max="10478" width="2.28515625" style="1008" customWidth="1"/>
    <col min="10479" max="10479" width="2.7109375" style="1008" customWidth="1"/>
    <col min="10480" max="10480" width="2.42578125" style="1008" customWidth="1"/>
    <col min="10481" max="10481" width="17.7109375" style="1008" customWidth="1"/>
    <col min="10482" max="10482" width="1.5703125" style="1008" customWidth="1"/>
    <col min="10483" max="10483" width="6.42578125" style="1008" customWidth="1"/>
    <col min="10484" max="10484" width="13.140625" style="1008" customWidth="1"/>
    <col min="10485" max="10485" width="1" style="1008" customWidth="1"/>
    <col min="10486" max="10486" width="19.5703125" style="1008" customWidth="1"/>
    <col min="10487" max="10487" width="0.85546875" style="1008" customWidth="1"/>
    <col min="10488" max="10488" width="14.42578125" style="1008" customWidth="1"/>
    <col min="10489" max="10489" width="12.85546875" style="1008" customWidth="1"/>
    <col min="10490" max="10490" width="6.140625" style="1008" customWidth="1"/>
    <col min="10491" max="10492" width="11.42578125" style="1008"/>
    <col min="10493" max="10493" width="15.42578125" style="1008" customWidth="1"/>
    <col min="10494" max="10733" width="11.42578125" style="1008"/>
    <col min="10734" max="10734" width="2.28515625" style="1008" customWidth="1"/>
    <col min="10735" max="10735" width="2.7109375" style="1008" customWidth="1"/>
    <col min="10736" max="10736" width="2.42578125" style="1008" customWidth="1"/>
    <col min="10737" max="10737" width="17.7109375" style="1008" customWidth="1"/>
    <col min="10738" max="10738" width="1.5703125" style="1008" customWidth="1"/>
    <col min="10739" max="10739" width="6.42578125" style="1008" customWidth="1"/>
    <col min="10740" max="10740" width="13.140625" style="1008" customWidth="1"/>
    <col min="10741" max="10741" width="1" style="1008" customWidth="1"/>
    <col min="10742" max="10742" width="19.5703125" style="1008" customWidth="1"/>
    <col min="10743" max="10743" width="0.85546875" style="1008" customWidth="1"/>
    <col min="10744" max="10744" width="14.42578125" style="1008" customWidth="1"/>
    <col min="10745" max="10745" width="12.85546875" style="1008" customWidth="1"/>
    <col min="10746" max="10746" width="6.140625" style="1008" customWidth="1"/>
    <col min="10747" max="10748" width="11.42578125" style="1008"/>
    <col min="10749" max="10749" width="15.42578125" style="1008" customWidth="1"/>
    <col min="10750" max="10989" width="11.42578125" style="1008"/>
    <col min="10990" max="10990" width="2.28515625" style="1008" customWidth="1"/>
    <col min="10991" max="10991" width="2.7109375" style="1008" customWidth="1"/>
    <col min="10992" max="10992" width="2.42578125" style="1008" customWidth="1"/>
    <col min="10993" max="10993" width="17.7109375" style="1008" customWidth="1"/>
    <col min="10994" max="10994" width="1.5703125" style="1008" customWidth="1"/>
    <col min="10995" max="10995" width="6.42578125" style="1008" customWidth="1"/>
    <col min="10996" max="10996" width="13.140625" style="1008" customWidth="1"/>
    <col min="10997" max="10997" width="1" style="1008" customWidth="1"/>
    <col min="10998" max="10998" width="19.5703125" style="1008" customWidth="1"/>
    <col min="10999" max="10999" width="0.85546875" style="1008" customWidth="1"/>
    <col min="11000" max="11000" width="14.42578125" style="1008" customWidth="1"/>
    <col min="11001" max="11001" width="12.85546875" style="1008" customWidth="1"/>
    <col min="11002" max="11002" width="6.140625" style="1008" customWidth="1"/>
    <col min="11003" max="11004" width="11.42578125" style="1008"/>
    <col min="11005" max="11005" width="15.42578125" style="1008" customWidth="1"/>
    <col min="11006" max="11245" width="11.42578125" style="1008"/>
    <col min="11246" max="11246" width="2.28515625" style="1008" customWidth="1"/>
    <col min="11247" max="11247" width="2.7109375" style="1008" customWidth="1"/>
    <col min="11248" max="11248" width="2.42578125" style="1008" customWidth="1"/>
    <col min="11249" max="11249" width="17.7109375" style="1008" customWidth="1"/>
    <col min="11250" max="11250" width="1.5703125" style="1008" customWidth="1"/>
    <col min="11251" max="11251" width="6.42578125" style="1008" customWidth="1"/>
    <col min="11252" max="11252" width="13.140625" style="1008" customWidth="1"/>
    <col min="11253" max="11253" width="1" style="1008" customWidth="1"/>
    <col min="11254" max="11254" width="19.5703125" style="1008" customWidth="1"/>
    <col min="11255" max="11255" width="0.85546875" style="1008" customWidth="1"/>
    <col min="11256" max="11256" width="14.42578125" style="1008" customWidth="1"/>
    <col min="11257" max="11257" width="12.85546875" style="1008" customWidth="1"/>
    <col min="11258" max="11258" width="6.140625" style="1008" customWidth="1"/>
    <col min="11259" max="11260" width="11.42578125" style="1008"/>
    <col min="11261" max="11261" width="15.42578125" style="1008" customWidth="1"/>
    <col min="11262" max="11501" width="11.42578125" style="1008"/>
    <col min="11502" max="11502" width="2.28515625" style="1008" customWidth="1"/>
    <col min="11503" max="11503" width="2.7109375" style="1008" customWidth="1"/>
    <col min="11504" max="11504" width="2.42578125" style="1008" customWidth="1"/>
    <col min="11505" max="11505" width="17.7109375" style="1008" customWidth="1"/>
    <col min="11506" max="11506" width="1.5703125" style="1008" customWidth="1"/>
    <col min="11507" max="11507" width="6.42578125" style="1008" customWidth="1"/>
    <col min="11508" max="11508" width="13.140625" style="1008" customWidth="1"/>
    <col min="11509" max="11509" width="1" style="1008" customWidth="1"/>
    <col min="11510" max="11510" width="19.5703125" style="1008" customWidth="1"/>
    <col min="11511" max="11511" width="0.85546875" style="1008" customWidth="1"/>
    <col min="11512" max="11512" width="14.42578125" style="1008" customWidth="1"/>
    <col min="11513" max="11513" width="12.85546875" style="1008" customWidth="1"/>
    <col min="11514" max="11514" width="6.140625" style="1008" customWidth="1"/>
    <col min="11515" max="11516" width="11.42578125" style="1008"/>
    <col min="11517" max="11517" width="15.42578125" style="1008" customWidth="1"/>
    <col min="11518" max="11757" width="11.42578125" style="1008"/>
    <col min="11758" max="11758" width="2.28515625" style="1008" customWidth="1"/>
    <col min="11759" max="11759" width="2.7109375" style="1008" customWidth="1"/>
    <col min="11760" max="11760" width="2.42578125" style="1008" customWidth="1"/>
    <col min="11761" max="11761" width="17.7109375" style="1008" customWidth="1"/>
    <col min="11762" max="11762" width="1.5703125" style="1008" customWidth="1"/>
    <col min="11763" max="11763" width="6.42578125" style="1008" customWidth="1"/>
    <col min="11764" max="11764" width="13.140625" style="1008" customWidth="1"/>
    <col min="11765" max="11765" width="1" style="1008" customWidth="1"/>
    <col min="11766" max="11766" width="19.5703125" style="1008" customWidth="1"/>
    <col min="11767" max="11767" width="0.85546875" style="1008" customWidth="1"/>
    <col min="11768" max="11768" width="14.42578125" style="1008" customWidth="1"/>
    <col min="11769" max="11769" width="12.85546875" style="1008" customWidth="1"/>
    <col min="11770" max="11770" width="6.140625" style="1008" customWidth="1"/>
    <col min="11771" max="11772" width="11.42578125" style="1008"/>
    <col min="11773" max="11773" width="15.42578125" style="1008" customWidth="1"/>
    <col min="11774" max="12013" width="11.42578125" style="1008"/>
    <col min="12014" max="12014" width="2.28515625" style="1008" customWidth="1"/>
    <col min="12015" max="12015" width="2.7109375" style="1008" customWidth="1"/>
    <col min="12016" max="12016" width="2.42578125" style="1008" customWidth="1"/>
    <col min="12017" max="12017" width="17.7109375" style="1008" customWidth="1"/>
    <col min="12018" max="12018" width="1.5703125" style="1008" customWidth="1"/>
    <col min="12019" max="12019" width="6.42578125" style="1008" customWidth="1"/>
    <col min="12020" max="12020" width="13.140625" style="1008" customWidth="1"/>
    <col min="12021" max="12021" width="1" style="1008" customWidth="1"/>
    <col min="12022" max="12022" width="19.5703125" style="1008" customWidth="1"/>
    <col min="12023" max="12023" width="0.85546875" style="1008" customWidth="1"/>
    <col min="12024" max="12024" width="14.42578125" style="1008" customWidth="1"/>
    <col min="12025" max="12025" width="12.85546875" style="1008" customWidth="1"/>
    <col min="12026" max="12026" width="6.140625" style="1008" customWidth="1"/>
    <col min="12027" max="12028" width="11.42578125" style="1008"/>
    <col min="12029" max="12029" width="15.42578125" style="1008" customWidth="1"/>
    <col min="12030" max="12269" width="11.42578125" style="1008"/>
    <col min="12270" max="12270" width="2.28515625" style="1008" customWidth="1"/>
    <col min="12271" max="12271" width="2.7109375" style="1008" customWidth="1"/>
    <col min="12272" max="12272" width="2.42578125" style="1008" customWidth="1"/>
    <col min="12273" max="12273" width="17.7109375" style="1008" customWidth="1"/>
    <col min="12274" max="12274" width="1.5703125" style="1008" customWidth="1"/>
    <col min="12275" max="12275" width="6.42578125" style="1008" customWidth="1"/>
    <col min="12276" max="12276" width="13.140625" style="1008" customWidth="1"/>
    <col min="12277" max="12277" width="1" style="1008" customWidth="1"/>
    <col min="12278" max="12278" width="19.5703125" style="1008" customWidth="1"/>
    <col min="12279" max="12279" width="0.85546875" style="1008" customWidth="1"/>
    <col min="12280" max="12280" width="14.42578125" style="1008" customWidth="1"/>
    <col min="12281" max="12281" width="12.85546875" style="1008" customWidth="1"/>
    <col min="12282" max="12282" width="6.140625" style="1008" customWidth="1"/>
    <col min="12283" max="12284" width="11.42578125" style="1008"/>
    <col min="12285" max="12285" width="15.42578125" style="1008" customWidth="1"/>
    <col min="12286" max="12525" width="11.42578125" style="1008"/>
    <col min="12526" max="12526" width="2.28515625" style="1008" customWidth="1"/>
    <col min="12527" max="12527" width="2.7109375" style="1008" customWidth="1"/>
    <col min="12528" max="12528" width="2.42578125" style="1008" customWidth="1"/>
    <col min="12529" max="12529" width="17.7109375" style="1008" customWidth="1"/>
    <col min="12530" max="12530" width="1.5703125" style="1008" customWidth="1"/>
    <col min="12531" max="12531" width="6.42578125" style="1008" customWidth="1"/>
    <col min="12532" max="12532" width="13.140625" style="1008" customWidth="1"/>
    <col min="12533" max="12533" width="1" style="1008" customWidth="1"/>
    <col min="12534" max="12534" width="19.5703125" style="1008" customWidth="1"/>
    <col min="12535" max="12535" width="0.85546875" style="1008" customWidth="1"/>
    <col min="12536" max="12536" width="14.42578125" style="1008" customWidth="1"/>
    <col min="12537" max="12537" width="12.85546875" style="1008" customWidth="1"/>
    <col min="12538" max="12538" width="6.140625" style="1008" customWidth="1"/>
    <col min="12539" max="12540" width="11.42578125" style="1008"/>
    <col min="12541" max="12541" width="15.42578125" style="1008" customWidth="1"/>
    <col min="12542" max="12781" width="11.42578125" style="1008"/>
    <col min="12782" max="12782" width="2.28515625" style="1008" customWidth="1"/>
    <col min="12783" max="12783" width="2.7109375" style="1008" customWidth="1"/>
    <col min="12784" max="12784" width="2.42578125" style="1008" customWidth="1"/>
    <col min="12785" max="12785" width="17.7109375" style="1008" customWidth="1"/>
    <col min="12786" max="12786" width="1.5703125" style="1008" customWidth="1"/>
    <col min="12787" max="12787" width="6.42578125" style="1008" customWidth="1"/>
    <col min="12788" max="12788" width="13.140625" style="1008" customWidth="1"/>
    <col min="12789" max="12789" width="1" style="1008" customWidth="1"/>
    <col min="12790" max="12790" width="19.5703125" style="1008" customWidth="1"/>
    <col min="12791" max="12791" width="0.85546875" style="1008" customWidth="1"/>
    <col min="12792" max="12792" width="14.42578125" style="1008" customWidth="1"/>
    <col min="12793" max="12793" width="12.85546875" style="1008" customWidth="1"/>
    <col min="12794" max="12794" width="6.140625" style="1008" customWidth="1"/>
    <col min="12795" max="12796" width="11.42578125" style="1008"/>
    <col min="12797" max="12797" width="15.42578125" style="1008" customWidth="1"/>
    <col min="12798" max="13037" width="11.42578125" style="1008"/>
    <col min="13038" max="13038" width="2.28515625" style="1008" customWidth="1"/>
    <col min="13039" max="13039" width="2.7109375" style="1008" customWidth="1"/>
    <col min="13040" max="13040" width="2.42578125" style="1008" customWidth="1"/>
    <col min="13041" max="13041" width="17.7109375" style="1008" customWidth="1"/>
    <col min="13042" max="13042" width="1.5703125" style="1008" customWidth="1"/>
    <col min="13043" max="13043" width="6.42578125" style="1008" customWidth="1"/>
    <col min="13044" max="13044" width="13.140625" style="1008" customWidth="1"/>
    <col min="13045" max="13045" width="1" style="1008" customWidth="1"/>
    <col min="13046" max="13046" width="19.5703125" style="1008" customWidth="1"/>
    <col min="13047" max="13047" width="0.85546875" style="1008" customWidth="1"/>
    <col min="13048" max="13048" width="14.42578125" style="1008" customWidth="1"/>
    <col min="13049" max="13049" width="12.85546875" style="1008" customWidth="1"/>
    <col min="13050" max="13050" width="6.140625" style="1008" customWidth="1"/>
    <col min="13051" max="13052" width="11.42578125" style="1008"/>
    <col min="13053" max="13053" width="15.42578125" style="1008" customWidth="1"/>
    <col min="13054" max="13293" width="11.42578125" style="1008"/>
    <col min="13294" max="13294" width="2.28515625" style="1008" customWidth="1"/>
    <col min="13295" max="13295" width="2.7109375" style="1008" customWidth="1"/>
    <col min="13296" max="13296" width="2.42578125" style="1008" customWidth="1"/>
    <col min="13297" max="13297" width="17.7109375" style="1008" customWidth="1"/>
    <col min="13298" max="13298" width="1.5703125" style="1008" customWidth="1"/>
    <col min="13299" max="13299" width="6.42578125" style="1008" customWidth="1"/>
    <col min="13300" max="13300" width="13.140625" style="1008" customWidth="1"/>
    <col min="13301" max="13301" width="1" style="1008" customWidth="1"/>
    <col min="13302" max="13302" width="19.5703125" style="1008" customWidth="1"/>
    <col min="13303" max="13303" width="0.85546875" style="1008" customWidth="1"/>
    <col min="13304" max="13304" width="14.42578125" style="1008" customWidth="1"/>
    <col min="13305" max="13305" width="12.85546875" style="1008" customWidth="1"/>
    <col min="13306" max="13306" width="6.140625" style="1008" customWidth="1"/>
    <col min="13307" max="13308" width="11.42578125" style="1008"/>
    <col min="13309" max="13309" width="15.42578125" style="1008" customWidth="1"/>
    <col min="13310" max="13549" width="11.42578125" style="1008"/>
    <col min="13550" max="13550" width="2.28515625" style="1008" customWidth="1"/>
    <col min="13551" max="13551" width="2.7109375" style="1008" customWidth="1"/>
    <col min="13552" max="13552" width="2.42578125" style="1008" customWidth="1"/>
    <col min="13553" max="13553" width="17.7109375" style="1008" customWidth="1"/>
    <col min="13554" max="13554" width="1.5703125" style="1008" customWidth="1"/>
    <col min="13555" max="13555" width="6.42578125" style="1008" customWidth="1"/>
    <col min="13556" max="13556" width="13.140625" style="1008" customWidth="1"/>
    <col min="13557" max="13557" width="1" style="1008" customWidth="1"/>
    <col min="13558" max="13558" width="19.5703125" style="1008" customWidth="1"/>
    <col min="13559" max="13559" width="0.85546875" style="1008" customWidth="1"/>
    <col min="13560" max="13560" width="14.42578125" style="1008" customWidth="1"/>
    <col min="13561" max="13561" width="12.85546875" style="1008" customWidth="1"/>
    <col min="13562" max="13562" width="6.140625" style="1008" customWidth="1"/>
    <col min="13563" max="13564" width="11.42578125" style="1008"/>
    <col min="13565" max="13565" width="15.42578125" style="1008" customWidth="1"/>
    <col min="13566" max="13805" width="11.42578125" style="1008"/>
    <col min="13806" max="13806" width="2.28515625" style="1008" customWidth="1"/>
    <col min="13807" max="13807" width="2.7109375" style="1008" customWidth="1"/>
    <col min="13808" max="13808" width="2.42578125" style="1008" customWidth="1"/>
    <col min="13809" max="13809" width="17.7109375" style="1008" customWidth="1"/>
    <col min="13810" max="13810" width="1.5703125" style="1008" customWidth="1"/>
    <col min="13811" max="13811" width="6.42578125" style="1008" customWidth="1"/>
    <col min="13812" max="13812" width="13.140625" style="1008" customWidth="1"/>
    <col min="13813" max="13813" width="1" style="1008" customWidth="1"/>
    <col min="13814" max="13814" width="19.5703125" style="1008" customWidth="1"/>
    <col min="13815" max="13815" width="0.85546875" style="1008" customWidth="1"/>
    <col min="13816" max="13816" width="14.42578125" style="1008" customWidth="1"/>
    <col min="13817" max="13817" width="12.85546875" style="1008" customWidth="1"/>
    <col min="13818" max="13818" width="6.140625" style="1008" customWidth="1"/>
    <col min="13819" max="13820" width="11.42578125" style="1008"/>
    <col min="13821" max="13821" width="15.42578125" style="1008" customWidth="1"/>
    <col min="13822" max="14061" width="11.42578125" style="1008"/>
    <col min="14062" max="14062" width="2.28515625" style="1008" customWidth="1"/>
    <col min="14063" max="14063" width="2.7109375" style="1008" customWidth="1"/>
    <col min="14064" max="14064" width="2.42578125" style="1008" customWidth="1"/>
    <col min="14065" max="14065" width="17.7109375" style="1008" customWidth="1"/>
    <col min="14066" max="14066" width="1.5703125" style="1008" customWidth="1"/>
    <col min="14067" max="14067" width="6.42578125" style="1008" customWidth="1"/>
    <col min="14068" max="14068" width="13.140625" style="1008" customWidth="1"/>
    <col min="14069" max="14069" width="1" style="1008" customWidth="1"/>
    <col min="14070" max="14070" width="19.5703125" style="1008" customWidth="1"/>
    <col min="14071" max="14071" width="0.85546875" style="1008" customWidth="1"/>
    <col min="14072" max="14072" width="14.42578125" style="1008" customWidth="1"/>
    <col min="14073" max="14073" width="12.85546875" style="1008" customWidth="1"/>
    <col min="14074" max="14074" width="6.140625" style="1008" customWidth="1"/>
    <col min="14075" max="14076" width="11.42578125" style="1008"/>
    <col min="14077" max="14077" width="15.42578125" style="1008" customWidth="1"/>
    <col min="14078" max="14317" width="11.42578125" style="1008"/>
    <col min="14318" max="14318" width="2.28515625" style="1008" customWidth="1"/>
    <col min="14319" max="14319" width="2.7109375" style="1008" customWidth="1"/>
    <col min="14320" max="14320" width="2.42578125" style="1008" customWidth="1"/>
    <col min="14321" max="14321" width="17.7109375" style="1008" customWidth="1"/>
    <col min="14322" max="14322" width="1.5703125" style="1008" customWidth="1"/>
    <col min="14323" max="14323" width="6.42578125" style="1008" customWidth="1"/>
    <col min="14324" max="14324" width="13.140625" style="1008" customWidth="1"/>
    <col min="14325" max="14325" width="1" style="1008" customWidth="1"/>
    <col min="14326" max="14326" width="19.5703125" style="1008" customWidth="1"/>
    <col min="14327" max="14327" width="0.85546875" style="1008" customWidth="1"/>
    <col min="14328" max="14328" width="14.42578125" style="1008" customWidth="1"/>
    <col min="14329" max="14329" width="12.85546875" style="1008" customWidth="1"/>
    <col min="14330" max="14330" width="6.140625" style="1008" customWidth="1"/>
    <col min="14331" max="14332" width="11.42578125" style="1008"/>
    <col min="14333" max="14333" width="15.42578125" style="1008" customWidth="1"/>
    <col min="14334" max="14573" width="11.42578125" style="1008"/>
    <col min="14574" max="14574" width="2.28515625" style="1008" customWidth="1"/>
    <col min="14575" max="14575" width="2.7109375" style="1008" customWidth="1"/>
    <col min="14576" max="14576" width="2.42578125" style="1008" customWidth="1"/>
    <col min="14577" max="14577" width="17.7109375" style="1008" customWidth="1"/>
    <col min="14578" max="14578" width="1.5703125" style="1008" customWidth="1"/>
    <col min="14579" max="14579" width="6.42578125" style="1008" customWidth="1"/>
    <col min="14580" max="14580" width="13.140625" style="1008" customWidth="1"/>
    <col min="14581" max="14581" width="1" style="1008" customWidth="1"/>
    <col min="14582" max="14582" width="19.5703125" style="1008" customWidth="1"/>
    <col min="14583" max="14583" width="0.85546875" style="1008" customWidth="1"/>
    <col min="14584" max="14584" width="14.42578125" style="1008" customWidth="1"/>
    <col min="14585" max="14585" width="12.85546875" style="1008" customWidth="1"/>
    <col min="14586" max="14586" width="6.140625" style="1008" customWidth="1"/>
    <col min="14587" max="14588" width="11.42578125" style="1008"/>
    <col min="14589" max="14589" width="15.42578125" style="1008" customWidth="1"/>
    <col min="14590" max="14829" width="11.42578125" style="1008"/>
    <col min="14830" max="14830" width="2.28515625" style="1008" customWidth="1"/>
    <col min="14831" max="14831" width="2.7109375" style="1008" customWidth="1"/>
    <col min="14832" max="14832" width="2.42578125" style="1008" customWidth="1"/>
    <col min="14833" max="14833" width="17.7109375" style="1008" customWidth="1"/>
    <col min="14834" max="14834" width="1.5703125" style="1008" customWidth="1"/>
    <col min="14835" max="14835" width="6.42578125" style="1008" customWidth="1"/>
    <col min="14836" max="14836" width="13.140625" style="1008" customWidth="1"/>
    <col min="14837" max="14837" width="1" style="1008" customWidth="1"/>
    <col min="14838" max="14838" width="19.5703125" style="1008" customWidth="1"/>
    <col min="14839" max="14839" width="0.85546875" style="1008" customWidth="1"/>
    <col min="14840" max="14840" width="14.42578125" style="1008" customWidth="1"/>
    <col min="14841" max="14841" width="12.85546875" style="1008" customWidth="1"/>
    <col min="14842" max="14842" width="6.140625" style="1008" customWidth="1"/>
    <col min="14843" max="14844" width="11.42578125" style="1008"/>
    <col min="14845" max="14845" width="15.42578125" style="1008" customWidth="1"/>
    <col min="14846" max="15085" width="11.42578125" style="1008"/>
    <col min="15086" max="15086" width="2.28515625" style="1008" customWidth="1"/>
    <col min="15087" max="15087" width="2.7109375" style="1008" customWidth="1"/>
    <col min="15088" max="15088" width="2.42578125" style="1008" customWidth="1"/>
    <col min="15089" max="15089" width="17.7109375" style="1008" customWidth="1"/>
    <col min="15090" max="15090" width="1.5703125" style="1008" customWidth="1"/>
    <col min="15091" max="15091" width="6.42578125" style="1008" customWidth="1"/>
    <col min="15092" max="15092" width="13.140625" style="1008" customWidth="1"/>
    <col min="15093" max="15093" width="1" style="1008" customWidth="1"/>
    <col min="15094" max="15094" width="19.5703125" style="1008" customWidth="1"/>
    <col min="15095" max="15095" width="0.85546875" style="1008" customWidth="1"/>
    <col min="15096" max="15096" width="14.42578125" style="1008" customWidth="1"/>
    <col min="15097" max="15097" width="12.85546875" style="1008" customWidth="1"/>
    <col min="15098" max="15098" width="6.140625" style="1008" customWidth="1"/>
    <col min="15099" max="15100" width="11.42578125" style="1008"/>
    <col min="15101" max="15101" width="15.42578125" style="1008" customWidth="1"/>
    <col min="15102" max="15341" width="11.42578125" style="1008"/>
    <col min="15342" max="15342" width="2.28515625" style="1008" customWidth="1"/>
    <col min="15343" max="15343" width="2.7109375" style="1008" customWidth="1"/>
    <col min="15344" max="15344" width="2.42578125" style="1008" customWidth="1"/>
    <col min="15345" max="15345" width="17.7109375" style="1008" customWidth="1"/>
    <col min="15346" max="15346" width="1.5703125" style="1008" customWidth="1"/>
    <col min="15347" max="15347" width="6.42578125" style="1008" customWidth="1"/>
    <col min="15348" max="15348" width="13.140625" style="1008" customWidth="1"/>
    <col min="15349" max="15349" width="1" style="1008" customWidth="1"/>
    <col min="15350" max="15350" width="19.5703125" style="1008" customWidth="1"/>
    <col min="15351" max="15351" width="0.85546875" style="1008" customWidth="1"/>
    <col min="15352" max="15352" width="14.42578125" style="1008" customWidth="1"/>
    <col min="15353" max="15353" width="12.85546875" style="1008" customWidth="1"/>
    <col min="15354" max="15354" width="6.140625" style="1008" customWidth="1"/>
    <col min="15355" max="15356" width="11.42578125" style="1008"/>
    <col min="15357" max="15357" width="15.42578125" style="1008" customWidth="1"/>
    <col min="15358" max="15597" width="11.42578125" style="1008"/>
    <col min="15598" max="15598" width="2.28515625" style="1008" customWidth="1"/>
    <col min="15599" max="15599" width="2.7109375" style="1008" customWidth="1"/>
    <col min="15600" max="15600" width="2.42578125" style="1008" customWidth="1"/>
    <col min="15601" max="15601" width="17.7109375" style="1008" customWidth="1"/>
    <col min="15602" max="15602" width="1.5703125" style="1008" customWidth="1"/>
    <col min="15603" max="15603" width="6.42578125" style="1008" customWidth="1"/>
    <col min="15604" max="15604" width="13.140625" style="1008" customWidth="1"/>
    <col min="15605" max="15605" width="1" style="1008" customWidth="1"/>
    <col min="15606" max="15606" width="19.5703125" style="1008" customWidth="1"/>
    <col min="15607" max="15607" width="0.85546875" style="1008" customWidth="1"/>
    <col min="15608" max="15608" width="14.42578125" style="1008" customWidth="1"/>
    <col min="15609" max="15609" width="12.85546875" style="1008" customWidth="1"/>
    <col min="15610" max="15610" width="6.140625" style="1008" customWidth="1"/>
    <col min="15611" max="15612" width="11.42578125" style="1008"/>
    <col min="15613" max="15613" width="15.42578125" style="1008" customWidth="1"/>
    <col min="15614" max="15853" width="11.42578125" style="1008"/>
    <col min="15854" max="15854" width="2.28515625" style="1008" customWidth="1"/>
    <col min="15855" max="15855" width="2.7109375" style="1008" customWidth="1"/>
    <col min="15856" max="15856" width="2.42578125" style="1008" customWidth="1"/>
    <col min="15857" max="15857" width="17.7109375" style="1008" customWidth="1"/>
    <col min="15858" max="15858" width="1.5703125" style="1008" customWidth="1"/>
    <col min="15859" max="15859" width="6.42578125" style="1008" customWidth="1"/>
    <col min="15860" max="15860" width="13.140625" style="1008" customWidth="1"/>
    <col min="15861" max="15861" width="1" style="1008" customWidth="1"/>
    <col min="15862" max="15862" width="19.5703125" style="1008" customWidth="1"/>
    <col min="15863" max="15863" width="0.85546875" style="1008" customWidth="1"/>
    <col min="15864" max="15864" width="14.42578125" style="1008" customWidth="1"/>
    <col min="15865" max="15865" width="12.85546875" style="1008" customWidth="1"/>
    <col min="15866" max="15866" width="6.140625" style="1008" customWidth="1"/>
    <col min="15867" max="15868" width="11.42578125" style="1008"/>
    <col min="15869" max="15869" width="15.42578125" style="1008" customWidth="1"/>
    <col min="15870" max="16109" width="11.42578125" style="1008"/>
    <col min="16110" max="16110" width="2.28515625" style="1008" customWidth="1"/>
    <col min="16111" max="16111" width="2.7109375" style="1008" customWidth="1"/>
    <col min="16112" max="16112" width="2.42578125" style="1008" customWidth="1"/>
    <col min="16113" max="16113" width="17.7109375" style="1008" customWidth="1"/>
    <col min="16114" max="16114" width="1.5703125" style="1008" customWidth="1"/>
    <col min="16115" max="16115" width="6.42578125" style="1008" customWidth="1"/>
    <col min="16116" max="16116" width="13.140625" style="1008" customWidth="1"/>
    <col min="16117" max="16117" width="1" style="1008" customWidth="1"/>
    <col min="16118" max="16118" width="19.5703125" style="1008" customWidth="1"/>
    <col min="16119" max="16119" width="0.85546875" style="1008" customWidth="1"/>
    <col min="16120" max="16120" width="14.42578125" style="1008" customWidth="1"/>
    <col min="16121" max="16121" width="12.85546875" style="1008" customWidth="1"/>
    <col min="16122" max="16122" width="6.140625" style="1008" customWidth="1"/>
    <col min="16123" max="16124" width="11.42578125" style="1008"/>
    <col min="16125" max="16125" width="15.42578125" style="1008" customWidth="1"/>
    <col min="16126" max="16384" width="11.42578125" style="1008"/>
  </cols>
  <sheetData>
    <row r="1" spans="1:18" ht="9" hidden="1" customHeight="1" x14ac:dyDescent="0.2">
      <c r="A1" s="1412"/>
      <c r="B1" s="1413"/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4"/>
    </row>
    <row r="2" spans="1:18" ht="51" customHeight="1" x14ac:dyDescent="0.2">
      <c r="A2" s="2869" t="s">
        <v>280</v>
      </c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1"/>
    </row>
    <row r="3" spans="1:18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4"/>
    </row>
    <row r="4" spans="1:18" ht="16.5" thickTop="1" x14ac:dyDescent="0.25">
      <c r="A4" s="2953" t="s">
        <v>1076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7"/>
    </row>
    <row r="5" spans="1:18" ht="15.75" x14ac:dyDescent="0.2">
      <c r="A5" s="2954" t="str">
        <f>"N° "&amp;'F-LSCD-012'!C25&amp;" ALEPH/GR/LSCD"</f>
        <v>N° 029-2021 ALEPH/GR/LSCD</v>
      </c>
      <c r="B5" s="2955"/>
      <c r="C5" s="2955"/>
      <c r="D5" s="2955"/>
      <c r="E5" s="2955"/>
      <c r="F5" s="2955"/>
      <c r="G5" s="2955"/>
      <c r="H5" s="2955"/>
      <c r="I5" s="2955"/>
      <c r="J5" s="2955"/>
      <c r="K5" s="2955"/>
      <c r="L5" s="2955"/>
      <c r="M5" s="2955"/>
      <c r="N5" s="2955"/>
      <c r="O5" s="2955"/>
      <c r="P5" s="2955"/>
      <c r="Q5" s="2955"/>
      <c r="R5" s="2956"/>
    </row>
    <row r="6" spans="1:18" ht="15.75" x14ac:dyDescent="0.2">
      <c r="A6" s="2878" t="s">
        <v>253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80"/>
    </row>
    <row r="7" spans="1:18" ht="15.75" x14ac:dyDescent="0.2">
      <c r="A7" s="2878" t="s">
        <v>275</v>
      </c>
      <c r="B7" s="2879"/>
      <c r="C7" s="2879"/>
      <c r="D7" s="2879"/>
      <c r="E7" s="2879"/>
      <c r="F7" s="2879"/>
      <c r="G7" s="2879"/>
      <c r="H7" s="2879"/>
      <c r="I7" s="2879"/>
      <c r="J7" s="2879"/>
      <c r="K7" s="2879"/>
      <c r="L7" s="2879"/>
      <c r="M7" s="2879"/>
      <c r="N7" s="2879"/>
      <c r="O7" s="2879"/>
      <c r="P7" s="2879"/>
      <c r="Q7" s="2879"/>
      <c r="R7" s="2880"/>
    </row>
    <row r="8" spans="1:18" ht="4.9000000000000004" customHeight="1" x14ac:dyDescent="0.2">
      <c r="A8" s="2885"/>
      <c r="B8" s="2886"/>
      <c r="C8" s="2886"/>
      <c r="D8" s="2886"/>
      <c r="E8" s="2886"/>
      <c r="F8" s="2886"/>
      <c r="G8" s="2886"/>
      <c r="H8" s="2886"/>
      <c r="I8" s="2886"/>
      <c r="J8" s="2886"/>
      <c r="K8" s="2886"/>
      <c r="L8" s="2886"/>
      <c r="M8" s="2886"/>
      <c r="N8" s="2886"/>
      <c r="O8" s="2886"/>
      <c r="P8" s="2886"/>
      <c r="Q8" s="2886"/>
      <c r="R8" s="2887"/>
    </row>
    <row r="9" spans="1:18" ht="15" customHeight="1" x14ac:dyDescent="0.2">
      <c r="A9" s="1009"/>
      <c r="B9" s="1010" t="s">
        <v>217</v>
      </c>
      <c r="D9" s="1010" t="s">
        <v>218</v>
      </c>
      <c r="E9" s="163" t="s">
        <v>1053</v>
      </c>
      <c r="R9" s="1011"/>
    </row>
    <row r="10" spans="1:18" ht="12.75" customHeight="1" x14ac:dyDescent="0.2">
      <c r="A10" s="1009"/>
      <c r="C10" s="1010"/>
      <c r="D10" s="1010"/>
      <c r="E10" s="1008" t="s">
        <v>219</v>
      </c>
      <c r="P10" s="1428"/>
      <c r="Q10" s="1428"/>
      <c r="R10" s="1011"/>
    </row>
    <row r="11" spans="1:18" ht="9.75" customHeight="1" x14ac:dyDescent="0.2">
      <c r="A11" s="1009"/>
      <c r="P11" s="1428"/>
      <c r="Q11" s="1428"/>
      <c r="R11" s="1011"/>
    </row>
    <row r="12" spans="1:18" ht="13.5" customHeight="1" x14ac:dyDescent="0.2">
      <c r="A12" s="1009"/>
      <c r="B12" s="1010" t="s">
        <v>220</v>
      </c>
      <c r="D12" s="1010" t="s">
        <v>218</v>
      </c>
      <c r="E12" s="1008" t="str">
        <f>'F-LSCD-012'!C7</f>
        <v>ALEPH SAC</v>
      </c>
      <c r="P12" s="2906" t="s">
        <v>862</v>
      </c>
      <c r="Q12" s="2930"/>
      <c r="R12" s="1011"/>
    </row>
    <row r="13" spans="1:18" x14ac:dyDescent="0.2">
      <c r="A13" s="1009"/>
      <c r="E13" s="2882" t="str">
        <f>'F-LSCD-012'!C8</f>
        <v>Av. Rafael Escardo 154</v>
      </c>
      <c r="F13" s="2882"/>
      <c r="G13" s="2882"/>
      <c r="H13" s="2882"/>
      <c r="I13" s="2882"/>
      <c r="J13" s="2882"/>
      <c r="K13" s="2882"/>
      <c r="L13" s="2882"/>
      <c r="M13" s="2882"/>
      <c r="N13" s="2882"/>
      <c r="P13" s="2902"/>
      <c r="Q13" s="2930"/>
      <c r="R13" s="1011"/>
    </row>
    <row r="14" spans="1:18" x14ac:dyDescent="0.2">
      <c r="A14" s="1009"/>
      <c r="E14" s="1008" t="str">
        <f>'F-LSCD-012'!I8&amp;", "&amp;'F-LSCD-012'!L8&amp;", "&amp;'F-LSCD-012'!P8&amp;", "&amp;'F-LSCD-012'!T8</f>
        <v>San Miguel, Lima, Lima, Perú</v>
      </c>
      <c r="P14" s="2902"/>
      <c r="Q14" s="2930"/>
      <c r="R14" s="1011"/>
    </row>
    <row r="15" spans="1:18" ht="9.75" customHeight="1" x14ac:dyDescent="0.2">
      <c r="A15" s="1009"/>
      <c r="P15" s="2902"/>
      <c r="Q15" s="2930"/>
      <c r="R15" s="1011"/>
    </row>
    <row r="16" spans="1:18" x14ac:dyDescent="0.2">
      <c r="A16" s="1009"/>
      <c r="B16" s="1010" t="s">
        <v>222</v>
      </c>
      <c r="D16" s="1010" t="s">
        <v>218</v>
      </c>
      <c r="E16" s="1012" t="str">
        <f>'F-LSCD-012'!C6</f>
        <v>OT 111-12925</v>
      </c>
      <c r="F16" s="1013"/>
      <c r="G16" s="1013"/>
      <c r="H16" s="1013"/>
      <c r="I16" s="1013"/>
      <c r="J16" s="1013"/>
      <c r="K16" s="1014"/>
      <c r="L16" s="1014"/>
      <c r="M16" s="1014"/>
      <c r="N16" s="1015"/>
      <c r="O16" s="1016"/>
      <c r="P16" s="2902"/>
      <c r="Q16" s="2930"/>
      <c r="R16" s="1011"/>
    </row>
    <row r="17" spans="1:18" ht="9.75" customHeight="1" x14ac:dyDescent="0.2">
      <c r="A17" s="1009"/>
      <c r="P17" s="2902"/>
      <c r="Q17" s="2930"/>
      <c r="R17" s="1011"/>
    </row>
    <row r="18" spans="1:18" x14ac:dyDescent="0.2">
      <c r="A18" s="1009"/>
      <c r="B18" s="1010" t="s">
        <v>255</v>
      </c>
      <c r="D18" s="1010" t="s">
        <v>218</v>
      </c>
      <c r="E18" s="2883" t="str">
        <f>'F-LSCD-012'!C9</f>
        <v>Monitor de radiación (digital)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1017"/>
      <c r="P18" s="1018"/>
      <c r="Q18" s="1019"/>
      <c r="R18" s="1011"/>
    </row>
    <row r="19" spans="1:18" ht="24.75" customHeight="1" x14ac:dyDescent="0.2">
      <c r="A19" s="1009"/>
      <c r="B19" s="1010"/>
      <c r="D19" s="1010"/>
      <c r="E19" s="2884" t="str">
        <f>IF('F-LSCD-012'!C13="-","Marca monitor: "&amp;'F-LSCD-012'!C10,"Marca monitor: "&amp;'F-LSCD-012'!C10&amp;" / Marca sonda: "&amp;'F-LSCD-012'!C13)</f>
        <v>Marca monitor: MGP</v>
      </c>
      <c r="F19" s="2884"/>
      <c r="G19" s="2884"/>
      <c r="H19" s="2884"/>
      <c r="I19" s="2884"/>
      <c r="J19" s="2884"/>
      <c r="K19" s="2884"/>
      <c r="L19" s="2884"/>
      <c r="M19" s="2884"/>
      <c r="N19" s="2884"/>
      <c r="O19" s="1017"/>
      <c r="P19" s="1429"/>
      <c r="Q19" s="1428"/>
      <c r="R19" s="1011"/>
    </row>
    <row r="20" spans="1:18" ht="12" customHeight="1" x14ac:dyDescent="0.2">
      <c r="A20" s="1009"/>
      <c r="B20" s="1010"/>
      <c r="D20" s="1010"/>
      <c r="E20" s="2883" t="str">
        <f>IF('F-LSCD-012'!C13="-","Modelo monitor: "&amp;'F-LSCD-012'!C11,"Modelo monitor: "&amp;'F-LSCD-012'!C11&amp;" / Modelo sonda: "&amp;'F-LSCD-012'!C14)</f>
        <v>Modelo monitor: DMC 2000S</v>
      </c>
      <c r="F20" s="2883"/>
      <c r="G20" s="2883"/>
      <c r="H20" s="2883"/>
      <c r="I20" s="2883"/>
      <c r="J20" s="2883"/>
      <c r="K20" s="2883"/>
      <c r="L20" s="2883"/>
      <c r="M20" s="2883"/>
      <c r="N20" s="2883"/>
      <c r="O20" s="1017"/>
      <c r="P20" s="2904" t="s">
        <v>1077</v>
      </c>
      <c r="Q20" s="2947"/>
      <c r="R20" s="1011"/>
    </row>
    <row r="21" spans="1:18" ht="12" customHeight="1" x14ac:dyDescent="0.2">
      <c r="A21" s="1009"/>
      <c r="B21" s="1010"/>
      <c r="D21" s="1010"/>
      <c r="E21" s="2883" t="str">
        <f>IF('F-LSCD-012'!C13="-","Serie monitor: "&amp;'F-LSCD-012'!C12,"Serie monitor: "&amp;'F-LSCD-012'!C12&amp;" / Serie sonda: "&amp;'F-LSCD-012'!C15)</f>
        <v>Serie monitor: 690384T</v>
      </c>
      <c r="F21" s="2883"/>
      <c r="G21" s="2883"/>
      <c r="H21" s="2883"/>
      <c r="I21" s="2883"/>
      <c r="J21" s="2883"/>
      <c r="K21" s="2883"/>
      <c r="L21" s="2883"/>
      <c r="M21" s="2883"/>
      <c r="N21" s="2883"/>
      <c r="O21" s="1017"/>
      <c r="P21" s="2948"/>
      <c r="Q21" s="2947"/>
      <c r="R21" s="1011"/>
    </row>
    <row r="22" spans="1:18" ht="8.25" customHeight="1" x14ac:dyDescent="0.2">
      <c r="A22" s="1009"/>
      <c r="B22" s="1010"/>
      <c r="D22" s="1010"/>
      <c r="E22" s="2883"/>
      <c r="F22" s="2883"/>
      <c r="G22" s="2883"/>
      <c r="H22" s="2883"/>
      <c r="I22" s="2883"/>
      <c r="J22" s="2883"/>
      <c r="K22" s="2883"/>
      <c r="L22" s="2883"/>
      <c r="M22" s="2883"/>
      <c r="N22" s="2883"/>
      <c r="O22" s="1017"/>
      <c r="P22" s="2948"/>
      <c r="Q22" s="2947"/>
      <c r="R22" s="1011"/>
    </row>
    <row r="23" spans="1:18" x14ac:dyDescent="0.2">
      <c r="A23" s="1009"/>
      <c r="B23" s="1020" t="s">
        <v>224</v>
      </c>
      <c r="D23" s="1008" t="s">
        <v>218</v>
      </c>
      <c r="E23" s="2908" t="str">
        <f>'F-LSCD-012'!C19</f>
        <v>Campo de radiación calibrado usando un fantoma, según ISO 4037-3 (2019), aplicado al PROC-LSCD-012 Calibración de dosímetros personales (versión 05)</v>
      </c>
      <c r="F23" s="2908"/>
      <c r="G23" s="2908"/>
      <c r="H23" s="2908"/>
      <c r="I23" s="2908"/>
      <c r="J23" s="2908"/>
      <c r="K23" s="2908"/>
      <c r="L23" s="2908"/>
      <c r="M23" s="2908"/>
      <c r="N23" s="2908"/>
      <c r="O23" s="1021"/>
      <c r="P23" s="2948"/>
      <c r="Q23" s="2947"/>
      <c r="R23" s="1011"/>
    </row>
    <row r="24" spans="1:18" x14ac:dyDescent="0.2">
      <c r="A24" s="1009"/>
      <c r="E24" s="2908"/>
      <c r="F24" s="2908"/>
      <c r="G24" s="2908"/>
      <c r="H24" s="2908"/>
      <c r="I24" s="2908"/>
      <c r="J24" s="2908"/>
      <c r="K24" s="2908"/>
      <c r="L24" s="2908"/>
      <c r="M24" s="2908"/>
      <c r="N24" s="2908"/>
      <c r="O24" s="1021"/>
      <c r="P24" s="2948"/>
      <c r="Q24" s="2947"/>
      <c r="R24" s="1011"/>
    </row>
    <row r="25" spans="1:18" ht="10.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2948"/>
      <c r="Q25" s="2947"/>
      <c r="R25" s="1011"/>
    </row>
    <row r="26" spans="1:18" ht="14.25" customHeight="1" x14ac:dyDescent="0.2">
      <c r="A26" s="1009"/>
      <c r="B26" s="1010" t="s">
        <v>226</v>
      </c>
      <c r="D26" s="1010" t="s">
        <v>218</v>
      </c>
      <c r="P26" s="2948"/>
      <c r="Q26" s="2947"/>
      <c r="R26" s="1011"/>
    </row>
    <row r="27" spans="1:18" ht="8.25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P27" s="2948"/>
      <c r="Q27" s="2947"/>
      <c r="R27" s="1011"/>
    </row>
    <row r="28" spans="1:18" ht="40.5" customHeight="1" x14ac:dyDescent="0.2">
      <c r="A28" s="1009"/>
      <c r="C28" s="1272" t="s">
        <v>227</v>
      </c>
      <c r="D28" s="1280" t="s">
        <v>218</v>
      </c>
      <c r="E28" s="2908" t="str">
        <f>'F-LSCD-012'!C20</f>
        <v>Cámara de ionización patrón de 1 L , marca: PTW; modelo: TN32002; serie: 000568; Reporte de calibración de Kerma en aire DG: 13580-21 con fecha 2021-04-01 (NIST); trazable al NIST.</v>
      </c>
      <c r="F28" s="2908"/>
      <c r="G28" s="2908"/>
      <c r="H28" s="2908"/>
      <c r="I28" s="2908"/>
      <c r="J28" s="2908"/>
      <c r="K28" s="2908"/>
      <c r="L28" s="2908"/>
      <c r="M28" s="2908"/>
      <c r="N28" s="2908"/>
      <c r="O28" s="1023"/>
      <c r="P28" s="2948"/>
      <c r="Q28" s="2947"/>
      <c r="R28" s="1011"/>
    </row>
    <row r="29" spans="1:18" ht="12" customHeight="1" x14ac:dyDescent="0.2">
      <c r="A29" s="1009"/>
      <c r="C29" s="1272" t="s">
        <v>203</v>
      </c>
      <c r="D29" s="1022" t="s">
        <v>218</v>
      </c>
      <c r="E29" s="1275" t="str">
        <f>'F-LSCD-012'!C21</f>
        <v>S-Cs (ISO 4037-3)</v>
      </c>
      <c r="F29" s="1275"/>
      <c r="G29" s="1275"/>
      <c r="H29" s="1275"/>
      <c r="I29" s="1275"/>
      <c r="J29" s="1275"/>
      <c r="K29" s="1275"/>
      <c r="L29" s="1275"/>
      <c r="M29" s="1275"/>
      <c r="N29" s="1275"/>
      <c r="O29" s="1014"/>
      <c r="P29" s="2949" t="s">
        <v>230</v>
      </c>
      <c r="Q29" s="2950"/>
      <c r="R29" s="1011"/>
    </row>
    <row r="30" spans="1:18" ht="12" customHeight="1" x14ac:dyDescent="0.2">
      <c r="A30" s="1009"/>
      <c r="C30" s="181" t="s">
        <v>138</v>
      </c>
      <c r="D30" s="227" t="s">
        <v>218</v>
      </c>
      <c r="E30" s="2910" t="str">
        <f>'F-LSCD-012'!I24</f>
        <v>Dosis equivalente personal, Hp(10)</v>
      </c>
      <c r="F30" s="2910"/>
      <c r="G30" s="2910"/>
      <c r="H30" s="2910"/>
      <c r="I30" s="2910"/>
      <c r="J30" s="2910"/>
      <c r="K30" s="2910"/>
      <c r="L30" s="2910"/>
      <c r="M30" s="2910"/>
      <c r="N30" s="2910"/>
      <c r="O30" s="1014"/>
      <c r="P30" s="2951"/>
      <c r="Q30" s="2950"/>
      <c r="R30" s="1011"/>
    </row>
    <row r="31" spans="1:18" ht="25.5" x14ac:dyDescent="0.2">
      <c r="A31" s="1009"/>
      <c r="C31" s="1274" t="s">
        <v>228</v>
      </c>
      <c r="D31" s="1022" t="s">
        <v>218</v>
      </c>
      <c r="E31" s="2952" t="str">
        <f>IF('F-LSCD-012'!D30="-","Temp (°C): "&amp;'F-LSCD-012'!D28&amp;"; Presión (hPa): "&amp;'F-LSCD-012'!H28&amp;"; HR(%): "&amp;'F-LSCD-012'!F28,"Temp (°C): "&amp;'F-LSCD-012'!D30&amp;"; Presión (hPa): "&amp;'F-LSCD-012'!H30&amp;"; HR(%): "&amp;'F-LSCD-012'!F30)</f>
        <v>Temp (°C): 20.2; Presión (hPa): 1010; HR(%): 52</v>
      </c>
      <c r="F31" s="2952"/>
      <c r="G31" s="2952"/>
      <c r="H31" s="2952"/>
      <c r="I31" s="2952"/>
      <c r="J31" s="2952"/>
      <c r="K31" s="2952"/>
      <c r="L31" s="2952"/>
      <c r="M31" s="2952"/>
      <c r="N31" s="2952"/>
      <c r="O31" s="1014"/>
      <c r="P31" s="2951"/>
      <c r="Q31" s="2950"/>
      <c r="R31" s="1011"/>
    </row>
    <row r="32" spans="1:18" ht="25.5" x14ac:dyDescent="0.2">
      <c r="A32" s="1009"/>
      <c r="C32" s="1273" t="s">
        <v>277</v>
      </c>
      <c r="D32" s="1280" t="s">
        <v>218</v>
      </c>
      <c r="E32" s="2912" t="str">
        <f>'F-LSCD-012'!C22</f>
        <v xml:space="preserve">Eje longitudinal del detector paralelo al eje central del haz de radiación
</v>
      </c>
      <c r="F32" s="2912"/>
      <c r="G32" s="2912"/>
      <c r="H32" s="2912"/>
      <c r="I32" s="2912"/>
      <c r="J32" s="2912"/>
      <c r="K32" s="2912"/>
      <c r="L32" s="2912"/>
      <c r="M32" s="2912"/>
      <c r="N32" s="2912"/>
      <c r="O32" s="1014"/>
      <c r="P32" s="1024"/>
      <c r="Q32" s="1025"/>
      <c r="R32" s="1011"/>
    </row>
    <row r="33" spans="1:18" x14ac:dyDescent="0.2">
      <c r="A33" s="1009"/>
      <c r="C33" s="1273" t="s">
        <v>231</v>
      </c>
      <c r="D33" s="1280" t="s">
        <v>218</v>
      </c>
      <c r="E33" s="2913" t="str">
        <f>'F-LSCD-012'!C23</f>
        <v>Centro geométrico del volumen sensible del detector</v>
      </c>
      <c r="F33" s="2913"/>
      <c r="G33" s="2913"/>
      <c r="H33" s="2913"/>
      <c r="I33" s="2913"/>
      <c r="J33" s="2913"/>
      <c r="K33" s="2913"/>
      <c r="L33" s="2913"/>
      <c r="M33" s="2913"/>
      <c r="N33" s="2913"/>
      <c r="O33" s="1014"/>
      <c r="P33" s="2906" t="s">
        <v>813</v>
      </c>
      <c r="Q33" s="2930"/>
      <c r="R33" s="1011"/>
    </row>
    <row r="34" spans="1:18" ht="15" x14ac:dyDescent="0.2">
      <c r="A34" s="1009"/>
      <c r="C34" s="1273" t="s">
        <v>232</v>
      </c>
      <c r="D34" s="1022" t="s">
        <v>218</v>
      </c>
      <c r="E34" s="2931">
        <f>'F-LSCD-012'!C16</f>
        <v>44336</v>
      </c>
      <c r="F34" s="2931"/>
      <c r="G34" s="2931"/>
      <c r="H34" s="1276"/>
      <c r="I34" s="1276"/>
      <c r="J34" s="1276"/>
      <c r="K34" s="1277"/>
      <c r="L34" s="1275"/>
      <c r="M34" s="1275"/>
      <c r="N34" s="1275"/>
      <c r="O34" s="1014"/>
      <c r="P34" s="2902"/>
      <c r="Q34" s="2930"/>
      <c r="R34" s="1011"/>
    </row>
    <row r="35" spans="1:18" x14ac:dyDescent="0.2">
      <c r="A35" s="1009"/>
      <c r="C35" s="1272" t="s">
        <v>257</v>
      </c>
      <c r="D35" s="1022" t="s">
        <v>218</v>
      </c>
      <c r="E35" s="2931">
        <f>'F-LSCD-012'!C18</f>
        <v>44336</v>
      </c>
      <c r="F35" s="2931"/>
      <c r="G35" s="2931"/>
      <c r="H35" s="1278"/>
      <c r="I35" s="1278"/>
      <c r="J35" s="1278"/>
      <c r="K35" s="1279"/>
      <c r="L35" s="1279"/>
      <c r="M35" s="1279"/>
      <c r="N35" s="1279"/>
      <c r="O35" s="1027"/>
      <c r="P35" s="2902"/>
      <c r="Q35" s="2930"/>
      <c r="R35" s="1011"/>
    </row>
    <row r="36" spans="1:18" ht="9" customHeight="1" x14ac:dyDescent="0.25">
      <c r="A36" s="1009"/>
      <c r="B36" s="1010"/>
      <c r="D36" s="1028"/>
      <c r="E36" s="1028"/>
      <c r="H36" s="1026"/>
      <c r="R36" s="1011"/>
    </row>
    <row r="37" spans="1:18" ht="15" customHeight="1" x14ac:dyDescent="0.2">
      <c r="A37" s="1009"/>
      <c r="B37" s="1010" t="s">
        <v>258</v>
      </c>
      <c r="C37" s="1010"/>
      <c r="D37" s="1029"/>
      <c r="E37" s="1029"/>
      <c r="F37" s="1010"/>
      <c r="G37" s="1010"/>
      <c r="H37" s="1010"/>
      <c r="I37" s="1010"/>
      <c r="J37" s="1010"/>
      <c r="R37" s="1011"/>
    </row>
    <row r="38" spans="1:18" ht="8.25" customHeight="1" x14ac:dyDescent="0.2">
      <c r="A38" s="1009"/>
      <c r="D38" s="1028"/>
      <c r="E38" s="1030"/>
      <c r="R38" s="1011"/>
    </row>
    <row r="39" spans="1:18" ht="15" customHeight="1" x14ac:dyDescent="0.2">
      <c r="A39" s="1009"/>
      <c r="C39" s="2889" t="str">
        <f>IF('F-LSCD-012'!I24="Tasa de dosis equivalente ambiental, H*(10)","VCV de la tasa de dosis equivalente ambiental H*(10) (µSv/h)",IF('F-LSCD-012'!I24="Dosis equivalente personal, Hp(10)","VCV de la dosis equivalente personal Hp(10) (mSv)",IF('F-LSCD-012'!I24="Dosis equivalente personal, Hp(0,07)","VCV de la dosis equivalente personal Hp(0,07) (mSv)",IF('F-LSCD-012'!I24="Dosis absorbida, D(10)","VCV de la dosis absorbida D(10) (mGy)"))))</f>
        <v>VCV de la dosis equivalente personal Hp(10) (mSv)</v>
      </c>
      <c r="D39" s="2890"/>
      <c r="E39" s="2893" t="s">
        <v>798</v>
      </c>
      <c r="F39" s="2894"/>
      <c r="G39" s="2894"/>
      <c r="H39" s="2894"/>
      <c r="I39" s="2894"/>
      <c r="J39" s="2895"/>
      <c r="K39" s="2866" t="s">
        <v>801</v>
      </c>
      <c r="L39" s="2868"/>
      <c r="M39" s="2940" t="s">
        <v>259</v>
      </c>
      <c r="N39" s="2941"/>
      <c r="O39" s="2942"/>
      <c r="P39" s="2967" t="s">
        <v>6</v>
      </c>
      <c r="R39" s="1011"/>
    </row>
    <row r="40" spans="1:18" ht="24" customHeight="1" x14ac:dyDescent="0.2">
      <c r="A40" s="1009"/>
      <c r="C40" s="2936"/>
      <c r="D40" s="2937"/>
      <c r="E40" s="2893" t="s">
        <v>799</v>
      </c>
      <c r="F40" s="2895"/>
      <c r="G40" s="2893" t="s">
        <v>800</v>
      </c>
      <c r="H40" s="2895"/>
      <c r="I40" s="2946" t="s">
        <v>117</v>
      </c>
      <c r="J40" s="2939"/>
      <c r="K40" s="2938"/>
      <c r="L40" s="2939"/>
      <c r="M40" s="2943"/>
      <c r="N40" s="2944"/>
      <c r="O40" s="2945"/>
      <c r="P40" s="2968"/>
      <c r="Q40" s="1031"/>
      <c r="R40" s="1011"/>
    </row>
    <row r="41" spans="1:18" x14ac:dyDescent="0.2">
      <c r="A41" s="1009"/>
      <c r="C41" s="2851">
        <f>'F-LSCD-012'!A34</f>
        <v>25000</v>
      </c>
      <c r="D41" s="2851"/>
      <c r="E41" s="2965">
        <f>'F-LSCD-012'!O34</f>
        <v>2474</v>
      </c>
      <c r="F41" s="2966"/>
      <c r="G41" s="2849" t="str">
        <f>'F-LSCD-012'!O35</f>
        <v>-</v>
      </c>
      <c r="H41" s="2849"/>
      <c r="I41" s="2850" t="str">
        <f>IF('F-LSCD-012'!N35="-",'F-LSCD-012'!N34,'F-LSCD-012'!N35)</f>
        <v>mrem</v>
      </c>
      <c r="J41" s="2920"/>
      <c r="K41" s="2934">
        <f>IF('F-LSCD-012'!R35="-",'F-LSCD-012'!R34,'F-LSCD-012'!R35)</f>
        <v>1.0105092966855296</v>
      </c>
      <c r="L41" s="2935"/>
      <c r="M41" s="2847">
        <f>IF('F-LSCD-012'!O35="-",'F-LSCD-012'!T34,'F-LSCD-012'!T35)</f>
        <v>4.4999999999999998E-2</v>
      </c>
      <c r="N41" s="2847"/>
      <c r="O41" s="2847"/>
      <c r="P41" s="2957" t="s">
        <v>965</v>
      </c>
      <c r="Q41" s="1032"/>
      <c r="R41" s="1011"/>
    </row>
    <row r="42" spans="1:18" x14ac:dyDescent="0.2">
      <c r="A42" s="1009"/>
      <c r="C42" s="2851" t="str">
        <f>'F-LSCD-012'!A36</f>
        <v>-</v>
      </c>
      <c r="D42" s="2851"/>
      <c r="E42" s="2965" t="str">
        <f>'F-LSCD-012'!O36</f>
        <v>-</v>
      </c>
      <c r="F42" s="2966"/>
      <c r="G42" s="2849" t="str">
        <f>'F-LSCD-012'!O37</f>
        <v>-</v>
      </c>
      <c r="H42" s="2849"/>
      <c r="I42" s="2920" t="str">
        <f>IF('F-LSCD-012'!N37="-",'F-LSCD-012'!N36,'F-LSCD-012'!N37)</f>
        <v>-</v>
      </c>
      <c r="J42" s="2920"/>
      <c r="K42" s="2850" t="str">
        <f>IF('F-LSCD-012'!R37="-",'F-LSCD-012'!R36,'F-LSCD-012'!R37)</f>
        <v>-</v>
      </c>
      <c r="L42" s="2850"/>
      <c r="M42" s="2847" t="str">
        <f>IF('F-LSCD-012'!O37="-",'F-LSCD-012'!T36,'F-LSCD-012'!T37)</f>
        <v>-</v>
      </c>
      <c r="N42" s="2847"/>
      <c r="O42" s="2847"/>
      <c r="P42" s="2963"/>
      <c r="Q42" s="1385"/>
      <c r="R42" s="1011"/>
    </row>
    <row r="43" spans="1:18" x14ac:dyDescent="0.2">
      <c r="A43" s="1009"/>
      <c r="C43" s="2851" t="str">
        <f>'F-LSCD-012'!A38</f>
        <v>-</v>
      </c>
      <c r="D43" s="2851"/>
      <c r="E43" s="2965" t="str">
        <f>'F-LSCD-012'!O38</f>
        <v>-</v>
      </c>
      <c r="F43" s="2966"/>
      <c r="G43" s="2849" t="str">
        <f>'F-LSCD-012'!O39</f>
        <v>-</v>
      </c>
      <c r="H43" s="2849"/>
      <c r="I43" s="2920" t="str">
        <f>IF('F-LSCD-012'!N39="-",'F-LSCD-012'!N38,'F-LSCD-012'!N39)</f>
        <v>-</v>
      </c>
      <c r="J43" s="2920"/>
      <c r="K43" s="2850" t="str">
        <f>IF('F-LSCD-012'!R39="-",'F-LSCD-012'!R38,'F-LSCD-012'!R39)</f>
        <v>-</v>
      </c>
      <c r="L43" s="2850"/>
      <c r="M43" s="2847" t="str">
        <f>IF('F-LSCD-012'!O39="-",'F-LSCD-012'!T38,'F-LSCD-012'!T39)</f>
        <v>-</v>
      </c>
      <c r="N43" s="2847"/>
      <c r="O43" s="2847"/>
      <c r="P43" s="2964"/>
      <c r="Q43" s="1032"/>
      <c r="R43" s="1011"/>
    </row>
    <row r="44" spans="1:18" x14ac:dyDescent="0.2">
      <c r="A44" s="1009"/>
      <c r="C44" s="2851" t="str">
        <f>'F-LSCD-012'!A40</f>
        <v>-</v>
      </c>
      <c r="D44" s="2851"/>
      <c r="E44" s="2960" t="str">
        <f>'F-LSCD-012'!O40</f>
        <v>-</v>
      </c>
      <c r="F44" s="2961"/>
      <c r="G44" s="2962" t="str">
        <f>'F-LSCD-012'!O41</f>
        <v>-</v>
      </c>
      <c r="H44" s="2962"/>
      <c r="I44" s="2920" t="str">
        <f>IF('F-LSCD-012'!N41="-",'F-LSCD-012'!N40,'F-LSCD-012'!N41)</f>
        <v>-</v>
      </c>
      <c r="J44" s="2920"/>
      <c r="K44" s="2850" t="str">
        <f>IF('F-LSCD-012'!R41="-",'F-LSCD-012'!R40,'F-LSCD-012'!R41)</f>
        <v>-</v>
      </c>
      <c r="L44" s="2850"/>
      <c r="M44" s="2847" t="str">
        <f>IF('F-LSCD-012'!O41="-",'F-LSCD-012'!T40,'F-LSCD-012'!T41)</f>
        <v>-</v>
      </c>
      <c r="N44" s="2847"/>
      <c r="O44" s="2847"/>
      <c r="P44" s="2957" t="s">
        <v>926</v>
      </c>
      <c r="Q44" s="1032"/>
      <c r="R44" s="1011"/>
    </row>
    <row r="45" spans="1:18" x14ac:dyDescent="0.2">
      <c r="A45" s="1009"/>
      <c r="C45" s="2851" t="str">
        <f>'F-LSCD-012'!A42</f>
        <v>-</v>
      </c>
      <c r="D45" s="2851"/>
      <c r="E45" s="2960" t="str">
        <f>'F-LSCD-012'!O42</f>
        <v>-</v>
      </c>
      <c r="F45" s="2961"/>
      <c r="G45" s="2962" t="str">
        <f>'F-LSCD-012'!O43</f>
        <v>-</v>
      </c>
      <c r="H45" s="2962"/>
      <c r="I45" s="2920" t="str">
        <f>IF('F-LSCD-012'!N43="-",'F-LSCD-012'!N42,'F-LSCD-012'!N43)</f>
        <v>-</v>
      </c>
      <c r="J45" s="2920"/>
      <c r="K45" s="2850" t="str">
        <f>IF('F-LSCD-012'!R43="-",'F-LSCD-012'!R42,'F-LSCD-012'!R43)</f>
        <v>-</v>
      </c>
      <c r="L45" s="2850"/>
      <c r="M45" s="2847" t="str">
        <f>IF('F-LSCD-012'!O43="-",'F-LSCD-012'!T42,'F-LSCD-012'!T43)</f>
        <v>-</v>
      </c>
      <c r="N45" s="2847"/>
      <c r="O45" s="2847"/>
      <c r="P45" s="2963"/>
      <c r="Q45" s="1385"/>
      <c r="R45" s="1011"/>
    </row>
    <row r="46" spans="1:18" x14ac:dyDescent="0.2">
      <c r="A46" s="1009"/>
      <c r="C46" s="2851" t="str">
        <f>'F-LSCD-012'!A44</f>
        <v>-</v>
      </c>
      <c r="D46" s="2851"/>
      <c r="E46" s="2960" t="str">
        <f>'F-LSCD-012'!O44</f>
        <v>-</v>
      </c>
      <c r="F46" s="2961"/>
      <c r="G46" s="2962" t="str">
        <f>'F-LSCD-012'!O45</f>
        <v>-</v>
      </c>
      <c r="H46" s="2962"/>
      <c r="I46" s="2920" t="str">
        <f>IF('F-LSCD-012'!N45="-",'F-LSCD-012'!N44,'F-LSCD-012'!N45)</f>
        <v>-</v>
      </c>
      <c r="J46" s="2920"/>
      <c r="K46" s="2850" t="str">
        <f>IF('F-LSCD-012'!R45="-",'F-LSCD-012'!R44,'F-LSCD-012'!R45)</f>
        <v>-</v>
      </c>
      <c r="L46" s="2850"/>
      <c r="M46" s="2847" t="str">
        <f>IF('F-LSCD-012'!O45="-",'F-LSCD-012'!T44,'F-LSCD-012'!T45)</f>
        <v>-</v>
      </c>
      <c r="N46" s="2847"/>
      <c r="O46" s="2847"/>
      <c r="P46" s="2964"/>
      <c r="Q46" s="1032"/>
      <c r="R46" s="1011"/>
    </row>
    <row r="47" spans="1:18" x14ac:dyDescent="0.2">
      <c r="A47" s="1009"/>
      <c r="C47" s="2851" t="str">
        <f>'F-LSCD-012'!A46</f>
        <v>-</v>
      </c>
      <c r="D47" s="2851"/>
      <c r="E47" s="2960" t="str">
        <f>'F-LSCD-012'!O46</f>
        <v>-</v>
      </c>
      <c r="F47" s="2961"/>
      <c r="G47" s="2962" t="str">
        <f>'F-LSCD-012'!O47</f>
        <v>-</v>
      </c>
      <c r="H47" s="2962"/>
      <c r="I47" s="2920" t="str">
        <f>IF('F-LSCD-012'!N47="-",'F-LSCD-012'!N46,'F-LSCD-012'!N47)</f>
        <v>-</v>
      </c>
      <c r="J47" s="2920"/>
      <c r="K47" s="2850" t="str">
        <f>IF('F-LSCD-012'!R47="-",'F-LSCD-012'!R46,'F-LSCD-012'!R47)</f>
        <v>-</v>
      </c>
      <c r="L47" s="2850"/>
      <c r="M47" s="2847" t="str">
        <f>IF('F-LSCD-012'!O47="-",'F-LSCD-012'!T46,'F-LSCD-012'!T47)</f>
        <v>-</v>
      </c>
      <c r="N47" s="2847"/>
      <c r="O47" s="2847"/>
      <c r="P47" s="2957" t="s">
        <v>927</v>
      </c>
      <c r="Q47" s="1032"/>
      <c r="R47" s="1011"/>
    </row>
    <row r="48" spans="1:18" x14ac:dyDescent="0.2">
      <c r="A48" s="1009"/>
      <c r="C48" s="2851" t="str">
        <f>'F-LSCD-012'!A48</f>
        <v>-</v>
      </c>
      <c r="D48" s="2851"/>
      <c r="E48" s="2960" t="str">
        <f>'F-LSCD-012'!O48</f>
        <v>-</v>
      </c>
      <c r="F48" s="2961"/>
      <c r="G48" s="2962" t="str">
        <f>'F-LSCD-012'!O49</f>
        <v>-</v>
      </c>
      <c r="H48" s="2962"/>
      <c r="I48" s="2920" t="str">
        <f>IF('F-LSCD-012'!N49="-",'F-LSCD-012'!N48,'F-LSCD-012'!N49)</f>
        <v>-</v>
      </c>
      <c r="J48" s="2920"/>
      <c r="K48" s="2850" t="str">
        <f>IF('F-LSCD-012'!R49="-",'F-LSCD-012'!R48,'F-LSCD-012'!R49)</f>
        <v>-</v>
      </c>
      <c r="L48" s="2850"/>
      <c r="M48" s="2847" t="str">
        <f>IF('F-LSCD-012'!O49="-",'F-LSCD-012'!T48,'F-LSCD-012'!T49)</f>
        <v>-</v>
      </c>
      <c r="N48" s="2847"/>
      <c r="O48" s="2847"/>
      <c r="P48" s="2963"/>
      <c r="Q48" s="1385"/>
      <c r="R48" s="1011"/>
    </row>
    <row r="49" spans="1:19" x14ac:dyDescent="0.2">
      <c r="A49" s="1009"/>
      <c r="C49" s="2851" t="str">
        <f>'F-LSCD-012'!A50</f>
        <v>-</v>
      </c>
      <c r="D49" s="2851"/>
      <c r="E49" s="2960" t="str">
        <f>'F-LSCD-012'!O50</f>
        <v>-</v>
      </c>
      <c r="F49" s="2961"/>
      <c r="G49" s="2962" t="str">
        <f>'F-LSCD-012'!O51</f>
        <v>-</v>
      </c>
      <c r="H49" s="2962"/>
      <c r="I49" s="2920" t="str">
        <f>IF('F-LSCD-012'!N51="-",'F-LSCD-012'!N50,'F-LSCD-012'!N51)</f>
        <v>-</v>
      </c>
      <c r="J49" s="2920"/>
      <c r="K49" s="2850" t="str">
        <f>IF('F-LSCD-012'!R51="-",'F-LSCD-012'!R50,'F-LSCD-012'!R51)</f>
        <v>-</v>
      </c>
      <c r="L49" s="2850"/>
      <c r="M49" s="2847" t="str">
        <f>IF('F-LSCD-012'!O51="-",'F-LSCD-012'!T50,'F-LSCD-012'!T51)</f>
        <v>-</v>
      </c>
      <c r="N49" s="2847"/>
      <c r="O49" s="2847"/>
      <c r="P49" s="2964"/>
      <c r="Q49" s="1032"/>
      <c r="R49" s="1011"/>
    </row>
    <row r="50" spans="1:19" x14ac:dyDescent="0.2">
      <c r="A50" s="1009"/>
      <c r="C50" s="2851" t="str">
        <f>'F-LSCD-012'!A52</f>
        <v>-</v>
      </c>
      <c r="D50" s="2851"/>
      <c r="E50" s="2960" t="str">
        <f>'F-LSCD-012'!O52</f>
        <v>-</v>
      </c>
      <c r="F50" s="2961"/>
      <c r="G50" s="2962" t="str">
        <f>'F-LSCD-012'!O53</f>
        <v>-</v>
      </c>
      <c r="H50" s="2962"/>
      <c r="I50" s="2920" t="str">
        <f>IF('F-LSCD-012'!N53="-",'F-LSCD-012'!N52,'F-LSCD-012'!N53)</f>
        <v>-</v>
      </c>
      <c r="J50" s="2920"/>
      <c r="K50" s="2850" t="str">
        <f>IF('F-LSCD-012'!R53="-",'F-LSCD-012'!R52,'F-LSCD-012'!R53)</f>
        <v>-</v>
      </c>
      <c r="L50" s="2850"/>
      <c r="M50" s="2847" t="str">
        <f>IF('F-LSCD-012'!O53="-",'F-LSCD-012'!T52,'F-LSCD-012'!T53)</f>
        <v>-</v>
      </c>
      <c r="N50" s="2847"/>
      <c r="O50" s="2847"/>
      <c r="P50" s="2957" t="s">
        <v>966</v>
      </c>
      <c r="Q50" s="1032"/>
      <c r="R50" s="1011"/>
    </row>
    <row r="51" spans="1:19" x14ac:dyDescent="0.2">
      <c r="A51" s="1009"/>
      <c r="C51" s="2851" t="str">
        <f>'F-LSCD-012'!A54</f>
        <v>-</v>
      </c>
      <c r="D51" s="2851"/>
      <c r="E51" s="2960" t="str">
        <f>'F-LSCD-012'!O54</f>
        <v>-</v>
      </c>
      <c r="F51" s="2961"/>
      <c r="G51" s="2962" t="str">
        <f>'F-LSCD-012'!O55</f>
        <v>-</v>
      </c>
      <c r="H51" s="2962"/>
      <c r="I51" s="2920" t="str">
        <f>IF('F-LSCD-012'!N55="-",'F-LSCD-012'!N54,'F-LSCD-012'!N55)</f>
        <v>-</v>
      </c>
      <c r="J51" s="2920"/>
      <c r="K51" s="2850" t="str">
        <f>IF('F-LSCD-012'!R55="-",'F-LSCD-012'!R54,'F-LSCD-012'!R55)</f>
        <v>-</v>
      </c>
      <c r="L51" s="2850"/>
      <c r="M51" s="2847" t="str">
        <f>IF('F-LSCD-012'!O55="-",'F-LSCD-012'!T54,'F-LSCD-012'!T55)</f>
        <v>-</v>
      </c>
      <c r="N51" s="2847"/>
      <c r="O51" s="2847"/>
      <c r="P51" s="2958"/>
      <c r="Q51" s="1032"/>
      <c r="R51" s="1011"/>
    </row>
    <row r="52" spans="1:19" x14ac:dyDescent="0.2">
      <c r="A52" s="1009"/>
      <c r="C52" s="2851" t="str">
        <f>'F-LSCD-012'!A56</f>
        <v>-</v>
      </c>
      <c r="D52" s="2851"/>
      <c r="E52" s="2960" t="str">
        <f>'F-LSCD-012'!O56</f>
        <v>-</v>
      </c>
      <c r="F52" s="2961"/>
      <c r="G52" s="2962" t="str">
        <f>'F-LSCD-012'!O57</f>
        <v>-</v>
      </c>
      <c r="H52" s="2962"/>
      <c r="I52" s="2920" t="str">
        <f>IF('F-LSCD-012'!N57="-",'F-LSCD-012'!N56,'F-LSCD-012'!N57)</f>
        <v>-</v>
      </c>
      <c r="J52" s="2920"/>
      <c r="K52" s="2850" t="str">
        <f>IF('F-LSCD-012'!R57="-",'F-LSCD-012'!R56,'F-LSCD-012'!R57)</f>
        <v>-</v>
      </c>
      <c r="L52" s="2850"/>
      <c r="M52" s="2847" t="str">
        <f>IF('F-LSCD-012'!O57="-",'F-LSCD-012'!T56,'F-LSCD-012'!T57)</f>
        <v>-</v>
      </c>
      <c r="N52" s="2847"/>
      <c r="O52" s="2847"/>
      <c r="P52" s="2959"/>
      <c r="Q52" s="1032"/>
      <c r="R52" s="1011"/>
    </row>
    <row r="53" spans="1:19" x14ac:dyDescent="0.2">
      <c r="A53" s="1009"/>
      <c r="C53" s="1033" t="str">
        <f>"VCV = Valor convencionalmente verdadero = "&amp;"Lectura del monitor x FC"</f>
        <v>VCV = Valor convencionalmente verdadero = Lectura del monitor x FC</v>
      </c>
      <c r="D53" s="1033"/>
      <c r="E53" s="1033"/>
      <c r="F53" s="1033"/>
      <c r="G53" s="1034"/>
      <c r="H53" s="1034"/>
      <c r="I53" s="1034"/>
      <c r="J53" s="1034"/>
      <c r="N53" s="1010"/>
      <c r="O53" s="1010"/>
      <c r="P53" s="1010"/>
      <c r="Q53" s="1010"/>
      <c r="R53" s="1011"/>
    </row>
    <row r="54" spans="1:19" ht="12.75" hidden="1" customHeight="1" x14ac:dyDescent="0.2">
      <c r="A54" s="1009"/>
      <c r="C54" s="1014"/>
      <c r="D54" s="1262"/>
      <c r="E54" s="1262"/>
      <c r="F54" s="1262"/>
      <c r="G54" s="1262"/>
      <c r="H54" s="1262"/>
      <c r="I54" s="1262"/>
      <c r="J54" s="1262"/>
      <c r="K54" s="1262"/>
      <c r="L54" s="1262"/>
      <c r="M54" s="1262"/>
      <c r="N54" s="1262"/>
      <c r="O54" s="1262"/>
      <c r="P54" s="1262"/>
      <c r="Q54" s="1262"/>
      <c r="R54" s="1011"/>
    </row>
    <row r="55" spans="1:19" ht="3" customHeight="1" thickBot="1" x14ac:dyDescent="0.25">
      <c r="A55" s="1036"/>
      <c r="B55" s="1037"/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8"/>
    </row>
    <row r="56" spans="1:19" ht="15.75" thickTop="1" x14ac:dyDescent="0.25">
      <c r="A56" s="2863" t="s">
        <v>260</v>
      </c>
      <c r="B56" s="2864"/>
      <c r="C56" s="2864"/>
      <c r="D56" s="2864"/>
      <c r="E56" s="2864"/>
      <c r="F56" s="2864"/>
      <c r="G56" s="2864"/>
      <c r="H56" s="2864"/>
      <c r="I56" s="2864"/>
      <c r="J56" s="2864"/>
      <c r="K56" s="2864"/>
      <c r="L56" s="2864"/>
      <c r="M56" s="2864"/>
      <c r="N56" s="2864"/>
      <c r="O56" s="2864"/>
      <c r="P56" s="2864"/>
      <c r="Q56" s="2864"/>
      <c r="R56" s="2865"/>
    </row>
    <row r="57" spans="1:19" ht="11.25" customHeight="1" thickBot="1" x14ac:dyDescent="0.25">
      <c r="A57" s="2859" t="s">
        <v>810</v>
      </c>
      <c r="B57" s="2860"/>
      <c r="C57" s="2860"/>
      <c r="D57" s="2860"/>
      <c r="E57" s="2860"/>
      <c r="F57" s="2860"/>
      <c r="G57" s="2860"/>
      <c r="H57" s="2860"/>
      <c r="I57" s="2860"/>
      <c r="J57" s="2860"/>
      <c r="K57" s="2860"/>
      <c r="L57" s="2860"/>
      <c r="M57" s="2860"/>
      <c r="N57" s="2860"/>
      <c r="O57" s="2860"/>
      <c r="P57" s="2860"/>
      <c r="Q57" s="2860"/>
      <c r="R57" s="2861"/>
      <c r="S57" s="1039"/>
    </row>
    <row r="58" spans="1:19" ht="11.25" customHeight="1" thickBot="1" x14ac:dyDescent="0.25">
      <c r="A58" s="1305"/>
      <c r="B58" s="1416" t="s">
        <v>916</v>
      </c>
      <c r="C58" s="1417"/>
      <c r="D58" s="1305"/>
      <c r="E58" s="1305"/>
      <c r="F58" s="1305"/>
      <c r="G58" s="1305"/>
      <c r="H58" s="1305"/>
      <c r="I58" s="1305"/>
      <c r="J58" s="1305"/>
      <c r="K58" s="1305"/>
      <c r="L58" s="1305"/>
      <c r="M58" s="1305"/>
      <c r="N58" s="1305"/>
      <c r="O58" s="1305"/>
      <c r="P58" s="1305"/>
      <c r="Q58" s="1415" t="str">
        <f>A4&amp;" "&amp;A5</f>
        <v>INFORME DE CALIBRACIÓN N° 029-2021 ALEPH/GR/LSCD</v>
      </c>
      <c r="R58" s="1305"/>
      <c r="S58" s="1039"/>
    </row>
    <row r="59" spans="1:19" ht="51" customHeight="1" x14ac:dyDescent="0.2">
      <c r="A59" s="2869" t="s">
        <v>280</v>
      </c>
      <c r="B59" s="2870"/>
      <c r="C59" s="2870"/>
      <c r="D59" s="2870"/>
      <c r="E59" s="2870"/>
      <c r="F59" s="2870"/>
      <c r="G59" s="2870"/>
      <c r="H59" s="2870"/>
      <c r="I59" s="2870"/>
      <c r="J59" s="2870"/>
      <c r="K59" s="2870"/>
      <c r="L59" s="2870"/>
      <c r="M59" s="2870"/>
      <c r="N59" s="2870"/>
      <c r="O59" s="2870"/>
      <c r="P59" s="2870"/>
      <c r="Q59" s="2870"/>
      <c r="R59" s="2871"/>
    </row>
    <row r="60" spans="1:19" ht="27" customHeight="1" thickBot="1" x14ac:dyDescent="0.25">
      <c r="A60" s="2872"/>
      <c r="B60" s="2873"/>
      <c r="C60" s="2873"/>
      <c r="D60" s="2873"/>
      <c r="E60" s="2873"/>
      <c r="F60" s="2873"/>
      <c r="G60" s="2873"/>
      <c r="H60" s="2873"/>
      <c r="I60" s="2873"/>
      <c r="J60" s="2873"/>
      <c r="K60" s="2873"/>
      <c r="L60" s="2873"/>
      <c r="M60" s="2873"/>
      <c r="N60" s="2873"/>
      <c r="O60" s="2873"/>
      <c r="P60" s="2873"/>
      <c r="Q60" s="2873"/>
      <c r="R60" s="2874"/>
    </row>
    <row r="61" spans="1:19" ht="13.5" thickTop="1" x14ac:dyDescent="0.2">
      <c r="A61" s="1304"/>
      <c r="B61" s="1305"/>
      <c r="C61" s="1305"/>
      <c r="D61" s="1305"/>
      <c r="E61" s="1305"/>
      <c r="F61" s="1305"/>
      <c r="G61" s="1305"/>
      <c r="H61" s="1305"/>
      <c r="I61" s="1305"/>
      <c r="J61" s="1305"/>
      <c r="K61" s="1305"/>
      <c r="L61" s="1305"/>
      <c r="M61" s="1305"/>
      <c r="N61" s="1305"/>
      <c r="O61" s="1305"/>
      <c r="P61" s="1305"/>
      <c r="Q61" s="1305"/>
      <c r="R61" s="1306"/>
      <c r="S61" s="1039"/>
    </row>
    <row r="62" spans="1:19" x14ac:dyDescent="0.2">
      <c r="A62" s="1304"/>
      <c r="B62" s="1305"/>
      <c r="C62" s="1014" t="str">
        <f>IF(P41=" ","","Promedio FC Rango "&amp;P41&amp;" = "&amp;TEXT(AVERAGE(K41:L43),"#0,00"))</f>
        <v>Promedio FC Rango x1 = 001</v>
      </c>
      <c r="D62" s="1305"/>
      <c r="E62" s="1305"/>
      <c r="F62" s="1305"/>
      <c r="G62" s="1305"/>
      <c r="H62" s="1305"/>
      <c r="I62" s="1305"/>
      <c r="J62" s="1305"/>
      <c r="K62" s="1305"/>
      <c r="L62" s="1305"/>
      <c r="M62" s="1305"/>
      <c r="N62" s="1305"/>
      <c r="O62" s="1305"/>
      <c r="P62" s="1305"/>
      <c r="Q62" s="1305"/>
      <c r="R62" s="1306"/>
      <c r="S62" s="1039"/>
    </row>
    <row r="63" spans="1:19" x14ac:dyDescent="0.2">
      <c r="A63" s="1304"/>
      <c r="B63" s="1305"/>
      <c r="C63" s="1014" t="e">
        <f>IF(P44=" ","","Promedio FC Rango "&amp;P44&amp;" = "&amp;TEXT(AVERAGE(K44:L46),"#0,00"))</f>
        <v>#DIV/0!</v>
      </c>
      <c r="D63" s="1305"/>
      <c r="E63" s="1305"/>
      <c r="F63" s="1305"/>
      <c r="G63" s="1305"/>
      <c r="H63" s="1305"/>
      <c r="I63" s="1305"/>
      <c r="J63" s="1305"/>
      <c r="K63" s="1305"/>
      <c r="L63" s="1305"/>
      <c r="M63" s="1305"/>
      <c r="N63" s="1305"/>
      <c r="O63" s="1305"/>
      <c r="P63" s="1305"/>
      <c r="Q63" s="1305"/>
      <c r="R63" s="1306"/>
      <c r="S63" s="1039"/>
    </row>
    <row r="64" spans="1:19" x14ac:dyDescent="0.2">
      <c r="A64" s="1009"/>
      <c r="C64" s="1014" t="e">
        <f>IF(P44=" ","","Promedio FC Rango "&amp;P47&amp;" = "&amp;TEXT(AVERAGE(K47:L49),"#0,00##"))</f>
        <v>#DIV/0!</v>
      </c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011"/>
    </row>
    <row r="65" spans="1:19" x14ac:dyDescent="0.2">
      <c r="A65" s="1009"/>
      <c r="C65" s="1014" t="e">
        <f>IF(P44=" ","","Promedio FC Rango "&amp;P50&amp;" = "&amp;TEXT(AVERAGE(K50:L52),"#0,##"))</f>
        <v>#DIV/0!</v>
      </c>
      <c r="D65" s="1262"/>
      <c r="E65" s="1262"/>
      <c r="F65" s="1262"/>
      <c r="G65" s="1262"/>
      <c r="H65" s="1262"/>
      <c r="I65" s="1262"/>
      <c r="J65" s="1262"/>
      <c r="K65" s="1262"/>
      <c r="L65" s="1262"/>
      <c r="M65" s="1262"/>
      <c r="N65" s="1262"/>
      <c r="O65" s="1262"/>
      <c r="P65" s="1262"/>
      <c r="Q65" s="1262"/>
      <c r="R65" s="1011"/>
    </row>
    <row r="66" spans="1:19" x14ac:dyDescent="0.2">
      <c r="A66" s="1009"/>
      <c r="C66" s="1014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011"/>
    </row>
    <row r="67" spans="1:19" x14ac:dyDescent="0.2">
      <c r="A67" s="1009"/>
      <c r="C67" s="180"/>
      <c r="D67" s="180"/>
      <c r="E67" s="180"/>
      <c r="F67" s="180"/>
      <c r="G67" s="180"/>
      <c r="H67" s="180"/>
      <c r="I67" s="180"/>
      <c r="J67" s="180"/>
      <c r="K67" s="180"/>
      <c r="L67" s="180"/>
      <c r="M67" s="180"/>
      <c r="N67" s="180"/>
      <c r="O67" s="180"/>
      <c r="P67" s="180"/>
      <c r="Q67" s="1262"/>
      <c r="R67" s="1011"/>
    </row>
    <row r="68" spans="1:19" x14ac:dyDescent="0.2">
      <c r="A68" s="1009"/>
      <c r="C68" s="1410"/>
      <c r="D68" s="1410"/>
      <c r="E68" s="1410"/>
      <c r="F68" s="1410"/>
      <c r="G68" s="1410"/>
      <c r="H68" s="1410"/>
      <c r="I68" s="1410"/>
      <c r="J68" s="1410"/>
      <c r="K68" s="1410"/>
      <c r="L68" s="1410"/>
      <c r="M68" s="1410"/>
      <c r="N68" s="1410"/>
      <c r="O68" s="1410"/>
      <c r="P68" s="1410"/>
      <c r="Q68" s="1262"/>
      <c r="R68" s="1011"/>
    </row>
    <row r="69" spans="1:19" x14ac:dyDescent="0.2">
      <c r="A69" s="1009"/>
      <c r="C69" s="180"/>
      <c r="D69" s="1262"/>
      <c r="E69" s="1262"/>
      <c r="F69" s="1262"/>
      <c r="G69" s="1262"/>
      <c r="H69" s="1262"/>
      <c r="I69" s="1262"/>
      <c r="J69" s="1262"/>
      <c r="K69" s="1262"/>
      <c r="L69" s="1262"/>
      <c r="M69" s="1262"/>
      <c r="N69" s="180"/>
      <c r="O69" s="1014"/>
      <c r="P69" s="1262"/>
      <c r="Q69" s="1262"/>
      <c r="R69" s="1011"/>
    </row>
    <row r="70" spans="1:19" x14ac:dyDescent="0.2">
      <c r="A70" s="1009"/>
      <c r="C70" s="1014">
        <f>'F-LSCD-012'!C26</f>
        <v>44336</v>
      </c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011"/>
    </row>
    <row r="71" spans="1:19" x14ac:dyDescent="0.2">
      <c r="A71" s="1009"/>
      <c r="G71" s="1430"/>
      <c r="H71" s="1430"/>
      <c r="I71" s="1430"/>
      <c r="J71" s="2917"/>
      <c r="K71" s="2917"/>
      <c r="L71" s="2917"/>
      <c r="M71" s="2917"/>
      <c r="N71" s="2917"/>
      <c r="O71" s="2917"/>
      <c r="P71" s="2917"/>
      <c r="Q71" s="1010"/>
      <c r="R71" s="1011"/>
    </row>
    <row r="72" spans="1:19" ht="99" customHeight="1" x14ac:dyDescent="0.2">
      <c r="A72" s="1009"/>
      <c r="G72" s="1035"/>
      <c r="H72" s="1035"/>
      <c r="I72" s="1035"/>
      <c r="J72" s="2886"/>
      <c r="K72" s="2886"/>
      <c r="L72" s="2886"/>
      <c r="M72" s="2886"/>
      <c r="N72" s="2886"/>
      <c r="O72" s="2886"/>
      <c r="P72" s="2886"/>
      <c r="Q72" s="1020"/>
      <c r="R72" s="1011"/>
    </row>
    <row r="73" spans="1:19" ht="17.25" customHeight="1" x14ac:dyDescent="0.2">
      <c r="A73" s="1009"/>
      <c r="B73" s="1033"/>
      <c r="G73" s="1035"/>
      <c r="H73" s="1035"/>
      <c r="I73" s="1035"/>
      <c r="J73" s="2862"/>
      <c r="K73" s="2862"/>
      <c r="L73" s="2862"/>
      <c r="M73" s="2862"/>
      <c r="N73" s="2862"/>
      <c r="O73" s="2862"/>
      <c r="P73" s="2862"/>
      <c r="Q73" s="1020"/>
      <c r="R73" s="1011"/>
    </row>
    <row r="74" spans="1:19" ht="3" customHeight="1" thickBot="1" x14ac:dyDescent="0.25">
      <c r="A74" s="1036"/>
      <c r="B74" s="1037"/>
      <c r="C74" s="1037"/>
      <c r="D74" s="1037"/>
      <c r="E74" s="1037"/>
      <c r="F74" s="1037"/>
      <c r="G74" s="1037"/>
      <c r="H74" s="1037"/>
      <c r="I74" s="1037"/>
      <c r="J74" s="1037"/>
      <c r="K74" s="1037"/>
      <c r="L74" s="1037"/>
      <c r="M74" s="1037"/>
      <c r="N74" s="1037"/>
      <c r="O74" s="1037"/>
      <c r="P74" s="1037"/>
      <c r="Q74" s="1037"/>
      <c r="R74" s="1038"/>
    </row>
    <row r="75" spans="1:19" ht="15.75" thickTop="1" x14ac:dyDescent="0.25">
      <c r="A75" s="2863" t="s">
        <v>260</v>
      </c>
      <c r="B75" s="2864"/>
      <c r="C75" s="2864"/>
      <c r="D75" s="2864"/>
      <c r="E75" s="2864"/>
      <c r="F75" s="2864"/>
      <c r="G75" s="2864"/>
      <c r="H75" s="2864"/>
      <c r="I75" s="2864"/>
      <c r="J75" s="2864"/>
      <c r="K75" s="2864"/>
      <c r="L75" s="2864"/>
      <c r="M75" s="2864"/>
      <c r="N75" s="2864"/>
      <c r="O75" s="2864"/>
      <c r="P75" s="2864"/>
      <c r="Q75" s="2864"/>
      <c r="R75" s="2865"/>
    </row>
    <row r="76" spans="1:19" ht="11.25" customHeight="1" thickBot="1" x14ac:dyDescent="0.25">
      <c r="A76" s="2859" t="s">
        <v>810</v>
      </c>
      <c r="B76" s="2860"/>
      <c r="C76" s="2860"/>
      <c r="D76" s="2860"/>
      <c r="E76" s="2860"/>
      <c r="F76" s="2860"/>
      <c r="G76" s="2860"/>
      <c r="H76" s="2860"/>
      <c r="I76" s="2860"/>
      <c r="J76" s="2860"/>
      <c r="K76" s="2860"/>
      <c r="L76" s="2860"/>
      <c r="M76" s="2860"/>
      <c r="N76" s="2860"/>
      <c r="O76" s="2860"/>
      <c r="P76" s="2860"/>
      <c r="Q76" s="2860"/>
      <c r="R76" s="2861"/>
      <c r="S76" s="1039"/>
    </row>
    <row r="77" spans="1:19" x14ac:dyDescent="0.2">
      <c r="B77" s="1416" t="s">
        <v>917</v>
      </c>
      <c r="Q77" s="1415" t="str">
        <f>A4&amp;" "&amp;A5</f>
        <v>INFORME DE CALIBRACIÓN N° 029-2021 ALEPH/GR/LSCD</v>
      </c>
    </row>
  </sheetData>
  <sheetProtection password="D8A8"/>
  <autoFilter ref="C39:P53" xr:uid="{00000000-0009-0000-0000-000019000000}">
    <filterColumn colId="0" showButton="0"/>
    <filterColumn colId="2" showButton="0"/>
    <filterColumn colId="3" showButton="0"/>
    <filterColumn colId="4" showButton="0"/>
    <filterColumn colId="5" showButton="0"/>
    <filterColumn colId="6" showButton="0"/>
    <filterColumn colId="8" showButton="0"/>
    <filterColumn colId="10" showButton="0"/>
    <filterColumn colId="11" showButton="0"/>
  </autoFilter>
  <mergeCells count="117">
    <mergeCell ref="A2:R3"/>
    <mergeCell ref="A4:R4"/>
    <mergeCell ref="A5:R5"/>
    <mergeCell ref="A6:R6"/>
    <mergeCell ref="A7:R7"/>
    <mergeCell ref="A8:R8"/>
    <mergeCell ref="P12:Q17"/>
    <mergeCell ref="E13:N13"/>
    <mergeCell ref="E18:N18"/>
    <mergeCell ref="E19:N19"/>
    <mergeCell ref="E20:N20"/>
    <mergeCell ref="P20:Q28"/>
    <mergeCell ref="E21:N21"/>
    <mergeCell ref="E22:N22"/>
    <mergeCell ref="E23:N24"/>
    <mergeCell ref="E27:N27"/>
    <mergeCell ref="C39:D40"/>
    <mergeCell ref="E39:J39"/>
    <mergeCell ref="K39:L40"/>
    <mergeCell ref="M39:O40"/>
    <mergeCell ref="P39:P40"/>
    <mergeCell ref="E40:F40"/>
    <mergeCell ref="G40:H40"/>
    <mergeCell ref="I40:J40"/>
    <mergeCell ref="E28:N28"/>
    <mergeCell ref="P29:Q31"/>
    <mergeCell ref="E30:N30"/>
    <mergeCell ref="E31:N31"/>
    <mergeCell ref="E32:N32"/>
    <mergeCell ref="E33:N33"/>
    <mergeCell ref="P33:Q35"/>
    <mergeCell ref="E34:G34"/>
    <mergeCell ref="E35:G35"/>
    <mergeCell ref="P41:P43"/>
    <mergeCell ref="C42:D42"/>
    <mergeCell ref="E42:F42"/>
    <mergeCell ref="G42:H42"/>
    <mergeCell ref="I42:J42"/>
    <mergeCell ref="K42:L42"/>
    <mergeCell ref="M42:O42"/>
    <mergeCell ref="C43:D43"/>
    <mergeCell ref="E43:F43"/>
    <mergeCell ref="G43:H43"/>
    <mergeCell ref="C41:D41"/>
    <mergeCell ref="E41:F41"/>
    <mergeCell ref="G41:H41"/>
    <mergeCell ref="I41:J41"/>
    <mergeCell ref="K41:L41"/>
    <mergeCell ref="M41:O41"/>
    <mergeCell ref="I43:J43"/>
    <mergeCell ref="K43:L43"/>
    <mergeCell ref="M43:O43"/>
    <mergeCell ref="C44:D44"/>
    <mergeCell ref="E44:F44"/>
    <mergeCell ref="G44:H44"/>
    <mergeCell ref="I44:J44"/>
    <mergeCell ref="K44:L44"/>
    <mergeCell ref="M44:O44"/>
    <mergeCell ref="P44:P46"/>
    <mergeCell ref="C45:D45"/>
    <mergeCell ref="E45:F45"/>
    <mergeCell ref="G45:H45"/>
    <mergeCell ref="I45:J45"/>
    <mergeCell ref="K45:L45"/>
    <mergeCell ref="M45:O45"/>
    <mergeCell ref="C46:D46"/>
    <mergeCell ref="E46:F46"/>
    <mergeCell ref="G46:H46"/>
    <mergeCell ref="I46:J46"/>
    <mergeCell ref="K46:L46"/>
    <mergeCell ref="M46:O46"/>
    <mergeCell ref="J71:P71"/>
    <mergeCell ref="J72:P72"/>
    <mergeCell ref="J73:P73"/>
    <mergeCell ref="C47:D47"/>
    <mergeCell ref="E47:F47"/>
    <mergeCell ref="G47:H47"/>
    <mergeCell ref="I47:J47"/>
    <mergeCell ref="K47:L47"/>
    <mergeCell ref="M47:O47"/>
    <mergeCell ref="P47:P49"/>
    <mergeCell ref="C48:D48"/>
    <mergeCell ref="E48:F48"/>
    <mergeCell ref="G48:H48"/>
    <mergeCell ref="I48:J48"/>
    <mergeCell ref="K48:L48"/>
    <mergeCell ref="M48:O48"/>
    <mergeCell ref="C49:D49"/>
    <mergeCell ref="E49:F49"/>
    <mergeCell ref="G49:H49"/>
    <mergeCell ref="I49:J49"/>
    <mergeCell ref="K49:L49"/>
    <mergeCell ref="M49:O49"/>
    <mergeCell ref="A75:R75"/>
    <mergeCell ref="A76:R76"/>
    <mergeCell ref="I52:J52"/>
    <mergeCell ref="K52:L52"/>
    <mergeCell ref="M52:O52"/>
    <mergeCell ref="A56:R56"/>
    <mergeCell ref="A57:R57"/>
    <mergeCell ref="A59:R60"/>
    <mergeCell ref="P50:P52"/>
    <mergeCell ref="C51:D51"/>
    <mergeCell ref="E51:F51"/>
    <mergeCell ref="G51:H51"/>
    <mergeCell ref="I51:J51"/>
    <mergeCell ref="K51:L51"/>
    <mergeCell ref="M51:O51"/>
    <mergeCell ref="C52:D52"/>
    <mergeCell ref="E52:F52"/>
    <mergeCell ref="G52:H52"/>
    <mergeCell ref="C50:D50"/>
    <mergeCell ref="E50:F50"/>
    <mergeCell ref="G50:H50"/>
    <mergeCell ref="I50:J50"/>
    <mergeCell ref="K50:L50"/>
    <mergeCell ref="M50:O50"/>
  </mergeCells>
  <conditionalFormatting sqref="E29:O29 K35:O35 E35 L34:O34 E12:O12 E14:O14 E13 O13 E31:E33 O30:O33">
    <cfRule type="cellIs" dxfId="177" priority="8" operator="equal">
      <formula>0</formula>
    </cfRule>
  </conditionalFormatting>
  <conditionalFormatting sqref="E29:O29 K35:O35 E35 L34:O34 E12:O12 E14:O14 E13 O13 E31:E33 O30:O33">
    <cfRule type="containsErrors" dxfId="176" priority="7">
      <formula>ISERROR(E12)</formula>
    </cfRule>
  </conditionalFormatting>
  <conditionalFormatting sqref="P19">
    <cfRule type="cellIs" dxfId="175" priority="6" operator="equal">
      <formula>0</formula>
    </cfRule>
  </conditionalFormatting>
  <conditionalFormatting sqref="P19">
    <cfRule type="containsErrors" dxfId="174" priority="5">
      <formula>ISERROR(P19)</formula>
    </cfRule>
  </conditionalFormatting>
  <conditionalFormatting sqref="E34">
    <cfRule type="cellIs" dxfId="173" priority="4" operator="equal">
      <formula>0</formula>
    </cfRule>
  </conditionalFormatting>
  <conditionalFormatting sqref="E34">
    <cfRule type="containsErrors" dxfId="172" priority="3">
      <formula>ISERROR(E34)</formula>
    </cfRule>
  </conditionalFormatting>
  <conditionalFormatting sqref="E30">
    <cfRule type="cellIs" dxfId="171" priority="2" operator="equal">
      <formula>0</formula>
    </cfRule>
  </conditionalFormatting>
  <conditionalFormatting sqref="E30">
    <cfRule type="containsErrors" dxfId="170" priority="1">
      <formula>ISERROR(E30)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78"/>
  <sheetViews>
    <sheetView view="pageLayout" topLeftCell="A23" workbookViewId="0">
      <selection activeCell="E32" sqref="E32:I32"/>
    </sheetView>
  </sheetViews>
  <sheetFormatPr baseColWidth="10" defaultColWidth="11.42578125" defaultRowHeight="12.75" x14ac:dyDescent="0.2"/>
  <cols>
    <col min="1" max="1" width="1.85546875" style="163" customWidth="1"/>
    <col min="2" max="2" width="2.42578125" style="163" customWidth="1"/>
    <col min="3" max="3" width="20.140625" style="163" customWidth="1"/>
    <col min="4" max="4" width="1.5703125" style="163" customWidth="1"/>
    <col min="5" max="5" width="7.42578125" style="163" customWidth="1"/>
    <col min="6" max="6" width="6.8554687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5.85546875" style="163" customWidth="1"/>
    <col min="16" max="16" width="0.7109375" style="163" customWidth="1"/>
    <col min="17" max="18" width="3" style="163" customWidth="1"/>
    <col min="19" max="19" width="2.42578125" style="163" customWidth="1"/>
    <col min="20" max="21" width="6.1406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2969" t="s">
        <v>280</v>
      </c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1"/>
    </row>
    <row r="3" spans="1:25" ht="27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4"/>
    </row>
    <row r="4" spans="1:25" ht="16.5" thickTop="1" x14ac:dyDescent="0.25">
      <c r="A4" s="2953" t="s">
        <v>216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977" t="str">
        <f>"N° "&amp;'F-LSCD-008'!J14&amp;" ALEPH/GR/LSCD"</f>
        <v>N° 017-2019 ALEPH/GR/LSCD</v>
      </c>
      <c r="B5" s="2978"/>
      <c r="C5" s="2978"/>
      <c r="D5" s="2978"/>
      <c r="E5" s="2978"/>
      <c r="F5" s="2978"/>
      <c r="G5" s="2978"/>
      <c r="H5" s="2978"/>
      <c r="I5" s="2978"/>
      <c r="J5" s="2978"/>
      <c r="K5" s="2978"/>
      <c r="L5" s="2978"/>
      <c r="M5" s="2978"/>
      <c r="N5" s="2978"/>
      <c r="O5" s="2978"/>
      <c r="P5" s="2978"/>
      <c r="Q5" s="2978"/>
      <c r="R5" s="2978"/>
      <c r="S5" s="2978"/>
      <c r="T5" s="2978"/>
      <c r="U5" s="2978"/>
      <c r="V5" s="2979"/>
      <c r="X5" s="1735"/>
    </row>
    <row r="6" spans="1:25" ht="15.75" x14ac:dyDescent="0.2">
      <c r="A6" s="2881" t="s">
        <v>253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ht="15.75" x14ac:dyDescent="0.2">
      <c r="A7" s="2881" t="s">
        <v>275</v>
      </c>
      <c r="B7" s="2980"/>
      <c r="C7" s="2980"/>
      <c r="D7" s="2980"/>
      <c r="E7" s="2980"/>
      <c r="F7" s="2980"/>
      <c r="G7" s="2980"/>
      <c r="H7" s="2980"/>
      <c r="I7" s="2980"/>
      <c r="J7" s="2980"/>
      <c r="K7" s="2980"/>
      <c r="L7" s="2980"/>
      <c r="M7" s="2980"/>
      <c r="N7" s="2980"/>
      <c r="O7" s="2980"/>
      <c r="P7" s="2980"/>
      <c r="Q7" s="2980"/>
      <c r="R7" s="2980"/>
      <c r="S7" s="2980"/>
      <c r="T7" s="2980"/>
      <c r="U7" s="2980"/>
      <c r="V7" s="2981"/>
    </row>
    <row r="8" spans="1:25" ht="4.9000000000000004" customHeight="1" x14ac:dyDescent="0.2">
      <c r="A8" s="2982"/>
      <c r="B8" s="2983"/>
      <c r="C8" s="2983"/>
      <c r="D8" s="2983"/>
      <c r="E8" s="2983"/>
      <c r="F8" s="2983"/>
      <c r="G8" s="2983"/>
      <c r="H8" s="2983"/>
      <c r="I8" s="2983"/>
      <c r="J8" s="2983"/>
      <c r="K8" s="2983"/>
      <c r="L8" s="2983"/>
      <c r="M8" s="2983"/>
      <c r="N8" s="2983"/>
      <c r="O8" s="2983"/>
      <c r="P8" s="2983"/>
      <c r="Q8" s="2983"/>
      <c r="R8" s="2983"/>
      <c r="S8" s="2983"/>
      <c r="T8" s="2983"/>
      <c r="U8" s="2983"/>
      <c r="V8" s="2984"/>
    </row>
    <row r="9" spans="1:25" x14ac:dyDescent="0.2">
      <c r="A9" s="165"/>
      <c r="B9" s="166" t="s">
        <v>217</v>
      </c>
      <c r="D9" s="166" t="s">
        <v>218</v>
      </c>
      <c r="E9" s="163" t="s">
        <v>1053</v>
      </c>
      <c r="V9" s="167"/>
    </row>
    <row r="10" spans="1:25" x14ac:dyDescent="0.2">
      <c r="A10" s="165"/>
      <c r="C10" s="166"/>
      <c r="D10" s="166"/>
      <c r="E10" s="163" t="s">
        <v>219</v>
      </c>
      <c r="T10" s="1731"/>
      <c r="U10" s="1731"/>
      <c r="V10" s="167"/>
    </row>
    <row r="11" spans="1:25" x14ac:dyDescent="0.2">
      <c r="A11" s="165"/>
      <c r="T11" s="1731"/>
      <c r="U11" s="1731"/>
      <c r="V11" s="167"/>
    </row>
    <row r="12" spans="1:25" ht="15" customHeight="1" x14ac:dyDescent="0.2">
      <c r="A12" s="165"/>
      <c r="B12" s="166" t="s">
        <v>220</v>
      </c>
      <c r="D12" s="166" t="s">
        <v>218</v>
      </c>
      <c r="E12" s="1555" t="str">
        <f>'F-LSCD-008'!H6</f>
        <v>ALEPH GROUP &amp; ASOCIADOS S.A.C.</v>
      </c>
      <c r="Q12" s="2906" t="s">
        <v>862</v>
      </c>
      <c r="R12" s="2907"/>
      <c r="S12" s="2907"/>
      <c r="T12" s="2907"/>
      <c r="U12" s="2907"/>
      <c r="V12" s="167"/>
    </row>
    <row r="13" spans="1:25" ht="12.75" customHeight="1" x14ac:dyDescent="0.2">
      <c r="A13" s="165"/>
      <c r="E13" s="1555" t="str">
        <f>'F-LSCD-008'!C7</f>
        <v>Av. Rafel Escardó, 154</v>
      </c>
      <c r="Q13" s="2906"/>
      <c r="R13" s="2907"/>
      <c r="S13" s="2907"/>
      <c r="T13" s="2907"/>
      <c r="U13" s="2907"/>
      <c r="V13" s="167"/>
      <c r="Y13" s="168"/>
    </row>
    <row r="14" spans="1:25" x14ac:dyDescent="0.2">
      <c r="A14" s="165"/>
      <c r="E14" s="163" t="str">
        <f>'F-LSCD-008'!H7&amp;", "&amp;'F-LSCD-008'!K7&amp;", "&amp;'F-LSCD-008'!O7</f>
        <v>San Miguel, Lima, Lima</v>
      </c>
      <c r="Q14" s="2906"/>
      <c r="R14" s="2907"/>
      <c r="S14" s="2907"/>
      <c r="T14" s="2907"/>
      <c r="U14" s="2907"/>
      <c r="V14" s="167"/>
      <c r="X14" s="169"/>
      <c r="Y14" s="168"/>
    </row>
    <row r="15" spans="1:25" x14ac:dyDescent="0.2">
      <c r="A15" s="165"/>
      <c r="Q15" s="2906"/>
      <c r="R15" s="2907"/>
      <c r="S15" s="2907"/>
      <c r="T15" s="2907"/>
      <c r="U15" s="2907"/>
      <c r="V15" s="167"/>
    </row>
    <row r="16" spans="1:25" x14ac:dyDescent="0.2">
      <c r="A16" s="165"/>
      <c r="B16" s="170" t="s">
        <v>222</v>
      </c>
      <c r="C16" s="171"/>
      <c r="D16" s="170" t="s">
        <v>218</v>
      </c>
      <c r="E16" s="2989" t="str">
        <f>'F-LSCD-008'!C6</f>
        <v>Solicitud N° 017-2019, según F-LD-018</v>
      </c>
      <c r="F16" s="2990"/>
      <c r="G16" s="2990"/>
      <c r="H16" s="2990"/>
      <c r="I16" s="2990"/>
      <c r="J16" s="2990"/>
      <c r="K16" s="2990"/>
      <c r="L16" s="2990"/>
      <c r="M16" s="2990"/>
      <c r="N16" s="2990"/>
      <c r="O16" s="2990"/>
      <c r="P16" s="172"/>
      <c r="Q16" s="2906"/>
      <c r="R16" s="2907"/>
      <c r="S16" s="2907"/>
      <c r="T16" s="2907"/>
      <c r="U16" s="2907"/>
      <c r="V16" s="167"/>
      <c r="W16" s="203"/>
      <c r="Y16" s="168"/>
    </row>
    <row r="17" spans="1:25" x14ac:dyDescent="0.2">
      <c r="A17" s="165"/>
      <c r="Q17" s="2906"/>
      <c r="R17" s="2907"/>
      <c r="S17" s="2907"/>
      <c r="T17" s="2907"/>
      <c r="U17" s="2907"/>
      <c r="V17" s="167"/>
    </row>
    <row r="18" spans="1:25" x14ac:dyDescent="0.2">
      <c r="A18" s="165"/>
      <c r="B18" s="170" t="s">
        <v>223</v>
      </c>
      <c r="C18" s="990"/>
      <c r="D18" s="170" t="s">
        <v>218</v>
      </c>
      <c r="E18" s="2991" t="str">
        <f>'F-LSCD-008'!C9&amp;", Marca: "&amp;'F-LSCD-008'!H9&amp;", Modelo: "&amp;'F-LSCD-008'!N9</f>
        <v>Dosímetros personales, Marca: Panasonic, Modelo: UD 802-AT</v>
      </c>
      <c r="F18" s="2991"/>
      <c r="G18" s="2991"/>
      <c r="H18" s="2991"/>
      <c r="I18" s="2991"/>
      <c r="J18" s="2991"/>
      <c r="K18" s="2991"/>
      <c r="L18" s="2991"/>
      <c r="M18" s="2991"/>
      <c r="N18" s="2991"/>
      <c r="O18" s="2991"/>
      <c r="P18" s="173"/>
      <c r="Q18" s="2906"/>
      <c r="R18" s="2907"/>
      <c r="S18" s="2907"/>
      <c r="T18" s="2907"/>
      <c r="U18" s="2907"/>
      <c r="V18" s="167"/>
      <c r="Y18" s="168"/>
    </row>
    <row r="19" spans="1:25" x14ac:dyDescent="0.2">
      <c r="A19" s="165"/>
      <c r="B19" s="166"/>
      <c r="D19" s="166"/>
      <c r="E19" s="1738"/>
      <c r="F19" s="1738"/>
      <c r="G19" s="1738"/>
      <c r="H19" s="1738"/>
      <c r="I19" s="1738"/>
      <c r="J19" s="1738"/>
      <c r="K19" s="1738"/>
      <c r="L19" s="1738"/>
      <c r="M19" s="1738"/>
      <c r="N19" s="1738"/>
      <c r="O19" s="173"/>
      <c r="P19" s="173"/>
      <c r="Q19" s="174"/>
      <c r="R19" s="173"/>
      <c r="S19" s="173"/>
      <c r="T19" s="1731"/>
      <c r="U19" s="1731"/>
      <c r="V19" s="167"/>
      <c r="Y19" s="168"/>
    </row>
    <row r="20" spans="1:25" x14ac:dyDescent="0.2">
      <c r="A20" s="165"/>
      <c r="B20" s="175" t="s">
        <v>224</v>
      </c>
      <c r="D20" s="175" t="s">
        <v>218</v>
      </c>
      <c r="E20" s="2992" t="str">
        <f>'F-LSCD-008'!C10</f>
        <v xml:space="preserve">Campo de radiación calibrado usando un fantoma, según ISO 4037-3 (2019), aplicado al PROC-LSCD-001 Irradiación controlada de dosímetros personales (versión 05)
</v>
      </c>
      <c r="F20" s="2991"/>
      <c r="G20" s="2991"/>
      <c r="H20" s="2991"/>
      <c r="I20" s="2991"/>
      <c r="J20" s="2991"/>
      <c r="K20" s="2991"/>
      <c r="L20" s="2991"/>
      <c r="M20" s="2991"/>
      <c r="N20" s="2991"/>
      <c r="O20" s="2991"/>
      <c r="P20" s="1734"/>
      <c r="Q20" s="176"/>
      <c r="R20" s="1734"/>
      <c r="S20" s="1734"/>
      <c r="T20" s="1731"/>
      <c r="U20" s="1731"/>
      <c r="V20" s="167"/>
    </row>
    <row r="21" spans="1:25" ht="30" customHeight="1" x14ac:dyDescent="0.2">
      <c r="A21" s="165"/>
      <c r="E21" s="2991"/>
      <c r="F21" s="2991"/>
      <c r="G21" s="2991"/>
      <c r="H21" s="2991"/>
      <c r="I21" s="2991"/>
      <c r="J21" s="2991"/>
      <c r="K21" s="2991"/>
      <c r="L21" s="2991"/>
      <c r="M21" s="2991"/>
      <c r="N21" s="2991"/>
      <c r="O21" s="2991"/>
      <c r="P21" s="1734"/>
      <c r="Q21" s="2904" t="s">
        <v>1024</v>
      </c>
      <c r="R21" s="2905"/>
      <c r="S21" s="2905"/>
      <c r="T21" s="2905"/>
      <c r="U21" s="2905"/>
      <c r="V21" s="167"/>
    </row>
    <row r="22" spans="1:25" x14ac:dyDescent="0.2">
      <c r="A22" s="165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2904"/>
      <c r="R22" s="2905"/>
      <c r="S22" s="2905"/>
      <c r="T22" s="2905"/>
      <c r="U22" s="2905"/>
      <c r="V22" s="167"/>
    </row>
    <row r="23" spans="1:25" x14ac:dyDescent="0.2">
      <c r="A23" s="165"/>
      <c r="B23" s="166" t="s">
        <v>226</v>
      </c>
      <c r="D23" s="166" t="s">
        <v>218</v>
      </c>
      <c r="Q23" s="2904"/>
      <c r="R23" s="2905"/>
      <c r="S23" s="2905"/>
      <c r="T23" s="2905"/>
      <c r="U23" s="2905"/>
      <c r="V23" s="167"/>
      <c r="Y23" s="168"/>
    </row>
    <row r="24" spans="1:25" x14ac:dyDescent="0.2">
      <c r="A24" s="165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Q24" s="2904"/>
      <c r="R24" s="2905"/>
      <c r="S24" s="2905"/>
      <c r="T24" s="2905"/>
      <c r="U24" s="2905"/>
      <c r="V24" s="167"/>
    </row>
    <row r="25" spans="1:25" ht="40.5" customHeight="1" x14ac:dyDescent="0.2">
      <c r="A25" s="165"/>
      <c r="C25" s="170" t="s">
        <v>227</v>
      </c>
      <c r="D25" s="1742" t="s">
        <v>218</v>
      </c>
      <c r="E25" s="2993" t="str">
        <f>'F-LSCD-008'!C11</f>
        <v>Cámara de ionización patrón de 1 L , marca: PTW; modelo: TN32002; serie: 000568; Reporte de calibración de Kerma en aire DG: 13580-21 con fecha 2021-04-01 (NIST); trazable al NIST.</v>
      </c>
      <c r="F25" s="2993"/>
      <c r="G25" s="2993"/>
      <c r="H25" s="2993"/>
      <c r="I25" s="2993"/>
      <c r="J25" s="2993"/>
      <c r="K25" s="2993"/>
      <c r="L25" s="2993"/>
      <c r="M25" s="2993"/>
      <c r="N25" s="2993"/>
      <c r="O25" s="2993"/>
      <c r="P25" s="179"/>
      <c r="Q25" s="2904"/>
      <c r="R25" s="2905"/>
      <c r="S25" s="2905"/>
      <c r="T25" s="2905"/>
      <c r="U25" s="2905"/>
      <c r="V25" s="167"/>
      <c r="Y25" s="168"/>
    </row>
    <row r="26" spans="1:25" ht="12" customHeight="1" x14ac:dyDescent="0.2">
      <c r="A26" s="165"/>
      <c r="C26" s="170" t="s">
        <v>203</v>
      </c>
      <c r="D26" s="1742" t="s">
        <v>218</v>
      </c>
      <c r="E26" s="180" t="str">
        <f>'F-LSCD-004'!H9</f>
        <v>S-Cs (ISO 4037-3)</v>
      </c>
      <c r="F26" s="180"/>
      <c r="G26" s="180"/>
      <c r="H26" s="180"/>
      <c r="I26" s="180"/>
      <c r="J26" s="180"/>
      <c r="K26" s="180"/>
      <c r="L26" s="180"/>
      <c r="M26" s="180"/>
      <c r="N26" s="180"/>
      <c r="O26" s="180"/>
      <c r="P26" s="180"/>
      <c r="Q26" s="2904"/>
      <c r="R26" s="2905"/>
      <c r="S26" s="2905"/>
      <c r="T26" s="2905"/>
      <c r="U26" s="2905"/>
      <c r="V26" s="167"/>
    </row>
    <row r="27" spans="1:25" ht="28.5" customHeight="1" x14ac:dyDescent="0.2">
      <c r="A27" s="165"/>
      <c r="C27" s="170" t="s">
        <v>138</v>
      </c>
      <c r="D27" s="1742" t="s">
        <v>218</v>
      </c>
      <c r="E27" s="2994" t="str">
        <f>'F-LSCD-008'!C14</f>
        <v>Dosis equivalente personal, Hp(10) / Dosis equivalente personal, Hp(0,07)</v>
      </c>
      <c r="F27" s="2994"/>
      <c r="G27" s="2994"/>
      <c r="H27" s="2994"/>
      <c r="I27" s="2994"/>
      <c r="J27" s="2994"/>
      <c r="K27" s="2994"/>
      <c r="L27" s="2994"/>
      <c r="M27" s="2994"/>
      <c r="N27" s="2994"/>
      <c r="O27" s="2994"/>
      <c r="P27" s="180"/>
      <c r="Q27" s="2904"/>
      <c r="R27" s="2905"/>
      <c r="S27" s="2905"/>
      <c r="T27" s="2905"/>
      <c r="U27" s="2905"/>
      <c r="V27" s="167"/>
    </row>
    <row r="28" spans="1:25" ht="25.5" x14ac:dyDescent="0.2">
      <c r="A28" s="165"/>
      <c r="C28" s="181" t="s">
        <v>228</v>
      </c>
      <c r="D28" s="1742" t="s">
        <v>218</v>
      </c>
      <c r="E28" s="2910" t="str">
        <f>"Temp (°C): "&amp;'F-LSCD-008'!K19&amp;" ; Presión (hPa): "&amp;'F-LSCD-008'!L19&amp;" ; HR (%): "&amp;'F-LSCD-008'!M19</f>
        <v>Temp (°C): 20.6 ; Presión (hPa): 1008.5 ; HR (%): 54</v>
      </c>
      <c r="F28" s="2910"/>
      <c r="G28" s="2910"/>
      <c r="H28" s="2910"/>
      <c r="I28" s="2910"/>
      <c r="J28" s="2910"/>
      <c r="K28" s="2910"/>
      <c r="L28" s="2910"/>
      <c r="M28" s="2910"/>
      <c r="N28" s="2910"/>
      <c r="O28" s="2910"/>
      <c r="P28" s="1732"/>
      <c r="Q28" s="2904"/>
      <c r="R28" s="2905"/>
      <c r="S28" s="2905"/>
      <c r="T28" s="2905"/>
      <c r="U28" s="2905"/>
      <c r="V28" s="167"/>
    </row>
    <row r="29" spans="1:25" ht="25.5" x14ac:dyDescent="0.2">
      <c r="A29" s="165"/>
      <c r="C29" s="182" t="s">
        <v>229</v>
      </c>
      <c r="D29" s="1742" t="s">
        <v>218</v>
      </c>
      <c r="E29" s="2985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29" s="2985"/>
      <c r="G29" s="2985"/>
      <c r="H29" s="2985"/>
      <c r="I29" s="2985"/>
      <c r="J29" s="2985"/>
      <c r="K29" s="2985"/>
      <c r="L29" s="2985"/>
      <c r="M29" s="2985"/>
      <c r="N29" s="2985"/>
      <c r="O29" s="2985"/>
      <c r="P29" s="1736"/>
      <c r="Q29" s="2906" t="s">
        <v>230</v>
      </c>
      <c r="R29" s="2907"/>
      <c r="S29" s="2907"/>
      <c r="T29" s="2907"/>
      <c r="U29" s="2907"/>
      <c r="V29" s="167"/>
    </row>
    <row r="30" spans="1:25" ht="27.75" customHeight="1" x14ac:dyDescent="0.2">
      <c r="A30" s="165"/>
      <c r="C30" s="182" t="s">
        <v>231</v>
      </c>
      <c r="D30" s="1742" t="s">
        <v>218</v>
      </c>
      <c r="E30" s="2986" t="str">
        <f>'F-LSCD-008'!C13</f>
        <v>Punto medio de la superfice anterior y punto medio del espesor del dosímetro</v>
      </c>
      <c r="F30" s="2986"/>
      <c r="G30" s="2986"/>
      <c r="H30" s="2986"/>
      <c r="I30" s="2986"/>
      <c r="J30" s="2986"/>
      <c r="K30" s="2986"/>
      <c r="L30" s="2986"/>
      <c r="M30" s="2986"/>
      <c r="N30" s="2986"/>
      <c r="O30" s="2986"/>
      <c r="P30" s="1737"/>
      <c r="Q30" s="2949" t="s">
        <v>876</v>
      </c>
      <c r="R30" s="2987"/>
      <c r="S30" s="2987"/>
      <c r="T30" s="2987"/>
      <c r="U30" s="2987"/>
      <c r="V30" s="167"/>
    </row>
    <row r="31" spans="1:25" ht="12.75" customHeight="1" x14ac:dyDescent="0.2">
      <c r="A31" s="165"/>
      <c r="C31" s="182" t="s">
        <v>232</v>
      </c>
      <c r="D31" s="1742" t="s">
        <v>218</v>
      </c>
      <c r="E31" s="2988">
        <f>'F-LSCD-008'!C8</f>
        <v>43802</v>
      </c>
      <c r="F31" s="2988"/>
      <c r="G31" s="183"/>
      <c r="H31" s="183"/>
      <c r="I31" s="183"/>
      <c r="J31" s="183"/>
      <c r="K31" s="180"/>
      <c r="L31" s="180"/>
      <c r="M31" s="180"/>
      <c r="N31" s="180"/>
      <c r="O31" s="180"/>
      <c r="P31" s="180"/>
      <c r="Q31" s="2949"/>
      <c r="R31" s="2987"/>
      <c r="S31" s="2987"/>
      <c r="T31" s="2987"/>
      <c r="U31" s="2987"/>
      <c r="V31" s="167"/>
    </row>
    <row r="32" spans="1:25" x14ac:dyDescent="0.2">
      <c r="A32" s="165"/>
      <c r="C32" s="170" t="s">
        <v>233</v>
      </c>
      <c r="D32" s="1742" t="s">
        <v>218</v>
      </c>
      <c r="E32" s="2988">
        <f>'F-LSCD-008'!L8</f>
        <v>43802</v>
      </c>
      <c r="F32" s="2988"/>
      <c r="G32" s="2988"/>
      <c r="H32" s="2988"/>
      <c r="I32" s="2988"/>
      <c r="J32" s="1741"/>
      <c r="K32" s="184"/>
      <c r="L32" s="184"/>
      <c r="M32" s="184"/>
      <c r="N32" s="184"/>
      <c r="O32" s="184"/>
      <c r="P32" s="184"/>
      <c r="Q32" s="2949"/>
      <c r="R32" s="2987"/>
      <c r="S32" s="2987"/>
      <c r="T32" s="2987"/>
      <c r="U32" s="2987"/>
      <c r="V32" s="167"/>
    </row>
    <row r="33" spans="1:22" x14ac:dyDescent="0.2">
      <c r="A33" s="165"/>
      <c r="C33" s="170"/>
      <c r="D33" s="1742"/>
      <c r="E33" s="1733"/>
      <c r="F33" s="1733"/>
      <c r="G33" s="1733"/>
      <c r="H33" s="1733"/>
      <c r="I33" s="1733"/>
      <c r="J33" s="1733"/>
      <c r="K33" s="180"/>
      <c r="L33" s="180"/>
      <c r="M33" s="180"/>
      <c r="N33" s="180"/>
      <c r="O33" s="180"/>
      <c r="P33" s="180"/>
      <c r="Q33" s="2949"/>
      <c r="R33" s="2987"/>
      <c r="S33" s="2987"/>
      <c r="T33" s="2987"/>
      <c r="U33" s="2987"/>
      <c r="V33" s="167"/>
    </row>
    <row r="34" spans="1:22" x14ac:dyDescent="0.2">
      <c r="A34" s="165"/>
      <c r="B34" s="166" t="s">
        <v>234</v>
      </c>
      <c r="C34" s="166"/>
      <c r="D34" s="186"/>
      <c r="E34" s="186"/>
      <c r="F34" s="166"/>
      <c r="G34" s="166"/>
      <c r="H34" s="166"/>
      <c r="I34" s="166"/>
      <c r="J34" s="166"/>
      <c r="V34" s="167"/>
    </row>
    <row r="35" spans="1:22" ht="5.25" customHeight="1" thickBot="1" x14ac:dyDescent="0.25">
      <c r="A35" s="165"/>
      <c r="D35" s="187"/>
      <c r="E35" s="188"/>
      <c r="V35" s="167"/>
    </row>
    <row r="36" spans="1:22" ht="27" customHeight="1" thickBot="1" x14ac:dyDescent="0.25">
      <c r="A36" s="165"/>
      <c r="C36" s="198" t="s">
        <v>183</v>
      </c>
      <c r="D36" s="3001" t="s">
        <v>235</v>
      </c>
      <c r="E36" s="3002"/>
      <c r="F36" s="3003"/>
      <c r="G36" s="189" t="s">
        <v>204</v>
      </c>
      <c r="H36" s="3004" t="s">
        <v>207</v>
      </c>
      <c r="I36" s="3005"/>
      <c r="J36" s="3005"/>
      <c r="K36" s="3006"/>
      <c r="L36" s="3004" t="s">
        <v>206</v>
      </c>
      <c r="M36" s="3005"/>
      <c r="N36" s="3005"/>
      <c r="O36" s="3006"/>
      <c r="P36" s="3004" t="s">
        <v>208</v>
      </c>
      <c r="Q36" s="3005"/>
      <c r="R36" s="3005"/>
      <c r="S36" s="3005"/>
      <c r="T36" s="3006"/>
      <c r="U36" s="1743"/>
      <c r="V36" s="167"/>
    </row>
    <row r="37" spans="1:22" ht="15" customHeight="1" x14ac:dyDescent="0.2">
      <c r="A37" s="165"/>
      <c r="C37" s="210">
        <f>'F-LSCD-008'!B18</f>
        <v>905395</v>
      </c>
      <c r="D37" s="3007" t="str">
        <f>'F-LSCD-008'!C18</f>
        <v>S-Cs (ISO 4037-3)</v>
      </c>
      <c r="E37" s="3008"/>
      <c r="F37" s="3009"/>
      <c r="G37" s="1589" t="str">
        <f>'F-LSCD-008'!D18</f>
        <v>0°</v>
      </c>
      <c r="H37" s="3010" t="str">
        <f>IF('F-LSCD-007'!F16="Hp(10)",TEXT('F-LSCD-008'!G18,"#0,0")&amp;" ± "&amp;TEXT('Incert. Irrad. Dosímetros pers'!$O$34*'F-LSCD-008'!G18,"#0,0"),"-")</f>
        <v>03 ± 00</v>
      </c>
      <c r="I37" s="3011"/>
      <c r="J37" s="3011"/>
      <c r="K37" s="3012"/>
      <c r="L37" s="3010" t="str">
        <f>IF('F-LSCD-007'!F16="Hp(0,07)",TEXT('F-LSCD-008'!F18,"#0,0")&amp;" ± "&amp;TEXT('Incert. Irrad. Dosímetros pers'!$O$34*'F-LSCD-008'!F18,"#0,0"),"-")</f>
        <v>-</v>
      </c>
      <c r="M37" s="3011"/>
      <c r="N37" s="3011"/>
      <c r="O37" s="3012"/>
      <c r="P37" s="3010" t="str">
        <f>IF('F-LSCD-007'!F16="D(10)",TEXT('F-LSCD-008'!H18,"#0,0")&amp;" ± "&amp;TEXT('Incert. Irrad. Dosímetros pers'!$O$34*'F-LSCD-008'!H18,"#0,0"),"-")</f>
        <v>-</v>
      </c>
      <c r="Q37" s="3011"/>
      <c r="R37" s="3011"/>
      <c r="S37" s="3011"/>
      <c r="T37" s="3013"/>
      <c r="U37" s="1743"/>
      <c r="V37" s="167"/>
    </row>
    <row r="38" spans="1:22" ht="12.75" customHeight="1" x14ac:dyDescent="0.2">
      <c r="A38" s="165"/>
      <c r="C38" s="211">
        <f>'F-LSCD-008'!B19</f>
        <v>905309</v>
      </c>
      <c r="D38" s="2995" t="str">
        <f>'F-LSCD-008'!C19</f>
        <v>S-Cs (ISO 4037-3)</v>
      </c>
      <c r="E38" s="2995"/>
      <c r="F38" s="2996"/>
      <c r="G38" s="1590" t="str">
        <f>'F-LSCD-008'!D19</f>
        <v>0°</v>
      </c>
      <c r="H38" s="2997" t="str">
        <f>IF('F-LSCD-007'!F17="Hp(10)",TEXT('F-LSCD-008'!G19,"#0,0")&amp;" ± "&amp;TEXT('Incert. Irrad. Dosímetros pers'!$O$34*'F-LSCD-008'!G19,"#0,0"),"-")</f>
        <v>03 ± 00</v>
      </c>
      <c r="I38" s="2998"/>
      <c r="J38" s="2998"/>
      <c r="K38" s="2999"/>
      <c r="L38" s="2997" t="str">
        <f>IF('F-LSCD-007'!F17="Hp(0,07)",TEXT('F-LSCD-008'!F19,"#0,0")&amp;" ± "&amp;TEXT('Incert. Irrad. Dosímetros pers'!$O$34*'F-LSCD-008'!F19,"#0,0"),"-")</f>
        <v>-</v>
      </c>
      <c r="M38" s="2998"/>
      <c r="N38" s="2998"/>
      <c r="O38" s="2999"/>
      <c r="P38" s="2997" t="str">
        <f>IF('F-LSCD-007'!F17="D(10)",TEXT('F-LSCD-008'!H19,"#0,0")&amp;" ± "&amp;TEXT('Incert. Irrad. Dosímetros pers'!$O$34*'F-LSCD-008'!H19,"#0,0"),"-")</f>
        <v>-</v>
      </c>
      <c r="Q38" s="2998"/>
      <c r="R38" s="2998"/>
      <c r="S38" s="2998"/>
      <c r="T38" s="3000"/>
      <c r="U38" s="1743"/>
      <c r="V38" s="167"/>
    </row>
    <row r="39" spans="1:22" ht="12.75" customHeight="1" x14ac:dyDescent="0.2">
      <c r="A39" s="165"/>
      <c r="C39" s="211">
        <f>'F-LSCD-008'!B20</f>
        <v>905161</v>
      </c>
      <c r="D39" s="2995" t="str">
        <f>'F-LSCD-008'!C20</f>
        <v>S-Cs (ISO 4037-3)</v>
      </c>
      <c r="E39" s="2995"/>
      <c r="F39" s="2996"/>
      <c r="G39" s="1590" t="str">
        <f>'F-LSCD-008'!D20</f>
        <v>0°</v>
      </c>
      <c r="H39" s="2997" t="str">
        <f>IF('F-LSCD-007'!F18="Hp(10)",TEXT('F-LSCD-008'!G20,"#0,0")&amp;" ± "&amp;TEXT('Incert. Irrad. Dosímetros pers'!$O$34*'F-LSCD-008'!G20,"#0,0"),"-")</f>
        <v>03 ± 00</v>
      </c>
      <c r="I39" s="2998"/>
      <c r="J39" s="2998"/>
      <c r="K39" s="2999"/>
      <c r="L39" s="2997" t="str">
        <f>IF('F-LSCD-007'!F18="Hp(0,07)",TEXT('F-LSCD-008'!F20,"#0,0")&amp;" ± "&amp;TEXT('Incert. Irrad. Dosímetros pers'!$O$34*'F-LSCD-008'!F20,"#0,0"),"-")</f>
        <v>-</v>
      </c>
      <c r="M39" s="2998"/>
      <c r="N39" s="2998"/>
      <c r="O39" s="2999"/>
      <c r="P39" s="2997" t="str">
        <f>IF('F-LSCD-007'!F18="D(10)",TEXT('F-LSCD-008'!H20,"#0,0")&amp;" ± "&amp;TEXT('Incert. Irrad. Dosímetros pers'!$O$34*'F-LSCD-008'!H20,"#0,0"),"-")</f>
        <v>-</v>
      </c>
      <c r="Q39" s="2998"/>
      <c r="R39" s="2998"/>
      <c r="S39" s="2998"/>
      <c r="T39" s="3000"/>
      <c r="U39" s="1743"/>
      <c r="V39" s="167"/>
    </row>
    <row r="40" spans="1:22" ht="12.75" customHeight="1" x14ac:dyDescent="0.2">
      <c r="A40" s="165"/>
      <c r="C40" s="211">
        <f>'F-LSCD-008'!B21</f>
        <v>905327</v>
      </c>
      <c r="D40" s="2995" t="str">
        <f>'F-LSCD-008'!C21</f>
        <v>S-Cs (ISO 4037-3)</v>
      </c>
      <c r="E40" s="2995"/>
      <c r="F40" s="2996"/>
      <c r="G40" s="1590" t="str">
        <f>'F-LSCD-008'!D21</f>
        <v>0°</v>
      </c>
      <c r="H40" s="2997" t="str">
        <f>IF('F-LSCD-007'!F19="Hp(10)",TEXT('F-LSCD-008'!G21,"#0,0")&amp;" ± "&amp;TEXT('Incert. Irrad. Dosímetros pers'!$O$34*'F-LSCD-008'!G21,"#0,0"),"-")</f>
        <v>03 ± 00</v>
      </c>
      <c r="I40" s="2998"/>
      <c r="J40" s="2998"/>
      <c r="K40" s="2999"/>
      <c r="L40" s="2997" t="str">
        <f>IF('F-LSCD-007'!F19="Hp(0,07)",TEXT('F-LSCD-008'!F21,"#0,0")&amp;" ± "&amp;TEXT('Incert. Irrad. Dosímetros pers'!$O$34*'F-LSCD-008'!F21,"#0,0"),"-")</f>
        <v>-</v>
      </c>
      <c r="M40" s="2998"/>
      <c r="N40" s="2998"/>
      <c r="O40" s="2999"/>
      <c r="P40" s="2997" t="str">
        <f>IF('F-LSCD-007'!F19="D(10)",TEXT('F-LSCD-008'!H21,"#0,0")&amp;" ± "&amp;TEXT('Incert. Irrad. Dosímetros pers'!$O$34*'F-LSCD-008'!H21,"#0,0"),"-")</f>
        <v>-</v>
      </c>
      <c r="Q40" s="2998"/>
      <c r="R40" s="2998"/>
      <c r="S40" s="2998"/>
      <c r="T40" s="3000"/>
      <c r="U40" s="1743"/>
      <c r="V40" s="167"/>
    </row>
    <row r="41" spans="1:22" ht="12.75" customHeight="1" x14ac:dyDescent="0.2">
      <c r="A41" s="165"/>
      <c r="C41" s="211">
        <f>'F-LSCD-008'!B22</f>
        <v>905125</v>
      </c>
      <c r="D41" s="2995" t="str">
        <f>'F-LSCD-008'!C22</f>
        <v>S-Cs (ISO 4037-3)</v>
      </c>
      <c r="E41" s="2995"/>
      <c r="F41" s="2996"/>
      <c r="G41" s="1590" t="str">
        <f>'F-LSCD-008'!D22</f>
        <v>0°</v>
      </c>
      <c r="H41" s="2997" t="str">
        <f>IF('F-LSCD-007'!F20="Hp(10)",TEXT('F-LSCD-008'!G22,"#0,0")&amp;" ± "&amp;TEXT('Incert. Irrad. Dosímetros pers'!$O$34*'F-LSCD-008'!G22,"#0,0"),"-")</f>
        <v>03 ± 00</v>
      </c>
      <c r="I41" s="2998"/>
      <c r="J41" s="2998"/>
      <c r="K41" s="2999"/>
      <c r="L41" s="2997" t="str">
        <f>IF('F-LSCD-007'!F20="Hp(0,07)",TEXT('F-LSCD-008'!F22,"#0,0")&amp;" ± "&amp;TEXT('Incert. Irrad. Dosímetros pers'!$O$34*'F-LSCD-008'!F22,"#0,0"),"-")</f>
        <v>-</v>
      </c>
      <c r="M41" s="2998"/>
      <c r="N41" s="2998"/>
      <c r="O41" s="2999"/>
      <c r="P41" s="2997" t="str">
        <f>IF('F-LSCD-007'!F20="D(10)",TEXT('F-LSCD-008'!H22,"#0,0")&amp;" ± "&amp;TEXT('Incert. Irrad. Dosímetros pers'!$O$34*'F-LSCD-008'!H22,"#0,0"),"-")</f>
        <v>-</v>
      </c>
      <c r="Q41" s="2998"/>
      <c r="R41" s="2998"/>
      <c r="S41" s="2998"/>
      <c r="T41" s="3000"/>
      <c r="U41" s="1743"/>
      <c r="V41" s="167"/>
    </row>
    <row r="42" spans="1:22" x14ac:dyDescent="0.2">
      <c r="A42" s="165"/>
      <c r="C42" s="1488">
        <f>'F-LSCD-008'!B23</f>
        <v>905066</v>
      </c>
      <c r="D42" s="3014" t="str">
        <f>'F-LSCD-008'!C23</f>
        <v>S-Cs (ISO 4037-3)</v>
      </c>
      <c r="E42" s="3014"/>
      <c r="F42" s="3015"/>
      <c r="G42" s="1591" t="str">
        <f>'F-LSCD-008'!D23</f>
        <v>0°</v>
      </c>
      <c r="H42" s="2997" t="str">
        <f>IF('F-LSCD-007'!F21="Hp(10)",TEXT('F-LSCD-008'!G23,"#0,0")&amp;" ± "&amp;TEXT('Incert. Irrad. Dosímetros pers'!$O$34*'F-LSCD-008'!G23,"#0,0"),"-")</f>
        <v>30 ± 01</v>
      </c>
      <c r="I42" s="2998"/>
      <c r="J42" s="2998"/>
      <c r="K42" s="2999"/>
      <c r="L42" s="2997" t="str">
        <f>IF('F-LSCD-007'!F21="Hp(0,07)",TEXT('F-LSCD-008'!F23,"#0,0")&amp;" ± "&amp;TEXT('Incert. Irrad. Dosímetros pers'!$O$34*'F-LSCD-008'!F23,"#0,0"),"-")</f>
        <v>-</v>
      </c>
      <c r="M42" s="2998"/>
      <c r="N42" s="2998"/>
      <c r="O42" s="2999"/>
      <c r="P42" s="2997" t="str">
        <f>IF('F-LSCD-007'!F21="D(10)",TEXT('F-LSCD-008'!H23,"#0,0")&amp;" ± "&amp;TEXT('Incert. Irrad. Dosímetros pers'!$O$34*'F-LSCD-008'!H23,"#0,0"),"-")</f>
        <v>-</v>
      </c>
      <c r="Q42" s="2998"/>
      <c r="R42" s="2998"/>
      <c r="S42" s="2998"/>
      <c r="T42" s="3000"/>
      <c r="U42" s="1743"/>
      <c r="V42" s="167"/>
    </row>
    <row r="43" spans="1:22" x14ac:dyDescent="0.2">
      <c r="A43" s="165"/>
      <c r="C43" s="211">
        <f>'F-LSCD-008'!B24</f>
        <v>905339</v>
      </c>
      <c r="D43" s="2995" t="str">
        <f>'F-LSCD-008'!C24</f>
        <v>S-Cs (ISO 4037-3)</v>
      </c>
      <c r="E43" s="2995"/>
      <c r="F43" s="2996"/>
      <c r="G43" s="1590" t="str">
        <f>'F-LSCD-008'!D24</f>
        <v>0°</v>
      </c>
      <c r="H43" s="2997" t="str">
        <f>IF('F-LSCD-007'!F22="Hp(10)",TEXT('F-LSCD-008'!G24,"#0,0")&amp;" ± "&amp;TEXT('Incert. Irrad. Dosímetros pers'!$O$34*'F-LSCD-008'!G24,"#0,0"),"-")</f>
        <v>30 ± 01</v>
      </c>
      <c r="I43" s="2998"/>
      <c r="J43" s="2998"/>
      <c r="K43" s="2999"/>
      <c r="L43" s="2997" t="str">
        <f>IF('F-LSCD-007'!F22="Hp(0,07)",TEXT('F-LSCD-008'!F24,"#0,0")&amp;" ± "&amp;TEXT('Incert. Irrad. Dosímetros pers'!$O$34*'F-LSCD-008'!F24,"#0,0"),"-")</f>
        <v>-</v>
      </c>
      <c r="M43" s="2998"/>
      <c r="N43" s="2998"/>
      <c r="O43" s="2999"/>
      <c r="P43" s="2997" t="str">
        <f>IF('F-LSCD-007'!F22="D(10)",TEXT('F-LSCD-008'!H24,"#0,0")&amp;" ± "&amp;TEXT('Incert. Irrad. Dosímetros pers'!$O$34*'F-LSCD-008'!H24,"#0,0"),"-")</f>
        <v>-</v>
      </c>
      <c r="Q43" s="2998"/>
      <c r="R43" s="2998"/>
      <c r="S43" s="2998"/>
      <c r="T43" s="3000"/>
      <c r="U43" s="1743"/>
      <c r="V43" s="167"/>
    </row>
    <row r="44" spans="1:22" x14ac:dyDescent="0.2">
      <c r="A44" s="165"/>
      <c r="C44" s="1488">
        <f>'F-LSCD-008'!B25</f>
        <v>905189</v>
      </c>
      <c r="D44" s="3014" t="str">
        <f>'F-LSCD-008'!C25</f>
        <v>S-Cs (ISO 4037-3)</v>
      </c>
      <c r="E44" s="3014"/>
      <c r="F44" s="3015"/>
      <c r="G44" s="1591" t="str">
        <f>'F-LSCD-008'!D25</f>
        <v>0°</v>
      </c>
      <c r="H44" s="2997" t="str">
        <f>IF('F-LSCD-007'!F23="Hp(10)",TEXT('F-LSCD-008'!G25,"#0,0")&amp;" ± "&amp;TEXT('Incert. Irrad. Dosímetros pers'!$O$34*'F-LSCD-008'!G25,"#0,0"),"-")</f>
        <v>30 ± 01</v>
      </c>
      <c r="I44" s="2998"/>
      <c r="J44" s="2998"/>
      <c r="K44" s="2999"/>
      <c r="L44" s="2997" t="str">
        <f>IF('F-LSCD-007'!F23="Hp(0,07)",TEXT('F-LSCD-008'!F25,"#0,0")&amp;" ± "&amp;TEXT('Incert. Irrad. Dosímetros pers'!$O$34*'F-LSCD-008'!F25,"#0,0"),"-")</f>
        <v>-</v>
      </c>
      <c r="M44" s="2998"/>
      <c r="N44" s="2998"/>
      <c r="O44" s="2999"/>
      <c r="P44" s="2997" t="str">
        <f>IF('F-LSCD-007'!F23="D(10)",TEXT('F-LSCD-008'!H25,"#0,0")&amp;" ± "&amp;TEXT('Incert. Irrad. Dosímetros pers'!$O$34*'F-LSCD-008'!H25,"#0,0"),"-")</f>
        <v>-</v>
      </c>
      <c r="Q44" s="2998"/>
      <c r="R44" s="2998"/>
      <c r="S44" s="2998"/>
      <c r="T44" s="3000"/>
      <c r="U44" s="1743"/>
      <c r="V44" s="167"/>
    </row>
    <row r="45" spans="1:22" x14ac:dyDescent="0.2">
      <c r="A45" s="165"/>
      <c r="C45" s="211">
        <f>'F-LSCD-008'!B26</f>
        <v>905334</v>
      </c>
      <c r="D45" s="2995" t="str">
        <f>'F-LSCD-008'!C26</f>
        <v>S-Cs (ISO 4037-3)</v>
      </c>
      <c r="E45" s="2995"/>
      <c r="F45" s="2996"/>
      <c r="G45" s="1590" t="str">
        <f>'F-LSCD-008'!D26</f>
        <v>0°</v>
      </c>
      <c r="H45" s="2997" t="str">
        <f>IF('F-LSCD-007'!F24="Hp(10)",TEXT('F-LSCD-008'!G26,"#0,0")&amp;" ± "&amp;TEXT('Incert. Irrad. Dosímetros pers'!$O$34*'F-LSCD-008'!G26,"#0,0"),"-")</f>
        <v>30 ± 01</v>
      </c>
      <c r="I45" s="2998"/>
      <c r="J45" s="2998"/>
      <c r="K45" s="2999"/>
      <c r="L45" s="2997" t="str">
        <f>IF('F-LSCD-007'!F24="Hp(0,07)",TEXT('F-LSCD-008'!F26,"#0,0")&amp;" ± "&amp;TEXT('Incert. Irrad. Dosímetros pers'!$O$34*'F-LSCD-008'!F26,"#0,0"),"-")</f>
        <v>-</v>
      </c>
      <c r="M45" s="2998"/>
      <c r="N45" s="2998"/>
      <c r="O45" s="2999"/>
      <c r="P45" s="2997" t="str">
        <f>IF('F-LSCD-007'!F24="D(10)",TEXT('F-LSCD-008'!H26,"#0,0")&amp;" ± "&amp;TEXT('Incert. Irrad. Dosímetros pers'!$O$34*'F-LSCD-008'!H26,"#0,0"),"-")</f>
        <v>-</v>
      </c>
      <c r="Q45" s="2998"/>
      <c r="R45" s="2998"/>
      <c r="S45" s="2998"/>
      <c r="T45" s="3000"/>
      <c r="U45" s="1743"/>
      <c r="V45" s="167"/>
    </row>
    <row r="46" spans="1:22" ht="12.75" customHeight="1" x14ac:dyDescent="0.2">
      <c r="A46" s="165"/>
      <c r="B46" s="168"/>
      <c r="C46" s="1488">
        <f>'F-LSCD-008'!B27</f>
        <v>905153</v>
      </c>
      <c r="D46" s="3014" t="str">
        <f>'F-LSCD-008'!C27</f>
        <v>S-Cs (ISO 4037-3)</v>
      </c>
      <c r="E46" s="3014"/>
      <c r="F46" s="3015"/>
      <c r="G46" s="1591" t="str">
        <f>'F-LSCD-008'!D27</f>
        <v>0°</v>
      </c>
      <c r="H46" s="2997" t="str">
        <f>IF('F-LSCD-007'!F25="Hp(10)",TEXT('F-LSCD-008'!G27,"#0,0")&amp;" ± "&amp;TEXT('Incert. Irrad. Dosímetros pers'!$O$34*'F-LSCD-008'!G27,"#0,0"),"-")</f>
        <v>30 ± 01</v>
      </c>
      <c r="I46" s="2998"/>
      <c r="J46" s="2998"/>
      <c r="K46" s="2999"/>
      <c r="L46" s="2997" t="str">
        <f>IF('F-LSCD-007'!F25="Hp(0,07)",TEXT('F-LSCD-008'!F27,"#0,0")&amp;" ± "&amp;TEXT('Incert. Irrad. Dosímetros pers'!$O$34*'F-LSCD-008'!F27,"#0,0"),"-")</f>
        <v>-</v>
      </c>
      <c r="M46" s="2998"/>
      <c r="N46" s="2998"/>
      <c r="O46" s="2999"/>
      <c r="P46" s="2997" t="str">
        <f>IF('F-LSCD-007'!F25="D(10)",TEXT('F-LSCD-008'!H27,"#0,0")&amp;" ± "&amp;TEXT('Incert. Irrad. Dosímetros pers'!$O$34*'F-LSCD-008'!H27,"#0,0"),"-")</f>
        <v>-</v>
      </c>
      <c r="Q46" s="2998"/>
      <c r="R46" s="2998"/>
      <c r="S46" s="2998"/>
      <c r="T46" s="3000"/>
      <c r="U46" s="1743"/>
      <c r="V46" s="167"/>
    </row>
    <row r="47" spans="1:22" ht="12.75" customHeight="1" x14ac:dyDescent="0.2">
      <c r="A47" s="165"/>
      <c r="B47" s="166"/>
      <c r="C47" s="211">
        <f>'F-LSCD-008'!B28</f>
        <v>3848</v>
      </c>
      <c r="D47" s="2995" t="str">
        <f>'F-LSCD-008'!C28</f>
        <v>S-Cs (ISO 4037-3)</v>
      </c>
      <c r="E47" s="2995"/>
      <c r="F47" s="2996"/>
      <c r="G47" s="1590" t="str">
        <f>'F-LSCD-008'!D28</f>
        <v>0°</v>
      </c>
      <c r="H47" s="2997" t="str">
        <f>IF('F-LSCD-007'!F26="Hp(10)",TEXT('F-LSCD-008'!G28,"#0,0")&amp;" ± "&amp;TEXT('Incert. Irrad. Dosímetros pers'!$O$34*'F-LSCD-008'!G28,"#0,0"),"-")</f>
        <v>-</v>
      </c>
      <c r="I47" s="2998"/>
      <c r="J47" s="2998"/>
      <c r="K47" s="2999"/>
      <c r="L47" s="2997" t="str">
        <f>IF('F-LSCD-007'!F26="Hp(0,07)",TEXT('F-LSCD-008'!F28,"#0,0")&amp;" ± "&amp;TEXT('Incert. Irrad. Dosímetros pers'!$O$34*'F-LSCD-008'!F28,"#0,0"),"-")</f>
        <v>03 ± 00</v>
      </c>
      <c r="M47" s="2998"/>
      <c r="N47" s="2998"/>
      <c r="O47" s="2999"/>
      <c r="P47" s="2997" t="str">
        <f>IF('F-LSCD-007'!F26="D(10)",TEXT('F-LSCD-008'!H28,"#0,0")&amp;" ± "&amp;TEXT('Incert. Irrad. Dosímetros pers'!$O$34*'F-LSCD-008'!H28,"#0,0"),"-")</f>
        <v>-</v>
      </c>
      <c r="Q47" s="2998"/>
      <c r="R47" s="2998"/>
      <c r="S47" s="2998"/>
      <c r="T47" s="3000"/>
      <c r="U47" s="1743"/>
      <c r="V47" s="167"/>
    </row>
    <row r="48" spans="1:22" ht="12.75" customHeight="1" x14ac:dyDescent="0.2">
      <c r="A48" s="165"/>
      <c r="C48" s="211">
        <f>'F-LSCD-008'!B29</f>
        <v>3884</v>
      </c>
      <c r="D48" s="2995" t="str">
        <f>'F-LSCD-008'!C29</f>
        <v>S-Cs (ISO 4037-3)</v>
      </c>
      <c r="E48" s="2995"/>
      <c r="F48" s="2996"/>
      <c r="G48" s="1590" t="str">
        <f>'F-LSCD-008'!D29</f>
        <v>0°</v>
      </c>
      <c r="H48" s="2997" t="str">
        <f>IF('F-LSCD-007'!F27="Hp(10)",TEXT('F-LSCD-008'!G29,"#0,0")&amp;" ± "&amp;TEXT('Incert. Irrad. Dosímetros pers'!$O$34*'F-LSCD-008'!G29,"#0,0"),"-")</f>
        <v>-</v>
      </c>
      <c r="I48" s="2998"/>
      <c r="J48" s="2998"/>
      <c r="K48" s="2999"/>
      <c r="L48" s="2997" t="str">
        <f>IF('F-LSCD-007'!F27="Hp(0,07)",TEXT('F-LSCD-008'!F29,"#0,0")&amp;" ± "&amp;TEXT('Incert. Irrad. Dosímetros pers'!$O$34*'F-LSCD-008'!F29,"#0,0"),"-")</f>
        <v>03 ± 00</v>
      </c>
      <c r="M48" s="2998"/>
      <c r="N48" s="2998"/>
      <c r="O48" s="2999"/>
      <c r="P48" s="2997" t="str">
        <f>IF('F-LSCD-007'!F27="D(10)",TEXT('F-LSCD-008'!H29,"#0,0")&amp;" ± "&amp;TEXT('Incert. Irrad. Dosímetros pers'!$O$34*'F-LSCD-008'!H29,"#0,0"),"-")</f>
        <v>-</v>
      </c>
      <c r="Q48" s="2998"/>
      <c r="R48" s="2998"/>
      <c r="S48" s="2998"/>
      <c r="T48" s="3000"/>
      <c r="U48" s="1743"/>
      <c r="V48" s="167"/>
    </row>
    <row r="49" spans="1:22" ht="12.75" customHeight="1" x14ac:dyDescent="0.2">
      <c r="A49" s="165"/>
      <c r="C49" s="1488">
        <f>'F-LSCD-008'!B30</f>
        <v>9037</v>
      </c>
      <c r="D49" s="3014" t="str">
        <f>'F-LSCD-008'!C30</f>
        <v>S-Cs (ISO 4037-3)</v>
      </c>
      <c r="E49" s="3014"/>
      <c r="F49" s="3015"/>
      <c r="G49" s="1489" t="str">
        <f>'F-LSCD-008'!D30</f>
        <v>0°</v>
      </c>
      <c r="H49" s="2997" t="str">
        <f>IF('F-LSCD-007'!F28="Hp(10)",TEXT('F-LSCD-008'!G30,"#0,0")&amp;" ± "&amp;TEXT('Incert. Irrad. Dosímetros pers'!$O$34*'F-LSCD-008'!G30,"#0,0"),"-")</f>
        <v>-</v>
      </c>
      <c r="I49" s="2998"/>
      <c r="J49" s="2998"/>
      <c r="K49" s="2999"/>
      <c r="L49" s="2997" t="str">
        <f>IF('F-LSCD-007'!F28="Hp(0,07)",TEXT('F-LSCD-008'!F30,"#0,0")&amp;" ± "&amp;TEXT('Incert. Irrad. Dosímetros pers'!$O$34*'F-LSCD-008'!F30,"#0,0"),"-")</f>
        <v>03 ± 00</v>
      </c>
      <c r="M49" s="2998"/>
      <c r="N49" s="2998"/>
      <c r="O49" s="2999"/>
      <c r="P49" s="2997" t="str">
        <f>IF('F-LSCD-007'!F28="D(10)",TEXT('F-LSCD-008'!H30,"#0,0")&amp;" ± "&amp;TEXT('Incert. Irrad. Dosímetros pers'!$O$34*'F-LSCD-008'!H30,"#0,0"),"-")</f>
        <v>-</v>
      </c>
      <c r="Q49" s="2998"/>
      <c r="R49" s="2998"/>
      <c r="S49" s="2998"/>
      <c r="T49" s="3000"/>
      <c r="U49" s="1743"/>
      <c r="V49" s="167"/>
    </row>
    <row r="50" spans="1:22" ht="12.75" customHeight="1" thickBot="1" x14ac:dyDescent="0.25">
      <c r="A50" s="165"/>
      <c r="B50" s="166"/>
      <c r="C50" s="212">
        <f>'F-LSCD-008'!B31</f>
        <v>905136</v>
      </c>
      <c r="D50" s="3016" t="str">
        <f>'F-LSCD-008'!C31</f>
        <v>S-Cs (ISO 4037-3)</v>
      </c>
      <c r="E50" s="3016"/>
      <c r="F50" s="3017"/>
      <c r="G50" s="194" t="str">
        <f>'F-LSCD-008'!D31</f>
        <v>0°</v>
      </c>
      <c r="H50" s="3018" t="str">
        <f>IF('F-LSCD-007'!F29="Hp(10)",TEXT('F-LSCD-008'!G31,"#0,0")&amp;" ± "&amp;TEXT('Incert. Irrad. Dosímetros pers'!$O$34*'F-LSCD-008'!G31,"#0,0"),"-")</f>
        <v>-</v>
      </c>
      <c r="I50" s="3019"/>
      <c r="J50" s="3019"/>
      <c r="K50" s="3020"/>
      <c r="L50" s="3018" t="str">
        <f>IF('F-LSCD-007'!F29="Hp(0,07)",TEXT('F-LSCD-008'!F31,"#0,0")&amp;" ± "&amp;TEXT('Incert. Irrad. Dosímetros pers'!$O$34*'F-LSCD-008'!F31,"#0,0"),"-")</f>
        <v>-</v>
      </c>
      <c r="M50" s="3019"/>
      <c r="N50" s="3019"/>
      <c r="O50" s="3020"/>
      <c r="P50" s="3018" t="str">
        <f>IF('F-LSCD-007'!F29="D(10)",TEXT('F-LSCD-008'!H31,"#0,0")&amp;" ± "&amp;TEXT('Incert. Irrad. Dosímetros pers'!$O$34*'F-LSCD-008'!H31,"#0,0"),"-")</f>
        <v>-</v>
      </c>
      <c r="Q50" s="3019"/>
      <c r="R50" s="3019"/>
      <c r="S50" s="3019"/>
      <c r="T50" s="3021"/>
      <c r="U50" s="1743"/>
      <c r="V50" s="167"/>
    </row>
    <row r="51" spans="1:22" x14ac:dyDescent="0.2">
      <c r="A51" s="3022" t="s">
        <v>236</v>
      </c>
      <c r="B51" s="3023"/>
      <c r="C51" s="3023"/>
      <c r="D51" s="3023"/>
      <c r="E51" s="3023"/>
      <c r="F51" s="3023"/>
      <c r="G51" s="3023"/>
      <c r="H51" s="3023"/>
      <c r="I51" s="3023"/>
      <c r="J51" s="3023"/>
      <c r="K51" s="3023"/>
      <c r="L51" s="3023"/>
      <c r="M51" s="3023"/>
      <c r="N51" s="3023"/>
      <c r="O51" s="3023"/>
      <c r="P51" s="3023"/>
      <c r="Q51" s="3023"/>
      <c r="R51" s="3023"/>
      <c r="S51" s="3023"/>
      <c r="T51" s="3023"/>
      <c r="U51" s="3023"/>
      <c r="V51" s="3024"/>
    </row>
    <row r="52" spans="1:22" ht="13.5" thickBot="1" x14ac:dyDescent="0.25">
      <c r="A52" s="3025" t="s">
        <v>279</v>
      </c>
      <c r="B52" s="3026"/>
      <c r="C52" s="3026"/>
      <c r="D52" s="3026"/>
      <c r="E52" s="3026"/>
      <c r="F52" s="3026"/>
      <c r="G52" s="3026"/>
      <c r="H52" s="3026"/>
      <c r="I52" s="3026"/>
      <c r="J52" s="3026"/>
      <c r="K52" s="3026"/>
      <c r="L52" s="3026"/>
      <c r="M52" s="3026"/>
      <c r="N52" s="3026"/>
      <c r="O52" s="3026"/>
      <c r="P52" s="3026"/>
      <c r="Q52" s="3026"/>
      <c r="R52" s="3026"/>
      <c r="S52" s="3026"/>
      <c r="T52" s="3026"/>
      <c r="U52" s="3026"/>
      <c r="V52" s="3027"/>
    </row>
    <row r="53" spans="1:22" ht="13.5" thickBot="1" x14ac:dyDescent="0.25">
      <c r="A53" s="1490"/>
      <c r="B53" s="1491" t="s">
        <v>916</v>
      </c>
      <c r="C53" s="1490"/>
      <c r="D53" s="1490"/>
      <c r="E53" s="1490"/>
      <c r="F53" s="1490"/>
      <c r="G53" s="1490"/>
      <c r="H53" s="1490"/>
      <c r="I53" s="1490"/>
      <c r="J53" s="1490"/>
      <c r="K53" s="1490"/>
      <c r="L53" s="1490"/>
      <c r="M53" s="1490"/>
      <c r="N53" s="1490"/>
      <c r="O53" s="1490"/>
      <c r="P53" s="1490"/>
      <c r="Q53" s="1490"/>
      <c r="R53" s="1490"/>
      <c r="S53" s="1490"/>
      <c r="T53" s="1490"/>
      <c r="U53" s="1492" t="str">
        <f>A4&amp;" "&amp;A5</f>
        <v>INFORME DE ENSAYO N° 017-2019 ALEPH/GR/LSCD</v>
      </c>
      <c r="V53" s="1490"/>
    </row>
    <row r="54" spans="1:22" ht="51" customHeight="1" x14ac:dyDescent="0.2">
      <c r="A54" s="2969" t="s">
        <v>280</v>
      </c>
      <c r="B54" s="2970"/>
      <c r="C54" s="2970"/>
      <c r="D54" s="2970"/>
      <c r="E54" s="2970"/>
      <c r="F54" s="2970"/>
      <c r="G54" s="2970"/>
      <c r="H54" s="2970"/>
      <c r="I54" s="2970"/>
      <c r="J54" s="2970"/>
      <c r="K54" s="2970"/>
      <c r="L54" s="2970"/>
      <c r="M54" s="2970"/>
      <c r="N54" s="2970"/>
      <c r="O54" s="2970"/>
      <c r="P54" s="2970"/>
      <c r="Q54" s="2970"/>
      <c r="R54" s="2970"/>
      <c r="S54" s="2970"/>
      <c r="T54" s="2970"/>
      <c r="U54" s="2970"/>
      <c r="V54" s="2971"/>
    </row>
    <row r="55" spans="1:22" ht="30" customHeight="1" thickBot="1" x14ac:dyDescent="0.25">
      <c r="A55" s="2972"/>
      <c r="B55" s="2973"/>
      <c r="C55" s="2973"/>
      <c r="D55" s="2973"/>
      <c r="E55" s="2973"/>
      <c r="F55" s="2973"/>
      <c r="G55" s="2973"/>
      <c r="H55" s="2973"/>
      <c r="I55" s="2973"/>
      <c r="J55" s="2973"/>
      <c r="K55" s="2973"/>
      <c r="L55" s="2973"/>
      <c r="M55" s="2973"/>
      <c r="N55" s="2973"/>
      <c r="O55" s="2973"/>
      <c r="P55" s="2973"/>
      <c r="Q55" s="2973"/>
      <c r="R55" s="2973"/>
      <c r="S55" s="2973"/>
      <c r="T55" s="2973"/>
      <c r="U55" s="2973"/>
      <c r="V55" s="2974"/>
    </row>
    <row r="56" spans="1:22" ht="13.5" thickTop="1" x14ac:dyDescent="0.2">
      <c r="A56" s="165"/>
      <c r="V56" s="167"/>
    </row>
    <row r="57" spans="1:22" ht="27" hidden="1" customHeight="1" thickBot="1" x14ac:dyDescent="0.25">
      <c r="A57" s="165"/>
      <c r="C57" s="198" t="s">
        <v>183</v>
      </c>
      <c r="D57" s="3001" t="s">
        <v>235</v>
      </c>
      <c r="E57" s="3002"/>
      <c r="F57" s="3003"/>
      <c r="G57" s="189" t="s">
        <v>204</v>
      </c>
      <c r="H57" s="3028" t="s">
        <v>207</v>
      </c>
      <c r="I57" s="3029"/>
      <c r="J57" s="3029"/>
      <c r="K57" s="3030"/>
      <c r="L57" s="3028" t="s">
        <v>206</v>
      </c>
      <c r="M57" s="3029"/>
      <c r="N57" s="3029"/>
      <c r="O57" s="3030"/>
      <c r="P57" s="3028" t="s">
        <v>208</v>
      </c>
      <c r="Q57" s="3029"/>
      <c r="R57" s="3029"/>
      <c r="S57" s="3029"/>
      <c r="T57" s="3030"/>
      <c r="U57" s="1743"/>
      <c r="V57" s="167"/>
    </row>
    <row r="58" spans="1:22" ht="15" hidden="1" customHeight="1" x14ac:dyDescent="0.2">
      <c r="A58" s="165"/>
      <c r="C58" s="210" t="e">
        <f>'F-LSCD-008'!#REF!</f>
        <v>#REF!</v>
      </c>
      <c r="D58" s="3007" t="e">
        <f>'F-LSCD-008'!#REF!</f>
        <v>#REF!</v>
      </c>
      <c r="E58" s="3008"/>
      <c r="F58" s="3009"/>
      <c r="G58" s="190" t="e">
        <f>'F-LSCD-008'!#REF!</f>
        <v>#REF!</v>
      </c>
      <c r="H58" s="3031" t="e">
        <f>'F-LSCD-008'!#REF!</f>
        <v>#REF!</v>
      </c>
      <c r="I58" s="3032"/>
      <c r="J58" s="191" t="s">
        <v>78</v>
      </c>
      <c r="K58" s="1476" t="e">
        <f>4.73/100*H58</f>
        <v>#REF!</v>
      </c>
      <c r="L58" s="3031"/>
      <c r="M58" s="3032"/>
      <c r="N58" s="1484" t="s">
        <v>93</v>
      </c>
      <c r="O58" s="1485"/>
      <c r="P58" s="3031"/>
      <c r="Q58" s="3032"/>
      <c r="R58" s="3032"/>
      <c r="S58" s="1484" t="s">
        <v>93</v>
      </c>
      <c r="T58" s="1485"/>
      <c r="U58" s="1743"/>
      <c r="V58" s="167"/>
    </row>
    <row r="59" spans="1:22" hidden="1" x14ac:dyDescent="0.2">
      <c r="A59" s="165"/>
      <c r="C59" s="211" t="e">
        <f>'F-LSCD-008'!#REF!</f>
        <v>#REF!</v>
      </c>
      <c r="D59" s="2995" t="e">
        <f>'F-LSCD-008'!#REF!</f>
        <v>#REF!</v>
      </c>
      <c r="E59" s="2995"/>
      <c r="F59" s="2996"/>
      <c r="G59" s="192" t="e">
        <f>'F-LSCD-008'!#REF!</f>
        <v>#REF!</v>
      </c>
      <c r="H59" s="3035" t="e">
        <f>'F-LSCD-008'!#REF!</f>
        <v>#REF!</v>
      </c>
      <c r="I59" s="3036"/>
      <c r="J59" s="193" t="s">
        <v>78</v>
      </c>
      <c r="K59" s="1474" t="e">
        <f>4.73/100*H59</f>
        <v>#REF!</v>
      </c>
      <c r="L59" s="3035"/>
      <c r="M59" s="3036"/>
      <c r="N59" s="1486" t="s">
        <v>93</v>
      </c>
      <c r="O59" s="1487"/>
      <c r="P59" s="3035"/>
      <c r="Q59" s="3036"/>
      <c r="R59" s="3036"/>
      <c r="S59" s="1486" t="s">
        <v>93</v>
      </c>
      <c r="T59" s="1487"/>
      <c r="U59" s="1743"/>
      <c r="V59" s="167"/>
    </row>
    <row r="60" spans="1:22" hidden="1" x14ac:dyDescent="0.2">
      <c r="A60" s="165"/>
      <c r="C60" s="211" t="e">
        <f>'F-LSCD-008'!#REF!</f>
        <v>#REF!</v>
      </c>
      <c r="D60" s="2995" t="e">
        <f>'F-LSCD-008'!#REF!</f>
        <v>#REF!</v>
      </c>
      <c r="E60" s="2995"/>
      <c r="F60" s="2996"/>
      <c r="G60" s="192" t="e">
        <f>'F-LSCD-008'!#REF!</f>
        <v>#REF!</v>
      </c>
      <c r="H60" s="3035" t="e">
        <f>'F-LSCD-008'!#REF!</f>
        <v>#REF!</v>
      </c>
      <c r="I60" s="3036"/>
      <c r="J60" s="193" t="s">
        <v>78</v>
      </c>
      <c r="K60" s="1474" t="e">
        <f>4.73/100*H60</f>
        <v>#REF!</v>
      </c>
      <c r="L60" s="3035"/>
      <c r="M60" s="3036"/>
      <c r="N60" s="1486" t="s">
        <v>93</v>
      </c>
      <c r="O60" s="1487"/>
      <c r="P60" s="3035"/>
      <c r="Q60" s="3036"/>
      <c r="R60" s="3036"/>
      <c r="S60" s="1486" t="s">
        <v>93</v>
      </c>
      <c r="T60" s="1487"/>
      <c r="U60" s="1743"/>
      <c r="V60" s="167"/>
    </row>
    <row r="61" spans="1:22" ht="13.5" hidden="1" thickBot="1" x14ac:dyDescent="0.25">
      <c r="A61" s="165"/>
      <c r="C61" s="212" t="e">
        <f>'F-LSCD-008'!#REF!</f>
        <v>#REF!</v>
      </c>
      <c r="D61" s="3016" t="e">
        <f>'F-LSCD-008'!#REF!</f>
        <v>#REF!</v>
      </c>
      <c r="E61" s="3016"/>
      <c r="F61" s="3017"/>
      <c r="G61" s="194" t="e">
        <f>'F-LSCD-008'!#REF!</f>
        <v>#REF!</v>
      </c>
      <c r="H61" s="3033" t="e">
        <f>'F-LSCD-008'!#REF!</f>
        <v>#REF!</v>
      </c>
      <c r="I61" s="3034"/>
      <c r="J61" s="216" t="s">
        <v>78</v>
      </c>
      <c r="K61" s="1475" t="e">
        <f>4.73/100*H61</f>
        <v>#REF!</v>
      </c>
      <c r="L61" s="3033"/>
      <c r="M61" s="3034"/>
      <c r="N61" s="1493" t="s">
        <v>93</v>
      </c>
      <c r="O61" s="1494"/>
      <c r="P61" s="3033"/>
      <c r="Q61" s="3034"/>
      <c r="R61" s="3034"/>
      <c r="S61" s="1493" t="s">
        <v>93</v>
      </c>
      <c r="T61" s="1494"/>
      <c r="U61" s="1743"/>
      <c r="V61" s="167"/>
    </row>
    <row r="62" spans="1:22" x14ac:dyDescent="0.2">
      <c r="A62" s="165"/>
      <c r="C62" s="214"/>
      <c r="D62" s="1264"/>
      <c r="E62" s="1264"/>
      <c r="F62" s="1264"/>
      <c r="G62" s="1739"/>
      <c r="H62" s="1495"/>
      <c r="I62" s="1495"/>
      <c r="J62" s="215"/>
      <c r="K62" s="1473"/>
      <c r="L62" s="1495"/>
      <c r="M62" s="1495"/>
      <c r="N62" s="1495"/>
      <c r="O62" s="1495"/>
      <c r="P62" s="1495"/>
      <c r="Q62" s="1495"/>
      <c r="R62" s="1495"/>
      <c r="S62" s="1495"/>
      <c r="T62" s="1495"/>
      <c r="U62" s="1743"/>
      <c r="V62" s="167"/>
    </row>
    <row r="63" spans="1:22" x14ac:dyDescent="0.2">
      <c r="A63" s="165"/>
      <c r="C63" s="163">
        <f>'F-LSCD-008'!N14</f>
        <v>43802</v>
      </c>
      <c r="D63" s="1264"/>
      <c r="E63" s="1264"/>
      <c r="F63" s="1264"/>
      <c r="G63" s="1739"/>
      <c r="H63" s="1495"/>
      <c r="I63" s="1495"/>
      <c r="J63" s="215"/>
      <c r="K63" s="1473"/>
      <c r="L63" s="1495"/>
      <c r="M63" s="1495"/>
      <c r="N63" s="1495"/>
      <c r="O63" s="1495"/>
      <c r="P63" s="1495"/>
      <c r="Q63" s="1495"/>
      <c r="R63" s="1495"/>
      <c r="S63" s="1495"/>
      <c r="T63" s="1495"/>
      <c r="U63" s="1743"/>
      <c r="V63" s="167"/>
    </row>
    <row r="64" spans="1:22" x14ac:dyDescent="0.2">
      <c r="A64" s="165"/>
      <c r="G64" s="213"/>
      <c r="U64" s="1743"/>
      <c r="V64" s="167"/>
    </row>
    <row r="65" spans="1:22" x14ac:dyDescent="0.2">
      <c r="A65" s="165"/>
      <c r="U65" s="1743"/>
      <c r="V65" s="167"/>
    </row>
    <row r="66" spans="1:22" ht="12.75" customHeight="1" x14ac:dyDescent="0.2">
      <c r="A66" s="165"/>
      <c r="B66" s="168"/>
      <c r="U66" s="1743"/>
      <c r="V66" s="167"/>
    </row>
    <row r="67" spans="1:22" ht="12.75" customHeight="1" x14ac:dyDescent="0.2">
      <c r="A67" s="165"/>
      <c r="B67" s="166"/>
      <c r="U67" s="1743"/>
      <c r="V67" s="167"/>
    </row>
    <row r="68" spans="1:22" ht="12.75" customHeight="1" x14ac:dyDescent="0.2">
      <c r="A68" s="165"/>
      <c r="U68" s="1743"/>
      <c r="V68" s="167"/>
    </row>
    <row r="69" spans="1:22" ht="12.75" customHeight="1" x14ac:dyDescent="0.2">
      <c r="A69" s="165"/>
      <c r="U69" s="1743"/>
      <c r="V69" s="167"/>
    </row>
    <row r="70" spans="1:22" ht="12.75" customHeight="1" x14ac:dyDescent="0.2">
      <c r="A70" s="165"/>
      <c r="U70" s="1743"/>
      <c r="V70" s="167"/>
    </row>
    <row r="71" spans="1:22" ht="12.75" customHeight="1" x14ac:dyDescent="0.2">
      <c r="A71" s="165"/>
      <c r="B71" s="166"/>
      <c r="U71" s="1743"/>
      <c r="V71" s="167"/>
    </row>
    <row r="72" spans="1:22" ht="12.75" customHeight="1" x14ac:dyDescent="0.2">
      <c r="A72" s="165"/>
      <c r="B72" s="166"/>
      <c r="C72" s="166"/>
      <c r="D72" s="166"/>
      <c r="E72" s="166"/>
      <c r="F72" s="166"/>
      <c r="G72" s="200"/>
      <c r="H72" s="200"/>
      <c r="I72" s="200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743"/>
      <c r="V72" s="167"/>
    </row>
    <row r="73" spans="1:22" ht="12.75" customHeight="1" x14ac:dyDescent="0.2">
      <c r="A73" s="165"/>
      <c r="B73" s="166"/>
      <c r="C73" s="175"/>
      <c r="D73" s="175"/>
      <c r="E73" s="175"/>
      <c r="F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43"/>
      <c r="V73" s="167"/>
    </row>
    <row r="74" spans="1:22" ht="12.75" customHeight="1" x14ac:dyDescent="0.2">
      <c r="A74" s="165"/>
      <c r="C74" s="175"/>
      <c r="D74" s="175"/>
      <c r="E74" s="175"/>
      <c r="F74" s="175"/>
      <c r="G74" s="1407"/>
      <c r="H74" s="1407"/>
      <c r="I74" s="1407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43"/>
      <c r="V74" s="167"/>
    </row>
    <row r="75" spans="1:22" ht="13.5" customHeight="1" thickBot="1" x14ac:dyDescent="0.25">
      <c r="A75" s="195"/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7"/>
    </row>
    <row r="76" spans="1:22" ht="13.5" thickTop="1" x14ac:dyDescent="0.2">
      <c r="A76" s="3022" t="s">
        <v>236</v>
      </c>
      <c r="B76" s="3023"/>
      <c r="C76" s="3023"/>
      <c r="D76" s="3023"/>
      <c r="E76" s="3023"/>
      <c r="F76" s="3023"/>
      <c r="G76" s="3023"/>
      <c r="H76" s="3023"/>
      <c r="I76" s="3023"/>
      <c r="J76" s="3023"/>
      <c r="K76" s="3023"/>
      <c r="L76" s="3023"/>
      <c r="M76" s="3023"/>
      <c r="N76" s="3023"/>
      <c r="O76" s="3023"/>
      <c r="P76" s="3023"/>
      <c r="Q76" s="3023"/>
      <c r="R76" s="3023"/>
      <c r="S76" s="3023"/>
      <c r="T76" s="3023"/>
      <c r="U76" s="3023"/>
      <c r="V76" s="3024"/>
    </row>
    <row r="77" spans="1:22" ht="13.5" thickBot="1" x14ac:dyDescent="0.25">
      <c r="A77" s="3025" t="s">
        <v>279</v>
      </c>
      <c r="B77" s="3026"/>
      <c r="C77" s="3026"/>
      <c r="D77" s="3026"/>
      <c r="E77" s="3026"/>
      <c r="F77" s="3026"/>
      <c r="G77" s="3026"/>
      <c r="H77" s="3026"/>
      <c r="I77" s="3026"/>
      <c r="J77" s="3026"/>
      <c r="K77" s="3026"/>
      <c r="L77" s="3026"/>
      <c r="M77" s="3026"/>
      <c r="N77" s="3026"/>
      <c r="O77" s="3026"/>
      <c r="P77" s="3026"/>
      <c r="Q77" s="3026"/>
      <c r="R77" s="3026"/>
      <c r="S77" s="3026"/>
      <c r="T77" s="3026"/>
      <c r="U77" s="3026"/>
      <c r="V77" s="3027"/>
    </row>
    <row r="78" spans="1:22" x14ac:dyDescent="0.2">
      <c r="B78" s="1356" t="s">
        <v>917</v>
      </c>
      <c r="U78" s="1357" t="str">
        <f>A4&amp;" "&amp;A5</f>
        <v>INFORME DE ENSAYO N° 017-2019 ALEPH/GR/LSCD</v>
      </c>
    </row>
  </sheetData>
  <autoFilter ref="A36:V55" xr:uid="{00000000-0009-0000-0000-00001A000000}">
    <filterColumn colId="3" showButton="0"/>
    <filterColumn colId="4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</autoFilter>
  <mergeCells count="105">
    <mergeCell ref="D61:F61"/>
    <mergeCell ref="H61:I61"/>
    <mergeCell ref="L61:M61"/>
    <mergeCell ref="P61:R61"/>
    <mergeCell ref="A76:V76"/>
    <mergeCell ref="A77:V77"/>
    <mergeCell ref="D59:F59"/>
    <mergeCell ref="H59:I59"/>
    <mergeCell ref="L59:M59"/>
    <mergeCell ref="P59:R59"/>
    <mergeCell ref="D60:F60"/>
    <mergeCell ref="H60:I60"/>
    <mergeCell ref="L60:M60"/>
    <mergeCell ref="P60:R60"/>
    <mergeCell ref="A54:V55"/>
    <mergeCell ref="D57:F57"/>
    <mergeCell ref="H57:K57"/>
    <mergeCell ref="L57:O57"/>
    <mergeCell ref="P57:T57"/>
    <mergeCell ref="D58:F58"/>
    <mergeCell ref="H58:I58"/>
    <mergeCell ref="L58:M58"/>
    <mergeCell ref="P58:R58"/>
    <mergeCell ref="D50:F50"/>
    <mergeCell ref="H50:K50"/>
    <mergeCell ref="L50:O50"/>
    <mergeCell ref="P50:T50"/>
    <mergeCell ref="A51:V51"/>
    <mergeCell ref="A52:V52"/>
    <mergeCell ref="D48:F48"/>
    <mergeCell ref="H48:K48"/>
    <mergeCell ref="L48:O48"/>
    <mergeCell ref="P48:T48"/>
    <mergeCell ref="D49:F49"/>
    <mergeCell ref="H49:K49"/>
    <mergeCell ref="L49:O49"/>
    <mergeCell ref="P49:T49"/>
    <mergeCell ref="D46:F46"/>
    <mergeCell ref="H46:K46"/>
    <mergeCell ref="L46:O46"/>
    <mergeCell ref="P46:T46"/>
    <mergeCell ref="D47:F47"/>
    <mergeCell ref="H47:K47"/>
    <mergeCell ref="L47:O47"/>
    <mergeCell ref="P47:T47"/>
    <mergeCell ref="D44:F44"/>
    <mergeCell ref="H44:K44"/>
    <mergeCell ref="L44:O44"/>
    <mergeCell ref="P44:T44"/>
    <mergeCell ref="D45:F45"/>
    <mergeCell ref="H45:K45"/>
    <mergeCell ref="L45:O45"/>
    <mergeCell ref="P45:T45"/>
    <mergeCell ref="D42:F42"/>
    <mergeCell ref="H42:K42"/>
    <mergeCell ref="L42:O42"/>
    <mergeCell ref="P42:T42"/>
    <mergeCell ref="D43:F43"/>
    <mergeCell ref="H43:K43"/>
    <mergeCell ref="L43:O43"/>
    <mergeCell ref="P43:T43"/>
    <mergeCell ref="D40:F40"/>
    <mergeCell ref="H40:K40"/>
    <mergeCell ref="L40:O40"/>
    <mergeCell ref="P40:T40"/>
    <mergeCell ref="D41:F41"/>
    <mergeCell ref="H41:K41"/>
    <mergeCell ref="L41:O41"/>
    <mergeCell ref="P41:T41"/>
    <mergeCell ref="D38:F38"/>
    <mergeCell ref="H38:K38"/>
    <mergeCell ref="L38:O38"/>
    <mergeCell ref="P38:T38"/>
    <mergeCell ref="D39:F39"/>
    <mergeCell ref="H39:K39"/>
    <mergeCell ref="L39:O39"/>
    <mergeCell ref="P39:T39"/>
    <mergeCell ref="D36:F36"/>
    <mergeCell ref="H36:K36"/>
    <mergeCell ref="L36:O36"/>
    <mergeCell ref="P36:T36"/>
    <mergeCell ref="D37:F37"/>
    <mergeCell ref="H37:K37"/>
    <mergeCell ref="L37:O37"/>
    <mergeCell ref="P37:T37"/>
    <mergeCell ref="A2:V3"/>
    <mergeCell ref="A4:V4"/>
    <mergeCell ref="A5:V5"/>
    <mergeCell ref="A6:V6"/>
    <mergeCell ref="A7:V7"/>
    <mergeCell ref="A8:V8"/>
    <mergeCell ref="E29:O29"/>
    <mergeCell ref="Q29:U29"/>
    <mergeCell ref="E30:O30"/>
    <mergeCell ref="Q30:U33"/>
    <mergeCell ref="E31:F31"/>
    <mergeCell ref="E32:I32"/>
    <mergeCell ref="Q12:U18"/>
    <mergeCell ref="E16:O16"/>
    <mergeCell ref="E18:O18"/>
    <mergeCell ref="E20:O21"/>
    <mergeCell ref="Q21:U28"/>
    <mergeCell ref="E25:O25"/>
    <mergeCell ref="E27:O27"/>
    <mergeCell ref="E28:O28"/>
  </mergeCells>
  <conditionalFormatting sqref="E33 K33:P33">
    <cfRule type="cellIs" dxfId="169" priority="7" operator="equal">
      <formula>0</formula>
    </cfRule>
  </conditionalFormatting>
  <conditionalFormatting sqref="E26:P26 F12:P14 K31:P33 E27:E31 P27 E33">
    <cfRule type="cellIs" dxfId="168" priority="6" operator="equal">
      <formula>0</formula>
    </cfRule>
  </conditionalFormatting>
  <conditionalFormatting sqref="E26:P26 F12:P14 K31:P33 E27:E31 P27 E33">
    <cfRule type="containsErrors" dxfId="167" priority="5">
      <formula>ISERROR(E12)</formula>
    </cfRule>
  </conditionalFormatting>
  <conditionalFormatting sqref="E12:E14">
    <cfRule type="cellIs" dxfId="166" priority="4" operator="equal">
      <formula>0</formula>
    </cfRule>
  </conditionalFormatting>
  <conditionalFormatting sqref="E12:E14">
    <cfRule type="containsErrors" dxfId="165" priority="3">
      <formula>ISERROR(E12)</formula>
    </cfRule>
  </conditionalFormatting>
  <conditionalFormatting sqref="E32">
    <cfRule type="cellIs" dxfId="164" priority="2" operator="equal">
      <formula>0</formula>
    </cfRule>
  </conditionalFormatting>
  <conditionalFormatting sqref="E32">
    <cfRule type="containsErrors" dxfId="163" priority="1">
      <formula>ISERROR(E32)</formula>
    </cfRule>
  </conditionalFormatting>
  <pageMargins left="0.27559055118110237" right="3.937007874015748E-2" top="0.23622047244094491" bottom="0" header="0.31496062992125984" footer="0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U51"/>
  <sheetViews>
    <sheetView view="pageLayout" topLeftCell="A20" zoomScaleNormal="100" workbookViewId="0">
      <selection activeCell="E32" sqref="E32:O32"/>
    </sheetView>
  </sheetViews>
  <sheetFormatPr baseColWidth="10" defaultColWidth="11.42578125" defaultRowHeight="12.75" x14ac:dyDescent="0.2"/>
  <cols>
    <col min="1" max="1" width="2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3" style="1008" customWidth="1"/>
    <col min="7" max="7" width="6.140625" style="1008" customWidth="1"/>
    <col min="8" max="8" width="4.42578125" style="1008" customWidth="1"/>
    <col min="9" max="9" width="3.5703125" style="1008" customWidth="1"/>
    <col min="10" max="10" width="5.85546875" style="1008" customWidth="1"/>
    <col min="11" max="11" width="3.5703125" style="1008" customWidth="1"/>
    <col min="12" max="12" width="6.28515625" style="1008" customWidth="1"/>
    <col min="13" max="13" width="3.28515625" style="1008" customWidth="1"/>
    <col min="14" max="14" width="5.85546875" style="1008" customWidth="1"/>
    <col min="15" max="15" width="1.7109375" style="1008" customWidth="1"/>
    <col min="16" max="16" width="1" style="1008" customWidth="1"/>
    <col min="17" max="17" width="2" style="1008" customWidth="1"/>
    <col min="18" max="18" width="11.7109375" style="1008" customWidth="1"/>
    <col min="19" max="19" width="6.140625" style="1008" customWidth="1"/>
    <col min="20" max="20" width="1.140625" style="1008" customWidth="1"/>
    <col min="21" max="239" width="11.42578125" style="1008"/>
    <col min="240" max="240" width="2.28515625" style="1008" customWidth="1"/>
    <col min="241" max="241" width="2.7109375" style="1008" customWidth="1"/>
    <col min="242" max="242" width="2.42578125" style="1008" customWidth="1"/>
    <col min="243" max="243" width="17.7109375" style="1008" customWidth="1"/>
    <col min="244" max="244" width="1.5703125" style="1008" customWidth="1"/>
    <col min="245" max="245" width="6.42578125" style="1008" customWidth="1"/>
    <col min="246" max="246" width="13.140625" style="1008" customWidth="1"/>
    <col min="247" max="247" width="1" style="1008" customWidth="1"/>
    <col min="248" max="248" width="19.5703125" style="1008" customWidth="1"/>
    <col min="249" max="249" width="0.85546875" style="1008" customWidth="1"/>
    <col min="250" max="250" width="14.42578125" style="1008" customWidth="1"/>
    <col min="251" max="251" width="12.85546875" style="1008" customWidth="1"/>
    <col min="252" max="252" width="6.140625" style="1008" customWidth="1"/>
    <col min="253" max="254" width="11.42578125" style="1008"/>
    <col min="255" max="255" width="15.42578125" style="1008" customWidth="1"/>
    <col min="256" max="495" width="11.42578125" style="1008"/>
    <col min="496" max="496" width="2.28515625" style="1008" customWidth="1"/>
    <col min="497" max="497" width="2.7109375" style="1008" customWidth="1"/>
    <col min="498" max="498" width="2.42578125" style="1008" customWidth="1"/>
    <col min="499" max="499" width="17.7109375" style="1008" customWidth="1"/>
    <col min="500" max="500" width="1.5703125" style="1008" customWidth="1"/>
    <col min="501" max="501" width="6.42578125" style="1008" customWidth="1"/>
    <col min="502" max="502" width="13.140625" style="1008" customWidth="1"/>
    <col min="503" max="503" width="1" style="1008" customWidth="1"/>
    <col min="504" max="504" width="19.5703125" style="1008" customWidth="1"/>
    <col min="505" max="505" width="0.85546875" style="1008" customWidth="1"/>
    <col min="506" max="506" width="14.42578125" style="1008" customWidth="1"/>
    <col min="507" max="507" width="12.85546875" style="1008" customWidth="1"/>
    <col min="508" max="508" width="6.140625" style="1008" customWidth="1"/>
    <col min="509" max="510" width="11.42578125" style="1008"/>
    <col min="511" max="511" width="15.42578125" style="1008" customWidth="1"/>
    <col min="512" max="751" width="11.42578125" style="1008"/>
    <col min="752" max="752" width="2.28515625" style="1008" customWidth="1"/>
    <col min="753" max="753" width="2.7109375" style="1008" customWidth="1"/>
    <col min="754" max="754" width="2.42578125" style="1008" customWidth="1"/>
    <col min="755" max="755" width="17.7109375" style="1008" customWidth="1"/>
    <col min="756" max="756" width="1.5703125" style="1008" customWidth="1"/>
    <col min="757" max="757" width="6.42578125" style="1008" customWidth="1"/>
    <col min="758" max="758" width="13.140625" style="1008" customWidth="1"/>
    <col min="759" max="759" width="1" style="1008" customWidth="1"/>
    <col min="760" max="760" width="19.5703125" style="1008" customWidth="1"/>
    <col min="761" max="761" width="0.85546875" style="1008" customWidth="1"/>
    <col min="762" max="762" width="14.42578125" style="1008" customWidth="1"/>
    <col min="763" max="763" width="12.85546875" style="1008" customWidth="1"/>
    <col min="764" max="764" width="6.140625" style="1008" customWidth="1"/>
    <col min="765" max="766" width="11.42578125" style="1008"/>
    <col min="767" max="767" width="15.42578125" style="1008" customWidth="1"/>
    <col min="768" max="1007" width="11.42578125" style="1008"/>
    <col min="1008" max="1008" width="2.28515625" style="1008" customWidth="1"/>
    <col min="1009" max="1009" width="2.7109375" style="1008" customWidth="1"/>
    <col min="1010" max="1010" width="2.42578125" style="1008" customWidth="1"/>
    <col min="1011" max="1011" width="17.7109375" style="1008" customWidth="1"/>
    <col min="1012" max="1012" width="1.5703125" style="1008" customWidth="1"/>
    <col min="1013" max="1013" width="6.42578125" style="1008" customWidth="1"/>
    <col min="1014" max="1014" width="13.140625" style="1008" customWidth="1"/>
    <col min="1015" max="1015" width="1" style="1008" customWidth="1"/>
    <col min="1016" max="1016" width="19.5703125" style="1008" customWidth="1"/>
    <col min="1017" max="1017" width="0.85546875" style="1008" customWidth="1"/>
    <col min="1018" max="1018" width="14.42578125" style="1008" customWidth="1"/>
    <col min="1019" max="1019" width="12.85546875" style="1008" customWidth="1"/>
    <col min="1020" max="1020" width="6.140625" style="1008" customWidth="1"/>
    <col min="1021" max="1022" width="11.42578125" style="1008"/>
    <col min="1023" max="1023" width="15.42578125" style="1008" customWidth="1"/>
    <col min="1024" max="1263" width="11.42578125" style="1008"/>
    <col min="1264" max="1264" width="2.28515625" style="1008" customWidth="1"/>
    <col min="1265" max="1265" width="2.7109375" style="1008" customWidth="1"/>
    <col min="1266" max="1266" width="2.42578125" style="1008" customWidth="1"/>
    <col min="1267" max="1267" width="17.7109375" style="1008" customWidth="1"/>
    <col min="1268" max="1268" width="1.5703125" style="1008" customWidth="1"/>
    <col min="1269" max="1269" width="6.42578125" style="1008" customWidth="1"/>
    <col min="1270" max="1270" width="13.140625" style="1008" customWidth="1"/>
    <col min="1271" max="1271" width="1" style="1008" customWidth="1"/>
    <col min="1272" max="1272" width="19.5703125" style="1008" customWidth="1"/>
    <col min="1273" max="1273" width="0.85546875" style="1008" customWidth="1"/>
    <col min="1274" max="1274" width="14.42578125" style="1008" customWidth="1"/>
    <col min="1275" max="1275" width="12.85546875" style="1008" customWidth="1"/>
    <col min="1276" max="1276" width="6.140625" style="1008" customWidth="1"/>
    <col min="1277" max="1278" width="11.42578125" style="1008"/>
    <col min="1279" max="1279" width="15.42578125" style="1008" customWidth="1"/>
    <col min="1280" max="1519" width="11.42578125" style="1008"/>
    <col min="1520" max="1520" width="2.28515625" style="1008" customWidth="1"/>
    <col min="1521" max="1521" width="2.7109375" style="1008" customWidth="1"/>
    <col min="1522" max="1522" width="2.42578125" style="1008" customWidth="1"/>
    <col min="1523" max="1523" width="17.7109375" style="1008" customWidth="1"/>
    <col min="1524" max="1524" width="1.5703125" style="1008" customWidth="1"/>
    <col min="1525" max="1525" width="6.42578125" style="1008" customWidth="1"/>
    <col min="1526" max="1526" width="13.140625" style="1008" customWidth="1"/>
    <col min="1527" max="1527" width="1" style="1008" customWidth="1"/>
    <col min="1528" max="1528" width="19.5703125" style="1008" customWidth="1"/>
    <col min="1529" max="1529" width="0.85546875" style="1008" customWidth="1"/>
    <col min="1530" max="1530" width="14.42578125" style="1008" customWidth="1"/>
    <col min="1531" max="1531" width="12.85546875" style="1008" customWidth="1"/>
    <col min="1532" max="1532" width="6.140625" style="1008" customWidth="1"/>
    <col min="1533" max="1534" width="11.42578125" style="1008"/>
    <col min="1535" max="1535" width="15.42578125" style="1008" customWidth="1"/>
    <col min="1536" max="1775" width="11.42578125" style="1008"/>
    <col min="1776" max="1776" width="2.28515625" style="1008" customWidth="1"/>
    <col min="1777" max="1777" width="2.7109375" style="1008" customWidth="1"/>
    <col min="1778" max="1778" width="2.42578125" style="1008" customWidth="1"/>
    <col min="1779" max="1779" width="17.7109375" style="1008" customWidth="1"/>
    <col min="1780" max="1780" width="1.5703125" style="1008" customWidth="1"/>
    <col min="1781" max="1781" width="6.42578125" style="1008" customWidth="1"/>
    <col min="1782" max="1782" width="13.140625" style="1008" customWidth="1"/>
    <col min="1783" max="1783" width="1" style="1008" customWidth="1"/>
    <col min="1784" max="1784" width="19.5703125" style="1008" customWidth="1"/>
    <col min="1785" max="1785" width="0.85546875" style="1008" customWidth="1"/>
    <col min="1786" max="1786" width="14.42578125" style="1008" customWidth="1"/>
    <col min="1787" max="1787" width="12.85546875" style="1008" customWidth="1"/>
    <col min="1788" max="1788" width="6.140625" style="1008" customWidth="1"/>
    <col min="1789" max="1790" width="11.42578125" style="1008"/>
    <col min="1791" max="1791" width="15.42578125" style="1008" customWidth="1"/>
    <col min="1792" max="2031" width="11.42578125" style="1008"/>
    <col min="2032" max="2032" width="2.28515625" style="1008" customWidth="1"/>
    <col min="2033" max="2033" width="2.7109375" style="1008" customWidth="1"/>
    <col min="2034" max="2034" width="2.42578125" style="1008" customWidth="1"/>
    <col min="2035" max="2035" width="17.7109375" style="1008" customWidth="1"/>
    <col min="2036" max="2036" width="1.5703125" style="1008" customWidth="1"/>
    <col min="2037" max="2037" width="6.42578125" style="1008" customWidth="1"/>
    <col min="2038" max="2038" width="13.140625" style="1008" customWidth="1"/>
    <col min="2039" max="2039" width="1" style="1008" customWidth="1"/>
    <col min="2040" max="2040" width="19.5703125" style="1008" customWidth="1"/>
    <col min="2041" max="2041" width="0.85546875" style="1008" customWidth="1"/>
    <col min="2042" max="2042" width="14.42578125" style="1008" customWidth="1"/>
    <col min="2043" max="2043" width="12.85546875" style="1008" customWidth="1"/>
    <col min="2044" max="2044" width="6.140625" style="1008" customWidth="1"/>
    <col min="2045" max="2046" width="11.42578125" style="1008"/>
    <col min="2047" max="2047" width="15.42578125" style="1008" customWidth="1"/>
    <col min="2048" max="2287" width="11.42578125" style="1008"/>
    <col min="2288" max="2288" width="2.28515625" style="1008" customWidth="1"/>
    <col min="2289" max="2289" width="2.7109375" style="1008" customWidth="1"/>
    <col min="2290" max="2290" width="2.42578125" style="1008" customWidth="1"/>
    <col min="2291" max="2291" width="17.7109375" style="1008" customWidth="1"/>
    <col min="2292" max="2292" width="1.5703125" style="1008" customWidth="1"/>
    <col min="2293" max="2293" width="6.42578125" style="1008" customWidth="1"/>
    <col min="2294" max="2294" width="13.140625" style="1008" customWidth="1"/>
    <col min="2295" max="2295" width="1" style="1008" customWidth="1"/>
    <col min="2296" max="2296" width="19.5703125" style="1008" customWidth="1"/>
    <col min="2297" max="2297" width="0.85546875" style="1008" customWidth="1"/>
    <col min="2298" max="2298" width="14.42578125" style="1008" customWidth="1"/>
    <col min="2299" max="2299" width="12.85546875" style="1008" customWidth="1"/>
    <col min="2300" max="2300" width="6.140625" style="1008" customWidth="1"/>
    <col min="2301" max="2302" width="11.42578125" style="1008"/>
    <col min="2303" max="2303" width="15.42578125" style="1008" customWidth="1"/>
    <col min="2304" max="2543" width="11.42578125" style="1008"/>
    <col min="2544" max="2544" width="2.28515625" style="1008" customWidth="1"/>
    <col min="2545" max="2545" width="2.7109375" style="1008" customWidth="1"/>
    <col min="2546" max="2546" width="2.42578125" style="1008" customWidth="1"/>
    <col min="2547" max="2547" width="17.7109375" style="1008" customWidth="1"/>
    <col min="2548" max="2548" width="1.5703125" style="1008" customWidth="1"/>
    <col min="2549" max="2549" width="6.42578125" style="1008" customWidth="1"/>
    <col min="2550" max="2550" width="13.140625" style="1008" customWidth="1"/>
    <col min="2551" max="2551" width="1" style="1008" customWidth="1"/>
    <col min="2552" max="2552" width="19.5703125" style="1008" customWidth="1"/>
    <col min="2553" max="2553" width="0.85546875" style="1008" customWidth="1"/>
    <col min="2554" max="2554" width="14.42578125" style="1008" customWidth="1"/>
    <col min="2555" max="2555" width="12.85546875" style="1008" customWidth="1"/>
    <col min="2556" max="2556" width="6.140625" style="1008" customWidth="1"/>
    <col min="2557" max="2558" width="11.42578125" style="1008"/>
    <col min="2559" max="2559" width="15.42578125" style="1008" customWidth="1"/>
    <col min="2560" max="2799" width="11.42578125" style="1008"/>
    <col min="2800" max="2800" width="2.28515625" style="1008" customWidth="1"/>
    <col min="2801" max="2801" width="2.7109375" style="1008" customWidth="1"/>
    <col min="2802" max="2802" width="2.42578125" style="1008" customWidth="1"/>
    <col min="2803" max="2803" width="17.7109375" style="1008" customWidth="1"/>
    <col min="2804" max="2804" width="1.5703125" style="1008" customWidth="1"/>
    <col min="2805" max="2805" width="6.42578125" style="1008" customWidth="1"/>
    <col min="2806" max="2806" width="13.140625" style="1008" customWidth="1"/>
    <col min="2807" max="2807" width="1" style="1008" customWidth="1"/>
    <col min="2808" max="2808" width="19.5703125" style="1008" customWidth="1"/>
    <col min="2809" max="2809" width="0.85546875" style="1008" customWidth="1"/>
    <col min="2810" max="2810" width="14.42578125" style="1008" customWidth="1"/>
    <col min="2811" max="2811" width="12.85546875" style="1008" customWidth="1"/>
    <col min="2812" max="2812" width="6.140625" style="1008" customWidth="1"/>
    <col min="2813" max="2814" width="11.42578125" style="1008"/>
    <col min="2815" max="2815" width="15.42578125" style="1008" customWidth="1"/>
    <col min="2816" max="3055" width="11.42578125" style="1008"/>
    <col min="3056" max="3056" width="2.28515625" style="1008" customWidth="1"/>
    <col min="3057" max="3057" width="2.7109375" style="1008" customWidth="1"/>
    <col min="3058" max="3058" width="2.42578125" style="1008" customWidth="1"/>
    <col min="3059" max="3059" width="17.7109375" style="1008" customWidth="1"/>
    <col min="3060" max="3060" width="1.5703125" style="1008" customWidth="1"/>
    <col min="3061" max="3061" width="6.42578125" style="1008" customWidth="1"/>
    <col min="3062" max="3062" width="13.140625" style="1008" customWidth="1"/>
    <col min="3063" max="3063" width="1" style="1008" customWidth="1"/>
    <col min="3064" max="3064" width="19.5703125" style="1008" customWidth="1"/>
    <col min="3065" max="3065" width="0.85546875" style="1008" customWidth="1"/>
    <col min="3066" max="3066" width="14.42578125" style="1008" customWidth="1"/>
    <col min="3067" max="3067" width="12.85546875" style="1008" customWidth="1"/>
    <col min="3068" max="3068" width="6.140625" style="1008" customWidth="1"/>
    <col min="3069" max="3070" width="11.42578125" style="1008"/>
    <col min="3071" max="3071" width="15.42578125" style="1008" customWidth="1"/>
    <col min="3072" max="3311" width="11.42578125" style="1008"/>
    <col min="3312" max="3312" width="2.28515625" style="1008" customWidth="1"/>
    <col min="3313" max="3313" width="2.7109375" style="1008" customWidth="1"/>
    <col min="3314" max="3314" width="2.42578125" style="1008" customWidth="1"/>
    <col min="3315" max="3315" width="17.7109375" style="1008" customWidth="1"/>
    <col min="3316" max="3316" width="1.5703125" style="1008" customWidth="1"/>
    <col min="3317" max="3317" width="6.42578125" style="1008" customWidth="1"/>
    <col min="3318" max="3318" width="13.140625" style="1008" customWidth="1"/>
    <col min="3319" max="3319" width="1" style="1008" customWidth="1"/>
    <col min="3320" max="3320" width="19.5703125" style="1008" customWidth="1"/>
    <col min="3321" max="3321" width="0.85546875" style="1008" customWidth="1"/>
    <col min="3322" max="3322" width="14.42578125" style="1008" customWidth="1"/>
    <col min="3323" max="3323" width="12.85546875" style="1008" customWidth="1"/>
    <col min="3324" max="3324" width="6.140625" style="1008" customWidth="1"/>
    <col min="3325" max="3326" width="11.42578125" style="1008"/>
    <col min="3327" max="3327" width="15.42578125" style="1008" customWidth="1"/>
    <col min="3328" max="3567" width="11.42578125" style="1008"/>
    <col min="3568" max="3568" width="2.28515625" style="1008" customWidth="1"/>
    <col min="3569" max="3569" width="2.7109375" style="1008" customWidth="1"/>
    <col min="3570" max="3570" width="2.42578125" style="1008" customWidth="1"/>
    <col min="3571" max="3571" width="17.7109375" style="1008" customWidth="1"/>
    <col min="3572" max="3572" width="1.5703125" style="1008" customWidth="1"/>
    <col min="3573" max="3573" width="6.42578125" style="1008" customWidth="1"/>
    <col min="3574" max="3574" width="13.140625" style="1008" customWidth="1"/>
    <col min="3575" max="3575" width="1" style="1008" customWidth="1"/>
    <col min="3576" max="3576" width="19.5703125" style="1008" customWidth="1"/>
    <col min="3577" max="3577" width="0.85546875" style="1008" customWidth="1"/>
    <col min="3578" max="3578" width="14.42578125" style="1008" customWidth="1"/>
    <col min="3579" max="3579" width="12.85546875" style="1008" customWidth="1"/>
    <col min="3580" max="3580" width="6.140625" style="1008" customWidth="1"/>
    <col min="3581" max="3582" width="11.42578125" style="1008"/>
    <col min="3583" max="3583" width="15.42578125" style="1008" customWidth="1"/>
    <col min="3584" max="3823" width="11.42578125" style="1008"/>
    <col min="3824" max="3824" width="2.28515625" style="1008" customWidth="1"/>
    <col min="3825" max="3825" width="2.7109375" style="1008" customWidth="1"/>
    <col min="3826" max="3826" width="2.42578125" style="1008" customWidth="1"/>
    <col min="3827" max="3827" width="17.7109375" style="1008" customWidth="1"/>
    <col min="3828" max="3828" width="1.5703125" style="1008" customWidth="1"/>
    <col min="3829" max="3829" width="6.42578125" style="1008" customWidth="1"/>
    <col min="3830" max="3830" width="13.140625" style="1008" customWidth="1"/>
    <col min="3831" max="3831" width="1" style="1008" customWidth="1"/>
    <col min="3832" max="3832" width="19.5703125" style="1008" customWidth="1"/>
    <col min="3833" max="3833" width="0.85546875" style="1008" customWidth="1"/>
    <col min="3834" max="3834" width="14.42578125" style="1008" customWidth="1"/>
    <col min="3835" max="3835" width="12.85546875" style="1008" customWidth="1"/>
    <col min="3836" max="3836" width="6.140625" style="1008" customWidth="1"/>
    <col min="3837" max="3838" width="11.42578125" style="1008"/>
    <col min="3839" max="3839" width="15.42578125" style="1008" customWidth="1"/>
    <col min="3840" max="4079" width="11.42578125" style="1008"/>
    <col min="4080" max="4080" width="2.28515625" style="1008" customWidth="1"/>
    <col min="4081" max="4081" width="2.7109375" style="1008" customWidth="1"/>
    <col min="4082" max="4082" width="2.42578125" style="1008" customWidth="1"/>
    <col min="4083" max="4083" width="17.7109375" style="1008" customWidth="1"/>
    <col min="4084" max="4084" width="1.5703125" style="1008" customWidth="1"/>
    <col min="4085" max="4085" width="6.42578125" style="1008" customWidth="1"/>
    <col min="4086" max="4086" width="13.140625" style="1008" customWidth="1"/>
    <col min="4087" max="4087" width="1" style="1008" customWidth="1"/>
    <col min="4088" max="4088" width="19.5703125" style="1008" customWidth="1"/>
    <col min="4089" max="4089" width="0.85546875" style="1008" customWidth="1"/>
    <col min="4090" max="4090" width="14.42578125" style="1008" customWidth="1"/>
    <col min="4091" max="4091" width="12.85546875" style="1008" customWidth="1"/>
    <col min="4092" max="4092" width="6.140625" style="1008" customWidth="1"/>
    <col min="4093" max="4094" width="11.42578125" style="1008"/>
    <col min="4095" max="4095" width="15.42578125" style="1008" customWidth="1"/>
    <col min="4096" max="4335" width="11.42578125" style="1008"/>
    <col min="4336" max="4336" width="2.28515625" style="1008" customWidth="1"/>
    <col min="4337" max="4337" width="2.7109375" style="1008" customWidth="1"/>
    <col min="4338" max="4338" width="2.42578125" style="1008" customWidth="1"/>
    <col min="4339" max="4339" width="17.7109375" style="1008" customWidth="1"/>
    <col min="4340" max="4340" width="1.5703125" style="1008" customWidth="1"/>
    <col min="4341" max="4341" width="6.42578125" style="1008" customWidth="1"/>
    <col min="4342" max="4342" width="13.140625" style="1008" customWidth="1"/>
    <col min="4343" max="4343" width="1" style="1008" customWidth="1"/>
    <col min="4344" max="4344" width="19.5703125" style="1008" customWidth="1"/>
    <col min="4345" max="4345" width="0.85546875" style="1008" customWidth="1"/>
    <col min="4346" max="4346" width="14.42578125" style="1008" customWidth="1"/>
    <col min="4347" max="4347" width="12.85546875" style="1008" customWidth="1"/>
    <col min="4348" max="4348" width="6.140625" style="1008" customWidth="1"/>
    <col min="4349" max="4350" width="11.42578125" style="1008"/>
    <col min="4351" max="4351" width="15.42578125" style="1008" customWidth="1"/>
    <col min="4352" max="4591" width="11.42578125" style="1008"/>
    <col min="4592" max="4592" width="2.28515625" style="1008" customWidth="1"/>
    <col min="4593" max="4593" width="2.7109375" style="1008" customWidth="1"/>
    <col min="4594" max="4594" width="2.42578125" style="1008" customWidth="1"/>
    <col min="4595" max="4595" width="17.7109375" style="1008" customWidth="1"/>
    <col min="4596" max="4596" width="1.5703125" style="1008" customWidth="1"/>
    <col min="4597" max="4597" width="6.42578125" style="1008" customWidth="1"/>
    <col min="4598" max="4598" width="13.140625" style="1008" customWidth="1"/>
    <col min="4599" max="4599" width="1" style="1008" customWidth="1"/>
    <col min="4600" max="4600" width="19.5703125" style="1008" customWidth="1"/>
    <col min="4601" max="4601" width="0.85546875" style="1008" customWidth="1"/>
    <col min="4602" max="4602" width="14.42578125" style="1008" customWidth="1"/>
    <col min="4603" max="4603" width="12.85546875" style="1008" customWidth="1"/>
    <col min="4604" max="4604" width="6.140625" style="1008" customWidth="1"/>
    <col min="4605" max="4606" width="11.42578125" style="1008"/>
    <col min="4607" max="4607" width="15.42578125" style="1008" customWidth="1"/>
    <col min="4608" max="4847" width="11.42578125" style="1008"/>
    <col min="4848" max="4848" width="2.28515625" style="1008" customWidth="1"/>
    <col min="4849" max="4849" width="2.7109375" style="1008" customWidth="1"/>
    <col min="4850" max="4850" width="2.42578125" style="1008" customWidth="1"/>
    <col min="4851" max="4851" width="17.7109375" style="1008" customWidth="1"/>
    <col min="4852" max="4852" width="1.5703125" style="1008" customWidth="1"/>
    <col min="4853" max="4853" width="6.42578125" style="1008" customWidth="1"/>
    <col min="4854" max="4854" width="13.140625" style="1008" customWidth="1"/>
    <col min="4855" max="4855" width="1" style="1008" customWidth="1"/>
    <col min="4856" max="4856" width="19.5703125" style="1008" customWidth="1"/>
    <col min="4857" max="4857" width="0.85546875" style="1008" customWidth="1"/>
    <col min="4858" max="4858" width="14.42578125" style="1008" customWidth="1"/>
    <col min="4859" max="4859" width="12.85546875" style="1008" customWidth="1"/>
    <col min="4860" max="4860" width="6.140625" style="1008" customWidth="1"/>
    <col min="4861" max="4862" width="11.42578125" style="1008"/>
    <col min="4863" max="4863" width="15.42578125" style="1008" customWidth="1"/>
    <col min="4864" max="5103" width="11.42578125" style="1008"/>
    <col min="5104" max="5104" width="2.28515625" style="1008" customWidth="1"/>
    <col min="5105" max="5105" width="2.7109375" style="1008" customWidth="1"/>
    <col min="5106" max="5106" width="2.42578125" style="1008" customWidth="1"/>
    <col min="5107" max="5107" width="17.7109375" style="1008" customWidth="1"/>
    <col min="5108" max="5108" width="1.5703125" style="1008" customWidth="1"/>
    <col min="5109" max="5109" width="6.42578125" style="1008" customWidth="1"/>
    <col min="5110" max="5110" width="13.140625" style="1008" customWidth="1"/>
    <col min="5111" max="5111" width="1" style="1008" customWidth="1"/>
    <col min="5112" max="5112" width="19.5703125" style="1008" customWidth="1"/>
    <col min="5113" max="5113" width="0.85546875" style="1008" customWidth="1"/>
    <col min="5114" max="5114" width="14.42578125" style="1008" customWidth="1"/>
    <col min="5115" max="5115" width="12.85546875" style="1008" customWidth="1"/>
    <col min="5116" max="5116" width="6.140625" style="1008" customWidth="1"/>
    <col min="5117" max="5118" width="11.42578125" style="1008"/>
    <col min="5119" max="5119" width="15.42578125" style="1008" customWidth="1"/>
    <col min="5120" max="5359" width="11.42578125" style="1008"/>
    <col min="5360" max="5360" width="2.28515625" style="1008" customWidth="1"/>
    <col min="5361" max="5361" width="2.7109375" style="1008" customWidth="1"/>
    <col min="5362" max="5362" width="2.42578125" style="1008" customWidth="1"/>
    <col min="5363" max="5363" width="17.7109375" style="1008" customWidth="1"/>
    <col min="5364" max="5364" width="1.5703125" style="1008" customWidth="1"/>
    <col min="5365" max="5365" width="6.42578125" style="1008" customWidth="1"/>
    <col min="5366" max="5366" width="13.140625" style="1008" customWidth="1"/>
    <col min="5367" max="5367" width="1" style="1008" customWidth="1"/>
    <col min="5368" max="5368" width="19.5703125" style="1008" customWidth="1"/>
    <col min="5369" max="5369" width="0.85546875" style="1008" customWidth="1"/>
    <col min="5370" max="5370" width="14.42578125" style="1008" customWidth="1"/>
    <col min="5371" max="5371" width="12.85546875" style="1008" customWidth="1"/>
    <col min="5372" max="5372" width="6.140625" style="1008" customWidth="1"/>
    <col min="5373" max="5374" width="11.42578125" style="1008"/>
    <col min="5375" max="5375" width="15.42578125" style="1008" customWidth="1"/>
    <col min="5376" max="5615" width="11.42578125" style="1008"/>
    <col min="5616" max="5616" width="2.28515625" style="1008" customWidth="1"/>
    <col min="5617" max="5617" width="2.7109375" style="1008" customWidth="1"/>
    <col min="5618" max="5618" width="2.42578125" style="1008" customWidth="1"/>
    <col min="5619" max="5619" width="17.7109375" style="1008" customWidth="1"/>
    <col min="5620" max="5620" width="1.5703125" style="1008" customWidth="1"/>
    <col min="5621" max="5621" width="6.42578125" style="1008" customWidth="1"/>
    <col min="5622" max="5622" width="13.140625" style="1008" customWidth="1"/>
    <col min="5623" max="5623" width="1" style="1008" customWidth="1"/>
    <col min="5624" max="5624" width="19.5703125" style="1008" customWidth="1"/>
    <col min="5625" max="5625" width="0.85546875" style="1008" customWidth="1"/>
    <col min="5626" max="5626" width="14.42578125" style="1008" customWidth="1"/>
    <col min="5627" max="5627" width="12.85546875" style="1008" customWidth="1"/>
    <col min="5628" max="5628" width="6.140625" style="1008" customWidth="1"/>
    <col min="5629" max="5630" width="11.42578125" style="1008"/>
    <col min="5631" max="5631" width="15.42578125" style="1008" customWidth="1"/>
    <col min="5632" max="5871" width="11.42578125" style="1008"/>
    <col min="5872" max="5872" width="2.28515625" style="1008" customWidth="1"/>
    <col min="5873" max="5873" width="2.7109375" style="1008" customWidth="1"/>
    <col min="5874" max="5874" width="2.42578125" style="1008" customWidth="1"/>
    <col min="5875" max="5875" width="17.7109375" style="1008" customWidth="1"/>
    <col min="5876" max="5876" width="1.5703125" style="1008" customWidth="1"/>
    <col min="5877" max="5877" width="6.42578125" style="1008" customWidth="1"/>
    <col min="5878" max="5878" width="13.140625" style="1008" customWidth="1"/>
    <col min="5879" max="5879" width="1" style="1008" customWidth="1"/>
    <col min="5880" max="5880" width="19.5703125" style="1008" customWidth="1"/>
    <col min="5881" max="5881" width="0.85546875" style="1008" customWidth="1"/>
    <col min="5882" max="5882" width="14.42578125" style="1008" customWidth="1"/>
    <col min="5883" max="5883" width="12.85546875" style="1008" customWidth="1"/>
    <col min="5884" max="5884" width="6.140625" style="1008" customWidth="1"/>
    <col min="5885" max="5886" width="11.42578125" style="1008"/>
    <col min="5887" max="5887" width="15.42578125" style="1008" customWidth="1"/>
    <col min="5888" max="6127" width="11.42578125" style="1008"/>
    <col min="6128" max="6128" width="2.28515625" style="1008" customWidth="1"/>
    <col min="6129" max="6129" width="2.7109375" style="1008" customWidth="1"/>
    <col min="6130" max="6130" width="2.42578125" style="1008" customWidth="1"/>
    <col min="6131" max="6131" width="17.7109375" style="1008" customWidth="1"/>
    <col min="6132" max="6132" width="1.5703125" style="1008" customWidth="1"/>
    <col min="6133" max="6133" width="6.42578125" style="1008" customWidth="1"/>
    <col min="6134" max="6134" width="13.140625" style="1008" customWidth="1"/>
    <col min="6135" max="6135" width="1" style="1008" customWidth="1"/>
    <col min="6136" max="6136" width="19.5703125" style="1008" customWidth="1"/>
    <col min="6137" max="6137" width="0.85546875" style="1008" customWidth="1"/>
    <col min="6138" max="6138" width="14.42578125" style="1008" customWidth="1"/>
    <col min="6139" max="6139" width="12.85546875" style="1008" customWidth="1"/>
    <col min="6140" max="6140" width="6.140625" style="1008" customWidth="1"/>
    <col min="6141" max="6142" width="11.42578125" style="1008"/>
    <col min="6143" max="6143" width="15.42578125" style="1008" customWidth="1"/>
    <col min="6144" max="6383" width="11.42578125" style="1008"/>
    <col min="6384" max="6384" width="2.28515625" style="1008" customWidth="1"/>
    <col min="6385" max="6385" width="2.7109375" style="1008" customWidth="1"/>
    <col min="6386" max="6386" width="2.42578125" style="1008" customWidth="1"/>
    <col min="6387" max="6387" width="17.7109375" style="1008" customWidth="1"/>
    <col min="6388" max="6388" width="1.5703125" style="1008" customWidth="1"/>
    <col min="6389" max="6389" width="6.42578125" style="1008" customWidth="1"/>
    <col min="6390" max="6390" width="13.140625" style="1008" customWidth="1"/>
    <col min="6391" max="6391" width="1" style="1008" customWidth="1"/>
    <col min="6392" max="6392" width="19.5703125" style="1008" customWidth="1"/>
    <col min="6393" max="6393" width="0.85546875" style="1008" customWidth="1"/>
    <col min="6394" max="6394" width="14.42578125" style="1008" customWidth="1"/>
    <col min="6395" max="6395" width="12.85546875" style="1008" customWidth="1"/>
    <col min="6396" max="6396" width="6.140625" style="1008" customWidth="1"/>
    <col min="6397" max="6398" width="11.42578125" style="1008"/>
    <col min="6399" max="6399" width="15.42578125" style="1008" customWidth="1"/>
    <col min="6400" max="6639" width="11.42578125" style="1008"/>
    <col min="6640" max="6640" width="2.28515625" style="1008" customWidth="1"/>
    <col min="6641" max="6641" width="2.7109375" style="1008" customWidth="1"/>
    <col min="6642" max="6642" width="2.42578125" style="1008" customWidth="1"/>
    <col min="6643" max="6643" width="17.7109375" style="1008" customWidth="1"/>
    <col min="6644" max="6644" width="1.5703125" style="1008" customWidth="1"/>
    <col min="6645" max="6645" width="6.42578125" style="1008" customWidth="1"/>
    <col min="6646" max="6646" width="13.140625" style="1008" customWidth="1"/>
    <col min="6647" max="6647" width="1" style="1008" customWidth="1"/>
    <col min="6648" max="6648" width="19.5703125" style="1008" customWidth="1"/>
    <col min="6649" max="6649" width="0.85546875" style="1008" customWidth="1"/>
    <col min="6650" max="6650" width="14.42578125" style="1008" customWidth="1"/>
    <col min="6651" max="6651" width="12.85546875" style="1008" customWidth="1"/>
    <col min="6652" max="6652" width="6.140625" style="1008" customWidth="1"/>
    <col min="6653" max="6654" width="11.42578125" style="1008"/>
    <col min="6655" max="6655" width="15.42578125" style="1008" customWidth="1"/>
    <col min="6656" max="6895" width="11.42578125" style="1008"/>
    <col min="6896" max="6896" width="2.28515625" style="1008" customWidth="1"/>
    <col min="6897" max="6897" width="2.7109375" style="1008" customWidth="1"/>
    <col min="6898" max="6898" width="2.42578125" style="1008" customWidth="1"/>
    <col min="6899" max="6899" width="17.7109375" style="1008" customWidth="1"/>
    <col min="6900" max="6900" width="1.5703125" style="1008" customWidth="1"/>
    <col min="6901" max="6901" width="6.42578125" style="1008" customWidth="1"/>
    <col min="6902" max="6902" width="13.140625" style="1008" customWidth="1"/>
    <col min="6903" max="6903" width="1" style="1008" customWidth="1"/>
    <col min="6904" max="6904" width="19.5703125" style="1008" customWidth="1"/>
    <col min="6905" max="6905" width="0.85546875" style="1008" customWidth="1"/>
    <col min="6906" max="6906" width="14.42578125" style="1008" customWidth="1"/>
    <col min="6907" max="6907" width="12.85546875" style="1008" customWidth="1"/>
    <col min="6908" max="6908" width="6.140625" style="1008" customWidth="1"/>
    <col min="6909" max="6910" width="11.42578125" style="1008"/>
    <col min="6911" max="6911" width="15.42578125" style="1008" customWidth="1"/>
    <col min="6912" max="7151" width="11.42578125" style="1008"/>
    <col min="7152" max="7152" width="2.28515625" style="1008" customWidth="1"/>
    <col min="7153" max="7153" width="2.7109375" style="1008" customWidth="1"/>
    <col min="7154" max="7154" width="2.42578125" style="1008" customWidth="1"/>
    <col min="7155" max="7155" width="17.7109375" style="1008" customWidth="1"/>
    <col min="7156" max="7156" width="1.5703125" style="1008" customWidth="1"/>
    <col min="7157" max="7157" width="6.42578125" style="1008" customWidth="1"/>
    <col min="7158" max="7158" width="13.140625" style="1008" customWidth="1"/>
    <col min="7159" max="7159" width="1" style="1008" customWidth="1"/>
    <col min="7160" max="7160" width="19.5703125" style="1008" customWidth="1"/>
    <col min="7161" max="7161" width="0.85546875" style="1008" customWidth="1"/>
    <col min="7162" max="7162" width="14.42578125" style="1008" customWidth="1"/>
    <col min="7163" max="7163" width="12.85546875" style="1008" customWidth="1"/>
    <col min="7164" max="7164" width="6.140625" style="1008" customWidth="1"/>
    <col min="7165" max="7166" width="11.42578125" style="1008"/>
    <col min="7167" max="7167" width="15.42578125" style="1008" customWidth="1"/>
    <col min="7168" max="7407" width="11.42578125" style="1008"/>
    <col min="7408" max="7408" width="2.28515625" style="1008" customWidth="1"/>
    <col min="7409" max="7409" width="2.7109375" style="1008" customWidth="1"/>
    <col min="7410" max="7410" width="2.42578125" style="1008" customWidth="1"/>
    <col min="7411" max="7411" width="17.7109375" style="1008" customWidth="1"/>
    <col min="7412" max="7412" width="1.5703125" style="1008" customWidth="1"/>
    <col min="7413" max="7413" width="6.42578125" style="1008" customWidth="1"/>
    <col min="7414" max="7414" width="13.140625" style="1008" customWidth="1"/>
    <col min="7415" max="7415" width="1" style="1008" customWidth="1"/>
    <col min="7416" max="7416" width="19.5703125" style="1008" customWidth="1"/>
    <col min="7417" max="7417" width="0.85546875" style="1008" customWidth="1"/>
    <col min="7418" max="7418" width="14.42578125" style="1008" customWidth="1"/>
    <col min="7419" max="7419" width="12.85546875" style="1008" customWidth="1"/>
    <col min="7420" max="7420" width="6.140625" style="1008" customWidth="1"/>
    <col min="7421" max="7422" width="11.42578125" style="1008"/>
    <col min="7423" max="7423" width="15.42578125" style="1008" customWidth="1"/>
    <col min="7424" max="7663" width="11.42578125" style="1008"/>
    <col min="7664" max="7664" width="2.28515625" style="1008" customWidth="1"/>
    <col min="7665" max="7665" width="2.7109375" style="1008" customWidth="1"/>
    <col min="7666" max="7666" width="2.42578125" style="1008" customWidth="1"/>
    <col min="7667" max="7667" width="17.7109375" style="1008" customWidth="1"/>
    <col min="7668" max="7668" width="1.5703125" style="1008" customWidth="1"/>
    <col min="7669" max="7669" width="6.42578125" style="1008" customWidth="1"/>
    <col min="7670" max="7670" width="13.140625" style="1008" customWidth="1"/>
    <col min="7671" max="7671" width="1" style="1008" customWidth="1"/>
    <col min="7672" max="7672" width="19.5703125" style="1008" customWidth="1"/>
    <col min="7673" max="7673" width="0.85546875" style="1008" customWidth="1"/>
    <col min="7674" max="7674" width="14.42578125" style="1008" customWidth="1"/>
    <col min="7675" max="7675" width="12.85546875" style="1008" customWidth="1"/>
    <col min="7676" max="7676" width="6.140625" style="1008" customWidth="1"/>
    <col min="7677" max="7678" width="11.42578125" style="1008"/>
    <col min="7679" max="7679" width="15.42578125" style="1008" customWidth="1"/>
    <col min="7680" max="7919" width="11.42578125" style="1008"/>
    <col min="7920" max="7920" width="2.28515625" style="1008" customWidth="1"/>
    <col min="7921" max="7921" width="2.7109375" style="1008" customWidth="1"/>
    <col min="7922" max="7922" width="2.42578125" style="1008" customWidth="1"/>
    <col min="7923" max="7923" width="17.7109375" style="1008" customWidth="1"/>
    <col min="7924" max="7924" width="1.5703125" style="1008" customWidth="1"/>
    <col min="7925" max="7925" width="6.42578125" style="1008" customWidth="1"/>
    <col min="7926" max="7926" width="13.140625" style="1008" customWidth="1"/>
    <col min="7927" max="7927" width="1" style="1008" customWidth="1"/>
    <col min="7928" max="7928" width="19.5703125" style="1008" customWidth="1"/>
    <col min="7929" max="7929" width="0.85546875" style="1008" customWidth="1"/>
    <col min="7930" max="7930" width="14.42578125" style="1008" customWidth="1"/>
    <col min="7931" max="7931" width="12.85546875" style="1008" customWidth="1"/>
    <col min="7932" max="7932" width="6.140625" style="1008" customWidth="1"/>
    <col min="7933" max="7934" width="11.42578125" style="1008"/>
    <col min="7935" max="7935" width="15.42578125" style="1008" customWidth="1"/>
    <col min="7936" max="8175" width="11.42578125" style="1008"/>
    <col min="8176" max="8176" width="2.28515625" style="1008" customWidth="1"/>
    <col min="8177" max="8177" width="2.7109375" style="1008" customWidth="1"/>
    <col min="8178" max="8178" width="2.42578125" style="1008" customWidth="1"/>
    <col min="8179" max="8179" width="17.7109375" style="1008" customWidth="1"/>
    <col min="8180" max="8180" width="1.5703125" style="1008" customWidth="1"/>
    <col min="8181" max="8181" width="6.42578125" style="1008" customWidth="1"/>
    <col min="8182" max="8182" width="13.140625" style="1008" customWidth="1"/>
    <col min="8183" max="8183" width="1" style="1008" customWidth="1"/>
    <col min="8184" max="8184" width="19.5703125" style="1008" customWidth="1"/>
    <col min="8185" max="8185" width="0.85546875" style="1008" customWidth="1"/>
    <col min="8186" max="8186" width="14.42578125" style="1008" customWidth="1"/>
    <col min="8187" max="8187" width="12.85546875" style="1008" customWidth="1"/>
    <col min="8188" max="8188" width="6.140625" style="1008" customWidth="1"/>
    <col min="8189" max="8190" width="11.42578125" style="1008"/>
    <col min="8191" max="8191" width="15.42578125" style="1008" customWidth="1"/>
    <col min="8192" max="8431" width="11.42578125" style="1008"/>
    <col min="8432" max="8432" width="2.28515625" style="1008" customWidth="1"/>
    <col min="8433" max="8433" width="2.7109375" style="1008" customWidth="1"/>
    <col min="8434" max="8434" width="2.42578125" style="1008" customWidth="1"/>
    <col min="8435" max="8435" width="17.7109375" style="1008" customWidth="1"/>
    <col min="8436" max="8436" width="1.5703125" style="1008" customWidth="1"/>
    <col min="8437" max="8437" width="6.42578125" style="1008" customWidth="1"/>
    <col min="8438" max="8438" width="13.140625" style="1008" customWidth="1"/>
    <col min="8439" max="8439" width="1" style="1008" customWidth="1"/>
    <col min="8440" max="8440" width="19.5703125" style="1008" customWidth="1"/>
    <col min="8441" max="8441" width="0.85546875" style="1008" customWidth="1"/>
    <col min="8442" max="8442" width="14.42578125" style="1008" customWidth="1"/>
    <col min="8443" max="8443" width="12.85546875" style="1008" customWidth="1"/>
    <col min="8444" max="8444" width="6.140625" style="1008" customWidth="1"/>
    <col min="8445" max="8446" width="11.42578125" style="1008"/>
    <col min="8447" max="8447" width="15.42578125" style="1008" customWidth="1"/>
    <col min="8448" max="8687" width="11.42578125" style="1008"/>
    <col min="8688" max="8688" width="2.28515625" style="1008" customWidth="1"/>
    <col min="8689" max="8689" width="2.7109375" style="1008" customWidth="1"/>
    <col min="8690" max="8690" width="2.42578125" style="1008" customWidth="1"/>
    <col min="8691" max="8691" width="17.7109375" style="1008" customWidth="1"/>
    <col min="8692" max="8692" width="1.5703125" style="1008" customWidth="1"/>
    <col min="8693" max="8693" width="6.42578125" style="1008" customWidth="1"/>
    <col min="8694" max="8694" width="13.140625" style="1008" customWidth="1"/>
    <col min="8695" max="8695" width="1" style="1008" customWidth="1"/>
    <col min="8696" max="8696" width="19.5703125" style="1008" customWidth="1"/>
    <col min="8697" max="8697" width="0.85546875" style="1008" customWidth="1"/>
    <col min="8698" max="8698" width="14.42578125" style="1008" customWidth="1"/>
    <col min="8699" max="8699" width="12.85546875" style="1008" customWidth="1"/>
    <col min="8700" max="8700" width="6.140625" style="1008" customWidth="1"/>
    <col min="8701" max="8702" width="11.42578125" style="1008"/>
    <col min="8703" max="8703" width="15.42578125" style="1008" customWidth="1"/>
    <col min="8704" max="8943" width="11.42578125" style="1008"/>
    <col min="8944" max="8944" width="2.28515625" style="1008" customWidth="1"/>
    <col min="8945" max="8945" width="2.7109375" style="1008" customWidth="1"/>
    <col min="8946" max="8946" width="2.42578125" style="1008" customWidth="1"/>
    <col min="8947" max="8947" width="17.7109375" style="1008" customWidth="1"/>
    <col min="8948" max="8948" width="1.5703125" style="1008" customWidth="1"/>
    <col min="8949" max="8949" width="6.42578125" style="1008" customWidth="1"/>
    <col min="8950" max="8950" width="13.140625" style="1008" customWidth="1"/>
    <col min="8951" max="8951" width="1" style="1008" customWidth="1"/>
    <col min="8952" max="8952" width="19.5703125" style="1008" customWidth="1"/>
    <col min="8953" max="8953" width="0.85546875" style="1008" customWidth="1"/>
    <col min="8954" max="8954" width="14.42578125" style="1008" customWidth="1"/>
    <col min="8955" max="8955" width="12.85546875" style="1008" customWidth="1"/>
    <col min="8956" max="8956" width="6.140625" style="1008" customWidth="1"/>
    <col min="8957" max="8958" width="11.42578125" style="1008"/>
    <col min="8959" max="8959" width="15.42578125" style="1008" customWidth="1"/>
    <col min="8960" max="9199" width="11.42578125" style="1008"/>
    <col min="9200" max="9200" width="2.28515625" style="1008" customWidth="1"/>
    <col min="9201" max="9201" width="2.7109375" style="1008" customWidth="1"/>
    <col min="9202" max="9202" width="2.42578125" style="1008" customWidth="1"/>
    <col min="9203" max="9203" width="17.7109375" style="1008" customWidth="1"/>
    <col min="9204" max="9204" width="1.5703125" style="1008" customWidth="1"/>
    <col min="9205" max="9205" width="6.42578125" style="1008" customWidth="1"/>
    <col min="9206" max="9206" width="13.140625" style="1008" customWidth="1"/>
    <col min="9207" max="9207" width="1" style="1008" customWidth="1"/>
    <col min="9208" max="9208" width="19.5703125" style="1008" customWidth="1"/>
    <col min="9209" max="9209" width="0.85546875" style="1008" customWidth="1"/>
    <col min="9210" max="9210" width="14.42578125" style="1008" customWidth="1"/>
    <col min="9211" max="9211" width="12.85546875" style="1008" customWidth="1"/>
    <col min="9212" max="9212" width="6.140625" style="1008" customWidth="1"/>
    <col min="9213" max="9214" width="11.42578125" style="1008"/>
    <col min="9215" max="9215" width="15.42578125" style="1008" customWidth="1"/>
    <col min="9216" max="9455" width="11.42578125" style="1008"/>
    <col min="9456" max="9456" width="2.28515625" style="1008" customWidth="1"/>
    <col min="9457" max="9457" width="2.7109375" style="1008" customWidth="1"/>
    <col min="9458" max="9458" width="2.42578125" style="1008" customWidth="1"/>
    <col min="9459" max="9459" width="17.7109375" style="1008" customWidth="1"/>
    <col min="9460" max="9460" width="1.5703125" style="1008" customWidth="1"/>
    <col min="9461" max="9461" width="6.42578125" style="1008" customWidth="1"/>
    <col min="9462" max="9462" width="13.140625" style="1008" customWidth="1"/>
    <col min="9463" max="9463" width="1" style="1008" customWidth="1"/>
    <col min="9464" max="9464" width="19.5703125" style="1008" customWidth="1"/>
    <col min="9465" max="9465" width="0.85546875" style="1008" customWidth="1"/>
    <col min="9466" max="9466" width="14.42578125" style="1008" customWidth="1"/>
    <col min="9467" max="9467" width="12.85546875" style="1008" customWidth="1"/>
    <col min="9468" max="9468" width="6.140625" style="1008" customWidth="1"/>
    <col min="9469" max="9470" width="11.42578125" style="1008"/>
    <col min="9471" max="9471" width="15.42578125" style="1008" customWidth="1"/>
    <col min="9472" max="9711" width="11.42578125" style="1008"/>
    <col min="9712" max="9712" width="2.28515625" style="1008" customWidth="1"/>
    <col min="9713" max="9713" width="2.7109375" style="1008" customWidth="1"/>
    <col min="9714" max="9714" width="2.42578125" style="1008" customWidth="1"/>
    <col min="9715" max="9715" width="17.7109375" style="1008" customWidth="1"/>
    <col min="9716" max="9716" width="1.5703125" style="1008" customWidth="1"/>
    <col min="9717" max="9717" width="6.42578125" style="1008" customWidth="1"/>
    <col min="9718" max="9718" width="13.140625" style="1008" customWidth="1"/>
    <col min="9719" max="9719" width="1" style="1008" customWidth="1"/>
    <col min="9720" max="9720" width="19.5703125" style="1008" customWidth="1"/>
    <col min="9721" max="9721" width="0.85546875" style="1008" customWidth="1"/>
    <col min="9722" max="9722" width="14.42578125" style="1008" customWidth="1"/>
    <col min="9723" max="9723" width="12.85546875" style="1008" customWidth="1"/>
    <col min="9724" max="9724" width="6.140625" style="1008" customWidth="1"/>
    <col min="9725" max="9726" width="11.42578125" style="1008"/>
    <col min="9727" max="9727" width="15.42578125" style="1008" customWidth="1"/>
    <col min="9728" max="9967" width="11.42578125" style="1008"/>
    <col min="9968" max="9968" width="2.28515625" style="1008" customWidth="1"/>
    <col min="9969" max="9969" width="2.7109375" style="1008" customWidth="1"/>
    <col min="9970" max="9970" width="2.42578125" style="1008" customWidth="1"/>
    <col min="9971" max="9971" width="17.7109375" style="1008" customWidth="1"/>
    <col min="9972" max="9972" width="1.5703125" style="1008" customWidth="1"/>
    <col min="9973" max="9973" width="6.42578125" style="1008" customWidth="1"/>
    <col min="9974" max="9974" width="13.140625" style="1008" customWidth="1"/>
    <col min="9975" max="9975" width="1" style="1008" customWidth="1"/>
    <col min="9976" max="9976" width="19.5703125" style="1008" customWidth="1"/>
    <col min="9977" max="9977" width="0.85546875" style="1008" customWidth="1"/>
    <col min="9978" max="9978" width="14.42578125" style="1008" customWidth="1"/>
    <col min="9979" max="9979" width="12.85546875" style="1008" customWidth="1"/>
    <col min="9980" max="9980" width="6.140625" style="1008" customWidth="1"/>
    <col min="9981" max="9982" width="11.42578125" style="1008"/>
    <col min="9983" max="9983" width="15.42578125" style="1008" customWidth="1"/>
    <col min="9984" max="10223" width="11.42578125" style="1008"/>
    <col min="10224" max="10224" width="2.28515625" style="1008" customWidth="1"/>
    <col min="10225" max="10225" width="2.7109375" style="1008" customWidth="1"/>
    <col min="10226" max="10226" width="2.42578125" style="1008" customWidth="1"/>
    <col min="10227" max="10227" width="17.7109375" style="1008" customWidth="1"/>
    <col min="10228" max="10228" width="1.5703125" style="1008" customWidth="1"/>
    <col min="10229" max="10229" width="6.42578125" style="1008" customWidth="1"/>
    <col min="10230" max="10230" width="13.140625" style="1008" customWidth="1"/>
    <col min="10231" max="10231" width="1" style="1008" customWidth="1"/>
    <col min="10232" max="10232" width="19.5703125" style="1008" customWidth="1"/>
    <col min="10233" max="10233" width="0.85546875" style="1008" customWidth="1"/>
    <col min="10234" max="10234" width="14.42578125" style="1008" customWidth="1"/>
    <col min="10235" max="10235" width="12.85546875" style="1008" customWidth="1"/>
    <col min="10236" max="10236" width="6.140625" style="1008" customWidth="1"/>
    <col min="10237" max="10238" width="11.42578125" style="1008"/>
    <col min="10239" max="10239" width="15.42578125" style="1008" customWidth="1"/>
    <col min="10240" max="10479" width="11.42578125" style="1008"/>
    <col min="10480" max="10480" width="2.28515625" style="1008" customWidth="1"/>
    <col min="10481" max="10481" width="2.7109375" style="1008" customWidth="1"/>
    <col min="10482" max="10482" width="2.42578125" style="1008" customWidth="1"/>
    <col min="10483" max="10483" width="17.7109375" style="1008" customWidth="1"/>
    <col min="10484" max="10484" width="1.5703125" style="1008" customWidth="1"/>
    <col min="10485" max="10485" width="6.42578125" style="1008" customWidth="1"/>
    <col min="10486" max="10486" width="13.140625" style="1008" customWidth="1"/>
    <col min="10487" max="10487" width="1" style="1008" customWidth="1"/>
    <col min="10488" max="10488" width="19.5703125" style="1008" customWidth="1"/>
    <col min="10489" max="10489" width="0.85546875" style="1008" customWidth="1"/>
    <col min="10490" max="10490" width="14.42578125" style="1008" customWidth="1"/>
    <col min="10491" max="10491" width="12.85546875" style="1008" customWidth="1"/>
    <col min="10492" max="10492" width="6.140625" style="1008" customWidth="1"/>
    <col min="10493" max="10494" width="11.42578125" style="1008"/>
    <col min="10495" max="10495" width="15.42578125" style="1008" customWidth="1"/>
    <col min="10496" max="10735" width="11.42578125" style="1008"/>
    <col min="10736" max="10736" width="2.28515625" style="1008" customWidth="1"/>
    <col min="10737" max="10737" width="2.7109375" style="1008" customWidth="1"/>
    <col min="10738" max="10738" width="2.42578125" style="1008" customWidth="1"/>
    <col min="10739" max="10739" width="17.7109375" style="1008" customWidth="1"/>
    <col min="10740" max="10740" width="1.5703125" style="1008" customWidth="1"/>
    <col min="10741" max="10741" width="6.42578125" style="1008" customWidth="1"/>
    <col min="10742" max="10742" width="13.140625" style="1008" customWidth="1"/>
    <col min="10743" max="10743" width="1" style="1008" customWidth="1"/>
    <col min="10744" max="10744" width="19.5703125" style="1008" customWidth="1"/>
    <col min="10745" max="10745" width="0.85546875" style="1008" customWidth="1"/>
    <col min="10746" max="10746" width="14.42578125" style="1008" customWidth="1"/>
    <col min="10747" max="10747" width="12.85546875" style="1008" customWidth="1"/>
    <col min="10748" max="10748" width="6.140625" style="1008" customWidth="1"/>
    <col min="10749" max="10750" width="11.42578125" style="1008"/>
    <col min="10751" max="10751" width="15.42578125" style="1008" customWidth="1"/>
    <col min="10752" max="10991" width="11.42578125" style="1008"/>
    <col min="10992" max="10992" width="2.28515625" style="1008" customWidth="1"/>
    <col min="10993" max="10993" width="2.7109375" style="1008" customWidth="1"/>
    <col min="10994" max="10994" width="2.42578125" style="1008" customWidth="1"/>
    <col min="10995" max="10995" width="17.7109375" style="1008" customWidth="1"/>
    <col min="10996" max="10996" width="1.5703125" style="1008" customWidth="1"/>
    <col min="10997" max="10997" width="6.42578125" style="1008" customWidth="1"/>
    <col min="10998" max="10998" width="13.140625" style="1008" customWidth="1"/>
    <col min="10999" max="10999" width="1" style="1008" customWidth="1"/>
    <col min="11000" max="11000" width="19.5703125" style="1008" customWidth="1"/>
    <col min="11001" max="11001" width="0.85546875" style="1008" customWidth="1"/>
    <col min="11002" max="11002" width="14.42578125" style="1008" customWidth="1"/>
    <col min="11003" max="11003" width="12.85546875" style="1008" customWidth="1"/>
    <col min="11004" max="11004" width="6.140625" style="1008" customWidth="1"/>
    <col min="11005" max="11006" width="11.42578125" style="1008"/>
    <col min="11007" max="11007" width="15.42578125" style="1008" customWidth="1"/>
    <col min="11008" max="11247" width="11.42578125" style="1008"/>
    <col min="11248" max="11248" width="2.28515625" style="1008" customWidth="1"/>
    <col min="11249" max="11249" width="2.7109375" style="1008" customWidth="1"/>
    <col min="11250" max="11250" width="2.42578125" style="1008" customWidth="1"/>
    <col min="11251" max="11251" width="17.7109375" style="1008" customWidth="1"/>
    <col min="11252" max="11252" width="1.5703125" style="1008" customWidth="1"/>
    <col min="11253" max="11253" width="6.42578125" style="1008" customWidth="1"/>
    <col min="11254" max="11254" width="13.140625" style="1008" customWidth="1"/>
    <col min="11255" max="11255" width="1" style="1008" customWidth="1"/>
    <col min="11256" max="11256" width="19.5703125" style="1008" customWidth="1"/>
    <col min="11257" max="11257" width="0.85546875" style="1008" customWidth="1"/>
    <col min="11258" max="11258" width="14.42578125" style="1008" customWidth="1"/>
    <col min="11259" max="11259" width="12.85546875" style="1008" customWidth="1"/>
    <col min="11260" max="11260" width="6.140625" style="1008" customWidth="1"/>
    <col min="11261" max="11262" width="11.42578125" style="1008"/>
    <col min="11263" max="11263" width="15.42578125" style="1008" customWidth="1"/>
    <col min="11264" max="11503" width="11.42578125" style="1008"/>
    <col min="11504" max="11504" width="2.28515625" style="1008" customWidth="1"/>
    <col min="11505" max="11505" width="2.7109375" style="1008" customWidth="1"/>
    <col min="11506" max="11506" width="2.42578125" style="1008" customWidth="1"/>
    <col min="11507" max="11507" width="17.7109375" style="1008" customWidth="1"/>
    <col min="11508" max="11508" width="1.5703125" style="1008" customWidth="1"/>
    <col min="11509" max="11509" width="6.42578125" style="1008" customWidth="1"/>
    <col min="11510" max="11510" width="13.140625" style="1008" customWidth="1"/>
    <col min="11511" max="11511" width="1" style="1008" customWidth="1"/>
    <col min="11512" max="11512" width="19.5703125" style="1008" customWidth="1"/>
    <col min="11513" max="11513" width="0.85546875" style="1008" customWidth="1"/>
    <col min="11514" max="11514" width="14.42578125" style="1008" customWidth="1"/>
    <col min="11515" max="11515" width="12.85546875" style="1008" customWidth="1"/>
    <col min="11516" max="11516" width="6.140625" style="1008" customWidth="1"/>
    <col min="11517" max="11518" width="11.42578125" style="1008"/>
    <col min="11519" max="11519" width="15.42578125" style="1008" customWidth="1"/>
    <col min="11520" max="11759" width="11.42578125" style="1008"/>
    <col min="11760" max="11760" width="2.28515625" style="1008" customWidth="1"/>
    <col min="11761" max="11761" width="2.7109375" style="1008" customWidth="1"/>
    <col min="11762" max="11762" width="2.42578125" style="1008" customWidth="1"/>
    <col min="11763" max="11763" width="17.7109375" style="1008" customWidth="1"/>
    <col min="11764" max="11764" width="1.5703125" style="1008" customWidth="1"/>
    <col min="11765" max="11765" width="6.42578125" style="1008" customWidth="1"/>
    <col min="11766" max="11766" width="13.140625" style="1008" customWidth="1"/>
    <col min="11767" max="11767" width="1" style="1008" customWidth="1"/>
    <col min="11768" max="11768" width="19.5703125" style="1008" customWidth="1"/>
    <col min="11769" max="11769" width="0.85546875" style="1008" customWidth="1"/>
    <col min="11770" max="11770" width="14.42578125" style="1008" customWidth="1"/>
    <col min="11771" max="11771" width="12.85546875" style="1008" customWidth="1"/>
    <col min="11772" max="11772" width="6.140625" style="1008" customWidth="1"/>
    <col min="11773" max="11774" width="11.42578125" style="1008"/>
    <col min="11775" max="11775" width="15.42578125" style="1008" customWidth="1"/>
    <col min="11776" max="12015" width="11.42578125" style="1008"/>
    <col min="12016" max="12016" width="2.28515625" style="1008" customWidth="1"/>
    <col min="12017" max="12017" width="2.7109375" style="1008" customWidth="1"/>
    <col min="12018" max="12018" width="2.42578125" style="1008" customWidth="1"/>
    <col min="12019" max="12019" width="17.7109375" style="1008" customWidth="1"/>
    <col min="12020" max="12020" width="1.5703125" style="1008" customWidth="1"/>
    <col min="12021" max="12021" width="6.42578125" style="1008" customWidth="1"/>
    <col min="12022" max="12022" width="13.140625" style="1008" customWidth="1"/>
    <col min="12023" max="12023" width="1" style="1008" customWidth="1"/>
    <col min="12024" max="12024" width="19.5703125" style="1008" customWidth="1"/>
    <col min="12025" max="12025" width="0.85546875" style="1008" customWidth="1"/>
    <col min="12026" max="12026" width="14.42578125" style="1008" customWidth="1"/>
    <col min="12027" max="12027" width="12.85546875" style="1008" customWidth="1"/>
    <col min="12028" max="12028" width="6.140625" style="1008" customWidth="1"/>
    <col min="12029" max="12030" width="11.42578125" style="1008"/>
    <col min="12031" max="12031" width="15.42578125" style="1008" customWidth="1"/>
    <col min="12032" max="12271" width="11.42578125" style="1008"/>
    <col min="12272" max="12272" width="2.28515625" style="1008" customWidth="1"/>
    <col min="12273" max="12273" width="2.7109375" style="1008" customWidth="1"/>
    <col min="12274" max="12274" width="2.42578125" style="1008" customWidth="1"/>
    <col min="12275" max="12275" width="17.7109375" style="1008" customWidth="1"/>
    <col min="12276" max="12276" width="1.5703125" style="1008" customWidth="1"/>
    <col min="12277" max="12277" width="6.42578125" style="1008" customWidth="1"/>
    <col min="12278" max="12278" width="13.140625" style="1008" customWidth="1"/>
    <col min="12279" max="12279" width="1" style="1008" customWidth="1"/>
    <col min="12280" max="12280" width="19.5703125" style="1008" customWidth="1"/>
    <col min="12281" max="12281" width="0.85546875" style="1008" customWidth="1"/>
    <col min="12282" max="12282" width="14.42578125" style="1008" customWidth="1"/>
    <col min="12283" max="12283" width="12.85546875" style="1008" customWidth="1"/>
    <col min="12284" max="12284" width="6.140625" style="1008" customWidth="1"/>
    <col min="12285" max="12286" width="11.42578125" style="1008"/>
    <col min="12287" max="12287" width="15.42578125" style="1008" customWidth="1"/>
    <col min="12288" max="12527" width="11.42578125" style="1008"/>
    <col min="12528" max="12528" width="2.28515625" style="1008" customWidth="1"/>
    <col min="12529" max="12529" width="2.7109375" style="1008" customWidth="1"/>
    <col min="12530" max="12530" width="2.42578125" style="1008" customWidth="1"/>
    <col min="12531" max="12531" width="17.7109375" style="1008" customWidth="1"/>
    <col min="12532" max="12532" width="1.5703125" style="1008" customWidth="1"/>
    <col min="12533" max="12533" width="6.42578125" style="1008" customWidth="1"/>
    <col min="12534" max="12534" width="13.140625" style="1008" customWidth="1"/>
    <col min="12535" max="12535" width="1" style="1008" customWidth="1"/>
    <col min="12536" max="12536" width="19.5703125" style="1008" customWidth="1"/>
    <col min="12537" max="12537" width="0.85546875" style="1008" customWidth="1"/>
    <col min="12538" max="12538" width="14.42578125" style="1008" customWidth="1"/>
    <col min="12539" max="12539" width="12.85546875" style="1008" customWidth="1"/>
    <col min="12540" max="12540" width="6.140625" style="1008" customWidth="1"/>
    <col min="12541" max="12542" width="11.42578125" style="1008"/>
    <col min="12543" max="12543" width="15.42578125" style="1008" customWidth="1"/>
    <col min="12544" max="12783" width="11.42578125" style="1008"/>
    <col min="12784" max="12784" width="2.28515625" style="1008" customWidth="1"/>
    <col min="12785" max="12785" width="2.7109375" style="1008" customWidth="1"/>
    <col min="12786" max="12786" width="2.42578125" style="1008" customWidth="1"/>
    <col min="12787" max="12787" width="17.7109375" style="1008" customWidth="1"/>
    <col min="12788" max="12788" width="1.5703125" style="1008" customWidth="1"/>
    <col min="12789" max="12789" width="6.42578125" style="1008" customWidth="1"/>
    <col min="12790" max="12790" width="13.140625" style="1008" customWidth="1"/>
    <col min="12791" max="12791" width="1" style="1008" customWidth="1"/>
    <col min="12792" max="12792" width="19.5703125" style="1008" customWidth="1"/>
    <col min="12793" max="12793" width="0.85546875" style="1008" customWidth="1"/>
    <col min="12794" max="12794" width="14.42578125" style="1008" customWidth="1"/>
    <col min="12795" max="12795" width="12.85546875" style="1008" customWidth="1"/>
    <col min="12796" max="12796" width="6.140625" style="1008" customWidth="1"/>
    <col min="12797" max="12798" width="11.42578125" style="1008"/>
    <col min="12799" max="12799" width="15.42578125" style="1008" customWidth="1"/>
    <col min="12800" max="13039" width="11.42578125" style="1008"/>
    <col min="13040" max="13040" width="2.28515625" style="1008" customWidth="1"/>
    <col min="13041" max="13041" width="2.7109375" style="1008" customWidth="1"/>
    <col min="13042" max="13042" width="2.42578125" style="1008" customWidth="1"/>
    <col min="13043" max="13043" width="17.7109375" style="1008" customWidth="1"/>
    <col min="13044" max="13044" width="1.5703125" style="1008" customWidth="1"/>
    <col min="13045" max="13045" width="6.42578125" style="1008" customWidth="1"/>
    <col min="13046" max="13046" width="13.140625" style="1008" customWidth="1"/>
    <col min="13047" max="13047" width="1" style="1008" customWidth="1"/>
    <col min="13048" max="13048" width="19.5703125" style="1008" customWidth="1"/>
    <col min="13049" max="13049" width="0.85546875" style="1008" customWidth="1"/>
    <col min="13050" max="13050" width="14.42578125" style="1008" customWidth="1"/>
    <col min="13051" max="13051" width="12.85546875" style="1008" customWidth="1"/>
    <col min="13052" max="13052" width="6.140625" style="1008" customWidth="1"/>
    <col min="13053" max="13054" width="11.42578125" style="1008"/>
    <col min="13055" max="13055" width="15.42578125" style="1008" customWidth="1"/>
    <col min="13056" max="13295" width="11.42578125" style="1008"/>
    <col min="13296" max="13296" width="2.28515625" style="1008" customWidth="1"/>
    <col min="13297" max="13297" width="2.7109375" style="1008" customWidth="1"/>
    <col min="13298" max="13298" width="2.42578125" style="1008" customWidth="1"/>
    <col min="13299" max="13299" width="17.7109375" style="1008" customWidth="1"/>
    <col min="13300" max="13300" width="1.5703125" style="1008" customWidth="1"/>
    <col min="13301" max="13301" width="6.42578125" style="1008" customWidth="1"/>
    <col min="13302" max="13302" width="13.140625" style="1008" customWidth="1"/>
    <col min="13303" max="13303" width="1" style="1008" customWidth="1"/>
    <col min="13304" max="13304" width="19.5703125" style="1008" customWidth="1"/>
    <col min="13305" max="13305" width="0.85546875" style="1008" customWidth="1"/>
    <col min="13306" max="13306" width="14.42578125" style="1008" customWidth="1"/>
    <col min="13307" max="13307" width="12.85546875" style="1008" customWidth="1"/>
    <col min="13308" max="13308" width="6.140625" style="1008" customWidth="1"/>
    <col min="13309" max="13310" width="11.42578125" style="1008"/>
    <col min="13311" max="13311" width="15.42578125" style="1008" customWidth="1"/>
    <col min="13312" max="13551" width="11.42578125" style="1008"/>
    <col min="13552" max="13552" width="2.28515625" style="1008" customWidth="1"/>
    <col min="13553" max="13553" width="2.7109375" style="1008" customWidth="1"/>
    <col min="13554" max="13554" width="2.42578125" style="1008" customWidth="1"/>
    <col min="13555" max="13555" width="17.7109375" style="1008" customWidth="1"/>
    <col min="13556" max="13556" width="1.5703125" style="1008" customWidth="1"/>
    <col min="13557" max="13557" width="6.42578125" style="1008" customWidth="1"/>
    <col min="13558" max="13558" width="13.140625" style="1008" customWidth="1"/>
    <col min="13559" max="13559" width="1" style="1008" customWidth="1"/>
    <col min="13560" max="13560" width="19.5703125" style="1008" customWidth="1"/>
    <col min="13561" max="13561" width="0.85546875" style="1008" customWidth="1"/>
    <col min="13562" max="13562" width="14.42578125" style="1008" customWidth="1"/>
    <col min="13563" max="13563" width="12.85546875" style="1008" customWidth="1"/>
    <col min="13564" max="13564" width="6.140625" style="1008" customWidth="1"/>
    <col min="13565" max="13566" width="11.42578125" style="1008"/>
    <col min="13567" max="13567" width="15.42578125" style="1008" customWidth="1"/>
    <col min="13568" max="13807" width="11.42578125" style="1008"/>
    <col min="13808" max="13808" width="2.28515625" style="1008" customWidth="1"/>
    <col min="13809" max="13809" width="2.7109375" style="1008" customWidth="1"/>
    <col min="13810" max="13810" width="2.42578125" style="1008" customWidth="1"/>
    <col min="13811" max="13811" width="17.7109375" style="1008" customWidth="1"/>
    <col min="13812" max="13812" width="1.5703125" style="1008" customWidth="1"/>
    <col min="13813" max="13813" width="6.42578125" style="1008" customWidth="1"/>
    <col min="13814" max="13814" width="13.140625" style="1008" customWidth="1"/>
    <col min="13815" max="13815" width="1" style="1008" customWidth="1"/>
    <col min="13816" max="13816" width="19.5703125" style="1008" customWidth="1"/>
    <col min="13817" max="13817" width="0.85546875" style="1008" customWidth="1"/>
    <col min="13818" max="13818" width="14.42578125" style="1008" customWidth="1"/>
    <col min="13819" max="13819" width="12.85546875" style="1008" customWidth="1"/>
    <col min="13820" max="13820" width="6.140625" style="1008" customWidth="1"/>
    <col min="13821" max="13822" width="11.42578125" style="1008"/>
    <col min="13823" max="13823" width="15.42578125" style="1008" customWidth="1"/>
    <col min="13824" max="14063" width="11.42578125" style="1008"/>
    <col min="14064" max="14064" width="2.28515625" style="1008" customWidth="1"/>
    <col min="14065" max="14065" width="2.7109375" style="1008" customWidth="1"/>
    <col min="14066" max="14066" width="2.42578125" style="1008" customWidth="1"/>
    <col min="14067" max="14067" width="17.7109375" style="1008" customWidth="1"/>
    <col min="14068" max="14068" width="1.5703125" style="1008" customWidth="1"/>
    <col min="14069" max="14069" width="6.42578125" style="1008" customWidth="1"/>
    <col min="14070" max="14070" width="13.140625" style="1008" customWidth="1"/>
    <col min="14071" max="14071" width="1" style="1008" customWidth="1"/>
    <col min="14072" max="14072" width="19.5703125" style="1008" customWidth="1"/>
    <col min="14073" max="14073" width="0.85546875" style="1008" customWidth="1"/>
    <col min="14074" max="14074" width="14.42578125" style="1008" customWidth="1"/>
    <col min="14075" max="14075" width="12.85546875" style="1008" customWidth="1"/>
    <col min="14076" max="14076" width="6.140625" style="1008" customWidth="1"/>
    <col min="14077" max="14078" width="11.42578125" style="1008"/>
    <col min="14079" max="14079" width="15.42578125" style="1008" customWidth="1"/>
    <col min="14080" max="14319" width="11.42578125" style="1008"/>
    <col min="14320" max="14320" width="2.28515625" style="1008" customWidth="1"/>
    <col min="14321" max="14321" width="2.7109375" style="1008" customWidth="1"/>
    <col min="14322" max="14322" width="2.42578125" style="1008" customWidth="1"/>
    <col min="14323" max="14323" width="17.7109375" style="1008" customWidth="1"/>
    <col min="14324" max="14324" width="1.5703125" style="1008" customWidth="1"/>
    <col min="14325" max="14325" width="6.42578125" style="1008" customWidth="1"/>
    <col min="14326" max="14326" width="13.140625" style="1008" customWidth="1"/>
    <col min="14327" max="14327" width="1" style="1008" customWidth="1"/>
    <col min="14328" max="14328" width="19.5703125" style="1008" customWidth="1"/>
    <col min="14329" max="14329" width="0.85546875" style="1008" customWidth="1"/>
    <col min="14330" max="14330" width="14.42578125" style="1008" customWidth="1"/>
    <col min="14331" max="14331" width="12.85546875" style="1008" customWidth="1"/>
    <col min="14332" max="14332" width="6.140625" style="1008" customWidth="1"/>
    <col min="14333" max="14334" width="11.42578125" style="1008"/>
    <col min="14335" max="14335" width="15.42578125" style="1008" customWidth="1"/>
    <col min="14336" max="14575" width="11.42578125" style="1008"/>
    <col min="14576" max="14576" width="2.28515625" style="1008" customWidth="1"/>
    <col min="14577" max="14577" width="2.7109375" style="1008" customWidth="1"/>
    <col min="14578" max="14578" width="2.42578125" style="1008" customWidth="1"/>
    <col min="14579" max="14579" width="17.7109375" style="1008" customWidth="1"/>
    <col min="14580" max="14580" width="1.5703125" style="1008" customWidth="1"/>
    <col min="14581" max="14581" width="6.42578125" style="1008" customWidth="1"/>
    <col min="14582" max="14582" width="13.140625" style="1008" customWidth="1"/>
    <col min="14583" max="14583" width="1" style="1008" customWidth="1"/>
    <col min="14584" max="14584" width="19.5703125" style="1008" customWidth="1"/>
    <col min="14585" max="14585" width="0.85546875" style="1008" customWidth="1"/>
    <col min="14586" max="14586" width="14.42578125" style="1008" customWidth="1"/>
    <col min="14587" max="14587" width="12.85546875" style="1008" customWidth="1"/>
    <col min="14588" max="14588" width="6.140625" style="1008" customWidth="1"/>
    <col min="14589" max="14590" width="11.42578125" style="1008"/>
    <col min="14591" max="14591" width="15.42578125" style="1008" customWidth="1"/>
    <col min="14592" max="14831" width="11.42578125" style="1008"/>
    <col min="14832" max="14832" width="2.28515625" style="1008" customWidth="1"/>
    <col min="14833" max="14833" width="2.7109375" style="1008" customWidth="1"/>
    <col min="14834" max="14834" width="2.42578125" style="1008" customWidth="1"/>
    <col min="14835" max="14835" width="17.7109375" style="1008" customWidth="1"/>
    <col min="14836" max="14836" width="1.5703125" style="1008" customWidth="1"/>
    <col min="14837" max="14837" width="6.42578125" style="1008" customWidth="1"/>
    <col min="14838" max="14838" width="13.140625" style="1008" customWidth="1"/>
    <col min="14839" max="14839" width="1" style="1008" customWidth="1"/>
    <col min="14840" max="14840" width="19.5703125" style="1008" customWidth="1"/>
    <col min="14841" max="14841" width="0.85546875" style="1008" customWidth="1"/>
    <col min="14842" max="14842" width="14.42578125" style="1008" customWidth="1"/>
    <col min="14843" max="14843" width="12.85546875" style="1008" customWidth="1"/>
    <col min="14844" max="14844" width="6.140625" style="1008" customWidth="1"/>
    <col min="14845" max="14846" width="11.42578125" style="1008"/>
    <col min="14847" max="14847" width="15.42578125" style="1008" customWidth="1"/>
    <col min="14848" max="15087" width="11.42578125" style="1008"/>
    <col min="15088" max="15088" width="2.28515625" style="1008" customWidth="1"/>
    <col min="15089" max="15089" width="2.7109375" style="1008" customWidth="1"/>
    <col min="15090" max="15090" width="2.42578125" style="1008" customWidth="1"/>
    <col min="15091" max="15091" width="17.7109375" style="1008" customWidth="1"/>
    <col min="15092" max="15092" width="1.5703125" style="1008" customWidth="1"/>
    <col min="15093" max="15093" width="6.42578125" style="1008" customWidth="1"/>
    <col min="15094" max="15094" width="13.140625" style="1008" customWidth="1"/>
    <col min="15095" max="15095" width="1" style="1008" customWidth="1"/>
    <col min="15096" max="15096" width="19.5703125" style="1008" customWidth="1"/>
    <col min="15097" max="15097" width="0.85546875" style="1008" customWidth="1"/>
    <col min="15098" max="15098" width="14.42578125" style="1008" customWidth="1"/>
    <col min="15099" max="15099" width="12.85546875" style="1008" customWidth="1"/>
    <col min="15100" max="15100" width="6.140625" style="1008" customWidth="1"/>
    <col min="15101" max="15102" width="11.42578125" style="1008"/>
    <col min="15103" max="15103" width="15.42578125" style="1008" customWidth="1"/>
    <col min="15104" max="15343" width="11.42578125" style="1008"/>
    <col min="15344" max="15344" width="2.28515625" style="1008" customWidth="1"/>
    <col min="15345" max="15345" width="2.7109375" style="1008" customWidth="1"/>
    <col min="15346" max="15346" width="2.42578125" style="1008" customWidth="1"/>
    <col min="15347" max="15347" width="17.7109375" style="1008" customWidth="1"/>
    <col min="15348" max="15348" width="1.5703125" style="1008" customWidth="1"/>
    <col min="15349" max="15349" width="6.42578125" style="1008" customWidth="1"/>
    <col min="15350" max="15350" width="13.140625" style="1008" customWidth="1"/>
    <col min="15351" max="15351" width="1" style="1008" customWidth="1"/>
    <col min="15352" max="15352" width="19.5703125" style="1008" customWidth="1"/>
    <col min="15353" max="15353" width="0.85546875" style="1008" customWidth="1"/>
    <col min="15354" max="15354" width="14.42578125" style="1008" customWidth="1"/>
    <col min="15355" max="15355" width="12.85546875" style="1008" customWidth="1"/>
    <col min="15356" max="15356" width="6.140625" style="1008" customWidth="1"/>
    <col min="15357" max="15358" width="11.42578125" style="1008"/>
    <col min="15359" max="15359" width="15.42578125" style="1008" customWidth="1"/>
    <col min="15360" max="15599" width="11.42578125" style="1008"/>
    <col min="15600" max="15600" width="2.28515625" style="1008" customWidth="1"/>
    <col min="15601" max="15601" width="2.7109375" style="1008" customWidth="1"/>
    <col min="15602" max="15602" width="2.42578125" style="1008" customWidth="1"/>
    <col min="15603" max="15603" width="17.7109375" style="1008" customWidth="1"/>
    <col min="15604" max="15604" width="1.5703125" style="1008" customWidth="1"/>
    <col min="15605" max="15605" width="6.42578125" style="1008" customWidth="1"/>
    <col min="15606" max="15606" width="13.140625" style="1008" customWidth="1"/>
    <col min="15607" max="15607" width="1" style="1008" customWidth="1"/>
    <col min="15608" max="15608" width="19.5703125" style="1008" customWidth="1"/>
    <col min="15609" max="15609" width="0.85546875" style="1008" customWidth="1"/>
    <col min="15610" max="15610" width="14.42578125" style="1008" customWidth="1"/>
    <col min="15611" max="15611" width="12.85546875" style="1008" customWidth="1"/>
    <col min="15612" max="15612" width="6.140625" style="1008" customWidth="1"/>
    <col min="15613" max="15614" width="11.42578125" style="1008"/>
    <col min="15615" max="15615" width="15.42578125" style="1008" customWidth="1"/>
    <col min="15616" max="15855" width="11.42578125" style="1008"/>
    <col min="15856" max="15856" width="2.28515625" style="1008" customWidth="1"/>
    <col min="15857" max="15857" width="2.7109375" style="1008" customWidth="1"/>
    <col min="15858" max="15858" width="2.42578125" style="1008" customWidth="1"/>
    <col min="15859" max="15859" width="17.7109375" style="1008" customWidth="1"/>
    <col min="15860" max="15860" width="1.5703125" style="1008" customWidth="1"/>
    <col min="15861" max="15861" width="6.42578125" style="1008" customWidth="1"/>
    <col min="15862" max="15862" width="13.140625" style="1008" customWidth="1"/>
    <col min="15863" max="15863" width="1" style="1008" customWidth="1"/>
    <col min="15864" max="15864" width="19.5703125" style="1008" customWidth="1"/>
    <col min="15865" max="15865" width="0.85546875" style="1008" customWidth="1"/>
    <col min="15866" max="15866" width="14.42578125" style="1008" customWidth="1"/>
    <col min="15867" max="15867" width="12.85546875" style="1008" customWidth="1"/>
    <col min="15868" max="15868" width="6.140625" style="1008" customWidth="1"/>
    <col min="15869" max="15870" width="11.42578125" style="1008"/>
    <col min="15871" max="15871" width="15.42578125" style="1008" customWidth="1"/>
    <col min="15872" max="16111" width="11.42578125" style="1008"/>
    <col min="16112" max="16112" width="2.28515625" style="1008" customWidth="1"/>
    <col min="16113" max="16113" width="2.7109375" style="1008" customWidth="1"/>
    <col min="16114" max="16114" width="2.42578125" style="1008" customWidth="1"/>
    <col min="16115" max="16115" width="17.7109375" style="1008" customWidth="1"/>
    <col min="16116" max="16116" width="1.5703125" style="1008" customWidth="1"/>
    <col min="16117" max="16117" width="6.42578125" style="1008" customWidth="1"/>
    <col min="16118" max="16118" width="13.140625" style="1008" customWidth="1"/>
    <col min="16119" max="16119" width="1" style="1008" customWidth="1"/>
    <col min="16120" max="16120" width="19.5703125" style="1008" customWidth="1"/>
    <col min="16121" max="16121" width="0.85546875" style="1008" customWidth="1"/>
    <col min="16122" max="16122" width="14.42578125" style="1008" customWidth="1"/>
    <col min="16123" max="16123" width="12.85546875" style="1008" customWidth="1"/>
    <col min="16124" max="16124" width="6.140625" style="1008" customWidth="1"/>
    <col min="16125" max="16126" width="11.42578125" style="1008"/>
    <col min="16127" max="16127" width="15.42578125" style="1008" customWidth="1"/>
    <col min="16128" max="16384" width="11.42578125" style="1008"/>
  </cols>
  <sheetData>
    <row r="1" spans="1:20" ht="9" hidden="1" customHeight="1" x14ac:dyDescent="0.2"/>
    <row r="2" spans="1:20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1"/>
    </row>
    <row r="3" spans="1:20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4"/>
    </row>
    <row r="4" spans="1:20" ht="16.5" thickTop="1" x14ac:dyDescent="0.25">
      <c r="A4" s="2875" t="str">
        <f>"INFORME DE EVALUACIÓN DE HOMOGENEIDAD N° "&amp;'F-LSCD-008'!J14&amp;" ALEPH/GR/LSCD"</f>
        <v>INFORME DE EVALUACIÓN DE HOMOGENEIDAD N° 017-2019 ALEPH/GR/LSCD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7"/>
    </row>
    <row r="5" spans="1:20" ht="15.75" x14ac:dyDescent="0.2">
      <c r="A5" s="2881" t="s">
        <v>1119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80"/>
    </row>
    <row r="6" spans="1:20" x14ac:dyDescent="0.2">
      <c r="A6" s="2885"/>
      <c r="B6" s="2886"/>
      <c r="C6" s="2886"/>
      <c r="D6" s="2886"/>
      <c r="E6" s="2886"/>
      <c r="F6" s="2886"/>
      <c r="G6" s="2886"/>
      <c r="H6" s="2886"/>
      <c r="I6" s="2886"/>
      <c r="J6" s="2886"/>
      <c r="K6" s="2886"/>
      <c r="L6" s="2886"/>
      <c r="M6" s="2886"/>
      <c r="N6" s="2886"/>
      <c r="O6" s="2886"/>
      <c r="P6" s="2886"/>
      <c r="Q6" s="2886"/>
      <c r="R6" s="2886"/>
      <c r="S6" s="2886"/>
      <c r="T6" s="2887"/>
    </row>
    <row r="7" spans="1:20" ht="13.5" customHeight="1" x14ac:dyDescent="0.2">
      <c r="A7" s="1009"/>
      <c r="B7" s="166" t="s">
        <v>1105</v>
      </c>
      <c r="D7" s="1010" t="s">
        <v>218</v>
      </c>
      <c r="E7" s="1008" t="str">
        <f>'F-LSCD-008'!H6</f>
        <v>ALEPH GROUP &amp; ASOCIADOS S.A.C.</v>
      </c>
      <c r="Q7" s="1018"/>
      <c r="R7" s="1019"/>
      <c r="S7" s="1019"/>
      <c r="T7" s="1011"/>
    </row>
    <row r="8" spans="1:20" x14ac:dyDescent="0.2">
      <c r="A8" s="1009"/>
      <c r="E8" s="3045" t="str">
        <f>'F-LSCD-008'!C7</f>
        <v>Av. Rafel Escardó, 154</v>
      </c>
      <c r="F8" s="2882"/>
      <c r="G8" s="2882"/>
      <c r="H8" s="2882"/>
      <c r="I8" s="2882"/>
      <c r="J8" s="2882"/>
      <c r="K8" s="2882"/>
      <c r="L8" s="2882"/>
      <c r="M8" s="2882"/>
      <c r="N8" s="2882"/>
      <c r="O8" s="2882"/>
      <c r="Q8" s="2906" t="s">
        <v>862</v>
      </c>
      <c r="R8" s="2930"/>
      <c r="S8" s="2930"/>
      <c r="T8" s="1011"/>
    </row>
    <row r="9" spans="1:20" x14ac:dyDescent="0.2">
      <c r="A9" s="1009"/>
      <c r="E9" s="1008" t="str">
        <f>'F-LSCD-008'!H7&amp;", "&amp;'F-LSCD-008'!K7&amp;", "&amp;'F-LSCD-008'!O7</f>
        <v>San Miguel, Lima, Lima</v>
      </c>
      <c r="Q9" s="2902"/>
      <c r="R9" s="2930"/>
      <c r="S9" s="2930"/>
      <c r="T9" s="1011"/>
    </row>
    <row r="10" spans="1:20" x14ac:dyDescent="0.2">
      <c r="A10" s="1009"/>
      <c r="Q10" s="2902"/>
      <c r="R10" s="2930"/>
      <c r="S10" s="2930"/>
      <c r="T10" s="1011"/>
    </row>
    <row r="11" spans="1:20" x14ac:dyDescent="0.2">
      <c r="A11" s="1009"/>
      <c r="B11" s="166" t="s">
        <v>1106</v>
      </c>
      <c r="D11" s="1010" t="s">
        <v>218</v>
      </c>
      <c r="E11" s="3046" t="str">
        <f>'F-LSCD-008'!C6</f>
        <v>Solicitud N° 017-2019, según F-LD-018</v>
      </c>
      <c r="F11" s="3046"/>
      <c r="G11" s="3046"/>
      <c r="H11" s="3046"/>
      <c r="I11" s="3046"/>
      <c r="J11" s="3046"/>
      <c r="K11" s="3046"/>
      <c r="L11" s="3046"/>
      <c r="M11" s="3046"/>
      <c r="N11" s="3046"/>
      <c r="O11" s="3046"/>
      <c r="P11" s="1016"/>
      <c r="Q11" s="2902"/>
      <c r="R11" s="2930"/>
      <c r="S11" s="2930"/>
      <c r="T11" s="1011"/>
    </row>
    <row r="12" spans="1:20" x14ac:dyDescent="0.2">
      <c r="A12" s="1009"/>
      <c r="B12" s="166"/>
      <c r="D12" s="1010"/>
      <c r="E12" s="3046"/>
      <c r="F12" s="3046"/>
      <c r="G12" s="3046"/>
      <c r="H12" s="3046"/>
      <c r="I12" s="3046"/>
      <c r="J12" s="3046"/>
      <c r="K12" s="3046"/>
      <c r="L12" s="3046"/>
      <c r="M12" s="3046"/>
      <c r="N12" s="3046"/>
      <c r="O12" s="3046"/>
      <c r="P12" s="1016"/>
      <c r="Q12" s="2902"/>
      <c r="R12" s="2930"/>
      <c r="S12" s="2930"/>
      <c r="T12" s="1011"/>
    </row>
    <row r="13" spans="1:20" x14ac:dyDescent="0.2">
      <c r="A13" s="1009"/>
      <c r="Q13" s="2902"/>
      <c r="R13" s="2930"/>
      <c r="S13" s="2930"/>
      <c r="T13" s="1011"/>
    </row>
    <row r="14" spans="1:20" x14ac:dyDescent="0.2">
      <c r="A14" s="1009"/>
      <c r="B14" s="166" t="s">
        <v>1154</v>
      </c>
      <c r="D14" s="1010" t="s">
        <v>218</v>
      </c>
      <c r="E14" s="1755" t="s">
        <v>1134</v>
      </c>
      <c r="F14" s="1745"/>
      <c r="G14" s="1745"/>
      <c r="H14" s="1745"/>
      <c r="I14" s="1745"/>
      <c r="J14" s="1745"/>
      <c r="K14" s="1745"/>
      <c r="L14" s="1745"/>
      <c r="M14" s="1745"/>
      <c r="N14" s="1745"/>
      <c r="O14" s="1745"/>
      <c r="P14" s="1017"/>
      <c r="Q14" s="1018"/>
      <c r="R14" s="1019"/>
      <c r="S14" s="1019"/>
      <c r="T14" s="1011"/>
    </row>
    <row r="15" spans="1:20" ht="12.75" customHeight="1" x14ac:dyDescent="0.2">
      <c r="A15" s="1009"/>
      <c r="B15" s="1010"/>
      <c r="D15" s="1010"/>
      <c r="E15" s="1745"/>
      <c r="F15" s="1745"/>
      <c r="G15" s="1745"/>
      <c r="H15" s="1745"/>
      <c r="I15" s="1745"/>
      <c r="J15" s="1745"/>
      <c r="K15" s="1745"/>
      <c r="L15" s="1745"/>
      <c r="M15" s="1745"/>
      <c r="N15" s="1745"/>
      <c r="O15" s="1745"/>
      <c r="P15" s="1017"/>
      <c r="Q15" s="2906" t="s">
        <v>1165</v>
      </c>
      <c r="R15" s="3047"/>
      <c r="S15" s="3047"/>
      <c r="T15" s="1011"/>
    </row>
    <row r="16" spans="1:20" ht="12.75" customHeight="1" x14ac:dyDescent="0.2">
      <c r="A16" s="1009"/>
      <c r="B16" s="166" t="s">
        <v>1151</v>
      </c>
      <c r="D16" s="1010" t="s">
        <v>218</v>
      </c>
      <c r="E16" s="2883" t="str">
        <f>'F-LSCD-008'!C9&amp;", Marca: "&amp;'F-LSCD-008'!H9&amp;", Modelo: "&amp;'F-LSCD-008'!N9</f>
        <v>Dosímetros personales, Marca: Panasonic, Modelo: UD 802-AT</v>
      </c>
      <c r="F16" s="2883"/>
      <c r="G16" s="2883"/>
      <c r="H16" s="2883"/>
      <c r="I16" s="2883"/>
      <c r="J16" s="2883"/>
      <c r="K16" s="2883"/>
      <c r="L16" s="2883"/>
      <c r="M16" s="2883"/>
      <c r="N16" s="2883"/>
      <c r="O16" s="2883"/>
      <c r="P16" s="1017"/>
      <c r="Q16" s="2906"/>
      <c r="R16" s="3047"/>
      <c r="S16" s="3047"/>
      <c r="T16" s="1011"/>
    </row>
    <row r="17" spans="1:20" ht="12.75" customHeight="1" x14ac:dyDescent="0.2">
      <c r="A17" s="1009"/>
      <c r="B17" s="166"/>
      <c r="D17" s="1010"/>
      <c r="E17" s="1755" t="s">
        <v>1161</v>
      </c>
      <c r="F17" s="1745"/>
      <c r="G17" s="1745"/>
      <c r="H17" s="1745"/>
      <c r="I17" s="1745"/>
      <c r="J17" s="1745"/>
      <c r="K17" s="1745"/>
      <c r="L17" s="1745"/>
      <c r="M17" s="1745"/>
      <c r="N17" s="1745"/>
      <c r="O17" s="1745"/>
      <c r="P17" s="1017"/>
      <c r="Q17" s="2906"/>
      <c r="R17" s="3047"/>
      <c r="S17" s="3047"/>
      <c r="T17" s="1011"/>
    </row>
    <row r="18" spans="1:20" x14ac:dyDescent="0.2">
      <c r="A18" s="1009"/>
      <c r="B18" s="1010"/>
      <c r="D18" s="1010"/>
      <c r="E18" s="2883"/>
      <c r="F18" s="2883"/>
      <c r="G18" s="2883"/>
      <c r="H18" s="2883"/>
      <c r="I18" s="2883"/>
      <c r="J18" s="2883"/>
      <c r="K18" s="2883"/>
      <c r="L18" s="2883"/>
      <c r="M18" s="2883"/>
      <c r="N18" s="2883"/>
      <c r="O18" s="2883"/>
      <c r="P18" s="1017"/>
      <c r="Q18" s="2906"/>
      <c r="R18" s="3047"/>
      <c r="S18" s="3047"/>
      <c r="T18" s="1011"/>
    </row>
    <row r="19" spans="1:20" x14ac:dyDescent="0.2">
      <c r="A19" s="1009"/>
      <c r="B19" s="175" t="s">
        <v>1153</v>
      </c>
      <c r="D19" s="175" t="s">
        <v>218</v>
      </c>
      <c r="E19" s="3048" t="str">
        <f>'F-LSCD-008'!C10</f>
        <v xml:space="preserve">Campo de radiación calibrado usando un fantoma, según ISO 4037-3 (2019), aplicado al PROC-LSCD-001 Irradiación controlada de dosímetros personales (versión 05)
</v>
      </c>
      <c r="F19" s="2908"/>
      <c r="G19" s="2908"/>
      <c r="H19" s="2908"/>
      <c r="I19" s="2908"/>
      <c r="J19" s="2908"/>
      <c r="K19" s="2908"/>
      <c r="L19" s="2908"/>
      <c r="M19" s="2908"/>
      <c r="N19" s="2908"/>
      <c r="O19" s="2908"/>
      <c r="P19" s="1021"/>
      <c r="Q19" s="2906"/>
      <c r="R19" s="3047"/>
      <c r="S19" s="3047"/>
      <c r="T19" s="1011"/>
    </row>
    <row r="20" spans="1:20" ht="27.75" customHeight="1" x14ac:dyDescent="0.2">
      <c r="A20" s="1009"/>
      <c r="E20" s="2908"/>
      <c r="F20" s="2908"/>
      <c r="G20" s="2908"/>
      <c r="H20" s="2908"/>
      <c r="I20" s="2908"/>
      <c r="J20" s="2908"/>
      <c r="K20" s="2908"/>
      <c r="L20" s="2908"/>
      <c r="M20" s="2908"/>
      <c r="N20" s="2908"/>
      <c r="O20" s="2908"/>
      <c r="P20" s="1021"/>
      <c r="Q20" s="2906"/>
      <c r="R20" s="3047"/>
      <c r="S20" s="3047"/>
      <c r="T20" s="1011"/>
    </row>
    <row r="21" spans="1:20" x14ac:dyDescent="0.2">
      <c r="A21" s="1009"/>
      <c r="E21" s="1021"/>
      <c r="F21" s="1021"/>
      <c r="G21" s="1021"/>
      <c r="H21" s="1021"/>
      <c r="I21" s="1021"/>
      <c r="J21" s="1021"/>
      <c r="K21" s="1021"/>
      <c r="L21" s="1021"/>
      <c r="M21" s="1021"/>
      <c r="N21" s="1021"/>
      <c r="O21" s="1021"/>
      <c r="P21" s="1021"/>
      <c r="Q21" s="2906"/>
      <c r="R21" s="3047"/>
      <c r="S21" s="3047"/>
      <c r="T21" s="1011"/>
    </row>
    <row r="22" spans="1:20" ht="39.75" customHeight="1" x14ac:dyDescent="0.2">
      <c r="A22" s="1009"/>
      <c r="B22" s="170" t="s">
        <v>1126</v>
      </c>
      <c r="D22" s="1272" t="s">
        <v>218</v>
      </c>
      <c r="E22" s="2908" t="str">
        <f>'F-LSCD-012'!C20</f>
        <v>Cámara de ionización patrón de 1 L , marca: PTW; modelo: TN32002; serie: 000568; Reporte de calibración de Kerma en aire DG: 13580-21 con fecha 2021-04-01 (NIST); trazable al NIST.</v>
      </c>
      <c r="F22" s="2908"/>
      <c r="G22" s="2908"/>
      <c r="H22" s="2908"/>
      <c r="I22" s="2908"/>
      <c r="J22" s="2908"/>
      <c r="K22" s="2908"/>
      <c r="L22" s="2908"/>
      <c r="M22" s="2908"/>
      <c r="N22" s="2908"/>
      <c r="O22" s="2908"/>
      <c r="P22" s="1021"/>
      <c r="Q22" s="2906"/>
      <c r="R22" s="3047"/>
      <c r="S22" s="3047"/>
      <c r="T22" s="1011"/>
    </row>
    <row r="23" spans="1:20" x14ac:dyDescent="0.2">
      <c r="A23" s="1009"/>
      <c r="E23" s="1021"/>
      <c r="F23" s="1021"/>
      <c r="G23" s="1021"/>
      <c r="H23" s="1021"/>
      <c r="I23" s="1021"/>
      <c r="J23" s="1021"/>
      <c r="K23" s="1021"/>
      <c r="L23" s="1021"/>
      <c r="M23" s="1021"/>
      <c r="N23" s="1021"/>
      <c r="O23" s="1021"/>
      <c r="P23" s="1021"/>
      <c r="Q23" s="2906"/>
      <c r="R23" s="3047"/>
      <c r="S23" s="3047"/>
      <c r="T23" s="1011"/>
    </row>
    <row r="24" spans="1:20" ht="14.25" customHeight="1" x14ac:dyDescent="0.2">
      <c r="A24" s="1009"/>
      <c r="B24" s="166" t="s">
        <v>1152</v>
      </c>
      <c r="D24" s="1010"/>
      <c r="Q24" s="2906"/>
      <c r="R24" s="3047"/>
      <c r="S24" s="3047"/>
      <c r="T24" s="1011"/>
    </row>
    <row r="25" spans="1:20" x14ac:dyDescent="0.2">
      <c r="A25" s="1009"/>
      <c r="E25" s="2909"/>
      <c r="F25" s="2909"/>
      <c r="G25" s="2909"/>
      <c r="H25" s="2909"/>
      <c r="I25" s="2909"/>
      <c r="J25" s="2909"/>
      <c r="K25" s="2909"/>
      <c r="L25" s="2909"/>
      <c r="M25" s="2909"/>
      <c r="N25" s="2909"/>
      <c r="O25" s="2909"/>
      <c r="Q25" s="2906"/>
      <c r="R25" s="3047"/>
      <c r="S25" s="3047"/>
      <c r="T25" s="1011"/>
    </row>
    <row r="26" spans="1:20" ht="12" customHeight="1" x14ac:dyDescent="0.2">
      <c r="A26" s="1009"/>
      <c r="C26" s="1401" t="s">
        <v>203</v>
      </c>
      <c r="D26" s="1022" t="s">
        <v>218</v>
      </c>
      <c r="E26" s="1275" t="str">
        <f>'F-LSCD-004'!H9</f>
        <v>S-Cs (ISO 4037-3)</v>
      </c>
      <c r="F26" s="1275"/>
      <c r="G26" s="1275"/>
      <c r="H26" s="1275"/>
      <c r="I26" s="1275"/>
      <c r="J26" s="1275"/>
      <c r="K26" s="1275"/>
      <c r="L26" s="1275"/>
      <c r="M26" s="1275"/>
      <c r="N26" s="1275"/>
      <c r="O26" s="1275"/>
      <c r="P26" s="1014"/>
      <c r="Q26" s="2906"/>
      <c r="R26" s="3047"/>
      <c r="S26" s="3047"/>
      <c r="T26" s="1011"/>
    </row>
    <row r="27" spans="1:20" ht="12" customHeight="1" x14ac:dyDescent="0.2">
      <c r="A27" s="1009"/>
      <c r="C27" s="1699" t="s">
        <v>138</v>
      </c>
      <c r="D27" s="227" t="s">
        <v>218</v>
      </c>
      <c r="E27" s="2910" t="str">
        <f>'F-LSCD-008'!C14</f>
        <v>Dosis equivalente personal, Hp(10) / Dosis equivalente personal, Hp(0,07)</v>
      </c>
      <c r="F27" s="2910"/>
      <c r="G27" s="2910"/>
      <c r="H27" s="2910"/>
      <c r="I27" s="2910"/>
      <c r="J27" s="2910"/>
      <c r="K27" s="2910"/>
      <c r="L27" s="2910"/>
      <c r="M27" s="2910"/>
      <c r="N27" s="2910"/>
      <c r="O27" s="2910"/>
      <c r="P27" s="1014"/>
      <c r="Q27" s="2906"/>
      <c r="R27" s="3047"/>
      <c r="S27" s="3047"/>
      <c r="T27" s="1011"/>
    </row>
    <row r="28" spans="1:20" x14ac:dyDescent="0.2">
      <c r="A28" s="1009"/>
      <c r="C28" s="1699" t="s">
        <v>1110</v>
      </c>
      <c r="D28" s="1022" t="s">
        <v>218</v>
      </c>
      <c r="E28" s="2888" t="str">
        <f>IF('F-LSCD-012'!D30="-","Inicio: "&amp;FIXED('F-LSCD-012'!D28,1)&amp;" °C ; "&amp;"Final: "&amp;FIXED('F-LSCD-012'!D29,1)&amp;" °C","Inicio: "&amp;FIXED('F-LSCD-012'!D28,1)&amp;" °C ; "&amp;"Final: "&amp;FIXED('F-LSCD-012'!D31,1)&amp;" °C")</f>
        <v>Inicio: 20.2 °C ; Final: 20.3 °C</v>
      </c>
      <c r="F28" s="2888"/>
      <c r="G28" s="2888"/>
      <c r="H28" s="2888"/>
      <c r="I28" s="2888"/>
      <c r="J28" s="2888"/>
      <c r="K28" s="2888"/>
      <c r="L28" s="2888"/>
      <c r="M28" s="2888"/>
      <c r="N28" s="2888"/>
      <c r="O28" s="1751"/>
      <c r="P28" s="1014"/>
      <c r="Q28" s="2906"/>
      <c r="R28" s="3047"/>
      <c r="S28" s="3047"/>
      <c r="T28" s="1011"/>
    </row>
    <row r="29" spans="1:20" x14ac:dyDescent="0.2">
      <c r="A29" s="1009"/>
      <c r="C29" s="1699" t="s">
        <v>1108</v>
      </c>
      <c r="D29" s="1022" t="s">
        <v>218</v>
      </c>
      <c r="E29" s="2888" t="str">
        <f>IF('F-LSCD-012'!H30="-","Inicio: "&amp;FIXED('F-LSCD-012'!H28,1)&amp;" hPa ; "&amp;"Final: "&amp;FIXED('F-LSCD-012'!H29,1)&amp;" hPa","Inicio: "&amp;FIXED('F-LSCD-012'!H28,1)&amp;" hPa ; "&amp;"Final: "&amp;FIXED('F-LSCD-012'!H31,1)&amp;" hPa")</f>
        <v>Inicio: 1,010.0 hPa ; Final: 1,010.2 hPa</v>
      </c>
      <c r="F29" s="2888"/>
      <c r="G29" s="2888"/>
      <c r="H29" s="2888"/>
      <c r="I29" s="2888"/>
      <c r="J29" s="2888"/>
      <c r="K29" s="2888"/>
      <c r="L29" s="2888"/>
      <c r="M29" s="2888"/>
      <c r="N29" s="2888"/>
      <c r="O29" s="1751"/>
      <c r="P29" s="1014"/>
      <c r="Q29" s="2906"/>
      <c r="R29" s="3047"/>
      <c r="S29" s="3047"/>
      <c r="T29" s="1011"/>
    </row>
    <row r="30" spans="1:20" x14ac:dyDescent="0.2">
      <c r="A30" s="1009"/>
      <c r="C30" s="1699" t="s">
        <v>1109</v>
      </c>
      <c r="D30" s="1022" t="s">
        <v>218</v>
      </c>
      <c r="E30" s="2888" t="str">
        <f>IF('F-LSCD-012'!F30="-","Inicio: "&amp;'F-LSCD-012'!F28&amp;" % ; "&amp;"Final: "&amp;'F-LSCD-012'!F29&amp;" %","Inicio: "&amp;'F-LSCD-012'!F28&amp;" % ; "&amp;"Final: "&amp;'F-LSCD-012'!F31&amp;" %")</f>
        <v>Inicio: 52 % ; Final: 53 %</v>
      </c>
      <c r="F30" s="2888"/>
      <c r="G30" s="2888"/>
      <c r="H30" s="2888"/>
      <c r="I30" s="2888"/>
      <c r="J30" s="2888"/>
      <c r="K30" s="2888"/>
      <c r="L30" s="2888"/>
      <c r="M30" s="2888"/>
      <c r="N30" s="2888"/>
      <c r="O30" s="1751"/>
      <c r="P30" s="1014"/>
      <c r="Q30" s="1766"/>
      <c r="R30" s="225"/>
      <c r="S30" s="225"/>
      <c r="T30" s="1011"/>
    </row>
    <row r="31" spans="1:20" ht="25.5" customHeight="1" x14ac:dyDescent="0.2">
      <c r="A31" s="1009"/>
      <c r="C31" s="1315" t="s">
        <v>1155</v>
      </c>
      <c r="D31" s="1280" t="s">
        <v>218</v>
      </c>
      <c r="E31" s="2912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31" s="2912"/>
      <c r="G31" s="2912"/>
      <c r="H31" s="2912"/>
      <c r="I31" s="2912"/>
      <c r="J31" s="2912"/>
      <c r="K31" s="2912"/>
      <c r="L31" s="2912"/>
      <c r="M31" s="2912"/>
      <c r="N31" s="2912"/>
      <c r="O31" s="2912"/>
      <c r="P31" s="1014"/>
      <c r="Q31" s="1766"/>
      <c r="R31" s="225"/>
      <c r="S31" s="225"/>
      <c r="T31" s="1011"/>
    </row>
    <row r="32" spans="1:20" ht="28.5" customHeight="1" x14ac:dyDescent="0.2">
      <c r="A32" s="1009"/>
      <c r="C32" s="1315" t="s">
        <v>231</v>
      </c>
      <c r="D32" s="1280" t="s">
        <v>218</v>
      </c>
      <c r="E32" s="2913" t="str">
        <f>'F-LSCD-008'!C13</f>
        <v>Punto medio de la superfice anterior y punto medio del espesor del dosímetro</v>
      </c>
      <c r="F32" s="2913"/>
      <c r="G32" s="2913"/>
      <c r="H32" s="2913"/>
      <c r="I32" s="2913"/>
      <c r="J32" s="2913"/>
      <c r="K32" s="2913"/>
      <c r="L32" s="2913"/>
      <c r="M32" s="2913"/>
      <c r="N32" s="2913"/>
      <c r="O32" s="2913"/>
      <c r="P32" s="1014"/>
      <c r="Q32" s="2904" t="s">
        <v>230</v>
      </c>
      <c r="R32" s="2905"/>
      <c r="S32" s="2905"/>
      <c r="T32" s="1011"/>
    </row>
    <row r="33" spans="1:20" x14ac:dyDescent="0.2">
      <c r="A33" s="1009"/>
      <c r="C33" s="1315"/>
      <c r="D33" s="1280"/>
      <c r="E33" s="1749"/>
      <c r="F33" s="1749"/>
      <c r="G33" s="1749"/>
      <c r="H33" s="1749"/>
      <c r="I33" s="1749"/>
      <c r="J33" s="1749"/>
      <c r="K33" s="1749"/>
      <c r="L33" s="1749"/>
      <c r="M33" s="1749"/>
      <c r="N33" s="1749"/>
      <c r="O33" s="1749"/>
      <c r="P33" s="1014"/>
      <c r="Q33" s="2904"/>
      <c r="R33" s="2905"/>
      <c r="S33" s="2905"/>
      <c r="T33" s="1011"/>
    </row>
    <row r="34" spans="1:20" ht="12.75" customHeight="1" x14ac:dyDescent="0.2">
      <c r="A34" s="1009"/>
      <c r="B34" s="1693" t="s">
        <v>1156</v>
      </c>
      <c r="C34" s="1264"/>
      <c r="D34" s="1022" t="s">
        <v>218</v>
      </c>
      <c r="E34" s="1765">
        <f>'F-LSCD-008'!L8</f>
        <v>43802</v>
      </c>
      <c r="F34" s="1765"/>
      <c r="G34" s="1765"/>
      <c r="H34" s="1276"/>
      <c r="I34" s="1276"/>
      <c r="J34" s="1276"/>
      <c r="K34" s="1276"/>
      <c r="L34" s="1276"/>
      <c r="M34" s="1277"/>
      <c r="N34" s="1275"/>
      <c r="O34" s="1275"/>
      <c r="P34" s="1014"/>
      <c r="Q34" s="1766"/>
      <c r="R34" s="225"/>
      <c r="S34" s="225"/>
      <c r="T34" s="1011"/>
    </row>
    <row r="35" spans="1:20" ht="15" x14ac:dyDescent="0.2">
      <c r="A35" s="1009"/>
      <c r="B35" s="1695"/>
      <c r="C35" s="1694"/>
      <c r="D35" s="1022"/>
      <c r="E35" s="1748"/>
      <c r="F35" s="1748"/>
      <c r="G35" s="1748"/>
      <c r="H35" s="1276"/>
      <c r="I35" s="1276"/>
      <c r="J35" s="1276"/>
      <c r="K35" s="1276"/>
      <c r="L35" s="1276"/>
      <c r="M35" s="1277"/>
      <c r="N35" s="1275"/>
      <c r="O35" s="1275"/>
      <c r="P35" s="1014"/>
      <c r="Q35" s="1766"/>
      <c r="R35" s="225"/>
      <c r="S35" s="225"/>
      <c r="T35" s="1011"/>
    </row>
    <row r="36" spans="1:20" ht="15" customHeight="1" x14ac:dyDescent="0.2">
      <c r="A36" s="1009"/>
      <c r="B36" s="1693" t="s">
        <v>1129</v>
      </c>
      <c r="C36" s="1697"/>
      <c r="D36" s="1022" t="s">
        <v>218</v>
      </c>
      <c r="E36" s="2911">
        <f>'F-LSCD-008'!N14</f>
        <v>43802</v>
      </c>
      <c r="F36" s="2911"/>
      <c r="G36" s="2911"/>
      <c r="H36" s="1278"/>
      <c r="I36" s="1278"/>
      <c r="J36" s="1278"/>
      <c r="K36" s="1278"/>
      <c r="L36" s="1278"/>
      <c r="M36" s="1279"/>
      <c r="N36" s="1279"/>
      <c r="O36" s="1279"/>
      <c r="P36" s="1027"/>
      <c r="Q36" s="1766"/>
      <c r="R36" s="225"/>
      <c r="S36" s="225"/>
      <c r="T36" s="1011"/>
    </row>
    <row r="37" spans="1:20" x14ac:dyDescent="0.2">
      <c r="A37" s="1009"/>
      <c r="C37" s="1315"/>
      <c r="D37" s="1280"/>
      <c r="E37" s="1749"/>
      <c r="F37" s="1749"/>
      <c r="G37" s="1749"/>
      <c r="H37" s="1749"/>
      <c r="I37" s="1749"/>
      <c r="J37" s="1749"/>
      <c r="K37" s="1749"/>
      <c r="L37" s="1749"/>
      <c r="M37" s="1749"/>
      <c r="N37" s="1749"/>
      <c r="O37" s="1749"/>
      <c r="P37" s="1014"/>
      <c r="Q37" s="1698"/>
      <c r="R37" s="1698"/>
      <c r="S37" s="1698"/>
      <c r="T37" s="1011"/>
    </row>
    <row r="38" spans="1:20" ht="15" customHeight="1" x14ac:dyDescent="0.2">
      <c r="A38" s="1009"/>
      <c r="B38" s="226" t="s">
        <v>1157</v>
      </c>
      <c r="C38" s="1010"/>
      <c r="D38" s="1029"/>
      <c r="E38" s="1029"/>
      <c r="F38" s="1010"/>
      <c r="G38" s="1010"/>
      <c r="H38" s="1010"/>
      <c r="I38" s="1010"/>
      <c r="J38" s="1010"/>
      <c r="K38" s="1010"/>
      <c r="L38" s="1010"/>
      <c r="T38" s="1011"/>
    </row>
    <row r="39" spans="1:20" x14ac:dyDescent="0.2">
      <c r="A39" s="1009"/>
      <c r="C39" s="1757"/>
      <c r="D39" s="1757"/>
      <c r="E39" s="1758"/>
      <c r="F39" s="1758"/>
      <c r="G39" s="1758"/>
      <c r="H39" s="1758"/>
      <c r="I39" s="1759"/>
      <c r="J39" s="1760"/>
      <c r="K39" s="1758"/>
      <c r="L39" s="1758"/>
      <c r="M39" s="1761"/>
      <c r="N39" s="1761"/>
      <c r="O39" s="1761"/>
      <c r="P39" s="199"/>
      <c r="Q39" s="1032"/>
      <c r="R39" s="1756"/>
      <c r="S39" s="1756"/>
      <c r="T39" s="1762"/>
    </row>
    <row r="40" spans="1:20" ht="15" customHeight="1" x14ac:dyDescent="0.2">
      <c r="A40" s="1009"/>
      <c r="C40" s="2889" t="str">
        <f>IF('F-LSCD-012'!I24="Tasa de dosis equivalente ambiental, H*(10)","VCV de la tasa de dosis equivalente ambiental H*(10)",IF('F-LSCD-012'!I24="Dosis equivalente personal, Hp(10)","VCV de la dosis equivalente personal Hp(10)",IF('F-LSCD-012'!I24="Dosis equivalente personal, Hp(0,07)","VCV de la dosis equivalente personal Hp(0,07) (mSv)",IF('F-LSCD-012'!I24="Dosis absorbida, D(10)","VCV de la dosis absorbida D(10) (mGy)"))))</f>
        <v>VCV de la dosis equivalente personal Hp(10)</v>
      </c>
      <c r="D40" s="2890"/>
      <c r="E40" s="2853" t="s">
        <v>1162</v>
      </c>
      <c r="F40" s="2854"/>
      <c r="G40" s="2854"/>
      <c r="H40" s="2857"/>
      <c r="I40" s="2853" t="s">
        <v>1163</v>
      </c>
      <c r="J40" s="2854"/>
      <c r="K40" s="2854"/>
      <c r="L40" s="2857"/>
      <c r="M40" s="2853" t="s">
        <v>1158</v>
      </c>
      <c r="N40" s="2854"/>
      <c r="O40" s="2854"/>
      <c r="P40" s="2854"/>
      <c r="Q40" s="2857"/>
      <c r="R40" s="3037" t="s">
        <v>1159</v>
      </c>
      <c r="T40" s="1011"/>
    </row>
    <row r="41" spans="1:20" ht="22.5" customHeight="1" x14ac:dyDescent="0.2">
      <c r="A41" s="1009"/>
      <c r="C41" s="2891"/>
      <c r="D41" s="2892"/>
      <c r="E41" s="2896"/>
      <c r="F41" s="3039"/>
      <c r="G41" s="3039"/>
      <c r="H41" s="3040"/>
      <c r="I41" s="2896"/>
      <c r="J41" s="3039"/>
      <c r="K41" s="3039"/>
      <c r="L41" s="3040"/>
      <c r="M41" s="2896"/>
      <c r="N41" s="3039"/>
      <c r="O41" s="3039"/>
      <c r="P41" s="3039"/>
      <c r="Q41" s="3040"/>
      <c r="R41" s="3038"/>
      <c r="S41" s="1031"/>
      <c r="T41" s="1011"/>
    </row>
    <row r="42" spans="1:20" x14ac:dyDescent="0.2">
      <c r="A42" s="1009"/>
      <c r="C42" s="2936"/>
      <c r="D42" s="2937"/>
      <c r="E42" s="2855"/>
      <c r="F42" s="2856"/>
      <c r="G42" s="2856"/>
      <c r="H42" s="2858"/>
      <c r="I42" s="2855"/>
      <c r="J42" s="2856"/>
      <c r="K42" s="2856"/>
      <c r="L42" s="2858"/>
      <c r="M42" s="2855"/>
      <c r="N42" s="2856"/>
      <c r="O42" s="2856"/>
      <c r="P42" s="2856"/>
      <c r="Q42" s="2858"/>
      <c r="R42" s="3038"/>
      <c r="S42" s="1032"/>
      <c r="T42" s="1011"/>
    </row>
    <row r="43" spans="1:20" x14ac:dyDescent="0.2">
      <c r="A43" s="1009"/>
      <c r="C43" s="2851" t="str">
        <f>IF('F-LSCD-012'!A34="-","-",FIXED('F-LSCD-012'!A34,'F-LSCD-012'!W34+1)&amp;" mSv")</f>
        <v>25,000.0 mSv</v>
      </c>
      <c r="D43" s="2851"/>
      <c r="E43" s="3044" t="str">
        <f>IF('F-LSCD-012'!A34="-","-",FIXED('F-LSCD-012'!C34,'F-LSCD-012'!W34)&amp;" "&amp;'F-LSCD-012'!N34)</f>
        <v>2,474 mrem</v>
      </c>
      <c r="F43" s="2965"/>
      <c r="G43" s="2965"/>
      <c r="H43" s="2966"/>
      <c r="I43" s="3044" t="str">
        <f>IF('F-LSCD-012'!A34="-","-",FIXED('F-LSCD-012'!L34,'F-LSCD-012'!W34)&amp;" "&amp;'F-LSCD-012'!N34)</f>
        <v>2,474 mrem</v>
      </c>
      <c r="J43" s="2965"/>
      <c r="K43" s="2965"/>
      <c r="L43" s="2966"/>
      <c r="M43" s="3041">
        <f>('F-LSCD-012'!L34-'F-LSCD-012'!C34)/'F-LSCD-012'!C34</f>
        <v>0</v>
      </c>
      <c r="N43" s="3042"/>
      <c r="O43" s="3042"/>
      <c r="P43" s="3042"/>
      <c r="Q43" s="3043"/>
      <c r="R43" s="1764" t="s">
        <v>1160</v>
      </c>
      <c r="S43" s="1032"/>
      <c r="T43" s="1011"/>
    </row>
    <row r="44" spans="1:20" x14ac:dyDescent="0.2">
      <c r="A44" s="1009"/>
      <c r="C44" s="1702" t="s">
        <v>1136</v>
      </c>
      <c r="D44" s="1753"/>
      <c r="E44" s="1752"/>
      <c r="F44" s="1752"/>
      <c r="G44" s="1752"/>
      <c r="H44" s="1752"/>
      <c r="I44" s="1752"/>
      <c r="J44" s="1752"/>
      <c r="K44" s="1752"/>
      <c r="L44" s="1752"/>
      <c r="M44" s="1701"/>
      <c r="N44" s="1701"/>
      <c r="O44" s="1754"/>
      <c r="P44" s="1754"/>
      <c r="Q44" s="1754"/>
      <c r="R44" s="1010"/>
      <c r="S44" s="1010"/>
      <c r="T44" s="1011"/>
    </row>
    <row r="45" spans="1:20" ht="46.5" customHeight="1" x14ac:dyDescent="0.2">
      <c r="A45" s="1009"/>
      <c r="C45" s="1401" t="s">
        <v>1164</v>
      </c>
      <c r="D45" s="1262"/>
      <c r="E45" s="1262"/>
      <c r="F45" s="1262"/>
      <c r="G45" s="1262"/>
      <c r="H45" s="1262"/>
      <c r="I45" s="1262"/>
      <c r="J45" s="1262"/>
      <c r="K45" s="1262"/>
      <c r="L45" s="1262"/>
      <c r="M45" s="1763"/>
      <c r="N45" s="1435"/>
      <c r="O45" s="1262"/>
      <c r="P45" s="1262"/>
      <c r="Q45" s="1262"/>
      <c r="R45" s="1315"/>
      <c r="S45" s="1262"/>
      <c r="T45" s="1011"/>
    </row>
    <row r="46" spans="1:20" ht="44.25" customHeight="1" x14ac:dyDescent="0.2">
      <c r="A46" s="1009"/>
      <c r="C46" s="180"/>
      <c r="D46" s="1262"/>
      <c r="E46" s="1262"/>
      <c r="F46" s="1262"/>
      <c r="G46" s="1262"/>
      <c r="H46" s="1262"/>
      <c r="I46" s="1262"/>
      <c r="J46" s="1262"/>
      <c r="K46" s="1262"/>
      <c r="L46" s="1262"/>
      <c r="M46" s="1262"/>
      <c r="N46" s="1262"/>
      <c r="O46" s="1262"/>
      <c r="P46" s="1262"/>
      <c r="Q46" s="1262"/>
      <c r="R46" s="1262"/>
      <c r="S46" s="1262"/>
      <c r="T46" s="1011"/>
    </row>
    <row r="47" spans="1:20" ht="15" customHeight="1" x14ac:dyDescent="0.2">
      <c r="A47" s="1009"/>
      <c r="B47" s="1033"/>
      <c r="G47" s="1744"/>
      <c r="H47" s="1744"/>
      <c r="I47" s="1744"/>
      <c r="J47" s="1744"/>
      <c r="K47" s="1744"/>
      <c r="L47" s="2862"/>
      <c r="M47" s="2862"/>
      <c r="N47" s="2862"/>
      <c r="O47" s="2862"/>
      <c r="P47" s="2862"/>
      <c r="Q47" s="2862"/>
      <c r="R47" s="1744"/>
      <c r="S47" s="1020"/>
      <c r="T47" s="1011"/>
    </row>
    <row r="48" spans="1:20" ht="3" customHeight="1" thickBot="1" x14ac:dyDescent="0.25">
      <c r="A48" s="1036"/>
      <c r="B48" s="1037"/>
      <c r="C48" s="1037"/>
      <c r="D48" s="1037"/>
      <c r="E48" s="1037"/>
      <c r="F48" s="1037"/>
      <c r="G48" s="1037"/>
      <c r="H48" s="1037"/>
      <c r="I48" s="1037"/>
      <c r="J48" s="1037"/>
      <c r="K48" s="1037"/>
      <c r="L48" s="1037"/>
      <c r="M48" s="1037"/>
      <c r="N48" s="1037"/>
      <c r="O48" s="1037"/>
      <c r="P48" s="1037"/>
      <c r="Q48" s="1037"/>
      <c r="R48" s="1037"/>
      <c r="S48" s="1037"/>
      <c r="T48" s="1038"/>
    </row>
    <row r="49" spans="1:21" ht="15.75" thickTop="1" x14ac:dyDescent="0.25">
      <c r="A49" s="2863" t="s">
        <v>260</v>
      </c>
      <c r="B49" s="2864"/>
      <c r="C49" s="2864"/>
      <c r="D49" s="2864"/>
      <c r="E49" s="2864"/>
      <c r="F49" s="2864"/>
      <c r="G49" s="2864"/>
      <c r="H49" s="2864"/>
      <c r="I49" s="2864"/>
      <c r="J49" s="2864"/>
      <c r="K49" s="2864"/>
      <c r="L49" s="2864"/>
      <c r="M49" s="2864"/>
      <c r="N49" s="2864"/>
      <c r="O49" s="2864"/>
      <c r="P49" s="2864"/>
      <c r="Q49" s="2864"/>
      <c r="R49" s="2864"/>
      <c r="S49" s="2864"/>
      <c r="T49" s="2865"/>
    </row>
    <row r="50" spans="1:21" ht="11.25" customHeight="1" thickBot="1" x14ac:dyDescent="0.25">
      <c r="A50" s="2859" t="s">
        <v>810</v>
      </c>
      <c r="B50" s="2860"/>
      <c r="C50" s="2860"/>
      <c r="D50" s="2860"/>
      <c r="E50" s="2860"/>
      <c r="F50" s="2860"/>
      <c r="G50" s="2860"/>
      <c r="H50" s="2860"/>
      <c r="I50" s="2860"/>
      <c r="J50" s="2860"/>
      <c r="K50" s="2860"/>
      <c r="L50" s="2860"/>
      <c r="M50" s="2860"/>
      <c r="N50" s="2860"/>
      <c r="O50" s="2860"/>
      <c r="P50" s="2860"/>
      <c r="Q50" s="2860"/>
      <c r="R50" s="2860"/>
      <c r="S50" s="2860"/>
      <c r="T50" s="2861"/>
      <c r="U50" s="1039"/>
    </row>
    <row r="51" spans="1:21" x14ac:dyDescent="0.2">
      <c r="A51" s="1356" t="s">
        <v>907</v>
      </c>
      <c r="B51" s="163"/>
      <c r="S51" s="1357" t="str">
        <f>A4</f>
        <v>INFORME DE EVALUACIÓN DE HOMOGENEIDAD N° 017-2019 ALEPH/GR/LSCD</v>
      </c>
    </row>
  </sheetData>
  <autoFilter ref="C40:Q44" xr:uid="{00000000-0009-0000-0000-00001B000000}">
    <filterColumn colId="0" showButton="0">
      <filters blank="1">
        <filter val="5 000,0 µSv/h"/>
        <filter val="5,00 µSv/h"/>
        <filter val="50,00 µSv/h"/>
        <filter val="500,00 µSv/h"/>
        <filter val="El símbolo &quot;-&quot; significa que no se realizó dicha medición (no fue necesario realizar ajuste al equipo)"/>
        <filter val="Promedio FC = 0,61"/>
        <filter val="VCV = Valor convencionalmente verdadero"/>
      </filters>
    </filterColumn>
    <filterColumn colId="2" showButton="0"/>
    <filterColumn colId="3" showButton="0"/>
    <filterColumn colId="4" showButton="0"/>
    <filterColumn colId="6" showButton="0"/>
    <filterColumn colId="7" showButton="0"/>
    <filterColumn colId="8" showButton="0"/>
    <filterColumn colId="10" showButton="0"/>
    <filterColumn colId="12" showButton="0"/>
    <filterColumn colId="13" showButton="0"/>
  </autoFilter>
  <mergeCells count="33">
    <mergeCell ref="Q32:S33"/>
    <mergeCell ref="Q15:S29"/>
    <mergeCell ref="E18:O18"/>
    <mergeCell ref="E19:O20"/>
    <mergeCell ref="E22:O22"/>
    <mergeCell ref="A2:T3"/>
    <mergeCell ref="A4:T4"/>
    <mergeCell ref="A5:T5"/>
    <mergeCell ref="A6:T6"/>
    <mergeCell ref="E16:O16"/>
    <mergeCell ref="E8:O8"/>
    <mergeCell ref="Q8:S13"/>
    <mergeCell ref="E11:O12"/>
    <mergeCell ref="E36:G36"/>
    <mergeCell ref="C40:D42"/>
    <mergeCell ref="E25:O25"/>
    <mergeCell ref="E27:O27"/>
    <mergeCell ref="E28:N28"/>
    <mergeCell ref="E29:N29"/>
    <mergeCell ref="E30:N30"/>
    <mergeCell ref="E31:O31"/>
    <mergeCell ref="E32:O32"/>
    <mergeCell ref="L47:Q47"/>
    <mergeCell ref="A49:T49"/>
    <mergeCell ref="A50:T50"/>
    <mergeCell ref="C43:D43"/>
    <mergeCell ref="E43:H43"/>
    <mergeCell ref="I43:L43"/>
    <mergeCell ref="R40:R42"/>
    <mergeCell ref="E40:H42"/>
    <mergeCell ref="I40:L42"/>
    <mergeCell ref="M40:Q42"/>
    <mergeCell ref="M43:Q43"/>
  </mergeCells>
  <conditionalFormatting sqref="E36 E8 P8 P27 P29:P33 E29:E33 E26:P26 M36:P36 N34:P35 E7:P7 E9:P9">
    <cfRule type="cellIs" dxfId="162" priority="10" operator="equal">
      <formula>0</formula>
    </cfRule>
  </conditionalFormatting>
  <conditionalFormatting sqref="E36 E8 P8 P27 P29:P33 E29:E33 E26:P26 M36:P36 N34:P35 E7:P7 E9:P9">
    <cfRule type="containsErrors" dxfId="161" priority="9">
      <formula>ISERROR(E7)</formula>
    </cfRule>
  </conditionalFormatting>
  <conditionalFormatting sqref="E34:E35">
    <cfRule type="cellIs" dxfId="160" priority="8" operator="equal">
      <formula>0</formula>
    </cfRule>
  </conditionalFormatting>
  <conditionalFormatting sqref="E34:E35">
    <cfRule type="containsErrors" dxfId="159" priority="7">
      <formula>ISERROR(E34)</formula>
    </cfRule>
  </conditionalFormatting>
  <conditionalFormatting sqref="E27">
    <cfRule type="cellIs" dxfId="158" priority="6" operator="equal">
      <formula>0</formula>
    </cfRule>
  </conditionalFormatting>
  <conditionalFormatting sqref="E27">
    <cfRule type="containsErrors" dxfId="157" priority="5">
      <formula>ISERROR(E27)</formula>
    </cfRule>
  </conditionalFormatting>
  <conditionalFormatting sqref="P28 E28">
    <cfRule type="containsErrors" dxfId="156" priority="3">
      <formula>ISERROR(E28)</formula>
    </cfRule>
  </conditionalFormatting>
  <conditionalFormatting sqref="P28 E28">
    <cfRule type="cellIs" dxfId="155" priority="4" operator="equal">
      <formula>0</formula>
    </cfRule>
  </conditionalFormatting>
  <conditionalFormatting sqref="P37 E37">
    <cfRule type="cellIs" dxfId="154" priority="2" operator="equal">
      <formula>0</formula>
    </cfRule>
  </conditionalFormatting>
  <conditionalFormatting sqref="P37 E37">
    <cfRule type="containsErrors" dxfId="153" priority="1">
      <formula>ISERROR(E37)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U69"/>
  <sheetViews>
    <sheetView view="pageBreakPreview" topLeftCell="A2" zoomScaleNormal="100" zoomScaleSheetLayoutView="100" workbookViewId="0">
      <selection activeCell="U42" sqref="U42"/>
    </sheetView>
  </sheetViews>
  <sheetFormatPr baseColWidth="10" defaultColWidth="11.42578125" defaultRowHeight="12.75" x14ac:dyDescent="0.2"/>
  <cols>
    <col min="1" max="1" width="2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3" style="1008" customWidth="1"/>
    <col min="7" max="7" width="6.140625" style="1008" customWidth="1"/>
    <col min="8" max="8" width="4.42578125" style="1008" customWidth="1"/>
    <col min="9" max="9" width="3.5703125" style="1008" customWidth="1"/>
    <col min="10" max="10" width="5.85546875" style="1008" customWidth="1"/>
    <col min="11" max="11" width="3.5703125" style="1008" customWidth="1"/>
    <col min="12" max="12" width="6.28515625" style="1008" customWidth="1"/>
    <col min="13" max="13" width="3.28515625" style="1008" customWidth="1"/>
    <col min="14" max="14" width="6.140625" style="1008" customWidth="1"/>
    <col min="15" max="15" width="1.7109375" style="1008" customWidth="1"/>
    <col min="16" max="16" width="1" style="1008" customWidth="1"/>
    <col min="17" max="17" width="3.28515625" style="1008" customWidth="1"/>
    <col min="18" max="18" width="11.7109375" style="1008" customWidth="1"/>
    <col min="19" max="19" width="6.140625" style="1008" customWidth="1"/>
    <col min="20" max="20" width="1.140625" style="1008" customWidth="1"/>
    <col min="21" max="239" width="11.42578125" style="1008"/>
    <col min="240" max="240" width="2.28515625" style="1008" customWidth="1"/>
    <col min="241" max="241" width="2.7109375" style="1008" customWidth="1"/>
    <col min="242" max="242" width="2.42578125" style="1008" customWidth="1"/>
    <col min="243" max="243" width="17.7109375" style="1008" customWidth="1"/>
    <col min="244" max="244" width="1.5703125" style="1008" customWidth="1"/>
    <col min="245" max="245" width="6.42578125" style="1008" customWidth="1"/>
    <col min="246" max="246" width="13.140625" style="1008" customWidth="1"/>
    <col min="247" max="247" width="1" style="1008" customWidth="1"/>
    <col min="248" max="248" width="19.5703125" style="1008" customWidth="1"/>
    <col min="249" max="249" width="0.85546875" style="1008" customWidth="1"/>
    <col min="250" max="250" width="14.42578125" style="1008" customWidth="1"/>
    <col min="251" max="251" width="12.85546875" style="1008" customWidth="1"/>
    <col min="252" max="252" width="6.140625" style="1008" customWidth="1"/>
    <col min="253" max="254" width="11.42578125" style="1008"/>
    <col min="255" max="255" width="15.42578125" style="1008" customWidth="1"/>
    <col min="256" max="495" width="11.42578125" style="1008"/>
    <col min="496" max="496" width="2.28515625" style="1008" customWidth="1"/>
    <col min="497" max="497" width="2.7109375" style="1008" customWidth="1"/>
    <col min="498" max="498" width="2.42578125" style="1008" customWidth="1"/>
    <col min="499" max="499" width="17.7109375" style="1008" customWidth="1"/>
    <col min="500" max="500" width="1.5703125" style="1008" customWidth="1"/>
    <col min="501" max="501" width="6.42578125" style="1008" customWidth="1"/>
    <col min="502" max="502" width="13.140625" style="1008" customWidth="1"/>
    <col min="503" max="503" width="1" style="1008" customWidth="1"/>
    <col min="504" max="504" width="19.5703125" style="1008" customWidth="1"/>
    <col min="505" max="505" width="0.85546875" style="1008" customWidth="1"/>
    <col min="506" max="506" width="14.42578125" style="1008" customWidth="1"/>
    <col min="507" max="507" width="12.85546875" style="1008" customWidth="1"/>
    <col min="508" max="508" width="6.140625" style="1008" customWidth="1"/>
    <col min="509" max="510" width="11.42578125" style="1008"/>
    <col min="511" max="511" width="15.42578125" style="1008" customWidth="1"/>
    <col min="512" max="751" width="11.42578125" style="1008"/>
    <col min="752" max="752" width="2.28515625" style="1008" customWidth="1"/>
    <col min="753" max="753" width="2.7109375" style="1008" customWidth="1"/>
    <col min="754" max="754" width="2.42578125" style="1008" customWidth="1"/>
    <col min="755" max="755" width="17.7109375" style="1008" customWidth="1"/>
    <col min="756" max="756" width="1.5703125" style="1008" customWidth="1"/>
    <col min="757" max="757" width="6.42578125" style="1008" customWidth="1"/>
    <col min="758" max="758" width="13.140625" style="1008" customWidth="1"/>
    <col min="759" max="759" width="1" style="1008" customWidth="1"/>
    <col min="760" max="760" width="19.5703125" style="1008" customWidth="1"/>
    <col min="761" max="761" width="0.85546875" style="1008" customWidth="1"/>
    <col min="762" max="762" width="14.42578125" style="1008" customWidth="1"/>
    <col min="763" max="763" width="12.85546875" style="1008" customWidth="1"/>
    <col min="764" max="764" width="6.140625" style="1008" customWidth="1"/>
    <col min="765" max="766" width="11.42578125" style="1008"/>
    <col min="767" max="767" width="15.42578125" style="1008" customWidth="1"/>
    <col min="768" max="1007" width="11.42578125" style="1008"/>
    <col min="1008" max="1008" width="2.28515625" style="1008" customWidth="1"/>
    <col min="1009" max="1009" width="2.7109375" style="1008" customWidth="1"/>
    <col min="1010" max="1010" width="2.42578125" style="1008" customWidth="1"/>
    <col min="1011" max="1011" width="17.7109375" style="1008" customWidth="1"/>
    <col min="1012" max="1012" width="1.5703125" style="1008" customWidth="1"/>
    <col min="1013" max="1013" width="6.42578125" style="1008" customWidth="1"/>
    <col min="1014" max="1014" width="13.140625" style="1008" customWidth="1"/>
    <col min="1015" max="1015" width="1" style="1008" customWidth="1"/>
    <col min="1016" max="1016" width="19.5703125" style="1008" customWidth="1"/>
    <col min="1017" max="1017" width="0.85546875" style="1008" customWidth="1"/>
    <col min="1018" max="1018" width="14.42578125" style="1008" customWidth="1"/>
    <col min="1019" max="1019" width="12.85546875" style="1008" customWidth="1"/>
    <col min="1020" max="1020" width="6.140625" style="1008" customWidth="1"/>
    <col min="1021" max="1022" width="11.42578125" style="1008"/>
    <col min="1023" max="1023" width="15.42578125" style="1008" customWidth="1"/>
    <col min="1024" max="1263" width="11.42578125" style="1008"/>
    <col min="1264" max="1264" width="2.28515625" style="1008" customWidth="1"/>
    <col min="1265" max="1265" width="2.7109375" style="1008" customWidth="1"/>
    <col min="1266" max="1266" width="2.42578125" style="1008" customWidth="1"/>
    <col min="1267" max="1267" width="17.7109375" style="1008" customWidth="1"/>
    <col min="1268" max="1268" width="1.5703125" style="1008" customWidth="1"/>
    <col min="1269" max="1269" width="6.42578125" style="1008" customWidth="1"/>
    <col min="1270" max="1270" width="13.140625" style="1008" customWidth="1"/>
    <col min="1271" max="1271" width="1" style="1008" customWidth="1"/>
    <col min="1272" max="1272" width="19.5703125" style="1008" customWidth="1"/>
    <col min="1273" max="1273" width="0.85546875" style="1008" customWidth="1"/>
    <col min="1274" max="1274" width="14.42578125" style="1008" customWidth="1"/>
    <col min="1275" max="1275" width="12.85546875" style="1008" customWidth="1"/>
    <col min="1276" max="1276" width="6.140625" style="1008" customWidth="1"/>
    <col min="1277" max="1278" width="11.42578125" style="1008"/>
    <col min="1279" max="1279" width="15.42578125" style="1008" customWidth="1"/>
    <col min="1280" max="1519" width="11.42578125" style="1008"/>
    <col min="1520" max="1520" width="2.28515625" style="1008" customWidth="1"/>
    <col min="1521" max="1521" width="2.7109375" style="1008" customWidth="1"/>
    <col min="1522" max="1522" width="2.42578125" style="1008" customWidth="1"/>
    <col min="1523" max="1523" width="17.7109375" style="1008" customWidth="1"/>
    <col min="1524" max="1524" width="1.5703125" style="1008" customWidth="1"/>
    <col min="1525" max="1525" width="6.42578125" style="1008" customWidth="1"/>
    <col min="1526" max="1526" width="13.140625" style="1008" customWidth="1"/>
    <col min="1527" max="1527" width="1" style="1008" customWidth="1"/>
    <col min="1528" max="1528" width="19.5703125" style="1008" customWidth="1"/>
    <col min="1529" max="1529" width="0.85546875" style="1008" customWidth="1"/>
    <col min="1530" max="1530" width="14.42578125" style="1008" customWidth="1"/>
    <col min="1531" max="1531" width="12.85546875" style="1008" customWidth="1"/>
    <col min="1532" max="1532" width="6.140625" style="1008" customWidth="1"/>
    <col min="1533" max="1534" width="11.42578125" style="1008"/>
    <col min="1535" max="1535" width="15.42578125" style="1008" customWidth="1"/>
    <col min="1536" max="1775" width="11.42578125" style="1008"/>
    <col min="1776" max="1776" width="2.28515625" style="1008" customWidth="1"/>
    <col min="1777" max="1777" width="2.7109375" style="1008" customWidth="1"/>
    <col min="1778" max="1778" width="2.42578125" style="1008" customWidth="1"/>
    <col min="1779" max="1779" width="17.7109375" style="1008" customWidth="1"/>
    <col min="1780" max="1780" width="1.5703125" style="1008" customWidth="1"/>
    <col min="1781" max="1781" width="6.42578125" style="1008" customWidth="1"/>
    <col min="1782" max="1782" width="13.140625" style="1008" customWidth="1"/>
    <col min="1783" max="1783" width="1" style="1008" customWidth="1"/>
    <col min="1784" max="1784" width="19.5703125" style="1008" customWidth="1"/>
    <col min="1785" max="1785" width="0.85546875" style="1008" customWidth="1"/>
    <col min="1786" max="1786" width="14.42578125" style="1008" customWidth="1"/>
    <col min="1787" max="1787" width="12.85546875" style="1008" customWidth="1"/>
    <col min="1788" max="1788" width="6.140625" style="1008" customWidth="1"/>
    <col min="1789" max="1790" width="11.42578125" style="1008"/>
    <col min="1791" max="1791" width="15.42578125" style="1008" customWidth="1"/>
    <col min="1792" max="2031" width="11.42578125" style="1008"/>
    <col min="2032" max="2032" width="2.28515625" style="1008" customWidth="1"/>
    <col min="2033" max="2033" width="2.7109375" style="1008" customWidth="1"/>
    <col min="2034" max="2034" width="2.42578125" style="1008" customWidth="1"/>
    <col min="2035" max="2035" width="17.7109375" style="1008" customWidth="1"/>
    <col min="2036" max="2036" width="1.5703125" style="1008" customWidth="1"/>
    <col min="2037" max="2037" width="6.42578125" style="1008" customWidth="1"/>
    <col min="2038" max="2038" width="13.140625" style="1008" customWidth="1"/>
    <col min="2039" max="2039" width="1" style="1008" customWidth="1"/>
    <col min="2040" max="2040" width="19.5703125" style="1008" customWidth="1"/>
    <col min="2041" max="2041" width="0.85546875" style="1008" customWidth="1"/>
    <col min="2042" max="2042" width="14.42578125" style="1008" customWidth="1"/>
    <col min="2043" max="2043" width="12.85546875" style="1008" customWidth="1"/>
    <col min="2044" max="2044" width="6.140625" style="1008" customWidth="1"/>
    <col min="2045" max="2046" width="11.42578125" style="1008"/>
    <col min="2047" max="2047" width="15.42578125" style="1008" customWidth="1"/>
    <col min="2048" max="2287" width="11.42578125" style="1008"/>
    <col min="2288" max="2288" width="2.28515625" style="1008" customWidth="1"/>
    <col min="2289" max="2289" width="2.7109375" style="1008" customWidth="1"/>
    <col min="2290" max="2290" width="2.42578125" style="1008" customWidth="1"/>
    <col min="2291" max="2291" width="17.7109375" style="1008" customWidth="1"/>
    <col min="2292" max="2292" width="1.5703125" style="1008" customWidth="1"/>
    <col min="2293" max="2293" width="6.42578125" style="1008" customWidth="1"/>
    <col min="2294" max="2294" width="13.140625" style="1008" customWidth="1"/>
    <col min="2295" max="2295" width="1" style="1008" customWidth="1"/>
    <col min="2296" max="2296" width="19.5703125" style="1008" customWidth="1"/>
    <col min="2297" max="2297" width="0.85546875" style="1008" customWidth="1"/>
    <col min="2298" max="2298" width="14.42578125" style="1008" customWidth="1"/>
    <col min="2299" max="2299" width="12.85546875" style="1008" customWidth="1"/>
    <col min="2300" max="2300" width="6.140625" style="1008" customWidth="1"/>
    <col min="2301" max="2302" width="11.42578125" style="1008"/>
    <col min="2303" max="2303" width="15.42578125" style="1008" customWidth="1"/>
    <col min="2304" max="2543" width="11.42578125" style="1008"/>
    <col min="2544" max="2544" width="2.28515625" style="1008" customWidth="1"/>
    <col min="2545" max="2545" width="2.7109375" style="1008" customWidth="1"/>
    <col min="2546" max="2546" width="2.42578125" style="1008" customWidth="1"/>
    <col min="2547" max="2547" width="17.7109375" style="1008" customWidth="1"/>
    <col min="2548" max="2548" width="1.5703125" style="1008" customWidth="1"/>
    <col min="2549" max="2549" width="6.42578125" style="1008" customWidth="1"/>
    <col min="2550" max="2550" width="13.140625" style="1008" customWidth="1"/>
    <col min="2551" max="2551" width="1" style="1008" customWidth="1"/>
    <col min="2552" max="2552" width="19.5703125" style="1008" customWidth="1"/>
    <col min="2553" max="2553" width="0.85546875" style="1008" customWidth="1"/>
    <col min="2554" max="2554" width="14.42578125" style="1008" customWidth="1"/>
    <col min="2555" max="2555" width="12.85546875" style="1008" customWidth="1"/>
    <col min="2556" max="2556" width="6.140625" style="1008" customWidth="1"/>
    <col min="2557" max="2558" width="11.42578125" style="1008"/>
    <col min="2559" max="2559" width="15.42578125" style="1008" customWidth="1"/>
    <col min="2560" max="2799" width="11.42578125" style="1008"/>
    <col min="2800" max="2800" width="2.28515625" style="1008" customWidth="1"/>
    <col min="2801" max="2801" width="2.7109375" style="1008" customWidth="1"/>
    <col min="2802" max="2802" width="2.42578125" style="1008" customWidth="1"/>
    <col min="2803" max="2803" width="17.7109375" style="1008" customWidth="1"/>
    <col min="2804" max="2804" width="1.5703125" style="1008" customWidth="1"/>
    <col min="2805" max="2805" width="6.42578125" style="1008" customWidth="1"/>
    <col min="2806" max="2806" width="13.140625" style="1008" customWidth="1"/>
    <col min="2807" max="2807" width="1" style="1008" customWidth="1"/>
    <col min="2808" max="2808" width="19.5703125" style="1008" customWidth="1"/>
    <col min="2809" max="2809" width="0.85546875" style="1008" customWidth="1"/>
    <col min="2810" max="2810" width="14.42578125" style="1008" customWidth="1"/>
    <col min="2811" max="2811" width="12.85546875" style="1008" customWidth="1"/>
    <col min="2812" max="2812" width="6.140625" style="1008" customWidth="1"/>
    <col min="2813" max="2814" width="11.42578125" style="1008"/>
    <col min="2815" max="2815" width="15.42578125" style="1008" customWidth="1"/>
    <col min="2816" max="3055" width="11.42578125" style="1008"/>
    <col min="3056" max="3056" width="2.28515625" style="1008" customWidth="1"/>
    <col min="3057" max="3057" width="2.7109375" style="1008" customWidth="1"/>
    <col min="3058" max="3058" width="2.42578125" style="1008" customWidth="1"/>
    <col min="3059" max="3059" width="17.7109375" style="1008" customWidth="1"/>
    <col min="3060" max="3060" width="1.5703125" style="1008" customWidth="1"/>
    <col min="3061" max="3061" width="6.42578125" style="1008" customWidth="1"/>
    <col min="3062" max="3062" width="13.140625" style="1008" customWidth="1"/>
    <col min="3063" max="3063" width="1" style="1008" customWidth="1"/>
    <col min="3064" max="3064" width="19.5703125" style="1008" customWidth="1"/>
    <col min="3065" max="3065" width="0.85546875" style="1008" customWidth="1"/>
    <col min="3066" max="3066" width="14.42578125" style="1008" customWidth="1"/>
    <col min="3067" max="3067" width="12.85546875" style="1008" customWidth="1"/>
    <col min="3068" max="3068" width="6.140625" style="1008" customWidth="1"/>
    <col min="3069" max="3070" width="11.42578125" style="1008"/>
    <col min="3071" max="3071" width="15.42578125" style="1008" customWidth="1"/>
    <col min="3072" max="3311" width="11.42578125" style="1008"/>
    <col min="3312" max="3312" width="2.28515625" style="1008" customWidth="1"/>
    <col min="3313" max="3313" width="2.7109375" style="1008" customWidth="1"/>
    <col min="3314" max="3314" width="2.42578125" style="1008" customWidth="1"/>
    <col min="3315" max="3315" width="17.7109375" style="1008" customWidth="1"/>
    <col min="3316" max="3316" width="1.5703125" style="1008" customWidth="1"/>
    <col min="3317" max="3317" width="6.42578125" style="1008" customWidth="1"/>
    <col min="3318" max="3318" width="13.140625" style="1008" customWidth="1"/>
    <col min="3319" max="3319" width="1" style="1008" customWidth="1"/>
    <col min="3320" max="3320" width="19.5703125" style="1008" customWidth="1"/>
    <col min="3321" max="3321" width="0.85546875" style="1008" customWidth="1"/>
    <col min="3322" max="3322" width="14.42578125" style="1008" customWidth="1"/>
    <col min="3323" max="3323" width="12.85546875" style="1008" customWidth="1"/>
    <col min="3324" max="3324" width="6.140625" style="1008" customWidth="1"/>
    <col min="3325" max="3326" width="11.42578125" style="1008"/>
    <col min="3327" max="3327" width="15.42578125" style="1008" customWidth="1"/>
    <col min="3328" max="3567" width="11.42578125" style="1008"/>
    <col min="3568" max="3568" width="2.28515625" style="1008" customWidth="1"/>
    <col min="3569" max="3569" width="2.7109375" style="1008" customWidth="1"/>
    <col min="3570" max="3570" width="2.42578125" style="1008" customWidth="1"/>
    <col min="3571" max="3571" width="17.7109375" style="1008" customWidth="1"/>
    <col min="3572" max="3572" width="1.5703125" style="1008" customWidth="1"/>
    <col min="3573" max="3573" width="6.42578125" style="1008" customWidth="1"/>
    <col min="3574" max="3574" width="13.140625" style="1008" customWidth="1"/>
    <col min="3575" max="3575" width="1" style="1008" customWidth="1"/>
    <col min="3576" max="3576" width="19.5703125" style="1008" customWidth="1"/>
    <col min="3577" max="3577" width="0.85546875" style="1008" customWidth="1"/>
    <col min="3578" max="3578" width="14.42578125" style="1008" customWidth="1"/>
    <col min="3579" max="3579" width="12.85546875" style="1008" customWidth="1"/>
    <col min="3580" max="3580" width="6.140625" style="1008" customWidth="1"/>
    <col min="3581" max="3582" width="11.42578125" style="1008"/>
    <col min="3583" max="3583" width="15.42578125" style="1008" customWidth="1"/>
    <col min="3584" max="3823" width="11.42578125" style="1008"/>
    <col min="3824" max="3824" width="2.28515625" style="1008" customWidth="1"/>
    <col min="3825" max="3825" width="2.7109375" style="1008" customWidth="1"/>
    <col min="3826" max="3826" width="2.42578125" style="1008" customWidth="1"/>
    <col min="3827" max="3827" width="17.7109375" style="1008" customWidth="1"/>
    <col min="3828" max="3828" width="1.5703125" style="1008" customWidth="1"/>
    <col min="3829" max="3829" width="6.42578125" style="1008" customWidth="1"/>
    <col min="3830" max="3830" width="13.140625" style="1008" customWidth="1"/>
    <col min="3831" max="3831" width="1" style="1008" customWidth="1"/>
    <col min="3832" max="3832" width="19.5703125" style="1008" customWidth="1"/>
    <col min="3833" max="3833" width="0.85546875" style="1008" customWidth="1"/>
    <col min="3834" max="3834" width="14.42578125" style="1008" customWidth="1"/>
    <col min="3835" max="3835" width="12.85546875" style="1008" customWidth="1"/>
    <col min="3836" max="3836" width="6.140625" style="1008" customWidth="1"/>
    <col min="3837" max="3838" width="11.42578125" style="1008"/>
    <col min="3839" max="3839" width="15.42578125" style="1008" customWidth="1"/>
    <col min="3840" max="4079" width="11.42578125" style="1008"/>
    <col min="4080" max="4080" width="2.28515625" style="1008" customWidth="1"/>
    <col min="4081" max="4081" width="2.7109375" style="1008" customWidth="1"/>
    <col min="4082" max="4082" width="2.42578125" style="1008" customWidth="1"/>
    <col min="4083" max="4083" width="17.7109375" style="1008" customWidth="1"/>
    <col min="4084" max="4084" width="1.5703125" style="1008" customWidth="1"/>
    <col min="4085" max="4085" width="6.42578125" style="1008" customWidth="1"/>
    <col min="4086" max="4086" width="13.140625" style="1008" customWidth="1"/>
    <col min="4087" max="4087" width="1" style="1008" customWidth="1"/>
    <col min="4088" max="4088" width="19.5703125" style="1008" customWidth="1"/>
    <col min="4089" max="4089" width="0.85546875" style="1008" customWidth="1"/>
    <col min="4090" max="4090" width="14.42578125" style="1008" customWidth="1"/>
    <col min="4091" max="4091" width="12.85546875" style="1008" customWidth="1"/>
    <col min="4092" max="4092" width="6.140625" style="1008" customWidth="1"/>
    <col min="4093" max="4094" width="11.42578125" style="1008"/>
    <col min="4095" max="4095" width="15.42578125" style="1008" customWidth="1"/>
    <col min="4096" max="4335" width="11.42578125" style="1008"/>
    <col min="4336" max="4336" width="2.28515625" style="1008" customWidth="1"/>
    <col min="4337" max="4337" width="2.7109375" style="1008" customWidth="1"/>
    <col min="4338" max="4338" width="2.42578125" style="1008" customWidth="1"/>
    <col min="4339" max="4339" width="17.7109375" style="1008" customWidth="1"/>
    <col min="4340" max="4340" width="1.5703125" style="1008" customWidth="1"/>
    <col min="4341" max="4341" width="6.42578125" style="1008" customWidth="1"/>
    <col min="4342" max="4342" width="13.140625" style="1008" customWidth="1"/>
    <col min="4343" max="4343" width="1" style="1008" customWidth="1"/>
    <col min="4344" max="4344" width="19.5703125" style="1008" customWidth="1"/>
    <col min="4345" max="4345" width="0.85546875" style="1008" customWidth="1"/>
    <col min="4346" max="4346" width="14.42578125" style="1008" customWidth="1"/>
    <col min="4347" max="4347" width="12.85546875" style="1008" customWidth="1"/>
    <col min="4348" max="4348" width="6.140625" style="1008" customWidth="1"/>
    <col min="4349" max="4350" width="11.42578125" style="1008"/>
    <col min="4351" max="4351" width="15.42578125" style="1008" customWidth="1"/>
    <col min="4352" max="4591" width="11.42578125" style="1008"/>
    <col min="4592" max="4592" width="2.28515625" style="1008" customWidth="1"/>
    <col min="4593" max="4593" width="2.7109375" style="1008" customWidth="1"/>
    <col min="4594" max="4594" width="2.42578125" style="1008" customWidth="1"/>
    <col min="4595" max="4595" width="17.7109375" style="1008" customWidth="1"/>
    <col min="4596" max="4596" width="1.5703125" style="1008" customWidth="1"/>
    <col min="4597" max="4597" width="6.42578125" style="1008" customWidth="1"/>
    <col min="4598" max="4598" width="13.140625" style="1008" customWidth="1"/>
    <col min="4599" max="4599" width="1" style="1008" customWidth="1"/>
    <col min="4600" max="4600" width="19.5703125" style="1008" customWidth="1"/>
    <col min="4601" max="4601" width="0.85546875" style="1008" customWidth="1"/>
    <col min="4602" max="4602" width="14.42578125" style="1008" customWidth="1"/>
    <col min="4603" max="4603" width="12.85546875" style="1008" customWidth="1"/>
    <col min="4604" max="4604" width="6.140625" style="1008" customWidth="1"/>
    <col min="4605" max="4606" width="11.42578125" style="1008"/>
    <col min="4607" max="4607" width="15.42578125" style="1008" customWidth="1"/>
    <col min="4608" max="4847" width="11.42578125" style="1008"/>
    <col min="4848" max="4848" width="2.28515625" style="1008" customWidth="1"/>
    <col min="4849" max="4849" width="2.7109375" style="1008" customWidth="1"/>
    <col min="4850" max="4850" width="2.42578125" style="1008" customWidth="1"/>
    <col min="4851" max="4851" width="17.7109375" style="1008" customWidth="1"/>
    <col min="4852" max="4852" width="1.5703125" style="1008" customWidth="1"/>
    <col min="4853" max="4853" width="6.42578125" style="1008" customWidth="1"/>
    <col min="4854" max="4854" width="13.140625" style="1008" customWidth="1"/>
    <col min="4855" max="4855" width="1" style="1008" customWidth="1"/>
    <col min="4856" max="4856" width="19.5703125" style="1008" customWidth="1"/>
    <col min="4857" max="4857" width="0.85546875" style="1008" customWidth="1"/>
    <col min="4858" max="4858" width="14.42578125" style="1008" customWidth="1"/>
    <col min="4859" max="4859" width="12.85546875" style="1008" customWidth="1"/>
    <col min="4860" max="4860" width="6.140625" style="1008" customWidth="1"/>
    <col min="4861" max="4862" width="11.42578125" style="1008"/>
    <col min="4863" max="4863" width="15.42578125" style="1008" customWidth="1"/>
    <col min="4864" max="5103" width="11.42578125" style="1008"/>
    <col min="5104" max="5104" width="2.28515625" style="1008" customWidth="1"/>
    <col min="5105" max="5105" width="2.7109375" style="1008" customWidth="1"/>
    <col min="5106" max="5106" width="2.42578125" style="1008" customWidth="1"/>
    <col min="5107" max="5107" width="17.7109375" style="1008" customWidth="1"/>
    <col min="5108" max="5108" width="1.5703125" style="1008" customWidth="1"/>
    <col min="5109" max="5109" width="6.42578125" style="1008" customWidth="1"/>
    <col min="5110" max="5110" width="13.140625" style="1008" customWidth="1"/>
    <col min="5111" max="5111" width="1" style="1008" customWidth="1"/>
    <col min="5112" max="5112" width="19.5703125" style="1008" customWidth="1"/>
    <col min="5113" max="5113" width="0.85546875" style="1008" customWidth="1"/>
    <col min="5114" max="5114" width="14.42578125" style="1008" customWidth="1"/>
    <col min="5115" max="5115" width="12.85546875" style="1008" customWidth="1"/>
    <col min="5116" max="5116" width="6.140625" style="1008" customWidth="1"/>
    <col min="5117" max="5118" width="11.42578125" style="1008"/>
    <col min="5119" max="5119" width="15.42578125" style="1008" customWidth="1"/>
    <col min="5120" max="5359" width="11.42578125" style="1008"/>
    <col min="5360" max="5360" width="2.28515625" style="1008" customWidth="1"/>
    <col min="5361" max="5361" width="2.7109375" style="1008" customWidth="1"/>
    <col min="5362" max="5362" width="2.42578125" style="1008" customWidth="1"/>
    <col min="5363" max="5363" width="17.7109375" style="1008" customWidth="1"/>
    <col min="5364" max="5364" width="1.5703125" style="1008" customWidth="1"/>
    <col min="5365" max="5365" width="6.42578125" style="1008" customWidth="1"/>
    <col min="5366" max="5366" width="13.140625" style="1008" customWidth="1"/>
    <col min="5367" max="5367" width="1" style="1008" customWidth="1"/>
    <col min="5368" max="5368" width="19.5703125" style="1008" customWidth="1"/>
    <col min="5369" max="5369" width="0.85546875" style="1008" customWidth="1"/>
    <col min="5370" max="5370" width="14.42578125" style="1008" customWidth="1"/>
    <col min="5371" max="5371" width="12.85546875" style="1008" customWidth="1"/>
    <col min="5372" max="5372" width="6.140625" style="1008" customWidth="1"/>
    <col min="5373" max="5374" width="11.42578125" style="1008"/>
    <col min="5375" max="5375" width="15.42578125" style="1008" customWidth="1"/>
    <col min="5376" max="5615" width="11.42578125" style="1008"/>
    <col min="5616" max="5616" width="2.28515625" style="1008" customWidth="1"/>
    <col min="5617" max="5617" width="2.7109375" style="1008" customWidth="1"/>
    <col min="5618" max="5618" width="2.42578125" style="1008" customWidth="1"/>
    <col min="5619" max="5619" width="17.7109375" style="1008" customWidth="1"/>
    <col min="5620" max="5620" width="1.5703125" style="1008" customWidth="1"/>
    <col min="5621" max="5621" width="6.42578125" style="1008" customWidth="1"/>
    <col min="5622" max="5622" width="13.140625" style="1008" customWidth="1"/>
    <col min="5623" max="5623" width="1" style="1008" customWidth="1"/>
    <col min="5624" max="5624" width="19.5703125" style="1008" customWidth="1"/>
    <col min="5625" max="5625" width="0.85546875" style="1008" customWidth="1"/>
    <col min="5626" max="5626" width="14.42578125" style="1008" customWidth="1"/>
    <col min="5627" max="5627" width="12.85546875" style="1008" customWidth="1"/>
    <col min="5628" max="5628" width="6.140625" style="1008" customWidth="1"/>
    <col min="5629" max="5630" width="11.42578125" style="1008"/>
    <col min="5631" max="5631" width="15.42578125" style="1008" customWidth="1"/>
    <col min="5632" max="5871" width="11.42578125" style="1008"/>
    <col min="5872" max="5872" width="2.28515625" style="1008" customWidth="1"/>
    <col min="5873" max="5873" width="2.7109375" style="1008" customWidth="1"/>
    <col min="5874" max="5874" width="2.42578125" style="1008" customWidth="1"/>
    <col min="5875" max="5875" width="17.7109375" style="1008" customWidth="1"/>
    <col min="5876" max="5876" width="1.5703125" style="1008" customWidth="1"/>
    <col min="5877" max="5877" width="6.42578125" style="1008" customWidth="1"/>
    <col min="5878" max="5878" width="13.140625" style="1008" customWidth="1"/>
    <col min="5879" max="5879" width="1" style="1008" customWidth="1"/>
    <col min="5880" max="5880" width="19.5703125" style="1008" customWidth="1"/>
    <col min="5881" max="5881" width="0.85546875" style="1008" customWidth="1"/>
    <col min="5882" max="5882" width="14.42578125" style="1008" customWidth="1"/>
    <col min="5883" max="5883" width="12.85546875" style="1008" customWidth="1"/>
    <col min="5884" max="5884" width="6.140625" style="1008" customWidth="1"/>
    <col min="5885" max="5886" width="11.42578125" style="1008"/>
    <col min="5887" max="5887" width="15.42578125" style="1008" customWidth="1"/>
    <col min="5888" max="6127" width="11.42578125" style="1008"/>
    <col min="6128" max="6128" width="2.28515625" style="1008" customWidth="1"/>
    <col min="6129" max="6129" width="2.7109375" style="1008" customWidth="1"/>
    <col min="6130" max="6130" width="2.42578125" style="1008" customWidth="1"/>
    <col min="6131" max="6131" width="17.7109375" style="1008" customWidth="1"/>
    <col min="6132" max="6132" width="1.5703125" style="1008" customWidth="1"/>
    <col min="6133" max="6133" width="6.42578125" style="1008" customWidth="1"/>
    <col min="6134" max="6134" width="13.140625" style="1008" customWidth="1"/>
    <col min="6135" max="6135" width="1" style="1008" customWidth="1"/>
    <col min="6136" max="6136" width="19.5703125" style="1008" customWidth="1"/>
    <col min="6137" max="6137" width="0.85546875" style="1008" customWidth="1"/>
    <col min="6138" max="6138" width="14.42578125" style="1008" customWidth="1"/>
    <col min="6139" max="6139" width="12.85546875" style="1008" customWidth="1"/>
    <col min="6140" max="6140" width="6.140625" style="1008" customWidth="1"/>
    <col min="6141" max="6142" width="11.42578125" style="1008"/>
    <col min="6143" max="6143" width="15.42578125" style="1008" customWidth="1"/>
    <col min="6144" max="6383" width="11.42578125" style="1008"/>
    <col min="6384" max="6384" width="2.28515625" style="1008" customWidth="1"/>
    <col min="6385" max="6385" width="2.7109375" style="1008" customWidth="1"/>
    <col min="6386" max="6386" width="2.42578125" style="1008" customWidth="1"/>
    <col min="6387" max="6387" width="17.7109375" style="1008" customWidth="1"/>
    <col min="6388" max="6388" width="1.5703125" style="1008" customWidth="1"/>
    <col min="6389" max="6389" width="6.42578125" style="1008" customWidth="1"/>
    <col min="6390" max="6390" width="13.140625" style="1008" customWidth="1"/>
    <col min="6391" max="6391" width="1" style="1008" customWidth="1"/>
    <col min="6392" max="6392" width="19.5703125" style="1008" customWidth="1"/>
    <col min="6393" max="6393" width="0.85546875" style="1008" customWidth="1"/>
    <col min="6394" max="6394" width="14.42578125" style="1008" customWidth="1"/>
    <col min="6395" max="6395" width="12.85546875" style="1008" customWidth="1"/>
    <col min="6396" max="6396" width="6.140625" style="1008" customWidth="1"/>
    <col min="6397" max="6398" width="11.42578125" style="1008"/>
    <col min="6399" max="6399" width="15.42578125" style="1008" customWidth="1"/>
    <col min="6400" max="6639" width="11.42578125" style="1008"/>
    <col min="6640" max="6640" width="2.28515625" style="1008" customWidth="1"/>
    <col min="6641" max="6641" width="2.7109375" style="1008" customWidth="1"/>
    <col min="6642" max="6642" width="2.42578125" style="1008" customWidth="1"/>
    <col min="6643" max="6643" width="17.7109375" style="1008" customWidth="1"/>
    <col min="6644" max="6644" width="1.5703125" style="1008" customWidth="1"/>
    <col min="6645" max="6645" width="6.42578125" style="1008" customWidth="1"/>
    <col min="6646" max="6646" width="13.140625" style="1008" customWidth="1"/>
    <col min="6647" max="6647" width="1" style="1008" customWidth="1"/>
    <col min="6648" max="6648" width="19.5703125" style="1008" customWidth="1"/>
    <col min="6649" max="6649" width="0.85546875" style="1008" customWidth="1"/>
    <col min="6650" max="6650" width="14.42578125" style="1008" customWidth="1"/>
    <col min="6651" max="6651" width="12.85546875" style="1008" customWidth="1"/>
    <col min="6652" max="6652" width="6.140625" style="1008" customWidth="1"/>
    <col min="6653" max="6654" width="11.42578125" style="1008"/>
    <col min="6655" max="6655" width="15.42578125" style="1008" customWidth="1"/>
    <col min="6656" max="6895" width="11.42578125" style="1008"/>
    <col min="6896" max="6896" width="2.28515625" style="1008" customWidth="1"/>
    <col min="6897" max="6897" width="2.7109375" style="1008" customWidth="1"/>
    <col min="6898" max="6898" width="2.42578125" style="1008" customWidth="1"/>
    <col min="6899" max="6899" width="17.7109375" style="1008" customWidth="1"/>
    <col min="6900" max="6900" width="1.5703125" style="1008" customWidth="1"/>
    <col min="6901" max="6901" width="6.42578125" style="1008" customWidth="1"/>
    <col min="6902" max="6902" width="13.140625" style="1008" customWidth="1"/>
    <col min="6903" max="6903" width="1" style="1008" customWidth="1"/>
    <col min="6904" max="6904" width="19.5703125" style="1008" customWidth="1"/>
    <col min="6905" max="6905" width="0.85546875" style="1008" customWidth="1"/>
    <col min="6906" max="6906" width="14.42578125" style="1008" customWidth="1"/>
    <col min="6907" max="6907" width="12.85546875" style="1008" customWidth="1"/>
    <col min="6908" max="6908" width="6.140625" style="1008" customWidth="1"/>
    <col min="6909" max="6910" width="11.42578125" style="1008"/>
    <col min="6911" max="6911" width="15.42578125" style="1008" customWidth="1"/>
    <col min="6912" max="7151" width="11.42578125" style="1008"/>
    <col min="7152" max="7152" width="2.28515625" style="1008" customWidth="1"/>
    <col min="7153" max="7153" width="2.7109375" style="1008" customWidth="1"/>
    <col min="7154" max="7154" width="2.42578125" style="1008" customWidth="1"/>
    <col min="7155" max="7155" width="17.7109375" style="1008" customWidth="1"/>
    <col min="7156" max="7156" width="1.5703125" style="1008" customWidth="1"/>
    <col min="7157" max="7157" width="6.42578125" style="1008" customWidth="1"/>
    <col min="7158" max="7158" width="13.140625" style="1008" customWidth="1"/>
    <col min="7159" max="7159" width="1" style="1008" customWidth="1"/>
    <col min="7160" max="7160" width="19.5703125" style="1008" customWidth="1"/>
    <col min="7161" max="7161" width="0.85546875" style="1008" customWidth="1"/>
    <col min="7162" max="7162" width="14.42578125" style="1008" customWidth="1"/>
    <col min="7163" max="7163" width="12.85546875" style="1008" customWidth="1"/>
    <col min="7164" max="7164" width="6.140625" style="1008" customWidth="1"/>
    <col min="7165" max="7166" width="11.42578125" style="1008"/>
    <col min="7167" max="7167" width="15.42578125" style="1008" customWidth="1"/>
    <col min="7168" max="7407" width="11.42578125" style="1008"/>
    <col min="7408" max="7408" width="2.28515625" style="1008" customWidth="1"/>
    <col min="7409" max="7409" width="2.7109375" style="1008" customWidth="1"/>
    <col min="7410" max="7410" width="2.42578125" style="1008" customWidth="1"/>
    <col min="7411" max="7411" width="17.7109375" style="1008" customWidth="1"/>
    <col min="7412" max="7412" width="1.5703125" style="1008" customWidth="1"/>
    <col min="7413" max="7413" width="6.42578125" style="1008" customWidth="1"/>
    <col min="7414" max="7414" width="13.140625" style="1008" customWidth="1"/>
    <col min="7415" max="7415" width="1" style="1008" customWidth="1"/>
    <col min="7416" max="7416" width="19.5703125" style="1008" customWidth="1"/>
    <col min="7417" max="7417" width="0.85546875" style="1008" customWidth="1"/>
    <col min="7418" max="7418" width="14.42578125" style="1008" customWidth="1"/>
    <col min="7419" max="7419" width="12.85546875" style="1008" customWidth="1"/>
    <col min="7420" max="7420" width="6.140625" style="1008" customWidth="1"/>
    <col min="7421" max="7422" width="11.42578125" style="1008"/>
    <col min="7423" max="7423" width="15.42578125" style="1008" customWidth="1"/>
    <col min="7424" max="7663" width="11.42578125" style="1008"/>
    <col min="7664" max="7664" width="2.28515625" style="1008" customWidth="1"/>
    <col min="7665" max="7665" width="2.7109375" style="1008" customWidth="1"/>
    <col min="7666" max="7666" width="2.42578125" style="1008" customWidth="1"/>
    <col min="7667" max="7667" width="17.7109375" style="1008" customWidth="1"/>
    <col min="7668" max="7668" width="1.5703125" style="1008" customWidth="1"/>
    <col min="7669" max="7669" width="6.42578125" style="1008" customWidth="1"/>
    <col min="7670" max="7670" width="13.140625" style="1008" customWidth="1"/>
    <col min="7671" max="7671" width="1" style="1008" customWidth="1"/>
    <col min="7672" max="7672" width="19.5703125" style="1008" customWidth="1"/>
    <col min="7673" max="7673" width="0.85546875" style="1008" customWidth="1"/>
    <col min="7674" max="7674" width="14.42578125" style="1008" customWidth="1"/>
    <col min="7675" max="7675" width="12.85546875" style="1008" customWidth="1"/>
    <col min="7676" max="7676" width="6.140625" style="1008" customWidth="1"/>
    <col min="7677" max="7678" width="11.42578125" style="1008"/>
    <col min="7679" max="7679" width="15.42578125" style="1008" customWidth="1"/>
    <col min="7680" max="7919" width="11.42578125" style="1008"/>
    <col min="7920" max="7920" width="2.28515625" style="1008" customWidth="1"/>
    <col min="7921" max="7921" width="2.7109375" style="1008" customWidth="1"/>
    <col min="7922" max="7922" width="2.42578125" style="1008" customWidth="1"/>
    <col min="7923" max="7923" width="17.7109375" style="1008" customWidth="1"/>
    <col min="7924" max="7924" width="1.5703125" style="1008" customWidth="1"/>
    <col min="7925" max="7925" width="6.42578125" style="1008" customWidth="1"/>
    <col min="7926" max="7926" width="13.140625" style="1008" customWidth="1"/>
    <col min="7927" max="7927" width="1" style="1008" customWidth="1"/>
    <col min="7928" max="7928" width="19.5703125" style="1008" customWidth="1"/>
    <col min="7929" max="7929" width="0.85546875" style="1008" customWidth="1"/>
    <col min="7930" max="7930" width="14.42578125" style="1008" customWidth="1"/>
    <col min="7931" max="7931" width="12.85546875" style="1008" customWidth="1"/>
    <col min="7932" max="7932" width="6.140625" style="1008" customWidth="1"/>
    <col min="7933" max="7934" width="11.42578125" style="1008"/>
    <col min="7935" max="7935" width="15.42578125" style="1008" customWidth="1"/>
    <col min="7936" max="8175" width="11.42578125" style="1008"/>
    <col min="8176" max="8176" width="2.28515625" style="1008" customWidth="1"/>
    <col min="8177" max="8177" width="2.7109375" style="1008" customWidth="1"/>
    <col min="8178" max="8178" width="2.42578125" style="1008" customWidth="1"/>
    <col min="8179" max="8179" width="17.7109375" style="1008" customWidth="1"/>
    <col min="8180" max="8180" width="1.5703125" style="1008" customWidth="1"/>
    <col min="8181" max="8181" width="6.42578125" style="1008" customWidth="1"/>
    <col min="8182" max="8182" width="13.140625" style="1008" customWidth="1"/>
    <col min="8183" max="8183" width="1" style="1008" customWidth="1"/>
    <col min="8184" max="8184" width="19.5703125" style="1008" customWidth="1"/>
    <col min="8185" max="8185" width="0.85546875" style="1008" customWidth="1"/>
    <col min="8186" max="8186" width="14.42578125" style="1008" customWidth="1"/>
    <col min="8187" max="8187" width="12.85546875" style="1008" customWidth="1"/>
    <col min="8188" max="8188" width="6.140625" style="1008" customWidth="1"/>
    <col min="8189" max="8190" width="11.42578125" style="1008"/>
    <col min="8191" max="8191" width="15.42578125" style="1008" customWidth="1"/>
    <col min="8192" max="8431" width="11.42578125" style="1008"/>
    <col min="8432" max="8432" width="2.28515625" style="1008" customWidth="1"/>
    <col min="8433" max="8433" width="2.7109375" style="1008" customWidth="1"/>
    <col min="8434" max="8434" width="2.42578125" style="1008" customWidth="1"/>
    <col min="8435" max="8435" width="17.7109375" style="1008" customWidth="1"/>
    <col min="8436" max="8436" width="1.5703125" style="1008" customWidth="1"/>
    <col min="8437" max="8437" width="6.42578125" style="1008" customWidth="1"/>
    <col min="8438" max="8438" width="13.140625" style="1008" customWidth="1"/>
    <col min="8439" max="8439" width="1" style="1008" customWidth="1"/>
    <col min="8440" max="8440" width="19.5703125" style="1008" customWidth="1"/>
    <col min="8441" max="8441" width="0.85546875" style="1008" customWidth="1"/>
    <col min="8442" max="8442" width="14.42578125" style="1008" customWidth="1"/>
    <col min="8443" max="8443" width="12.85546875" style="1008" customWidth="1"/>
    <col min="8444" max="8444" width="6.140625" style="1008" customWidth="1"/>
    <col min="8445" max="8446" width="11.42578125" style="1008"/>
    <col min="8447" max="8447" width="15.42578125" style="1008" customWidth="1"/>
    <col min="8448" max="8687" width="11.42578125" style="1008"/>
    <col min="8688" max="8688" width="2.28515625" style="1008" customWidth="1"/>
    <col min="8689" max="8689" width="2.7109375" style="1008" customWidth="1"/>
    <col min="8690" max="8690" width="2.42578125" style="1008" customWidth="1"/>
    <col min="8691" max="8691" width="17.7109375" style="1008" customWidth="1"/>
    <col min="8692" max="8692" width="1.5703125" style="1008" customWidth="1"/>
    <col min="8693" max="8693" width="6.42578125" style="1008" customWidth="1"/>
    <col min="8694" max="8694" width="13.140625" style="1008" customWidth="1"/>
    <col min="8695" max="8695" width="1" style="1008" customWidth="1"/>
    <col min="8696" max="8696" width="19.5703125" style="1008" customWidth="1"/>
    <col min="8697" max="8697" width="0.85546875" style="1008" customWidth="1"/>
    <col min="8698" max="8698" width="14.42578125" style="1008" customWidth="1"/>
    <col min="8699" max="8699" width="12.85546875" style="1008" customWidth="1"/>
    <col min="8700" max="8700" width="6.140625" style="1008" customWidth="1"/>
    <col min="8701" max="8702" width="11.42578125" style="1008"/>
    <col min="8703" max="8703" width="15.42578125" style="1008" customWidth="1"/>
    <col min="8704" max="8943" width="11.42578125" style="1008"/>
    <col min="8944" max="8944" width="2.28515625" style="1008" customWidth="1"/>
    <col min="8945" max="8945" width="2.7109375" style="1008" customWidth="1"/>
    <col min="8946" max="8946" width="2.42578125" style="1008" customWidth="1"/>
    <col min="8947" max="8947" width="17.7109375" style="1008" customWidth="1"/>
    <col min="8948" max="8948" width="1.5703125" style="1008" customWidth="1"/>
    <col min="8949" max="8949" width="6.42578125" style="1008" customWidth="1"/>
    <col min="8950" max="8950" width="13.140625" style="1008" customWidth="1"/>
    <col min="8951" max="8951" width="1" style="1008" customWidth="1"/>
    <col min="8952" max="8952" width="19.5703125" style="1008" customWidth="1"/>
    <col min="8953" max="8953" width="0.85546875" style="1008" customWidth="1"/>
    <col min="8954" max="8954" width="14.42578125" style="1008" customWidth="1"/>
    <col min="8955" max="8955" width="12.85546875" style="1008" customWidth="1"/>
    <col min="8956" max="8956" width="6.140625" style="1008" customWidth="1"/>
    <col min="8957" max="8958" width="11.42578125" style="1008"/>
    <col min="8959" max="8959" width="15.42578125" style="1008" customWidth="1"/>
    <col min="8960" max="9199" width="11.42578125" style="1008"/>
    <col min="9200" max="9200" width="2.28515625" style="1008" customWidth="1"/>
    <col min="9201" max="9201" width="2.7109375" style="1008" customWidth="1"/>
    <col min="9202" max="9202" width="2.42578125" style="1008" customWidth="1"/>
    <col min="9203" max="9203" width="17.7109375" style="1008" customWidth="1"/>
    <col min="9204" max="9204" width="1.5703125" style="1008" customWidth="1"/>
    <col min="9205" max="9205" width="6.42578125" style="1008" customWidth="1"/>
    <col min="9206" max="9206" width="13.140625" style="1008" customWidth="1"/>
    <col min="9207" max="9207" width="1" style="1008" customWidth="1"/>
    <col min="9208" max="9208" width="19.5703125" style="1008" customWidth="1"/>
    <col min="9209" max="9209" width="0.85546875" style="1008" customWidth="1"/>
    <col min="9210" max="9210" width="14.42578125" style="1008" customWidth="1"/>
    <col min="9211" max="9211" width="12.85546875" style="1008" customWidth="1"/>
    <col min="9212" max="9212" width="6.140625" style="1008" customWidth="1"/>
    <col min="9213" max="9214" width="11.42578125" style="1008"/>
    <col min="9215" max="9215" width="15.42578125" style="1008" customWidth="1"/>
    <col min="9216" max="9455" width="11.42578125" style="1008"/>
    <col min="9456" max="9456" width="2.28515625" style="1008" customWidth="1"/>
    <col min="9457" max="9457" width="2.7109375" style="1008" customWidth="1"/>
    <col min="9458" max="9458" width="2.42578125" style="1008" customWidth="1"/>
    <col min="9459" max="9459" width="17.7109375" style="1008" customWidth="1"/>
    <col min="9460" max="9460" width="1.5703125" style="1008" customWidth="1"/>
    <col min="9461" max="9461" width="6.42578125" style="1008" customWidth="1"/>
    <col min="9462" max="9462" width="13.140625" style="1008" customWidth="1"/>
    <col min="9463" max="9463" width="1" style="1008" customWidth="1"/>
    <col min="9464" max="9464" width="19.5703125" style="1008" customWidth="1"/>
    <col min="9465" max="9465" width="0.85546875" style="1008" customWidth="1"/>
    <col min="9466" max="9466" width="14.42578125" style="1008" customWidth="1"/>
    <col min="9467" max="9467" width="12.85546875" style="1008" customWidth="1"/>
    <col min="9468" max="9468" width="6.140625" style="1008" customWidth="1"/>
    <col min="9469" max="9470" width="11.42578125" style="1008"/>
    <col min="9471" max="9471" width="15.42578125" style="1008" customWidth="1"/>
    <col min="9472" max="9711" width="11.42578125" style="1008"/>
    <col min="9712" max="9712" width="2.28515625" style="1008" customWidth="1"/>
    <col min="9713" max="9713" width="2.7109375" style="1008" customWidth="1"/>
    <col min="9714" max="9714" width="2.42578125" style="1008" customWidth="1"/>
    <col min="9715" max="9715" width="17.7109375" style="1008" customWidth="1"/>
    <col min="9716" max="9716" width="1.5703125" style="1008" customWidth="1"/>
    <col min="9717" max="9717" width="6.42578125" style="1008" customWidth="1"/>
    <col min="9718" max="9718" width="13.140625" style="1008" customWidth="1"/>
    <col min="9719" max="9719" width="1" style="1008" customWidth="1"/>
    <col min="9720" max="9720" width="19.5703125" style="1008" customWidth="1"/>
    <col min="9721" max="9721" width="0.85546875" style="1008" customWidth="1"/>
    <col min="9722" max="9722" width="14.42578125" style="1008" customWidth="1"/>
    <col min="9723" max="9723" width="12.85546875" style="1008" customWidth="1"/>
    <col min="9724" max="9724" width="6.140625" style="1008" customWidth="1"/>
    <col min="9725" max="9726" width="11.42578125" style="1008"/>
    <col min="9727" max="9727" width="15.42578125" style="1008" customWidth="1"/>
    <col min="9728" max="9967" width="11.42578125" style="1008"/>
    <col min="9968" max="9968" width="2.28515625" style="1008" customWidth="1"/>
    <col min="9969" max="9969" width="2.7109375" style="1008" customWidth="1"/>
    <col min="9970" max="9970" width="2.42578125" style="1008" customWidth="1"/>
    <col min="9971" max="9971" width="17.7109375" style="1008" customWidth="1"/>
    <col min="9972" max="9972" width="1.5703125" style="1008" customWidth="1"/>
    <col min="9973" max="9973" width="6.42578125" style="1008" customWidth="1"/>
    <col min="9974" max="9974" width="13.140625" style="1008" customWidth="1"/>
    <col min="9975" max="9975" width="1" style="1008" customWidth="1"/>
    <col min="9976" max="9976" width="19.5703125" style="1008" customWidth="1"/>
    <col min="9977" max="9977" width="0.85546875" style="1008" customWidth="1"/>
    <col min="9978" max="9978" width="14.42578125" style="1008" customWidth="1"/>
    <col min="9979" max="9979" width="12.85546875" style="1008" customWidth="1"/>
    <col min="9980" max="9980" width="6.140625" style="1008" customWidth="1"/>
    <col min="9981" max="9982" width="11.42578125" style="1008"/>
    <col min="9983" max="9983" width="15.42578125" style="1008" customWidth="1"/>
    <col min="9984" max="10223" width="11.42578125" style="1008"/>
    <col min="10224" max="10224" width="2.28515625" style="1008" customWidth="1"/>
    <col min="10225" max="10225" width="2.7109375" style="1008" customWidth="1"/>
    <col min="10226" max="10226" width="2.42578125" style="1008" customWidth="1"/>
    <col min="10227" max="10227" width="17.7109375" style="1008" customWidth="1"/>
    <col min="10228" max="10228" width="1.5703125" style="1008" customWidth="1"/>
    <col min="10229" max="10229" width="6.42578125" style="1008" customWidth="1"/>
    <col min="10230" max="10230" width="13.140625" style="1008" customWidth="1"/>
    <col min="10231" max="10231" width="1" style="1008" customWidth="1"/>
    <col min="10232" max="10232" width="19.5703125" style="1008" customWidth="1"/>
    <col min="10233" max="10233" width="0.85546875" style="1008" customWidth="1"/>
    <col min="10234" max="10234" width="14.42578125" style="1008" customWidth="1"/>
    <col min="10235" max="10235" width="12.85546875" style="1008" customWidth="1"/>
    <col min="10236" max="10236" width="6.140625" style="1008" customWidth="1"/>
    <col min="10237" max="10238" width="11.42578125" style="1008"/>
    <col min="10239" max="10239" width="15.42578125" style="1008" customWidth="1"/>
    <col min="10240" max="10479" width="11.42578125" style="1008"/>
    <col min="10480" max="10480" width="2.28515625" style="1008" customWidth="1"/>
    <col min="10481" max="10481" width="2.7109375" style="1008" customWidth="1"/>
    <col min="10482" max="10482" width="2.42578125" style="1008" customWidth="1"/>
    <col min="10483" max="10483" width="17.7109375" style="1008" customWidth="1"/>
    <col min="10484" max="10484" width="1.5703125" style="1008" customWidth="1"/>
    <col min="10485" max="10485" width="6.42578125" style="1008" customWidth="1"/>
    <col min="10486" max="10486" width="13.140625" style="1008" customWidth="1"/>
    <col min="10487" max="10487" width="1" style="1008" customWidth="1"/>
    <col min="10488" max="10488" width="19.5703125" style="1008" customWidth="1"/>
    <col min="10489" max="10489" width="0.85546875" style="1008" customWidth="1"/>
    <col min="10490" max="10490" width="14.42578125" style="1008" customWidth="1"/>
    <col min="10491" max="10491" width="12.85546875" style="1008" customWidth="1"/>
    <col min="10492" max="10492" width="6.140625" style="1008" customWidth="1"/>
    <col min="10493" max="10494" width="11.42578125" style="1008"/>
    <col min="10495" max="10495" width="15.42578125" style="1008" customWidth="1"/>
    <col min="10496" max="10735" width="11.42578125" style="1008"/>
    <col min="10736" max="10736" width="2.28515625" style="1008" customWidth="1"/>
    <col min="10737" max="10737" width="2.7109375" style="1008" customWidth="1"/>
    <col min="10738" max="10738" width="2.42578125" style="1008" customWidth="1"/>
    <col min="10739" max="10739" width="17.7109375" style="1008" customWidth="1"/>
    <col min="10740" max="10740" width="1.5703125" style="1008" customWidth="1"/>
    <col min="10741" max="10741" width="6.42578125" style="1008" customWidth="1"/>
    <col min="10742" max="10742" width="13.140625" style="1008" customWidth="1"/>
    <col min="10743" max="10743" width="1" style="1008" customWidth="1"/>
    <col min="10744" max="10744" width="19.5703125" style="1008" customWidth="1"/>
    <col min="10745" max="10745" width="0.85546875" style="1008" customWidth="1"/>
    <col min="10746" max="10746" width="14.42578125" style="1008" customWidth="1"/>
    <col min="10747" max="10747" width="12.85546875" style="1008" customWidth="1"/>
    <col min="10748" max="10748" width="6.140625" style="1008" customWidth="1"/>
    <col min="10749" max="10750" width="11.42578125" style="1008"/>
    <col min="10751" max="10751" width="15.42578125" style="1008" customWidth="1"/>
    <col min="10752" max="10991" width="11.42578125" style="1008"/>
    <col min="10992" max="10992" width="2.28515625" style="1008" customWidth="1"/>
    <col min="10993" max="10993" width="2.7109375" style="1008" customWidth="1"/>
    <col min="10994" max="10994" width="2.42578125" style="1008" customWidth="1"/>
    <col min="10995" max="10995" width="17.7109375" style="1008" customWidth="1"/>
    <col min="10996" max="10996" width="1.5703125" style="1008" customWidth="1"/>
    <col min="10997" max="10997" width="6.42578125" style="1008" customWidth="1"/>
    <col min="10998" max="10998" width="13.140625" style="1008" customWidth="1"/>
    <col min="10999" max="10999" width="1" style="1008" customWidth="1"/>
    <col min="11000" max="11000" width="19.5703125" style="1008" customWidth="1"/>
    <col min="11001" max="11001" width="0.85546875" style="1008" customWidth="1"/>
    <col min="11002" max="11002" width="14.42578125" style="1008" customWidth="1"/>
    <col min="11003" max="11003" width="12.85546875" style="1008" customWidth="1"/>
    <col min="11004" max="11004" width="6.140625" style="1008" customWidth="1"/>
    <col min="11005" max="11006" width="11.42578125" style="1008"/>
    <col min="11007" max="11007" width="15.42578125" style="1008" customWidth="1"/>
    <col min="11008" max="11247" width="11.42578125" style="1008"/>
    <col min="11248" max="11248" width="2.28515625" style="1008" customWidth="1"/>
    <col min="11249" max="11249" width="2.7109375" style="1008" customWidth="1"/>
    <col min="11250" max="11250" width="2.42578125" style="1008" customWidth="1"/>
    <col min="11251" max="11251" width="17.7109375" style="1008" customWidth="1"/>
    <col min="11252" max="11252" width="1.5703125" style="1008" customWidth="1"/>
    <col min="11253" max="11253" width="6.42578125" style="1008" customWidth="1"/>
    <col min="11254" max="11254" width="13.140625" style="1008" customWidth="1"/>
    <col min="11255" max="11255" width="1" style="1008" customWidth="1"/>
    <col min="11256" max="11256" width="19.5703125" style="1008" customWidth="1"/>
    <col min="11257" max="11257" width="0.85546875" style="1008" customWidth="1"/>
    <col min="11258" max="11258" width="14.42578125" style="1008" customWidth="1"/>
    <col min="11259" max="11259" width="12.85546875" style="1008" customWidth="1"/>
    <col min="11260" max="11260" width="6.140625" style="1008" customWidth="1"/>
    <col min="11261" max="11262" width="11.42578125" style="1008"/>
    <col min="11263" max="11263" width="15.42578125" style="1008" customWidth="1"/>
    <col min="11264" max="11503" width="11.42578125" style="1008"/>
    <col min="11504" max="11504" width="2.28515625" style="1008" customWidth="1"/>
    <col min="11505" max="11505" width="2.7109375" style="1008" customWidth="1"/>
    <col min="11506" max="11506" width="2.42578125" style="1008" customWidth="1"/>
    <col min="11507" max="11507" width="17.7109375" style="1008" customWidth="1"/>
    <col min="11508" max="11508" width="1.5703125" style="1008" customWidth="1"/>
    <col min="11509" max="11509" width="6.42578125" style="1008" customWidth="1"/>
    <col min="11510" max="11510" width="13.140625" style="1008" customWidth="1"/>
    <col min="11511" max="11511" width="1" style="1008" customWidth="1"/>
    <col min="11512" max="11512" width="19.5703125" style="1008" customWidth="1"/>
    <col min="11513" max="11513" width="0.85546875" style="1008" customWidth="1"/>
    <col min="11514" max="11514" width="14.42578125" style="1008" customWidth="1"/>
    <col min="11515" max="11515" width="12.85546875" style="1008" customWidth="1"/>
    <col min="11516" max="11516" width="6.140625" style="1008" customWidth="1"/>
    <col min="11517" max="11518" width="11.42578125" style="1008"/>
    <col min="11519" max="11519" width="15.42578125" style="1008" customWidth="1"/>
    <col min="11520" max="11759" width="11.42578125" style="1008"/>
    <col min="11760" max="11760" width="2.28515625" style="1008" customWidth="1"/>
    <col min="11761" max="11761" width="2.7109375" style="1008" customWidth="1"/>
    <col min="11762" max="11762" width="2.42578125" style="1008" customWidth="1"/>
    <col min="11763" max="11763" width="17.7109375" style="1008" customWidth="1"/>
    <col min="11764" max="11764" width="1.5703125" style="1008" customWidth="1"/>
    <col min="11765" max="11765" width="6.42578125" style="1008" customWidth="1"/>
    <col min="11766" max="11766" width="13.140625" style="1008" customWidth="1"/>
    <col min="11767" max="11767" width="1" style="1008" customWidth="1"/>
    <col min="11768" max="11768" width="19.5703125" style="1008" customWidth="1"/>
    <col min="11769" max="11769" width="0.85546875" style="1008" customWidth="1"/>
    <col min="11770" max="11770" width="14.42578125" style="1008" customWidth="1"/>
    <col min="11771" max="11771" width="12.85546875" style="1008" customWidth="1"/>
    <col min="11772" max="11772" width="6.140625" style="1008" customWidth="1"/>
    <col min="11773" max="11774" width="11.42578125" style="1008"/>
    <col min="11775" max="11775" width="15.42578125" style="1008" customWidth="1"/>
    <col min="11776" max="12015" width="11.42578125" style="1008"/>
    <col min="12016" max="12016" width="2.28515625" style="1008" customWidth="1"/>
    <col min="12017" max="12017" width="2.7109375" style="1008" customWidth="1"/>
    <col min="12018" max="12018" width="2.42578125" style="1008" customWidth="1"/>
    <col min="12019" max="12019" width="17.7109375" style="1008" customWidth="1"/>
    <col min="12020" max="12020" width="1.5703125" style="1008" customWidth="1"/>
    <col min="12021" max="12021" width="6.42578125" style="1008" customWidth="1"/>
    <col min="12022" max="12022" width="13.140625" style="1008" customWidth="1"/>
    <col min="12023" max="12023" width="1" style="1008" customWidth="1"/>
    <col min="12024" max="12024" width="19.5703125" style="1008" customWidth="1"/>
    <col min="12025" max="12025" width="0.85546875" style="1008" customWidth="1"/>
    <col min="12026" max="12026" width="14.42578125" style="1008" customWidth="1"/>
    <col min="12027" max="12027" width="12.85546875" style="1008" customWidth="1"/>
    <col min="12028" max="12028" width="6.140625" style="1008" customWidth="1"/>
    <col min="12029" max="12030" width="11.42578125" style="1008"/>
    <col min="12031" max="12031" width="15.42578125" style="1008" customWidth="1"/>
    <col min="12032" max="12271" width="11.42578125" style="1008"/>
    <col min="12272" max="12272" width="2.28515625" style="1008" customWidth="1"/>
    <col min="12273" max="12273" width="2.7109375" style="1008" customWidth="1"/>
    <col min="12274" max="12274" width="2.42578125" style="1008" customWidth="1"/>
    <col min="12275" max="12275" width="17.7109375" style="1008" customWidth="1"/>
    <col min="12276" max="12276" width="1.5703125" style="1008" customWidth="1"/>
    <col min="12277" max="12277" width="6.42578125" style="1008" customWidth="1"/>
    <col min="12278" max="12278" width="13.140625" style="1008" customWidth="1"/>
    <col min="12279" max="12279" width="1" style="1008" customWidth="1"/>
    <col min="12280" max="12280" width="19.5703125" style="1008" customWidth="1"/>
    <col min="12281" max="12281" width="0.85546875" style="1008" customWidth="1"/>
    <col min="12282" max="12282" width="14.42578125" style="1008" customWidth="1"/>
    <col min="12283" max="12283" width="12.85546875" style="1008" customWidth="1"/>
    <col min="12284" max="12284" width="6.140625" style="1008" customWidth="1"/>
    <col min="12285" max="12286" width="11.42578125" style="1008"/>
    <col min="12287" max="12287" width="15.42578125" style="1008" customWidth="1"/>
    <col min="12288" max="12527" width="11.42578125" style="1008"/>
    <col min="12528" max="12528" width="2.28515625" style="1008" customWidth="1"/>
    <col min="12529" max="12529" width="2.7109375" style="1008" customWidth="1"/>
    <col min="12530" max="12530" width="2.42578125" style="1008" customWidth="1"/>
    <col min="12531" max="12531" width="17.7109375" style="1008" customWidth="1"/>
    <col min="12532" max="12532" width="1.5703125" style="1008" customWidth="1"/>
    <col min="12533" max="12533" width="6.42578125" style="1008" customWidth="1"/>
    <col min="12534" max="12534" width="13.140625" style="1008" customWidth="1"/>
    <col min="12535" max="12535" width="1" style="1008" customWidth="1"/>
    <col min="12536" max="12536" width="19.5703125" style="1008" customWidth="1"/>
    <col min="12537" max="12537" width="0.85546875" style="1008" customWidth="1"/>
    <col min="12538" max="12538" width="14.42578125" style="1008" customWidth="1"/>
    <col min="12539" max="12539" width="12.85546875" style="1008" customWidth="1"/>
    <col min="12540" max="12540" width="6.140625" style="1008" customWidth="1"/>
    <col min="12541" max="12542" width="11.42578125" style="1008"/>
    <col min="12543" max="12543" width="15.42578125" style="1008" customWidth="1"/>
    <col min="12544" max="12783" width="11.42578125" style="1008"/>
    <col min="12784" max="12784" width="2.28515625" style="1008" customWidth="1"/>
    <col min="12785" max="12785" width="2.7109375" style="1008" customWidth="1"/>
    <col min="12786" max="12786" width="2.42578125" style="1008" customWidth="1"/>
    <col min="12787" max="12787" width="17.7109375" style="1008" customWidth="1"/>
    <col min="12788" max="12788" width="1.5703125" style="1008" customWidth="1"/>
    <col min="12789" max="12789" width="6.42578125" style="1008" customWidth="1"/>
    <col min="12790" max="12790" width="13.140625" style="1008" customWidth="1"/>
    <col min="12791" max="12791" width="1" style="1008" customWidth="1"/>
    <col min="12792" max="12792" width="19.5703125" style="1008" customWidth="1"/>
    <col min="12793" max="12793" width="0.85546875" style="1008" customWidth="1"/>
    <col min="12794" max="12794" width="14.42578125" style="1008" customWidth="1"/>
    <col min="12795" max="12795" width="12.85546875" style="1008" customWidth="1"/>
    <col min="12796" max="12796" width="6.140625" style="1008" customWidth="1"/>
    <col min="12797" max="12798" width="11.42578125" style="1008"/>
    <col min="12799" max="12799" width="15.42578125" style="1008" customWidth="1"/>
    <col min="12800" max="13039" width="11.42578125" style="1008"/>
    <col min="13040" max="13040" width="2.28515625" style="1008" customWidth="1"/>
    <col min="13041" max="13041" width="2.7109375" style="1008" customWidth="1"/>
    <col min="13042" max="13042" width="2.42578125" style="1008" customWidth="1"/>
    <col min="13043" max="13043" width="17.7109375" style="1008" customWidth="1"/>
    <col min="13044" max="13044" width="1.5703125" style="1008" customWidth="1"/>
    <col min="13045" max="13045" width="6.42578125" style="1008" customWidth="1"/>
    <col min="13046" max="13046" width="13.140625" style="1008" customWidth="1"/>
    <col min="13047" max="13047" width="1" style="1008" customWidth="1"/>
    <col min="13048" max="13048" width="19.5703125" style="1008" customWidth="1"/>
    <col min="13049" max="13049" width="0.85546875" style="1008" customWidth="1"/>
    <col min="13050" max="13050" width="14.42578125" style="1008" customWidth="1"/>
    <col min="13051" max="13051" width="12.85546875" style="1008" customWidth="1"/>
    <col min="13052" max="13052" width="6.140625" style="1008" customWidth="1"/>
    <col min="13053" max="13054" width="11.42578125" style="1008"/>
    <col min="13055" max="13055" width="15.42578125" style="1008" customWidth="1"/>
    <col min="13056" max="13295" width="11.42578125" style="1008"/>
    <col min="13296" max="13296" width="2.28515625" style="1008" customWidth="1"/>
    <col min="13297" max="13297" width="2.7109375" style="1008" customWidth="1"/>
    <col min="13298" max="13298" width="2.42578125" style="1008" customWidth="1"/>
    <col min="13299" max="13299" width="17.7109375" style="1008" customWidth="1"/>
    <col min="13300" max="13300" width="1.5703125" style="1008" customWidth="1"/>
    <col min="13301" max="13301" width="6.42578125" style="1008" customWidth="1"/>
    <col min="13302" max="13302" width="13.140625" style="1008" customWidth="1"/>
    <col min="13303" max="13303" width="1" style="1008" customWidth="1"/>
    <col min="13304" max="13304" width="19.5703125" style="1008" customWidth="1"/>
    <col min="13305" max="13305" width="0.85546875" style="1008" customWidth="1"/>
    <col min="13306" max="13306" width="14.42578125" style="1008" customWidth="1"/>
    <col min="13307" max="13307" width="12.85546875" style="1008" customWidth="1"/>
    <col min="13308" max="13308" width="6.140625" style="1008" customWidth="1"/>
    <col min="13309" max="13310" width="11.42578125" style="1008"/>
    <col min="13311" max="13311" width="15.42578125" style="1008" customWidth="1"/>
    <col min="13312" max="13551" width="11.42578125" style="1008"/>
    <col min="13552" max="13552" width="2.28515625" style="1008" customWidth="1"/>
    <col min="13553" max="13553" width="2.7109375" style="1008" customWidth="1"/>
    <col min="13554" max="13554" width="2.42578125" style="1008" customWidth="1"/>
    <col min="13555" max="13555" width="17.7109375" style="1008" customWidth="1"/>
    <col min="13556" max="13556" width="1.5703125" style="1008" customWidth="1"/>
    <col min="13557" max="13557" width="6.42578125" style="1008" customWidth="1"/>
    <col min="13558" max="13558" width="13.140625" style="1008" customWidth="1"/>
    <col min="13559" max="13559" width="1" style="1008" customWidth="1"/>
    <col min="13560" max="13560" width="19.5703125" style="1008" customWidth="1"/>
    <col min="13561" max="13561" width="0.85546875" style="1008" customWidth="1"/>
    <col min="13562" max="13562" width="14.42578125" style="1008" customWidth="1"/>
    <col min="13563" max="13563" width="12.85546875" style="1008" customWidth="1"/>
    <col min="13564" max="13564" width="6.140625" style="1008" customWidth="1"/>
    <col min="13565" max="13566" width="11.42578125" style="1008"/>
    <col min="13567" max="13567" width="15.42578125" style="1008" customWidth="1"/>
    <col min="13568" max="13807" width="11.42578125" style="1008"/>
    <col min="13808" max="13808" width="2.28515625" style="1008" customWidth="1"/>
    <col min="13809" max="13809" width="2.7109375" style="1008" customWidth="1"/>
    <col min="13810" max="13810" width="2.42578125" style="1008" customWidth="1"/>
    <col min="13811" max="13811" width="17.7109375" style="1008" customWidth="1"/>
    <col min="13812" max="13812" width="1.5703125" style="1008" customWidth="1"/>
    <col min="13813" max="13813" width="6.42578125" style="1008" customWidth="1"/>
    <col min="13814" max="13814" width="13.140625" style="1008" customWidth="1"/>
    <col min="13815" max="13815" width="1" style="1008" customWidth="1"/>
    <col min="13816" max="13816" width="19.5703125" style="1008" customWidth="1"/>
    <col min="13817" max="13817" width="0.85546875" style="1008" customWidth="1"/>
    <col min="13818" max="13818" width="14.42578125" style="1008" customWidth="1"/>
    <col min="13819" max="13819" width="12.85546875" style="1008" customWidth="1"/>
    <col min="13820" max="13820" width="6.140625" style="1008" customWidth="1"/>
    <col min="13821" max="13822" width="11.42578125" style="1008"/>
    <col min="13823" max="13823" width="15.42578125" style="1008" customWidth="1"/>
    <col min="13824" max="14063" width="11.42578125" style="1008"/>
    <col min="14064" max="14064" width="2.28515625" style="1008" customWidth="1"/>
    <col min="14065" max="14065" width="2.7109375" style="1008" customWidth="1"/>
    <col min="14066" max="14066" width="2.42578125" style="1008" customWidth="1"/>
    <col min="14067" max="14067" width="17.7109375" style="1008" customWidth="1"/>
    <col min="14068" max="14068" width="1.5703125" style="1008" customWidth="1"/>
    <col min="14069" max="14069" width="6.42578125" style="1008" customWidth="1"/>
    <col min="14070" max="14070" width="13.140625" style="1008" customWidth="1"/>
    <col min="14071" max="14071" width="1" style="1008" customWidth="1"/>
    <col min="14072" max="14072" width="19.5703125" style="1008" customWidth="1"/>
    <col min="14073" max="14073" width="0.85546875" style="1008" customWidth="1"/>
    <col min="14074" max="14074" width="14.42578125" style="1008" customWidth="1"/>
    <col min="14075" max="14075" width="12.85546875" style="1008" customWidth="1"/>
    <col min="14076" max="14076" width="6.140625" style="1008" customWidth="1"/>
    <col min="14077" max="14078" width="11.42578125" style="1008"/>
    <col min="14079" max="14079" width="15.42578125" style="1008" customWidth="1"/>
    <col min="14080" max="14319" width="11.42578125" style="1008"/>
    <col min="14320" max="14320" width="2.28515625" style="1008" customWidth="1"/>
    <col min="14321" max="14321" width="2.7109375" style="1008" customWidth="1"/>
    <col min="14322" max="14322" width="2.42578125" style="1008" customWidth="1"/>
    <col min="14323" max="14323" width="17.7109375" style="1008" customWidth="1"/>
    <col min="14324" max="14324" width="1.5703125" style="1008" customWidth="1"/>
    <col min="14325" max="14325" width="6.42578125" style="1008" customWidth="1"/>
    <col min="14326" max="14326" width="13.140625" style="1008" customWidth="1"/>
    <col min="14327" max="14327" width="1" style="1008" customWidth="1"/>
    <col min="14328" max="14328" width="19.5703125" style="1008" customWidth="1"/>
    <col min="14329" max="14329" width="0.85546875" style="1008" customWidth="1"/>
    <col min="14330" max="14330" width="14.42578125" style="1008" customWidth="1"/>
    <col min="14331" max="14331" width="12.85546875" style="1008" customWidth="1"/>
    <col min="14332" max="14332" width="6.140625" style="1008" customWidth="1"/>
    <col min="14333" max="14334" width="11.42578125" style="1008"/>
    <col min="14335" max="14335" width="15.42578125" style="1008" customWidth="1"/>
    <col min="14336" max="14575" width="11.42578125" style="1008"/>
    <col min="14576" max="14576" width="2.28515625" style="1008" customWidth="1"/>
    <col min="14577" max="14577" width="2.7109375" style="1008" customWidth="1"/>
    <col min="14578" max="14578" width="2.42578125" style="1008" customWidth="1"/>
    <col min="14579" max="14579" width="17.7109375" style="1008" customWidth="1"/>
    <col min="14580" max="14580" width="1.5703125" style="1008" customWidth="1"/>
    <col min="14581" max="14581" width="6.42578125" style="1008" customWidth="1"/>
    <col min="14582" max="14582" width="13.140625" style="1008" customWidth="1"/>
    <col min="14583" max="14583" width="1" style="1008" customWidth="1"/>
    <col min="14584" max="14584" width="19.5703125" style="1008" customWidth="1"/>
    <col min="14585" max="14585" width="0.85546875" style="1008" customWidth="1"/>
    <col min="14586" max="14586" width="14.42578125" style="1008" customWidth="1"/>
    <col min="14587" max="14587" width="12.85546875" style="1008" customWidth="1"/>
    <col min="14588" max="14588" width="6.140625" style="1008" customWidth="1"/>
    <col min="14589" max="14590" width="11.42578125" style="1008"/>
    <col min="14591" max="14591" width="15.42578125" style="1008" customWidth="1"/>
    <col min="14592" max="14831" width="11.42578125" style="1008"/>
    <col min="14832" max="14832" width="2.28515625" style="1008" customWidth="1"/>
    <col min="14833" max="14833" width="2.7109375" style="1008" customWidth="1"/>
    <col min="14834" max="14834" width="2.42578125" style="1008" customWidth="1"/>
    <col min="14835" max="14835" width="17.7109375" style="1008" customWidth="1"/>
    <col min="14836" max="14836" width="1.5703125" style="1008" customWidth="1"/>
    <col min="14837" max="14837" width="6.42578125" style="1008" customWidth="1"/>
    <col min="14838" max="14838" width="13.140625" style="1008" customWidth="1"/>
    <col min="14839" max="14839" width="1" style="1008" customWidth="1"/>
    <col min="14840" max="14840" width="19.5703125" style="1008" customWidth="1"/>
    <col min="14841" max="14841" width="0.85546875" style="1008" customWidth="1"/>
    <col min="14842" max="14842" width="14.42578125" style="1008" customWidth="1"/>
    <col min="14843" max="14843" width="12.85546875" style="1008" customWidth="1"/>
    <col min="14844" max="14844" width="6.140625" style="1008" customWidth="1"/>
    <col min="14845" max="14846" width="11.42578125" style="1008"/>
    <col min="14847" max="14847" width="15.42578125" style="1008" customWidth="1"/>
    <col min="14848" max="15087" width="11.42578125" style="1008"/>
    <col min="15088" max="15088" width="2.28515625" style="1008" customWidth="1"/>
    <col min="15089" max="15089" width="2.7109375" style="1008" customWidth="1"/>
    <col min="15090" max="15090" width="2.42578125" style="1008" customWidth="1"/>
    <col min="15091" max="15091" width="17.7109375" style="1008" customWidth="1"/>
    <col min="15092" max="15092" width="1.5703125" style="1008" customWidth="1"/>
    <col min="15093" max="15093" width="6.42578125" style="1008" customWidth="1"/>
    <col min="15094" max="15094" width="13.140625" style="1008" customWidth="1"/>
    <col min="15095" max="15095" width="1" style="1008" customWidth="1"/>
    <col min="15096" max="15096" width="19.5703125" style="1008" customWidth="1"/>
    <col min="15097" max="15097" width="0.85546875" style="1008" customWidth="1"/>
    <col min="15098" max="15098" width="14.42578125" style="1008" customWidth="1"/>
    <col min="15099" max="15099" width="12.85546875" style="1008" customWidth="1"/>
    <col min="15100" max="15100" width="6.140625" style="1008" customWidth="1"/>
    <col min="15101" max="15102" width="11.42578125" style="1008"/>
    <col min="15103" max="15103" width="15.42578125" style="1008" customWidth="1"/>
    <col min="15104" max="15343" width="11.42578125" style="1008"/>
    <col min="15344" max="15344" width="2.28515625" style="1008" customWidth="1"/>
    <col min="15345" max="15345" width="2.7109375" style="1008" customWidth="1"/>
    <col min="15346" max="15346" width="2.42578125" style="1008" customWidth="1"/>
    <col min="15347" max="15347" width="17.7109375" style="1008" customWidth="1"/>
    <col min="15348" max="15348" width="1.5703125" style="1008" customWidth="1"/>
    <col min="15349" max="15349" width="6.42578125" style="1008" customWidth="1"/>
    <col min="15350" max="15350" width="13.140625" style="1008" customWidth="1"/>
    <col min="15351" max="15351" width="1" style="1008" customWidth="1"/>
    <col min="15352" max="15352" width="19.5703125" style="1008" customWidth="1"/>
    <col min="15353" max="15353" width="0.85546875" style="1008" customWidth="1"/>
    <col min="15354" max="15354" width="14.42578125" style="1008" customWidth="1"/>
    <col min="15355" max="15355" width="12.85546875" style="1008" customWidth="1"/>
    <col min="15356" max="15356" width="6.140625" style="1008" customWidth="1"/>
    <col min="15357" max="15358" width="11.42578125" style="1008"/>
    <col min="15359" max="15359" width="15.42578125" style="1008" customWidth="1"/>
    <col min="15360" max="15599" width="11.42578125" style="1008"/>
    <col min="15600" max="15600" width="2.28515625" style="1008" customWidth="1"/>
    <col min="15601" max="15601" width="2.7109375" style="1008" customWidth="1"/>
    <col min="15602" max="15602" width="2.42578125" style="1008" customWidth="1"/>
    <col min="15603" max="15603" width="17.7109375" style="1008" customWidth="1"/>
    <col min="15604" max="15604" width="1.5703125" style="1008" customWidth="1"/>
    <col min="15605" max="15605" width="6.42578125" style="1008" customWidth="1"/>
    <col min="15606" max="15606" width="13.140625" style="1008" customWidth="1"/>
    <col min="15607" max="15607" width="1" style="1008" customWidth="1"/>
    <col min="15608" max="15608" width="19.5703125" style="1008" customWidth="1"/>
    <col min="15609" max="15609" width="0.85546875" style="1008" customWidth="1"/>
    <col min="15610" max="15610" width="14.42578125" style="1008" customWidth="1"/>
    <col min="15611" max="15611" width="12.85546875" style="1008" customWidth="1"/>
    <col min="15612" max="15612" width="6.140625" style="1008" customWidth="1"/>
    <col min="15613" max="15614" width="11.42578125" style="1008"/>
    <col min="15615" max="15615" width="15.42578125" style="1008" customWidth="1"/>
    <col min="15616" max="15855" width="11.42578125" style="1008"/>
    <col min="15856" max="15856" width="2.28515625" style="1008" customWidth="1"/>
    <col min="15857" max="15857" width="2.7109375" style="1008" customWidth="1"/>
    <col min="15858" max="15858" width="2.42578125" style="1008" customWidth="1"/>
    <col min="15859" max="15859" width="17.7109375" style="1008" customWidth="1"/>
    <col min="15860" max="15860" width="1.5703125" style="1008" customWidth="1"/>
    <col min="15861" max="15861" width="6.42578125" style="1008" customWidth="1"/>
    <col min="15862" max="15862" width="13.140625" style="1008" customWidth="1"/>
    <col min="15863" max="15863" width="1" style="1008" customWidth="1"/>
    <col min="15864" max="15864" width="19.5703125" style="1008" customWidth="1"/>
    <col min="15865" max="15865" width="0.85546875" style="1008" customWidth="1"/>
    <col min="15866" max="15866" width="14.42578125" style="1008" customWidth="1"/>
    <col min="15867" max="15867" width="12.85546875" style="1008" customWidth="1"/>
    <col min="15868" max="15868" width="6.140625" style="1008" customWidth="1"/>
    <col min="15869" max="15870" width="11.42578125" style="1008"/>
    <col min="15871" max="15871" width="15.42578125" style="1008" customWidth="1"/>
    <col min="15872" max="16111" width="11.42578125" style="1008"/>
    <col min="16112" max="16112" width="2.28515625" style="1008" customWidth="1"/>
    <col min="16113" max="16113" width="2.7109375" style="1008" customWidth="1"/>
    <col min="16114" max="16114" width="2.42578125" style="1008" customWidth="1"/>
    <col min="16115" max="16115" width="17.7109375" style="1008" customWidth="1"/>
    <col min="16116" max="16116" width="1.5703125" style="1008" customWidth="1"/>
    <col min="16117" max="16117" width="6.42578125" style="1008" customWidth="1"/>
    <col min="16118" max="16118" width="13.140625" style="1008" customWidth="1"/>
    <col min="16119" max="16119" width="1" style="1008" customWidth="1"/>
    <col min="16120" max="16120" width="19.5703125" style="1008" customWidth="1"/>
    <col min="16121" max="16121" width="0.85546875" style="1008" customWidth="1"/>
    <col min="16122" max="16122" width="14.42578125" style="1008" customWidth="1"/>
    <col min="16123" max="16123" width="12.85546875" style="1008" customWidth="1"/>
    <col min="16124" max="16124" width="6.140625" style="1008" customWidth="1"/>
    <col min="16125" max="16126" width="11.42578125" style="1008"/>
    <col min="16127" max="16127" width="15.42578125" style="1008" customWidth="1"/>
    <col min="16128" max="16384" width="11.42578125" style="1008"/>
  </cols>
  <sheetData>
    <row r="1" spans="1:20" ht="9" hidden="1" customHeight="1" x14ac:dyDescent="0.2"/>
    <row r="2" spans="1:20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1"/>
    </row>
    <row r="3" spans="1:20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4"/>
    </row>
    <row r="4" spans="1:20" ht="16.5" thickTop="1" x14ac:dyDescent="0.25">
      <c r="A4" s="2875" t="str">
        <f>"CERTIFICADO DE CALIBRACIÓN N° "&amp;"LSCD "&amp;'F-LSCD-012'!C25</f>
        <v>CERTIFICADO DE CALIBRACIÓN N° LSCD 029-2021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7"/>
    </row>
    <row r="5" spans="1:20" ht="15.75" x14ac:dyDescent="0.2">
      <c r="A5" s="2878" t="s">
        <v>253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80"/>
    </row>
    <row r="6" spans="1:20" ht="15.75" x14ac:dyDescent="0.2">
      <c r="A6" s="2881" t="s">
        <v>1119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79"/>
      <c r="S6" s="2879"/>
      <c r="T6" s="2880"/>
    </row>
    <row r="7" spans="1:20" ht="7.5" customHeight="1" x14ac:dyDescent="0.2">
      <c r="A7" s="2885"/>
      <c r="B7" s="2886"/>
      <c r="C7" s="2886"/>
      <c r="D7" s="2886"/>
      <c r="E7" s="2886"/>
      <c r="F7" s="2886"/>
      <c r="G7" s="2886"/>
      <c r="H7" s="2886"/>
      <c r="I7" s="2886"/>
      <c r="J7" s="2886"/>
      <c r="K7" s="2886"/>
      <c r="L7" s="2886"/>
      <c r="M7" s="2886"/>
      <c r="N7" s="2886"/>
      <c r="O7" s="2886"/>
      <c r="P7" s="2886"/>
      <c r="Q7" s="2886"/>
      <c r="R7" s="2886"/>
      <c r="S7" s="2886"/>
      <c r="T7" s="2887"/>
    </row>
    <row r="8" spans="1:20" ht="13.5" customHeight="1" x14ac:dyDescent="0.2">
      <c r="A8" s="1009"/>
      <c r="B8" s="166" t="s">
        <v>1105</v>
      </c>
      <c r="D8" s="1010" t="s">
        <v>218</v>
      </c>
      <c r="E8" s="1008" t="str">
        <f>'F-LSCD-012'!C7</f>
        <v>ALEPH SAC</v>
      </c>
      <c r="Q8" s="2902" t="s">
        <v>221</v>
      </c>
      <c r="R8" s="2903"/>
      <c r="S8" s="2903"/>
      <c r="T8" s="1011"/>
    </row>
    <row r="9" spans="1:20" x14ac:dyDescent="0.2">
      <c r="A9" s="1009"/>
      <c r="E9" s="2882" t="str">
        <f>'F-LSCD-012'!C8</f>
        <v>Av. Rafael Escardo 154</v>
      </c>
      <c r="F9" s="2882"/>
      <c r="G9" s="2882"/>
      <c r="H9" s="2882"/>
      <c r="I9" s="2882"/>
      <c r="J9" s="2882"/>
      <c r="K9" s="2882"/>
      <c r="L9" s="2882"/>
      <c r="M9" s="2882"/>
      <c r="N9" s="2882"/>
      <c r="O9" s="2882"/>
      <c r="Q9" s="2902"/>
      <c r="R9" s="2903"/>
      <c r="S9" s="2903"/>
      <c r="T9" s="1011"/>
    </row>
    <row r="10" spans="1:20" x14ac:dyDescent="0.2">
      <c r="A10" s="1009"/>
      <c r="E10" s="1008" t="str">
        <f>'F-LSCD-012'!I8&amp;", "&amp;'F-LSCD-012'!L8&amp;", "&amp;'F-LSCD-012'!P8&amp;", "&amp;'F-LSCD-012'!T8</f>
        <v>San Miguel, Lima, Lima, Perú</v>
      </c>
      <c r="Q10" s="2902"/>
      <c r="R10" s="2903"/>
      <c r="S10" s="2903"/>
      <c r="T10" s="1011"/>
    </row>
    <row r="11" spans="1:20" ht="6.75" customHeight="1" x14ac:dyDescent="0.2">
      <c r="A11" s="1009"/>
      <c r="Q11" s="2902"/>
      <c r="R11" s="2903"/>
      <c r="S11" s="2903"/>
      <c r="T11" s="1011"/>
    </row>
    <row r="12" spans="1:20" x14ac:dyDescent="0.2">
      <c r="A12" s="1009"/>
      <c r="B12" s="166" t="s">
        <v>1106</v>
      </c>
      <c r="D12" s="1010" t="s">
        <v>218</v>
      </c>
      <c r="E12" s="1012" t="str">
        <f>'F-LSCD-012'!C6</f>
        <v>OT 111-12925</v>
      </c>
      <c r="F12" s="1013"/>
      <c r="G12" s="1013"/>
      <c r="H12" s="1013"/>
      <c r="I12" s="1013"/>
      <c r="J12" s="1013"/>
      <c r="K12" s="1013"/>
      <c r="L12" s="1013"/>
      <c r="M12" s="1014"/>
      <c r="N12" s="1014"/>
      <c r="O12" s="1014"/>
      <c r="P12" s="1016"/>
      <c r="Q12" s="2902"/>
      <c r="R12" s="2903"/>
      <c r="S12" s="2903"/>
      <c r="T12" s="1011"/>
    </row>
    <row r="13" spans="1:20" ht="6.75" customHeight="1" x14ac:dyDescent="0.2">
      <c r="A13" s="1009"/>
      <c r="Q13" s="2902"/>
      <c r="R13" s="2903"/>
      <c r="S13" s="2903"/>
      <c r="T13" s="1011"/>
    </row>
    <row r="14" spans="1:20" x14ac:dyDescent="0.2">
      <c r="A14" s="1009"/>
      <c r="B14" s="166" t="s">
        <v>1123</v>
      </c>
      <c r="D14" s="1010" t="s">
        <v>218</v>
      </c>
      <c r="E14" s="1448" t="s">
        <v>1134</v>
      </c>
      <c r="F14" s="1688"/>
      <c r="G14" s="1688"/>
      <c r="H14" s="1688"/>
      <c r="I14" s="1688"/>
      <c r="J14" s="1688"/>
      <c r="K14" s="1688"/>
      <c r="L14" s="1688"/>
      <c r="M14" s="1688"/>
      <c r="N14" s="1688"/>
      <c r="O14" s="1688"/>
      <c r="P14" s="1017"/>
      <c r="Q14" s="1018"/>
      <c r="R14" s="1019"/>
      <c r="S14" s="1019"/>
      <c r="T14" s="1011"/>
    </row>
    <row r="15" spans="1:20" ht="6" customHeight="1" x14ac:dyDescent="0.2">
      <c r="A15" s="1009"/>
      <c r="B15" s="1010"/>
      <c r="D15" s="1010"/>
      <c r="E15" s="1688"/>
      <c r="F15" s="1688"/>
      <c r="G15" s="1688"/>
      <c r="H15" s="1688"/>
      <c r="I15" s="1688"/>
      <c r="J15" s="1688"/>
      <c r="K15" s="1688"/>
      <c r="L15" s="1688"/>
      <c r="M15" s="1688"/>
      <c r="N15" s="1688"/>
      <c r="O15" s="1688"/>
      <c r="P15" s="1017"/>
      <c r="Q15" s="2906" t="s">
        <v>225</v>
      </c>
      <c r="R15" s="2907"/>
      <c r="S15" s="2907"/>
      <c r="T15" s="1011"/>
    </row>
    <row r="16" spans="1:20" ht="12.75" customHeight="1" x14ac:dyDescent="0.2">
      <c r="A16" s="1009"/>
      <c r="B16" s="166" t="s">
        <v>1124</v>
      </c>
      <c r="D16" s="1010" t="s">
        <v>218</v>
      </c>
      <c r="E16" s="2883" t="str">
        <f>'F-LSCD-012'!C9</f>
        <v>Monitor de radiación (digital)</v>
      </c>
      <c r="F16" s="2883"/>
      <c r="G16" s="2883"/>
      <c r="H16" s="2883"/>
      <c r="I16" s="2883"/>
      <c r="J16" s="2883"/>
      <c r="K16" s="2883"/>
      <c r="L16" s="2883"/>
      <c r="M16" s="2883"/>
      <c r="N16" s="2883"/>
      <c r="O16" s="2883"/>
      <c r="P16" s="1017"/>
      <c r="Q16" s="2906"/>
      <c r="R16" s="2907"/>
      <c r="S16" s="2907"/>
      <c r="T16" s="1011"/>
    </row>
    <row r="17" spans="1:20" ht="26.25" customHeight="1" x14ac:dyDescent="0.2">
      <c r="A17" s="1009"/>
      <c r="B17" s="1010"/>
      <c r="D17" s="1010"/>
      <c r="E17" s="2884" t="str">
        <f>IF('F-LSCD-012'!C13="-","Marca monitor: "&amp;'F-LSCD-012'!C10,"Marca monitor: "&amp;'F-LSCD-012'!C10&amp;" / Marca sonda: "&amp;'F-LSCD-012'!C13)</f>
        <v>Marca monitor: MGP</v>
      </c>
      <c r="F17" s="2884"/>
      <c r="G17" s="2884"/>
      <c r="H17" s="2884"/>
      <c r="I17" s="2884"/>
      <c r="J17" s="2884"/>
      <c r="K17" s="2884"/>
      <c r="L17" s="2884"/>
      <c r="M17" s="2884"/>
      <c r="N17" s="2884"/>
      <c r="O17" s="2884"/>
      <c r="P17" s="1017"/>
      <c r="Q17" s="2906"/>
      <c r="R17" s="2907"/>
      <c r="S17" s="2907"/>
      <c r="T17" s="1011"/>
    </row>
    <row r="18" spans="1:20" x14ac:dyDescent="0.2">
      <c r="A18" s="1009"/>
      <c r="B18" s="1010"/>
      <c r="D18" s="1010"/>
      <c r="E18" s="2883" t="str">
        <f>IF('F-LSCD-012'!C13="-","Modelo monitor: "&amp;'F-LSCD-012'!C11,"Modelo monitor: "&amp;'F-LSCD-012'!C11&amp;" / Modelo sonda: "&amp;'F-LSCD-012'!C14)</f>
        <v>Modelo monitor: DMC 2000S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2883"/>
      <c r="P18" s="1017"/>
      <c r="Q18" s="2906"/>
      <c r="R18" s="2907"/>
      <c r="S18" s="2907"/>
      <c r="T18" s="1011"/>
    </row>
    <row r="19" spans="1:20" ht="12" customHeight="1" x14ac:dyDescent="0.2">
      <c r="A19" s="1009"/>
      <c r="B19" s="1010"/>
      <c r="D19" s="1010"/>
      <c r="E19" s="2883" t="str">
        <f>IF('F-LSCD-012'!C13="-","Serie monitor: "&amp;'F-LSCD-012'!C12,"Serie monitor: "&amp;'F-LSCD-012'!C12&amp;" / Serie sonda: "&amp;'F-LSCD-012'!C15)</f>
        <v>Serie monitor: 690384T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2883"/>
      <c r="P19" s="1017"/>
      <c r="Q19" s="2906"/>
      <c r="R19" s="2907"/>
      <c r="S19" s="2907"/>
      <c r="T19" s="1011"/>
    </row>
    <row r="20" spans="1:20" ht="5.25" customHeight="1" x14ac:dyDescent="0.2">
      <c r="A20" s="1009"/>
      <c r="B20" s="1010"/>
      <c r="D20" s="1010"/>
      <c r="E20" s="2883"/>
      <c r="F20" s="2883"/>
      <c r="G20" s="2883"/>
      <c r="H20" s="2883"/>
      <c r="I20" s="2883"/>
      <c r="J20" s="2883"/>
      <c r="K20" s="2883"/>
      <c r="L20" s="2883"/>
      <c r="M20" s="2883"/>
      <c r="N20" s="2883"/>
      <c r="O20" s="2883"/>
      <c r="P20" s="1017"/>
      <c r="Q20" s="2906"/>
      <c r="R20" s="2907"/>
      <c r="S20" s="2907"/>
      <c r="T20" s="1011"/>
    </row>
    <row r="21" spans="1:20" x14ac:dyDescent="0.2">
      <c r="A21" s="1009"/>
      <c r="B21" s="175" t="s">
        <v>1125</v>
      </c>
      <c r="D21" s="175" t="s">
        <v>218</v>
      </c>
      <c r="E21" s="2908" t="str">
        <f>'F-LSCD-012'!C19</f>
        <v>Campo de radiación calibrado usando un fantoma, según ISO 4037-3 (2019), aplicado al PROC-LSCD-012 Calibración de dosímetros personales (versión 05)</v>
      </c>
      <c r="F21" s="2908"/>
      <c r="G21" s="2908"/>
      <c r="H21" s="2908"/>
      <c r="I21" s="2908"/>
      <c r="J21" s="2908"/>
      <c r="K21" s="2908"/>
      <c r="L21" s="2908"/>
      <c r="M21" s="2908"/>
      <c r="N21" s="2908"/>
      <c r="O21" s="2908"/>
      <c r="P21" s="1021"/>
      <c r="Q21" s="2906"/>
      <c r="R21" s="2907"/>
      <c r="S21" s="2907"/>
      <c r="T21" s="1011"/>
    </row>
    <row r="22" spans="1:20" ht="27.75" customHeight="1" x14ac:dyDescent="0.2">
      <c r="A22" s="1009"/>
      <c r="E22" s="2908"/>
      <c r="F22" s="2908"/>
      <c r="G22" s="2908"/>
      <c r="H22" s="2908"/>
      <c r="I22" s="2908"/>
      <c r="J22" s="2908"/>
      <c r="K22" s="2908"/>
      <c r="L22" s="2908"/>
      <c r="M22" s="2908"/>
      <c r="N22" s="2908"/>
      <c r="O22" s="2908"/>
      <c r="P22" s="1021"/>
      <c r="Q22" s="2906"/>
      <c r="R22" s="2907"/>
      <c r="S22" s="2907"/>
      <c r="T22" s="1011"/>
    </row>
    <row r="23" spans="1:20" x14ac:dyDescent="0.2">
      <c r="A23" s="1009"/>
      <c r="E23" s="1021"/>
      <c r="F23" s="1021"/>
      <c r="G23" s="1021"/>
      <c r="H23" s="1021"/>
      <c r="I23" s="1021"/>
      <c r="J23" s="1021"/>
      <c r="K23" s="1021"/>
      <c r="L23" s="1021"/>
      <c r="M23" s="1021"/>
      <c r="N23" s="1021"/>
      <c r="O23" s="1021"/>
      <c r="P23" s="1021"/>
      <c r="Q23" s="2906"/>
      <c r="R23" s="2907"/>
      <c r="S23" s="2907"/>
      <c r="T23" s="1011"/>
    </row>
    <row r="24" spans="1:20" ht="51.75" customHeight="1" x14ac:dyDescent="0.2">
      <c r="A24" s="1009"/>
      <c r="B24" s="170" t="s">
        <v>1126</v>
      </c>
      <c r="D24" s="1272" t="s">
        <v>218</v>
      </c>
      <c r="E24" s="2908" t="str">
        <f>'F-LSCD-012'!C20</f>
        <v>Cámara de ionización patrón de 1 L , marca: PTW; modelo: TN32002; serie: 000568; Reporte de calibración de Kerma en aire DG: 13580-21 con fecha 2021-04-01 (NIST); trazable al NIST.</v>
      </c>
      <c r="F24" s="2908"/>
      <c r="G24" s="2908"/>
      <c r="H24" s="2908"/>
      <c r="I24" s="2908"/>
      <c r="J24" s="2908"/>
      <c r="K24" s="2908"/>
      <c r="L24" s="2908"/>
      <c r="M24" s="2908"/>
      <c r="N24" s="2908"/>
      <c r="O24" s="2908"/>
      <c r="P24" s="1021"/>
      <c r="Q24" s="2906"/>
      <c r="R24" s="2907"/>
      <c r="S24" s="2907"/>
      <c r="T24" s="1011"/>
    </row>
    <row r="25" spans="1:20" ht="7.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1021"/>
      <c r="Q25" s="2904" t="s">
        <v>702</v>
      </c>
      <c r="R25" s="2905"/>
      <c r="S25" s="2905"/>
      <c r="T25" s="1011"/>
    </row>
    <row r="26" spans="1:20" ht="14.25" customHeight="1" x14ac:dyDescent="0.2">
      <c r="A26" s="1009"/>
      <c r="B26" s="166" t="s">
        <v>1127</v>
      </c>
      <c r="D26" s="1010"/>
      <c r="Q26" s="2904"/>
      <c r="R26" s="2905"/>
      <c r="S26" s="2905"/>
      <c r="T26" s="1011"/>
    </row>
    <row r="27" spans="1:20" ht="6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O27" s="2909"/>
      <c r="Q27" s="228"/>
      <c r="R27" s="229"/>
      <c r="S27" s="229"/>
      <c r="T27" s="1011"/>
    </row>
    <row r="28" spans="1:20" ht="12" customHeight="1" x14ac:dyDescent="0.2">
      <c r="A28" s="1009"/>
      <c r="C28" s="1401" t="s">
        <v>203</v>
      </c>
      <c r="D28" s="1022" t="s">
        <v>218</v>
      </c>
      <c r="E28" s="1275" t="str">
        <f>'F-LSCD-012'!C21</f>
        <v>S-Cs (ISO 4037-3)</v>
      </c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014"/>
      <c r="Q28" s="228"/>
      <c r="R28" s="229"/>
      <c r="S28" s="229"/>
      <c r="T28" s="1011"/>
    </row>
    <row r="29" spans="1:20" ht="12" customHeight="1" x14ac:dyDescent="0.2">
      <c r="A29" s="1009"/>
      <c r="C29" s="1699" t="s">
        <v>138</v>
      </c>
      <c r="D29" s="227" t="s">
        <v>218</v>
      </c>
      <c r="E29" s="2910" t="str">
        <f>'F-LSCD-012'!I24</f>
        <v>Dosis equivalente personal, Hp(10)</v>
      </c>
      <c r="F29" s="2910"/>
      <c r="G29" s="2910"/>
      <c r="H29" s="2910"/>
      <c r="I29" s="2910"/>
      <c r="J29" s="2910"/>
      <c r="K29" s="2910"/>
      <c r="L29" s="2910"/>
      <c r="M29" s="2910"/>
      <c r="N29" s="2910"/>
      <c r="O29" s="2910"/>
      <c r="P29" s="1014"/>
      <c r="Q29" s="228"/>
      <c r="R29" s="229"/>
      <c r="S29" s="229"/>
      <c r="T29" s="1011"/>
    </row>
    <row r="30" spans="1:20" x14ac:dyDescent="0.2">
      <c r="A30" s="1009"/>
      <c r="C30" s="1699" t="s">
        <v>1110</v>
      </c>
      <c r="D30" s="1022" t="s">
        <v>218</v>
      </c>
      <c r="E30" s="2888" t="str">
        <f>IF('F-LSCD-012'!D30="-","Inicio: "&amp;FIXED('F-LSCD-012'!D28,1)&amp;" °C ; "&amp;"Final: "&amp;FIXED('F-LSCD-012'!D29,1)&amp;" °C","Inicio: "&amp;FIXED('F-LSCD-012'!D28,1)&amp;" °C ; "&amp;"Final: "&amp;FIXED('F-LSCD-012'!D31,1)&amp;" °C")</f>
        <v>Inicio: 20.2 °C ; Final: 20.3 °C</v>
      </c>
      <c r="F30" s="2888"/>
      <c r="G30" s="2888"/>
      <c r="H30" s="2888"/>
      <c r="I30" s="2888"/>
      <c r="J30" s="2888"/>
      <c r="K30" s="2888"/>
      <c r="L30" s="2888"/>
      <c r="M30" s="2888"/>
      <c r="N30" s="2888"/>
      <c r="O30" s="1689"/>
      <c r="P30" s="1014"/>
      <c r="Q30" s="2906" t="s">
        <v>1115</v>
      </c>
      <c r="R30" s="2907"/>
      <c r="S30" s="2907"/>
      <c r="T30" s="1011"/>
    </row>
    <row r="31" spans="1:20" x14ac:dyDescent="0.2">
      <c r="A31" s="1009"/>
      <c r="C31" s="1699" t="s">
        <v>1108</v>
      </c>
      <c r="D31" s="1022" t="s">
        <v>218</v>
      </c>
      <c r="E31" s="2888" t="str">
        <f>IF('F-LSCD-012'!H30="-","Inicio: "&amp;FIXED('F-LSCD-012'!H28,1)&amp;" hPa ; "&amp;"Final: "&amp;FIXED('F-LSCD-012'!H29,1)&amp;" hPa","Inicio: "&amp;FIXED('F-LSCD-012'!H28,1)&amp;" hPa ; "&amp;"Final: "&amp;FIXED('F-LSCD-012'!H31,1)&amp;" hPa")</f>
        <v>Inicio: 1,010.0 hPa ; Final: 1,010.2 hPa</v>
      </c>
      <c r="F31" s="2888"/>
      <c r="G31" s="2888"/>
      <c r="H31" s="2888"/>
      <c r="I31" s="2888"/>
      <c r="J31" s="2888"/>
      <c r="K31" s="2888"/>
      <c r="L31" s="2888"/>
      <c r="M31" s="2888"/>
      <c r="N31" s="2888"/>
      <c r="O31" s="1689"/>
      <c r="P31" s="1014"/>
      <c r="Q31" s="2906"/>
      <c r="R31" s="2907"/>
      <c r="S31" s="2907"/>
      <c r="T31" s="1011"/>
    </row>
    <row r="32" spans="1:20" x14ac:dyDescent="0.2">
      <c r="A32" s="1009"/>
      <c r="C32" s="1699" t="s">
        <v>1109</v>
      </c>
      <c r="D32" s="1022" t="s">
        <v>218</v>
      </c>
      <c r="E32" s="2888" t="str">
        <f>IF('F-LSCD-012'!F30="-","Inicio: "&amp;'F-LSCD-012'!F28&amp;" % ; "&amp;"Final: "&amp;'F-LSCD-012'!F29&amp;" %","Inicio: "&amp;'F-LSCD-012'!F28&amp;" % ; "&amp;"Final: "&amp;'F-LSCD-012'!F31&amp;" %")</f>
        <v>Inicio: 52 % ; Final: 53 %</v>
      </c>
      <c r="F32" s="2888"/>
      <c r="G32" s="2888"/>
      <c r="H32" s="2888"/>
      <c r="I32" s="2888"/>
      <c r="J32" s="2888"/>
      <c r="K32" s="2888"/>
      <c r="L32" s="2888"/>
      <c r="M32" s="2888"/>
      <c r="N32" s="2888"/>
      <c r="O32" s="1689"/>
      <c r="P32" s="1014"/>
      <c r="Q32" s="2906"/>
      <c r="R32" s="2907"/>
      <c r="S32" s="2907"/>
      <c r="T32" s="1011"/>
    </row>
    <row r="33" spans="1:20" ht="25.5" customHeight="1" x14ac:dyDescent="0.2">
      <c r="A33" s="1009"/>
      <c r="C33" s="1315" t="s">
        <v>277</v>
      </c>
      <c r="D33" s="1280" t="s">
        <v>218</v>
      </c>
      <c r="E33" s="2912" t="str">
        <f>'F-LSCD-012'!C22</f>
        <v xml:space="preserve">Eje longitudinal del detector paralelo al eje central del haz de radiación
</v>
      </c>
      <c r="F33" s="2912"/>
      <c r="G33" s="2912"/>
      <c r="H33" s="2912"/>
      <c r="I33" s="2912"/>
      <c r="J33" s="2912"/>
      <c r="K33" s="2912"/>
      <c r="L33" s="2912"/>
      <c r="M33" s="2912"/>
      <c r="N33" s="2912"/>
      <c r="O33" s="2912"/>
      <c r="P33" s="1014"/>
      <c r="Q33" s="2906"/>
      <c r="R33" s="2907"/>
      <c r="S33" s="2907"/>
      <c r="T33" s="1011"/>
    </row>
    <row r="34" spans="1:20" ht="12.75" customHeight="1" x14ac:dyDescent="0.2">
      <c r="A34" s="1009"/>
      <c r="C34" s="1315" t="s">
        <v>231</v>
      </c>
      <c r="D34" s="1280" t="s">
        <v>218</v>
      </c>
      <c r="E34" s="2913" t="str">
        <f>'F-LSCD-012'!C23</f>
        <v>Centro geométrico del volumen sensible del detector</v>
      </c>
      <c r="F34" s="2913"/>
      <c r="G34" s="2913"/>
      <c r="H34" s="2913"/>
      <c r="I34" s="2913"/>
      <c r="J34" s="2913"/>
      <c r="K34" s="2913"/>
      <c r="L34" s="2913"/>
      <c r="M34" s="2913"/>
      <c r="N34" s="2913"/>
      <c r="O34" s="2913"/>
      <c r="P34" s="1014"/>
      <c r="Q34" s="2906"/>
      <c r="R34" s="2907"/>
      <c r="S34" s="2907"/>
      <c r="T34" s="1011"/>
    </row>
    <row r="35" spans="1:20" ht="6" customHeight="1" x14ac:dyDescent="0.2">
      <c r="A35" s="1009"/>
      <c r="C35" s="1315"/>
      <c r="D35" s="1280"/>
      <c r="E35" s="1672"/>
      <c r="F35" s="1672"/>
      <c r="G35" s="1672"/>
      <c r="H35" s="1672"/>
      <c r="I35" s="1672"/>
      <c r="J35" s="1672"/>
      <c r="K35" s="1672"/>
      <c r="L35" s="1672"/>
      <c r="M35" s="1672"/>
      <c r="N35" s="1672"/>
      <c r="O35" s="1672"/>
      <c r="P35" s="1014"/>
      <c r="Q35" s="2906"/>
      <c r="R35" s="2907"/>
      <c r="S35" s="2907"/>
      <c r="T35" s="1011"/>
    </row>
    <row r="36" spans="1:20" ht="12.75" customHeight="1" x14ac:dyDescent="0.2">
      <c r="A36" s="1009"/>
      <c r="B36" s="1693" t="s">
        <v>1128</v>
      </c>
      <c r="C36" s="1264"/>
      <c r="D36" s="1022" t="s">
        <v>218</v>
      </c>
      <c r="E36" s="2911">
        <f>'F-LSCD-012'!C18</f>
        <v>44336</v>
      </c>
      <c r="F36" s="2911"/>
      <c r="G36" s="2911"/>
      <c r="H36" s="1276"/>
      <c r="I36" s="1276"/>
      <c r="J36" s="1276"/>
      <c r="K36" s="1276"/>
      <c r="L36" s="1276"/>
      <c r="M36" s="1277"/>
      <c r="N36" s="1275"/>
      <c r="O36" s="1275"/>
      <c r="P36" s="1014"/>
      <c r="Q36" s="2906"/>
      <c r="R36" s="2907"/>
      <c r="S36" s="2907"/>
      <c r="T36" s="1011"/>
    </row>
    <row r="37" spans="1:20" ht="4.5" customHeight="1" x14ac:dyDescent="0.2">
      <c r="A37" s="1009"/>
      <c r="B37" s="1695"/>
      <c r="C37" s="1694"/>
      <c r="D37" s="1022"/>
      <c r="E37" s="1696"/>
      <c r="F37" s="1696"/>
      <c r="G37" s="1696"/>
      <c r="H37" s="1276"/>
      <c r="I37" s="1276"/>
      <c r="J37" s="1276"/>
      <c r="K37" s="1276"/>
      <c r="L37" s="1276"/>
      <c r="M37" s="1277"/>
      <c r="N37" s="1275"/>
      <c r="O37" s="1275"/>
      <c r="P37" s="1014"/>
      <c r="Q37" s="2906"/>
      <c r="R37" s="2907"/>
      <c r="S37" s="2907"/>
      <c r="T37" s="1011"/>
    </row>
    <row r="38" spans="1:20" ht="15" customHeight="1" x14ac:dyDescent="0.2">
      <c r="A38" s="1009"/>
      <c r="B38" s="1693" t="s">
        <v>1129</v>
      </c>
      <c r="C38" s="1697"/>
      <c r="D38" s="1022" t="s">
        <v>218</v>
      </c>
      <c r="E38" s="2911">
        <f>'F-LSCD-012'!C26</f>
        <v>44336</v>
      </c>
      <c r="F38" s="2911"/>
      <c r="G38" s="2911"/>
      <c r="H38" s="1278"/>
      <c r="I38" s="1278"/>
      <c r="J38" s="1278"/>
      <c r="K38" s="1278"/>
      <c r="L38" s="1278"/>
      <c r="M38" s="1279"/>
      <c r="N38" s="1279"/>
      <c r="O38" s="1279"/>
      <c r="P38" s="1027"/>
      <c r="Q38" s="2906"/>
      <c r="R38" s="2907"/>
      <c r="S38" s="2907"/>
      <c r="T38" s="1011"/>
    </row>
    <row r="39" spans="1:20" ht="6.75" customHeight="1" x14ac:dyDescent="0.2">
      <c r="A39" s="1009"/>
      <c r="C39" s="1315"/>
      <c r="D39" s="1280"/>
      <c r="E39" s="1672"/>
      <c r="F39" s="1672"/>
      <c r="G39" s="1672"/>
      <c r="H39" s="1672"/>
      <c r="I39" s="1672"/>
      <c r="J39" s="1672"/>
      <c r="K39" s="1672"/>
      <c r="L39" s="1672"/>
      <c r="M39" s="1672"/>
      <c r="N39" s="1672"/>
      <c r="O39" s="1672"/>
      <c r="P39" s="1014"/>
      <c r="Q39" s="1698"/>
      <c r="R39" s="1698"/>
      <c r="S39" s="1698"/>
      <c r="T39" s="1011"/>
    </row>
    <row r="40" spans="1:20" ht="15" customHeight="1" x14ac:dyDescent="0.2">
      <c r="A40" s="1009"/>
      <c r="B40" s="226" t="s">
        <v>1130</v>
      </c>
      <c r="C40" s="1010"/>
      <c r="D40" s="1029"/>
      <c r="E40" s="1029"/>
      <c r="F40" s="1010"/>
      <c r="G40" s="1010"/>
      <c r="H40" s="1010"/>
      <c r="I40" s="1010"/>
      <c r="J40" s="1010"/>
      <c r="K40" s="1010"/>
      <c r="L40" s="1010"/>
      <c r="T40" s="1011"/>
    </row>
    <row r="41" spans="1:20" ht="7.5" customHeight="1" x14ac:dyDescent="0.2">
      <c r="A41" s="1009"/>
      <c r="D41" s="1028"/>
      <c r="E41" s="1030"/>
      <c r="T41" s="1011"/>
    </row>
    <row r="42" spans="1:20" ht="15" customHeight="1" x14ac:dyDescent="0.2">
      <c r="A42" s="1009"/>
      <c r="C42" s="2889" t="str">
        <f>IF('F-LSCD-012'!I24="Tasa de dosis equivalente ambiental, H*(10)","VCV de la tasa de dosis equivalente ambiental H*(10)",IF('F-LSCD-012'!I24="Dosis equivalente personal, Hp(10)","VCV de la dosis equivalente personal Hp(10) (mSv)",IF('F-LSCD-012'!I24="Dosis equivalente personal, Hp(0,07)","VCV de la dosis equivalente personal Hp(0,07) (mSv)",IF('F-LSCD-012'!I24="Dosis absorbida, D(10)","VCV de la dosis absorbida D(10) (mGy)"))))</f>
        <v>VCV de la dosis equivalente personal Hp(10) (mSv)</v>
      </c>
      <c r="D42" s="2890"/>
      <c r="E42" s="2893" t="s">
        <v>799</v>
      </c>
      <c r="F42" s="2894"/>
      <c r="G42" s="2894"/>
      <c r="H42" s="2895"/>
      <c r="I42" s="2866" t="s">
        <v>800</v>
      </c>
      <c r="J42" s="2867"/>
      <c r="K42" s="2867"/>
      <c r="L42" s="2868"/>
      <c r="M42" s="2853" t="s">
        <v>1111</v>
      </c>
      <c r="N42" s="2868"/>
      <c r="O42" s="2914" t="s">
        <v>1135</v>
      </c>
      <c r="P42" s="2915"/>
      <c r="Q42" s="2915"/>
      <c r="T42" s="1011"/>
    </row>
    <row r="43" spans="1:20" ht="22.5" customHeight="1" x14ac:dyDescent="0.2">
      <c r="A43" s="1009"/>
      <c r="C43" s="2891"/>
      <c r="D43" s="2892"/>
      <c r="E43" s="2853" t="s">
        <v>798</v>
      </c>
      <c r="F43" s="2854"/>
      <c r="G43" s="2854"/>
      <c r="H43" s="2857"/>
      <c r="I43" s="2853" t="s">
        <v>798</v>
      </c>
      <c r="J43" s="2854"/>
      <c r="K43" s="2854"/>
      <c r="L43" s="2857"/>
      <c r="M43" s="2896"/>
      <c r="N43" s="2897"/>
      <c r="O43" s="2915"/>
      <c r="P43" s="2915"/>
      <c r="Q43" s="2915"/>
      <c r="R43" s="1480"/>
      <c r="S43" s="1031"/>
      <c r="T43" s="1011"/>
    </row>
    <row r="44" spans="1:20" x14ac:dyDescent="0.2">
      <c r="A44" s="1009"/>
      <c r="C44" s="2891"/>
      <c r="D44" s="2892"/>
      <c r="E44" s="2855"/>
      <c r="F44" s="2856"/>
      <c r="G44" s="2856"/>
      <c r="H44" s="2858"/>
      <c r="I44" s="2855"/>
      <c r="J44" s="2856"/>
      <c r="K44" s="2856"/>
      <c r="L44" s="2858"/>
      <c r="M44" s="2898"/>
      <c r="N44" s="2897"/>
      <c r="O44" s="2915"/>
      <c r="P44" s="2915"/>
      <c r="Q44" s="2915"/>
      <c r="R44" s="1032"/>
      <c r="S44" s="1032"/>
      <c r="T44" s="1011"/>
    </row>
    <row r="45" spans="1:20" x14ac:dyDescent="0.2">
      <c r="A45" s="1009"/>
      <c r="C45" s="2851" t="str">
        <f>IF('F-LSCD-012'!A34="-","-",FIXED('F-LSCD-012'!A34,'F-LSCD-012'!W34+3)&amp;" "&amp;'F-LSCD-012'!A35)</f>
        <v>25,000.000 µSv</v>
      </c>
      <c r="D45" s="2851"/>
      <c r="E45" s="2849" t="str">
        <f>IF('F-LSCD-012'!A34="-","-",FIXED('F-LSCD-012'!O34,'F-LSCD-012'!W34)&amp;" "&amp;'F-LSCD-012'!N34)</f>
        <v>2,474 mrem</v>
      </c>
      <c r="F45" s="2849"/>
      <c r="G45" s="2849"/>
      <c r="H45" s="2849"/>
      <c r="I45" s="2849" t="str">
        <f>IF('F-LSCD-012'!O35="-","-",FIXED('F-LSCD-012'!O35,'F-LSCD-012'!W35)&amp;" "&amp;'F-LSCD-012'!N35)</f>
        <v>-</v>
      </c>
      <c r="J45" s="2849"/>
      <c r="K45" s="2849"/>
      <c r="L45" s="2849"/>
      <c r="M45" s="2850">
        <f>IF('F-LSCD-012'!R35="-",'F-LSCD-012'!R34,'F-LSCD-012'!R35)</f>
        <v>1.0105092966855296</v>
      </c>
      <c r="N45" s="2850"/>
      <c r="O45" s="2847">
        <f>IF('F-LSCD-012'!O35="-",'F-LSCD-012'!T34,'F-LSCD-012'!T35)</f>
        <v>4.4999999999999998E-2</v>
      </c>
      <c r="P45" s="2847"/>
      <c r="Q45" s="2847"/>
      <c r="R45" s="1032"/>
      <c r="S45" s="1032"/>
      <c r="T45" s="1011"/>
    </row>
    <row r="46" spans="1:20" hidden="1" x14ac:dyDescent="0.2">
      <c r="A46" s="1009"/>
      <c r="C46" s="2851" t="str">
        <f>IF('F-LSCD-012'!A36="-","-",FIXED('F-LSCD-012'!A36,'F-LSCD-012'!W36+2)&amp;" "&amp;'F-LSCD-012'!A37)</f>
        <v>-</v>
      </c>
      <c r="D46" s="2851"/>
      <c r="E46" s="2849" t="str">
        <f>IF('F-LSCD-012'!A36="-","-",FIXED('F-LSCD-012'!O36,'F-LSCD-012'!W36)&amp;" "&amp;'F-LSCD-012'!N36)</f>
        <v>-</v>
      </c>
      <c r="F46" s="2849"/>
      <c r="G46" s="2849"/>
      <c r="H46" s="2849"/>
      <c r="I46" s="2849" t="str">
        <f>IF('F-LSCD-012'!O37="-","-",FIXED('F-LSCD-012'!O37,'F-LSCD-012'!W37)&amp;" "&amp;'F-LSCD-012'!N37)</f>
        <v>-</v>
      </c>
      <c r="J46" s="2849"/>
      <c r="K46" s="2849"/>
      <c r="L46" s="2849"/>
      <c r="M46" s="2850" t="str">
        <f>IF('F-LSCD-012'!R37="-",'F-LSCD-012'!R36,'F-LSCD-012'!R37)</f>
        <v>-</v>
      </c>
      <c r="N46" s="2850"/>
      <c r="O46" s="2847" t="str">
        <f>IF('F-LSCD-012'!O37="-",'F-LSCD-012'!T36,'F-LSCD-012'!T37)</f>
        <v>-</v>
      </c>
      <c r="P46" s="2847"/>
      <c r="Q46" s="2847"/>
      <c r="R46" s="1445"/>
      <c r="S46" s="1032"/>
      <c r="T46" s="1011"/>
    </row>
    <row r="47" spans="1:20" hidden="1" x14ac:dyDescent="0.2">
      <c r="A47" s="1009"/>
      <c r="C47" s="2851" t="str">
        <f>IF('F-LSCD-012'!A38="-","-",FIXED('F-LSCD-012'!A38,'F-LSCD-012'!W38-1)&amp;" "&amp;'F-LSCD-012'!A39)</f>
        <v>-</v>
      </c>
      <c r="D47" s="2851"/>
      <c r="E47" s="2849" t="str">
        <f>IF('F-LSCD-012'!A38="-","-",FIXED('F-LSCD-012'!O38,'F-LSCD-012'!W38)&amp;" "&amp;'F-LSCD-012'!N38)</f>
        <v>-</v>
      </c>
      <c r="F47" s="2849"/>
      <c r="G47" s="2849"/>
      <c r="H47" s="2849"/>
      <c r="I47" s="2849" t="str">
        <f>IF('F-LSCD-012'!O39="-","-",FIXED('F-LSCD-012'!O39,'F-LSCD-012'!W39)&amp;" "&amp;'F-LSCD-012'!N39)</f>
        <v>-</v>
      </c>
      <c r="J47" s="2849"/>
      <c r="K47" s="2849"/>
      <c r="L47" s="2849"/>
      <c r="M47" s="2850" t="str">
        <f>IF('F-LSCD-012'!R39="-",'F-LSCD-012'!R38,'F-LSCD-012'!R39)</f>
        <v>-</v>
      </c>
      <c r="N47" s="2850"/>
      <c r="O47" s="2847" t="str">
        <f>IF('F-LSCD-012'!O39="-",'F-LSCD-012'!T38,'F-LSCD-012'!T39)</f>
        <v>-</v>
      </c>
      <c r="P47" s="2847"/>
      <c r="Q47" s="2847"/>
      <c r="R47" s="1032"/>
      <c r="S47" s="1032"/>
      <c r="T47" s="1011"/>
    </row>
    <row r="48" spans="1:20" hidden="1" x14ac:dyDescent="0.2">
      <c r="A48" s="1009"/>
      <c r="C48" s="2851" t="str">
        <f>IF('F-LSCD-012'!A40="-","-",FIXED('F-LSCD-012'!A40,'F-LSCD-012'!W40-1)&amp;" "&amp;'F-LSCD-012'!A41)</f>
        <v>-</v>
      </c>
      <c r="D48" s="2851"/>
      <c r="E48" s="2849" t="str">
        <f>IF('F-LSCD-012'!A40="-","-",FIXED('F-LSCD-012'!O40,'F-LSCD-012'!W40)&amp;" "&amp;'F-LSCD-012'!N40)</f>
        <v>-</v>
      </c>
      <c r="F48" s="2849"/>
      <c r="G48" s="2849"/>
      <c r="H48" s="2849"/>
      <c r="I48" s="2849" t="str">
        <f>IF('F-LSCD-012'!O41="-","-",FIXED('F-LSCD-012'!O41,'F-LSCD-012'!W41)&amp;" "&amp;'F-LSCD-012'!N41)</f>
        <v>-</v>
      </c>
      <c r="J48" s="2849"/>
      <c r="K48" s="2849"/>
      <c r="L48" s="2849"/>
      <c r="M48" s="2850" t="str">
        <f>IF('F-LSCD-012'!R41="-",'F-LSCD-012'!R40,'F-LSCD-012'!R41)</f>
        <v>-</v>
      </c>
      <c r="N48" s="2850"/>
      <c r="O48" s="2847" t="str">
        <f>IF('F-LSCD-012'!O41="-",'F-LSCD-012'!T40,'F-LSCD-012'!T41)</f>
        <v>-</v>
      </c>
      <c r="P48" s="2847"/>
      <c r="Q48" s="2847"/>
      <c r="R48" s="1032"/>
      <c r="S48" s="1032"/>
      <c r="T48" s="1011"/>
    </row>
    <row r="49" spans="1:20" hidden="1" x14ac:dyDescent="0.2">
      <c r="A49" s="1009"/>
      <c r="C49" s="2851" t="str">
        <f>IF('F-LSCD-012'!A42="-","-",FIXED('F-LSCD-012'!A42,'F-LSCD-012'!W42+3)&amp;" "&amp;'F-LSCD-012'!A43)</f>
        <v>-</v>
      </c>
      <c r="D49" s="2851"/>
      <c r="E49" s="2849" t="str">
        <f>IF('F-LSCD-012'!A42="-","-",FIXED('F-LSCD-012'!O42,'F-LSCD-012'!W42)&amp;" "&amp;'F-LSCD-012'!N42)</f>
        <v>-</v>
      </c>
      <c r="F49" s="2849"/>
      <c r="G49" s="2849"/>
      <c r="H49" s="2849"/>
      <c r="I49" s="2849" t="str">
        <f>IF('F-LSCD-012'!O43="-","-",FIXED('F-LSCD-012'!O43,'F-LSCD-012'!W43)&amp;" "&amp;'F-LSCD-012'!N43)</f>
        <v>-</v>
      </c>
      <c r="J49" s="2849"/>
      <c r="K49" s="2849"/>
      <c r="L49" s="2849"/>
      <c r="M49" s="2850" t="str">
        <f>IF('F-LSCD-012'!R43="-",'F-LSCD-012'!R42,'F-LSCD-012'!R43)</f>
        <v>-</v>
      </c>
      <c r="N49" s="2850"/>
      <c r="O49" s="2847" t="str">
        <f>IF('F-LSCD-012'!O43="-",'F-LSCD-012'!T42,'F-LSCD-012'!T43)</f>
        <v>-</v>
      </c>
      <c r="P49" s="2847"/>
      <c r="Q49" s="2847"/>
      <c r="R49" s="1032"/>
      <c r="S49" s="1032"/>
      <c r="T49" s="1011"/>
    </row>
    <row r="50" spans="1:20" hidden="1" x14ac:dyDescent="0.2">
      <c r="A50" s="1009"/>
      <c r="C50" s="2851" t="str">
        <f>IF('F-LSCD-012'!A44="-","-",FIXED('F-LSCD-012'!A44,'F-LSCD-012'!W44+1)&amp;" "&amp;'F-LSCD-012'!A45)</f>
        <v>-</v>
      </c>
      <c r="D50" s="2851"/>
      <c r="E50" s="2849" t="str">
        <f>IF('F-LSCD-012'!A44="-","-",FIXED('F-LSCD-012'!O44,'F-LSCD-012'!W44)&amp;" "&amp;'F-LSCD-012'!N44)</f>
        <v>-</v>
      </c>
      <c r="F50" s="2849"/>
      <c r="G50" s="2849"/>
      <c r="H50" s="2849"/>
      <c r="I50" s="2849" t="str">
        <f>IF('F-LSCD-012'!O45="-","-",FIXED('F-LSCD-012'!O45,'F-LSCD-012'!W45)&amp;" "&amp;'F-LSCD-012'!N45)</f>
        <v>-</v>
      </c>
      <c r="J50" s="2849"/>
      <c r="K50" s="2849"/>
      <c r="L50" s="2849"/>
      <c r="M50" s="2850" t="str">
        <f>IF('F-LSCD-012'!R45="-",'F-LSCD-012'!R44,'F-LSCD-012'!R45)</f>
        <v>-</v>
      </c>
      <c r="N50" s="2850"/>
      <c r="O50" s="2847" t="str">
        <f>IF('F-LSCD-012'!O45="-",'F-LSCD-012'!T44,'F-LSCD-012'!T45)</f>
        <v>-</v>
      </c>
      <c r="P50" s="2847"/>
      <c r="Q50" s="2847"/>
      <c r="R50" s="1385"/>
      <c r="S50" s="1032"/>
      <c r="T50" s="1011"/>
    </row>
    <row r="51" spans="1:20" hidden="1" x14ac:dyDescent="0.2">
      <c r="A51" s="1009"/>
      <c r="C51" s="2851" t="str">
        <f>IF('F-LSCD-012'!A46="-","-",FIXED('F-LSCD-012'!A46,'F-LSCD-012'!W46+1)&amp;" "&amp;'F-LSCD-012'!A47)</f>
        <v>-</v>
      </c>
      <c r="D51" s="2851"/>
      <c r="E51" s="2849" t="str">
        <f>IF('F-LSCD-012'!A46="-","-",FIXED('F-LSCD-012'!O46,'F-LSCD-012'!W46)&amp;" "&amp;'F-LSCD-012'!N46)</f>
        <v>-</v>
      </c>
      <c r="F51" s="2849"/>
      <c r="G51" s="2849"/>
      <c r="H51" s="2849"/>
      <c r="I51" s="2849" t="str">
        <f>IF('F-LSCD-012'!O47="-","-",FIXED('F-LSCD-012'!O47,'F-LSCD-012'!W47)&amp;" "&amp;'F-LSCD-012'!N47)</f>
        <v>-</v>
      </c>
      <c r="J51" s="2849"/>
      <c r="K51" s="2849"/>
      <c r="L51" s="2849"/>
      <c r="M51" s="2850" t="str">
        <f>IF('F-LSCD-012'!R47="-",'F-LSCD-012'!R46,'F-LSCD-012'!R47)</f>
        <v>-</v>
      </c>
      <c r="N51" s="2850"/>
      <c r="O51" s="2848" t="str">
        <f>IF('F-LSCD-012'!O47="-",'F-LSCD-012'!T46,'F-LSCD-012'!T47)</f>
        <v>-</v>
      </c>
      <c r="P51" s="2848"/>
      <c r="Q51" s="2848"/>
      <c r="R51" s="1032"/>
      <c r="S51" s="1032"/>
      <c r="T51" s="1011"/>
    </row>
    <row r="52" spans="1:20" hidden="1" x14ac:dyDescent="0.2">
      <c r="A52" s="1009"/>
      <c r="C52" s="2851" t="str">
        <f>IF('F-LSCD-012'!A48="-","-",FIXED('F-LSCD-012'!A48,'F-LSCD-012'!W48+1)&amp;" "&amp;'F-LSCD-012'!A49)</f>
        <v>-</v>
      </c>
      <c r="D52" s="2851"/>
      <c r="E52" s="2849" t="str">
        <f>IF('F-LSCD-012'!A48="-","-",FIXED('F-LSCD-012'!O48,'F-LSCD-012'!W48)&amp;" "&amp;'F-LSCD-012'!N48)</f>
        <v>-</v>
      </c>
      <c r="F52" s="2849"/>
      <c r="G52" s="2849"/>
      <c r="H52" s="2849"/>
      <c r="I52" s="2849" t="str">
        <f>IF('F-LSCD-012'!O49="-","-",FIXED('F-LSCD-012'!O49,'F-LSCD-012'!W49)&amp;" "&amp;'F-LSCD-012'!N49)</f>
        <v>-</v>
      </c>
      <c r="J52" s="2849"/>
      <c r="K52" s="2849"/>
      <c r="L52" s="2849"/>
      <c r="M52" s="2850" t="str">
        <f>IF('F-LSCD-012'!R49="-",'F-LSCD-012'!R48,'F-LSCD-012'!R49)</f>
        <v>-</v>
      </c>
      <c r="N52" s="2850"/>
      <c r="O52" s="2847" t="str">
        <f>IF('F-LSCD-012'!O49="-",'F-LSCD-012'!T48,'F-LSCD-012'!T49)</f>
        <v>-</v>
      </c>
      <c r="P52" s="2847"/>
      <c r="Q52" s="2847"/>
      <c r="R52" s="1032"/>
      <c r="S52" s="1032"/>
      <c r="T52" s="1011"/>
    </row>
    <row r="53" spans="1:20" hidden="1" x14ac:dyDescent="0.2">
      <c r="A53" s="1009"/>
      <c r="C53" s="2851" t="str">
        <f>IF('F-LSCD-012'!A50="-","-",FIXED('F-LSCD-012'!A50,'F-LSCD-012'!W50+1)&amp;" "&amp;'F-LSCD-012'!A51)</f>
        <v>-</v>
      </c>
      <c r="D53" s="2851"/>
      <c r="E53" s="2849" t="str">
        <f>IF('F-LSCD-012'!A50="-","-",FIXED('F-LSCD-012'!O50,'F-LSCD-012'!W50)&amp;" "&amp;'F-LSCD-012'!N50)</f>
        <v>-</v>
      </c>
      <c r="F53" s="2849"/>
      <c r="G53" s="2849"/>
      <c r="H53" s="2849"/>
      <c r="I53" s="2849" t="str">
        <f>IF('F-LSCD-012'!O51="-","-",FIXED('F-LSCD-012'!O51,'F-LSCD-012'!W51)&amp;" "&amp;'F-LSCD-012'!N51)</f>
        <v>-</v>
      </c>
      <c r="J53" s="2849"/>
      <c r="K53" s="2849"/>
      <c r="L53" s="2849"/>
      <c r="M53" s="2850" t="str">
        <f>IF('F-LSCD-012'!R51="-",'F-LSCD-012'!R50,'F-LSCD-012'!R51)</f>
        <v>-</v>
      </c>
      <c r="N53" s="2850"/>
      <c r="O53" s="2847" t="str">
        <f>IF('F-LSCD-012'!O51="-",'F-LSCD-012'!T50,'F-LSCD-012'!T51)</f>
        <v>-</v>
      </c>
      <c r="P53" s="2847"/>
      <c r="Q53" s="2847"/>
      <c r="R53" s="1032"/>
      <c r="S53" s="1032"/>
      <c r="T53" s="1011"/>
    </row>
    <row r="54" spans="1:20" hidden="1" x14ac:dyDescent="0.2">
      <c r="A54" s="1009"/>
      <c r="C54" s="2851" t="str">
        <f>IF('F-LSCD-012'!A52="-","-",FIXED('F-LSCD-012'!A52,'F-LSCD-012'!W52)&amp;" "&amp;'F-LSCD-012'!A53)</f>
        <v>-</v>
      </c>
      <c r="D54" s="2851"/>
      <c r="E54" s="2849" t="str">
        <f>IF('F-LSCD-012'!A52="-","-",FIXED('F-LSCD-012'!O52,'F-LSCD-012'!W52)&amp;" "&amp;'F-LSCD-012'!N52)</f>
        <v>-</v>
      </c>
      <c r="F54" s="2849"/>
      <c r="G54" s="2849"/>
      <c r="H54" s="2849"/>
      <c r="I54" s="2849" t="str">
        <f>IF('F-LSCD-012'!O53="-","-",FIXED('F-LSCD-012'!O53,'F-LSCD-012'!W53)&amp;" "&amp;'F-LSCD-012'!N53)</f>
        <v>-</v>
      </c>
      <c r="J54" s="2849"/>
      <c r="K54" s="2849"/>
      <c r="L54" s="2849"/>
      <c r="M54" s="2850" t="str">
        <f>IF('F-LSCD-012'!R53="-",'F-LSCD-012'!R52,'F-LSCD-012'!R53)</f>
        <v>-</v>
      </c>
      <c r="N54" s="2850"/>
      <c r="O54" s="2848" t="str">
        <f>IF('F-LSCD-012'!O53="-",'F-LSCD-012'!T52,'F-LSCD-012'!T53)</f>
        <v>-</v>
      </c>
      <c r="P54" s="2848"/>
      <c r="Q54" s="2848"/>
      <c r="R54" s="1032"/>
      <c r="S54" s="1032"/>
      <c r="T54" s="1011"/>
    </row>
    <row r="55" spans="1:20" hidden="1" x14ac:dyDescent="0.2">
      <c r="A55" s="1009"/>
      <c r="C55" s="2851" t="str">
        <f>IF('F-LSCD-012'!A54="-","-",FIXED('F-LSCD-012'!A54,'F-LSCD-012'!W54)&amp;" "&amp;'F-LSCD-012'!A55)</f>
        <v>-</v>
      </c>
      <c r="D55" s="2851"/>
      <c r="E55" s="2849" t="str">
        <f>IF('F-LSCD-012'!A54="-","-",FIXED('F-LSCD-012'!O54,'F-LSCD-012'!W54)&amp;" "&amp;'F-LSCD-012'!N54)</f>
        <v>-</v>
      </c>
      <c r="F55" s="2849"/>
      <c r="G55" s="2849"/>
      <c r="H55" s="2849"/>
      <c r="I55" s="2849" t="str">
        <f>IF('F-LSCD-012'!O55="-","-",FIXED('F-LSCD-012'!O55,'F-LSCD-012'!W55)&amp;" "&amp;'F-LSCD-012'!N55)</f>
        <v>-</v>
      </c>
      <c r="J55" s="2849"/>
      <c r="K55" s="2849"/>
      <c r="L55" s="2849"/>
      <c r="M55" s="2850" t="str">
        <f>IF('F-LSCD-012'!R55="-",'F-LSCD-012'!R54,'F-LSCD-012'!R55)</f>
        <v>-</v>
      </c>
      <c r="N55" s="2850"/>
      <c r="O55" s="2847" t="str">
        <f>IF('F-LSCD-012'!O55="-",'F-LSCD-012'!T54,'F-LSCD-012'!T55)</f>
        <v>-</v>
      </c>
      <c r="P55" s="2847"/>
      <c r="Q55" s="2847"/>
      <c r="R55" s="1032"/>
      <c r="S55" s="1032"/>
      <c r="T55" s="1011"/>
    </row>
    <row r="56" spans="1:20" hidden="1" x14ac:dyDescent="0.2">
      <c r="A56" s="1009"/>
      <c r="C56" s="2851" t="str">
        <f>IF('F-LSCD-012'!A56="-","-",FIXED('F-LSCD-012'!A56,'F-LSCD-012'!W56)&amp;" "&amp;'F-LSCD-012'!A57)</f>
        <v>-</v>
      </c>
      <c r="D56" s="2851"/>
      <c r="E56" s="2849" t="str">
        <f>IF('F-LSCD-012'!A56="-","-",FIXED('F-LSCD-012'!O56,'F-LSCD-012'!W56)&amp;" "&amp;'F-LSCD-012'!N56)</f>
        <v>-</v>
      </c>
      <c r="F56" s="2849"/>
      <c r="G56" s="2849"/>
      <c r="H56" s="2849"/>
      <c r="I56" s="2849" t="str">
        <f>IF('F-LSCD-012'!O57="-","-",FIXED('F-LSCD-012'!O57,'F-LSCD-012'!W57)&amp;" "&amp;'F-LSCD-012'!N57)</f>
        <v>-</v>
      </c>
      <c r="J56" s="2849"/>
      <c r="K56" s="2849"/>
      <c r="L56" s="2849"/>
      <c r="M56" s="2850" t="str">
        <f>IF('F-LSCD-012'!R57="-",'F-LSCD-012'!R56,'F-LSCD-012'!R57)</f>
        <v>-</v>
      </c>
      <c r="N56" s="2850"/>
      <c r="O56" s="2847" t="str">
        <f>IF('F-LSCD-012'!O57="-",'F-LSCD-012'!T56,'F-LSCD-012'!T57)</f>
        <v>-</v>
      </c>
      <c r="P56" s="2847"/>
      <c r="Q56" s="2847"/>
      <c r="R56" s="1010"/>
      <c r="S56" s="1010"/>
      <c r="T56" s="1011"/>
    </row>
    <row r="57" spans="1:20" x14ac:dyDescent="0.2">
      <c r="A57" s="1009"/>
      <c r="C57" s="1702" t="s">
        <v>1255</v>
      </c>
      <c r="D57" s="1690"/>
      <c r="E57" s="1692"/>
      <c r="F57" s="1692"/>
      <c r="G57" s="1692"/>
      <c r="H57" s="1692"/>
      <c r="I57" s="1692"/>
      <c r="J57" s="1692"/>
      <c r="K57" s="1692"/>
      <c r="L57" s="1692"/>
      <c r="M57" s="1701"/>
      <c r="N57" s="1701"/>
      <c r="O57" s="1691"/>
      <c r="P57" s="1691"/>
      <c r="Q57" s="1691"/>
      <c r="R57" s="1010"/>
      <c r="S57" s="1010"/>
      <c r="T57" s="1011"/>
    </row>
    <row r="58" spans="1:20" x14ac:dyDescent="0.2">
      <c r="A58" s="1009"/>
      <c r="C58" s="180" t="s">
        <v>1149</v>
      </c>
      <c r="D58" s="1690"/>
      <c r="E58" s="1692"/>
      <c r="F58" s="1692"/>
      <c r="G58" s="1692"/>
      <c r="H58" s="1692"/>
      <c r="I58" s="1692"/>
      <c r="J58" s="1692"/>
      <c r="K58" s="1692"/>
      <c r="L58" s="1692"/>
      <c r="M58" s="1701"/>
      <c r="N58" s="1701"/>
      <c r="O58" s="1691"/>
      <c r="P58" s="1691"/>
      <c r="Q58" s="1691"/>
      <c r="R58" s="1010"/>
      <c r="S58" s="1010"/>
      <c r="T58" s="1011"/>
    </row>
    <row r="59" spans="1:20" x14ac:dyDescent="0.2">
      <c r="A59" s="1009"/>
      <c r="C59" s="1014" t="str">
        <f>IF(M45="-","","Promedio FC = "&amp;FIXED(AVERAGE(M45:N56),2))</f>
        <v>Promedio FC = 1.01</v>
      </c>
      <c r="D59" s="1262"/>
      <c r="E59" s="1262"/>
      <c r="F59" s="1262"/>
      <c r="G59" s="1262"/>
      <c r="H59" s="1262"/>
      <c r="I59" s="1262"/>
      <c r="J59" s="1262"/>
      <c r="K59" s="1262"/>
      <c r="L59" s="1262"/>
      <c r="M59" s="1262"/>
      <c r="N59" s="1262"/>
      <c r="O59" s="1262"/>
      <c r="P59" s="1262"/>
      <c r="Q59" s="1262"/>
      <c r="R59" s="1262"/>
      <c r="S59" s="1262"/>
      <c r="T59" s="1011"/>
    </row>
    <row r="60" spans="1:20" x14ac:dyDescent="0.2">
      <c r="A60" s="1009"/>
      <c r="C60" s="1014"/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262"/>
      <c r="O60" s="1262"/>
      <c r="P60" s="1262"/>
      <c r="Q60" s="1262"/>
      <c r="R60" s="1262"/>
      <c r="S60" s="1262"/>
      <c r="T60" s="1011"/>
    </row>
    <row r="61" spans="1:20" x14ac:dyDescent="0.2">
      <c r="A61" s="1009"/>
      <c r="B61" s="175" t="s">
        <v>1302</v>
      </c>
      <c r="C61" s="180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435"/>
      <c r="O61" s="1262"/>
      <c r="P61" s="1262"/>
      <c r="Q61" s="1262"/>
      <c r="R61" s="1262"/>
      <c r="S61" s="1262"/>
      <c r="T61" s="1011"/>
    </row>
    <row r="62" spans="1:20" x14ac:dyDescent="0.2">
      <c r="A62" s="1009"/>
      <c r="C62" s="180"/>
      <c r="D62" s="1262"/>
      <c r="E62" s="1262"/>
      <c r="F62" s="1262"/>
      <c r="G62" s="1262"/>
      <c r="H62" s="1262"/>
      <c r="I62" s="1262"/>
      <c r="J62" s="1262"/>
      <c r="K62" s="1262"/>
      <c r="L62" s="1262"/>
      <c r="M62" s="1262"/>
      <c r="N62" s="1435"/>
      <c r="O62" s="1262"/>
      <c r="P62" s="1262"/>
      <c r="Q62" s="1262"/>
      <c r="R62" s="1262"/>
      <c r="S62" s="1262"/>
      <c r="T62" s="1011"/>
    </row>
    <row r="63" spans="1:20" ht="41.1" customHeight="1" x14ac:dyDescent="0.2">
      <c r="A63" s="1009"/>
      <c r="C63" s="2899" t="s">
        <v>1303</v>
      </c>
      <c r="D63" s="2900"/>
      <c r="E63" s="2900"/>
      <c r="F63" s="2900"/>
      <c r="G63" s="2900"/>
      <c r="H63" s="2900"/>
      <c r="I63" s="2900"/>
      <c r="J63" s="2900"/>
      <c r="K63" s="2900"/>
      <c r="L63" s="2900"/>
      <c r="M63" s="2900"/>
      <c r="N63" s="2900"/>
      <c r="O63" s="2900"/>
      <c r="P63" s="2900"/>
      <c r="Q63" s="2901"/>
      <c r="R63" s="1262"/>
      <c r="S63" s="1262"/>
      <c r="T63" s="1011"/>
    </row>
    <row r="64" spans="1:20" ht="13.5" customHeight="1" x14ac:dyDescent="0.2">
      <c r="A64" s="1009"/>
      <c r="C64" s="180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262"/>
      <c r="S64" s="1262"/>
      <c r="T64" s="1011"/>
    </row>
    <row r="65" spans="1:21" ht="15" customHeight="1" x14ac:dyDescent="0.2">
      <c r="A65" s="1009"/>
      <c r="B65" s="1033"/>
      <c r="C65" s="1873" t="s">
        <v>1245</v>
      </c>
      <c r="G65" s="1035"/>
      <c r="H65" s="1035"/>
      <c r="I65" s="1035"/>
      <c r="J65" s="1035"/>
      <c r="K65" s="1035"/>
      <c r="L65" s="2862"/>
      <c r="M65" s="2862"/>
      <c r="N65" s="2862"/>
      <c r="O65" s="2862"/>
      <c r="P65" s="2862"/>
      <c r="Q65" s="2862"/>
      <c r="R65" s="1035"/>
      <c r="S65" s="1020"/>
      <c r="T65" s="1011"/>
    </row>
    <row r="66" spans="1:21" ht="3" customHeight="1" thickBot="1" x14ac:dyDescent="0.25">
      <c r="A66" s="1036"/>
      <c r="B66" s="1037"/>
      <c r="C66" s="1037"/>
      <c r="D66" s="1037"/>
      <c r="E66" s="1037"/>
      <c r="F66" s="1037"/>
      <c r="G66" s="1037"/>
      <c r="H66" s="1037"/>
      <c r="I66" s="1037"/>
      <c r="J66" s="1037"/>
      <c r="K66" s="1037"/>
      <c r="L66" s="1037"/>
      <c r="M66" s="1037"/>
      <c r="N66" s="1037"/>
      <c r="O66" s="1037"/>
      <c r="P66" s="1037"/>
      <c r="Q66" s="1037"/>
      <c r="R66" s="1037"/>
      <c r="S66" s="1037"/>
      <c r="T66" s="1038"/>
    </row>
    <row r="67" spans="1:21" ht="15.75" thickTop="1" x14ac:dyDescent="0.25">
      <c r="A67" s="2863" t="s">
        <v>260</v>
      </c>
      <c r="B67" s="2864"/>
      <c r="C67" s="2864"/>
      <c r="D67" s="2864"/>
      <c r="E67" s="2864"/>
      <c r="F67" s="2864"/>
      <c r="G67" s="2864"/>
      <c r="H67" s="2864"/>
      <c r="I67" s="2864"/>
      <c r="J67" s="2864"/>
      <c r="K67" s="2864"/>
      <c r="L67" s="2864"/>
      <c r="M67" s="2864"/>
      <c r="N67" s="2864"/>
      <c r="O67" s="2864"/>
      <c r="P67" s="2864"/>
      <c r="Q67" s="2864"/>
      <c r="R67" s="2864"/>
      <c r="S67" s="2864"/>
      <c r="T67" s="2865"/>
    </row>
    <row r="68" spans="1:21" ht="11.25" customHeight="1" thickBot="1" x14ac:dyDescent="0.25">
      <c r="A68" s="2859" t="s">
        <v>810</v>
      </c>
      <c r="B68" s="2860"/>
      <c r="C68" s="2860"/>
      <c r="D68" s="2860"/>
      <c r="E68" s="2860"/>
      <c r="F68" s="2860"/>
      <c r="G68" s="2860"/>
      <c r="H68" s="2860"/>
      <c r="I68" s="2860"/>
      <c r="J68" s="2860"/>
      <c r="K68" s="2860"/>
      <c r="L68" s="2860"/>
      <c r="M68" s="2860"/>
      <c r="N68" s="2860"/>
      <c r="O68" s="2860"/>
      <c r="P68" s="2860"/>
      <c r="Q68" s="2860"/>
      <c r="R68" s="2860"/>
      <c r="S68" s="2860"/>
      <c r="T68" s="2861"/>
      <c r="U68" s="1039"/>
    </row>
    <row r="69" spans="1:21" x14ac:dyDescent="0.2">
      <c r="A69" s="1356" t="s">
        <v>907</v>
      </c>
      <c r="B69" s="163"/>
      <c r="S69" s="1357" t="str">
        <f>A4</f>
        <v>CERTIFICADO DE CALIBRACIÓN N° LSCD 029-2021</v>
      </c>
    </row>
  </sheetData>
  <autoFilter ref="C42:Q62" xr:uid="{00000000-0009-0000-0000-00001C000000}">
    <filterColumn colId="0" showButton="0">
      <filters blank="1">
        <filter val="25 000,000 µSv"/>
        <filter val="El símbolo &quot;-&quot; significa que no se realizó dicha medición (no se realizó ajuste al equipo)"/>
        <filter val="Promedio FC = 1,01"/>
        <filter val="VCV = Valor convencionalmente verdadero = Lectura del equipo x FC"/>
      </filters>
    </filterColumn>
    <filterColumn colId="2" showButton="0"/>
    <filterColumn colId="3" showButton="0"/>
    <filterColumn colId="4" showButton="0"/>
    <filterColumn colId="6" showButton="0"/>
    <filterColumn colId="7" showButton="0"/>
    <filterColumn colId="8" showButton="0"/>
    <filterColumn colId="10" showButton="0"/>
    <filterColumn colId="12" showButton="0"/>
    <filterColumn colId="13" showButton="0"/>
  </autoFilter>
  <mergeCells count="97">
    <mergeCell ref="L65:Q65"/>
    <mergeCell ref="A67:T67"/>
    <mergeCell ref="A68:T68"/>
    <mergeCell ref="E45:H45"/>
    <mergeCell ref="E46:H46"/>
    <mergeCell ref="E47:H47"/>
    <mergeCell ref="E48:H48"/>
    <mergeCell ref="I56:L56"/>
    <mergeCell ref="I55:L55"/>
    <mergeCell ref="I54:L54"/>
    <mergeCell ref="O55:Q55"/>
    <mergeCell ref="C56:D56"/>
    <mergeCell ref="M56:N56"/>
    <mergeCell ref="O56:Q56"/>
    <mergeCell ref="E56:H56"/>
    <mergeCell ref="E55:H55"/>
    <mergeCell ref="C55:D55"/>
    <mergeCell ref="M55:N55"/>
    <mergeCell ref="O53:Q53"/>
    <mergeCell ref="C54:D54"/>
    <mergeCell ref="M54:N54"/>
    <mergeCell ref="O54:Q54"/>
    <mergeCell ref="I53:L53"/>
    <mergeCell ref="E54:H54"/>
    <mergeCell ref="C53:D53"/>
    <mergeCell ref="M53:N53"/>
    <mergeCell ref="E53:H53"/>
    <mergeCell ref="O51:Q51"/>
    <mergeCell ref="C52:D52"/>
    <mergeCell ref="M52:N52"/>
    <mergeCell ref="O52:Q52"/>
    <mergeCell ref="I52:L52"/>
    <mergeCell ref="I51:L51"/>
    <mergeCell ref="C51:D51"/>
    <mergeCell ref="M51:N51"/>
    <mergeCell ref="E52:H52"/>
    <mergeCell ref="E51:H51"/>
    <mergeCell ref="O49:Q49"/>
    <mergeCell ref="C50:D50"/>
    <mergeCell ref="M50:N50"/>
    <mergeCell ref="O50:Q50"/>
    <mergeCell ref="I50:L50"/>
    <mergeCell ref="I49:L49"/>
    <mergeCell ref="C49:D49"/>
    <mergeCell ref="M49:N49"/>
    <mergeCell ref="E50:H50"/>
    <mergeCell ref="E49:H49"/>
    <mergeCell ref="O47:Q47"/>
    <mergeCell ref="C48:D48"/>
    <mergeCell ref="M48:N48"/>
    <mergeCell ref="O48:Q48"/>
    <mergeCell ref="C47:D47"/>
    <mergeCell ref="M47:N47"/>
    <mergeCell ref="I47:L47"/>
    <mergeCell ref="I48:L48"/>
    <mergeCell ref="C46:D46"/>
    <mergeCell ref="M46:N46"/>
    <mergeCell ref="O46:Q46"/>
    <mergeCell ref="C45:D45"/>
    <mergeCell ref="M45:N45"/>
    <mergeCell ref="I45:L45"/>
    <mergeCell ref="I46:L46"/>
    <mergeCell ref="C42:D44"/>
    <mergeCell ref="E42:H42"/>
    <mergeCell ref="I42:L42"/>
    <mergeCell ref="M42:N44"/>
    <mergeCell ref="O45:Q45"/>
    <mergeCell ref="I43:L44"/>
    <mergeCell ref="E43:H44"/>
    <mergeCell ref="O42:Q44"/>
    <mergeCell ref="Q25:S26"/>
    <mergeCell ref="E27:O27"/>
    <mergeCell ref="E29:O29"/>
    <mergeCell ref="E30:N30"/>
    <mergeCell ref="Q30:S38"/>
    <mergeCell ref="E31:N31"/>
    <mergeCell ref="E32:N32"/>
    <mergeCell ref="E33:O33"/>
    <mergeCell ref="E34:O34"/>
    <mergeCell ref="E36:G36"/>
    <mergeCell ref="E38:G38"/>
    <mergeCell ref="C63:Q63"/>
    <mergeCell ref="E9:O9"/>
    <mergeCell ref="A2:T3"/>
    <mergeCell ref="A4:T4"/>
    <mergeCell ref="A5:T5"/>
    <mergeCell ref="A6:T6"/>
    <mergeCell ref="A7:T7"/>
    <mergeCell ref="Q8:S13"/>
    <mergeCell ref="Q15:S24"/>
    <mergeCell ref="E16:O16"/>
    <mergeCell ref="E17:O17"/>
    <mergeCell ref="E18:O18"/>
    <mergeCell ref="E19:O19"/>
    <mergeCell ref="E20:O20"/>
    <mergeCell ref="E21:O22"/>
    <mergeCell ref="E24:O24"/>
  </mergeCells>
  <conditionalFormatting sqref="E38 E9 P9 P29 P31:P35 E31:E35 E28:P28 M38:P38 N36:P37 E8:P8 E10:P10">
    <cfRule type="cellIs" dxfId="152" priority="10" operator="equal">
      <formula>0</formula>
    </cfRule>
  </conditionalFormatting>
  <conditionalFormatting sqref="E38 E9 P9 P29 P31:P35 E31:E35 E28:P28 M38:P38 N36:P37 E8:P8 E10:P10">
    <cfRule type="containsErrors" dxfId="151" priority="9">
      <formula>ISERROR(E8)</formula>
    </cfRule>
  </conditionalFormatting>
  <conditionalFormatting sqref="E36:E37">
    <cfRule type="cellIs" dxfId="150" priority="8" operator="equal">
      <formula>0</formula>
    </cfRule>
  </conditionalFormatting>
  <conditionalFormatting sqref="E36:E37">
    <cfRule type="containsErrors" dxfId="149" priority="7">
      <formula>ISERROR(E36)</formula>
    </cfRule>
  </conditionalFormatting>
  <conditionalFormatting sqref="E29">
    <cfRule type="cellIs" dxfId="148" priority="6" operator="equal">
      <formula>0</formula>
    </cfRule>
  </conditionalFormatting>
  <conditionalFormatting sqref="E29">
    <cfRule type="containsErrors" dxfId="147" priority="5">
      <formula>ISERROR(E29)</formula>
    </cfRule>
  </conditionalFormatting>
  <conditionalFormatting sqref="P30 E30">
    <cfRule type="containsErrors" dxfId="146" priority="3">
      <formula>ISERROR(E30)</formula>
    </cfRule>
  </conditionalFormatting>
  <conditionalFormatting sqref="P30 E30">
    <cfRule type="cellIs" dxfId="145" priority="4" operator="equal">
      <formula>0</formula>
    </cfRule>
  </conditionalFormatting>
  <conditionalFormatting sqref="P39 E39">
    <cfRule type="cellIs" dxfId="144" priority="2" operator="equal">
      <formula>0</formula>
    </cfRule>
  </conditionalFormatting>
  <conditionalFormatting sqref="P39 E39">
    <cfRule type="containsErrors" dxfId="143" priority="1">
      <formula>ISERROR(E39)</formula>
    </cfRule>
  </conditionalFormatting>
  <pageMargins left="0.27559055118110237" right="7.874015748031496E-2" top="0.23622047244094491" bottom="0" header="0.31496062992125984" footer="0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1:U67"/>
  <sheetViews>
    <sheetView view="pageLayout" topLeftCell="A2" zoomScaleNormal="100" workbookViewId="0">
      <selection activeCell="G62" sqref="G62"/>
    </sheetView>
  </sheetViews>
  <sheetFormatPr baseColWidth="10" defaultColWidth="11.42578125" defaultRowHeight="12.75" x14ac:dyDescent="0.2"/>
  <cols>
    <col min="1" max="1" width="2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3" style="1008" customWidth="1"/>
    <col min="7" max="7" width="6.140625" style="1008" customWidth="1"/>
    <col min="8" max="8" width="4.42578125" style="1008" customWidth="1"/>
    <col min="9" max="9" width="3.5703125" style="1008" customWidth="1"/>
    <col min="10" max="10" width="5.85546875" style="1008" customWidth="1"/>
    <col min="11" max="11" width="3.5703125" style="1008" customWidth="1"/>
    <col min="12" max="12" width="4.28515625" style="1008" customWidth="1"/>
    <col min="13" max="13" width="3.28515625" style="1008" customWidth="1"/>
    <col min="14" max="14" width="7.85546875" style="1008" customWidth="1"/>
    <col min="15" max="15" width="1.7109375" style="1008" customWidth="1"/>
    <col min="16" max="16" width="1" style="1008" customWidth="1"/>
    <col min="17" max="17" width="2" style="1008" customWidth="1"/>
    <col min="18" max="18" width="11.7109375" style="1008" customWidth="1"/>
    <col min="19" max="19" width="6.140625" style="1008" customWidth="1"/>
    <col min="20" max="20" width="1.140625" style="1008" customWidth="1"/>
    <col min="21" max="239" width="11.42578125" style="1008"/>
    <col min="240" max="240" width="2.28515625" style="1008" customWidth="1"/>
    <col min="241" max="241" width="2.7109375" style="1008" customWidth="1"/>
    <col min="242" max="242" width="2.42578125" style="1008" customWidth="1"/>
    <col min="243" max="243" width="17.7109375" style="1008" customWidth="1"/>
    <col min="244" max="244" width="1.5703125" style="1008" customWidth="1"/>
    <col min="245" max="245" width="6.42578125" style="1008" customWidth="1"/>
    <col min="246" max="246" width="13.140625" style="1008" customWidth="1"/>
    <col min="247" max="247" width="1" style="1008" customWidth="1"/>
    <col min="248" max="248" width="19.5703125" style="1008" customWidth="1"/>
    <col min="249" max="249" width="0.85546875" style="1008" customWidth="1"/>
    <col min="250" max="250" width="14.42578125" style="1008" customWidth="1"/>
    <col min="251" max="251" width="12.85546875" style="1008" customWidth="1"/>
    <col min="252" max="252" width="6.140625" style="1008" customWidth="1"/>
    <col min="253" max="254" width="11.42578125" style="1008"/>
    <col min="255" max="255" width="15.42578125" style="1008" customWidth="1"/>
    <col min="256" max="495" width="11.42578125" style="1008"/>
    <col min="496" max="496" width="2.28515625" style="1008" customWidth="1"/>
    <col min="497" max="497" width="2.7109375" style="1008" customWidth="1"/>
    <col min="498" max="498" width="2.42578125" style="1008" customWidth="1"/>
    <col min="499" max="499" width="17.7109375" style="1008" customWidth="1"/>
    <col min="500" max="500" width="1.5703125" style="1008" customWidth="1"/>
    <col min="501" max="501" width="6.42578125" style="1008" customWidth="1"/>
    <col min="502" max="502" width="13.140625" style="1008" customWidth="1"/>
    <col min="503" max="503" width="1" style="1008" customWidth="1"/>
    <col min="504" max="504" width="19.5703125" style="1008" customWidth="1"/>
    <col min="505" max="505" width="0.85546875" style="1008" customWidth="1"/>
    <col min="506" max="506" width="14.42578125" style="1008" customWidth="1"/>
    <col min="507" max="507" width="12.85546875" style="1008" customWidth="1"/>
    <col min="508" max="508" width="6.140625" style="1008" customWidth="1"/>
    <col min="509" max="510" width="11.42578125" style="1008"/>
    <col min="511" max="511" width="15.42578125" style="1008" customWidth="1"/>
    <col min="512" max="751" width="11.42578125" style="1008"/>
    <col min="752" max="752" width="2.28515625" style="1008" customWidth="1"/>
    <col min="753" max="753" width="2.7109375" style="1008" customWidth="1"/>
    <col min="754" max="754" width="2.42578125" style="1008" customWidth="1"/>
    <col min="755" max="755" width="17.7109375" style="1008" customWidth="1"/>
    <col min="756" max="756" width="1.5703125" style="1008" customWidth="1"/>
    <col min="757" max="757" width="6.42578125" style="1008" customWidth="1"/>
    <col min="758" max="758" width="13.140625" style="1008" customWidth="1"/>
    <col min="759" max="759" width="1" style="1008" customWidth="1"/>
    <col min="760" max="760" width="19.5703125" style="1008" customWidth="1"/>
    <col min="761" max="761" width="0.85546875" style="1008" customWidth="1"/>
    <col min="762" max="762" width="14.42578125" style="1008" customWidth="1"/>
    <col min="763" max="763" width="12.85546875" style="1008" customWidth="1"/>
    <col min="764" max="764" width="6.140625" style="1008" customWidth="1"/>
    <col min="765" max="766" width="11.42578125" style="1008"/>
    <col min="767" max="767" width="15.42578125" style="1008" customWidth="1"/>
    <col min="768" max="1007" width="11.42578125" style="1008"/>
    <col min="1008" max="1008" width="2.28515625" style="1008" customWidth="1"/>
    <col min="1009" max="1009" width="2.7109375" style="1008" customWidth="1"/>
    <col min="1010" max="1010" width="2.42578125" style="1008" customWidth="1"/>
    <col min="1011" max="1011" width="17.7109375" style="1008" customWidth="1"/>
    <col min="1012" max="1012" width="1.5703125" style="1008" customWidth="1"/>
    <col min="1013" max="1013" width="6.42578125" style="1008" customWidth="1"/>
    <col min="1014" max="1014" width="13.140625" style="1008" customWidth="1"/>
    <col min="1015" max="1015" width="1" style="1008" customWidth="1"/>
    <col min="1016" max="1016" width="19.5703125" style="1008" customWidth="1"/>
    <col min="1017" max="1017" width="0.85546875" style="1008" customWidth="1"/>
    <col min="1018" max="1018" width="14.42578125" style="1008" customWidth="1"/>
    <col min="1019" max="1019" width="12.85546875" style="1008" customWidth="1"/>
    <col min="1020" max="1020" width="6.140625" style="1008" customWidth="1"/>
    <col min="1021" max="1022" width="11.42578125" style="1008"/>
    <col min="1023" max="1023" width="15.42578125" style="1008" customWidth="1"/>
    <col min="1024" max="1263" width="11.42578125" style="1008"/>
    <col min="1264" max="1264" width="2.28515625" style="1008" customWidth="1"/>
    <col min="1265" max="1265" width="2.7109375" style="1008" customWidth="1"/>
    <col min="1266" max="1266" width="2.42578125" style="1008" customWidth="1"/>
    <col min="1267" max="1267" width="17.7109375" style="1008" customWidth="1"/>
    <col min="1268" max="1268" width="1.5703125" style="1008" customWidth="1"/>
    <col min="1269" max="1269" width="6.42578125" style="1008" customWidth="1"/>
    <col min="1270" max="1270" width="13.140625" style="1008" customWidth="1"/>
    <col min="1271" max="1271" width="1" style="1008" customWidth="1"/>
    <col min="1272" max="1272" width="19.5703125" style="1008" customWidth="1"/>
    <col min="1273" max="1273" width="0.85546875" style="1008" customWidth="1"/>
    <col min="1274" max="1274" width="14.42578125" style="1008" customWidth="1"/>
    <col min="1275" max="1275" width="12.85546875" style="1008" customWidth="1"/>
    <col min="1276" max="1276" width="6.140625" style="1008" customWidth="1"/>
    <col min="1277" max="1278" width="11.42578125" style="1008"/>
    <col min="1279" max="1279" width="15.42578125" style="1008" customWidth="1"/>
    <col min="1280" max="1519" width="11.42578125" style="1008"/>
    <col min="1520" max="1520" width="2.28515625" style="1008" customWidth="1"/>
    <col min="1521" max="1521" width="2.7109375" style="1008" customWidth="1"/>
    <col min="1522" max="1522" width="2.42578125" style="1008" customWidth="1"/>
    <col min="1523" max="1523" width="17.7109375" style="1008" customWidth="1"/>
    <col min="1524" max="1524" width="1.5703125" style="1008" customWidth="1"/>
    <col min="1525" max="1525" width="6.42578125" style="1008" customWidth="1"/>
    <col min="1526" max="1526" width="13.140625" style="1008" customWidth="1"/>
    <col min="1527" max="1527" width="1" style="1008" customWidth="1"/>
    <col min="1528" max="1528" width="19.5703125" style="1008" customWidth="1"/>
    <col min="1529" max="1529" width="0.85546875" style="1008" customWidth="1"/>
    <col min="1530" max="1530" width="14.42578125" style="1008" customWidth="1"/>
    <col min="1531" max="1531" width="12.85546875" style="1008" customWidth="1"/>
    <col min="1532" max="1532" width="6.140625" style="1008" customWidth="1"/>
    <col min="1533" max="1534" width="11.42578125" style="1008"/>
    <col min="1535" max="1535" width="15.42578125" style="1008" customWidth="1"/>
    <col min="1536" max="1775" width="11.42578125" style="1008"/>
    <col min="1776" max="1776" width="2.28515625" style="1008" customWidth="1"/>
    <col min="1777" max="1777" width="2.7109375" style="1008" customWidth="1"/>
    <col min="1778" max="1778" width="2.42578125" style="1008" customWidth="1"/>
    <col min="1779" max="1779" width="17.7109375" style="1008" customWidth="1"/>
    <col min="1780" max="1780" width="1.5703125" style="1008" customWidth="1"/>
    <col min="1781" max="1781" width="6.42578125" style="1008" customWidth="1"/>
    <col min="1782" max="1782" width="13.140625" style="1008" customWidth="1"/>
    <col min="1783" max="1783" width="1" style="1008" customWidth="1"/>
    <col min="1784" max="1784" width="19.5703125" style="1008" customWidth="1"/>
    <col min="1785" max="1785" width="0.85546875" style="1008" customWidth="1"/>
    <col min="1786" max="1786" width="14.42578125" style="1008" customWidth="1"/>
    <col min="1787" max="1787" width="12.85546875" style="1008" customWidth="1"/>
    <col min="1788" max="1788" width="6.140625" style="1008" customWidth="1"/>
    <col min="1789" max="1790" width="11.42578125" style="1008"/>
    <col min="1791" max="1791" width="15.42578125" style="1008" customWidth="1"/>
    <col min="1792" max="2031" width="11.42578125" style="1008"/>
    <col min="2032" max="2032" width="2.28515625" style="1008" customWidth="1"/>
    <col min="2033" max="2033" width="2.7109375" style="1008" customWidth="1"/>
    <col min="2034" max="2034" width="2.42578125" style="1008" customWidth="1"/>
    <col min="2035" max="2035" width="17.7109375" style="1008" customWidth="1"/>
    <col min="2036" max="2036" width="1.5703125" style="1008" customWidth="1"/>
    <col min="2037" max="2037" width="6.42578125" style="1008" customWidth="1"/>
    <col min="2038" max="2038" width="13.140625" style="1008" customWidth="1"/>
    <col min="2039" max="2039" width="1" style="1008" customWidth="1"/>
    <col min="2040" max="2040" width="19.5703125" style="1008" customWidth="1"/>
    <col min="2041" max="2041" width="0.85546875" style="1008" customWidth="1"/>
    <col min="2042" max="2042" width="14.42578125" style="1008" customWidth="1"/>
    <col min="2043" max="2043" width="12.85546875" style="1008" customWidth="1"/>
    <col min="2044" max="2044" width="6.140625" style="1008" customWidth="1"/>
    <col min="2045" max="2046" width="11.42578125" style="1008"/>
    <col min="2047" max="2047" width="15.42578125" style="1008" customWidth="1"/>
    <col min="2048" max="2287" width="11.42578125" style="1008"/>
    <col min="2288" max="2288" width="2.28515625" style="1008" customWidth="1"/>
    <col min="2289" max="2289" width="2.7109375" style="1008" customWidth="1"/>
    <col min="2290" max="2290" width="2.42578125" style="1008" customWidth="1"/>
    <col min="2291" max="2291" width="17.7109375" style="1008" customWidth="1"/>
    <col min="2292" max="2292" width="1.5703125" style="1008" customWidth="1"/>
    <col min="2293" max="2293" width="6.42578125" style="1008" customWidth="1"/>
    <col min="2294" max="2294" width="13.140625" style="1008" customWidth="1"/>
    <col min="2295" max="2295" width="1" style="1008" customWidth="1"/>
    <col min="2296" max="2296" width="19.5703125" style="1008" customWidth="1"/>
    <col min="2297" max="2297" width="0.85546875" style="1008" customWidth="1"/>
    <col min="2298" max="2298" width="14.42578125" style="1008" customWidth="1"/>
    <col min="2299" max="2299" width="12.85546875" style="1008" customWidth="1"/>
    <col min="2300" max="2300" width="6.140625" style="1008" customWidth="1"/>
    <col min="2301" max="2302" width="11.42578125" style="1008"/>
    <col min="2303" max="2303" width="15.42578125" style="1008" customWidth="1"/>
    <col min="2304" max="2543" width="11.42578125" style="1008"/>
    <col min="2544" max="2544" width="2.28515625" style="1008" customWidth="1"/>
    <col min="2545" max="2545" width="2.7109375" style="1008" customWidth="1"/>
    <col min="2546" max="2546" width="2.42578125" style="1008" customWidth="1"/>
    <col min="2547" max="2547" width="17.7109375" style="1008" customWidth="1"/>
    <col min="2548" max="2548" width="1.5703125" style="1008" customWidth="1"/>
    <col min="2549" max="2549" width="6.42578125" style="1008" customWidth="1"/>
    <col min="2550" max="2550" width="13.140625" style="1008" customWidth="1"/>
    <col min="2551" max="2551" width="1" style="1008" customWidth="1"/>
    <col min="2552" max="2552" width="19.5703125" style="1008" customWidth="1"/>
    <col min="2553" max="2553" width="0.85546875" style="1008" customWidth="1"/>
    <col min="2554" max="2554" width="14.42578125" style="1008" customWidth="1"/>
    <col min="2555" max="2555" width="12.85546875" style="1008" customWidth="1"/>
    <col min="2556" max="2556" width="6.140625" style="1008" customWidth="1"/>
    <col min="2557" max="2558" width="11.42578125" style="1008"/>
    <col min="2559" max="2559" width="15.42578125" style="1008" customWidth="1"/>
    <col min="2560" max="2799" width="11.42578125" style="1008"/>
    <col min="2800" max="2800" width="2.28515625" style="1008" customWidth="1"/>
    <col min="2801" max="2801" width="2.7109375" style="1008" customWidth="1"/>
    <col min="2802" max="2802" width="2.42578125" style="1008" customWidth="1"/>
    <col min="2803" max="2803" width="17.7109375" style="1008" customWidth="1"/>
    <col min="2804" max="2804" width="1.5703125" style="1008" customWidth="1"/>
    <col min="2805" max="2805" width="6.42578125" style="1008" customWidth="1"/>
    <col min="2806" max="2806" width="13.140625" style="1008" customWidth="1"/>
    <col min="2807" max="2807" width="1" style="1008" customWidth="1"/>
    <col min="2808" max="2808" width="19.5703125" style="1008" customWidth="1"/>
    <col min="2809" max="2809" width="0.85546875" style="1008" customWidth="1"/>
    <col min="2810" max="2810" width="14.42578125" style="1008" customWidth="1"/>
    <col min="2811" max="2811" width="12.85546875" style="1008" customWidth="1"/>
    <col min="2812" max="2812" width="6.140625" style="1008" customWidth="1"/>
    <col min="2813" max="2814" width="11.42578125" style="1008"/>
    <col min="2815" max="2815" width="15.42578125" style="1008" customWidth="1"/>
    <col min="2816" max="3055" width="11.42578125" style="1008"/>
    <col min="3056" max="3056" width="2.28515625" style="1008" customWidth="1"/>
    <col min="3057" max="3057" width="2.7109375" style="1008" customWidth="1"/>
    <col min="3058" max="3058" width="2.42578125" style="1008" customWidth="1"/>
    <col min="3059" max="3059" width="17.7109375" style="1008" customWidth="1"/>
    <col min="3060" max="3060" width="1.5703125" style="1008" customWidth="1"/>
    <col min="3061" max="3061" width="6.42578125" style="1008" customWidth="1"/>
    <col min="3062" max="3062" width="13.140625" style="1008" customWidth="1"/>
    <col min="3063" max="3063" width="1" style="1008" customWidth="1"/>
    <col min="3064" max="3064" width="19.5703125" style="1008" customWidth="1"/>
    <col min="3065" max="3065" width="0.85546875" style="1008" customWidth="1"/>
    <col min="3066" max="3066" width="14.42578125" style="1008" customWidth="1"/>
    <col min="3067" max="3067" width="12.85546875" style="1008" customWidth="1"/>
    <col min="3068" max="3068" width="6.140625" style="1008" customWidth="1"/>
    <col min="3069" max="3070" width="11.42578125" style="1008"/>
    <col min="3071" max="3071" width="15.42578125" style="1008" customWidth="1"/>
    <col min="3072" max="3311" width="11.42578125" style="1008"/>
    <col min="3312" max="3312" width="2.28515625" style="1008" customWidth="1"/>
    <col min="3313" max="3313" width="2.7109375" style="1008" customWidth="1"/>
    <col min="3314" max="3314" width="2.42578125" style="1008" customWidth="1"/>
    <col min="3315" max="3315" width="17.7109375" style="1008" customWidth="1"/>
    <col min="3316" max="3316" width="1.5703125" style="1008" customWidth="1"/>
    <col min="3317" max="3317" width="6.42578125" style="1008" customWidth="1"/>
    <col min="3318" max="3318" width="13.140625" style="1008" customWidth="1"/>
    <col min="3319" max="3319" width="1" style="1008" customWidth="1"/>
    <col min="3320" max="3320" width="19.5703125" style="1008" customWidth="1"/>
    <col min="3321" max="3321" width="0.85546875" style="1008" customWidth="1"/>
    <col min="3322" max="3322" width="14.42578125" style="1008" customWidth="1"/>
    <col min="3323" max="3323" width="12.85546875" style="1008" customWidth="1"/>
    <col min="3324" max="3324" width="6.140625" style="1008" customWidth="1"/>
    <col min="3325" max="3326" width="11.42578125" style="1008"/>
    <col min="3327" max="3327" width="15.42578125" style="1008" customWidth="1"/>
    <col min="3328" max="3567" width="11.42578125" style="1008"/>
    <col min="3568" max="3568" width="2.28515625" style="1008" customWidth="1"/>
    <col min="3569" max="3569" width="2.7109375" style="1008" customWidth="1"/>
    <col min="3570" max="3570" width="2.42578125" style="1008" customWidth="1"/>
    <col min="3571" max="3571" width="17.7109375" style="1008" customWidth="1"/>
    <col min="3572" max="3572" width="1.5703125" style="1008" customWidth="1"/>
    <col min="3573" max="3573" width="6.42578125" style="1008" customWidth="1"/>
    <col min="3574" max="3574" width="13.140625" style="1008" customWidth="1"/>
    <col min="3575" max="3575" width="1" style="1008" customWidth="1"/>
    <col min="3576" max="3576" width="19.5703125" style="1008" customWidth="1"/>
    <col min="3577" max="3577" width="0.85546875" style="1008" customWidth="1"/>
    <col min="3578" max="3578" width="14.42578125" style="1008" customWidth="1"/>
    <col min="3579" max="3579" width="12.85546875" style="1008" customWidth="1"/>
    <col min="3580" max="3580" width="6.140625" style="1008" customWidth="1"/>
    <col min="3581" max="3582" width="11.42578125" style="1008"/>
    <col min="3583" max="3583" width="15.42578125" style="1008" customWidth="1"/>
    <col min="3584" max="3823" width="11.42578125" style="1008"/>
    <col min="3824" max="3824" width="2.28515625" style="1008" customWidth="1"/>
    <col min="3825" max="3825" width="2.7109375" style="1008" customWidth="1"/>
    <col min="3826" max="3826" width="2.42578125" style="1008" customWidth="1"/>
    <col min="3827" max="3827" width="17.7109375" style="1008" customWidth="1"/>
    <col min="3828" max="3828" width="1.5703125" style="1008" customWidth="1"/>
    <col min="3829" max="3829" width="6.42578125" style="1008" customWidth="1"/>
    <col min="3830" max="3830" width="13.140625" style="1008" customWidth="1"/>
    <col min="3831" max="3831" width="1" style="1008" customWidth="1"/>
    <col min="3832" max="3832" width="19.5703125" style="1008" customWidth="1"/>
    <col min="3833" max="3833" width="0.85546875" style="1008" customWidth="1"/>
    <col min="3834" max="3834" width="14.42578125" style="1008" customWidth="1"/>
    <col min="3835" max="3835" width="12.85546875" style="1008" customWidth="1"/>
    <col min="3836" max="3836" width="6.140625" style="1008" customWidth="1"/>
    <col min="3837" max="3838" width="11.42578125" style="1008"/>
    <col min="3839" max="3839" width="15.42578125" style="1008" customWidth="1"/>
    <col min="3840" max="4079" width="11.42578125" style="1008"/>
    <col min="4080" max="4080" width="2.28515625" style="1008" customWidth="1"/>
    <col min="4081" max="4081" width="2.7109375" style="1008" customWidth="1"/>
    <col min="4082" max="4082" width="2.42578125" style="1008" customWidth="1"/>
    <col min="4083" max="4083" width="17.7109375" style="1008" customWidth="1"/>
    <col min="4084" max="4084" width="1.5703125" style="1008" customWidth="1"/>
    <col min="4085" max="4085" width="6.42578125" style="1008" customWidth="1"/>
    <col min="4086" max="4086" width="13.140625" style="1008" customWidth="1"/>
    <col min="4087" max="4087" width="1" style="1008" customWidth="1"/>
    <col min="4088" max="4088" width="19.5703125" style="1008" customWidth="1"/>
    <col min="4089" max="4089" width="0.85546875" style="1008" customWidth="1"/>
    <col min="4090" max="4090" width="14.42578125" style="1008" customWidth="1"/>
    <col min="4091" max="4091" width="12.85546875" style="1008" customWidth="1"/>
    <col min="4092" max="4092" width="6.140625" style="1008" customWidth="1"/>
    <col min="4093" max="4094" width="11.42578125" style="1008"/>
    <col min="4095" max="4095" width="15.42578125" style="1008" customWidth="1"/>
    <col min="4096" max="4335" width="11.42578125" style="1008"/>
    <col min="4336" max="4336" width="2.28515625" style="1008" customWidth="1"/>
    <col min="4337" max="4337" width="2.7109375" style="1008" customWidth="1"/>
    <col min="4338" max="4338" width="2.42578125" style="1008" customWidth="1"/>
    <col min="4339" max="4339" width="17.7109375" style="1008" customWidth="1"/>
    <col min="4340" max="4340" width="1.5703125" style="1008" customWidth="1"/>
    <col min="4341" max="4341" width="6.42578125" style="1008" customWidth="1"/>
    <col min="4342" max="4342" width="13.140625" style="1008" customWidth="1"/>
    <col min="4343" max="4343" width="1" style="1008" customWidth="1"/>
    <col min="4344" max="4344" width="19.5703125" style="1008" customWidth="1"/>
    <col min="4345" max="4345" width="0.85546875" style="1008" customWidth="1"/>
    <col min="4346" max="4346" width="14.42578125" style="1008" customWidth="1"/>
    <col min="4347" max="4347" width="12.85546875" style="1008" customWidth="1"/>
    <col min="4348" max="4348" width="6.140625" style="1008" customWidth="1"/>
    <col min="4349" max="4350" width="11.42578125" style="1008"/>
    <col min="4351" max="4351" width="15.42578125" style="1008" customWidth="1"/>
    <col min="4352" max="4591" width="11.42578125" style="1008"/>
    <col min="4592" max="4592" width="2.28515625" style="1008" customWidth="1"/>
    <col min="4593" max="4593" width="2.7109375" style="1008" customWidth="1"/>
    <col min="4594" max="4594" width="2.42578125" style="1008" customWidth="1"/>
    <col min="4595" max="4595" width="17.7109375" style="1008" customWidth="1"/>
    <col min="4596" max="4596" width="1.5703125" style="1008" customWidth="1"/>
    <col min="4597" max="4597" width="6.42578125" style="1008" customWidth="1"/>
    <col min="4598" max="4598" width="13.140625" style="1008" customWidth="1"/>
    <col min="4599" max="4599" width="1" style="1008" customWidth="1"/>
    <col min="4600" max="4600" width="19.5703125" style="1008" customWidth="1"/>
    <col min="4601" max="4601" width="0.85546875" style="1008" customWidth="1"/>
    <col min="4602" max="4602" width="14.42578125" style="1008" customWidth="1"/>
    <col min="4603" max="4603" width="12.85546875" style="1008" customWidth="1"/>
    <col min="4604" max="4604" width="6.140625" style="1008" customWidth="1"/>
    <col min="4605" max="4606" width="11.42578125" style="1008"/>
    <col min="4607" max="4607" width="15.42578125" style="1008" customWidth="1"/>
    <col min="4608" max="4847" width="11.42578125" style="1008"/>
    <col min="4848" max="4848" width="2.28515625" style="1008" customWidth="1"/>
    <col min="4849" max="4849" width="2.7109375" style="1008" customWidth="1"/>
    <col min="4850" max="4850" width="2.42578125" style="1008" customWidth="1"/>
    <col min="4851" max="4851" width="17.7109375" style="1008" customWidth="1"/>
    <col min="4852" max="4852" width="1.5703125" style="1008" customWidth="1"/>
    <col min="4853" max="4853" width="6.42578125" style="1008" customWidth="1"/>
    <col min="4854" max="4854" width="13.140625" style="1008" customWidth="1"/>
    <col min="4855" max="4855" width="1" style="1008" customWidth="1"/>
    <col min="4856" max="4856" width="19.5703125" style="1008" customWidth="1"/>
    <col min="4857" max="4857" width="0.85546875" style="1008" customWidth="1"/>
    <col min="4858" max="4858" width="14.42578125" style="1008" customWidth="1"/>
    <col min="4859" max="4859" width="12.85546875" style="1008" customWidth="1"/>
    <col min="4860" max="4860" width="6.140625" style="1008" customWidth="1"/>
    <col min="4861" max="4862" width="11.42578125" style="1008"/>
    <col min="4863" max="4863" width="15.42578125" style="1008" customWidth="1"/>
    <col min="4864" max="5103" width="11.42578125" style="1008"/>
    <col min="5104" max="5104" width="2.28515625" style="1008" customWidth="1"/>
    <col min="5105" max="5105" width="2.7109375" style="1008" customWidth="1"/>
    <col min="5106" max="5106" width="2.42578125" style="1008" customWidth="1"/>
    <col min="5107" max="5107" width="17.7109375" style="1008" customWidth="1"/>
    <col min="5108" max="5108" width="1.5703125" style="1008" customWidth="1"/>
    <col min="5109" max="5109" width="6.42578125" style="1008" customWidth="1"/>
    <col min="5110" max="5110" width="13.140625" style="1008" customWidth="1"/>
    <col min="5111" max="5111" width="1" style="1008" customWidth="1"/>
    <col min="5112" max="5112" width="19.5703125" style="1008" customWidth="1"/>
    <col min="5113" max="5113" width="0.85546875" style="1008" customWidth="1"/>
    <col min="5114" max="5114" width="14.42578125" style="1008" customWidth="1"/>
    <col min="5115" max="5115" width="12.85546875" style="1008" customWidth="1"/>
    <col min="5116" max="5116" width="6.140625" style="1008" customWidth="1"/>
    <col min="5117" max="5118" width="11.42578125" style="1008"/>
    <col min="5119" max="5119" width="15.42578125" style="1008" customWidth="1"/>
    <col min="5120" max="5359" width="11.42578125" style="1008"/>
    <col min="5360" max="5360" width="2.28515625" style="1008" customWidth="1"/>
    <col min="5361" max="5361" width="2.7109375" style="1008" customWidth="1"/>
    <col min="5362" max="5362" width="2.42578125" style="1008" customWidth="1"/>
    <col min="5363" max="5363" width="17.7109375" style="1008" customWidth="1"/>
    <col min="5364" max="5364" width="1.5703125" style="1008" customWidth="1"/>
    <col min="5365" max="5365" width="6.42578125" style="1008" customWidth="1"/>
    <col min="5366" max="5366" width="13.140625" style="1008" customWidth="1"/>
    <col min="5367" max="5367" width="1" style="1008" customWidth="1"/>
    <col min="5368" max="5368" width="19.5703125" style="1008" customWidth="1"/>
    <col min="5369" max="5369" width="0.85546875" style="1008" customWidth="1"/>
    <col min="5370" max="5370" width="14.42578125" style="1008" customWidth="1"/>
    <col min="5371" max="5371" width="12.85546875" style="1008" customWidth="1"/>
    <col min="5372" max="5372" width="6.140625" style="1008" customWidth="1"/>
    <col min="5373" max="5374" width="11.42578125" style="1008"/>
    <col min="5375" max="5375" width="15.42578125" style="1008" customWidth="1"/>
    <col min="5376" max="5615" width="11.42578125" style="1008"/>
    <col min="5616" max="5616" width="2.28515625" style="1008" customWidth="1"/>
    <col min="5617" max="5617" width="2.7109375" style="1008" customWidth="1"/>
    <col min="5618" max="5618" width="2.42578125" style="1008" customWidth="1"/>
    <col min="5619" max="5619" width="17.7109375" style="1008" customWidth="1"/>
    <col min="5620" max="5620" width="1.5703125" style="1008" customWidth="1"/>
    <col min="5621" max="5621" width="6.42578125" style="1008" customWidth="1"/>
    <col min="5622" max="5622" width="13.140625" style="1008" customWidth="1"/>
    <col min="5623" max="5623" width="1" style="1008" customWidth="1"/>
    <col min="5624" max="5624" width="19.5703125" style="1008" customWidth="1"/>
    <col min="5625" max="5625" width="0.85546875" style="1008" customWidth="1"/>
    <col min="5626" max="5626" width="14.42578125" style="1008" customWidth="1"/>
    <col min="5627" max="5627" width="12.85546875" style="1008" customWidth="1"/>
    <col min="5628" max="5628" width="6.140625" style="1008" customWidth="1"/>
    <col min="5629" max="5630" width="11.42578125" style="1008"/>
    <col min="5631" max="5631" width="15.42578125" style="1008" customWidth="1"/>
    <col min="5632" max="5871" width="11.42578125" style="1008"/>
    <col min="5872" max="5872" width="2.28515625" style="1008" customWidth="1"/>
    <col min="5873" max="5873" width="2.7109375" style="1008" customWidth="1"/>
    <col min="5874" max="5874" width="2.42578125" style="1008" customWidth="1"/>
    <col min="5875" max="5875" width="17.7109375" style="1008" customWidth="1"/>
    <col min="5876" max="5876" width="1.5703125" style="1008" customWidth="1"/>
    <col min="5877" max="5877" width="6.42578125" style="1008" customWidth="1"/>
    <col min="5878" max="5878" width="13.140625" style="1008" customWidth="1"/>
    <col min="5879" max="5879" width="1" style="1008" customWidth="1"/>
    <col min="5880" max="5880" width="19.5703125" style="1008" customWidth="1"/>
    <col min="5881" max="5881" width="0.85546875" style="1008" customWidth="1"/>
    <col min="5882" max="5882" width="14.42578125" style="1008" customWidth="1"/>
    <col min="5883" max="5883" width="12.85546875" style="1008" customWidth="1"/>
    <col min="5884" max="5884" width="6.140625" style="1008" customWidth="1"/>
    <col min="5885" max="5886" width="11.42578125" style="1008"/>
    <col min="5887" max="5887" width="15.42578125" style="1008" customWidth="1"/>
    <col min="5888" max="6127" width="11.42578125" style="1008"/>
    <col min="6128" max="6128" width="2.28515625" style="1008" customWidth="1"/>
    <col min="6129" max="6129" width="2.7109375" style="1008" customWidth="1"/>
    <col min="6130" max="6130" width="2.42578125" style="1008" customWidth="1"/>
    <col min="6131" max="6131" width="17.7109375" style="1008" customWidth="1"/>
    <col min="6132" max="6132" width="1.5703125" style="1008" customWidth="1"/>
    <col min="6133" max="6133" width="6.42578125" style="1008" customWidth="1"/>
    <col min="6134" max="6134" width="13.140625" style="1008" customWidth="1"/>
    <col min="6135" max="6135" width="1" style="1008" customWidth="1"/>
    <col min="6136" max="6136" width="19.5703125" style="1008" customWidth="1"/>
    <col min="6137" max="6137" width="0.85546875" style="1008" customWidth="1"/>
    <col min="6138" max="6138" width="14.42578125" style="1008" customWidth="1"/>
    <col min="6139" max="6139" width="12.85546875" style="1008" customWidth="1"/>
    <col min="6140" max="6140" width="6.140625" style="1008" customWidth="1"/>
    <col min="6141" max="6142" width="11.42578125" style="1008"/>
    <col min="6143" max="6143" width="15.42578125" style="1008" customWidth="1"/>
    <col min="6144" max="6383" width="11.42578125" style="1008"/>
    <col min="6384" max="6384" width="2.28515625" style="1008" customWidth="1"/>
    <col min="6385" max="6385" width="2.7109375" style="1008" customWidth="1"/>
    <col min="6386" max="6386" width="2.42578125" style="1008" customWidth="1"/>
    <col min="6387" max="6387" width="17.7109375" style="1008" customWidth="1"/>
    <col min="6388" max="6388" width="1.5703125" style="1008" customWidth="1"/>
    <col min="6389" max="6389" width="6.42578125" style="1008" customWidth="1"/>
    <col min="6390" max="6390" width="13.140625" style="1008" customWidth="1"/>
    <col min="6391" max="6391" width="1" style="1008" customWidth="1"/>
    <col min="6392" max="6392" width="19.5703125" style="1008" customWidth="1"/>
    <col min="6393" max="6393" width="0.85546875" style="1008" customWidth="1"/>
    <col min="6394" max="6394" width="14.42578125" style="1008" customWidth="1"/>
    <col min="6395" max="6395" width="12.85546875" style="1008" customWidth="1"/>
    <col min="6396" max="6396" width="6.140625" style="1008" customWidth="1"/>
    <col min="6397" max="6398" width="11.42578125" style="1008"/>
    <col min="6399" max="6399" width="15.42578125" style="1008" customWidth="1"/>
    <col min="6400" max="6639" width="11.42578125" style="1008"/>
    <col min="6640" max="6640" width="2.28515625" style="1008" customWidth="1"/>
    <col min="6641" max="6641" width="2.7109375" style="1008" customWidth="1"/>
    <col min="6642" max="6642" width="2.42578125" style="1008" customWidth="1"/>
    <col min="6643" max="6643" width="17.7109375" style="1008" customWidth="1"/>
    <col min="6644" max="6644" width="1.5703125" style="1008" customWidth="1"/>
    <col min="6645" max="6645" width="6.42578125" style="1008" customWidth="1"/>
    <col min="6646" max="6646" width="13.140625" style="1008" customWidth="1"/>
    <col min="6647" max="6647" width="1" style="1008" customWidth="1"/>
    <col min="6648" max="6648" width="19.5703125" style="1008" customWidth="1"/>
    <col min="6649" max="6649" width="0.85546875" style="1008" customWidth="1"/>
    <col min="6650" max="6650" width="14.42578125" style="1008" customWidth="1"/>
    <col min="6651" max="6651" width="12.85546875" style="1008" customWidth="1"/>
    <col min="6652" max="6652" width="6.140625" style="1008" customWidth="1"/>
    <col min="6653" max="6654" width="11.42578125" style="1008"/>
    <col min="6655" max="6655" width="15.42578125" style="1008" customWidth="1"/>
    <col min="6656" max="6895" width="11.42578125" style="1008"/>
    <col min="6896" max="6896" width="2.28515625" style="1008" customWidth="1"/>
    <col min="6897" max="6897" width="2.7109375" style="1008" customWidth="1"/>
    <col min="6898" max="6898" width="2.42578125" style="1008" customWidth="1"/>
    <col min="6899" max="6899" width="17.7109375" style="1008" customWidth="1"/>
    <col min="6900" max="6900" width="1.5703125" style="1008" customWidth="1"/>
    <col min="6901" max="6901" width="6.42578125" style="1008" customWidth="1"/>
    <col min="6902" max="6902" width="13.140625" style="1008" customWidth="1"/>
    <col min="6903" max="6903" width="1" style="1008" customWidth="1"/>
    <col min="6904" max="6904" width="19.5703125" style="1008" customWidth="1"/>
    <col min="6905" max="6905" width="0.85546875" style="1008" customWidth="1"/>
    <col min="6906" max="6906" width="14.42578125" style="1008" customWidth="1"/>
    <col min="6907" max="6907" width="12.85546875" style="1008" customWidth="1"/>
    <col min="6908" max="6908" width="6.140625" style="1008" customWidth="1"/>
    <col min="6909" max="6910" width="11.42578125" style="1008"/>
    <col min="6911" max="6911" width="15.42578125" style="1008" customWidth="1"/>
    <col min="6912" max="7151" width="11.42578125" style="1008"/>
    <col min="7152" max="7152" width="2.28515625" style="1008" customWidth="1"/>
    <col min="7153" max="7153" width="2.7109375" style="1008" customWidth="1"/>
    <col min="7154" max="7154" width="2.42578125" style="1008" customWidth="1"/>
    <col min="7155" max="7155" width="17.7109375" style="1008" customWidth="1"/>
    <col min="7156" max="7156" width="1.5703125" style="1008" customWidth="1"/>
    <col min="7157" max="7157" width="6.42578125" style="1008" customWidth="1"/>
    <col min="7158" max="7158" width="13.140625" style="1008" customWidth="1"/>
    <col min="7159" max="7159" width="1" style="1008" customWidth="1"/>
    <col min="7160" max="7160" width="19.5703125" style="1008" customWidth="1"/>
    <col min="7161" max="7161" width="0.85546875" style="1008" customWidth="1"/>
    <col min="7162" max="7162" width="14.42578125" style="1008" customWidth="1"/>
    <col min="7163" max="7163" width="12.85546875" style="1008" customWidth="1"/>
    <col min="7164" max="7164" width="6.140625" style="1008" customWidth="1"/>
    <col min="7165" max="7166" width="11.42578125" style="1008"/>
    <col min="7167" max="7167" width="15.42578125" style="1008" customWidth="1"/>
    <col min="7168" max="7407" width="11.42578125" style="1008"/>
    <col min="7408" max="7408" width="2.28515625" style="1008" customWidth="1"/>
    <col min="7409" max="7409" width="2.7109375" style="1008" customWidth="1"/>
    <col min="7410" max="7410" width="2.42578125" style="1008" customWidth="1"/>
    <col min="7411" max="7411" width="17.7109375" style="1008" customWidth="1"/>
    <col min="7412" max="7412" width="1.5703125" style="1008" customWidth="1"/>
    <col min="7413" max="7413" width="6.42578125" style="1008" customWidth="1"/>
    <col min="7414" max="7414" width="13.140625" style="1008" customWidth="1"/>
    <col min="7415" max="7415" width="1" style="1008" customWidth="1"/>
    <col min="7416" max="7416" width="19.5703125" style="1008" customWidth="1"/>
    <col min="7417" max="7417" width="0.85546875" style="1008" customWidth="1"/>
    <col min="7418" max="7418" width="14.42578125" style="1008" customWidth="1"/>
    <col min="7419" max="7419" width="12.85546875" style="1008" customWidth="1"/>
    <col min="7420" max="7420" width="6.140625" style="1008" customWidth="1"/>
    <col min="7421" max="7422" width="11.42578125" style="1008"/>
    <col min="7423" max="7423" width="15.42578125" style="1008" customWidth="1"/>
    <col min="7424" max="7663" width="11.42578125" style="1008"/>
    <col min="7664" max="7664" width="2.28515625" style="1008" customWidth="1"/>
    <col min="7665" max="7665" width="2.7109375" style="1008" customWidth="1"/>
    <col min="7666" max="7666" width="2.42578125" style="1008" customWidth="1"/>
    <col min="7667" max="7667" width="17.7109375" style="1008" customWidth="1"/>
    <col min="7668" max="7668" width="1.5703125" style="1008" customWidth="1"/>
    <col min="7669" max="7669" width="6.42578125" style="1008" customWidth="1"/>
    <col min="7670" max="7670" width="13.140625" style="1008" customWidth="1"/>
    <col min="7671" max="7671" width="1" style="1008" customWidth="1"/>
    <col min="7672" max="7672" width="19.5703125" style="1008" customWidth="1"/>
    <col min="7673" max="7673" width="0.85546875" style="1008" customWidth="1"/>
    <col min="7674" max="7674" width="14.42578125" style="1008" customWidth="1"/>
    <col min="7675" max="7675" width="12.85546875" style="1008" customWidth="1"/>
    <col min="7676" max="7676" width="6.140625" style="1008" customWidth="1"/>
    <col min="7677" max="7678" width="11.42578125" style="1008"/>
    <col min="7679" max="7679" width="15.42578125" style="1008" customWidth="1"/>
    <col min="7680" max="7919" width="11.42578125" style="1008"/>
    <col min="7920" max="7920" width="2.28515625" style="1008" customWidth="1"/>
    <col min="7921" max="7921" width="2.7109375" style="1008" customWidth="1"/>
    <col min="7922" max="7922" width="2.42578125" style="1008" customWidth="1"/>
    <col min="7923" max="7923" width="17.7109375" style="1008" customWidth="1"/>
    <col min="7924" max="7924" width="1.5703125" style="1008" customWidth="1"/>
    <col min="7925" max="7925" width="6.42578125" style="1008" customWidth="1"/>
    <col min="7926" max="7926" width="13.140625" style="1008" customWidth="1"/>
    <col min="7927" max="7927" width="1" style="1008" customWidth="1"/>
    <col min="7928" max="7928" width="19.5703125" style="1008" customWidth="1"/>
    <col min="7929" max="7929" width="0.85546875" style="1008" customWidth="1"/>
    <col min="7930" max="7930" width="14.42578125" style="1008" customWidth="1"/>
    <col min="7931" max="7931" width="12.85546875" style="1008" customWidth="1"/>
    <col min="7932" max="7932" width="6.140625" style="1008" customWidth="1"/>
    <col min="7933" max="7934" width="11.42578125" style="1008"/>
    <col min="7935" max="7935" width="15.42578125" style="1008" customWidth="1"/>
    <col min="7936" max="8175" width="11.42578125" style="1008"/>
    <col min="8176" max="8176" width="2.28515625" style="1008" customWidth="1"/>
    <col min="8177" max="8177" width="2.7109375" style="1008" customWidth="1"/>
    <col min="8178" max="8178" width="2.42578125" style="1008" customWidth="1"/>
    <col min="8179" max="8179" width="17.7109375" style="1008" customWidth="1"/>
    <col min="8180" max="8180" width="1.5703125" style="1008" customWidth="1"/>
    <col min="8181" max="8181" width="6.42578125" style="1008" customWidth="1"/>
    <col min="8182" max="8182" width="13.140625" style="1008" customWidth="1"/>
    <col min="8183" max="8183" width="1" style="1008" customWidth="1"/>
    <col min="8184" max="8184" width="19.5703125" style="1008" customWidth="1"/>
    <col min="8185" max="8185" width="0.85546875" style="1008" customWidth="1"/>
    <col min="8186" max="8186" width="14.42578125" style="1008" customWidth="1"/>
    <col min="8187" max="8187" width="12.85546875" style="1008" customWidth="1"/>
    <col min="8188" max="8188" width="6.140625" style="1008" customWidth="1"/>
    <col min="8189" max="8190" width="11.42578125" style="1008"/>
    <col min="8191" max="8191" width="15.42578125" style="1008" customWidth="1"/>
    <col min="8192" max="8431" width="11.42578125" style="1008"/>
    <col min="8432" max="8432" width="2.28515625" style="1008" customWidth="1"/>
    <col min="8433" max="8433" width="2.7109375" style="1008" customWidth="1"/>
    <col min="8434" max="8434" width="2.42578125" style="1008" customWidth="1"/>
    <col min="8435" max="8435" width="17.7109375" style="1008" customWidth="1"/>
    <col min="8436" max="8436" width="1.5703125" style="1008" customWidth="1"/>
    <col min="8437" max="8437" width="6.42578125" style="1008" customWidth="1"/>
    <col min="8438" max="8438" width="13.140625" style="1008" customWidth="1"/>
    <col min="8439" max="8439" width="1" style="1008" customWidth="1"/>
    <col min="8440" max="8440" width="19.5703125" style="1008" customWidth="1"/>
    <col min="8441" max="8441" width="0.85546875" style="1008" customWidth="1"/>
    <col min="8442" max="8442" width="14.42578125" style="1008" customWidth="1"/>
    <col min="8443" max="8443" width="12.85546875" style="1008" customWidth="1"/>
    <col min="8444" max="8444" width="6.140625" style="1008" customWidth="1"/>
    <col min="8445" max="8446" width="11.42578125" style="1008"/>
    <col min="8447" max="8447" width="15.42578125" style="1008" customWidth="1"/>
    <col min="8448" max="8687" width="11.42578125" style="1008"/>
    <col min="8688" max="8688" width="2.28515625" style="1008" customWidth="1"/>
    <col min="8689" max="8689" width="2.7109375" style="1008" customWidth="1"/>
    <col min="8690" max="8690" width="2.42578125" style="1008" customWidth="1"/>
    <col min="8691" max="8691" width="17.7109375" style="1008" customWidth="1"/>
    <col min="8692" max="8692" width="1.5703125" style="1008" customWidth="1"/>
    <col min="8693" max="8693" width="6.42578125" style="1008" customWidth="1"/>
    <col min="8694" max="8694" width="13.140625" style="1008" customWidth="1"/>
    <col min="8695" max="8695" width="1" style="1008" customWidth="1"/>
    <col min="8696" max="8696" width="19.5703125" style="1008" customWidth="1"/>
    <col min="8697" max="8697" width="0.85546875" style="1008" customWidth="1"/>
    <col min="8698" max="8698" width="14.42578125" style="1008" customWidth="1"/>
    <col min="8699" max="8699" width="12.85546875" style="1008" customWidth="1"/>
    <col min="8700" max="8700" width="6.140625" style="1008" customWidth="1"/>
    <col min="8701" max="8702" width="11.42578125" style="1008"/>
    <col min="8703" max="8703" width="15.42578125" style="1008" customWidth="1"/>
    <col min="8704" max="8943" width="11.42578125" style="1008"/>
    <col min="8944" max="8944" width="2.28515625" style="1008" customWidth="1"/>
    <col min="8945" max="8945" width="2.7109375" style="1008" customWidth="1"/>
    <col min="8946" max="8946" width="2.42578125" style="1008" customWidth="1"/>
    <col min="8947" max="8947" width="17.7109375" style="1008" customWidth="1"/>
    <col min="8948" max="8948" width="1.5703125" style="1008" customWidth="1"/>
    <col min="8949" max="8949" width="6.42578125" style="1008" customWidth="1"/>
    <col min="8950" max="8950" width="13.140625" style="1008" customWidth="1"/>
    <col min="8951" max="8951" width="1" style="1008" customWidth="1"/>
    <col min="8952" max="8952" width="19.5703125" style="1008" customWidth="1"/>
    <col min="8953" max="8953" width="0.85546875" style="1008" customWidth="1"/>
    <col min="8954" max="8954" width="14.42578125" style="1008" customWidth="1"/>
    <col min="8955" max="8955" width="12.85546875" style="1008" customWidth="1"/>
    <col min="8956" max="8956" width="6.140625" style="1008" customWidth="1"/>
    <col min="8957" max="8958" width="11.42578125" style="1008"/>
    <col min="8959" max="8959" width="15.42578125" style="1008" customWidth="1"/>
    <col min="8960" max="9199" width="11.42578125" style="1008"/>
    <col min="9200" max="9200" width="2.28515625" style="1008" customWidth="1"/>
    <col min="9201" max="9201" width="2.7109375" style="1008" customWidth="1"/>
    <col min="9202" max="9202" width="2.42578125" style="1008" customWidth="1"/>
    <col min="9203" max="9203" width="17.7109375" style="1008" customWidth="1"/>
    <col min="9204" max="9204" width="1.5703125" style="1008" customWidth="1"/>
    <col min="9205" max="9205" width="6.42578125" style="1008" customWidth="1"/>
    <col min="9206" max="9206" width="13.140625" style="1008" customWidth="1"/>
    <col min="9207" max="9207" width="1" style="1008" customWidth="1"/>
    <col min="9208" max="9208" width="19.5703125" style="1008" customWidth="1"/>
    <col min="9209" max="9209" width="0.85546875" style="1008" customWidth="1"/>
    <col min="9210" max="9210" width="14.42578125" style="1008" customWidth="1"/>
    <col min="9211" max="9211" width="12.85546875" style="1008" customWidth="1"/>
    <col min="9212" max="9212" width="6.140625" style="1008" customWidth="1"/>
    <col min="9213" max="9214" width="11.42578125" style="1008"/>
    <col min="9215" max="9215" width="15.42578125" style="1008" customWidth="1"/>
    <col min="9216" max="9455" width="11.42578125" style="1008"/>
    <col min="9456" max="9456" width="2.28515625" style="1008" customWidth="1"/>
    <col min="9457" max="9457" width="2.7109375" style="1008" customWidth="1"/>
    <col min="9458" max="9458" width="2.42578125" style="1008" customWidth="1"/>
    <col min="9459" max="9459" width="17.7109375" style="1008" customWidth="1"/>
    <col min="9460" max="9460" width="1.5703125" style="1008" customWidth="1"/>
    <col min="9461" max="9461" width="6.42578125" style="1008" customWidth="1"/>
    <col min="9462" max="9462" width="13.140625" style="1008" customWidth="1"/>
    <col min="9463" max="9463" width="1" style="1008" customWidth="1"/>
    <col min="9464" max="9464" width="19.5703125" style="1008" customWidth="1"/>
    <col min="9465" max="9465" width="0.85546875" style="1008" customWidth="1"/>
    <col min="9466" max="9466" width="14.42578125" style="1008" customWidth="1"/>
    <col min="9467" max="9467" width="12.85546875" style="1008" customWidth="1"/>
    <col min="9468" max="9468" width="6.140625" style="1008" customWidth="1"/>
    <col min="9469" max="9470" width="11.42578125" style="1008"/>
    <col min="9471" max="9471" width="15.42578125" style="1008" customWidth="1"/>
    <col min="9472" max="9711" width="11.42578125" style="1008"/>
    <col min="9712" max="9712" width="2.28515625" style="1008" customWidth="1"/>
    <col min="9713" max="9713" width="2.7109375" style="1008" customWidth="1"/>
    <col min="9714" max="9714" width="2.42578125" style="1008" customWidth="1"/>
    <col min="9715" max="9715" width="17.7109375" style="1008" customWidth="1"/>
    <col min="9716" max="9716" width="1.5703125" style="1008" customWidth="1"/>
    <col min="9717" max="9717" width="6.42578125" style="1008" customWidth="1"/>
    <col min="9718" max="9718" width="13.140625" style="1008" customWidth="1"/>
    <col min="9719" max="9719" width="1" style="1008" customWidth="1"/>
    <col min="9720" max="9720" width="19.5703125" style="1008" customWidth="1"/>
    <col min="9721" max="9721" width="0.85546875" style="1008" customWidth="1"/>
    <col min="9722" max="9722" width="14.42578125" style="1008" customWidth="1"/>
    <col min="9723" max="9723" width="12.85546875" style="1008" customWidth="1"/>
    <col min="9724" max="9724" width="6.140625" style="1008" customWidth="1"/>
    <col min="9725" max="9726" width="11.42578125" style="1008"/>
    <col min="9727" max="9727" width="15.42578125" style="1008" customWidth="1"/>
    <col min="9728" max="9967" width="11.42578125" style="1008"/>
    <col min="9968" max="9968" width="2.28515625" style="1008" customWidth="1"/>
    <col min="9969" max="9969" width="2.7109375" style="1008" customWidth="1"/>
    <col min="9970" max="9970" width="2.42578125" style="1008" customWidth="1"/>
    <col min="9971" max="9971" width="17.7109375" style="1008" customWidth="1"/>
    <col min="9972" max="9972" width="1.5703125" style="1008" customWidth="1"/>
    <col min="9973" max="9973" width="6.42578125" style="1008" customWidth="1"/>
    <col min="9974" max="9974" width="13.140625" style="1008" customWidth="1"/>
    <col min="9975" max="9975" width="1" style="1008" customWidth="1"/>
    <col min="9976" max="9976" width="19.5703125" style="1008" customWidth="1"/>
    <col min="9977" max="9977" width="0.85546875" style="1008" customWidth="1"/>
    <col min="9978" max="9978" width="14.42578125" style="1008" customWidth="1"/>
    <col min="9979" max="9979" width="12.85546875" style="1008" customWidth="1"/>
    <col min="9980" max="9980" width="6.140625" style="1008" customWidth="1"/>
    <col min="9981" max="9982" width="11.42578125" style="1008"/>
    <col min="9983" max="9983" width="15.42578125" style="1008" customWidth="1"/>
    <col min="9984" max="10223" width="11.42578125" style="1008"/>
    <col min="10224" max="10224" width="2.28515625" style="1008" customWidth="1"/>
    <col min="10225" max="10225" width="2.7109375" style="1008" customWidth="1"/>
    <col min="10226" max="10226" width="2.42578125" style="1008" customWidth="1"/>
    <col min="10227" max="10227" width="17.7109375" style="1008" customWidth="1"/>
    <col min="10228" max="10228" width="1.5703125" style="1008" customWidth="1"/>
    <col min="10229" max="10229" width="6.42578125" style="1008" customWidth="1"/>
    <col min="10230" max="10230" width="13.140625" style="1008" customWidth="1"/>
    <col min="10231" max="10231" width="1" style="1008" customWidth="1"/>
    <col min="10232" max="10232" width="19.5703125" style="1008" customWidth="1"/>
    <col min="10233" max="10233" width="0.85546875" style="1008" customWidth="1"/>
    <col min="10234" max="10234" width="14.42578125" style="1008" customWidth="1"/>
    <col min="10235" max="10235" width="12.85546875" style="1008" customWidth="1"/>
    <col min="10236" max="10236" width="6.140625" style="1008" customWidth="1"/>
    <col min="10237" max="10238" width="11.42578125" style="1008"/>
    <col min="10239" max="10239" width="15.42578125" style="1008" customWidth="1"/>
    <col min="10240" max="10479" width="11.42578125" style="1008"/>
    <col min="10480" max="10480" width="2.28515625" style="1008" customWidth="1"/>
    <col min="10481" max="10481" width="2.7109375" style="1008" customWidth="1"/>
    <col min="10482" max="10482" width="2.42578125" style="1008" customWidth="1"/>
    <col min="10483" max="10483" width="17.7109375" style="1008" customWidth="1"/>
    <col min="10484" max="10484" width="1.5703125" style="1008" customWidth="1"/>
    <col min="10485" max="10485" width="6.42578125" style="1008" customWidth="1"/>
    <col min="10486" max="10486" width="13.140625" style="1008" customWidth="1"/>
    <col min="10487" max="10487" width="1" style="1008" customWidth="1"/>
    <col min="10488" max="10488" width="19.5703125" style="1008" customWidth="1"/>
    <col min="10489" max="10489" width="0.85546875" style="1008" customWidth="1"/>
    <col min="10490" max="10490" width="14.42578125" style="1008" customWidth="1"/>
    <col min="10491" max="10491" width="12.85546875" style="1008" customWidth="1"/>
    <col min="10492" max="10492" width="6.140625" style="1008" customWidth="1"/>
    <col min="10493" max="10494" width="11.42578125" style="1008"/>
    <col min="10495" max="10495" width="15.42578125" style="1008" customWidth="1"/>
    <col min="10496" max="10735" width="11.42578125" style="1008"/>
    <col min="10736" max="10736" width="2.28515625" style="1008" customWidth="1"/>
    <col min="10737" max="10737" width="2.7109375" style="1008" customWidth="1"/>
    <col min="10738" max="10738" width="2.42578125" style="1008" customWidth="1"/>
    <col min="10739" max="10739" width="17.7109375" style="1008" customWidth="1"/>
    <col min="10740" max="10740" width="1.5703125" style="1008" customWidth="1"/>
    <col min="10741" max="10741" width="6.42578125" style="1008" customWidth="1"/>
    <col min="10742" max="10742" width="13.140625" style="1008" customWidth="1"/>
    <col min="10743" max="10743" width="1" style="1008" customWidth="1"/>
    <col min="10744" max="10744" width="19.5703125" style="1008" customWidth="1"/>
    <col min="10745" max="10745" width="0.85546875" style="1008" customWidth="1"/>
    <col min="10746" max="10746" width="14.42578125" style="1008" customWidth="1"/>
    <col min="10747" max="10747" width="12.85546875" style="1008" customWidth="1"/>
    <col min="10748" max="10748" width="6.140625" style="1008" customWidth="1"/>
    <col min="10749" max="10750" width="11.42578125" style="1008"/>
    <col min="10751" max="10751" width="15.42578125" style="1008" customWidth="1"/>
    <col min="10752" max="10991" width="11.42578125" style="1008"/>
    <col min="10992" max="10992" width="2.28515625" style="1008" customWidth="1"/>
    <col min="10993" max="10993" width="2.7109375" style="1008" customWidth="1"/>
    <col min="10994" max="10994" width="2.42578125" style="1008" customWidth="1"/>
    <col min="10995" max="10995" width="17.7109375" style="1008" customWidth="1"/>
    <col min="10996" max="10996" width="1.5703125" style="1008" customWidth="1"/>
    <col min="10997" max="10997" width="6.42578125" style="1008" customWidth="1"/>
    <col min="10998" max="10998" width="13.140625" style="1008" customWidth="1"/>
    <col min="10999" max="10999" width="1" style="1008" customWidth="1"/>
    <col min="11000" max="11000" width="19.5703125" style="1008" customWidth="1"/>
    <col min="11001" max="11001" width="0.85546875" style="1008" customWidth="1"/>
    <col min="11002" max="11002" width="14.42578125" style="1008" customWidth="1"/>
    <col min="11003" max="11003" width="12.85546875" style="1008" customWidth="1"/>
    <col min="11004" max="11004" width="6.140625" style="1008" customWidth="1"/>
    <col min="11005" max="11006" width="11.42578125" style="1008"/>
    <col min="11007" max="11007" width="15.42578125" style="1008" customWidth="1"/>
    <col min="11008" max="11247" width="11.42578125" style="1008"/>
    <col min="11248" max="11248" width="2.28515625" style="1008" customWidth="1"/>
    <col min="11249" max="11249" width="2.7109375" style="1008" customWidth="1"/>
    <col min="11250" max="11250" width="2.42578125" style="1008" customWidth="1"/>
    <col min="11251" max="11251" width="17.7109375" style="1008" customWidth="1"/>
    <col min="11252" max="11252" width="1.5703125" style="1008" customWidth="1"/>
    <col min="11253" max="11253" width="6.42578125" style="1008" customWidth="1"/>
    <col min="11254" max="11254" width="13.140625" style="1008" customWidth="1"/>
    <col min="11255" max="11255" width="1" style="1008" customWidth="1"/>
    <col min="11256" max="11256" width="19.5703125" style="1008" customWidth="1"/>
    <col min="11257" max="11257" width="0.85546875" style="1008" customWidth="1"/>
    <col min="11258" max="11258" width="14.42578125" style="1008" customWidth="1"/>
    <col min="11259" max="11259" width="12.85546875" style="1008" customWidth="1"/>
    <col min="11260" max="11260" width="6.140625" style="1008" customWidth="1"/>
    <col min="11261" max="11262" width="11.42578125" style="1008"/>
    <col min="11263" max="11263" width="15.42578125" style="1008" customWidth="1"/>
    <col min="11264" max="11503" width="11.42578125" style="1008"/>
    <col min="11504" max="11504" width="2.28515625" style="1008" customWidth="1"/>
    <col min="11505" max="11505" width="2.7109375" style="1008" customWidth="1"/>
    <col min="11506" max="11506" width="2.42578125" style="1008" customWidth="1"/>
    <col min="11507" max="11507" width="17.7109375" style="1008" customWidth="1"/>
    <col min="11508" max="11508" width="1.5703125" style="1008" customWidth="1"/>
    <col min="11509" max="11509" width="6.42578125" style="1008" customWidth="1"/>
    <col min="11510" max="11510" width="13.140625" style="1008" customWidth="1"/>
    <col min="11511" max="11511" width="1" style="1008" customWidth="1"/>
    <col min="11512" max="11512" width="19.5703125" style="1008" customWidth="1"/>
    <col min="11513" max="11513" width="0.85546875" style="1008" customWidth="1"/>
    <col min="11514" max="11514" width="14.42578125" style="1008" customWidth="1"/>
    <col min="11515" max="11515" width="12.85546875" style="1008" customWidth="1"/>
    <col min="11516" max="11516" width="6.140625" style="1008" customWidth="1"/>
    <col min="11517" max="11518" width="11.42578125" style="1008"/>
    <col min="11519" max="11519" width="15.42578125" style="1008" customWidth="1"/>
    <col min="11520" max="11759" width="11.42578125" style="1008"/>
    <col min="11760" max="11760" width="2.28515625" style="1008" customWidth="1"/>
    <col min="11761" max="11761" width="2.7109375" style="1008" customWidth="1"/>
    <col min="11762" max="11762" width="2.42578125" style="1008" customWidth="1"/>
    <col min="11763" max="11763" width="17.7109375" style="1008" customWidth="1"/>
    <col min="11764" max="11764" width="1.5703125" style="1008" customWidth="1"/>
    <col min="11765" max="11765" width="6.42578125" style="1008" customWidth="1"/>
    <col min="11766" max="11766" width="13.140625" style="1008" customWidth="1"/>
    <col min="11767" max="11767" width="1" style="1008" customWidth="1"/>
    <col min="11768" max="11768" width="19.5703125" style="1008" customWidth="1"/>
    <col min="11769" max="11769" width="0.85546875" style="1008" customWidth="1"/>
    <col min="11770" max="11770" width="14.42578125" style="1008" customWidth="1"/>
    <col min="11771" max="11771" width="12.85546875" style="1008" customWidth="1"/>
    <col min="11772" max="11772" width="6.140625" style="1008" customWidth="1"/>
    <col min="11773" max="11774" width="11.42578125" style="1008"/>
    <col min="11775" max="11775" width="15.42578125" style="1008" customWidth="1"/>
    <col min="11776" max="12015" width="11.42578125" style="1008"/>
    <col min="12016" max="12016" width="2.28515625" style="1008" customWidth="1"/>
    <col min="12017" max="12017" width="2.7109375" style="1008" customWidth="1"/>
    <col min="12018" max="12018" width="2.42578125" style="1008" customWidth="1"/>
    <col min="12019" max="12019" width="17.7109375" style="1008" customWidth="1"/>
    <col min="12020" max="12020" width="1.5703125" style="1008" customWidth="1"/>
    <col min="12021" max="12021" width="6.42578125" style="1008" customWidth="1"/>
    <col min="12022" max="12022" width="13.140625" style="1008" customWidth="1"/>
    <col min="12023" max="12023" width="1" style="1008" customWidth="1"/>
    <col min="12024" max="12024" width="19.5703125" style="1008" customWidth="1"/>
    <col min="12025" max="12025" width="0.85546875" style="1008" customWidth="1"/>
    <col min="12026" max="12026" width="14.42578125" style="1008" customWidth="1"/>
    <col min="12027" max="12027" width="12.85546875" style="1008" customWidth="1"/>
    <col min="12028" max="12028" width="6.140625" style="1008" customWidth="1"/>
    <col min="12029" max="12030" width="11.42578125" style="1008"/>
    <col min="12031" max="12031" width="15.42578125" style="1008" customWidth="1"/>
    <col min="12032" max="12271" width="11.42578125" style="1008"/>
    <col min="12272" max="12272" width="2.28515625" style="1008" customWidth="1"/>
    <col min="12273" max="12273" width="2.7109375" style="1008" customWidth="1"/>
    <col min="12274" max="12274" width="2.42578125" style="1008" customWidth="1"/>
    <col min="12275" max="12275" width="17.7109375" style="1008" customWidth="1"/>
    <col min="12276" max="12276" width="1.5703125" style="1008" customWidth="1"/>
    <col min="12277" max="12277" width="6.42578125" style="1008" customWidth="1"/>
    <col min="12278" max="12278" width="13.140625" style="1008" customWidth="1"/>
    <col min="12279" max="12279" width="1" style="1008" customWidth="1"/>
    <col min="12280" max="12280" width="19.5703125" style="1008" customWidth="1"/>
    <col min="12281" max="12281" width="0.85546875" style="1008" customWidth="1"/>
    <col min="12282" max="12282" width="14.42578125" style="1008" customWidth="1"/>
    <col min="12283" max="12283" width="12.85546875" style="1008" customWidth="1"/>
    <col min="12284" max="12284" width="6.140625" style="1008" customWidth="1"/>
    <col min="12285" max="12286" width="11.42578125" style="1008"/>
    <col min="12287" max="12287" width="15.42578125" style="1008" customWidth="1"/>
    <col min="12288" max="12527" width="11.42578125" style="1008"/>
    <col min="12528" max="12528" width="2.28515625" style="1008" customWidth="1"/>
    <col min="12529" max="12529" width="2.7109375" style="1008" customWidth="1"/>
    <col min="12530" max="12530" width="2.42578125" style="1008" customWidth="1"/>
    <col min="12531" max="12531" width="17.7109375" style="1008" customWidth="1"/>
    <col min="12532" max="12532" width="1.5703125" style="1008" customWidth="1"/>
    <col min="12533" max="12533" width="6.42578125" style="1008" customWidth="1"/>
    <col min="12534" max="12534" width="13.140625" style="1008" customWidth="1"/>
    <col min="12535" max="12535" width="1" style="1008" customWidth="1"/>
    <col min="12536" max="12536" width="19.5703125" style="1008" customWidth="1"/>
    <col min="12537" max="12537" width="0.85546875" style="1008" customWidth="1"/>
    <col min="12538" max="12538" width="14.42578125" style="1008" customWidth="1"/>
    <col min="12539" max="12539" width="12.85546875" style="1008" customWidth="1"/>
    <col min="12540" max="12540" width="6.140625" style="1008" customWidth="1"/>
    <col min="12541" max="12542" width="11.42578125" style="1008"/>
    <col min="12543" max="12543" width="15.42578125" style="1008" customWidth="1"/>
    <col min="12544" max="12783" width="11.42578125" style="1008"/>
    <col min="12784" max="12784" width="2.28515625" style="1008" customWidth="1"/>
    <col min="12785" max="12785" width="2.7109375" style="1008" customWidth="1"/>
    <col min="12786" max="12786" width="2.42578125" style="1008" customWidth="1"/>
    <col min="12787" max="12787" width="17.7109375" style="1008" customWidth="1"/>
    <col min="12788" max="12788" width="1.5703125" style="1008" customWidth="1"/>
    <col min="12789" max="12789" width="6.42578125" style="1008" customWidth="1"/>
    <col min="12790" max="12790" width="13.140625" style="1008" customWidth="1"/>
    <col min="12791" max="12791" width="1" style="1008" customWidth="1"/>
    <col min="12792" max="12792" width="19.5703125" style="1008" customWidth="1"/>
    <col min="12793" max="12793" width="0.85546875" style="1008" customWidth="1"/>
    <col min="12794" max="12794" width="14.42578125" style="1008" customWidth="1"/>
    <col min="12795" max="12795" width="12.85546875" style="1008" customWidth="1"/>
    <col min="12796" max="12796" width="6.140625" style="1008" customWidth="1"/>
    <col min="12797" max="12798" width="11.42578125" style="1008"/>
    <col min="12799" max="12799" width="15.42578125" style="1008" customWidth="1"/>
    <col min="12800" max="13039" width="11.42578125" style="1008"/>
    <col min="13040" max="13040" width="2.28515625" style="1008" customWidth="1"/>
    <col min="13041" max="13041" width="2.7109375" style="1008" customWidth="1"/>
    <col min="13042" max="13042" width="2.42578125" style="1008" customWidth="1"/>
    <col min="13043" max="13043" width="17.7109375" style="1008" customWidth="1"/>
    <col min="13044" max="13044" width="1.5703125" style="1008" customWidth="1"/>
    <col min="13045" max="13045" width="6.42578125" style="1008" customWidth="1"/>
    <col min="13046" max="13046" width="13.140625" style="1008" customWidth="1"/>
    <col min="13047" max="13047" width="1" style="1008" customWidth="1"/>
    <col min="13048" max="13048" width="19.5703125" style="1008" customWidth="1"/>
    <col min="13049" max="13049" width="0.85546875" style="1008" customWidth="1"/>
    <col min="13050" max="13050" width="14.42578125" style="1008" customWidth="1"/>
    <col min="13051" max="13051" width="12.85546875" style="1008" customWidth="1"/>
    <col min="13052" max="13052" width="6.140625" style="1008" customWidth="1"/>
    <col min="13053" max="13054" width="11.42578125" style="1008"/>
    <col min="13055" max="13055" width="15.42578125" style="1008" customWidth="1"/>
    <col min="13056" max="13295" width="11.42578125" style="1008"/>
    <col min="13296" max="13296" width="2.28515625" style="1008" customWidth="1"/>
    <col min="13297" max="13297" width="2.7109375" style="1008" customWidth="1"/>
    <col min="13298" max="13298" width="2.42578125" style="1008" customWidth="1"/>
    <col min="13299" max="13299" width="17.7109375" style="1008" customWidth="1"/>
    <col min="13300" max="13300" width="1.5703125" style="1008" customWidth="1"/>
    <col min="13301" max="13301" width="6.42578125" style="1008" customWidth="1"/>
    <col min="13302" max="13302" width="13.140625" style="1008" customWidth="1"/>
    <col min="13303" max="13303" width="1" style="1008" customWidth="1"/>
    <col min="13304" max="13304" width="19.5703125" style="1008" customWidth="1"/>
    <col min="13305" max="13305" width="0.85546875" style="1008" customWidth="1"/>
    <col min="13306" max="13306" width="14.42578125" style="1008" customWidth="1"/>
    <col min="13307" max="13307" width="12.85546875" style="1008" customWidth="1"/>
    <col min="13308" max="13308" width="6.140625" style="1008" customWidth="1"/>
    <col min="13309" max="13310" width="11.42578125" style="1008"/>
    <col min="13311" max="13311" width="15.42578125" style="1008" customWidth="1"/>
    <col min="13312" max="13551" width="11.42578125" style="1008"/>
    <col min="13552" max="13552" width="2.28515625" style="1008" customWidth="1"/>
    <col min="13553" max="13553" width="2.7109375" style="1008" customWidth="1"/>
    <col min="13554" max="13554" width="2.42578125" style="1008" customWidth="1"/>
    <col min="13555" max="13555" width="17.7109375" style="1008" customWidth="1"/>
    <col min="13556" max="13556" width="1.5703125" style="1008" customWidth="1"/>
    <col min="13557" max="13557" width="6.42578125" style="1008" customWidth="1"/>
    <col min="13558" max="13558" width="13.140625" style="1008" customWidth="1"/>
    <col min="13559" max="13559" width="1" style="1008" customWidth="1"/>
    <col min="13560" max="13560" width="19.5703125" style="1008" customWidth="1"/>
    <col min="13561" max="13561" width="0.85546875" style="1008" customWidth="1"/>
    <col min="13562" max="13562" width="14.42578125" style="1008" customWidth="1"/>
    <col min="13563" max="13563" width="12.85546875" style="1008" customWidth="1"/>
    <col min="13564" max="13564" width="6.140625" style="1008" customWidth="1"/>
    <col min="13565" max="13566" width="11.42578125" style="1008"/>
    <col min="13567" max="13567" width="15.42578125" style="1008" customWidth="1"/>
    <col min="13568" max="13807" width="11.42578125" style="1008"/>
    <col min="13808" max="13808" width="2.28515625" style="1008" customWidth="1"/>
    <col min="13809" max="13809" width="2.7109375" style="1008" customWidth="1"/>
    <col min="13810" max="13810" width="2.42578125" style="1008" customWidth="1"/>
    <col min="13811" max="13811" width="17.7109375" style="1008" customWidth="1"/>
    <col min="13812" max="13812" width="1.5703125" style="1008" customWidth="1"/>
    <col min="13813" max="13813" width="6.42578125" style="1008" customWidth="1"/>
    <col min="13814" max="13814" width="13.140625" style="1008" customWidth="1"/>
    <col min="13815" max="13815" width="1" style="1008" customWidth="1"/>
    <col min="13816" max="13816" width="19.5703125" style="1008" customWidth="1"/>
    <col min="13817" max="13817" width="0.85546875" style="1008" customWidth="1"/>
    <col min="13818" max="13818" width="14.42578125" style="1008" customWidth="1"/>
    <col min="13819" max="13819" width="12.85546875" style="1008" customWidth="1"/>
    <col min="13820" max="13820" width="6.140625" style="1008" customWidth="1"/>
    <col min="13821" max="13822" width="11.42578125" style="1008"/>
    <col min="13823" max="13823" width="15.42578125" style="1008" customWidth="1"/>
    <col min="13824" max="14063" width="11.42578125" style="1008"/>
    <col min="14064" max="14064" width="2.28515625" style="1008" customWidth="1"/>
    <col min="14065" max="14065" width="2.7109375" style="1008" customWidth="1"/>
    <col min="14066" max="14066" width="2.42578125" style="1008" customWidth="1"/>
    <col min="14067" max="14067" width="17.7109375" style="1008" customWidth="1"/>
    <col min="14068" max="14068" width="1.5703125" style="1008" customWidth="1"/>
    <col min="14069" max="14069" width="6.42578125" style="1008" customWidth="1"/>
    <col min="14070" max="14070" width="13.140625" style="1008" customWidth="1"/>
    <col min="14071" max="14071" width="1" style="1008" customWidth="1"/>
    <col min="14072" max="14072" width="19.5703125" style="1008" customWidth="1"/>
    <col min="14073" max="14073" width="0.85546875" style="1008" customWidth="1"/>
    <col min="14074" max="14074" width="14.42578125" style="1008" customWidth="1"/>
    <col min="14075" max="14075" width="12.85546875" style="1008" customWidth="1"/>
    <col min="14076" max="14076" width="6.140625" style="1008" customWidth="1"/>
    <col min="14077" max="14078" width="11.42578125" style="1008"/>
    <col min="14079" max="14079" width="15.42578125" style="1008" customWidth="1"/>
    <col min="14080" max="14319" width="11.42578125" style="1008"/>
    <col min="14320" max="14320" width="2.28515625" style="1008" customWidth="1"/>
    <col min="14321" max="14321" width="2.7109375" style="1008" customWidth="1"/>
    <col min="14322" max="14322" width="2.42578125" style="1008" customWidth="1"/>
    <col min="14323" max="14323" width="17.7109375" style="1008" customWidth="1"/>
    <col min="14324" max="14324" width="1.5703125" style="1008" customWidth="1"/>
    <col min="14325" max="14325" width="6.42578125" style="1008" customWidth="1"/>
    <col min="14326" max="14326" width="13.140625" style="1008" customWidth="1"/>
    <col min="14327" max="14327" width="1" style="1008" customWidth="1"/>
    <col min="14328" max="14328" width="19.5703125" style="1008" customWidth="1"/>
    <col min="14329" max="14329" width="0.85546875" style="1008" customWidth="1"/>
    <col min="14330" max="14330" width="14.42578125" style="1008" customWidth="1"/>
    <col min="14331" max="14331" width="12.85546875" style="1008" customWidth="1"/>
    <col min="14332" max="14332" width="6.140625" style="1008" customWidth="1"/>
    <col min="14333" max="14334" width="11.42578125" style="1008"/>
    <col min="14335" max="14335" width="15.42578125" style="1008" customWidth="1"/>
    <col min="14336" max="14575" width="11.42578125" style="1008"/>
    <col min="14576" max="14576" width="2.28515625" style="1008" customWidth="1"/>
    <col min="14577" max="14577" width="2.7109375" style="1008" customWidth="1"/>
    <col min="14578" max="14578" width="2.42578125" style="1008" customWidth="1"/>
    <col min="14579" max="14579" width="17.7109375" style="1008" customWidth="1"/>
    <col min="14580" max="14580" width="1.5703125" style="1008" customWidth="1"/>
    <col min="14581" max="14581" width="6.42578125" style="1008" customWidth="1"/>
    <col min="14582" max="14582" width="13.140625" style="1008" customWidth="1"/>
    <col min="14583" max="14583" width="1" style="1008" customWidth="1"/>
    <col min="14584" max="14584" width="19.5703125" style="1008" customWidth="1"/>
    <col min="14585" max="14585" width="0.85546875" style="1008" customWidth="1"/>
    <col min="14586" max="14586" width="14.42578125" style="1008" customWidth="1"/>
    <col min="14587" max="14587" width="12.85546875" style="1008" customWidth="1"/>
    <col min="14588" max="14588" width="6.140625" style="1008" customWidth="1"/>
    <col min="14589" max="14590" width="11.42578125" style="1008"/>
    <col min="14591" max="14591" width="15.42578125" style="1008" customWidth="1"/>
    <col min="14592" max="14831" width="11.42578125" style="1008"/>
    <col min="14832" max="14832" width="2.28515625" style="1008" customWidth="1"/>
    <col min="14833" max="14833" width="2.7109375" style="1008" customWidth="1"/>
    <col min="14834" max="14834" width="2.42578125" style="1008" customWidth="1"/>
    <col min="14835" max="14835" width="17.7109375" style="1008" customWidth="1"/>
    <col min="14836" max="14836" width="1.5703125" style="1008" customWidth="1"/>
    <col min="14837" max="14837" width="6.42578125" style="1008" customWidth="1"/>
    <col min="14838" max="14838" width="13.140625" style="1008" customWidth="1"/>
    <col min="14839" max="14839" width="1" style="1008" customWidth="1"/>
    <col min="14840" max="14840" width="19.5703125" style="1008" customWidth="1"/>
    <col min="14841" max="14841" width="0.85546875" style="1008" customWidth="1"/>
    <col min="14842" max="14842" width="14.42578125" style="1008" customWidth="1"/>
    <col min="14843" max="14843" width="12.85546875" style="1008" customWidth="1"/>
    <col min="14844" max="14844" width="6.140625" style="1008" customWidth="1"/>
    <col min="14845" max="14846" width="11.42578125" style="1008"/>
    <col min="14847" max="14847" width="15.42578125" style="1008" customWidth="1"/>
    <col min="14848" max="15087" width="11.42578125" style="1008"/>
    <col min="15088" max="15088" width="2.28515625" style="1008" customWidth="1"/>
    <col min="15089" max="15089" width="2.7109375" style="1008" customWidth="1"/>
    <col min="15090" max="15090" width="2.42578125" style="1008" customWidth="1"/>
    <col min="15091" max="15091" width="17.7109375" style="1008" customWidth="1"/>
    <col min="15092" max="15092" width="1.5703125" style="1008" customWidth="1"/>
    <col min="15093" max="15093" width="6.42578125" style="1008" customWidth="1"/>
    <col min="15094" max="15094" width="13.140625" style="1008" customWidth="1"/>
    <col min="15095" max="15095" width="1" style="1008" customWidth="1"/>
    <col min="15096" max="15096" width="19.5703125" style="1008" customWidth="1"/>
    <col min="15097" max="15097" width="0.85546875" style="1008" customWidth="1"/>
    <col min="15098" max="15098" width="14.42578125" style="1008" customWidth="1"/>
    <col min="15099" max="15099" width="12.85546875" style="1008" customWidth="1"/>
    <col min="15100" max="15100" width="6.140625" style="1008" customWidth="1"/>
    <col min="15101" max="15102" width="11.42578125" style="1008"/>
    <col min="15103" max="15103" width="15.42578125" style="1008" customWidth="1"/>
    <col min="15104" max="15343" width="11.42578125" style="1008"/>
    <col min="15344" max="15344" width="2.28515625" style="1008" customWidth="1"/>
    <col min="15345" max="15345" width="2.7109375" style="1008" customWidth="1"/>
    <col min="15346" max="15346" width="2.42578125" style="1008" customWidth="1"/>
    <col min="15347" max="15347" width="17.7109375" style="1008" customWidth="1"/>
    <col min="15348" max="15348" width="1.5703125" style="1008" customWidth="1"/>
    <col min="15349" max="15349" width="6.42578125" style="1008" customWidth="1"/>
    <col min="15350" max="15350" width="13.140625" style="1008" customWidth="1"/>
    <col min="15351" max="15351" width="1" style="1008" customWidth="1"/>
    <col min="15352" max="15352" width="19.5703125" style="1008" customWidth="1"/>
    <col min="15353" max="15353" width="0.85546875" style="1008" customWidth="1"/>
    <col min="15354" max="15354" width="14.42578125" style="1008" customWidth="1"/>
    <col min="15355" max="15355" width="12.85546875" style="1008" customWidth="1"/>
    <col min="15356" max="15356" width="6.140625" style="1008" customWidth="1"/>
    <col min="15357" max="15358" width="11.42578125" style="1008"/>
    <col min="15359" max="15359" width="15.42578125" style="1008" customWidth="1"/>
    <col min="15360" max="15599" width="11.42578125" style="1008"/>
    <col min="15600" max="15600" width="2.28515625" style="1008" customWidth="1"/>
    <col min="15601" max="15601" width="2.7109375" style="1008" customWidth="1"/>
    <col min="15602" max="15602" width="2.42578125" style="1008" customWidth="1"/>
    <col min="15603" max="15603" width="17.7109375" style="1008" customWidth="1"/>
    <col min="15604" max="15604" width="1.5703125" style="1008" customWidth="1"/>
    <col min="15605" max="15605" width="6.42578125" style="1008" customWidth="1"/>
    <col min="15606" max="15606" width="13.140625" style="1008" customWidth="1"/>
    <col min="15607" max="15607" width="1" style="1008" customWidth="1"/>
    <col min="15608" max="15608" width="19.5703125" style="1008" customWidth="1"/>
    <col min="15609" max="15609" width="0.85546875" style="1008" customWidth="1"/>
    <col min="15610" max="15610" width="14.42578125" style="1008" customWidth="1"/>
    <col min="15611" max="15611" width="12.85546875" style="1008" customWidth="1"/>
    <col min="15612" max="15612" width="6.140625" style="1008" customWidth="1"/>
    <col min="15613" max="15614" width="11.42578125" style="1008"/>
    <col min="15615" max="15615" width="15.42578125" style="1008" customWidth="1"/>
    <col min="15616" max="15855" width="11.42578125" style="1008"/>
    <col min="15856" max="15856" width="2.28515625" style="1008" customWidth="1"/>
    <col min="15857" max="15857" width="2.7109375" style="1008" customWidth="1"/>
    <col min="15858" max="15858" width="2.42578125" style="1008" customWidth="1"/>
    <col min="15859" max="15859" width="17.7109375" style="1008" customWidth="1"/>
    <col min="15860" max="15860" width="1.5703125" style="1008" customWidth="1"/>
    <col min="15861" max="15861" width="6.42578125" style="1008" customWidth="1"/>
    <col min="15862" max="15862" width="13.140625" style="1008" customWidth="1"/>
    <col min="15863" max="15863" width="1" style="1008" customWidth="1"/>
    <col min="15864" max="15864" width="19.5703125" style="1008" customWidth="1"/>
    <col min="15865" max="15865" width="0.85546875" style="1008" customWidth="1"/>
    <col min="15866" max="15866" width="14.42578125" style="1008" customWidth="1"/>
    <col min="15867" max="15867" width="12.85546875" style="1008" customWidth="1"/>
    <col min="15868" max="15868" width="6.140625" style="1008" customWidth="1"/>
    <col min="15869" max="15870" width="11.42578125" style="1008"/>
    <col min="15871" max="15871" width="15.42578125" style="1008" customWidth="1"/>
    <col min="15872" max="16111" width="11.42578125" style="1008"/>
    <col min="16112" max="16112" width="2.28515625" style="1008" customWidth="1"/>
    <col min="16113" max="16113" width="2.7109375" style="1008" customWidth="1"/>
    <col min="16114" max="16114" width="2.42578125" style="1008" customWidth="1"/>
    <col min="16115" max="16115" width="17.7109375" style="1008" customWidth="1"/>
    <col min="16116" max="16116" width="1.5703125" style="1008" customWidth="1"/>
    <col min="16117" max="16117" width="6.42578125" style="1008" customWidth="1"/>
    <col min="16118" max="16118" width="13.140625" style="1008" customWidth="1"/>
    <col min="16119" max="16119" width="1" style="1008" customWidth="1"/>
    <col min="16120" max="16120" width="19.5703125" style="1008" customWidth="1"/>
    <col min="16121" max="16121" width="0.85546875" style="1008" customWidth="1"/>
    <col min="16122" max="16122" width="14.42578125" style="1008" customWidth="1"/>
    <col min="16123" max="16123" width="12.85546875" style="1008" customWidth="1"/>
    <col min="16124" max="16124" width="6.140625" style="1008" customWidth="1"/>
    <col min="16125" max="16126" width="11.42578125" style="1008"/>
    <col min="16127" max="16127" width="15.42578125" style="1008" customWidth="1"/>
    <col min="16128" max="16384" width="11.42578125" style="1008"/>
  </cols>
  <sheetData>
    <row r="1" spans="1:20" ht="9" hidden="1" customHeight="1" x14ac:dyDescent="0.2"/>
    <row r="2" spans="1:20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1"/>
    </row>
    <row r="3" spans="1:20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4"/>
    </row>
    <row r="4" spans="1:20" ht="16.5" thickTop="1" x14ac:dyDescent="0.25">
      <c r="A4" s="2875" t="str">
        <f>"CERTIFICADO DE CALIBRACIÓN N° "&amp;"LSCD "&amp;'F-LSCD-012'!C25</f>
        <v>CERTIFICADO DE CALIBRACIÓN N° LSCD 029-2021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7"/>
    </row>
    <row r="5" spans="1:20" ht="15.75" x14ac:dyDescent="0.2">
      <c r="A5" s="2878" t="s">
        <v>253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80"/>
    </row>
    <row r="6" spans="1:20" ht="15.75" x14ac:dyDescent="0.2">
      <c r="A6" s="2881" t="s">
        <v>1119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79"/>
      <c r="S6" s="2879"/>
      <c r="T6" s="2880"/>
    </row>
    <row r="7" spans="1:20" ht="7.5" customHeight="1" x14ac:dyDescent="0.2">
      <c r="A7" s="2885"/>
      <c r="B7" s="2886"/>
      <c r="C7" s="2886"/>
      <c r="D7" s="2886"/>
      <c r="E7" s="2886"/>
      <c r="F7" s="2886"/>
      <c r="G7" s="2886"/>
      <c r="H7" s="2886"/>
      <c r="I7" s="2886"/>
      <c r="J7" s="2886"/>
      <c r="K7" s="2886"/>
      <c r="L7" s="2886"/>
      <c r="M7" s="2886"/>
      <c r="N7" s="2886"/>
      <c r="O7" s="2886"/>
      <c r="P7" s="2886"/>
      <c r="Q7" s="2886"/>
      <c r="R7" s="2886"/>
      <c r="S7" s="2886"/>
      <c r="T7" s="2887"/>
    </row>
    <row r="8" spans="1:20" ht="13.5" customHeight="1" x14ac:dyDescent="0.2">
      <c r="A8" s="1009"/>
      <c r="B8" s="166" t="s">
        <v>1105</v>
      </c>
      <c r="D8" s="1010" t="s">
        <v>218</v>
      </c>
      <c r="E8" s="1008" t="str">
        <f>'F-LSCD-012'!C7</f>
        <v>ALEPH SAC</v>
      </c>
      <c r="Q8" s="1018"/>
      <c r="R8" s="1019"/>
      <c r="S8" s="1019"/>
      <c r="T8" s="1011"/>
    </row>
    <row r="9" spans="1:20" x14ac:dyDescent="0.2">
      <c r="A9" s="1009"/>
      <c r="E9" s="2882" t="str">
        <f>'F-LSCD-012'!C8</f>
        <v>Av. Rafael Escardo 154</v>
      </c>
      <c r="F9" s="2882"/>
      <c r="G9" s="2882"/>
      <c r="H9" s="2882"/>
      <c r="I9" s="2882"/>
      <c r="J9" s="2882"/>
      <c r="K9" s="2882"/>
      <c r="L9" s="2882"/>
      <c r="M9" s="2882"/>
      <c r="N9" s="2882"/>
      <c r="O9" s="2882"/>
      <c r="Q9" s="2902" t="s">
        <v>221</v>
      </c>
      <c r="R9" s="2930"/>
      <c r="S9" s="2930"/>
      <c r="T9" s="1011"/>
    </row>
    <row r="10" spans="1:20" x14ac:dyDescent="0.2">
      <c r="A10" s="1009"/>
      <c r="E10" s="1008" t="str">
        <f>'F-LSCD-012'!I8&amp;", "&amp;'F-LSCD-012'!L8&amp;", "&amp;'F-LSCD-012'!P8&amp;", "&amp;'F-LSCD-012'!T8</f>
        <v>San Miguel, Lima, Lima, Perú</v>
      </c>
      <c r="Q10" s="2902"/>
      <c r="R10" s="2930"/>
      <c r="S10" s="2930"/>
      <c r="T10" s="1011"/>
    </row>
    <row r="11" spans="1:20" ht="6.75" customHeight="1" x14ac:dyDescent="0.2">
      <c r="A11" s="1009"/>
      <c r="Q11" s="2902"/>
      <c r="R11" s="2930"/>
      <c r="S11" s="2930"/>
      <c r="T11" s="1011"/>
    </row>
    <row r="12" spans="1:20" x14ac:dyDescent="0.2">
      <c r="A12" s="1009"/>
      <c r="B12" s="166" t="s">
        <v>1106</v>
      </c>
      <c r="D12" s="1010" t="s">
        <v>218</v>
      </c>
      <c r="E12" s="1012" t="str">
        <f>'F-LSCD-012'!C6</f>
        <v>OT 111-12925</v>
      </c>
      <c r="F12" s="1013"/>
      <c r="G12" s="1013"/>
      <c r="H12" s="1013"/>
      <c r="I12" s="1013"/>
      <c r="J12" s="1013"/>
      <c r="K12" s="1013"/>
      <c r="L12" s="1013"/>
      <c r="M12" s="1014"/>
      <c r="N12" s="1014"/>
      <c r="O12" s="1014"/>
      <c r="P12" s="1016"/>
      <c r="Q12" s="2902"/>
      <c r="R12" s="2930"/>
      <c r="S12" s="2930"/>
      <c r="T12" s="1011"/>
    </row>
    <row r="13" spans="1:20" ht="6.75" customHeight="1" x14ac:dyDescent="0.2">
      <c r="A13" s="1009"/>
      <c r="Q13" s="2902"/>
      <c r="R13" s="2930"/>
      <c r="S13" s="2930"/>
      <c r="T13" s="1011"/>
    </row>
    <row r="14" spans="1:20" x14ac:dyDescent="0.2">
      <c r="A14" s="1009"/>
      <c r="B14" s="166" t="s">
        <v>1123</v>
      </c>
      <c r="D14" s="1010" t="s">
        <v>218</v>
      </c>
      <c r="E14" s="1448" t="s">
        <v>1134</v>
      </c>
      <c r="F14" s="1688"/>
      <c r="G14" s="1688"/>
      <c r="H14" s="1688"/>
      <c r="I14" s="1688"/>
      <c r="J14" s="1688"/>
      <c r="K14" s="1688"/>
      <c r="L14" s="1688"/>
      <c r="M14" s="1688"/>
      <c r="N14" s="1688"/>
      <c r="O14" s="1688"/>
      <c r="P14" s="1017"/>
      <c r="Q14" s="1018"/>
      <c r="R14" s="1019"/>
      <c r="S14" s="1019"/>
      <c r="T14" s="1011"/>
    </row>
    <row r="15" spans="1:20" ht="6" customHeight="1" x14ac:dyDescent="0.2">
      <c r="A15" s="1009"/>
      <c r="B15" s="1010"/>
      <c r="D15" s="1010"/>
      <c r="E15" s="1688"/>
      <c r="F15" s="1688"/>
      <c r="G15" s="1688"/>
      <c r="H15" s="1688"/>
      <c r="I15" s="1688"/>
      <c r="J15" s="1688"/>
      <c r="K15" s="1688"/>
      <c r="L15" s="1688"/>
      <c r="M15" s="1688"/>
      <c r="N15" s="1688"/>
      <c r="O15" s="1688"/>
      <c r="P15" s="1017"/>
      <c r="Q15" s="2906" t="s">
        <v>225</v>
      </c>
      <c r="R15" s="2907"/>
      <c r="S15" s="2907"/>
      <c r="T15" s="1011"/>
    </row>
    <row r="16" spans="1:20" ht="12.75" customHeight="1" x14ac:dyDescent="0.2">
      <c r="A16" s="1009"/>
      <c r="B16" s="166" t="s">
        <v>1124</v>
      </c>
      <c r="D16" s="1010" t="s">
        <v>218</v>
      </c>
      <c r="E16" s="2883" t="str">
        <f>'F-LSCD-012'!C9</f>
        <v>Monitor de radiación (digital)</v>
      </c>
      <c r="F16" s="2883"/>
      <c r="G16" s="2883"/>
      <c r="H16" s="2883"/>
      <c r="I16" s="2883"/>
      <c r="J16" s="2883"/>
      <c r="K16" s="2883"/>
      <c r="L16" s="2883"/>
      <c r="M16" s="2883"/>
      <c r="N16" s="2883"/>
      <c r="O16" s="2883"/>
      <c r="P16" s="1017"/>
      <c r="Q16" s="2906"/>
      <c r="R16" s="2907"/>
      <c r="S16" s="2907"/>
      <c r="T16" s="1011"/>
    </row>
    <row r="17" spans="1:20" x14ac:dyDescent="0.2">
      <c r="A17" s="1009"/>
      <c r="B17" s="1010"/>
      <c r="D17" s="1010"/>
      <c r="E17" s="2884" t="str">
        <f>IF('F-LSCD-012'!C13="-","Marca monitor: "&amp;'F-LSCD-012'!C10,"Marca monitor: "&amp;'F-LSCD-012'!C10&amp;" / Marca sonda: "&amp;'F-LSCD-012'!C13)</f>
        <v>Marca monitor: MGP</v>
      </c>
      <c r="F17" s="2884"/>
      <c r="G17" s="2884"/>
      <c r="H17" s="2884"/>
      <c r="I17" s="2884"/>
      <c r="J17" s="2884"/>
      <c r="K17" s="2884"/>
      <c r="L17" s="2884"/>
      <c r="M17" s="2884"/>
      <c r="N17" s="2884"/>
      <c r="O17" s="2884"/>
      <c r="P17" s="1017"/>
      <c r="Q17" s="2906"/>
      <c r="R17" s="2907"/>
      <c r="S17" s="2907"/>
      <c r="T17" s="1011"/>
    </row>
    <row r="18" spans="1:20" ht="12" customHeight="1" x14ac:dyDescent="0.2">
      <c r="A18" s="1009"/>
      <c r="B18" s="1010"/>
      <c r="D18" s="1010"/>
      <c r="E18" s="2883" t="str">
        <f>IF('F-LSCD-012'!C13="-","Modelo monitor: "&amp;'F-LSCD-012'!C11,"Modelo monitor: "&amp;'F-LSCD-012'!C11&amp;" / Modelo sonda: "&amp;'F-LSCD-012'!C14)</f>
        <v>Modelo monitor: DMC 2000S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2883"/>
      <c r="P18" s="1017"/>
      <c r="Q18" s="2906"/>
      <c r="R18" s="2907"/>
      <c r="S18" s="2907"/>
      <c r="T18" s="1011"/>
    </row>
    <row r="19" spans="1:20" ht="12" customHeight="1" x14ac:dyDescent="0.2">
      <c r="A19" s="1009"/>
      <c r="B19" s="1010"/>
      <c r="D19" s="1010"/>
      <c r="E19" s="2883" t="str">
        <f>IF('F-LSCD-012'!C13="-","Serie monitor: "&amp;'F-LSCD-012'!C12,"Serie monitor: "&amp;'F-LSCD-012'!C12&amp;" / Serie sonda: "&amp;'F-LSCD-012'!C15)</f>
        <v>Serie monitor: 690384T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2883"/>
      <c r="P19" s="1017"/>
      <c r="Q19" s="2906"/>
      <c r="R19" s="2907"/>
      <c r="S19" s="2907"/>
      <c r="T19" s="1011"/>
    </row>
    <row r="20" spans="1:20" ht="5.25" customHeight="1" x14ac:dyDescent="0.2">
      <c r="A20" s="1009"/>
      <c r="B20" s="1010"/>
      <c r="D20" s="1010"/>
      <c r="E20" s="2883"/>
      <c r="F20" s="2883"/>
      <c r="G20" s="2883"/>
      <c r="H20" s="2883"/>
      <c r="I20" s="2883"/>
      <c r="J20" s="2883"/>
      <c r="K20" s="2883"/>
      <c r="L20" s="2883"/>
      <c r="M20" s="2883"/>
      <c r="N20" s="2883"/>
      <c r="O20" s="2883"/>
      <c r="P20" s="1017"/>
      <c r="Q20" s="2906"/>
      <c r="R20" s="2907"/>
      <c r="S20" s="2907"/>
      <c r="T20" s="1011"/>
    </row>
    <row r="21" spans="1:20" x14ac:dyDescent="0.2">
      <c r="A21" s="1009"/>
      <c r="B21" s="175" t="s">
        <v>1125</v>
      </c>
      <c r="D21" s="175" t="s">
        <v>218</v>
      </c>
      <c r="E21" s="2908" t="str">
        <f>'F-LSCD-012'!C19</f>
        <v>Campo de radiación calibrado usando un fantoma, según ISO 4037-3 (2019), aplicado al PROC-LSCD-012 Calibración de dosímetros personales (versión 05)</v>
      </c>
      <c r="F21" s="2908"/>
      <c r="G21" s="2908"/>
      <c r="H21" s="2908"/>
      <c r="I21" s="2908"/>
      <c r="J21" s="2908"/>
      <c r="K21" s="2908"/>
      <c r="L21" s="2908"/>
      <c r="M21" s="2908"/>
      <c r="N21" s="2908"/>
      <c r="O21" s="2908"/>
      <c r="P21" s="1021"/>
      <c r="Q21" s="2906"/>
      <c r="R21" s="2907"/>
      <c r="S21" s="2907"/>
      <c r="T21" s="1011"/>
    </row>
    <row r="22" spans="1:20" ht="27.75" customHeight="1" x14ac:dyDescent="0.2">
      <c r="A22" s="1009"/>
      <c r="E22" s="2908"/>
      <c r="F22" s="2908"/>
      <c r="G22" s="2908"/>
      <c r="H22" s="2908"/>
      <c r="I22" s="2908"/>
      <c r="J22" s="2908"/>
      <c r="K22" s="2908"/>
      <c r="L22" s="2908"/>
      <c r="M22" s="2908"/>
      <c r="N22" s="2908"/>
      <c r="O22" s="2908"/>
      <c r="P22" s="1021"/>
      <c r="Q22" s="2906"/>
      <c r="R22" s="2907"/>
      <c r="S22" s="2907"/>
      <c r="T22" s="1011"/>
    </row>
    <row r="23" spans="1:20" x14ac:dyDescent="0.2">
      <c r="A23" s="1009"/>
      <c r="E23" s="1021"/>
      <c r="F23" s="1021"/>
      <c r="G23" s="1021"/>
      <c r="H23" s="1021"/>
      <c r="I23" s="1021"/>
      <c r="J23" s="1021"/>
      <c r="K23" s="1021"/>
      <c r="L23" s="1021"/>
      <c r="M23" s="1021"/>
      <c r="N23" s="1021"/>
      <c r="O23" s="1021"/>
      <c r="P23" s="1021"/>
      <c r="Q23" s="2906"/>
      <c r="R23" s="2907"/>
      <c r="S23" s="2907"/>
      <c r="T23" s="1011"/>
    </row>
    <row r="24" spans="1:20" ht="39.75" customHeight="1" x14ac:dyDescent="0.2">
      <c r="A24" s="1009"/>
      <c r="B24" s="170" t="s">
        <v>1126</v>
      </c>
      <c r="D24" s="1272" t="s">
        <v>218</v>
      </c>
      <c r="E24" s="2908" t="str">
        <f>'F-LSCD-012'!C20</f>
        <v>Cámara de ionización patrón de 1 L , marca: PTW; modelo: TN32002; serie: 000568; Reporte de calibración de Kerma en aire DG: 13580-21 con fecha 2021-04-01 (NIST); trazable al NIST.</v>
      </c>
      <c r="F24" s="2908"/>
      <c r="G24" s="2908"/>
      <c r="H24" s="2908"/>
      <c r="I24" s="2908"/>
      <c r="J24" s="2908"/>
      <c r="K24" s="2908"/>
      <c r="L24" s="2908"/>
      <c r="M24" s="2908"/>
      <c r="N24" s="2908"/>
      <c r="O24" s="2908"/>
      <c r="P24" s="1021"/>
      <c r="Q24" s="2906"/>
      <c r="R24" s="2907"/>
      <c r="S24" s="2907"/>
      <c r="T24" s="1011"/>
    </row>
    <row r="25" spans="1:20" ht="7.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1021"/>
      <c r="Q25" s="2904" t="s">
        <v>702</v>
      </c>
      <c r="R25" s="2905"/>
      <c r="S25" s="2905"/>
      <c r="T25" s="1011"/>
    </row>
    <row r="26" spans="1:20" ht="14.25" customHeight="1" x14ac:dyDescent="0.2">
      <c r="A26" s="1009"/>
      <c r="B26" s="166" t="s">
        <v>1127</v>
      </c>
      <c r="D26" s="1010"/>
      <c r="Q26" s="2904"/>
      <c r="R26" s="2905"/>
      <c r="S26" s="2905"/>
      <c r="T26" s="1011"/>
    </row>
    <row r="27" spans="1:20" ht="6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O27" s="2909"/>
      <c r="Q27" s="228"/>
      <c r="R27" s="229"/>
      <c r="S27" s="229"/>
      <c r="T27" s="1011"/>
    </row>
    <row r="28" spans="1:20" ht="12" customHeight="1" x14ac:dyDescent="0.2">
      <c r="A28" s="1009"/>
      <c r="C28" s="1401" t="s">
        <v>203</v>
      </c>
      <c r="D28" s="1022" t="s">
        <v>218</v>
      </c>
      <c r="E28" s="1275" t="str">
        <f>'F-LSCD-012'!C21</f>
        <v>S-Cs (ISO 4037-3)</v>
      </c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014"/>
      <c r="Q28" s="228"/>
      <c r="R28" s="229"/>
      <c r="S28" s="229"/>
      <c r="T28" s="1011"/>
    </row>
    <row r="29" spans="1:20" ht="12" customHeight="1" x14ac:dyDescent="0.2">
      <c r="A29" s="1009"/>
      <c r="C29" s="1699" t="s">
        <v>138</v>
      </c>
      <c r="D29" s="227" t="s">
        <v>218</v>
      </c>
      <c r="E29" s="2910" t="str">
        <f>'F-LSCD-012'!I24</f>
        <v>Dosis equivalente personal, Hp(10)</v>
      </c>
      <c r="F29" s="2910"/>
      <c r="G29" s="2910"/>
      <c r="H29" s="2910"/>
      <c r="I29" s="2910"/>
      <c r="J29" s="2910"/>
      <c r="K29" s="2910"/>
      <c r="L29" s="2910"/>
      <c r="M29" s="2910"/>
      <c r="N29" s="2910"/>
      <c r="O29" s="2910"/>
      <c r="P29" s="1014"/>
      <c r="Q29" s="228"/>
      <c r="R29" s="229"/>
      <c r="S29" s="229"/>
      <c r="T29" s="1011"/>
    </row>
    <row r="30" spans="1:20" x14ac:dyDescent="0.2">
      <c r="A30" s="1009"/>
      <c r="C30" s="1699" t="s">
        <v>1110</v>
      </c>
      <c r="D30" s="1022" t="s">
        <v>218</v>
      </c>
      <c r="E30" s="2888" t="str">
        <f>IF('F-LSCD-012'!D30="-","Inicio: "&amp;FIXED('F-LSCD-012'!D28,1)&amp;" °C ; "&amp;"Final: "&amp;FIXED('F-LSCD-012'!D29,1)&amp;" °C","Inicio: "&amp;FIXED('F-LSCD-012'!D28,1)&amp;" °C ; "&amp;"Final: "&amp;FIXED('F-LSCD-012'!D31,1)&amp;" °C")</f>
        <v>Inicio: 20.2 °C ; Final: 20.3 °C</v>
      </c>
      <c r="F30" s="2888"/>
      <c r="G30" s="2888"/>
      <c r="H30" s="2888"/>
      <c r="I30" s="2888"/>
      <c r="J30" s="2888"/>
      <c r="K30" s="2888"/>
      <c r="L30" s="2888"/>
      <c r="M30" s="2888"/>
      <c r="N30" s="2888"/>
      <c r="O30" s="1689"/>
      <c r="P30" s="1014"/>
      <c r="Q30" s="2906" t="s">
        <v>1115</v>
      </c>
      <c r="R30" s="2907"/>
      <c r="S30" s="2907"/>
      <c r="T30" s="1011"/>
    </row>
    <row r="31" spans="1:20" x14ac:dyDescent="0.2">
      <c r="A31" s="1009"/>
      <c r="C31" s="1699" t="s">
        <v>1108</v>
      </c>
      <c r="D31" s="1022" t="s">
        <v>218</v>
      </c>
      <c r="E31" s="2888" t="str">
        <f>IF('F-LSCD-012'!H30="-","Inicio: "&amp;FIXED('F-LSCD-012'!H28,1)&amp;" hPa ; "&amp;"Final: "&amp;FIXED('F-LSCD-012'!H29,1)&amp;" hPa","Inicio: "&amp;FIXED('F-LSCD-012'!H28,1)&amp;" hPa ; "&amp;"Final: "&amp;FIXED('F-LSCD-012'!H31,1)&amp;" hPa")</f>
        <v>Inicio: 1,010.0 hPa ; Final: 1,010.2 hPa</v>
      </c>
      <c r="F31" s="2888"/>
      <c r="G31" s="2888"/>
      <c r="H31" s="2888"/>
      <c r="I31" s="2888"/>
      <c r="J31" s="2888"/>
      <c r="K31" s="2888"/>
      <c r="L31" s="2888"/>
      <c r="M31" s="2888"/>
      <c r="N31" s="2888"/>
      <c r="O31" s="1689"/>
      <c r="P31" s="1014"/>
      <c r="Q31" s="2906"/>
      <c r="R31" s="2907"/>
      <c r="S31" s="2907"/>
      <c r="T31" s="1011"/>
    </row>
    <row r="32" spans="1:20" x14ac:dyDescent="0.2">
      <c r="A32" s="1009"/>
      <c r="C32" s="1699" t="s">
        <v>1109</v>
      </c>
      <c r="D32" s="1022" t="s">
        <v>218</v>
      </c>
      <c r="E32" s="2888" t="str">
        <f>IF('F-LSCD-012'!F30="-","Inicio: "&amp;'F-LSCD-012'!F28&amp;" % ; "&amp;"Final: "&amp;'F-LSCD-012'!F29&amp;" %","Inicio: "&amp;'F-LSCD-012'!F28&amp;" % ; "&amp;"Final: "&amp;'F-LSCD-012'!F31&amp;" %")</f>
        <v>Inicio: 52 % ; Final: 53 %</v>
      </c>
      <c r="F32" s="2888"/>
      <c r="G32" s="2888"/>
      <c r="H32" s="2888"/>
      <c r="I32" s="2888"/>
      <c r="J32" s="2888"/>
      <c r="K32" s="2888"/>
      <c r="L32" s="2888"/>
      <c r="M32" s="2888"/>
      <c r="N32" s="2888"/>
      <c r="O32" s="1689"/>
      <c r="P32" s="1014"/>
      <c r="Q32" s="2906"/>
      <c r="R32" s="2907"/>
      <c r="S32" s="2907"/>
      <c r="T32" s="1011"/>
    </row>
    <row r="33" spans="1:20" ht="25.5" customHeight="1" x14ac:dyDescent="0.2">
      <c r="A33" s="1009"/>
      <c r="C33" s="1315" t="s">
        <v>277</v>
      </c>
      <c r="D33" s="1280" t="s">
        <v>218</v>
      </c>
      <c r="E33" s="2912" t="str">
        <f>'F-LSCD-012'!C22</f>
        <v xml:space="preserve">Eje longitudinal del detector paralelo al eje central del haz de radiación
</v>
      </c>
      <c r="F33" s="2912"/>
      <c r="G33" s="2912"/>
      <c r="H33" s="2912"/>
      <c r="I33" s="2912"/>
      <c r="J33" s="2912"/>
      <c r="K33" s="2912"/>
      <c r="L33" s="2912"/>
      <c r="M33" s="2912"/>
      <c r="N33" s="2912"/>
      <c r="O33" s="2912"/>
      <c r="P33" s="1014"/>
      <c r="Q33" s="2906"/>
      <c r="R33" s="2907"/>
      <c r="S33" s="2907"/>
      <c r="T33" s="1011"/>
    </row>
    <row r="34" spans="1:20" ht="12.75" customHeight="1" x14ac:dyDescent="0.2">
      <c r="A34" s="1009"/>
      <c r="C34" s="1315" t="s">
        <v>231</v>
      </c>
      <c r="D34" s="1280" t="s">
        <v>218</v>
      </c>
      <c r="E34" s="2913" t="str">
        <f>'F-LSCD-012'!C23</f>
        <v>Centro geométrico del volumen sensible del detector</v>
      </c>
      <c r="F34" s="2913"/>
      <c r="G34" s="2913"/>
      <c r="H34" s="2913"/>
      <c r="I34" s="2913"/>
      <c r="J34" s="2913"/>
      <c r="K34" s="2913"/>
      <c r="L34" s="2913"/>
      <c r="M34" s="2913"/>
      <c r="N34" s="2913"/>
      <c r="O34" s="2913"/>
      <c r="P34" s="1014"/>
      <c r="Q34" s="2906"/>
      <c r="R34" s="2907"/>
      <c r="S34" s="2907"/>
      <c r="T34" s="1011"/>
    </row>
    <row r="35" spans="1:20" ht="6" customHeight="1" x14ac:dyDescent="0.2">
      <c r="A35" s="1009"/>
      <c r="C35" s="1315"/>
      <c r="D35" s="1280"/>
      <c r="E35" s="1672"/>
      <c r="F35" s="1672"/>
      <c r="G35" s="1672"/>
      <c r="H35" s="1672"/>
      <c r="I35" s="1672"/>
      <c r="J35" s="1672"/>
      <c r="K35" s="1672"/>
      <c r="L35" s="1672"/>
      <c r="M35" s="1672"/>
      <c r="N35" s="1672"/>
      <c r="O35" s="1672"/>
      <c r="P35" s="1014"/>
      <c r="Q35" s="2906"/>
      <c r="R35" s="2907"/>
      <c r="S35" s="2907"/>
      <c r="T35" s="1011"/>
    </row>
    <row r="36" spans="1:20" ht="12.75" customHeight="1" x14ac:dyDescent="0.2">
      <c r="A36" s="1009"/>
      <c r="B36" s="1693" t="s">
        <v>1128</v>
      </c>
      <c r="C36" s="1264"/>
      <c r="D36" s="1022" t="s">
        <v>218</v>
      </c>
      <c r="E36" s="2911">
        <f>'F-LSCD-012'!C18</f>
        <v>44336</v>
      </c>
      <c r="F36" s="2911"/>
      <c r="G36" s="2911"/>
      <c r="H36" s="1276"/>
      <c r="I36" s="1276"/>
      <c r="J36" s="1276"/>
      <c r="K36" s="1276"/>
      <c r="L36" s="1276"/>
      <c r="M36" s="1277"/>
      <c r="N36" s="1275"/>
      <c r="O36" s="1275"/>
      <c r="P36" s="1014"/>
      <c r="Q36" s="2906"/>
      <c r="R36" s="2907"/>
      <c r="S36" s="2907"/>
      <c r="T36" s="1011"/>
    </row>
    <row r="37" spans="1:20" ht="4.5" customHeight="1" x14ac:dyDescent="0.2">
      <c r="A37" s="1009"/>
      <c r="B37" s="1695"/>
      <c r="C37" s="1694"/>
      <c r="D37" s="1022"/>
      <c r="E37" s="1696"/>
      <c r="F37" s="1696"/>
      <c r="G37" s="1696"/>
      <c r="H37" s="1276"/>
      <c r="I37" s="1276"/>
      <c r="J37" s="1276"/>
      <c r="K37" s="1276"/>
      <c r="L37" s="1276"/>
      <c r="M37" s="1277"/>
      <c r="N37" s="1275"/>
      <c r="O37" s="1275"/>
      <c r="P37" s="1014"/>
      <c r="Q37" s="2906"/>
      <c r="R37" s="2907"/>
      <c r="S37" s="2907"/>
      <c r="T37" s="1011"/>
    </row>
    <row r="38" spans="1:20" ht="15" customHeight="1" x14ac:dyDescent="0.2">
      <c r="A38" s="1009"/>
      <c r="B38" s="1693" t="s">
        <v>1129</v>
      </c>
      <c r="C38" s="1697"/>
      <c r="D38" s="1022" t="s">
        <v>218</v>
      </c>
      <c r="E38" s="2911">
        <f>'F-LSCD-012'!C26</f>
        <v>44336</v>
      </c>
      <c r="F38" s="2911"/>
      <c r="G38" s="2911"/>
      <c r="H38" s="1278"/>
      <c r="I38" s="1278"/>
      <c r="J38" s="1278"/>
      <c r="K38" s="1278"/>
      <c r="L38" s="1278"/>
      <c r="M38" s="1279"/>
      <c r="N38" s="1279"/>
      <c r="O38" s="1279"/>
      <c r="P38" s="1027"/>
      <c r="Q38" s="2906"/>
      <c r="R38" s="2907"/>
      <c r="S38" s="2907"/>
      <c r="T38" s="1011"/>
    </row>
    <row r="39" spans="1:20" ht="6.75" customHeight="1" x14ac:dyDescent="0.2">
      <c r="A39" s="1009"/>
      <c r="C39" s="1315"/>
      <c r="D39" s="1280"/>
      <c r="E39" s="1672"/>
      <c r="F39" s="1672"/>
      <c r="G39" s="1672"/>
      <c r="H39" s="1672"/>
      <c r="I39" s="1672"/>
      <c r="J39" s="1672"/>
      <c r="K39" s="1672"/>
      <c r="L39" s="1672"/>
      <c r="M39" s="1672"/>
      <c r="N39" s="1672"/>
      <c r="O39" s="1672"/>
      <c r="P39" s="1014"/>
      <c r="Q39" s="1698"/>
      <c r="R39" s="1698"/>
      <c r="S39" s="1698"/>
      <c r="T39" s="1011"/>
    </row>
    <row r="40" spans="1:20" ht="15" customHeight="1" x14ac:dyDescent="0.2">
      <c r="A40" s="1009"/>
      <c r="B40" s="226" t="s">
        <v>1130</v>
      </c>
      <c r="C40" s="1010"/>
      <c r="D40" s="1029"/>
      <c r="E40" s="1029"/>
      <c r="F40" s="1010"/>
      <c r="G40" s="1010"/>
      <c r="H40" s="1010"/>
      <c r="I40" s="1010"/>
      <c r="J40" s="1010"/>
      <c r="K40" s="1010"/>
      <c r="L40" s="1010"/>
      <c r="T40" s="1011"/>
    </row>
    <row r="41" spans="1:20" ht="7.5" customHeight="1" x14ac:dyDescent="0.2">
      <c r="A41" s="1009"/>
      <c r="D41" s="1028"/>
      <c r="E41" s="1030"/>
      <c r="T41" s="1011"/>
    </row>
    <row r="42" spans="1:20" ht="15" customHeight="1" x14ac:dyDescent="0.2">
      <c r="A42" s="1009"/>
      <c r="C42" s="2889" t="str">
        <f>IF('F-LSCD-012'!I24="Tasa de dosis equivalente ambiental, H*(10)","VCV de la tasa de dosis equivalente ambiental H*(10)",IF('F-LSCD-012'!I24="Dosis equivalente personal, Hp(10)","VCV de la dosis equivalente personal Hp(10) (mSv)",IF('F-LSCD-012'!I24="Dosis equivalente personal, Hp(0,07)","VCV de la dosis equivalente personal Hp(0,07) (mSv)",IF('F-LSCD-012'!I24="Dosis absorbida, D(10)","VCV de la dosis absorbida D(10) (mGy)"))))</f>
        <v>VCV de la dosis equivalente personal Hp(10) (mSv)</v>
      </c>
      <c r="D42" s="2890"/>
      <c r="E42" s="2893" t="s">
        <v>799</v>
      </c>
      <c r="F42" s="2894"/>
      <c r="G42" s="2894"/>
      <c r="H42" s="2895"/>
      <c r="I42" s="2866" t="s">
        <v>800</v>
      </c>
      <c r="J42" s="2867"/>
      <c r="K42" s="2867"/>
      <c r="L42" s="2868"/>
      <c r="M42" s="2853" t="s">
        <v>1146</v>
      </c>
      <c r="N42" s="2868"/>
      <c r="O42" s="2914" t="s">
        <v>1135</v>
      </c>
      <c r="P42" s="2915"/>
      <c r="Q42" s="2915"/>
      <c r="T42" s="1011"/>
    </row>
    <row r="43" spans="1:20" ht="22.5" customHeight="1" x14ac:dyDescent="0.2">
      <c r="A43" s="1009"/>
      <c r="C43" s="2891"/>
      <c r="D43" s="2892"/>
      <c r="E43" s="2853" t="s">
        <v>798</v>
      </c>
      <c r="F43" s="2854"/>
      <c r="G43" s="2854"/>
      <c r="H43" s="2857"/>
      <c r="I43" s="2853" t="s">
        <v>798</v>
      </c>
      <c r="J43" s="2854"/>
      <c r="K43" s="2854"/>
      <c r="L43" s="2857"/>
      <c r="M43" s="2896"/>
      <c r="N43" s="2897"/>
      <c r="O43" s="2915"/>
      <c r="P43" s="2915"/>
      <c r="Q43" s="2915"/>
      <c r="R43" s="1480"/>
      <c r="S43" s="1031"/>
      <c r="T43" s="1011"/>
    </row>
    <row r="44" spans="1:20" x14ac:dyDescent="0.2">
      <c r="A44" s="1009"/>
      <c r="C44" s="2891"/>
      <c r="D44" s="2892"/>
      <c r="E44" s="2855"/>
      <c r="F44" s="2856"/>
      <c r="G44" s="2856"/>
      <c r="H44" s="2858"/>
      <c r="I44" s="2855"/>
      <c r="J44" s="2856"/>
      <c r="K44" s="2856"/>
      <c r="L44" s="2858"/>
      <c r="M44" s="2898"/>
      <c r="N44" s="2897"/>
      <c r="O44" s="2915"/>
      <c r="P44" s="2915"/>
      <c r="Q44" s="2915"/>
      <c r="R44" s="1032"/>
      <c r="S44" s="1032"/>
      <c r="T44" s="1011"/>
    </row>
    <row r="45" spans="1:20" x14ac:dyDescent="0.2">
      <c r="A45" s="1009"/>
      <c r="C45" s="2851" t="str">
        <f>IF('F-LSCD-012'!A34="-","-",FIXED('F-LSCD-012'!A34,'F-LSCD-012'!W34+1)&amp;" "&amp;'F-LSCD-012'!A35)</f>
        <v>25,000.0 µSv</v>
      </c>
      <c r="D45" s="2851"/>
      <c r="E45" s="2849" t="str">
        <f>IF('F-LSCD-012'!A34="-","-",FIXED('F-LSCD-012'!O34,'F-LSCD-012'!W34)&amp;" "&amp;'F-LSCD-012'!N34)</f>
        <v>2,474 mrem</v>
      </c>
      <c r="F45" s="2849"/>
      <c r="G45" s="2849"/>
      <c r="H45" s="2849"/>
      <c r="I45" s="2852" t="s">
        <v>93</v>
      </c>
      <c r="J45" s="2849"/>
      <c r="K45" s="2849"/>
      <c r="L45" s="2849"/>
      <c r="M45" s="2850">
        <f>IF('F-LSCD-012'!R35="-",'F-LSCD-012'!R34,'F-LSCD-012'!R35)</f>
        <v>1.0105092966855296</v>
      </c>
      <c r="N45" s="2850"/>
      <c r="O45" s="2847">
        <f>IF('F-LSCD-012'!O35="-",'F-LSCD-012'!T34,'F-LSCD-012'!T35)</f>
        <v>4.4999999999999998E-2</v>
      </c>
      <c r="P45" s="2847"/>
      <c r="Q45" s="2847"/>
      <c r="R45" s="1032"/>
      <c r="S45" s="1032"/>
      <c r="T45" s="1011"/>
    </row>
    <row r="46" spans="1:20" x14ac:dyDescent="0.2">
      <c r="A46" s="1009"/>
      <c r="C46" s="2851" t="str">
        <f>IF('F-LSCD-012'!A36="-","-",FIXED('F-LSCD-012'!A36,'F-LSCD-012'!W36+1)&amp;" "&amp;'F-LSCD-012'!A37)</f>
        <v>-</v>
      </c>
      <c r="D46" s="2851"/>
      <c r="E46" s="2849" t="str">
        <f>IF('F-LSCD-012'!A36="-","-",FIXED('F-LSCD-012'!O36,'F-LSCD-012'!W36)&amp;" "&amp;'F-LSCD-012'!N36)</f>
        <v>-</v>
      </c>
      <c r="F46" s="2849"/>
      <c r="G46" s="2849"/>
      <c r="H46" s="2849"/>
      <c r="I46" s="2852" t="s">
        <v>93</v>
      </c>
      <c r="J46" s="2849"/>
      <c r="K46" s="2849"/>
      <c r="L46" s="2849"/>
      <c r="M46" s="2850" t="str">
        <f>IF('F-LSCD-012'!R37="-",'F-LSCD-012'!R36,'F-LSCD-012'!R37)</f>
        <v>-</v>
      </c>
      <c r="N46" s="2850"/>
      <c r="O46" s="2847" t="str">
        <f>IF('F-LSCD-012'!O37="-",'F-LSCD-012'!T36,'F-LSCD-012'!T37)</f>
        <v>-</v>
      </c>
      <c r="P46" s="2847"/>
      <c r="Q46" s="2847"/>
      <c r="R46" s="1445"/>
      <c r="S46" s="1032"/>
      <c r="T46" s="1011"/>
    </row>
    <row r="47" spans="1:20" x14ac:dyDescent="0.2">
      <c r="A47" s="1009"/>
      <c r="C47" s="2851" t="str">
        <f>IF('F-LSCD-012'!A38="-","-",FIXED('F-LSCD-012'!A38,'F-LSCD-012'!W38+1)&amp;" "&amp;'F-LSCD-012'!A39)</f>
        <v>-</v>
      </c>
      <c r="D47" s="2851"/>
      <c r="E47" s="2849" t="str">
        <f>IF('F-LSCD-012'!A38="-","-",FIXED('F-LSCD-012'!O38,'F-LSCD-012'!W38)&amp;" "&amp;'F-LSCD-012'!N38)</f>
        <v>-</v>
      </c>
      <c r="F47" s="2849"/>
      <c r="G47" s="2849"/>
      <c r="H47" s="2849"/>
      <c r="I47" s="2852" t="s">
        <v>93</v>
      </c>
      <c r="J47" s="2849"/>
      <c r="K47" s="2849"/>
      <c r="L47" s="2849"/>
      <c r="M47" s="2850" t="str">
        <f>IF('F-LSCD-012'!R39="-",'F-LSCD-012'!R38,'F-LSCD-012'!R39)</f>
        <v>-</v>
      </c>
      <c r="N47" s="2850"/>
      <c r="O47" s="2847" t="str">
        <f>IF('F-LSCD-012'!O39="-",'F-LSCD-012'!T38,'F-LSCD-012'!T39)</f>
        <v>-</v>
      </c>
      <c r="P47" s="2847"/>
      <c r="Q47" s="2847"/>
      <c r="R47" s="1032"/>
      <c r="S47" s="1032"/>
      <c r="T47" s="1011"/>
    </row>
    <row r="48" spans="1:20" x14ac:dyDescent="0.2">
      <c r="A48" s="1009"/>
      <c r="C48" s="2851" t="str">
        <f>IF('F-LSCD-012'!A40="-","-",FIXED('F-LSCD-012'!A40,'F-LSCD-012'!W40+1)&amp;" "&amp;'F-LSCD-012'!A41)</f>
        <v>-</v>
      </c>
      <c r="D48" s="2851"/>
      <c r="E48" s="2849" t="str">
        <f>IF('F-LSCD-012'!A40="-","-",FIXED('F-LSCD-012'!O40,'F-LSCD-012'!W40)&amp;" "&amp;'F-LSCD-012'!N40)</f>
        <v>-</v>
      </c>
      <c r="F48" s="2849"/>
      <c r="G48" s="2849"/>
      <c r="H48" s="2849"/>
      <c r="I48" s="2852" t="s">
        <v>93</v>
      </c>
      <c r="J48" s="2849"/>
      <c r="K48" s="2849"/>
      <c r="L48" s="2849"/>
      <c r="M48" s="2850" t="str">
        <f>IF('F-LSCD-012'!R41="-",'F-LSCD-012'!R40,'F-LSCD-012'!R41)</f>
        <v>-</v>
      </c>
      <c r="N48" s="2850"/>
      <c r="O48" s="2847" t="str">
        <f>IF('F-LSCD-012'!O41="-",'F-LSCD-012'!T40,'F-LSCD-012'!T41)</f>
        <v>-</v>
      </c>
      <c r="P48" s="2847"/>
      <c r="Q48" s="2847"/>
      <c r="R48" s="1032"/>
      <c r="S48" s="1032"/>
      <c r="T48" s="1011"/>
    </row>
    <row r="49" spans="1:20" x14ac:dyDescent="0.2">
      <c r="A49" s="1009"/>
      <c r="C49" s="2851" t="str">
        <f>IF('F-LSCD-012'!A42="-","-",FIXED('F-LSCD-012'!A42,'F-LSCD-012'!W42+1)&amp;" "&amp;'F-LSCD-012'!A43)</f>
        <v>-</v>
      </c>
      <c r="D49" s="2851"/>
      <c r="E49" s="2849" t="str">
        <f>IF('F-LSCD-012'!A42="-","-",FIXED('F-LSCD-012'!O42,'F-LSCD-012'!W42)&amp;" "&amp;'F-LSCD-012'!N42)</f>
        <v>-</v>
      </c>
      <c r="F49" s="2849"/>
      <c r="G49" s="2849"/>
      <c r="H49" s="2849"/>
      <c r="I49" s="2849" t="str">
        <f>IF('F-LSCD-012'!O43="-","-",FIXED('F-LSCD-012'!O43,'F-LSCD-012'!W43)&amp;" "&amp;'F-LSCD-012'!N43)</f>
        <v>-</v>
      </c>
      <c r="J49" s="2849"/>
      <c r="K49" s="2849"/>
      <c r="L49" s="2849"/>
      <c r="M49" s="2850" t="str">
        <f>IF('F-LSCD-012'!R43="-",'F-LSCD-012'!R42,'F-LSCD-012'!R43)</f>
        <v>-</v>
      </c>
      <c r="N49" s="2850"/>
      <c r="O49" s="2847" t="str">
        <f>IF('F-LSCD-012'!O43="-",'F-LSCD-012'!T42,'F-LSCD-012'!T43)</f>
        <v>-</v>
      </c>
      <c r="P49" s="2847"/>
      <c r="Q49" s="2847"/>
      <c r="R49" s="1032"/>
      <c r="S49" s="1032"/>
      <c r="T49" s="1011"/>
    </row>
    <row r="50" spans="1:20" x14ac:dyDescent="0.2">
      <c r="A50" s="1009"/>
      <c r="C50" s="2851" t="str">
        <f>IF('F-LSCD-012'!A44="-","-",FIXED('F-LSCD-012'!A44,'F-LSCD-012'!W44+1)&amp;" "&amp;'F-LSCD-012'!A45)</f>
        <v>-</v>
      </c>
      <c r="D50" s="2851"/>
      <c r="E50" s="2849" t="str">
        <f>IF('F-LSCD-012'!A44="-","-",FIXED('F-LSCD-012'!O44,'F-LSCD-012'!W44)&amp;" "&amp;'F-LSCD-012'!N44)</f>
        <v>-</v>
      </c>
      <c r="F50" s="2849"/>
      <c r="G50" s="2849"/>
      <c r="H50" s="2849"/>
      <c r="I50" s="2849" t="str">
        <f>IF('F-LSCD-012'!O45="-","-",FIXED('F-LSCD-012'!O45,'F-LSCD-012'!W45)&amp;" "&amp;'F-LSCD-012'!N45)</f>
        <v>-</v>
      </c>
      <c r="J50" s="2849"/>
      <c r="K50" s="2849"/>
      <c r="L50" s="2849"/>
      <c r="M50" s="2850" t="str">
        <f>IF('F-LSCD-012'!R45="-",'F-LSCD-012'!R44,'F-LSCD-012'!R45)</f>
        <v>-</v>
      </c>
      <c r="N50" s="2850"/>
      <c r="O50" s="2847" t="str">
        <f>IF('F-LSCD-012'!O45="-",'F-LSCD-012'!T44,'F-LSCD-012'!T45)</f>
        <v>-</v>
      </c>
      <c r="P50" s="2847"/>
      <c r="Q50" s="2847"/>
      <c r="R50" s="1385"/>
      <c r="S50" s="1032"/>
      <c r="T50" s="1011"/>
    </row>
    <row r="51" spans="1:20" x14ac:dyDescent="0.2">
      <c r="A51" s="1009"/>
      <c r="C51" s="2851" t="str">
        <f>IF('F-LSCD-012'!A46="-","-",FIXED('F-LSCD-012'!A46,'F-LSCD-012'!W46+1)&amp;" "&amp;'F-LSCD-012'!A47)</f>
        <v>-</v>
      </c>
      <c r="D51" s="2851"/>
      <c r="E51" s="2849" t="str">
        <f>IF('F-LSCD-012'!A46="-","-",FIXED('F-LSCD-012'!O46,'F-LSCD-012'!W46)&amp;" "&amp;'F-LSCD-012'!N46)</f>
        <v>-</v>
      </c>
      <c r="F51" s="2849"/>
      <c r="G51" s="2849"/>
      <c r="H51" s="2849"/>
      <c r="I51" s="2849" t="str">
        <f>IF('F-LSCD-012'!O47="-","-",FIXED('F-LSCD-012'!O47,'F-LSCD-012'!W47)&amp;" "&amp;'F-LSCD-012'!N47)</f>
        <v>-</v>
      </c>
      <c r="J51" s="2849"/>
      <c r="K51" s="2849"/>
      <c r="L51" s="2849"/>
      <c r="M51" s="2850" t="str">
        <f>IF('F-LSCD-012'!R47="-",'F-LSCD-012'!R46,'F-LSCD-012'!R47)</f>
        <v>-</v>
      </c>
      <c r="N51" s="2850"/>
      <c r="O51" s="2848" t="str">
        <f>IF('F-LSCD-012'!O47="-",'F-LSCD-012'!T46,'F-LSCD-012'!T47)</f>
        <v>-</v>
      </c>
      <c r="P51" s="2848"/>
      <c r="Q51" s="2848"/>
      <c r="R51" s="1032"/>
      <c r="S51" s="1032"/>
      <c r="T51" s="1011"/>
    </row>
    <row r="52" spans="1:20" x14ac:dyDescent="0.2">
      <c r="A52" s="1009"/>
      <c r="C52" s="2851" t="str">
        <f>IF('F-LSCD-012'!A48="-","-",FIXED('F-LSCD-012'!A48,'F-LSCD-012'!W48+1)&amp;" "&amp;'F-LSCD-012'!A49)</f>
        <v>-</v>
      </c>
      <c r="D52" s="2851"/>
      <c r="E52" s="2849" t="str">
        <f>IF('F-LSCD-012'!A48="-","-",FIXED('F-LSCD-012'!O48,'F-LSCD-012'!W48)&amp;" "&amp;'F-LSCD-012'!N48)</f>
        <v>-</v>
      </c>
      <c r="F52" s="2849"/>
      <c r="G52" s="2849"/>
      <c r="H52" s="2849"/>
      <c r="I52" s="2849" t="str">
        <f>IF('F-LSCD-012'!O49="-","-",FIXED('F-LSCD-012'!O49,'F-LSCD-012'!W49)&amp;" "&amp;'F-LSCD-012'!N49)</f>
        <v>-</v>
      </c>
      <c r="J52" s="2849"/>
      <c r="K52" s="2849"/>
      <c r="L52" s="2849"/>
      <c r="M52" s="2850" t="str">
        <f>IF('F-LSCD-012'!R49="-",'F-LSCD-012'!R48,'F-LSCD-012'!R49)</f>
        <v>-</v>
      </c>
      <c r="N52" s="2850"/>
      <c r="O52" s="2847" t="str">
        <f>IF('F-LSCD-012'!O49="-",'F-LSCD-012'!T48,'F-LSCD-012'!T49)</f>
        <v>-</v>
      </c>
      <c r="P52" s="2847"/>
      <c r="Q52" s="2847"/>
      <c r="R52" s="1032"/>
      <c r="S52" s="1032"/>
      <c r="T52" s="1011"/>
    </row>
    <row r="53" spans="1:20" x14ac:dyDescent="0.2">
      <c r="A53" s="1009"/>
      <c r="C53" s="2851" t="str">
        <f>IF('F-LSCD-012'!A50="-","-",FIXED('F-LSCD-012'!A50,'F-LSCD-012'!W50+1)&amp;" "&amp;'F-LSCD-012'!A51)</f>
        <v>-</v>
      </c>
      <c r="D53" s="2851"/>
      <c r="E53" s="2849" t="str">
        <f>IF('F-LSCD-012'!A50="-","-",FIXED('F-LSCD-012'!O50,'F-LSCD-012'!W50)&amp;" "&amp;'F-LSCD-012'!N50)</f>
        <v>-</v>
      </c>
      <c r="F53" s="2849"/>
      <c r="G53" s="2849"/>
      <c r="H53" s="2849"/>
      <c r="I53" s="2849" t="str">
        <f>IF('F-LSCD-012'!O51="-","-",FIXED('F-LSCD-012'!O51,'F-LSCD-012'!W51)&amp;" "&amp;'F-LSCD-012'!N51)</f>
        <v>-</v>
      </c>
      <c r="J53" s="2849"/>
      <c r="K53" s="2849"/>
      <c r="L53" s="2849"/>
      <c r="M53" s="2850" t="str">
        <f>IF('F-LSCD-012'!R51="-",'F-LSCD-012'!R50,'F-LSCD-012'!R51)</f>
        <v>-</v>
      </c>
      <c r="N53" s="2850"/>
      <c r="O53" s="2847" t="str">
        <f>IF('F-LSCD-012'!O51="-",'F-LSCD-012'!T50,'F-LSCD-012'!T51)</f>
        <v>-</v>
      </c>
      <c r="P53" s="2847"/>
      <c r="Q53" s="2847"/>
      <c r="R53" s="1032"/>
      <c r="S53" s="1032"/>
      <c r="T53" s="1011"/>
    </row>
    <row r="54" spans="1:20" x14ac:dyDescent="0.2">
      <c r="A54" s="1009"/>
      <c r="C54" s="2851" t="str">
        <f>IF('F-LSCD-012'!A52="-","-",FIXED('F-LSCD-012'!A52,'F-LSCD-012'!W52)&amp;" "&amp;'F-LSCD-012'!A53)</f>
        <v>-</v>
      </c>
      <c r="D54" s="2851"/>
      <c r="E54" s="2849" t="str">
        <f>IF('F-LSCD-012'!A52="-","-",FIXED('F-LSCD-012'!O52,'F-LSCD-012'!W52)&amp;" "&amp;'F-LSCD-012'!N52)</f>
        <v>-</v>
      </c>
      <c r="F54" s="2849"/>
      <c r="G54" s="2849"/>
      <c r="H54" s="2849"/>
      <c r="I54" s="2849" t="str">
        <f>IF('F-LSCD-012'!O53="-","-",FIXED('F-LSCD-012'!O53,'F-LSCD-012'!W53)&amp;" "&amp;'F-LSCD-012'!N53)</f>
        <v>-</v>
      </c>
      <c r="J54" s="2849"/>
      <c r="K54" s="2849"/>
      <c r="L54" s="2849"/>
      <c r="M54" s="2850" t="str">
        <f>IF('F-LSCD-012'!R53="-",'F-LSCD-012'!R52,'F-LSCD-012'!R53)</f>
        <v>-</v>
      </c>
      <c r="N54" s="2850"/>
      <c r="O54" s="2848" t="str">
        <f>IF('F-LSCD-012'!O53="-",'F-LSCD-012'!T52,'F-LSCD-012'!T53)</f>
        <v>-</v>
      </c>
      <c r="P54" s="2848"/>
      <c r="Q54" s="2848"/>
      <c r="R54" s="1032"/>
      <c r="S54" s="1032"/>
      <c r="T54" s="1011"/>
    </row>
    <row r="55" spans="1:20" x14ac:dyDescent="0.2">
      <c r="A55" s="1009"/>
      <c r="C55" s="2851" t="str">
        <f>IF('F-LSCD-012'!A54="-","-",FIXED('F-LSCD-012'!A54,'F-LSCD-012'!W54)&amp;" "&amp;'F-LSCD-012'!A55)</f>
        <v>-</v>
      </c>
      <c r="D55" s="2851"/>
      <c r="E55" s="2849" t="str">
        <f>IF('F-LSCD-012'!A54="-","-",FIXED('F-LSCD-012'!O54,'F-LSCD-012'!W54)&amp;" "&amp;'F-LSCD-012'!N54)</f>
        <v>-</v>
      </c>
      <c r="F55" s="2849"/>
      <c r="G55" s="2849"/>
      <c r="H55" s="2849"/>
      <c r="I55" s="2849" t="str">
        <f>IF('F-LSCD-012'!O55="-","-",FIXED('F-LSCD-012'!O55,'F-LSCD-012'!W55)&amp;" "&amp;'F-LSCD-012'!N55)</f>
        <v>-</v>
      </c>
      <c r="J55" s="2849"/>
      <c r="K55" s="2849"/>
      <c r="L55" s="2849"/>
      <c r="M55" s="2850" t="str">
        <f>IF('F-LSCD-012'!R55="-",'F-LSCD-012'!R54,'F-LSCD-012'!R55)</f>
        <v>-</v>
      </c>
      <c r="N55" s="2850"/>
      <c r="O55" s="2847" t="str">
        <f>IF('F-LSCD-012'!O55="-",'F-LSCD-012'!T54,'F-LSCD-012'!T55)</f>
        <v>-</v>
      </c>
      <c r="P55" s="2847"/>
      <c r="Q55" s="2847"/>
      <c r="R55" s="1032"/>
      <c r="S55" s="1032"/>
      <c r="T55" s="1011"/>
    </row>
    <row r="56" spans="1:20" x14ac:dyDescent="0.2">
      <c r="A56" s="1009"/>
      <c r="C56" s="2851" t="str">
        <f>IF('F-LSCD-012'!A56="-","-",FIXED('F-LSCD-012'!A56,'F-LSCD-012'!W56)&amp;" "&amp;'F-LSCD-012'!A57)</f>
        <v>-</v>
      </c>
      <c r="D56" s="2851"/>
      <c r="E56" s="2849" t="str">
        <f>IF('F-LSCD-012'!A56="-","-",FIXED('F-LSCD-012'!O56,'F-LSCD-012'!W56)&amp;" "&amp;'F-LSCD-012'!N56)</f>
        <v>-</v>
      </c>
      <c r="F56" s="2849"/>
      <c r="G56" s="2849"/>
      <c r="H56" s="2849"/>
      <c r="I56" s="2849" t="str">
        <f>IF('F-LSCD-012'!O57="-","-",FIXED('F-LSCD-012'!O57,'F-LSCD-012'!W57)&amp;" "&amp;'F-LSCD-012'!N57)</f>
        <v>-</v>
      </c>
      <c r="J56" s="2849"/>
      <c r="K56" s="2849"/>
      <c r="L56" s="2849"/>
      <c r="M56" s="2850" t="str">
        <f>IF('F-LSCD-012'!R57="-",'F-LSCD-012'!R56,'F-LSCD-012'!R57)</f>
        <v>-</v>
      </c>
      <c r="N56" s="2850"/>
      <c r="O56" s="2847" t="str">
        <f>IF('F-LSCD-012'!O57="-",'F-LSCD-012'!T56,'F-LSCD-012'!T57)</f>
        <v>-</v>
      </c>
      <c r="P56" s="2847"/>
      <c r="Q56" s="2847"/>
      <c r="R56" s="1010"/>
      <c r="S56" s="1010"/>
      <c r="T56" s="1011"/>
    </row>
    <row r="57" spans="1:20" x14ac:dyDescent="0.2">
      <c r="A57" s="1009"/>
      <c r="C57" s="1702" t="s">
        <v>1148</v>
      </c>
      <c r="D57" s="1690"/>
      <c r="E57" s="1692"/>
      <c r="F57" s="1692"/>
      <c r="G57" s="1692"/>
      <c r="H57" s="1692"/>
      <c r="I57" s="1692"/>
      <c r="J57" s="1692"/>
      <c r="K57" s="1692"/>
      <c r="L57" s="1692"/>
      <c r="M57" s="1701"/>
      <c r="N57" s="1701"/>
      <c r="O57" s="1691"/>
      <c r="P57" s="1691"/>
      <c r="Q57" s="1691"/>
      <c r="R57" s="1010"/>
      <c r="S57" s="1010"/>
      <c r="T57" s="1011"/>
    </row>
    <row r="58" spans="1:20" x14ac:dyDescent="0.2">
      <c r="A58" s="1009"/>
      <c r="C58" s="180" t="s">
        <v>1149</v>
      </c>
      <c r="D58" s="1690"/>
      <c r="E58" s="1692"/>
      <c r="F58" s="1692"/>
      <c r="G58" s="1692"/>
      <c r="H58" s="1692"/>
      <c r="I58" s="1692"/>
      <c r="J58" s="1692"/>
      <c r="K58" s="1692"/>
      <c r="L58" s="1692"/>
      <c r="M58" s="1701"/>
      <c r="N58" s="1701"/>
      <c r="O58" s="1691"/>
      <c r="P58" s="1691"/>
      <c r="Q58" s="1691"/>
      <c r="R58" s="1010"/>
      <c r="S58" s="1010"/>
      <c r="T58" s="1011"/>
    </row>
    <row r="59" spans="1:20" x14ac:dyDescent="0.2">
      <c r="A59" s="1009"/>
      <c r="C59" s="1014" t="str">
        <f>IF(M45="-","","Promedio FC = "&amp;FIXED(AVERAGE(M45:N56),2)&amp;" (µSv/h)/cps")</f>
        <v>Promedio FC = 1.01 (µSv/h)/cps</v>
      </c>
      <c r="D59" s="1262"/>
      <c r="E59" s="1262"/>
      <c r="F59" s="1262"/>
      <c r="G59" s="1262"/>
      <c r="H59" s="1262"/>
      <c r="I59" s="1262"/>
      <c r="J59" s="1262"/>
      <c r="K59" s="1262"/>
      <c r="L59" s="1262"/>
      <c r="M59" s="1262"/>
      <c r="N59" s="1262"/>
      <c r="O59" s="1262"/>
      <c r="P59" s="1262"/>
      <c r="Q59" s="1262"/>
      <c r="R59" s="1262"/>
      <c r="S59" s="1262"/>
      <c r="T59" s="1011"/>
    </row>
    <row r="60" spans="1:20" x14ac:dyDescent="0.2">
      <c r="A60" s="1009"/>
      <c r="C60" s="1014" t="str">
        <f>IF(OR(K44="mR/h",K45="mR/h",K46="mR/h",K47="mR/h",K48="mR/h"),"Monitor calibrado asumiendo que: "&amp;'Datos varios'!B120&amp;" "&amp;'Datos varios'!C120&amp;" es equivalente a "&amp;'Datos varios'!E120&amp;" "&amp;'Datos varios'!F120,IF(OR(K44="mrem/h",K45="mrem/h",K46="mrem/h",K47="mrem/h",K48="mrem/h"),"Monitor calibrado asumiendo que: "&amp;'Datos varios'!B123&amp;" "&amp;'Datos varios'!C123&amp;" es equivalente a "&amp;'Datos varios'!E123&amp;" "&amp;'Datos varios'!F123,""))</f>
        <v/>
      </c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435"/>
      <c r="O60" s="1262"/>
      <c r="P60" s="1262"/>
      <c r="Q60" s="1262"/>
      <c r="R60" s="1262"/>
      <c r="S60" s="1262"/>
      <c r="T60" s="1011"/>
    </row>
    <row r="61" spans="1:20" x14ac:dyDescent="0.2">
      <c r="A61" s="1009"/>
      <c r="C61" s="180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435"/>
      <c r="O61" s="1262"/>
      <c r="P61" s="1262"/>
      <c r="Q61" s="1262"/>
      <c r="R61" s="1262"/>
      <c r="S61" s="1262"/>
      <c r="T61" s="1011"/>
    </row>
    <row r="62" spans="1:20" ht="54" customHeight="1" x14ac:dyDescent="0.2">
      <c r="A62" s="1009"/>
      <c r="C62" s="180"/>
      <c r="D62" s="1262"/>
      <c r="E62" s="1262"/>
      <c r="F62" s="1262"/>
      <c r="G62" s="1262"/>
      <c r="H62" s="1262"/>
      <c r="I62" s="1262"/>
      <c r="J62" s="1262"/>
      <c r="K62" s="1262"/>
      <c r="L62" s="1262"/>
      <c r="M62" s="1262"/>
      <c r="N62" s="1262"/>
      <c r="O62" s="1262"/>
      <c r="P62" s="1262"/>
      <c r="Q62" s="1262"/>
      <c r="R62" s="1262"/>
      <c r="S62" s="1262"/>
      <c r="T62" s="1011"/>
    </row>
    <row r="63" spans="1:20" ht="15" customHeight="1" x14ac:dyDescent="0.2">
      <c r="A63" s="1009"/>
      <c r="B63" s="1033"/>
      <c r="C63" s="1873" t="s">
        <v>1245</v>
      </c>
      <c r="G63" s="1035"/>
      <c r="H63" s="1035"/>
      <c r="I63" s="1035"/>
      <c r="J63" s="1035"/>
      <c r="K63" s="1035"/>
      <c r="L63" s="2862"/>
      <c r="M63" s="2862"/>
      <c r="N63" s="2862"/>
      <c r="O63" s="2862"/>
      <c r="P63" s="2862"/>
      <c r="Q63" s="2862"/>
      <c r="R63" s="1035"/>
      <c r="S63" s="1020"/>
      <c r="T63" s="1011"/>
    </row>
    <row r="64" spans="1:20" ht="3" customHeight="1" thickBot="1" x14ac:dyDescent="0.25">
      <c r="A64" s="1036"/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8"/>
    </row>
    <row r="65" spans="1:21" ht="15.75" thickTop="1" x14ac:dyDescent="0.25">
      <c r="A65" s="2863" t="s">
        <v>260</v>
      </c>
      <c r="B65" s="2864"/>
      <c r="C65" s="2864"/>
      <c r="D65" s="2864"/>
      <c r="E65" s="2864"/>
      <c r="F65" s="2864"/>
      <c r="G65" s="2864"/>
      <c r="H65" s="2864"/>
      <c r="I65" s="2864"/>
      <c r="J65" s="2864"/>
      <c r="K65" s="2864"/>
      <c r="L65" s="2864"/>
      <c r="M65" s="2864"/>
      <c r="N65" s="2864"/>
      <c r="O65" s="2864"/>
      <c r="P65" s="2864"/>
      <c r="Q65" s="2864"/>
      <c r="R65" s="2864"/>
      <c r="S65" s="2864"/>
      <c r="T65" s="2865"/>
    </row>
    <row r="66" spans="1:21" ht="11.25" customHeight="1" thickBot="1" x14ac:dyDescent="0.25">
      <c r="A66" s="2859" t="s">
        <v>810</v>
      </c>
      <c r="B66" s="2860"/>
      <c r="C66" s="2860"/>
      <c r="D66" s="2860"/>
      <c r="E66" s="2860"/>
      <c r="F66" s="2860"/>
      <c r="G66" s="2860"/>
      <c r="H66" s="2860"/>
      <c r="I66" s="2860"/>
      <c r="J66" s="2860"/>
      <c r="K66" s="2860"/>
      <c r="L66" s="2860"/>
      <c r="M66" s="2860"/>
      <c r="N66" s="2860"/>
      <c r="O66" s="2860"/>
      <c r="P66" s="2860"/>
      <c r="Q66" s="2860"/>
      <c r="R66" s="2860"/>
      <c r="S66" s="2860"/>
      <c r="T66" s="2861"/>
      <c r="U66" s="1039"/>
    </row>
    <row r="67" spans="1:21" x14ac:dyDescent="0.2">
      <c r="A67" s="1356" t="s">
        <v>907</v>
      </c>
      <c r="B67" s="163"/>
      <c r="S67" s="1357" t="str">
        <f>A4</f>
        <v>CERTIFICADO DE CALIBRACIÓN N° LSCD 029-2021</v>
      </c>
    </row>
  </sheetData>
  <autoFilter ref="C42:Q60" xr:uid="{00000000-0009-0000-0000-00001D000000}">
    <filterColumn colId="0" showButton="0">
      <filters blank="1">
        <filter val="5 000,0 µSv/h"/>
        <filter val="5,00 µSv/h"/>
        <filter val="50,0 µSv/h"/>
        <filter val="500,0 µSv/h"/>
        <filter val="El símbolo &quot;-&quot; significa que no se realizó dicha medición (no fue necesario realizar ajuste al equipo)"/>
        <filter val="Promedio FC = 0,59"/>
        <filter val="VCV = Valor convencionalmente verdadero = Lectura del monitor x FC"/>
      </filters>
    </filterColumn>
    <filterColumn colId="2" showButton="0"/>
    <filterColumn colId="3" showButton="0"/>
    <filterColumn colId="4" showButton="0"/>
    <filterColumn colId="6" showButton="0"/>
    <filterColumn colId="7" showButton="0"/>
    <filterColumn colId="8" showButton="0"/>
    <filterColumn colId="10" showButton="0"/>
    <filterColumn colId="12" showButton="0"/>
    <filterColumn colId="13" showButton="0"/>
  </autoFilter>
  <mergeCells count="96">
    <mergeCell ref="E9:O9"/>
    <mergeCell ref="Q9:S13"/>
    <mergeCell ref="A2:T3"/>
    <mergeCell ref="A4:T4"/>
    <mergeCell ref="A5:T5"/>
    <mergeCell ref="A6:T6"/>
    <mergeCell ref="A7:T7"/>
    <mergeCell ref="Q15:S24"/>
    <mergeCell ref="E16:O16"/>
    <mergeCell ref="E17:O17"/>
    <mergeCell ref="E18:O18"/>
    <mergeCell ref="E19:O19"/>
    <mergeCell ref="E20:O20"/>
    <mergeCell ref="E21:O22"/>
    <mergeCell ref="E24:O24"/>
    <mergeCell ref="O42:Q44"/>
    <mergeCell ref="E43:H44"/>
    <mergeCell ref="I43:L44"/>
    <mergeCell ref="Q25:S26"/>
    <mergeCell ref="E27:O27"/>
    <mergeCell ref="E29:O29"/>
    <mergeCell ref="E30:N30"/>
    <mergeCell ref="Q30:S38"/>
    <mergeCell ref="E31:N31"/>
    <mergeCell ref="E32:N32"/>
    <mergeCell ref="E33:O33"/>
    <mergeCell ref="E34:O34"/>
    <mergeCell ref="E36:G36"/>
    <mergeCell ref="E38:G38"/>
    <mergeCell ref="C42:D44"/>
    <mergeCell ref="E42:H42"/>
    <mergeCell ref="I42:L42"/>
    <mergeCell ref="M42:N44"/>
    <mergeCell ref="C46:D46"/>
    <mergeCell ref="E46:H46"/>
    <mergeCell ref="I46:L46"/>
    <mergeCell ref="M46:N46"/>
    <mergeCell ref="O46:Q46"/>
    <mergeCell ref="C45:D45"/>
    <mergeCell ref="E45:H45"/>
    <mergeCell ref="I45:L45"/>
    <mergeCell ref="M45:N45"/>
    <mergeCell ref="O45:Q45"/>
    <mergeCell ref="C48:D48"/>
    <mergeCell ref="E48:H48"/>
    <mergeCell ref="I48:L48"/>
    <mergeCell ref="M48:N48"/>
    <mergeCell ref="O48:Q48"/>
    <mergeCell ref="C47:D47"/>
    <mergeCell ref="E47:H47"/>
    <mergeCell ref="I47:L47"/>
    <mergeCell ref="M47:N47"/>
    <mergeCell ref="O47:Q47"/>
    <mergeCell ref="C50:D50"/>
    <mergeCell ref="E50:H50"/>
    <mergeCell ref="I50:L50"/>
    <mergeCell ref="M50:N50"/>
    <mergeCell ref="O50:Q50"/>
    <mergeCell ref="C49:D49"/>
    <mergeCell ref="E49:H49"/>
    <mergeCell ref="I49:L49"/>
    <mergeCell ref="M49:N49"/>
    <mergeCell ref="O49:Q49"/>
    <mergeCell ref="C52:D52"/>
    <mergeCell ref="E52:H52"/>
    <mergeCell ref="I52:L52"/>
    <mergeCell ref="M52:N52"/>
    <mergeCell ref="O52:Q52"/>
    <mergeCell ref="C51:D51"/>
    <mergeCell ref="E51:H51"/>
    <mergeCell ref="I51:L51"/>
    <mergeCell ref="M51:N51"/>
    <mergeCell ref="O51:Q51"/>
    <mergeCell ref="C54:D54"/>
    <mergeCell ref="E54:H54"/>
    <mergeCell ref="I54:L54"/>
    <mergeCell ref="M54:N54"/>
    <mergeCell ref="O54:Q54"/>
    <mergeCell ref="C53:D53"/>
    <mergeCell ref="E53:H53"/>
    <mergeCell ref="I53:L53"/>
    <mergeCell ref="M53:N53"/>
    <mergeCell ref="O53:Q53"/>
    <mergeCell ref="L63:Q63"/>
    <mergeCell ref="A65:T65"/>
    <mergeCell ref="A66:T66"/>
    <mergeCell ref="C55:D55"/>
    <mergeCell ref="E55:H55"/>
    <mergeCell ref="I55:L55"/>
    <mergeCell ref="M55:N55"/>
    <mergeCell ref="O55:Q55"/>
    <mergeCell ref="C56:D56"/>
    <mergeCell ref="E56:H56"/>
    <mergeCell ref="I56:L56"/>
    <mergeCell ref="M56:N56"/>
    <mergeCell ref="O56:Q56"/>
  </mergeCells>
  <conditionalFormatting sqref="E38 E9 P9 P29 P31:P35 E31:E35 E28:P28 M38:P38 N36:P37 E8:P8 E10:P10">
    <cfRule type="cellIs" dxfId="142" priority="10" operator="equal">
      <formula>0</formula>
    </cfRule>
  </conditionalFormatting>
  <conditionalFormatting sqref="E38 E9 P9 P29 P31:P35 E31:E35 E28:P28 M38:P38 N36:P37 E8:P8 E10:P10">
    <cfRule type="containsErrors" dxfId="141" priority="9">
      <formula>ISERROR(E8)</formula>
    </cfRule>
  </conditionalFormatting>
  <conditionalFormatting sqref="E36:E37">
    <cfRule type="cellIs" dxfId="140" priority="8" operator="equal">
      <formula>0</formula>
    </cfRule>
  </conditionalFormatting>
  <conditionalFormatting sqref="E36:E37">
    <cfRule type="containsErrors" dxfId="139" priority="7">
      <formula>ISERROR(E36)</formula>
    </cfRule>
  </conditionalFormatting>
  <conditionalFormatting sqref="E29">
    <cfRule type="cellIs" dxfId="138" priority="6" operator="equal">
      <formula>0</formula>
    </cfRule>
  </conditionalFormatting>
  <conditionalFormatting sqref="E29">
    <cfRule type="containsErrors" dxfId="137" priority="5">
      <formula>ISERROR(E29)</formula>
    </cfRule>
  </conditionalFormatting>
  <conditionalFormatting sqref="P30 E30">
    <cfRule type="containsErrors" dxfId="136" priority="3">
      <formula>ISERROR(E30)</formula>
    </cfRule>
  </conditionalFormatting>
  <conditionalFormatting sqref="P30 E30">
    <cfRule type="cellIs" dxfId="135" priority="4" operator="equal">
      <formula>0</formula>
    </cfRule>
  </conditionalFormatting>
  <conditionalFormatting sqref="P39 E39">
    <cfRule type="cellIs" dxfId="134" priority="2" operator="equal">
      <formula>0</formula>
    </cfRule>
  </conditionalFormatting>
  <conditionalFormatting sqref="P39 E39">
    <cfRule type="containsErrors" dxfId="133" priority="1">
      <formula>ISERROR(E39)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W83"/>
  <sheetViews>
    <sheetView view="pageBreakPreview" topLeftCell="A2" zoomScaleNormal="100" zoomScaleSheetLayoutView="100" workbookViewId="0">
      <selection activeCell="A2" sqref="A2:V3"/>
    </sheetView>
  </sheetViews>
  <sheetFormatPr baseColWidth="10" defaultColWidth="11.42578125" defaultRowHeight="12.75" x14ac:dyDescent="0.2"/>
  <cols>
    <col min="1" max="1" width="1.28515625" style="1008" customWidth="1"/>
    <col min="2" max="2" width="2.42578125" style="1008" customWidth="1"/>
    <col min="3" max="3" width="22.28515625" style="1008" customWidth="1"/>
    <col min="4" max="4" width="1.5703125" style="1008" customWidth="1"/>
    <col min="5" max="5" width="8.5703125" style="1008" customWidth="1"/>
    <col min="6" max="6" width="1.85546875" style="1008" customWidth="1"/>
    <col min="7" max="7" width="4.7109375" style="1008" customWidth="1"/>
    <col min="8" max="8" width="5.85546875" style="1008" customWidth="1"/>
    <col min="9" max="9" width="3.5703125" style="1008" customWidth="1"/>
    <col min="10" max="10" width="6.28515625" style="1008" customWidth="1"/>
    <col min="11" max="11" width="3.28515625" style="1008" customWidth="1"/>
    <col min="12" max="12" width="6.28515625" style="1008" customWidth="1"/>
    <col min="13" max="13" width="6.5703125" style="1008" customWidth="1"/>
    <col min="14" max="14" width="3.140625" style="1008" customWidth="1"/>
    <col min="15" max="15" width="0.42578125" style="1008" customWidth="1"/>
    <col min="16" max="16" width="1" style="1008" customWidth="1"/>
    <col min="17" max="17" width="3.85546875" style="1008" customWidth="1"/>
    <col min="18" max="18" width="9.28515625" style="1008" customWidth="1"/>
    <col min="19" max="19" width="1.140625" style="1008" customWidth="1"/>
    <col min="20" max="20" width="2.5703125" style="1008" customWidth="1"/>
    <col min="21" max="21" width="2.42578125" style="1008" customWidth="1"/>
    <col min="22" max="22" width="0.85546875" style="1008" customWidth="1"/>
    <col min="23" max="241" width="11.42578125" style="1008"/>
    <col min="242" max="242" width="2.28515625" style="1008" customWidth="1"/>
    <col min="243" max="243" width="2.7109375" style="1008" customWidth="1"/>
    <col min="244" max="244" width="2.42578125" style="1008" customWidth="1"/>
    <col min="245" max="245" width="17.7109375" style="1008" customWidth="1"/>
    <col min="246" max="246" width="1.5703125" style="1008" customWidth="1"/>
    <col min="247" max="247" width="6.42578125" style="1008" customWidth="1"/>
    <col min="248" max="248" width="13.140625" style="1008" customWidth="1"/>
    <col min="249" max="249" width="1" style="1008" customWidth="1"/>
    <col min="250" max="250" width="19.5703125" style="1008" customWidth="1"/>
    <col min="251" max="251" width="0.85546875" style="1008" customWidth="1"/>
    <col min="252" max="252" width="14.42578125" style="1008" customWidth="1"/>
    <col min="253" max="253" width="12.85546875" style="1008" customWidth="1"/>
    <col min="254" max="254" width="6.140625" style="1008" customWidth="1"/>
    <col min="255" max="256" width="11.42578125" style="1008"/>
    <col min="257" max="257" width="15.42578125" style="1008" customWidth="1"/>
    <col min="258" max="497" width="11.42578125" style="1008"/>
    <col min="498" max="498" width="2.28515625" style="1008" customWidth="1"/>
    <col min="499" max="499" width="2.7109375" style="1008" customWidth="1"/>
    <col min="500" max="500" width="2.42578125" style="1008" customWidth="1"/>
    <col min="501" max="501" width="17.7109375" style="1008" customWidth="1"/>
    <col min="502" max="502" width="1.5703125" style="1008" customWidth="1"/>
    <col min="503" max="503" width="6.42578125" style="1008" customWidth="1"/>
    <col min="504" max="504" width="13.140625" style="1008" customWidth="1"/>
    <col min="505" max="505" width="1" style="1008" customWidth="1"/>
    <col min="506" max="506" width="19.5703125" style="1008" customWidth="1"/>
    <col min="507" max="507" width="0.85546875" style="1008" customWidth="1"/>
    <col min="508" max="508" width="14.42578125" style="1008" customWidth="1"/>
    <col min="509" max="509" width="12.85546875" style="1008" customWidth="1"/>
    <col min="510" max="510" width="6.140625" style="1008" customWidth="1"/>
    <col min="511" max="512" width="11.42578125" style="1008"/>
    <col min="513" max="513" width="15.42578125" style="1008" customWidth="1"/>
    <col min="514" max="753" width="11.42578125" style="1008"/>
    <col min="754" max="754" width="2.28515625" style="1008" customWidth="1"/>
    <col min="755" max="755" width="2.7109375" style="1008" customWidth="1"/>
    <col min="756" max="756" width="2.42578125" style="1008" customWidth="1"/>
    <col min="757" max="757" width="17.7109375" style="1008" customWidth="1"/>
    <col min="758" max="758" width="1.5703125" style="1008" customWidth="1"/>
    <col min="759" max="759" width="6.42578125" style="1008" customWidth="1"/>
    <col min="760" max="760" width="13.140625" style="1008" customWidth="1"/>
    <col min="761" max="761" width="1" style="1008" customWidth="1"/>
    <col min="762" max="762" width="19.5703125" style="1008" customWidth="1"/>
    <col min="763" max="763" width="0.85546875" style="1008" customWidth="1"/>
    <col min="764" max="764" width="14.42578125" style="1008" customWidth="1"/>
    <col min="765" max="765" width="12.85546875" style="1008" customWidth="1"/>
    <col min="766" max="766" width="6.140625" style="1008" customWidth="1"/>
    <col min="767" max="768" width="11.42578125" style="1008"/>
    <col min="769" max="769" width="15.42578125" style="1008" customWidth="1"/>
    <col min="770" max="1009" width="11.42578125" style="1008"/>
    <col min="1010" max="1010" width="2.28515625" style="1008" customWidth="1"/>
    <col min="1011" max="1011" width="2.7109375" style="1008" customWidth="1"/>
    <col min="1012" max="1012" width="2.42578125" style="1008" customWidth="1"/>
    <col min="1013" max="1013" width="17.7109375" style="1008" customWidth="1"/>
    <col min="1014" max="1014" width="1.5703125" style="1008" customWidth="1"/>
    <col min="1015" max="1015" width="6.42578125" style="1008" customWidth="1"/>
    <col min="1016" max="1016" width="13.140625" style="1008" customWidth="1"/>
    <col min="1017" max="1017" width="1" style="1008" customWidth="1"/>
    <col min="1018" max="1018" width="19.5703125" style="1008" customWidth="1"/>
    <col min="1019" max="1019" width="0.85546875" style="1008" customWidth="1"/>
    <col min="1020" max="1020" width="14.42578125" style="1008" customWidth="1"/>
    <col min="1021" max="1021" width="12.85546875" style="1008" customWidth="1"/>
    <col min="1022" max="1022" width="6.140625" style="1008" customWidth="1"/>
    <col min="1023" max="1024" width="11.42578125" style="1008"/>
    <col min="1025" max="1025" width="15.42578125" style="1008" customWidth="1"/>
    <col min="1026" max="1265" width="11.42578125" style="1008"/>
    <col min="1266" max="1266" width="2.28515625" style="1008" customWidth="1"/>
    <col min="1267" max="1267" width="2.7109375" style="1008" customWidth="1"/>
    <col min="1268" max="1268" width="2.42578125" style="1008" customWidth="1"/>
    <col min="1269" max="1269" width="17.7109375" style="1008" customWidth="1"/>
    <col min="1270" max="1270" width="1.5703125" style="1008" customWidth="1"/>
    <col min="1271" max="1271" width="6.42578125" style="1008" customWidth="1"/>
    <col min="1272" max="1272" width="13.140625" style="1008" customWidth="1"/>
    <col min="1273" max="1273" width="1" style="1008" customWidth="1"/>
    <col min="1274" max="1274" width="19.5703125" style="1008" customWidth="1"/>
    <col min="1275" max="1275" width="0.85546875" style="1008" customWidth="1"/>
    <col min="1276" max="1276" width="14.42578125" style="1008" customWidth="1"/>
    <col min="1277" max="1277" width="12.85546875" style="1008" customWidth="1"/>
    <col min="1278" max="1278" width="6.140625" style="1008" customWidth="1"/>
    <col min="1279" max="1280" width="11.42578125" style="1008"/>
    <col min="1281" max="1281" width="15.42578125" style="1008" customWidth="1"/>
    <col min="1282" max="1521" width="11.42578125" style="1008"/>
    <col min="1522" max="1522" width="2.28515625" style="1008" customWidth="1"/>
    <col min="1523" max="1523" width="2.7109375" style="1008" customWidth="1"/>
    <col min="1524" max="1524" width="2.42578125" style="1008" customWidth="1"/>
    <col min="1525" max="1525" width="17.7109375" style="1008" customWidth="1"/>
    <col min="1526" max="1526" width="1.5703125" style="1008" customWidth="1"/>
    <col min="1527" max="1527" width="6.42578125" style="1008" customWidth="1"/>
    <col min="1528" max="1528" width="13.140625" style="1008" customWidth="1"/>
    <col min="1529" max="1529" width="1" style="1008" customWidth="1"/>
    <col min="1530" max="1530" width="19.5703125" style="1008" customWidth="1"/>
    <col min="1531" max="1531" width="0.85546875" style="1008" customWidth="1"/>
    <col min="1532" max="1532" width="14.42578125" style="1008" customWidth="1"/>
    <col min="1533" max="1533" width="12.85546875" style="1008" customWidth="1"/>
    <col min="1534" max="1534" width="6.140625" style="1008" customWidth="1"/>
    <col min="1535" max="1536" width="11.42578125" style="1008"/>
    <col min="1537" max="1537" width="15.42578125" style="1008" customWidth="1"/>
    <col min="1538" max="1777" width="11.42578125" style="1008"/>
    <col min="1778" max="1778" width="2.28515625" style="1008" customWidth="1"/>
    <col min="1779" max="1779" width="2.7109375" style="1008" customWidth="1"/>
    <col min="1780" max="1780" width="2.42578125" style="1008" customWidth="1"/>
    <col min="1781" max="1781" width="17.7109375" style="1008" customWidth="1"/>
    <col min="1782" max="1782" width="1.5703125" style="1008" customWidth="1"/>
    <col min="1783" max="1783" width="6.42578125" style="1008" customWidth="1"/>
    <col min="1784" max="1784" width="13.140625" style="1008" customWidth="1"/>
    <col min="1785" max="1785" width="1" style="1008" customWidth="1"/>
    <col min="1786" max="1786" width="19.5703125" style="1008" customWidth="1"/>
    <col min="1787" max="1787" width="0.85546875" style="1008" customWidth="1"/>
    <col min="1788" max="1788" width="14.42578125" style="1008" customWidth="1"/>
    <col min="1789" max="1789" width="12.85546875" style="1008" customWidth="1"/>
    <col min="1790" max="1790" width="6.140625" style="1008" customWidth="1"/>
    <col min="1791" max="1792" width="11.42578125" style="1008"/>
    <col min="1793" max="1793" width="15.42578125" style="1008" customWidth="1"/>
    <col min="1794" max="2033" width="11.42578125" style="1008"/>
    <col min="2034" max="2034" width="2.28515625" style="1008" customWidth="1"/>
    <col min="2035" max="2035" width="2.7109375" style="1008" customWidth="1"/>
    <col min="2036" max="2036" width="2.42578125" style="1008" customWidth="1"/>
    <col min="2037" max="2037" width="17.7109375" style="1008" customWidth="1"/>
    <col min="2038" max="2038" width="1.5703125" style="1008" customWidth="1"/>
    <col min="2039" max="2039" width="6.42578125" style="1008" customWidth="1"/>
    <col min="2040" max="2040" width="13.140625" style="1008" customWidth="1"/>
    <col min="2041" max="2041" width="1" style="1008" customWidth="1"/>
    <col min="2042" max="2042" width="19.5703125" style="1008" customWidth="1"/>
    <col min="2043" max="2043" width="0.85546875" style="1008" customWidth="1"/>
    <col min="2044" max="2044" width="14.42578125" style="1008" customWidth="1"/>
    <col min="2045" max="2045" width="12.85546875" style="1008" customWidth="1"/>
    <col min="2046" max="2046" width="6.140625" style="1008" customWidth="1"/>
    <col min="2047" max="2048" width="11.42578125" style="1008"/>
    <col min="2049" max="2049" width="15.42578125" style="1008" customWidth="1"/>
    <col min="2050" max="2289" width="11.42578125" style="1008"/>
    <col min="2290" max="2290" width="2.28515625" style="1008" customWidth="1"/>
    <col min="2291" max="2291" width="2.7109375" style="1008" customWidth="1"/>
    <col min="2292" max="2292" width="2.42578125" style="1008" customWidth="1"/>
    <col min="2293" max="2293" width="17.7109375" style="1008" customWidth="1"/>
    <col min="2294" max="2294" width="1.5703125" style="1008" customWidth="1"/>
    <col min="2295" max="2295" width="6.42578125" style="1008" customWidth="1"/>
    <col min="2296" max="2296" width="13.140625" style="1008" customWidth="1"/>
    <col min="2297" max="2297" width="1" style="1008" customWidth="1"/>
    <col min="2298" max="2298" width="19.5703125" style="1008" customWidth="1"/>
    <col min="2299" max="2299" width="0.85546875" style="1008" customWidth="1"/>
    <col min="2300" max="2300" width="14.42578125" style="1008" customWidth="1"/>
    <col min="2301" max="2301" width="12.85546875" style="1008" customWidth="1"/>
    <col min="2302" max="2302" width="6.140625" style="1008" customWidth="1"/>
    <col min="2303" max="2304" width="11.42578125" style="1008"/>
    <col min="2305" max="2305" width="15.42578125" style="1008" customWidth="1"/>
    <col min="2306" max="2545" width="11.42578125" style="1008"/>
    <col min="2546" max="2546" width="2.28515625" style="1008" customWidth="1"/>
    <col min="2547" max="2547" width="2.7109375" style="1008" customWidth="1"/>
    <col min="2548" max="2548" width="2.42578125" style="1008" customWidth="1"/>
    <col min="2549" max="2549" width="17.7109375" style="1008" customWidth="1"/>
    <col min="2550" max="2550" width="1.5703125" style="1008" customWidth="1"/>
    <col min="2551" max="2551" width="6.42578125" style="1008" customWidth="1"/>
    <col min="2552" max="2552" width="13.140625" style="1008" customWidth="1"/>
    <col min="2553" max="2553" width="1" style="1008" customWidth="1"/>
    <col min="2554" max="2554" width="19.5703125" style="1008" customWidth="1"/>
    <col min="2555" max="2555" width="0.85546875" style="1008" customWidth="1"/>
    <col min="2556" max="2556" width="14.42578125" style="1008" customWidth="1"/>
    <col min="2557" max="2557" width="12.85546875" style="1008" customWidth="1"/>
    <col min="2558" max="2558" width="6.140625" style="1008" customWidth="1"/>
    <col min="2559" max="2560" width="11.42578125" style="1008"/>
    <col min="2561" max="2561" width="15.42578125" style="1008" customWidth="1"/>
    <col min="2562" max="2801" width="11.42578125" style="1008"/>
    <col min="2802" max="2802" width="2.28515625" style="1008" customWidth="1"/>
    <col min="2803" max="2803" width="2.7109375" style="1008" customWidth="1"/>
    <col min="2804" max="2804" width="2.42578125" style="1008" customWidth="1"/>
    <col min="2805" max="2805" width="17.7109375" style="1008" customWidth="1"/>
    <col min="2806" max="2806" width="1.5703125" style="1008" customWidth="1"/>
    <col min="2807" max="2807" width="6.42578125" style="1008" customWidth="1"/>
    <col min="2808" max="2808" width="13.140625" style="1008" customWidth="1"/>
    <col min="2809" max="2809" width="1" style="1008" customWidth="1"/>
    <col min="2810" max="2810" width="19.5703125" style="1008" customWidth="1"/>
    <col min="2811" max="2811" width="0.85546875" style="1008" customWidth="1"/>
    <col min="2812" max="2812" width="14.42578125" style="1008" customWidth="1"/>
    <col min="2813" max="2813" width="12.85546875" style="1008" customWidth="1"/>
    <col min="2814" max="2814" width="6.140625" style="1008" customWidth="1"/>
    <col min="2815" max="2816" width="11.42578125" style="1008"/>
    <col min="2817" max="2817" width="15.42578125" style="1008" customWidth="1"/>
    <col min="2818" max="3057" width="11.42578125" style="1008"/>
    <col min="3058" max="3058" width="2.28515625" style="1008" customWidth="1"/>
    <col min="3059" max="3059" width="2.7109375" style="1008" customWidth="1"/>
    <col min="3060" max="3060" width="2.42578125" style="1008" customWidth="1"/>
    <col min="3061" max="3061" width="17.7109375" style="1008" customWidth="1"/>
    <col min="3062" max="3062" width="1.5703125" style="1008" customWidth="1"/>
    <col min="3063" max="3063" width="6.42578125" style="1008" customWidth="1"/>
    <col min="3064" max="3064" width="13.140625" style="1008" customWidth="1"/>
    <col min="3065" max="3065" width="1" style="1008" customWidth="1"/>
    <col min="3066" max="3066" width="19.5703125" style="1008" customWidth="1"/>
    <col min="3067" max="3067" width="0.85546875" style="1008" customWidth="1"/>
    <col min="3068" max="3068" width="14.42578125" style="1008" customWidth="1"/>
    <col min="3069" max="3069" width="12.85546875" style="1008" customWidth="1"/>
    <col min="3070" max="3070" width="6.140625" style="1008" customWidth="1"/>
    <col min="3071" max="3072" width="11.42578125" style="1008"/>
    <col min="3073" max="3073" width="15.42578125" style="1008" customWidth="1"/>
    <col min="3074" max="3313" width="11.42578125" style="1008"/>
    <col min="3314" max="3314" width="2.28515625" style="1008" customWidth="1"/>
    <col min="3315" max="3315" width="2.7109375" style="1008" customWidth="1"/>
    <col min="3316" max="3316" width="2.42578125" style="1008" customWidth="1"/>
    <col min="3317" max="3317" width="17.7109375" style="1008" customWidth="1"/>
    <col min="3318" max="3318" width="1.5703125" style="1008" customWidth="1"/>
    <col min="3319" max="3319" width="6.42578125" style="1008" customWidth="1"/>
    <col min="3320" max="3320" width="13.140625" style="1008" customWidth="1"/>
    <col min="3321" max="3321" width="1" style="1008" customWidth="1"/>
    <col min="3322" max="3322" width="19.5703125" style="1008" customWidth="1"/>
    <col min="3323" max="3323" width="0.85546875" style="1008" customWidth="1"/>
    <col min="3324" max="3324" width="14.42578125" style="1008" customWidth="1"/>
    <col min="3325" max="3325" width="12.85546875" style="1008" customWidth="1"/>
    <col min="3326" max="3326" width="6.140625" style="1008" customWidth="1"/>
    <col min="3327" max="3328" width="11.42578125" style="1008"/>
    <col min="3329" max="3329" width="15.42578125" style="1008" customWidth="1"/>
    <col min="3330" max="3569" width="11.42578125" style="1008"/>
    <col min="3570" max="3570" width="2.28515625" style="1008" customWidth="1"/>
    <col min="3571" max="3571" width="2.7109375" style="1008" customWidth="1"/>
    <col min="3572" max="3572" width="2.42578125" style="1008" customWidth="1"/>
    <col min="3573" max="3573" width="17.7109375" style="1008" customWidth="1"/>
    <col min="3574" max="3574" width="1.5703125" style="1008" customWidth="1"/>
    <col min="3575" max="3575" width="6.42578125" style="1008" customWidth="1"/>
    <col min="3576" max="3576" width="13.140625" style="1008" customWidth="1"/>
    <col min="3577" max="3577" width="1" style="1008" customWidth="1"/>
    <col min="3578" max="3578" width="19.5703125" style="1008" customWidth="1"/>
    <col min="3579" max="3579" width="0.85546875" style="1008" customWidth="1"/>
    <col min="3580" max="3580" width="14.42578125" style="1008" customWidth="1"/>
    <col min="3581" max="3581" width="12.85546875" style="1008" customWidth="1"/>
    <col min="3582" max="3582" width="6.140625" style="1008" customWidth="1"/>
    <col min="3583" max="3584" width="11.42578125" style="1008"/>
    <col min="3585" max="3585" width="15.42578125" style="1008" customWidth="1"/>
    <col min="3586" max="3825" width="11.42578125" style="1008"/>
    <col min="3826" max="3826" width="2.28515625" style="1008" customWidth="1"/>
    <col min="3827" max="3827" width="2.7109375" style="1008" customWidth="1"/>
    <col min="3828" max="3828" width="2.42578125" style="1008" customWidth="1"/>
    <col min="3829" max="3829" width="17.7109375" style="1008" customWidth="1"/>
    <col min="3830" max="3830" width="1.5703125" style="1008" customWidth="1"/>
    <col min="3831" max="3831" width="6.42578125" style="1008" customWidth="1"/>
    <col min="3832" max="3832" width="13.140625" style="1008" customWidth="1"/>
    <col min="3833" max="3833" width="1" style="1008" customWidth="1"/>
    <col min="3834" max="3834" width="19.5703125" style="1008" customWidth="1"/>
    <col min="3835" max="3835" width="0.85546875" style="1008" customWidth="1"/>
    <col min="3836" max="3836" width="14.42578125" style="1008" customWidth="1"/>
    <col min="3837" max="3837" width="12.85546875" style="1008" customWidth="1"/>
    <col min="3838" max="3838" width="6.140625" style="1008" customWidth="1"/>
    <col min="3839" max="3840" width="11.42578125" style="1008"/>
    <col min="3841" max="3841" width="15.42578125" style="1008" customWidth="1"/>
    <col min="3842" max="4081" width="11.42578125" style="1008"/>
    <col min="4082" max="4082" width="2.28515625" style="1008" customWidth="1"/>
    <col min="4083" max="4083" width="2.7109375" style="1008" customWidth="1"/>
    <col min="4084" max="4084" width="2.42578125" style="1008" customWidth="1"/>
    <col min="4085" max="4085" width="17.7109375" style="1008" customWidth="1"/>
    <col min="4086" max="4086" width="1.5703125" style="1008" customWidth="1"/>
    <col min="4087" max="4087" width="6.42578125" style="1008" customWidth="1"/>
    <col min="4088" max="4088" width="13.140625" style="1008" customWidth="1"/>
    <col min="4089" max="4089" width="1" style="1008" customWidth="1"/>
    <col min="4090" max="4090" width="19.5703125" style="1008" customWidth="1"/>
    <col min="4091" max="4091" width="0.85546875" style="1008" customWidth="1"/>
    <col min="4092" max="4092" width="14.42578125" style="1008" customWidth="1"/>
    <col min="4093" max="4093" width="12.85546875" style="1008" customWidth="1"/>
    <col min="4094" max="4094" width="6.140625" style="1008" customWidth="1"/>
    <col min="4095" max="4096" width="11.42578125" style="1008"/>
    <col min="4097" max="4097" width="15.42578125" style="1008" customWidth="1"/>
    <col min="4098" max="4337" width="11.42578125" style="1008"/>
    <col min="4338" max="4338" width="2.28515625" style="1008" customWidth="1"/>
    <col min="4339" max="4339" width="2.7109375" style="1008" customWidth="1"/>
    <col min="4340" max="4340" width="2.42578125" style="1008" customWidth="1"/>
    <col min="4341" max="4341" width="17.7109375" style="1008" customWidth="1"/>
    <col min="4342" max="4342" width="1.5703125" style="1008" customWidth="1"/>
    <col min="4343" max="4343" width="6.42578125" style="1008" customWidth="1"/>
    <col min="4344" max="4344" width="13.140625" style="1008" customWidth="1"/>
    <col min="4345" max="4345" width="1" style="1008" customWidth="1"/>
    <col min="4346" max="4346" width="19.5703125" style="1008" customWidth="1"/>
    <col min="4347" max="4347" width="0.85546875" style="1008" customWidth="1"/>
    <col min="4348" max="4348" width="14.42578125" style="1008" customWidth="1"/>
    <col min="4349" max="4349" width="12.85546875" style="1008" customWidth="1"/>
    <col min="4350" max="4350" width="6.140625" style="1008" customWidth="1"/>
    <col min="4351" max="4352" width="11.42578125" style="1008"/>
    <col min="4353" max="4353" width="15.42578125" style="1008" customWidth="1"/>
    <col min="4354" max="4593" width="11.42578125" style="1008"/>
    <col min="4594" max="4594" width="2.28515625" style="1008" customWidth="1"/>
    <col min="4595" max="4595" width="2.7109375" style="1008" customWidth="1"/>
    <col min="4596" max="4596" width="2.42578125" style="1008" customWidth="1"/>
    <col min="4597" max="4597" width="17.7109375" style="1008" customWidth="1"/>
    <col min="4598" max="4598" width="1.5703125" style="1008" customWidth="1"/>
    <col min="4599" max="4599" width="6.42578125" style="1008" customWidth="1"/>
    <col min="4600" max="4600" width="13.140625" style="1008" customWidth="1"/>
    <col min="4601" max="4601" width="1" style="1008" customWidth="1"/>
    <col min="4602" max="4602" width="19.5703125" style="1008" customWidth="1"/>
    <col min="4603" max="4603" width="0.85546875" style="1008" customWidth="1"/>
    <col min="4604" max="4604" width="14.42578125" style="1008" customWidth="1"/>
    <col min="4605" max="4605" width="12.85546875" style="1008" customWidth="1"/>
    <col min="4606" max="4606" width="6.140625" style="1008" customWidth="1"/>
    <col min="4607" max="4608" width="11.42578125" style="1008"/>
    <col min="4609" max="4609" width="15.42578125" style="1008" customWidth="1"/>
    <col min="4610" max="4849" width="11.42578125" style="1008"/>
    <col min="4850" max="4850" width="2.28515625" style="1008" customWidth="1"/>
    <col min="4851" max="4851" width="2.7109375" style="1008" customWidth="1"/>
    <col min="4852" max="4852" width="2.42578125" style="1008" customWidth="1"/>
    <col min="4853" max="4853" width="17.7109375" style="1008" customWidth="1"/>
    <col min="4854" max="4854" width="1.5703125" style="1008" customWidth="1"/>
    <col min="4855" max="4855" width="6.42578125" style="1008" customWidth="1"/>
    <col min="4856" max="4856" width="13.140625" style="1008" customWidth="1"/>
    <col min="4857" max="4857" width="1" style="1008" customWidth="1"/>
    <col min="4858" max="4858" width="19.5703125" style="1008" customWidth="1"/>
    <col min="4859" max="4859" width="0.85546875" style="1008" customWidth="1"/>
    <col min="4860" max="4860" width="14.42578125" style="1008" customWidth="1"/>
    <col min="4861" max="4861" width="12.85546875" style="1008" customWidth="1"/>
    <col min="4862" max="4862" width="6.140625" style="1008" customWidth="1"/>
    <col min="4863" max="4864" width="11.42578125" style="1008"/>
    <col min="4865" max="4865" width="15.42578125" style="1008" customWidth="1"/>
    <col min="4866" max="5105" width="11.42578125" style="1008"/>
    <col min="5106" max="5106" width="2.28515625" style="1008" customWidth="1"/>
    <col min="5107" max="5107" width="2.7109375" style="1008" customWidth="1"/>
    <col min="5108" max="5108" width="2.42578125" style="1008" customWidth="1"/>
    <col min="5109" max="5109" width="17.7109375" style="1008" customWidth="1"/>
    <col min="5110" max="5110" width="1.5703125" style="1008" customWidth="1"/>
    <col min="5111" max="5111" width="6.42578125" style="1008" customWidth="1"/>
    <col min="5112" max="5112" width="13.140625" style="1008" customWidth="1"/>
    <col min="5113" max="5113" width="1" style="1008" customWidth="1"/>
    <col min="5114" max="5114" width="19.5703125" style="1008" customWidth="1"/>
    <col min="5115" max="5115" width="0.85546875" style="1008" customWidth="1"/>
    <col min="5116" max="5116" width="14.42578125" style="1008" customWidth="1"/>
    <col min="5117" max="5117" width="12.85546875" style="1008" customWidth="1"/>
    <col min="5118" max="5118" width="6.140625" style="1008" customWidth="1"/>
    <col min="5119" max="5120" width="11.42578125" style="1008"/>
    <col min="5121" max="5121" width="15.42578125" style="1008" customWidth="1"/>
    <col min="5122" max="5361" width="11.42578125" style="1008"/>
    <col min="5362" max="5362" width="2.28515625" style="1008" customWidth="1"/>
    <col min="5363" max="5363" width="2.7109375" style="1008" customWidth="1"/>
    <col min="5364" max="5364" width="2.42578125" style="1008" customWidth="1"/>
    <col min="5365" max="5365" width="17.7109375" style="1008" customWidth="1"/>
    <col min="5366" max="5366" width="1.5703125" style="1008" customWidth="1"/>
    <col min="5367" max="5367" width="6.42578125" style="1008" customWidth="1"/>
    <col min="5368" max="5368" width="13.140625" style="1008" customWidth="1"/>
    <col min="5369" max="5369" width="1" style="1008" customWidth="1"/>
    <col min="5370" max="5370" width="19.5703125" style="1008" customWidth="1"/>
    <col min="5371" max="5371" width="0.85546875" style="1008" customWidth="1"/>
    <col min="5372" max="5372" width="14.42578125" style="1008" customWidth="1"/>
    <col min="5373" max="5373" width="12.85546875" style="1008" customWidth="1"/>
    <col min="5374" max="5374" width="6.140625" style="1008" customWidth="1"/>
    <col min="5375" max="5376" width="11.42578125" style="1008"/>
    <col min="5377" max="5377" width="15.42578125" style="1008" customWidth="1"/>
    <col min="5378" max="5617" width="11.42578125" style="1008"/>
    <col min="5618" max="5618" width="2.28515625" style="1008" customWidth="1"/>
    <col min="5619" max="5619" width="2.7109375" style="1008" customWidth="1"/>
    <col min="5620" max="5620" width="2.42578125" style="1008" customWidth="1"/>
    <col min="5621" max="5621" width="17.7109375" style="1008" customWidth="1"/>
    <col min="5622" max="5622" width="1.5703125" style="1008" customWidth="1"/>
    <col min="5623" max="5623" width="6.42578125" style="1008" customWidth="1"/>
    <col min="5624" max="5624" width="13.140625" style="1008" customWidth="1"/>
    <col min="5625" max="5625" width="1" style="1008" customWidth="1"/>
    <col min="5626" max="5626" width="19.5703125" style="1008" customWidth="1"/>
    <col min="5627" max="5627" width="0.85546875" style="1008" customWidth="1"/>
    <col min="5628" max="5628" width="14.42578125" style="1008" customWidth="1"/>
    <col min="5629" max="5629" width="12.85546875" style="1008" customWidth="1"/>
    <col min="5630" max="5630" width="6.140625" style="1008" customWidth="1"/>
    <col min="5631" max="5632" width="11.42578125" style="1008"/>
    <col min="5633" max="5633" width="15.42578125" style="1008" customWidth="1"/>
    <col min="5634" max="5873" width="11.42578125" style="1008"/>
    <col min="5874" max="5874" width="2.28515625" style="1008" customWidth="1"/>
    <col min="5875" max="5875" width="2.7109375" style="1008" customWidth="1"/>
    <col min="5876" max="5876" width="2.42578125" style="1008" customWidth="1"/>
    <col min="5877" max="5877" width="17.7109375" style="1008" customWidth="1"/>
    <col min="5878" max="5878" width="1.5703125" style="1008" customWidth="1"/>
    <col min="5879" max="5879" width="6.42578125" style="1008" customWidth="1"/>
    <col min="5880" max="5880" width="13.140625" style="1008" customWidth="1"/>
    <col min="5881" max="5881" width="1" style="1008" customWidth="1"/>
    <col min="5882" max="5882" width="19.5703125" style="1008" customWidth="1"/>
    <col min="5883" max="5883" width="0.85546875" style="1008" customWidth="1"/>
    <col min="5884" max="5884" width="14.42578125" style="1008" customWidth="1"/>
    <col min="5885" max="5885" width="12.85546875" style="1008" customWidth="1"/>
    <col min="5886" max="5886" width="6.140625" style="1008" customWidth="1"/>
    <col min="5887" max="5888" width="11.42578125" style="1008"/>
    <col min="5889" max="5889" width="15.42578125" style="1008" customWidth="1"/>
    <col min="5890" max="6129" width="11.42578125" style="1008"/>
    <col min="6130" max="6130" width="2.28515625" style="1008" customWidth="1"/>
    <col min="6131" max="6131" width="2.7109375" style="1008" customWidth="1"/>
    <col min="6132" max="6132" width="2.42578125" style="1008" customWidth="1"/>
    <col min="6133" max="6133" width="17.7109375" style="1008" customWidth="1"/>
    <col min="6134" max="6134" width="1.5703125" style="1008" customWidth="1"/>
    <col min="6135" max="6135" width="6.42578125" style="1008" customWidth="1"/>
    <col min="6136" max="6136" width="13.140625" style="1008" customWidth="1"/>
    <col min="6137" max="6137" width="1" style="1008" customWidth="1"/>
    <col min="6138" max="6138" width="19.5703125" style="1008" customWidth="1"/>
    <col min="6139" max="6139" width="0.85546875" style="1008" customWidth="1"/>
    <col min="6140" max="6140" width="14.42578125" style="1008" customWidth="1"/>
    <col min="6141" max="6141" width="12.85546875" style="1008" customWidth="1"/>
    <col min="6142" max="6142" width="6.140625" style="1008" customWidth="1"/>
    <col min="6143" max="6144" width="11.42578125" style="1008"/>
    <col min="6145" max="6145" width="15.42578125" style="1008" customWidth="1"/>
    <col min="6146" max="6385" width="11.42578125" style="1008"/>
    <col min="6386" max="6386" width="2.28515625" style="1008" customWidth="1"/>
    <col min="6387" max="6387" width="2.7109375" style="1008" customWidth="1"/>
    <col min="6388" max="6388" width="2.42578125" style="1008" customWidth="1"/>
    <col min="6389" max="6389" width="17.7109375" style="1008" customWidth="1"/>
    <col min="6390" max="6390" width="1.5703125" style="1008" customWidth="1"/>
    <col min="6391" max="6391" width="6.42578125" style="1008" customWidth="1"/>
    <col min="6392" max="6392" width="13.140625" style="1008" customWidth="1"/>
    <col min="6393" max="6393" width="1" style="1008" customWidth="1"/>
    <col min="6394" max="6394" width="19.5703125" style="1008" customWidth="1"/>
    <col min="6395" max="6395" width="0.85546875" style="1008" customWidth="1"/>
    <col min="6396" max="6396" width="14.42578125" style="1008" customWidth="1"/>
    <col min="6397" max="6397" width="12.85546875" style="1008" customWidth="1"/>
    <col min="6398" max="6398" width="6.140625" style="1008" customWidth="1"/>
    <col min="6399" max="6400" width="11.42578125" style="1008"/>
    <col min="6401" max="6401" width="15.42578125" style="1008" customWidth="1"/>
    <col min="6402" max="6641" width="11.42578125" style="1008"/>
    <col min="6642" max="6642" width="2.28515625" style="1008" customWidth="1"/>
    <col min="6643" max="6643" width="2.7109375" style="1008" customWidth="1"/>
    <col min="6644" max="6644" width="2.42578125" style="1008" customWidth="1"/>
    <col min="6645" max="6645" width="17.7109375" style="1008" customWidth="1"/>
    <col min="6646" max="6646" width="1.5703125" style="1008" customWidth="1"/>
    <col min="6647" max="6647" width="6.42578125" style="1008" customWidth="1"/>
    <col min="6648" max="6648" width="13.140625" style="1008" customWidth="1"/>
    <col min="6649" max="6649" width="1" style="1008" customWidth="1"/>
    <col min="6650" max="6650" width="19.5703125" style="1008" customWidth="1"/>
    <col min="6651" max="6651" width="0.85546875" style="1008" customWidth="1"/>
    <col min="6652" max="6652" width="14.42578125" style="1008" customWidth="1"/>
    <col min="6653" max="6653" width="12.85546875" style="1008" customWidth="1"/>
    <col min="6654" max="6654" width="6.140625" style="1008" customWidth="1"/>
    <col min="6655" max="6656" width="11.42578125" style="1008"/>
    <col min="6657" max="6657" width="15.42578125" style="1008" customWidth="1"/>
    <col min="6658" max="6897" width="11.42578125" style="1008"/>
    <col min="6898" max="6898" width="2.28515625" style="1008" customWidth="1"/>
    <col min="6899" max="6899" width="2.7109375" style="1008" customWidth="1"/>
    <col min="6900" max="6900" width="2.42578125" style="1008" customWidth="1"/>
    <col min="6901" max="6901" width="17.7109375" style="1008" customWidth="1"/>
    <col min="6902" max="6902" width="1.5703125" style="1008" customWidth="1"/>
    <col min="6903" max="6903" width="6.42578125" style="1008" customWidth="1"/>
    <col min="6904" max="6904" width="13.140625" style="1008" customWidth="1"/>
    <col min="6905" max="6905" width="1" style="1008" customWidth="1"/>
    <col min="6906" max="6906" width="19.5703125" style="1008" customWidth="1"/>
    <col min="6907" max="6907" width="0.85546875" style="1008" customWidth="1"/>
    <col min="6908" max="6908" width="14.42578125" style="1008" customWidth="1"/>
    <col min="6909" max="6909" width="12.85546875" style="1008" customWidth="1"/>
    <col min="6910" max="6910" width="6.140625" style="1008" customWidth="1"/>
    <col min="6911" max="6912" width="11.42578125" style="1008"/>
    <col min="6913" max="6913" width="15.42578125" style="1008" customWidth="1"/>
    <col min="6914" max="7153" width="11.42578125" style="1008"/>
    <col min="7154" max="7154" width="2.28515625" style="1008" customWidth="1"/>
    <col min="7155" max="7155" width="2.7109375" style="1008" customWidth="1"/>
    <col min="7156" max="7156" width="2.42578125" style="1008" customWidth="1"/>
    <col min="7157" max="7157" width="17.7109375" style="1008" customWidth="1"/>
    <col min="7158" max="7158" width="1.5703125" style="1008" customWidth="1"/>
    <col min="7159" max="7159" width="6.42578125" style="1008" customWidth="1"/>
    <col min="7160" max="7160" width="13.140625" style="1008" customWidth="1"/>
    <col min="7161" max="7161" width="1" style="1008" customWidth="1"/>
    <col min="7162" max="7162" width="19.5703125" style="1008" customWidth="1"/>
    <col min="7163" max="7163" width="0.85546875" style="1008" customWidth="1"/>
    <col min="7164" max="7164" width="14.42578125" style="1008" customWidth="1"/>
    <col min="7165" max="7165" width="12.85546875" style="1008" customWidth="1"/>
    <col min="7166" max="7166" width="6.140625" style="1008" customWidth="1"/>
    <col min="7167" max="7168" width="11.42578125" style="1008"/>
    <col min="7169" max="7169" width="15.42578125" style="1008" customWidth="1"/>
    <col min="7170" max="7409" width="11.42578125" style="1008"/>
    <col min="7410" max="7410" width="2.28515625" style="1008" customWidth="1"/>
    <col min="7411" max="7411" width="2.7109375" style="1008" customWidth="1"/>
    <col min="7412" max="7412" width="2.42578125" style="1008" customWidth="1"/>
    <col min="7413" max="7413" width="17.7109375" style="1008" customWidth="1"/>
    <col min="7414" max="7414" width="1.5703125" style="1008" customWidth="1"/>
    <col min="7415" max="7415" width="6.42578125" style="1008" customWidth="1"/>
    <col min="7416" max="7416" width="13.140625" style="1008" customWidth="1"/>
    <col min="7417" max="7417" width="1" style="1008" customWidth="1"/>
    <col min="7418" max="7418" width="19.5703125" style="1008" customWidth="1"/>
    <col min="7419" max="7419" width="0.85546875" style="1008" customWidth="1"/>
    <col min="7420" max="7420" width="14.42578125" style="1008" customWidth="1"/>
    <col min="7421" max="7421" width="12.85546875" style="1008" customWidth="1"/>
    <col min="7422" max="7422" width="6.140625" style="1008" customWidth="1"/>
    <col min="7423" max="7424" width="11.42578125" style="1008"/>
    <col min="7425" max="7425" width="15.42578125" style="1008" customWidth="1"/>
    <col min="7426" max="7665" width="11.42578125" style="1008"/>
    <col min="7666" max="7666" width="2.28515625" style="1008" customWidth="1"/>
    <col min="7667" max="7667" width="2.7109375" style="1008" customWidth="1"/>
    <col min="7668" max="7668" width="2.42578125" style="1008" customWidth="1"/>
    <col min="7669" max="7669" width="17.7109375" style="1008" customWidth="1"/>
    <col min="7670" max="7670" width="1.5703125" style="1008" customWidth="1"/>
    <col min="7671" max="7671" width="6.42578125" style="1008" customWidth="1"/>
    <col min="7672" max="7672" width="13.140625" style="1008" customWidth="1"/>
    <col min="7673" max="7673" width="1" style="1008" customWidth="1"/>
    <col min="7674" max="7674" width="19.5703125" style="1008" customWidth="1"/>
    <col min="7675" max="7675" width="0.85546875" style="1008" customWidth="1"/>
    <col min="7676" max="7676" width="14.42578125" style="1008" customWidth="1"/>
    <col min="7677" max="7677" width="12.85546875" style="1008" customWidth="1"/>
    <col min="7678" max="7678" width="6.140625" style="1008" customWidth="1"/>
    <col min="7679" max="7680" width="11.42578125" style="1008"/>
    <col min="7681" max="7681" width="15.42578125" style="1008" customWidth="1"/>
    <col min="7682" max="7921" width="11.42578125" style="1008"/>
    <col min="7922" max="7922" width="2.28515625" style="1008" customWidth="1"/>
    <col min="7923" max="7923" width="2.7109375" style="1008" customWidth="1"/>
    <col min="7924" max="7924" width="2.42578125" style="1008" customWidth="1"/>
    <col min="7925" max="7925" width="17.7109375" style="1008" customWidth="1"/>
    <col min="7926" max="7926" width="1.5703125" style="1008" customWidth="1"/>
    <col min="7927" max="7927" width="6.42578125" style="1008" customWidth="1"/>
    <col min="7928" max="7928" width="13.140625" style="1008" customWidth="1"/>
    <col min="7929" max="7929" width="1" style="1008" customWidth="1"/>
    <col min="7930" max="7930" width="19.5703125" style="1008" customWidth="1"/>
    <col min="7931" max="7931" width="0.85546875" style="1008" customWidth="1"/>
    <col min="7932" max="7932" width="14.42578125" style="1008" customWidth="1"/>
    <col min="7933" max="7933" width="12.85546875" style="1008" customWidth="1"/>
    <col min="7934" max="7934" width="6.140625" style="1008" customWidth="1"/>
    <col min="7935" max="7936" width="11.42578125" style="1008"/>
    <col min="7937" max="7937" width="15.42578125" style="1008" customWidth="1"/>
    <col min="7938" max="8177" width="11.42578125" style="1008"/>
    <col min="8178" max="8178" width="2.28515625" style="1008" customWidth="1"/>
    <col min="8179" max="8179" width="2.7109375" style="1008" customWidth="1"/>
    <col min="8180" max="8180" width="2.42578125" style="1008" customWidth="1"/>
    <col min="8181" max="8181" width="17.7109375" style="1008" customWidth="1"/>
    <col min="8182" max="8182" width="1.5703125" style="1008" customWidth="1"/>
    <col min="8183" max="8183" width="6.42578125" style="1008" customWidth="1"/>
    <col min="8184" max="8184" width="13.140625" style="1008" customWidth="1"/>
    <col min="8185" max="8185" width="1" style="1008" customWidth="1"/>
    <col min="8186" max="8186" width="19.5703125" style="1008" customWidth="1"/>
    <col min="8187" max="8187" width="0.85546875" style="1008" customWidth="1"/>
    <col min="8188" max="8188" width="14.42578125" style="1008" customWidth="1"/>
    <col min="8189" max="8189" width="12.85546875" style="1008" customWidth="1"/>
    <col min="8190" max="8190" width="6.140625" style="1008" customWidth="1"/>
    <col min="8191" max="8192" width="11.42578125" style="1008"/>
    <col min="8193" max="8193" width="15.42578125" style="1008" customWidth="1"/>
    <col min="8194" max="8433" width="11.42578125" style="1008"/>
    <col min="8434" max="8434" width="2.28515625" style="1008" customWidth="1"/>
    <col min="8435" max="8435" width="2.7109375" style="1008" customWidth="1"/>
    <col min="8436" max="8436" width="2.42578125" style="1008" customWidth="1"/>
    <col min="8437" max="8437" width="17.7109375" style="1008" customWidth="1"/>
    <col min="8438" max="8438" width="1.5703125" style="1008" customWidth="1"/>
    <col min="8439" max="8439" width="6.42578125" style="1008" customWidth="1"/>
    <col min="8440" max="8440" width="13.140625" style="1008" customWidth="1"/>
    <col min="8441" max="8441" width="1" style="1008" customWidth="1"/>
    <col min="8442" max="8442" width="19.5703125" style="1008" customWidth="1"/>
    <col min="8443" max="8443" width="0.85546875" style="1008" customWidth="1"/>
    <col min="8444" max="8444" width="14.42578125" style="1008" customWidth="1"/>
    <col min="8445" max="8445" width="12.85546875" style="1008" customWidth="1"/>
    <col min="8446" max="8446" width="6.140625" style="1008" customWidth="1"/>
    <col min="8447" max="8448" width="11.42578125" style="1008"/>
    <col min="8449" max="8449" width="15.42578125" style="1008" customWidth="1"/>
    <col min="8450" max="8689" width="11.42578125" style="1008"/>
    <col min="8690" max="8690" width="2.28515625" style="1008" customWidth="1"/>
    <col min="8691" max="8691" width="2.7109375" style="1008" customWidth="1"/>
    <col min="8692" max="8692" width="2.42578125" style="1008" customWidth="1"/>
    <col min="8693" max="8693" width="17.7109375" style="1008" customWidth="1"/>
    <col min="8694" max="8694" width="1.5703125" style="1008" customWidth="1"/>
    <col min="8695" max="8695" width="6.42578125" style="1008" customWidth="1"/>
    <col min="8696" max="8696" width="13.140625" style="1008" customWidth="1"/>
    <col min="8697" max="8697" width="1" style="1008" customWidth="1"/>
    <col min="8698" max="8698" width="19.5703125" style="1008" customWidth="1"/>
    <col min="8699" max="8699" width="0.85546875" style="1008" customWidth="1"/>
    <col min="8700" max="8700" width="14.42578125" style="1008" customWidth="1"/>
    <col min="8701" max="8701" width="12.85546875" style="1008" customWidth="1"/>
    <col min="8702" max="8702" width="6.140625" style="1008" customWidth="1"/>
    <col min="8703" max="8704" width="11.42578125" style="1008"/>
    <col min="8705" max="8705" width="15.42578125" style="1008" customWidth="1"/>
    <col min="8706" max="8945" width="11.42578125" style="1008"/>
    <col min="8946" max="8946" width="2.28515625" style="1008" customWidth="1"/>
    <col min="8947" max="8947" width="2.7109375" style="1008" customWidth="1"/>
    <col min="8948" max="8948" width="2.42578125" style="1008" customWidth="1"/>
    <col min="8949" max="8949" width="17.7109375" style="1008" customWidth="1"/>
    <col min="8950" max="8950" width="1.5703125" style="1008" customWidth="1"/>
    <col min="8951" max="8951" width="6.42578125" style="1008" customWidth="1"/>
    <col min="8952" max="8952" width="13.140625" style="1008" customWidth="1"/>
    <col min="8953" max="8953" width="1" style="1008" customWidth="1"/>
    <col min="8954" max="8954" width="19.5703125" style="1008" customWidth="1"/>
    <col min="8955" max="8955" width="0.85546875" style="1008" customWidth="1"/>
    <col min="8956" max="8956" width="14.42578125" style="1008" customWidth="1"/>
    <col min="8957" max="8957" width="12.85546875" style="1008" customWidth="1"/>
    <col min="8958" max="8958" width="6.140625" style="1008" customWidth="1"/>
    <col min="8959" max="8960" width="11.42578125" style="1008"/>
    <col min="8961" max="8961" width="15.42578125" style="1008" customWidth="1"/>
    <col min="8962" max="9201" width="11.42578125" style="1008"/>
    <col min="9202" max="9202" width="2.28515625" style="1008" customWidth="1"/>
    <col min="9203" max="9203" width="2.7109375" style="1008" customWidth="1"/>
    <col min="9204" max="9204" width="2.42578125" style="1008" customWidth="1"/>
    <col min="9205" max="9205" width="17.7109375" style="1008" customWidth="1"/>
    <col min="9206" max="9206" width="1.5703125" style="1008" customWidth="1"/>
    <col min="9207" max="9207" width="6.42578125" style="1008" customWidth="1"/>
    <col min="9208" max="9208" width="13.140625" style="1008" customWidth="1"/>
    <col min="9209" max="9209" width="1" style="1008" customWidth="1"/>
    <col min="9210" max="9210" width="19.5703125" style="1008" customWidth="1"/>
    <col min="9211" max="9211" width="0.85546875" style="1008" customWidth="1"/>
    <col min="9212" max="9212" width="14.42578125" style="1008" customWidth="1"/>
    <col min="9213" max="9213" width="12.85546875" style="1008" customWidth="1"/>
    <col min="9214" max="9214" width="6.140625" style="1008" customWidth="1"/>
    <col min="9215" max="9216" width="11.42578125" style="1008"/>
    <col min="9217" max="9217" width="15.42578125" style="1008" customWidth="1"/>
    <col min="9218" max="9457" width="11.42578125" style="1008"/>
    <col min="9458" max="9458" width="2.28515625" style="1008" customWidth="1"/>
    <col min="9459" max="9459" width="2.7109375" style="1008" customWidth="1"/>
    <col min="9460" max="9460" width="2.42578125" style="1008" customWidth="1"/>
    <col min="9461" max="9461" width="17.7109375" style="1008" customWidth="1"/>
    <col min="9462" max="9462" width="1.5703125" style="1008" customWidth="1"/>
    <col min="9463" max="9463" width="6.42578125" style="1008" customWidth="1"/>
    <col min="9464" max="9464" width="13.140625" style="1008" customWidth="1"/>
    <col min="9465" max="9465" width="1" style="1008" customWidth="1"/>
    <col min="9466" max="9466" width="19.5703125" style="1008" customWidth="1"/>
    <col min="9467" max="9467" width="0.85546875" style="1008" customWidth="1"/>
    <col min="9468" max="9468" width="14.42578125" style="1008" customWidth="1"/>
    <col min="9469" max="9469" width="12.85546875" style="1008" customWidth="1"/>
    <col min="9470" max="9470" width="6.140625" style="1008" customWidth="1"/>
    <col min="9471" max="9472" width="11.42578125" style="1008"/>
    <col min="9473" max="9473" width="15.42578125" style="1008" customWidth="1"/>
    <col min="9474" max="9713" width="11.42578125" style="1008"/>
    <col min="9714" max="9714" width="2.28515625" style="1008" customWidth="1"/>
    <col min="9715" max="9715" width="2.7109375" style="1008" customWidth="1"/>
    <col min="9716" max="9716" width="2.42578125" style="1008" customWidth="1"/>
    <col min="9717" max="9717" width="17.7109375" style="1008" customWidth="1"/>
    <col min="9718" max="9718" width="1.5703125" style="1008" customWidth="1"/>
    <col min="9719" max="9719" width="6.42578125" style="1008" customWidth="1"/>
    <col min="9720" max="9720" width="13.140625" style="1008" customWidth="1"/>
    <col min="9721" max="9721" width="1" style="1008" customWidth="1"/>
    <col min="9722" max="9722" width="19.5703125" style="1008" customWidth="1"/>
    <col min="9723" max="9723" width="0.85546875" style="1008" customWidth="1"/>
    <col min="9724" max="9724" width="14.42578125" style="1008" customWidth="1"/>
    <col min="9725" max="9725" width="12.85546875" style="1008" customWidth="1"/>
    <col min="9726" max="9726" width="6.140625" style="1008" customWidth="1"/>
    <col min="9727" max="9728" width="11.42578125" style="1008"/>
    <col min="9729" max="9729" width="15.42578125" style="1008" customWidth="1"/>
    <col min="9730" max="9969" width="11.42578125" style="1008"/>
    <col min="9970" max="9970" width="2.28515625" style="1008" customWidth="1"/>
    <col min="9971" max="9971" width="2.7109375" style="1008" customWidth="1"/>
    <col min="9972" max="9972" width="2.42578125" style="1008" customWidth="1"/>
    <col min="9973" max="9973" width="17.7109375" style="1008" customWidth="1"/>
    <col min="9974" max="9974" width="1.5703125" style="1008" customWidth="1"/>
    <col min="9975" max="9975" width="6.42578125" style="1008" customWidth="1"/>
    <col min="9976" max="9976" width="13.140625" style="1008" customWidth="1"/>
    <col min="9977" max="9977" width="1" style="1008" customWidth="1"/>
    <col min="9978" max="9978" width="19.5703125" style="1008" customWidth="1"/>
    <col min="9979" max="9979" width="0.85546875" style="1008" customWidth="1"/>
    <col min="9980" max="9980" width="14.42578125" style="1008" customWidth="1"/>
    <col min="9981" max="9981" width="12.85546875" style="1008" customWidth="1"/>
    <col min="9982" max="9982" width="6.140625" style="1008" customWidth="1"/>
    <col min="9983" max="9984" width="11.42578125" style="1008"/>
    <col min="9985" max="9985" width="15.42578125" style="1008" customWidth="1"/>
    <col min="9986" max="10225" width="11.42578125" style="1008"/>
    <col min="10226" max="10226" width="2.28515625" style="1008" customWidth="1"/>
    <col min="10227" max="10227" width="2.7109375" style="1008" customWidth="1"/>
    <col min="10228" max="10228" width="2.42578125" style="1008" customWidth="1"/>
    <col min="10229" max="10229" width="17.7109375" style="1008" customWidth="1"/>
    <col min="10230" max="10230" width="1.5703125" style="1008" customWidth="1"/>
    <col min="10231" max="10231" width="6.42578125" style="1008" customWidth="1"/>
    <col min="10232" max="10232" width="13.140625" style="1008" customWidth="1"/>
    <col min="10233" max="10233" width="1" style="1008" customWidth="1"/>
    <col min="10234" max="10234" width="19.5703125" style="1008" customWidth="1"/>
    <col min="10235" max="10235" width="0.85546875" style="1008" customWidth="1"/>
    <col min="10236" max="10236" width="14.42578125" style="1008" customWidth="1"/>
    <col min="10237" max="10237" width="12.85546875" style="1008" customWidth="1"/>
    <col min="10238" max="10238" width="6.140625" style="1008" customWidth="1"/>
    <col min="10239" max="10240" width="11.42578125" style="1008"/>
    <col min="10241" max="10241" width="15.42578125" style="1008" customWidth="1"/>
    <col min="10242" max="10481" width="11.42578125" style="1008"/>
    <col min="10482" max="10482" width="2.28515625" style="1008" customWidth="1"/>
    <col min="10483" max="10483" width="2.7109375" style="1008" customWidth="1"/>
    <col min="10484" max="10484" width="2.42578125" style="1008" customWidth="1"/>
    <col min="10485" max="10485" width="17.7109375" style="1008" customWidth="1"/>
    <col min="10486" max="10486" width="1.5703125" style="1008" customWidth="1"/>
    <col min="10487" max="10487" width="6.42578125" style="1008" customWidth="1"/>
    <col min="10488" max="10488" width="13.140625" style="1008" customWidth="1"/>
    <col min="10489" max="10489" width="1" style="1008" customWidth="1"/>
    <col min="10490" max="10490" width="19.5703125" style="1008" customWidth="1"/>
    <col min="10491" max="10491" width="0.85546875" style="1008" customWidth="1"/>
    <col min="10492" max="10492" width="14.42578125" style="1008" customWidth="1"/>
    <col min="10493" max="10493" width="12.85546875" style="1008" customWidth="1"/>
    <col min="10494" max="10494" width="6.140625" style="1008" customWidth="1"/>
    <col min="10495" max="10496" width="11.42578125" style="1008"/>
    <col min="10497" max="10497" width="15.42578125" style="1008" customWidth="1"/>
    <col min="10498" max="10737" width="11.42578125" style="1008"/>
    <col min="10738" max="10738" width="2.28515625" style="1008" customWidth="1"/>
    <col min="10739" max="10739" width="2.7109375" style="1008" customWidth="1"/>
    <col min="10740" max="10740" width="2.42578125" style="1008" customWidth="1"/>
    <col min="10741" max="10741" width="17.7109375" style="1008" customWidth="1"/>
    <col min="10742" max="10742" width="1.5703125" style="1008" customWidth="1"/>
    <col min="10743" max="10743" width="6.42578125" style="1008" customWidth="1"/>
    <col min="10744" max="10744" width="13.140625" style="1008" customWidth="1"/>
    <col min="10745" max="10745" width="1" style="1008" customWidth="1"/>
    <col min="10746" max="10746" width="19.5703125" style="1008" customWidth="1"/>
    <col min="10747" max="10747" width="0.85546875" style="1008" customWidth="1"/>
    <col min="10748" max="10748" width="14.42578125" style="1008" customWidth="1"/>
    <col min="10749" max="10749" width="12.85546875" style="1008" customWidth="1"/>
    <col min="10750" max="10750" width="6.140625" style="1008" customWidth="1"/>
    <col min="10751" max="10752" width="11.42578125" style="1008"/>
    <col min="10753" max="10753" width="15.42578125" style="1008" customWidth="1"/>
    <col min="10754" max="10993" width="11.42578125" style="1008"/>
    <col min="10994" max="10994" width="2.28515625" style="1008" customWidth="1"/>
    <col min="10995" max="10995" width="2.7109375" style="1008" customWidth="1"/>
    <col min="10996" max="10996" width="2.42578125" style="1008" customWidth="1"/>
    <col min="10997" max="10997" width="17.7109375" style="1008" customWidth="1"/>
    <col min="10998" max="10998" width="1.5703125" style="1008" customWidth="1"/>
    <col min="10999" max="10999" width="6.42578125" style="1008" customWidth="1"/>
    <col min="11000" max="11000" width="13.140625" style="1008" customWidth="1"/>
    <col min="11001" max="11001" width="1" style="1008" customWidth="1"/>
    <col min="11002" max="11002" width="19.5703125" style="1008" customWidth="1"/>
    <col min="11003" max="11003" width="0.85546875" style="1008" customWidth="1"/>
    <col min="11004" max="11004" width="14.42578125" style="1008" customWidth="1"/>
    <col min="11005" max="11005" width="12.85546875" style="1008" customWidth="1"/>
    <col min="11006" max="11006" width="6.140625" style="1008" customWidth="1"/>
    <col min="11007" max="11008" width="11.42578125" style="1008"/>
    <col min="11009" max="11009" width="15.42578125" style="1008" customWidth="1"/>
    <col min="11010" max="11249" width="11.42578125" style="1008"/>
    <col min="11250" max="11250" width="2.28515625" style="1008" customWidth="1"/>
    <col min="11251" max="11251" width="2.7109375" style="1008" customWidth="1"/>
    <col min="11252" max="11252" width="2.42578125" style="1008" customWidth="1"/>
    <col min="11253" max="11253" width="17.7109375" style="1008" customWidth="1"/>
    <col min="11254" max="11254" width="1.5703125" style="1008" customWidth="1"/>
    <col min="11255" max="11255" width="6.42578125" style="1008" customWidth="1"/>
    <col min="11256" max="11256" width="13.140625" style="1008" customWidth="1"/>
    <col min="11257" max="11257" width="1" style="1008" customWidth="1"/>
    <col min="11258" max="11258" width="19.5703125" style="1008" customWidth="1"/>
    <col min="11259" max="11259" width="0.85546875" style="1008" customWidth="1"/>
    <col min="11260" max="11260" width="14.42578125" style="1008" customWidth="1"/>
    <col min="11261" max="11261" width="12.85546875" style="1008" customWidth="1"/>
    <col min="11262" max="11262" width="6.140625" style="1008" customWidth="1"/>
    <col min="11263" max="11264" width="11.42578125" style="1008"/>
    <col min="11265" max="11265" width="15.42578125" style="1008" customWidth="1"/>
    <col min="11266" max="11505" width="11.42578125" style="1008"/>
    <col min="11506" max="11506" width="2.28515625" style="1008" customWidth="1"/>
    <col min="11507" max="11507" width="2.7109375" style="1008" customWidth="1"/>
    <col min="11508" max="11508" width="2.42578125" style="1008" customWidth="1"/>
    <col min="11509" max="11509" width="17.7109375" style="1008" customWidth="1"/>
    <col min="11510" max="11510" width="1.5703125" style="1008" customWidth="1"/>
    <col min="11511" max="11511" width="6.42578125" style="1008" customWidth="1"/>
    <col min="11512" max="11512" width="13.140625" style="1008" customWidth="1"/>
    <col min="11513" max="11513" width="1" style="1008" customWidth="1"/>
    <col min="11514" max="11514" width="19.5703125" style="1008" customWidth="1"/>
    <col min="11515" max="11515" width="0.85546875" style="1008" customWidth="1"/>
    <col min="11516" max="11516" width="14.42578125" style="1008" customWidth="1"/>
    <col min="11517" max="11517" width="12.85546875" style="1008" customWidth="1"/>
    <col min="11518" max="11518" width="6.140625" style="1008" customWidth="1"/>
    <col min="11519" max="11520" width="11.42578125" style="1008"/>
    <col min="11521" max="11521" width="15.42578125" style="1008" customWidth="1"/>
    <col min="11522" max="11761" width="11.42578125" style="1008"/>
    <col min="11762" max="11762" width="2.28515625" style="1008" customWidth="1"/>
    <col min="11763" max="11763" width="2.7109375" style="1008" customWidth="1"/>
    <col min="11764" max="11764" width="2.42578125" style="1008" customWidth="1"/>
    <col min="11765" max="11765" width="17.7109375" style="1008" customWidth="1"/>
    <col min="11766" max="11766" width="1.5703125" style="1008" customWidth="1"/>
    <col min="11767" max="11767" width="6.42578125" style="1008" customWidth="1"/>
    <col min="11768" max="11768" width="13.140625" style="1008" customWidth="1"/>
    <col min="11769" max="11769" width="1" style="1008" customWidth="1"/>
    <col min="11770" max="11770" width="19.5703125" style="1008" customWidth="1"/>
    <col min="11771" max="11771" width="0.85546875" style="1008" customWidth="1"/>
    <col min="11772" max="11772" width="14.42578125" style="1008" customWidth="1"/>
    <col min="11773" max="11773" width="12.85546875" style="1008" customWidth="1"/>
    <col min="11774" max="11774" width="6.140625" style="1008" customWidth="1"/>
    <col min="11775" max="11776" width="11.42578125" style="1008"/>
    <col min="11777" max="11777" width="15.42578125" style="1008" customWidth="1"/>
    <col min="11778" max="12017" width="11.42578125" style="1008"/>
    <col min="12018" max="12018" width="2.28515625" style="1008" customWidth="1"/>
    <col min="12019" max="12019" width="2.7109375" style="1008" customWidth="1"/>
    <col min="12020" max="12020" width="2.42578125" style="1008" customWidth="1"/>
    <col min="12021" max="12021" width="17.7109375" style="1008" customWidth="1"/>
    <col min="12022" max="12022" width="1.5703125" style="1008" customWidth="1"/>
    <col min="12023" max="12023" width="6.42578125" style="1008" customWidth="1"/>
    <col min="12024" max="12024" width="13.140625" style="1008" customWidth="1"/>
    <col min="12025" max="12025" width="1" style="1008" customWidth="1"/>
    <col min="12026" max="12026" width="19.5703125" style="1008" customWidth="1"/>
    <col min="12027" max="12027" width="0.85546875" style="1008" customWidth="1"/>
    <col min="12028" max="12028" width="14.42578125" style="1008" customWidth="1"/>
    <col min="12029" max="12029" width="12.85546875" style="1008" customWidth="1"/>
    <col min="12030" max="12030" width="6.140625" style="1008" customWidth="1"/>
    <col min="12031" max="12032" width="11.42578125" style="1008"/>
    <col min="12033" max="12033" width="15.42578125" style="1008" customWidth="1"/>
    <col min="12034" max="12273" width="11.42578125" style="1008"/>
    <col min="12274" max="12274" width="2.28515625" style="1008" customWidth="1"/>
    <col min="12275" max="12275" width="2.7109375" style="1008" customWidth="1"/>
    <col min="12276" max="12276" width="2.42578125" style="1008" customWidth="1"/>
    <col min="12277" max="12277" width="17.7109375" style="1008" customWidth="1"/>
    <col min="12278" max="12278" width="1.5703125" style="1008" customWidth="1"/>
    <col min="12279" max="12279" width="6.42578125" style="1008" customWidth="1"/>
    <col min="12280" max="12280" width="13.140625" style="1008" customWidth="1"/>
    <col min="12281" max="12281" width="1" style="1008" customWidth="1"/>
    <col min="12282" max="12282" width="19.5703125" style="1008" customWidth="1"/>
    <col min="12283" max="12283" width="0.85546875" style="1008" customWidth="1"/>
    <col min="12284" max="12284" width="14.42578125" style="1008" customWidth="1"/>
    <col min="12285" max="12285" width="12.85546875" style="1008" customWidth="1"/>
    <col min="12286" max="12286" width="6.140625" style="1008" customWidth="1"/>
    <col min="12287" max="12288" width="11.42578125" style="1008"/>
    <col min="12289" max="12289" width="15.42578125" style="1008" customWidth="1"/>
    <col min="12290" max="12529" width="11.42578125" style="1008"/>
    <col min="12530" max="12530" width="2.28515625" style="1008" customWidth="1"/>
    <col min="12531" max="12531" width="2.7109375" style="1008" customWidth="1"/>
    <col min="12532" max="12532" width="2.42578125" style="1008" customWidth="1"/>
    <col min="12533" max="12533" width="17.7109375" style="1008" customWidth="1"/>
    <col min="12534" max="12534" width="1.5703125" style="1008" customWidth="1"/>
    <col min="12535" max="12535" width="6.42578125" style="1008" customWidth="1"/>
    <col min="12536" max="12536" width="13.140625" style="1008" customWidth="1"/>
    <col min="12537" max="12537" width="1" style="1008" customWidth="1"/>
    <col min="12538" max="12538" width="19.5703125" style="1008" customWidth="1"/>
    <col min="12539" max="12539" width="0.85546875" style="1008" customWidth="1"/>
    <col min="12540" max="12540" width="14.42578125" style="1008" customWidth="1"/>
    <col min="12541" max="12541" width="12.85546875" style="1008" customWidth="1"/>
    <col min="12542" max="12542" width="6.140625" style="1008" customWidth="1"/>
    <col min="12543" max="12544" width="11.42578125" style="1008"/>
    <col min="12545" max="12545" width="15.42578125" style="1008" customWidth="1"/>
    <col min="12546" max="12785" width="11.42578125" style="1008"/>
    <col min="12786" max="12786" width="2.28515625" style="1008" customWidth="1"/>
    <col min="12787" max="12787" width="2.7109375" style="1008" customWidth="1"/>
    <col min="12788" max="12788" width="2.42578125" style="1008" customWidth="1"/>
    <col min="12789" max="12789" width="17.7109375" style="1008" customWidth="1"/>
    <col min="12790" max="12790" width="1.5703125" style="1008" customWidth="1"/>
    <col min="12791" max="12791" width="6.42578125" style="1008" customWidth="1"/>
    <col min="12792" max="12792" width="13.140625" style="1008" customWidth="1"/>
    <col min="12793" max="12793" width="1" style="1008" customWidth="1"/>
    <col min="12794" max="12794" width="19.5703125" style="1008" customWidth="1"/>
    <col min="12795" max="12795" width="0.85546875" style="1008" customWidth="1"/>
    <col min="12796" max="12796" width="14.42578125" style="1008" customWidth="1"/>
    <col min="12797" max="12797" width="12.85546875" style="1008" customWidth="1"/>
    <col min="12798" max="12798" width="6.140625" style="1008" customWidth="1"/>
    <col min="12799" max="12800" width="11.42578125" style="1008"/>
    <col min="12801" max="12801" width="15.42578125" style="1008" customWidth="1"/>
    <col min="12802" max="13041" width="11.42578125" style="1008"/>
    <col min="13042" max="13042" width="2.28515625" style="1008" customWidth="1"/>
    <col min="13043" max="13043" width="2.7109375" style="1008" customWidth="1"/>
    <col min="13044" max="13044" width="2.42578125" style="1008" customWidth="1"/>
    <col min="13045" max="13045" width="17.7109375" style="1008" customWidth="1"/>
    <col min="13046" max="13046" width="1.5703125" style="1008" customWidth="1"/>
    <col min="13047" max="13047" width="6.42578125" style="1008" customWidth="1"/>
    <col min="13048" max="13048" width="13.140625" style="1008" customWidth="1"/>
    <col min="13049" max="13049" width="1" style="1008" customWidth="1"/>
    <col min="13050" max="13050" width="19.5703125" style="1008" customWidth="1"/>
    <col min="13051" max="13051" width="0.85546875" style="1008" customWidth="1"/>
    <col min="13052" max="13052" width="14.42578125" style="1008" customWidth="1"/>
    <col min="13053" max="13053" width="12.85546875" style="1008" customWidth="1"/>
    <col min="13054" max="13054" width="6.140625" style="1008" customWidth="1"/>
    <col min="13055" max="13056" width="11.42578125" style="1008"/>
    <col min="13057" max="13057" width="15.42578125" style="1008" customWidth="1"/>
    <col min="13058" max="13297" width="11.42578125" style="1008"/>
    <col min="13298" max="13298" width="2.28515625" style="1008" customWidth="1"/>
    <col min="13299" max="13299" width="2.7109375" style="1008" customWidth="1"/>
    <col min="13300" max="13300" width="2.42578125" style="1008" customWidth="1"/>
    <col min="13301" max="13301" width="17.7109375" style="1008" customWidth="1"/>
    <col min="13302" max="13302" width="1.5703125" style="1008" customWidth="1"/>
    <col min="13303" max="13303" width="6.42578125" style="1008" customWidth="1"/>
    <col min="13304" max="13304" width="13.140625" style="1008" customWidth="1"/>
    <col min="13305" max="13305" width="1" style="1008" customWidth="1"/>
    <col min="13306" max="13306" width="19.5703125" style="1008" customWidth="1"/>
    <col min="13307" max="13307" width="0.85546875" style="1008" customWidth="1"/>
    <col min="13308" max="13308" width="14.42578125" style="1008" customWidth="1"/>
    <col min="13309" max="13309" width="12.85546875" style="1008" customWidth="1"/>
    <col min="13310" max="13310" width="6.140625" style="1008" customWidth="1"/>
    <col min="13311" max="13312" width="11.42578125" style="1008"/>
    <col min="13313" max="13313" width="15.42578125" style="1008" customWidth="1"/>
    <col min="13314" max="13553" width="11.42578125" style="1008"/>
    <col min="13554" max="13554" width="2.28515625" style="1008" customWidth="1"/>
    <col min="13555" max="13555" width="2.7109375" style="1008" customWidth="1"/>
    <col min="13556" max="13556" width="2.42578125" style="1008" customWidth="1"/>
    <col min="13557" max="13557" width="17.7109375" style="1008" customWidth="1"/>
    <col min="13558" max="13558" width="1.5703125" style="1008" customWidth="1"/>
    <col min="13559" max="13559" width="6.42578125" style="1008" customWidth="1"/>
    <col min="13560" max="13560" width="13.140625" style="1008" customWidth="1"/>
    <col min="13561" max="13561" width="1" style="1008" customWidth="1"/>
    <col min="13562" max="13562" width="19.5703125" style="1008" customWidth="1"/>
    <col min="13563" max="13563" width="0.85546875" style="1008" customWidth="1"/>
    <col min="13564" max="13564" width="14.42578125" style="1008" customWidth="1"/>
    <col min="13565" max="13565" width="12.85546875" style="1008" customWidth="1"/>
    <col min="13566" max="13566" width="6.140625" style="1008" customWidth="1"/>
    <col min="13567" max="13568" width="11.42578125" style="1008"/>
    <col min="13569" max="13569" width="15.42578125" style="1008" customWidth="1"/>
    <col min="13570" max="13809" width="11.42578125" style="1008"/>
    <col min="13810" max="13810" width="2.28515625" style="1008" customWidth="1"/>
    <col min="13811" max="13811" width="2.7109375" style="1008" customWidth="1"/>
    <col min="13812" max="13812" width="2.42578125" style="1008" customWidth="1"/>
    <col min="13813" max="13813" width="17.7109375" style="1008" customWidth="1"/>
    <col min="13814" max="13814" width="1.5703125" style="1008" customWidth="1"/>
    <col min="13815" max="13815" width="6.42578125" style="1008" customWidth="1"/>
    <col min="13816" max="13816" width="13.140625" style="1008" customWidth="1"/>
    <col min="13817" max="13817" width="1" style="1008" customWidth="1"/>
    <col min="13818" max="13818" width="19.5703125" style="1008" customWidth="1"/>
    <col min="13819" max="13819" width="0.85546875" style="1008" customWidth="1"/>
    <col min="13820" max="13820" width="14.42578125" style="1008" customWidth="1"/>
    <col min="13821" max="13821" width="12.85546875" style="1008" customWidth="1"/>
    <col min="13822" max="13822" width="6.140625" style="1008" customWidth="1"/>
    <col min="13823" max="13824" width="11.42578125" style="1008"/>
    <col min="13825" max="13825" width="15.42578125" style="1008" customWidth="1"/>
    <col min="13826" max="14065" width="11.42578125" style="1008"/>
    <col min="14066" max="14066" width="2.28515625" style="1008" customWidth="1"/>
    <col min="14067" max="14067" width="2.7109375" style="1008" customWidth="1"/>
    <col min="14068" max="14068" width="2.42578125" style="1008" customWidth="1"/>
    <col min="14069" max="14069" width="17.7109375" style="1008" customWidth="1"/>
    <col min="14070" max="14070" width="1.5703125" style="1008" customWidth="1"/>
    <col min="14071" max="14071" width="6.42578125" style="1008" customWidth="1"/>
    <col min="14072" max="14072" width="13.140625" style="1008" customWidth="1"/>
    <col min="14073" max="14073" width="1" style="1008" customWidth="1"/>
    <col min="14074" max="14074" width="19.5703125" style="1008" customWidth="1"/>
    <col min="14075" max="14075" width="0.85546875" style="1008" customWidth="1"/>
    <col min="14076" max="14076" width="14.42578125" style="1008" customWidth="1"/>
    <col min="14077" max="14077" width="12.85546875" style="1008" customWidth="1"/>
    <col min="14078" max="14078" width="6.140625" style="1008" customWidth="1"/>
    <col min="14079" max="14080" width="11.42578125" style="1008"/>
    <col min="14081" max="14081" width="15.42578125" style="1008" customWidth="1"/>
    <col min="14082" max="14321" width="11.42578125" style="1008"/>
    <col min="14322" max="14322" width="2.28515625" style="1008" customWidth="1"/>
    <col min="14323" max="14323" width="2.7109375" style="1008" customWidth="1"/>
    <col min="14324" max="14324" width="2.42578125" style="1008" customWidth="1"/>
    <col min="14325" max="14325" width="17.7109375" style="1008" customWidth="1"/>
    <col min="14326" max="14326" width="1.5703125" style="1008" customWidth="1"/>
    <col min="14327" max="14327" width="6.42578125" style="1008" customWidth="1"/>
    <col min="14328" max="14328" width="13.140625" style="1008" customWidth="1"/>
    <col min="14329" max="14329" width="1" style="1008" customWidth="1"/>
    <col min="14330" max="14330" width="19.5703125" style="1008" customWidth="1"/>
    <col min="14331" max="14331" width="0.85546875" style="1008" customWidth="1"/>
    <col min="14332" max="14332" width="14.42578125" style="1008" customWidth="1"/>
    <col min="14333" max="14333" width="12.85546875" style="1008" customWidth="1"/>
    <col min="14334" max="14334" width="6.140625" style="1008" customWidth="1"/>
    <col min="14335" max="14336" width="11.42578125" style="1008"/>
    <col min="14337" max="14337" width="15.42578125" style="1008" customWidth="1"/>
    <col min="14338" max="14577" width="11.42578125" style="1008"/>
    <col min="14578" max="14578" width="2.28515625" style="1008" customWidth="1"/>
    <col min="14579" max="14579" width="2.7109375" style="1008" customWidth="1"/>
    <col min="14580" max="14580" width="2.42578125" style="1008" customWidth="1"/>
    <col min="14581" max="14581" width="17.7109375" style="1008" customWidth="1"/>
    <col min="14582" max="14582" width="1.5703125" style="1008" customWidth="1"/>
    <col min="14583" max="14583" width="6.42578125" style="1008" customWidth="1"/>
    <col min="14584" max="14584" width="13.140625" style="1008" customWidth="1"/>
    <col min="14585" max="14585" width="1" style="1008" customWidth="1"/>
    <col min="14586" max="14586" width="19.5703125" style="1008" customWidth="1"/>
    <col min="14587" max="14587" width="0.85546875" style="1008" customWidth="1"/>
    <col min="14588" max="14588" width="14.42578125" style="1008" customWidth="1"/>
    <col min="14589" max="14589" width="12.85546875" style="1008" customWidth="1"/>
    <col min="14590" max="14590" width="6.140625" style="1008" customWidth="1"/>
    <col min="14591" max="14592" width="11.42578125" style="1008"/>
    <col min="14593" max="14593" width="15.42578125" style="1008" customWidth="1"/>
    <col min="14594" max="14833" width="11.42578125" style="1008"/>
    <col min="14834" max="14834" width="2.28515625" style="1008" customWidth="1"/>
    <col min="14835" max="14835" width="2.7109375" style="1008" customWidth="1"/>
    <col min="14836" max="14836" width="2.42578125" style="1008" customWidth="1"/>
    <col min="14837" max="14837" width="17.7109375" style="1008" customWidth="1"/>
    <col min="14838" max="14838" width="1.5703125" style="1008" customWidth="1"/>
    <col min="14839" max="14839" width="6.42578125" style="1008" customWidth="1"/>
    <col min="14840" max="14840" width="13.140625" style="1008" customWidth="1"/>
    <col min="14841" max="14841" width="1" style="1008" customWidth="1"/>
    <col min="14842" max="14842" width="19.5703125" style="1008" customWidth="1"/>
    <col min="14843" max="14843" width="0.85546875" style="1008" customWidth="1"/>
    <col min="14844" max="14844" width="14.42578125" style="1008" customWidth="1"/>
    <col min="14845" max="14845" width="12.85546875" style="1008" customWidth="1"/>
    <col min="14846" max="14846" width="6.140625" style="1008" customWidth="1"/>
    <col min="14847" max="14848" width="11.42578125" style="1008"/>
    <col min="14849" max="14849" width="15.42578125" style="1008" customWidth="1"/>
    <col min="14850" max="15089" width="11.42578125" style="1008"/>
    <col min="15090" max="15090" width="2.28515625" style="1008" customWidth="1"/>
    <col min="15091" max="15091" width="2.7109375" style="1008" customWidth="1"/>
    <col min="15092" max="15092" width="2.42578125" style="1008" customWidth="1"/>
    <col min="15093" max="15093" width="17.7109375" style="1008" customWidth="1"/>
    <col min="15094" max="15094" width="1.5703125" style="1008" customWidth="1"/>
    <col min="15095" max="15095" width="6.42578125" style="1008" customWidth="1"/>
    <col min="15096" max="15096" width="13.140625" style="1008" customWidth="1"/>
    <col min="15097" max="15097" width="1" style="1008" customWidth="1"/>
    <col min="15098" max="15098" width="19.5703125" style="1008" customWidth="1"/>
    <col min="15099" max="15099" width="0.85546875" style="1008" customWidth="1"/>
    <col min="15100" max="15100" width="14.42578125" style="1008" customWidth="1"/>
    <col min="15101" max="15101" width="12.85546875" style="1008" customWidth="1"/>
    <col min="15102" max="15102" width="6.140625" style="1008" customWidth="1"/>
    <col min="15103" max="15104" width="11.42578125" style="1008"/>
    <col min="15105" max="15105" width="15.42578125" style="1008" customWidth="1"/>
    <col min="15106" max="15345" width="11.42578125" style="1008"/>
    <col min="15346" max="15346" width="2.28515625" style="1008" customWidth="1"/>
    <col min="15347" max="15347" width="2.7109375" style="1008" customWidth="1"/>
    <col min="15348" max="15348" width="2.42578125" style="1008" customWidth="1"/>
    <col min="15349" max="15349" width="17.7109375" style="1008" customWidth="1"/>
    <col min="15350" max="15350" width="1.5703125" style="1008" customWidth="1"/>
    <col min="15351" max="15351" width="6.42578125" style="1008" customWidth="1"/>
    <col min="15352" max="15352" width="13.140625" style="1008" customWidth="1"/>
    <col min="15353" max="15353" width="1" style="1008" customWidth="1"/>
    <col min="15354" max="15354" width="19.5703125" style="1008" customWidth="1"/>
    <col min="15355" max="15355" width="0.85546875" style="1008" customWidth="1"/>
    <col min="15356" max="15356" width="14.42578125" style="1008" customWidth="1"/>
    <col min="15357" max="15357" width="12.85546875" style="1008" customWidth="1"/>
    <col min="15358" max="15358" width="6.140625" style="1008" customWidth="1"/>
    <col min="15359" max="15360" width="11.42578125" style="1008"/>
    <col min="15361" max="15361" width="15.42578125" style="1008" customWidth="1"/>
    <col min="15362" max="15601" width="11.42578125" style="1008"/>
    <col min="15602" max="15602" width="2.28515625" style="1008" customWidth="1"/>
    <col min="15603" max="15603" width="2.7109375" style="1008" customWidth="1"/>
    <col min="15604" max="15604" width="2.42578125" style="1008" customWidth="1"/>
    <col min="15605" max="15605" width="17.7109375" style="1008" customWidth="1"/>
    <col min="15606" max="15606" width="1.5703125" style="1008" customWidth="1"/>
    <col min="15607" max="15607" width="6.42578125" style="1008" customWidth="1"/>
    <col min="15608" max="15608" width="13.140625" style="1008" customWidth="1"/>
    <col min="15609" max="15609" width="1" style="1008" customWidth="1"/>
    <col min="15610" max="15610" width="19.5703125" style="1008" customWidth="1"/>
    <col min="15611" max="15611" width="0.85546875" style="1008" customWidth="1"/>
    <col min="15612" max="15612" width="14.42578125" style="1008" customWidth="1"/>
    <col min="15613" max="15613" width="12.85546875" style="1008" customWidth="1"/>
    <col min="15614" max="15614" width="6.140625" style="1008" customWidth="1"/>
    <col min="15615" max="15616" width="11.42578125" style="1008"/>
    <col min="15617" max="15617" width="15.42578125" style="1008" customWidth="1"/>
    <col min="15618" max="15857" width="11.42578125" style="1008"/>
    <col min="15858" max="15858" width="2.28515625" style="1008" customWidth="1"/>
    <col min="15859" max="15859" width="2.7109375" style="1008" customWidth="1"/>
    <col min="15860" max="15860" width="2.42578125" style="1008" customWidth="1"/>
    <col min="15861" max="15861" width="17.7109375" style="1008" customWidth="1"/>
    <col min="15862" max="15862" width="1.5703125" style="1008" customWidth="1"/>
    <col min="15863" max="15863" width="6.42578125" style="1008" customWidth="1"/>
    <col min="15864" max="15864" width="13.140625" style="1008" customWidth="1"/>
    <col min="15865" max="15865" width="1" style="1008" customWidth="1"/>
    <col min="15866" max="15866" width="19.5703125" style="1008" customWidth="1"/>
    <col min="15867" max="15867" width="0.85546875" style="1008" customWidth="1"/>
    <col min="15868" max="15868" width="14.42578125" style="1008" customWidth="1"/>
    <col min="15869" max="15869" width="12.85546875" style="1008" customWidth="1"/>
    <col min="15870" max="15870" width="6.140625" style="1008" customWidth="1"/>
    <col min="15871" max="15872" width="11.42578125" style="1008"/>
    <col min="15873" max="15873" width="15.42578125" style="1008" customWidth="1"/>
    <col min="15874" max="16113" width="11.42578125" style="1008"/>
    <col min="16114" max="16114" width="2.28515625" style="1008" customWidth="1"/>
    <col min="16115" max="16115" width="2.7109375" style="1008" customWidth="1"/>
    <col min="16116" max="16116" width="2.42578125" style="1008" customWidth="1"/>
    <col min="16117" max="16117" width="17.7109375" style="1008" customWidth="1"/>
    <col min="16118" max="16118" width="1.5703125" style="1008" customWidth="1"/>
    <col min="16119" max="16119" width="6.42578125" style="1008" customWidth="1"/>
    <col min="16120" max="16120" width="13.140625" style="1008" customWidth="1"/>
    <col min="16121" max="16121" width="1" style="1008" customWidth="1"/>
    <col min="16122" max="16122" width="19.5703125" style="1008" customWidth="1"/>
    <col min="16123" max="16123" width="0.85546875" style="1008" customWidth="1"/>
    <col min="16124" max="16124" width="14.42578125" style="1008" customWidth="1"/>
    <col min="16125" max="16125" width="12.85546875" style="1008" customWidth="1"/>
    <col min="16126" max="16126" width="6.140625" style="1008" customWidth="1"/>
    <col min="16127" max="16128" width="11.42578125" style="1008"/>
    <col min="16129" max="16129" width="15.42578125" style="1008" customWidth="1"/>
    <col min="16130" max="16384" width="11.42578125" style="1008"/>
  </cols>
  <sheetData>
    <row r="1" spans="1:22" ht="9" hidden="1" customHeight="1" x14ac:dyDescent="0.2">
      <c r="A1" s="1412"/>
      <c r="B1" s="1413"/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4"/>
    </row>
    <row r="2" spans="1:22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0"/>
      <c r="U2" s="2870"/>
      <c r="V2" s="2871"/>
    </row>
    <row r="3" spans="1:22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3"/>
      <c r="U3" s="2873"/>
      <c r="V3" s="2874"/>
    </row>
    <row r="4" spans="1:22" ht="16.5" thickTop="1" x14ac:dyDescent="0.25">
      <c r="A4" s="2875" t="str">
        <f>"CERTIFICADO DE CALIBRACIÓN N° "&amp;"LSCD "&amp;'F-LSCD-012'!C25</f>
        <v>CERTIFICADO DE CALIBRACIÓN N° LSCD 029-2021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6"/>
      <c r="U4" s="2876"/>
      <c r="V4" s="2877"/>
    </row>
    <row r="5" spans="1:22" ht="15.75" x14ac:dyDescent="0.2">
      <c r="A5" s="2878" t="s">
        <v>253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79"/>
      <c r="U5" s="2879"/>
      <c r="V5" s="2880"/>
    </row>
    <row r="6" spans="1:22" ht="15" x14ac:dyDescent="0.2">
      <c r="A6" s="3102" t="s">
        <v>1119</v>
      </c>
      <c r="B6" s="3103"/>
      <c r="C6" s="3103"/>
      <c r="D6" s="3103"/>
      <c r="E6" s="3103"/>
      <c r="F6" s="3103"/>
      <c r="G6" s="3103"/>
      <c r="H6" s="3103"/>
      <c r="I6" s="3103"/>
      <c r="J6" s="3103"/>
      <c r="K6" s="3103"/>
      <c r="L6" s="3103"/>
      <c r="M6" s="3103"/>
      <c r="N6" s="3103"/>
      <c r="O6" s="3103"/>
      <c r="P6" s="3103"/>
      <c r="Q6" s="3103"/>
      <c r="R6" s="3103"/>
      <c r="S6" s="3103"/>
      <c r="T6" s="3103"/>
      <c r="U6" s="3103"/>
      <c r="V6" s="3104"/>
    </row>
    <row r="7" spans="1:22" x14ac:dyDescent="0.2">
      <c r="A7" s="1009"/>
      <c r="Q7" s="1428"/>
      <c r="R7" s="1428"/>
      <c r="S7" s="1428"/>
      <c r="T7" s="1428"/>
      <c r="U7" s="1428"/>
      <c r="V7" s="1011"/>
    </row>
    <row r="8" spans="1:22" ht="13.5" customHeight="1" x14ac:dyDescent="0.2">
      <c r="A8" s="1009"/>
      <c r="B8" s="166" t="s">
        <v>1105</v>
      </c>
      <c r="D8" s="1010" t="s">
        <v>218</v>
      </c>
      <c r="E8" s="1008" t="str">
        <f>'F-LSCD-012'!C7</f>
        <v>ALEPH SAC</v>
      </c>
      <c r="Q8" s="2902" t="s">
        <v>221</v>
      </c>
      <c r="R8" s="2930"/>
      <c r="S8" s="2930"/>
      <c r="T8" s="2930"/>
      <c r="U8" s="2930"/>
      <c r="V8" s="1011"/>
    </row>
    <row r="9" spans="1:22" x14ac:dyDescent="0.2">
      <c r="A9" s="1009"/>
      <c r="E9" s="2882" t="str">
        <f>'F-LSCD-012'!C8</f>
        <v>Av. Rafael Escardo 154</v>
      </c>
      <c r="F9" s="2882"/>
      <c r="G9" s="2882"/>
      <c r="H9" s="2882"/>
      <c r="I9" s="2882"/>
      <c r="J9" s="2882"/>
      <c r="K9" s="2882"/>
      <c r="L9" s="2882"/>
      <c r="M9" s="2882"/>
      <c r="N9" s="2882"/>
      <c r="O9" s="2882"/>
      <c r="Q9" s="2902"/>
      <c r="R9" s="2930"/>
      <c r="S9" s="2930"/>
      <c r="T9" s="2930"/>
      <c r="U9" s="2930"/>
      <c r="V9" s="1011"/>
    </row>
    <row r="10" spans="1:22" x14ac:dyDescent="0.2">
      <c r="A10" s="1009"/>
      <c r="E10" s="1008" t="str">
        <f>'F-LSCD-012'!I8&amp;", "&amp;'F-LSCD-012'!L8&amp;", "&amp;'F-LSCD-012'!P8&amp;", "&amp;'F-LSCD-012'!T8</f>
        <v>San Miguel, Lima, Lima, Perú</v>
      </c>
      <c r="Q10" s="2902"/>
      <c r="R10" s="2930"/>
      <c r="S10" s="2930"/>
      <c r="T10" s="2930"/>
      <c r="U10" s="2930"/>
      <c r="V10" s="1011"/>
    </row>
    <row r="11" spans="1:22" x14ac:dyDescent="0.2">
      <c r="A11" s="1009"/>
      <c r="Q11" s="2902"/>
      <c r="R11" s="2930"/>
      <c r="S11" s="2930"/>
      <c r="T11" s="2930"/>
      <c r="U11" s="2930"/>
      <c r="V11" s="1011"/>
    </row>
    <row r="12" spans="1:22" x14ac:dyDescent="0.2">
      <c r="A12" s="1009"/>
      <c r="B12" s="166" t="s">
        <v>1106</v>
      </c>
      <c r="D12" s="1010" t="s">
        <v>218</v>
      </c>
      <c r="E12" s="1012" t="str">
        <f>'F-LSCD-012'!C6</f>
        <v>OT 111-12925</v>
      </c>
      <c r="F12" s="1013"/>
      <c r="G12" s="1013"/>
      <c r="H12" s="1013"/>
      <c r="I12" s="1013"/>
      <c r="J12" s="1013"/>
      <c r="K12" s="1013"/>
      <c r="L12" s="1014"/>
      <c r="M12" s="1014"/>
      <c r="N12" s="1014"/>
      <c r="O12" s="1014"/>
      <c r="P12" s="1016"/>
      <c r="Q12" s="2902"/>
      <c r="R12" s="2930"/>
      <c r="S12" s="2930"/>
      <c r="T12" s="2930"/>
      <c r="U12" s="2930"/>
      <c r="V12" s="1011"/>
    </row>
    <row r="13" spans="1:22" x14ac:dyDescent="0.2">
      <c r="A13" s="1009"/>
      <c r="Q13" s="2902"/>
      <c r="R13" s="2930"/>
      <c r="S13" s="2930"/>
      <c r="T13" s="2930"/>
      <c r="U13" s="2930"/>
      <c r="V13" s="1011"/>
    </row>
    <row r="14" spans="1:22" x14ac:dyDescent="0.2">
      <c r="A14" s="1009"/>
      <c r="B14" s="166" t="s">
        <v>1123</v>
      </c>
      <c r="D14" s="175" t="s">
        <v>218</v>
      </c>
      <c r="E14" s="163" t="s">
        <v>1134</v>
      </c>
      <c r="Q14" s="2902"/>
      <c r="R14" s="2930"/>
      <c r="S14" s="2930"/>
      <c r="T14" s="2930"/>
      <c r="U14" s="2930"/>
      <c r="V14" s="1011"/>
    </row>
    <row r="15" spans="1:22" x14ac:dyDescent="0.2">
      <c r="A15" s="1009"/>
      <c r="Q15" s="2902"/>
      <c r="R15" s="2930"/>
      <c r="S15" s="2930"/>
      <c r="T15" s="2930"/>
      <c r="U15" s="2930"/>
      <c r="V15" s="1011"/>
    </row>
    <row r="16" spans="1:22" x14ac:dyDescent="0.2">
      <c r="A16" s="1009"/>
      <c r="B16" s="166" t="s">
        <v>1124</v>
      </c>
      <c r="D16" s="166" t="s">
        <v>218</v>
      </c>
      <c r="E16" s="2883" t="str">
        <f>'F-LSCD-012'!C9</f>
        <v>Monitor de radiación (digital)</v>
      </c>
      <c r="F16" s="2883"/>
      <c r="G16" s="2883"/>
      <c r="H16" s="2883"/>
      <c r="I16" s="2883"/>
      <c r="J16" s="2883"/>
      <c r="K16" s="2883"/>
      <c r="L16" s="2883"/>
      <c r="M16" s="2883"/>
      <c r="N16" s="2883"/>
      <c r="O16" s="2883"/>
      <c r="P16" s="1017"/>
      <c r="Q16" s="1018"/>
      <c r="R16" s="1019"/>
      <c r="S16" s="1019"/>
      <c r="T16" s="1019"/>
      <c r="U16" s="1019"/>
      <c r="V16" s="1011"/>
    </row>
    <row r="17" spans="1:22" x14ac:dyDescent="0.2">
      <c r="A17" s="1009"/>
      <c r="B17" s="1010"/>
      <c r="D17" s="1010"/>
      <c r="E17" s="2884" t="str">
        <f>IF('F-LSCD-012'!C13="-","Marca monitor: "&amp;'F-LSCD-012'!C10,"Marca monitor: "&amp;'F-LSCD-012'!C10&amp;" / Marca sonda: "&amp;'F-LSCD-012'!C13)</f>
        <v>Marca monitor: MGP</v>
      </c>
      <c r="F17" s="2884"/>
      <c r="G17" s="2884"/>
      <c r="H17" s="2884"/>
      <c r="I17" s="2884"/>
      <c r="J17" s="2884"/>
      <c r="K17" s="2884"/>
      <c r="L17" s="2884"/>
      <c r="M17" s="2884"/>
      <c r="N17" s="2884"/>
      <c r="O17" s="2884"/>
      <c r="P17" s="1017"/>
      <c r="Q17" s="2948" t="s">
        <v>225</v>
      </c>
      <c r="R17" s="2947"/>
      <c r="S17" s="2947"/>
      <c r="T17" s="2947"/>
      <c r="U17" s="2947"/>
      <c r="V17" s="1011"/>
    </row>
    <row r="18" spans="1:22" ht="12" customHeight="1" x14ac:dyDescent="0.2">
      <c r="A18" s="1009"/>
      <c r="B18" s="1010"/>
      <c r="D18" s="1010"/>
      <c r="E18" s="2883" t="str">
        <f>IF('F-LSCD-012'!C13="-","Modelo monitor: "&amp;'F-LSCD-012'!C11,"Modelo monitor: "&amp;'F-LSCD-012'!C11&amp;" / Modelo sonda: "&amp;'F-LSCD-012'!C14)</f>
        <v>Modelo monitor: DMC 2000S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2883"/>
      <c r="P18" s="1017"/>
      <c r="Q18" s="2948"/>
      <c r="R18" s="2947"/>
      <c r="S18" s="2947"/>
      <c r="T18" s="2947"/>
      <c r="U18" s="2947"/>
      <c r="V18" s="1011"/>
    </row>
    <row r="19" spans="1:22" ht="12" customHeight="1" x14ac:dyDescent="0.2">
      <c r="A19" s="1009"/>
      <c r="B19" s="1010"/>
      <c r="D19" s="1010"/>
      <c r="E19" s="2883" t="str">
        <f>IF('F-LSCD-012'!C13="-","Serie monitor: "&amp;'F-LSCD-012'!C12,"Serie monitor: "&amp;'F-LSCD-012'!C12&amp;" / Serie sonda: "&amp;'F-LSCD-012'!C15)</f>
        <v>Serie monitor: 690384T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2883"/>
      <c r="P19" s="1017"/>
      <c r="Q19" s="2948"/>
      <c r="R19" s="2947"/>
      <c r="S19" s="2947"/>
      <c r="T19" s="2947"/>
      <c r="U19" s="2947"/>
      <c r="V19" s="1011"/>
    </row>
    <row r="20" spans="1:22" x14ac:dyDescent="0.2">
      <c r="A20" s="1009"/>
      <c r="B20" s="1010"/>
      <c r="D20" s="1010"/>
      <c r="E20" s="2883"/>
      <c r="F20" s="2883"/>
      <c r="G20" s="2883"/>
      <c r="H20" s="2883"/>
      <c r="I20" s="2883"/>
      <c r="J20" s="2883"/>
      <c r="K20" s="2883"/>
      <c r="L20" s="2883"/>
      <c r="M20" s="2883"/>
      <c r="N20" s="2883"/>
      <c r="O20" s="2883"/>
      <c r="P20" s="1017"/>
      <c r="Q20" s="2948"/>
      <c r="R20" s="2947"/>
      <c r="S20" s="2947"/>
      <c r="T20" s="2947"/>
      <c r="U20" s="2947"/>
      <c r="V20" s="1011"/>
    </row>
    <row r="21" spans="1:22" x14ac:dyDescent="0.2">
      <c r="A21" s="1009"/>
      <c r="B21" s="175" t="s">
        <v>1125</v>
      </c>
      <c r="D21" s="1008" t="s">
        <v>218</v>
      </c>
      <c r="E21" s="2908" t="str">
        <f>'F-LSCD-012'!C19</f>
        <v>Campo de radiación calibrado usando un fantoma, según ISO 4037-3 (2019), aplicado al PROC-LSCD-012 Calibración de dosímetros personales (versión 05)</v>
      </c>
      <c r="F21" s="2908"/>
      <c r="G21" s="2908"/>
      <c r="H21" s="2908"/>
      <c r="I21" s="2908"/>
      <c r="J21" s="2908"/>
      <c r="K21" s="2908"/>
      <c r="L21" s="2908"/>
      <c r="M21" s="2908"/>
      <c r="N21" s="2908"/>
      <c r="O21" s="2908"/>
      <c r="P21" s="1021"/>
      <c r="Q21" s="2948"/>
      <c r="R21" s="2947"/>
      <c r="S21" s="2947"/>
      <c r="T21" s="2947"/>
      <c r="U21" s="2947"/>
      <c r="V21" s="1011"/>
    </row>
    <row r="22" spans="1:22" ht="27" customHeight="1" x14ac:dyDescent="0.2">
      <c r="A22" s="1009"/>
      <c r="E22" s="2908"/>
      <c r="F22" s="2908"/>
      <c r="G22" s="2908"/>
      <c r="H22" s="2908"/>
      <c r="I22" s="2908"/>
      <c r="J22" s="2908"/>
      <c r="K22" s="2908"/>
      <c r="L22" s="2908"/>
      <c r="M22" s="2908"/>
      <c r="N22" s="2908"/>
      <c r="O22" s="2908"/>
      <c r="P22" s="1021"/>
      <c r="Q22" s="2948"/>
      <c r="R22" s="2947"/>
      <c r="S22" s="2947"/>
      <c r="T22" s="2947"/>
      <c r="U22" s="2947"/>
      <c r="V22" s="1011"/>
    </row>
    <row r="23" spans="1:22" x14ac:dyDescent="0.2">
      <c r="A23" s="1009"/>
      <c r="E23" s="1021"/>
      <c r="F23" s="1021"/>
      <c r="G23" s="1021"/>
      <c r="H23" s="1021"/>
      <c r="I23" s="1021"/>
      <c r="J23" s="1021"/>
      <c r="K23" s="1021"/>
      <c r="L23" s="1021"/>
      <c r="M23" s="1021"/>
      <c r="N23" s="1021"/>
      <c r="O23" s="1021"/>
      <c r="P23" s="1021"/>
      <c r="Q23" s="2948"/>
      <c r="R23" s="2947"/>
      <c r="S23" s="2947"/>
      <c r="T23" s="2947"/>
      <c r="U23" s="2947"/>
      <c r="V23" s="1011"/>
    </row>
    <row r="24" spans="1:22" ht="39" customHeight="1" x14ac:dyDescent="0.2">
      <c r="A24" s="1009"/>
      <c r="B24" s="1682" t="s">
        <v>1126</v>
      </c>
      <c r="C24" s="1272"/>
      <c r="D24" s="1280" t="s">
        <v>218</v>
      </c>
      <c r="E24" s="2908" t="str">
        <f>'F-LSCD-012'!C20</f>
        <v>Cámara de ionización patrón de 1 L , marca: PTW; modelo: TN32002; serie: 000568; Reporte de calibración de Kerma en aire DG: 13580-21 con fecha 2021-04-01 (NIST); trazable al NIST.</v>
      </c>
      <c r="F24" s="2908"/>
      <c r="G24" s="2908"/>
      <c r="H24" s="2908"/>
      <c r="I24" s="2908"/>
      <c r="J24" s="2908"/>
      <c r="K24" s="2908"/>
      <c r="L24" s="2908"/>
      <c r="M24" s="2908"/>
      <c r="N24" s="2908"/>
      <c r="O24" s="2908"/>
      <c r="P24" s="1023"/>
      <c r="Q24" s="2948"/>
      <c r="R24" s="2947"/>
      <c r="S24" s="2947"/>
      <c r="T24" s="2947"/>
      <c r="U24" s="2947"/>
      <c r="V24" s="1011"/>
    </row>
    <row r="25" spans="1:22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1021"/>
      <c r="Q25" s="3097" t="s">
        <v>702</v>
      </c>
      <c r="R25" s="3098"/>
      <c r="S25" s="3098"/>
      <c r="T25" s="3098"/>
      <c r="U25" s="3098"/>
      <c r="V25" s="1011"/>
    </row>
    <row r="26" spans="1:22" ht="14.25" customHeight="1" x14ac:dyDescent="0.2">
      <c r="A26" s="1009"/>
      <c r="B26" s="166" t="s">
        <v>1127</v>
      </c>
      <c r="D26" s="1010"/>
      <c r="Q26" s="3097"/>
      <c r="R26" s="3098"/>
      <c r="S26" s="3098"/>
      <c r="T26" s="3098"/>
      <c r="U26" s="3098"/>
      <c r="V26" s="1011"/>
    </row>
    <row r="27" spans="1:22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O27" s="2909"/>
      <c r="Q27" s="3097"/>
      <c r="R27" s="3098"/>
      <c r="S27" s="3098"/>
      <c r="T27" s="3098"/>
      <c r="U27" s="3098"/>
      <c r="V27" s="1011"/>
    </row>
    <row r="28" spans="1:22" ht="12" customHeight="1" x14ac:dyDescent="0.2">
      <c r="A28" s="1009"/>
      <c r="C28" s="1272" t="s">
        <v>203</v>
      </c>
      <c r="D28" s="1022" t="s">
        <v>218</v>
      </c>
      <c r="E28" s="1275" t="str">
        <f>'F-LSCD-012'!C21</f>
        <v>S-Cs (ISO 4037-3)</v>
      </c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014"/>
      <c r="Q28" s="1018"/>
      <c r="R28" s="1019"/>
      <c r="S28" s="1019"/>
      <c r="T28" s="1019"/>
      <c r="U28" s="1019"/>
      <c r="V28" s="1011"/>
    </row>
    <row r="29" spans="1:22" ht="12" customHeight="1" x14ac:dyDescent="0.2">
      <c r="A29" s="1009"/>
      <c r="C29" s="181" t="s">
        <v>138</v>
      </c>
      <c r="D29" s="227" t="s">
        <v>218</v>
      </c>
      <c r="E29" s="2910" t="str">
        <f>'F-LSCD-012'!I24</f>
        <v>Dosis equivalente personal, Hp(10)</v>
      </c>
      <c r="F29" s="2910"/>
      <c r="G29" s="2910"/>
      <c r="H29" s="2910"/>
      <c r="I29" s="2910"/>
      <c r="J29" s="2910"/>
      <c r="K29" s="2910"/>
      <c r="L29" s="2910"/>
      <c r="M29" s="2910"/>
      <c r="N29" s="2910"/>
      <c r="O29" s="2910"/>
      <c r="P29" s="1014"/>
      <c r="Q29" s="2906" t="s">
        <v>1115</v>
      </c>
      <c r="R29" s="2907"/>
      <c r="S29" s="2907"/>
      <c r="T29" s="2907"/>
      <c r="U29" s="2907"/>
      <c r="V29" s="1011"/>
    </row>
    <row r="30" spans="1:22" ht="12" customHeight="1" x14ac:dyDescent="0.2">
      <c r="A30" s="1009"/>
      <c r="C30" s="181" t="s">
        <v>1110</v>
      </c>
      <c r="D30" s="227" t="s">
        <v>218</v>
      </c>
      <c r="E30" s="3096" t="str">
        <f>IF('F-LSCD-012'!D30="-","Inicio: "&amp;FIXED('F-LSCD-012'!D28,1)&amp;" °C ; "&amp;"Final: "&amp;FIXED('F-LSCD-012'!D29,1)&amp;" °C","Inicio: "&amp;FIXED('F-LSCD-012'!D28,1)&amp;" °C ; "&amp;"Final: "&amp;FIXED('F-LSCD-012'!D31,1)&amp;" °C")</f>
        <v>Inicio: 20.2 °C ; Final: 20.3 °C</v>
      </c>
      <c r="F30" s="3096"/>
      <c r="G30" s="3096"/>
      <c r="H30" s="3096"/>
      <c r="I30" s="3096"/>
      <c r="J30" s="3096"/>
      <c r="K30" s="3096"/>
      <c r="L30" s="3096"/>
      <c r="M30" s="1410"/>
      <c r="N30" s="1410"/>
      <c r="O30" s="1410"/>
      <c r="P30" s="1014"/>
      <c r="Q30" s="2906"/>
      <c r="R30" s="2907"/>
      <c r="S30" s="2907"/>
      <c r="T30" s="2907"/>
      <c r="U30" s="2907"/>
      <c r="V30" s="1011"/>
    </row>
    <row r="31" spans="1:22" ht="12" customHeight="1" x14ac:dyDescent="0.2">
      <c r="A31" s="1009"/>
      <c r="C31" s="181" t="s">
        <v>1108</v>
      </c>
      <c r="D31" s="227" t="s">
        <v>218</v>
      </c>
      <c r="E31" s="3096" t="str">
        <f>IF('F-LSCD-012'!H30="-","Inicio: "&amp;FIXED('F-LSCD-012'!H28,1)&amp;" hPa ; "&amp;"Final: "&amp;FIXED('F-LSCD-012'!H29,1)&amp;" hPa","Inicio: "&amp;FIXED('F-LSCD-012'!H28,1)&amp;" hPa ; "&amp;"Final: "&amp;FIXED('F-LSCD-012'!H31,1)&amp;" hPa")</f>
        <v>Inicio: 1,010.0 hPa ; Final: 1,010.2 hPa</v>
      </c>
      <c r="F31" s="3096"/>
      <c r="G31" s="3096"/>
      <c r="H31" s="3096"/>
      <c r="I31" s="3096"/>
      <c r="J31" s="3096"/>
      <c r="K31" s="3096"/>
      <c r="L31" s="3096"/>
      <c r="M31" s="1410"/>
      <c r="N31" s="1410"/>
      <c r="O31" s="1410"/>
      <c r="P31" s="1014"/>
      <c r="Q31" s="2906"/>
      <c r="R31" s="2907"/>
      <c r="S31" s="2907"/>
      <c r="T31" s="2907"/>
      <c r="U31" s="2907"/>
      <c r="V31" s="1011"/>
    </row>
    <row r="32" spans="1:22" ht="12" customHeight="1" x14ac:dyDescent="0.2">
      <c r="A32" s="1009"/>
      <c r="C32" s="181" t="s">
        <v>1109</v>
      </c>
      <c r="D32" s="227" t="s">
        <v>218</v>
      </c>
      <c r="E32" s="3096" t="str">
        <f>IF('F-LSCD-012'!F30="-","Inicio: "&amp;'F-LSCD-012'!F28&amp;" % ; "&amp;"Final: "&amp;'F-LSCD-012'!F29&amp;" %","Inicio: "&amp;'F-LSCD-012'!F28&amp;" % ; "&amp;"Final: "&amp;'F-LSCD-012'!F31&amp;" %")</f>
        <v>Inicio: 52 % ; Final: 53 %</v>
      </c>
      <c r="F32" s="3096"/>
      <c r="G32" s="3096"/>
      <c r="H32" s="3096"/>
      <c r="I32" s="3096"/>
      <c r="J32" s="3096"/>
      <c r="K32" s="3096"/>
      <c r="L32" s="3096"/>
      <c r="M32" s="1410"/>
      <c r="N32" s="1410"/>
      <c r="O32" s="1410"/>
      <c r="P32" s="1014"/>
      <c r="Q32" s="2906"/>
      <c r="R32" s="2907"/>
      <c r="S32" s="2907"/>
      <c r="T32" s="2907"/>
      <c r="U32" s="2907"/>
      <c r="V32" s="1011"/>
    </row>
    <row r="33" spans="1:22" ht="30" customHeight="1" x14ac:dyDescent="0.2">
      <c r="A33" s="1009"/>
      <c r="C33" s="1273" t="s">
        <v>277</v>
      </c>
      <c r="D33" s="1280" t="s">
        <v>218</v>
      </c>
      <c r="E33" s="2912" t="str">
        <f>'F-LSCD-012'!C22</f>
        <v xml:space="preserve">Eje longitudinal del detector paralelo al eje central del haz de radiación
</v>
      </c>
      <c r="F33" s="2912"/>
      <c r="G33" s="2912"/>
      <c r="H33" s="2912"/>
      <c r="I33" s="2912"/>
      <c r="J33" s="2912"/>
      <c r="K33" s="2912"/>
      <c r="L33" s="2912"/>
      <c r="M33" s="2912"/>
      <c r="N33" s="2912"/>
      <c r="O33" s="2912"/>
      <c r="P33" s="1014"/>
      <c r="Q33" s="2906"/>
      <c r="R33" s="2907"/>
      <c r="S33" s="2907"/>
      <c r="T33" s="2907"/>
      <c r="U33" s="2907"/>
      <c r="V33" s="1011"/>
    </row>
    <row r="34" spans="1:22" ht="12.75" customHeight="1" x14ac:dyDescent="0.2">
      <c r="A34" s="1009"/>
      <c r="C34" s="1273" t="s">
        <v>231</v>
      </c>
      <c r="D34" s="1280" t="s">
        <v>218</v>
      </c>
      <c r="E34" s="2913" t="str">
        <f>'F-LSCD-012'!C23</f>
        <v>Centro geométrico del volumen sensible del detector</v>
      </c>
      <c r="F34" s="2913"/>
      <c r="G34" s="2913"/>
      <c r="H34" s="2913"/>
      <c r="I34" s="2913"/>
      <c r="J34" s="2913"/>
      <c r="K34" s="2913"/>
      <c r="L34" s="2913"/>
      <c r="M34" s="2913"/>
      <c r="N34" s="2913"/>
      <c r="O34" s="2913"/>
      <c r="P34" s="1014"/>
      <c r="Q34" s="2906"/>
      <c r="R34" s="2907"/>
      <c r="S34" s="2907"/>
      <c r="T34" s="2907"/>
      <c r="U34" s="2907"/>
      <c r="V34" s="1011"/>
    </row>
    <row r="35" spans="1:22" x14ac:dyDescent="0.2">
      <c r="A35" s="1009"/>
      <c r="C35" s="1273"/>
      <c r="D35" s="1280"/>
      <c r="E35" s="1672"/>
      <c r="F35" s="1672"/>
      <c r="G35" s="1672"/>
      <c r="H35" s="1672"/>
      <c r="I35" s="1672"/>
      <c r="J35" s="1672"/>
      <c r="K35" s="1672"/>
      <c r="L35" s="1672"/>
      <c r="M35" s="1672"/>
      <c r="N35" s="1672"/>
      <c r="O35" s="1672"/>
      <c r="P35" s="1014"/>
      <c r="Q35" s="2906"/>
      <c r="R35" s="2907"/>
      <c r="S35" s="2907"/>
      <c r="T35" s="2907"/>
      <c r="U35" s="2907"/>
      <c r="V35" s="1011"/>
    </row>
    <row r="36" spans="1:22" x14ac:dyDescent="0.2">
      <c r="A36" s="1009"/>
      <c r="B36" s="166" t="s">
        <v>1128</v>
      </c>
      <c r="C36" s="170"/>
      <c r="D36" s="1022" t="s">
        <v>218</v>
      </c>
      <c r="E36" s="3095">
        <f>'F-LSCD-012'!C18</f>
        <v>44336</v>
      </c>
      <c r="F36" s="3095"/>
      <c r="G36" s="3095"/>
      <c r="H36" s="1278"/>
      <c r="I36" s="1278"/>
      <c r="J36" s="1278"/>
      <c r="K36" s="1278"/>
      <c r="L36" s="1279"/>
      <c r="M36" s="1279"/>
      <c r="N36" s="1279"/>
      <c r="O36" s="1279"/>
      <c r="P36" s="1027"/>
      <c r="Q36" s="2906"/>
      <c r="R36" s="2907"/>
      <c r="S36" s="2907"/>
      <c r="T36" s="2907"/>
      <c r="U36" s="2907"/>
      <c r="V36" s="1011"/>
    </row>
    <row r="37" spans="1:22" ht="5.25" customHeight="1" x14ac:dyDescent="0.2">
      <c r="A37" s="1009"/>
      <c r="B37" s="166"/>
      <c r="C37" s="182"/>
      <c r="D37" s="1022"/>
      <c r="E37" s="1673"/>
      <c r="F37" s="1673"/>
      <c r="G37" s="1673"/>
      <c r="H37" s="1276"/>
      <c r="I37" s="1276"/>
      <c r="J37" s="1276"/>
      <c r="K37" s="1276"/>
      <c r="L37" s="1277"/>
      <c r="M37" s="1275"/>
      <c r="N37" s="1275"/>
      <c r="O37" s="1275"/>
      <c r="P37" s="1014"/>
      <c r="Q37" s="2906"/>
      <c r="R37" s="2907"/>
      <c r="S37" s="2907"/>
      <c r="T37" s="2907"/>
      <c r="U37" s="2907"/>
      <c r="V37" s="1011"/>
    </row>
    <row r="38" spans="1:22" x14ac:dyDescent="0.2">
      <c r="A38" s="1009"/>
      <c r="B38" s="166" t="s">
        <v>1129</v>
      </c>
      <c r="C38" s="1272"/>
      <c r="D38" s="1022" t="s">
        <v>218</v>
      </c>
      <c r="E38" s="3095">
        <f>'F-LSCD-012'!C26</f>
        <v>44336</v>
      </c>
      <c r="F38" s="3095"/>
      <c r="G38" s="3095"/>
      <c r="H38" s="1278"/>
      <c r="I38" s="1278"/>
      <c r="J38" s="1278"/>
      <c r="K38" s="1278"/>
      <c r="L38" s="1279"/>
      <c r="M38" s="1279"/>
      <c r="N38" s="1279"/>
      <c r="O38" s="1279"/>
      <c r="P38" s="1027"/>
      <c r="Q38" s="2906"/>
      <c r="R38" s="2907"/>
      <c r="S38" s="2907"/>
      <c r="T38" s="2907"/>
      <c r="U38" s="2907"/>
      <c r="V38" s="1011"/>
    </row>
    <row r="39" spans="1:22" ht="15" x14ac:dyDescent="0.25">
      <c r="A39" s="1009"/>
      <c r="B39" s="1010"/>
      <c r="D39" s="1028"/>
      <c r="E39" s="1028"/>
      <c r="H39" s="1026"/>
      <c r="V39" s="1011"/>
    </row>
    <row r="40" spans="1:22" ht="15" customHeight="1" x14ac:dyDescent="0.2">
      <c r="A40" s="1009"/>
      <c r="B40" s="166" t="s">
        <v>1130</v>
      </c>
      <c r="C40" s="1010"/>
      <c r="D40" s="1029"/>
      <c r="E40" s="1029"/>
      <c r="F40" s="1010"/>
      <c r="G40" s="1010"/>
      <c r="H40" s="1010"/>
      <c r="I40" s="1010"/>
      <c r="J40" s="1010"/>
      <c r="K40" s="1010"/>
      <c r="V40" s="1011"/>
    </row>
    <row r="41" spans="1:22" ht="6" customHeight="1" x14ac:dyDescent="0.2">
      <c r="A41" s="1009"/>
      <c r="D41" s="1028"/>
      <c r="E41" s="1030"/>
      <c r="V41" s="1011"/>
    </row>
    <row r="42" spans="1:22" ht="15" customHeight="1" x14ac:dyDescent="0.2">
      <c r="A42" s="1009"/>
      <c r="C42" s="2889" t="str">
        <f>IF('F-LSCD-012'!I24="Tasa de dosis equivalente ambiental, H*(10)","VCV de la tasa de dosis equivalente ambiental H*(10)",IF('F-LSCD-012'!I24="Dosis equivalente personal, Hp(10)","VCV de la dosis equivalente personal Hp(10) (mSv)",IF('F-LSCD-012'!I24="Dosis equivalente personal, Hp(0,07)","VCV de la dosis equivalente personal Hp(0,07) (mSv)",IF('F-LSCD-012'!I24="Dosis absorbida, D(10)","VCV de la dosis absorbida D(10) (mGy)"))))</f>
        <v>VCV de la dosis equivalente personal Hp(10) (mSv)</v>
      </c>
      <c r="D42" s="2890"/>
      <c r="E42" s="2893" t="s">
        <v>799</v>
      </c>
      <c r="F42" s="2894"/>
      <c r="G42" s="2894"/>
      <c r="H42" s="2895"/>
      <c r="I42" s="2866" t="s">
        <v>800</v>
      </c>
      <c r="J42" s="2867"/>
      <c r="K42" s="2867"/>
      <c r="L42" s="2868"/>
      <c r="M42" s="2853" t="s">
        <v>1111</v>
      </c>
      <c r="N42" s="2868"/>
      <c r="O42" s="2940" t="s">
        <v>259</v>
      </c>
      <c r="P42" s="2941"/>
      <c r="Q42" s="2942"/>
      <c r="R42" s="2967" t="s">
        <v>6</v>
      </c>
      <c r="S42" s="214"/>
      <c r="T42" s="214"/>
      <c r="V42" s="1011"/>
    </row>
    <row r="43" spans="1:22" ht="15" customHeight="1" x14ac:dyDescent="0.2">
      <c r="A43" s="1009"/>
      <c r="C43" s="2891"/>
      <c r="D43" s="2892"/>
      <c r="E43" s="2853" t="s">
        <v>798</v>
      </c>
      <c r="F43" s="2854"/>
      <c r="G43" s="2853" t="s">
        <v>1114</v>
      </c>
      <c r="H43" s="2857"/>
      <c r="I43" s="2853" t="s">
        <v>798</v>
      </c>
      <c r="J43" s="2854"/>
      <c r="K43" s="2853" t="s">
        <v>1114</v>
      </c>
      <c r="L43" s="2857"/>
      <c r="M43" s="2896"/>
      <c r="N43" s="2897"/>
      <c r="O43" s="3099"/>
      <c r="P43" s="3100"/>
      <c r="Q43" s="3101"/>
      <c r="R43" s="3092"/>
      <c r="S43" s="214"/>
      <c r="T43" s="214"/>
      <c r="V43" s="1011"/>
    </row>
    <row r="44" spans="1:22" ht="24" customHeight="1" x14ac:dyDescent="0.2">
      <c r="A44" s="1009"/>
      <c r="C44" s="2891"/>
      <c r="D44" s="2892"/>
      <c r="E44" s="2855"/>
      <c r="F44" s="2856"/>
      <c r="G44" s="2855"/>
      <c r="H44" s="2858"/>
      <c r="I44" s="2855"/>
      <c r="J44" s="2856"/>
      <c r="K44" s="2855"/>
      <c r="L44" s="2858"/>
      <c r="M44" s="2898"/>
      <c r="N44" s="2897"/>
      <c r="O44" s="3099"/>
      <c r="P44" s="3100"/>
      <c r="Q44" s="3101"/>
      <c r="R44" s="3093"/>
      <c r="S44" s="3094" t="s">
        <v>117</v>
      </c>
      <c r="T44" s="3094"/>
      <c r="U44" s="1031"/>
      <c r="V44" s="1011"/>
    </row>
    <row r="45" spans="1:22" x14ac:dyDescent="0.2">
      <c r="A45" s="1009"/>
      <c r="C45" s="3080" t="str">
        <f>IF('F-LSCD-012'!A34="-","-",FIXED('F-LSCD-012'!A34,'F-LSCD-012'!W34+1)&amp;" "&amp;'F-LSCD-012'!A35)</f>
        <v>25,000.0 µSv</v>
      </c>
      <c r="D45" s="3090"/>
      <c r="E45" s="3050" t="str">
        <f>IF('F-LSCD-012'!A34="-","-",FIXED('F-LSCD-012'!O34,'F-LSCD-012'!W34)&amp;" "&amp;'F-LSCD-012'!N34)</f>
        <v>2,474 mrem</v>
      </c>
      <c r="F45" s="3056"/>
      <c r="G45" s="3050" t="str">
        <f>CHOOSE('F-LSCD-012'!V34,FIXED('F-LSCD-012'!O34,'F-LSCD-012'!W34-1),FIXED('F-LSCD-012'!O34*1000,'F-LSCD-012'!W34),FIXED('F-LSCD-012'!O34*1000000,'F-LSCD-012'!W34),FIXED('F-LSCD-012'!O34*'Datos varios'!$E$119,'F-LSCD-012'!W34),FIXED('F-LSCD-012'!O34*'Datos varios'!$E$120,'F-LSCD-012'!W34-1),FIXED('F-LSCD-012'!O34*'Datos varios'!$E$121,'F-LSCD-012'!W34),FIXED('F-LSCD-012'!O34*'Datos varios'!$E$122,'F-LSCD-012'!W34),FIXED('F-LSCD-012'!O34*'Datos varios'!$E$123,'F-LSCD-012'!W34),"-")&amp;" "&amp;'F-LSCD-012'!A35</f>
        <v>24,740 µSv</v>
      </c>
      <c r="H45" s="3050"/>
      <c r="I45" s="3055" t="str">
        <f>IF('F-LSCD-012'!O35="-","-",FIXED('F-LSCD-012'!O35,'F-LSCD-012'!W35)&amp;" "&amp;'F-LSCD-012'!N35)</f>
        <v>-</v>
      </c>
      <c r="J45" s="3056"/>
      <c r="K45" s="3050" t="str">
        <f>IF('F-LSCD-012'!O35="-","-",FIXED('F-LSCD-012'!O35,'F-LSCD-012'!W35)&amp;" "&amp;'F-LSCD-012'!N35)</f>
        <v>-</v>
      </c>
      <c r="L45" s="3050"/>
      <c r="M45" s="3082">
        <f>IF('F-LSCD-012'!R35="-",'F-LSCD-012'!R34,'F-LSCD-012'!R35)</f>
        <v>1.0105092966855296</v>
      </c>
      <c r="N45" s="3083"/>
      <c r="O45" s="3086">
        <f>IF('F-LSCD-012'!O35="-",'F-LSCD-012'!T34,'F-LSCD-012'!T35)</f>
        <v>4.4999999999999998E-2</v>
      </c>
      <c r="P45" s="3086"/>
      <c r="Q45" s="3087"/>
      <c r="R45" s="3065" t="s">
        <v>1137</v>
      </c>
      <c r="S45" s="3091" t="str">
        <f>IF('F-LSCD-012'!N35="-",'F-LSCD-012'!N34,'F-LSCD-012'!N35)</f>
        <v>mrem</v>
      </c>
      <c r="T45" s="3060"/>
      <c r="U45" s="1032"/>
      <c r="V45" s="1011"/>
    </row>
    <row r="46" spans="1:22" x14ac:dyDescent="0.2">
      <c r="A46" s="1009"/>
      <c r="C46" s="3068" t="str">
        <f>IF('F-LSCD-012'!A36="-","-",FIXED('F-LSCD-012'!A36,'F-LSCD-012'!W36+1)&amp;" "&amp;'F-LSCD-012'!A37)</f>
        <v>-</v>
      </c>
      <c r="D46" s="3088"/>
      <c r="E46" s="3051" t="str">
        <f>IF('F-LSCD-012'!A36="-","-",FIXED('F-LSCD-012'!O36,'F-LSCD-012'!W36)&amp;" "&amp;'F-LSCD-012'!N36)</f>
        <v>-</v>
      </c>
      <c r="F46" s="3071"/>
      <c r="G46" s="3051" t="str">
        <f>CHOOSE('F-LSCD-012'!V36,FIXED('F-LSCD-012'!O36,'F-LSCD-012'!W36),FIXED('F-LSCD-012'!O36*1000,'F-LSCD-012'!W36-1),FIXED('F-LSCD-012'!O36*1000000,'F-LSCD-012'!W36),FIXED('F-LSCD-012'!O36*'Datos varios'!$E$119,'F-LSCD-012'!W36),FIXED('F-LSCD-012'!O36*'Datos varios'!$E$120,'F-LSCD-012'!W36-1),FIXED('F-LSCD-012'!O36*'Datos varios'!$E$121,'F-LSCD-012'!W36),FIXED('F-LSCD-012'!O36*'Datos varios'!$E$122,'F-LSCD-012'!W36),FIXED('F-LSCD-012'!O36*'Datos varios'!$E$123,'F-LSCD-012'!W36),"-")&amp;" "&amp;'F-LSCD-012'!A37</f>
        <v>- -</v>
      </c>
      <c r="H46" s="3051"/>
      <c r="I46" s="3070" t="str">
        <f>IF('F-LSCD-012'!O37="-","-",FIXED('F-LSCD-012'!O37,'F-LSCD-012'!W37)&amp;" "&amp;'F-LSCD-012'!N37)</f>
        <v>-</v>
      </c>
      <c r="J46" s="3071"/>
      <c r="K46" s="3051" t="str">
        <f>IF('F-LSCD-012'!O37="-","-",FIXED('F-LSCD-012'!O37,'F-LSCD-012'!W37)&amp;" "&amp;'F-LSCD-012'!N37)</f>
        <v>-</v>
      </c>
      <c r="L46" s="3051"/>
      <c r="M46" s="3072" t="str">
        <f>IF('F-LSCD-012'!R37="-",'F-LSCD-012'!R36,'F-LSCD-012'!R37)</f>
        <v>-</v>
      </c>
      <c r="N46" s="3073"/>
      <c r="O46" s="3074" t="str">
        <f>IF('F-LSCD-012'!O37="-",'F-LSCD-012'!T36,'F-LSCD-012'!T37)</f>
        <v>-</v>
      </c>
      <c r="P46" s="3074"/>
      <c r="Q46" s="3075"/>
      <c r="R46" s="3066"/>
      <c r="S46" s="3060" t="str">
        <f>IF('F-LSCD-012'!N37="-",'F-LSCD-012'!N36,'F-LSCD-012'!N37)</f>
        <v>-</v>
      </c>
      <c r="T46" s="3060"/>
      <c r="U46" s="1385"/>
      <c r="V46" s="1011"/>
    </row>
    <row r="47" spans="1:22" x14ac:dyDescent="0.2">
      <c r="A47" s="1009"/>
      <c r="C47" s="3076" t="str">
        <f>IF('F-LSCD-012'!A38="-","-",FIXED('F-LSCD-012'!A38,'F-LSCD-012'!W38+1)&amp;" "&amp;'F-LSCD-012'!A39)</f>
        <v>-</v>
      </c>
      <c r="D47" s="3089"/>
      <c r="E47" s="3049" t="str">
        <f>IF('F-LSCD-012'!A38="-","-",FIXED('F-LSCD-012'!O38,'F-LSCD-012'!W38)&amp;" "&amp;'F-LSCD-012'!N38)</f>
        <v>-</v>
      </c>
      <c r="F47" s="3079"/>
      <c r="G47" s="3049" t="str">
        <f>CHOOSE('F-LSCD-012'!V38,FIXED('F-LSCD-012'!O38,'F-LSCD-012'!W38),FIXED('F-LSCD-012'!O38*1000,'F-LSCD-012'!W38),FIXED('F-LSCD-012'!O38*1000000,'F-LSCD-012'!W38-1),FIXED('F-LSCD-012'!O38*'Datos varios'!$E$119,'F-LSCD-012'!W38),FIXED('F-LSCD-012'!O38*'Datos varios'!$E$120,'F-LSCD-012'!W38-1),FIXED('F-LSCD-012'!O38*'Datos varios'!$E$121,'F-LSCD-012'!W38),FIXED('F-LSCD-012'!O38*'Datos varios'!$E$122,'F-LSCD-012'!W38),FIXED('F-LSCD-012'!O38*'Datos varios'!$E$123,'F-LSCD-012'!W38),"-")&amp;" "&amp;'F-LSCD-012'!A39</f>
        <v>- -</v>
      </c>
      <c r="H47" s="3049"/>
      <c r="I47" s="3078" t="str">
        <f>IF('F-LSCD-012'!O39="-","-",FIXED('F-LSCD-012'!O39,'F-LSCD-012'!W39)&amp;" "&amp;'F-LSCD-012'!N39)</f>
        <v>-</v>
      </c>
      <c r="J47" s="3079"/>
      <c r="K47" s="3049" t="str">
        <f>IF('F-LSCD-012'!O39="-","-",FIXED('F-LSCD-012'!O39,'F-LSCD-012'!W39)&amp;" "&amp;'F-LSCD-012'!N39)</f>
        <v>-</v>
      </c>
      <c r="L47" s="3049"/>
      <c r="M47" s="3061" t="str">
        <f>IF('F-LSCD-012'!R39="-",'F-LSCD-012'!R38,'F-LSCD-012'!R39)</f>
        <v>-</v>
      </c>
      <c r="N47" s="3062"/>
      <c r="O47" s="3063" t="str">
        <f>IF('F-LSCD-012'!O39="-",'F-LSCD-012'!T38,'F-LSCD-012'!T39)</f>
        <v>-</v>
      </c>
      <c r="P47" s="3063"/>
      <c r="Q47" s="3064"/>
      <c r="R47" s="3067"/>
      <c r="S47" s="3060" t="str">
        <f>IF('F-LSCD-012'!N39="-",'F-LSCD-012'!N38,'F-LSCD-012'!N39)</f>
        <v>-</v>
      </c>
      <c r="T47" s="3060"/>
      <c r="U47" s="1032"/>
      <c r="V47" s="1011"/>
    </row>
    <row r="48" spans="1:22" x14ac:dyDescent="0.2">
      <c r="A48" s="1009"/>
      <c r="C48" s="3068" t="str">
        <f>IF('F-LSCD-012'!A40="-","-",FIXED('F-LSCD-012'!A40,'F-LSCD-012'!W40+1)&amp;" "&amp;'F-LSCD-012'!A41)</f>
        <v>-</v>
      </c>
      <c r="D48" s="3069"/>
      <c r="E48" s="3055" t="str">
        <f>IF('F-LSCD-012'!A40="-","-",FIXED('F-LSCD-012'!O40,'F-LSCD-012'!W40)&amp;" "&amp;'F-LSCD-012'!N40)</f>
        <v>-</v>
      </c>
      <c r="F48" s="3056"/>
      <c r="G48" s="3050" t="str">
        <f>CHOOSE('F-LSCD-012'!V40,FIXED('F-LSCD-012'!O40,'F-LSCD-012'!W40),FIXED('F-LSCD-012'!O40*1000,'F-LSCD-012'!W40),FIXED('F-LSCD-012'!O40*1000000,'F-LSCD-012'!W40),FIXED('F-LSCD-012'!O40*'Datos varios'!$E$119,'F-LSCD-012'!W40-1),FIXED('F-LSCD-012'!O40*'Datos varios'!$E$120,'F-LSCD-012'!W40-1),FIXED('F-LSCD-012'!O40*'Datos varios'!$E$121,'F-LSCD-012'!W40),FIXED('F-LSCD-012'!O40*'Datos varios'!$E$122,'F-LSCD-012'!W40),FIXED('F-LSCD-012'!O40*'Datos varios'!$E$123,'F-LSCD-012'!W40),"-")&amp;" "&amp;'F-LSCD-012'!A41</f>
        <v>- -</v>
      </c>
      <c r="H48" s="3050"/>
      <c r="I48" s="3055" t="str">
        <f>IF('F-LSCD-012'!O41="-","-",FIXED('F-LSCD-012'!O41,'F-LSCD-012'!W41)&amp;" "&amp;'F-LSCD-012'!N41)</f>
        <v>-</v>
      </c>
      <c r="J48" s="3056"/>
      <c r="K48" s="3052" t="str">
        <f>IF('F-LSCD-012'!O41="-","-",FIXED('F-LSCD-012'!O41,'F-LSCD-012'!W41)&amp;" "&amp;'F-LSCD-012'!N41)</f>
        <v>-</v>
      </c>
      <c r="L48" s="3050"/>
      <c r="M48" s="3082" t="str">
        <f>IF('F-LSCD-012'!R41="-",'F-LSCD-012'!R40,'F-LSCD-012'!R41)</f>
        <v>-</v>
      </c>
      <c r="N48" s="3083"/>
      <c r="O48" s="3086" t="str">
        <f>IF('F-LSCD-012'!O41="-",'F-LSCD-012'!T40,'F-LSCD-012'!T41)</f>
        <v>-</v>
      </c>
      <c r="P48" s="3086"/>
      <c r="Q48" s="3087"/>
      <c r="R48" s="3065" t="s">
        <v>1116</v>
      </c>
      <c r="S48" s="3060" t="str">
        <f>IF('F-LSCD-012'!N41="-",'F-LSCD-012'!N40,'F-LSCD-012'!N41)</f>
        <v>-</v>
      </c>
      <c r="T48" s="3060"/>
      <c r="U48" s="1032"/>
      <c r="V48" s="1011"/>
    </row>
    <row r="49" spans="1:23" x14ac:dyDescent="0.2">
      <c r="A49" s="1009"/>
      <c r="C49" s="3068" t="str">
        <f>IF('F-LSCD-012'!A42="-","-",FIXED('F-LSCD-012'!A42,'F-LSCD-012'!W42+1)&amp;" "&amp;'F-LSCD-012'!A43)</f>
        <v>-</v>
      </c>
      <c r="D49" s="3069"/>
      <c r="E49" s="3070" t="str">
        <f>IF('F-LSCD-012'!A42="-","-",FIXED('F-LSCD-012'!O42,'F-LSCD-012'!W42)&amp;" "&amp;'F-LSCD-012'!N42)</f>
        <v>-</v>
      </c>
      <c r="F49" s="3071"/>
      <c r="G49" s="3051" t="str">
        <f>CHOOSE('F-LSCD-012'!V42,FIXED('F-LSCD-012'!O42,'F-LSCD-012'!W42),FIXED('F-LSCD-012'!O42*1000,'F-LSCD-012'!W42),FIXED('F-LSCD-012'!O42*1000000,'F-LSCD-012'!W42),FIXED('F-LSCD-012'!O42*'Datos varios'!$E$119,'F-LSCD-012'!W42),FIXED('F-LSCD-012'!O42*'Datos varios'!$E$120,'F-LSCD-012'!W42-1),FIXED('F-LSCD-012'!O42*'Datos varios'!$E$121,'F-LSCD-012'!W42-1),FIXED('F-LSCD-012'!O42*'Datos varios'!$E$122,'F-LSCD-012'!W42),FIXED('F-LSCD-012'!O42*'Datos varios'!$E$123,'F-LSCD-012'!W42),"-")&amp;" "&amp;'F-LSCD-012'!A43</f>
        <v>- -</v>
      </c>
      <c r="H49" s="3051"/>
      <c r="I49" s="3070" t="str">
        <f>IF('F-LSCD-012'!O43="-","-",FIXED('F-LSCD-012'!O43,'F-LSCD-012'!W43)&amp;" "&amp;'F-LSCD-012'!N43)</f>
        <v>-</v>
      </c>
      <c r="J49" s="3071"/>
      <c r="K49" s="3053" t="str">
        <f>IF('F-LSCD-012'!O43="-","-",FIXED('F-LSCD-012'!O43,'F-LSCD-012'!W43)&amp;" "&amp;'F-LSCD-012'!N43)</f>
        <v>-</v>
      </c>
      <c r="L49" s="3051"/>
      <c r="M49" s="3072" t="str">
        <f>IF('F-LSCD-012'!R43="-",'F-LSCD-012'!R42,'F-LSCD-012'!R43)</f>
        <v>-</v>
      </c>
      <c r="N49" s="3073"/>
      <c r="O49" s="3074" t="str">
        <f>IF('F-LSCD-012'!O43="-",'F-LSCD-012'!T42,'F-LSCD-012'!T43)</f>
        <v>-</v>
      </c>
      <c r="P49" s="3074"/>
      <c r="Q49" s="3075"/>
      <c r="R49" s="3066"/>
      <c r="S49" s="3060" t="str">
        <f>IF('F-LSCD-012'!N43="-",'F-LSCD-012'!N42,'F-LSCD-012'!N43)</f>
        <v>-</v>
      </c>
      <c r="T49" s="3060"/>
      <c r="U49" s="1385"/>
      <c r="V49" s="1011"/>
    </row>
    <row r="50" spans="1:23" x14ac:dyDescent="0.2">
      <c r="A50" s="1009"/>
      <c r="C50" s="3076" t="str">
        <f>IF('F-LSCD-012'!A44="-","-",FIXED('F-LSCD-012'!A44,'F-LSCD-012'!W44+1)&amp;" "&amp;'F-LSCD-012'!A45)</f>
        <v>-</v>
      </c>
      <c r="D50" s="3077"/>
      <c r="E50" s="3078" t="str">
        <f>IF('F-LSCD-012'!A44="-","-",FIXED('F-LSCD-012'!O44,'F-LSCD-012'!W44)&amp;" "&amp;'F-LSCD-012'!N44)</f>
        <v>-</v>
      </c>
      <c r="F50" s="3079"/>
      <c r="G50" s="3049" t="str">
        <f>CHOOSE('F-LSCD-012'!V44,FIXED('F-LSCD-012'!O44,'F-LSCD-012'!W44),FIXED('F-LSCD-012'!O44*1000,'F-LSCD-012'!W44),FIXED('F-LSCD-012'!O44*1000000,'F-LSCD-012'!W44),FIXED('F-LSCD-012'!O44*'Datos varios'!$E$119,'F-LSCD-012'!W44),FIXED('F-LSCD-012'!O44*'Datos varios'!$E$120,'F-LSCD-012'!W44-1),FIXED('F-LSCD-012'!O44*'Datos varios'!$E$121,'F-LSCD-012'!W44),FIXED('F-LSCD-012'!O44*'Datos varios'!$E$122,'F-LSCD-012'!W44-1),FIXED('F-LSCD-012'!O44*'Datos varios'!$E$123,'F-LSCD-012'!W44),"-")&amp;" "&amp;'F-LSCD-012'!A45</f>
        <v>- -</v>
      </c>
      <c r="H50" s="3049"/>
      <c r="I50" s="3078" t="str">
        <f>IF('F-LSCD-012'!O45="-","-",FIXED('F-LSCD-012'!O45,'F-LSCD-012'!W45)&amp;" "&amp;'F-LSCD-012'!N45)</f>
        <v>-</v>
      </c>
      <c r="J50" s="3079"/>
      <c r="K50" s="3054" t="str">
        <f>IF('F-LSCD-012'!O45="-","-",FIXED('F-LSCD-012'!O45,'F-LSCD-012'!W45)&amp;" "&amp;'F-LSCD-012'!N45)</f>
        <v>-</v>
      </c>
      <c r="L50" s="3049"/>
      <c r="M50" s="3061" t="str">
        <f>IF('F-LSCD-012'!R45="-",'F-LSCD-012'!R44,'F-LSCD-012'!R45)</f>
        <v>-</v>
      </c>
      <c r="N50" s="3062"/>
      <c r="O50" s="3063" t="str">
        <f>IF('F-LSCD-012'!O45="-",'F-LSCD-012'!T44,'F-LSCD-012'!T45)</f>
        <v>-</v>
      </c>
      <c r="P50" s="3063"/>
      <c r="Q50" s="3064"/>
      <c r="R50" s="3067"/>
      <c r="S50" s="3060" t="str">
        <f>IF('F-LSCD-012'!N45="-",'F-LSCD-012'!N44,'F-LSCD-012'!N45)</f>
        <v>-</v>
      </c>
      <c r="T50" s="3060"/>
      <c r="U50" s="1032"/>
      <c r="V50" s="1011"/>
    </row>
    <row r="51" spans="1:23" x14ac:dyDescent="0.2">
      <c r="A51" s="1009"/>
      <c r="C51" s="3080" t="str">
        <f>IF('F-LSCD-012'!A46="-","-",FIXED('F-LSCD-012'!A46,'F-LSCD-012'!W46+1)&amp;" "&amp;'F-LSCD-012'!A47)</f>
        <v>-</v>
      </c>
      <c r="D51" s="3081"/>
      <c r="E51" s="3055" t="str">
        <f>IF('F-LSCD-012'!A46="-","-",FIXED('F-LSCD-012'!O46,'F-LSCD-012'!W46)&amp;" "&amp;'F-LSCD-012'!N46)</f>
        <v>-</v>
      </c>
      <c r="F51" s="3056"/>
      <c r="G51" s="3050" t="str">
        <f>CHOOSE('F-LSCD-012'!V46,FIXED('F-LSCD-012'!O46,'F-LSCD-012'!W46),FIXED('F-LSCD-012'!O46*1000,'F-LSCD-012'!W46),FIXED('F-LSCD-012'!O46*1000000,'F-LSCD-012'!W46),FIXED('F-LSCD-012'!O46*'Datos varios'!$E$119,'F-LSCD-012'!W46),FIXED('F-LSCD-012'!O46*'Datos varios'!$E$120,'F-LSCD-012'!W46-1),FIXED('F-LSCD-012'!O46*'Datos varios'!$E$121,'F-LSCD-012'!W46),FIXED('F-LSCD-012'!O46*'Datos varios'!$E$122,'F-LSCD-012'!W46),FIXED('F-LSCD-012'!O46*'Datos varios'!$E$123,'F-LSCD-012'!W46-1),"-")&amp;" "&amp;'F-LSCD-012'!A47</f>
        <v>- -</v>
      </c>
      <c r="H51" s="3050"/>
      <c r="I51" s="3055" t="str">
        <f>IF('F-LSCD-012'!O47="-","-",FIXED('F-LSCD-012'!O47,'F-LSCD-012'!W47)&amp;" "&amp;'F-LSCD-012'!N47)</f>
        <v>-</v>
      </c>
      <c r="J51" s="3056"/>
      <c r="K51" s="3050" t="str">
        <f>IF('F-LSCD-012'!O47="-","-",FIXED('F-LSCD-012'!O47,'F-LSCD-012'!W47)&amp;" "&amp;'F-LSCD-012'!N47)</f>
        <v>-</v>
      </c>
      <c r="L51" s="3050"/>
      <c r="M51" s="3082" t="str">
        <f>IF('F-LSCD-012'!R47="-",'F-LSCD-012'!R46,'F-LSCD-012'!R47)</f>
        <v>-</v>
      </c>
      <c r="N51" s="3083"/>
      <c r="O51" s="3084" t="str">
        <f>IF('F-LSCD-012'!O47="-",'F-LSCD-012'!T46,'F-LSCD-012'!T47)</f>
        <v>-</v>
      </c>
      <c r="P51" s="3084"/>
      <c r="Q51" s="3085"/>
      <c r="R51" s="3065" t="s">
        <v>1117</v>
      </c>
      <c r="S51" s="3060" t="str">
        <f>IF('F-LSCD-012'!N47="-",'F-LSCD-012'!N46,'F-LSCD-012'!N47)</f>
        <v>-</v>
      </c>
      <c r="T51" s="3060"/>
      <c r="U51" s="1032"/>
      <c r="V51" s="1011"/>
    </row>
    <row r="52" spans="1:23" x14ac:dyDescent="0.2">
      <c r="A52" s="1009"/>
      <c r="C52" s="3068" t="str">
        <f>IF('F-LSCD-012'!A48="-","-",FIXED('F-LSCD-012'!A48,'F-LSCD-012'!W48+1)&amp;" "&amp;'F-LSCD-012'!A49)</f>
        <v>-</v>
      </c>
      <c r="D52" s="3069"/>
      <c r="E52" s="3070" t="str">
        <f>IF('F-LSCD-012'!A48="-","-",FIXED('F-LSCD-012'!O48,'F-LSCD-012'!W48)&amp;" "&amp;'F-LSCD-012'!N48)</f>
        <v>-</v>
      </c>
      <c r="F52" s="3071"/>
      <c r="G52" s="3051" t="str">
        <f>CHOOSE('F-LSCD-012'!V48,FIXED('F-LSCD-012'!O48,'F-LSCD-012'!W48),FIXED('F-LSCD-012'!O48*1000,'F-LSCD-012'!W48),FIXED('F-LSCD-012'!O48*1000000,'F-LSCD-012'!W48),FIXED('F-LSCD-012'!O48*'Datos varios'!$E$119,'F-LSCD-012'!W48),FIXED('F-LSCD-012'!O48*'Datos varios'!$E$120,'F-LSCD-012'!W48-1),FIXED('F-LSCD-012'!O48*'Datos varios'!$E$121,'F-LSCD-012'!W48-1),FIXED('F-LSCD-012'!O48*'Datos varios'!$E$122,'F-LSCD-012'!W48),FIXED('F-LSCD-012'!O48*'Datos varios'!$E$123,'F-LSCD-012'!W48),"-")&amp;" "&amp;'F-LSCD-012'!A49</f>
        <v>- -</v>
      </c>
      <c r="H52" s="3051"/>
      <c r="I52" s="3070" t="str">
        <f>IF('F-LSCD-012'!O49="-","-",FIXED('F-LSCD-012'!O49,'F-LSCD-012'!W49)&amp;" "&amp;'F-LSCD-012'!N49)</f>
        <v>-</v>
      </c>
      <c r="J52" s="3071"/>
      <c r="K52" s="3051" t="str">
        <f>IF('F-LSCD-012'!O49="-","-",FIXED('F-LSCD-012'!O49,'F-LSCD-012'!W49)&amp;" "&amp;'F-LSCD-012'!N49)</f>
        <v>-</v>
      </c>
      <c r="L52" s="3051"/>
      <c r="M52" s="3072" t="str">
        <f>IF('F-LSCD-012'!R49="-",'F-LSCD-012'!R48,'F-LSCD-012'!R49)</f>
        <v>-</v>
      </c>
      <c r="N52" s="3073"/>
      <c r="O52" s="3074" t="str">
        <f>IF('F-LSCD-012'!O49="-",'F-LSCD-012'!T48,'F-LSCD-012'!T49)</f>
        <v>-</v>
      </c>
      <c r="P52" s="3074"/>
      <c r="Q52" s="3075"/>
      <c r="R52" s="3066"/>
      <c r="S52" s="3060" t="str">
        <f>IF('F-LSCD-012'!N49="-",'F-LSCD-012'!N48,'F-LSCD-012'!N49)</f>
        <v>-</v>
      </c>
      <c r="T52" s="3060"/>
      <c r="U52" s="1385"/>
      <c r="V52" s="1011"/>
    </row>
    <row r="53" spans="1:23" x14ac:dyDescent="0.2">
      <c r="A53" s="1009"/>
      <c r="C53" s="3076" t="str">
        <f>IF('F-LSCD-012'!A50="-","-",FIXED('F-LSCD-012'!A50,'F-LSCD-012'!W50+1)&amp;" "&amp;'F-LSCD-012'!A51)</f>
        <v>-</v>
      </c>
      <c r="D53" s="3077"/>
      <c r="E53" s="3078" t="str">
        <f>IF('F-LSCD-012'!A50="-","-",FIXED('F-LSCD-012'!O50,'F-LSCD-012'!W50)&amp;" "&amp;'F-LSCD-012'!N50)</f>
        <v>-</v>
      </c>
      <c r="F53" s="3079"/>
      <c r="G53" s="3049" t="str">
        <f>CHOOSE('F-LSCD-012'!V50,FIXED('F-LSCD-012'!O50,'F-LSCD-012'!W50),FIXED('F-LSCD-012'!O50*1000,'F-LSCD-012'!W50),FIXED('F-LSCD-012'!O50*1000000,'F-LSCD-012'!W50),FIXED('F-LSCD-012'!O50*'Datos varios'!$E$119,'F-LSCD-012'!W50),FIXED('F-LSCD-012'!O50*'Datos varios'!$E$120,'F-LSCD-012'!W50-1),FIXED('F-LSCD-012'!O50*'Datos varios'!$E$121,'F-LSCD-012'!W50),FIXED('F-LSCD-012'!O50*'Datos varios'!$E$122,'F-LSCD-012'!W50),FIXED('F-LSCD-012'!O50*'Datos varios'!$E$123,'F-LSCD-012'!W50),"-")&amp;" "&amp;'F-LSCD-012'!A51</f>
        <v>- -</v>
      </c>
      <c r="H53" s="3049"/>
      <c r="I53" s="3078" t="str">
        <f>IF('F-LSCD-012'!O51="-","-",FIXED('F-LSCD-012'!O51,'F-LSCD-012'!W51)&amp;" "&amp;'F-LSCD-012'!N51)</f>
        <v>-</v>
      </c>
      <c r="J53" s="3079"/>
      <c r="K53" s="3049" t="str">
        <f>IF('F-LSCD-012'!O51="-","-",FIXED('F-LSCD-012'!O51,'F-LSCD-012'!W51)&amp;" "&amp;'F-LSCD-012'!N51)</f>
        <v>-</v>
      </c>
      <c r="L53" s="3049"/>
      <c r="M53" s="3061" t="str">
        <f>IF('F-LSCD-012'!R51="-",'F-LSCD-012'!R50,'F-LSCD-012'!R51)</f>
        <v>-</v>
      </c>
      <c r="N53" s="3062"/>
      <c r="O53" s="3063" t="str">
        <f>IF('F-LSCD-012'!O51="-",'F-LSCD-012'!T50,'F-LSCD-012'!T51)</f>
        <v>-</v>
      </c>
      <c r="P53" s="3063"/>
      <c r="Q53" s="3064"/>
      <c r="R53" s="3067"/>
      <c r="S53" s="3060" t="str">
        <f>IF('F-LSCD-012'!N51="-",'F-LSCD-012'!N50,'F-LSCD-012'!N51)</f>
        <v>-</v>
      </c>
      <c r="T53" s="3060"/>
      <c r="U53" s="1032"/>
      <c r="V53" s="1011"/>
    </row>
    <row r="54" spans="1:23" x14ac:dyDescent="0.2">
      <c r="A54" s="1009"/>
      <c r="C54" s="3080" t="str">
        <f>IF('F-LSCD-012'!A52="-","-",FIXED('F-LSCD-012'!A52,'F-LSCD-012'!W52+1)&amp;" "&amp;'F-LSCD-012'!A53)</f>
        <v>-</v>
      </c>
      <c r="D54" s="3081"/>
      <c r="E54" s="3055" t="str">
        <f>IF('F-LSCD-012'!A52="-","-",FIXED('F-LSCD-012'!O52,'F-LSCD-012'!W52)&amp;" "&amp;'F-LSCD-012'!N52)</f>
        <v>-</v>
      </c>
      <c r="F54" s="3056"/>
      <c r="G54" s="3050" t="str">
        <f>CHOOSE('F-LSCD-012'!V52,FIXED('F-LSCD-012'!O52,'F-LSCD-012'!W52),FIXED('F-LSCD-012'!O52*1000,'F-LSCD-012'!W52),FIXED('F-LSCD-012'!O52*1000000,'F-LSCD-012'!W52),FIXED('F-LSCD-012'!O52*'Datos varios'!$E$119,'F-LSCD-012'!W52-1),FIXED('F-LSCD-012'!O52*'Datos varios'!$E$120,'F-LSCD-012'!W52-1),FIXED('F-LSCD-012'!O52*'Datos varios'!$E$121,'F-LSCD-012'!W52),FIXED('F-LSCD-012'!O52*'Datos varios'!$E$122,'F-LSCD-012'!W52),FIXED('F-LSCD-012'!O52*'Datos varios'!$E$123,'F-LSCD-012'!W52),"-")&amp;" "&amp;'F-LSCD-012'!A53</f>
        <v>- -</v>
      </c>
      <c r="H54" s="3050"/>
      <c r="I54" s="3055" t="str">
        <f>IF('F-LSCD-012'!O53="-","-",FIXED('F-LSCD-012'!O53,'F-LSCD-012'!W53)&amp;" "&amp;'F-LSCD-012'!N53)</f>
        <v>-</v>
      </c>
      <c r="J54" s="3056"/>
      <c r="K54" s="3050" t="str">
        <f>IF('F-LSCD-012'!O53="-","-",FIXED('F-LSCD-012'!O53,'F-LSCD-012'!W53)&amp;" "&amp;'F-LSCD-012'!N53)</f>
        <v>-</v>
      </c>
      <c r="L54" s="3050"/>
      <c r="M54" s="3082" t="str">
        <f>IF('F-LSCD-012'!R53="-",'F-LSCD-012'!R52,'F-LSCD-012'!R53)</f>
        <v>-</v>
      </c>
      <c r="N54" s="3083"/>
      <c r="O54" s="3084" t="str">
        <f>IF('F-LSCD-012'!O53="-",'F-LSCD-012'!T52,'F-LSCD-012'!T53)</f>
        <v>-</v>
      </c>
      <c r="P54" s="3084"/>
      <c r="Q54" s="3085"/>
      <c r="R54" s="3065" t="s">
        <v>1145</v>
      </c>
      <c r="S54" s="3060" t="str">
        <f>IF('F-LSCD-012'!N53="-",'F-LSCD-012'!N52,'F-LSCD-012'!N53)</f>
        <v>-</v>
      </c>
      <c r="T54" s="3060"/>
      <c r="U54" s="1032"/>
      <c r="V54" s="1011"/>
    </row>
    <row r="55" spans="1:23" x14ac:dyDescent="0.2">
      <c r="A55" s="1009"/>
      <c r="C55" s="3068" t="str">
        <f>IF('F-LSCD-012'!A54="-","-",FIXED('F-LSCD-012'!A54,'F-LSCD-012'!W54+1)&amp;" "&amp;'F-LSCD-012'!A55)</f>
        <v>-</v>
      </c>
      <c r="D55" s="3069"/>
      <c r="E55" s="3070" t="str">
        <f>IF('F-LSCD-012'!A54="-","-",FIXED('F-LSCD-012'!O54,'F-LSCD-012'!W54)&amp;" "&amp;'F-LSCD-012'!N54)</f>
        <v>-</v>
      </c>
      <c r="F55" s="3071"/>
      <c r="G55" s="3051" t="str">
        <f>CHOOSE('F-LSCD-012'!V54,FIXED('F-LSCD-012'!O54,'F-LSCD-012'!W54),FIXED('F-LSCD-012'!O54*1000,'F-LSCD-012'!W54),FIXED('F-LSCD-012'!O54*1000000,'F-LSCD-012'!W54),FIXED('F-LSCD-012'!O54*'Datos varios'!$E$119,'F-LSCD-012'!W54-1),FIXED('F-LSCD-012'!O54*'Datos varios'!$E$120,'F-LSCD-012'!W54-1),FIXED('F-LSCD-012'!O54*'Datos varios'!$E$121,'F-LSCD-012'!W54),FIXED('F-LSCD-012'!O54*'Datos varios'!$E$122,'F-LSCD-012'!W54),FIXED('F-LSCD-012'!O54*'Datos varios'!$E$123,'F-LSCD-012'!W54),"-")&amp;" "&amp;'F-LSCD-012'!A55</f>
        <v>- -</v>
      </c>
      <c r="H55" s="3051"/>
      <c r="I55" s="3070" t="str">
        <f>IF('F-LSCD-012'!O55="-","-",FIXED('F-LSCD-012'!O55,'F-LSCD-012'!W55)&amp;" "&amp;'F-LSCD-012'!N55)</f>
        <v>-</v>
      </c>
      <c r="J55" s="3071"/>
      <c r="K55" s="3051" t="str">
        <f>IF('F-LSCD-012'!O55="-","-",FIXED('F-LSCD-012'!O55,'F-LSCD-012'!W55)&amp;" "&amp;'F-LSCD-012'!N55)</f>
        <v>-</v>
      </c>
      <c r="L55" s="3051"/>
      <c r="M55" s="3072" t="str">
        <f>IF('F-LSCD-012'!R55="-",'F-LSCD-012'!R54,'F-LSCD-012'!R55)</f>
        <v>-</v>
      </c>
      <c r="N55" s="3073"/>
      <c r="O55" s="3074" t="str">
        <f>IF('F-LSCD-012'!O55="-",'F-LSCD-012'!T54,'F-LSCD-012'!T55)</f>
        <v>-</v>
      </c>
      <c r="P55" s="3074"/>
      <c r="Q55" s="3075"/>
      <c r="R55" s="3066"/>
      <c r="S55" s="3060" t="str">
        <f>IF('F-LSCD-012'!N55="-",'F-LSCD-012'!N54,'F-LSCD-012'!N55)</f>
        <v>-</v>
      </c>
      <c r="T55" s="3060"/>
      <c r="U55" s="1032"/>
      <c r="V55" s="1011"/>
    </row>
    <row r="56" spans="1:23" x14ac:dyDescent="0.2">
      <c r="A56" s="1009"/>
      <c r="C56" s="3076" t="str">
        <f>IF('F-LSCD-012'!A56="-","-",FIXED('F-LSCD-012'!A56,'F-LSCD-012'!W56+1)&amp;" "&amp;'F-LSCD-012'!A57)</f>
        <v>-</v>
      </c>
      <c r="D56" s="3077"/>
      <c r="E56" s="3078" t="str">
        <f>IF('F-LSCD-012'!A56="-","-",FIXED('F-LSCD-012'!O56,'F-LSCD-012'!W56)&amp;" "&amp;'F-LSCD-012'!N56)</f>
        <v>-</v>
      </c>
      <c r="F56" s="3079"/>
      <c r="G56" s="3049" t="str">
        <f>CHOOSE('F-LSCD-012'!V56,FIXED('F-LSCD-012'!O56,'F-LSCD-012'!W56),FIXED('F-LSCD-012'!O56*1000,'F-LSCD-012'!W56),FIXED('F-LSCD-012'!O56*1000000,'F-LSCD-012'!W56),FIXED('F-LSCD-012'!O56*'Datos varios'!$E$119,'F-LSCD-012'!W56-1),FIXED('F-LSCD-012'!O56*'Datos varios'!$E$120,'F-LSCD-012'!W56-1),FIXED('F-LSCD-012'!O56*'Datos varios'!$E$121,'F-LSCD-012'!W56),FIXED('F-LSCD-012'!O56*'Datos varios'!$E$122,'F-LSCD-012'!W56),FIXED('F-LSCD-012'!O56*'Datos varios'!$E$123,'F-LSCD-012'!W56),"-")&amp;" "&amp;'F-LSCD-012'!A57</f>
        <v>- -</v>
      </c>
      <c r="H56" s="3049"/>
      <c r="I56" s="3078" t="str">
        <f>IF('F-LSCD-012'!O57="-","-",FIXED('F-LSCD-012'!O57,'F-LSCD-012'!W57)&amp;" "&amp;'F-LSCD-012'!N57)</f>
        <v>-</v>
      </c>
      <c r="J56" s="3079"/>
      <c r="K56" s="3049" t="str">
        <f>IF('F-LSCD-012'!O57="-","-",FIXED('F-LSCD-012'!O57,'F-LSCD-012'!W57)&amp;" "&amp;'F-LSCD-012'!N57)</f>
        <v>-</v>
      </c>
      <c r="L56" s="3049"/>
      <c r="M56" s="3061" t="str">
        <f>IF('F-LSCD-012'!R57="-",'F-LSCD-012'!R56,'F-LSCD-012'!R57)</f>
        <v>-</v>
      </c>
      <c r="N56" s="3062"/>
      <c r="O56" s="3063" t="str">
        <f>IF('F-LSCD-012'!O57="-",'F-LSCD-012'!T56,'F-LSCD-012'!T57)</f>
        <v>-</v>
      </c>
      <c r="P56" s="3063"/>
      <c r="Q56" s="3064"/>
      <c r="R56" s="3067"/>
      <c r="S56" s="3060" t="str">
        <f>IF('F-LSCD-012'!N57="-",'F-LSCD-012'!N56,'F-LSCD-012'!N57)</f>
        <v>-</v>
      </c>
      <c r="T56" s="3060"/>
      <c r="U56" s="1032"/>
      <c r="V56" s="1011"/>
    </row>
    <row r="57" spans="1:23" x14ac:dyDescent="0.2">
      <c r="A57" s="1009"/>
      <c r="C57" s="1033" t="str">
        <f>"VCV = Valor convencionalmente verdadero"</f>
        <v>VCV = Valor convencionalmente verdadero</v>
      </c>
      <c r="D57" s="1033"/>
      <c r="E57" s="1033"/>
      <c r="F57" s="1033"/>
      <c r="G57" s="1034"/>
      <c r="H57" s="1034"/>
      <c r="I57" s="1034"/>
      <c r="J57" s="1034"/>
      <c r="K57" s="1034"/>
      <c r="P57" s="1010"/>
      <c r="Q57" s="1010"/>
      <c r="R57" s="1010"/>
      <c r="S57" s="1010"/>
      <c r="T57" s="1010"/>
      <c r="U57" s="1010"/>
      <c r="V57" s="1011"/>
    </row>
    <row r="58" spans="1:23" ht="12.75" hidden="1" customHeight="1" x14ac:dyDescent="0.2">
      <c r="A58" s="1009"/>
      <c r="C58" s="1014"/>
      <c r="D58" s="1262"/>
      <c r="E58" s="1262"/>
      <c r="F58" s="1262"/>
      <c r="G58" s="1262"/>
      <c r="H58" s="1262"/>
      <c r="I58" s="1262"/>
      <c r="J58" s="1262"/>
      <c r="K58" s="1262"/>
      <c r="L58" s="1262"/>
      <c r="M58" s="1262"/>
      <c r="N58" s="1262"/>
      <c r="O58" s="1262"/>
      <c r="P58" s="1262"/>
      <c r="Q58" s="1262"/>
      <c r="R58" s="1262"/>
      <c r="S58" s="1262"/>
      <c r="T58" s="1262"/>
      <c r="U58" s="1262"/>
      <c r="V58" s="1011"/>
    </row>
    <row r="59" spans="1:23" ht="3" customHeight="1" thickBot="1" x14ac:dyDescent="0.25">
      <c r="A59" s="1036"/>
      <c r="B59" s="1037"/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8"/>
    </row>
    <row r="60" spans="1:23" ht="15.75" thickTop="1" x14ac:dyDescent="0.25">
      <c r="A60" s="3022" t="s">
        <v>1118</v>
      </c>
      <c r="B60" s="2864"/>
      <c r="C60" s="2864"/>
      <c r="D60" s="2864"/>
      <c r="E60" s="2864"/>
      <c r="F60" s="2864"/>
      <c r="G60" s="2864"/>
      <c r="H60" s="2864"/>
      <c r="I60" s="2864"/>
      <c r="J60" s="2864"/>
      <c r="K60" s="2864"/>
      <c r="L60" s="2864"/>
      <c r="M60" s="2864"/>
      <c r="N60" s="2864"/>
      <c r="O60" s="2864"/>
      <c r="P60" s="2864"/>
      <c r="Q60" s="2864"/>
      <c r="R60" s="2864"/>
      <c r="S60" s="2864"/>
      <c r="T60" s="2864"/>
      <c r="U60" s="2864"/>
      <c r="V60" s="2865"/>
    </row>
    <row r="61" spans="1:23" ht="11.25" customHeight="1" thickBot="1" x14ac:dyDescent="0.25">
      <c r="A61" s="2859" t="s">
        <v>810</v>
      </c>
      <c r="B61" s="2860"/>
      <c r="C61" s="2860"/>
      <c r="D61" s="2860"/>
      <c r="E61" s="2860"/>
      <c r="F61" s="2860"/>
      <c r="G61" s="2860"/>
      <c r="H61" s="2860"/>
      <c r="I61" s="2860"/>
      <c r="J61" s="2860"/>
      <c r="K61" s="2860"/>
      <c r="L61" s="2860"/>
      <c r="M61" s="2860"/>
      <c r="N61" s="2860"/>
      <c r="O61" s="2860"/>
      <c r="P61" s="2860"/>
      <c r="Q61" s="2860"/>
      <c r="R61" s="2860"/>
      <c r="S61" s="2860"/>
      <c r="T61" s="2860"/>
      <c r="U61" s="2860"/>
      <c r="V61" s="2861"/>
      <c r="W61" s="1039"/>
    </row>
    <row r="62" spans="1:23" ht="11.25" customHeight="1" thickBot="1" x14ac:dyDescent="0.25">
      <c r="A62" s="1305"/>
      <c r="B62" s="1416" t="s">
        <v>916</v>
      </c>
      <c r="C62" s="1417"/>
      <c r="D62" s="1305"/>
      <c r="E62" s="1305"/>
      <c r="F62" s="1305"/>
      <c r="G62" s="1305"/>
      <c r="H62" s="1305"/>
      <c r="I62" s="1305"/>
      <c r="J62" s="1305"/>
      <c r="K62" s="1305"/>
      <c r="L62" s="1305"/>
      <c r="M62" s="1305"/>
      <c r="N62" s="1305"/>
      <c r="O62" s="1305"/>
      <c r="P62" s="1305"/>
      <c r="Q62" s="1305"/>
      <c r="R62" s="1305"/>
      <c r="S62" s="1305"/>
      <c r="T62" s="1305"/>
      <c r="U62" s="1415" t="str">
        <f>A4</f>
        <v>CERTIFICADO DE CALIBRACIÓN N° LSCD 029-2021</v>
      </c>
      <c r="V62" s="1305"/>
      <c r="W62" s="1039"/>
    </row>
    <row r="63" spans="1:23" ht="51" customHeight="1" x14ac:dyDescent="0.2">
      <c r="A63" s="2869"/>
      <c r="B63" s="2870"/>
      <c r="C63" s="2870"/>
      <c r="D63" s="2870"/>
      <c r="E63" s="2870"/>
      <c r="F63" s="2870"/>
      <c r="G63" s="2870"/>
      <c r="H63" s="2870"/>
      <c r="I63" s="2870"/>
      <c r="J63" s="2870"/>
      <c r="K63" s="2870"/>
      <c r="L63" s="2870"/>
      <c r="M63" s="2870"/>
      <c r="N63" s="2870"/>
      <c r="O63" s="2870"/>
      <c r="P63" s="2870"/>
      <c r="Q63" s="2870"/>
      <c r="R63" s="2870"/>
      <c r="S63" s="2870"/>
      <c r="T63" s="2870"/>
      <c r="U63" s="2870"/>
      <c r="V63" s="2871"/>
    </row>
    <row r="64" spans="1:23" ht="27" customHeight="1" thickBot="1" x14ac:dyDescent="0.25">
      <c r="A64" s="2872"/>
      <c r="B64" s="2873"/>
      <c r="C64" s="2873"/>
      <c r="D64" s="2873"/>
      <c r="E64" s="2873"/>
      <c r="F64" s="2873"/>
      <c r="G64" s="2873"/>
      <c r="H64" s="2873"/>
      <c r="I64" s="2873"/>
      <c r="J64" s="2873"/>
      <c r="K64" s="2873"/>
      <c r="L64" s="2873"/>
      <c r="M64" s="2873"/>
      <c r="N64" s="2873"/>
      <c r="O64" s="2873"/>
      <c r="P64" s="2873"/>
      <c r="Q64" s="2873"/>
      <c r="R64" s="2873"/>
      <c r="S64" s="2873"/>
      <c r="T64" s="2873"/>
      <c r="U64" s="2873"/>
      <c r="V64" s="2874"/>
    </row>
    <row r="65" spans="1:23" ht="13.5" thickTop="1" x14ac:dyDescent="0.2">
      <c r="A65" s="1304"/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5"/>
      <c r="T65" s="1305"/>
      <c r="U65" s="1305"/>
      <c r="V65" s="1306"/>
      <c r="W65" s="1039"/>
    </row>
    <row r="66" spans="1:23" x14ac:dyDescent="0.2">
      <c r="A66" s="1304"/>
      <c r="B66" s="1305"/>
      <c r="C66" s="1014" t="str">
        <f>IF(M45="-","","Promedio FC Rango "&amp;R45&amp;" = "&amp;FIXED(AVERAGE(M45:N47),2))</f>
        <v>Promedio FC Rango x 1 = 1.01</v>
      </c>
      <c r="D66" s="1305"/>
      <c r="E66" s="1305"/>
      <c r="F66" s="1305"/>
      <c r="G66" s="1305"/>
      <c r="H66" s="1305"/>
      <c r="I66" s="1305"/>
      <c r="J66" s="1305"/>
      <c r="K66" s="1305"/>
      <c r="L66" s="1305"/>
      <c r="M66" s="1305"/>
      <c r="N66" s="1305"/>
      <c r="O66" s="1305"/>
      <c r="P66" s="1305"/>
      <c r="Q66" s="1305"/>
      <c r="R66" s="1305"/>
      <c r="S66" s="1305"/>
      <c r="T66" s="1305"/>
      <c r="U66" s="1305"/>
      <c r="V66" s="1306"/>
      <c r="W66" s="1039"/>
    </row>
    <row r="67" spans="1:23" x14ac:dyDescent="0.2">
      <c r="A67" s="1304"/>
      <c r="B67" s="1305"/>
      <c r="C67" s="1014" t="str">
        <f>IF(M48="-","","Promedio FC Rango "&amp;R48&amp;" = "&amp;FIXED(AVERAGE(M48:N50),2))</f>
        <v/>
      </c>
      <c r="D67" s="1305"/>
      <c r="E67" s="1305"/>
      <c r="F67" s="1305"/>
      <c r="G67" s="1305"/>
      <c r="H67" s="1305"/>
      <c r="I67" s="1305"/>
      <c r="J67" s="1305"/>
      <c r="K67" s="1305"/>
      <c r="L67" s="1305"/>
      <c r="M67" s="1305"/>
      <c r="N67" s="1305"/>
      <c r="O67" s="1305"/>
      <c r="P67" s="1305"/>
      <c r="Q67" s="1305"/>
      <c r="R67" s="1305"/>
      <c r="S67" s="1305"/>
      <c r="T67" s="1305"/>
      <c r="U67" s="1305"/>
      <c r="V67" s="1306"/>
      <c r="W67" s="1039"/>
    </row>
    <row r="68" spans="1:23" x14ac:dyDescent="0.2">
      <c r="A68" s="1009"/>
      <c r="C68" s="1014" t="str">
        <f>IF(M51="-","","Promedio FC Rango "&amp;R51&amp;" = "&amp;FIXED(AVERAGE(M51:N53),2))</f>
        <v/>
      </c>
      <c r="D68" s="1262"/>
      <c r="E68" s="1262"/>
      <c r="F68" s="1262"/>
      <c r="G68" s="1262"/>
      <c r="H68" s="1262"/>
      <c r="I68" s="1262"/>
      <c r="J68" s="1262"/>
      <c r="K68" s="1262"/>
      <c r="L68" s="1262"/>
      <c r="M68" s="1262"/>
      <c r="N68" s="1262"/>
      <c r="O68" s="1262"/>
      <c r="P68" s="1262"/>
      <c r="Q68" s="1262"/>
      <c r="R68" s="1262"/>
      <c r="S68" s="1262"/>
      <c r="T68" s="1262"/>
      <c r="U68" s="1262"/>
      <c r="V68" s="1011"/>
    </row>
    <row r="69" spans="1:23" x14ac:dyDescent="0.2">
      <c r="A69" s="1009"/>
      <c r="C69" s="1014" t="str">
        <f>IF(M54="-","","Promedio FC Rango "&amp;R54&amp;" = "&amp;FIXED(AVERAGE(M54:N56),2))</f>
        <v/>
      </c>
      <c r="D69" s="1262"/>
      <c r="E69" s="1262"/>
      <c r="F69" s="1262"/>
      <c r="G69" s="1262"/>
      <c r="H69" s="1262"/>
      <c r="I69" s="1262"/>
      <c r="J69" s="1262"/>
      <c r="K69" s="1262"/>
      <c r="L69" s="1262"/>
      <c r="M69" s="1262"/>
      <c r="N69" s="1262"/>
      <c r="O69" s="1262"/>
      <c r="P69" s="1262"/>
      <c r="Q69" s="1262"/>
      <c r="R69" s="1262"/>
      <c r="S69" s="1262"/>
      <c r="T69" s="1262"/>
      <c r="U69" s="1262"/>
      <c r="V69" s="1011"/>
    </row>
    <row r="70" spans="1:23" x14ac:dyDescent="0.2">
      <c r="A70" s="1009"/>
      <c r="C70" s="1014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011"/>
    </row>
    <row r="71" spans="1:23" x14ac:dyDescent="0.2">
      <c r="A71" s="1009"/>
      <c r="C71" s="180" t="s">
        <v>1149</v>
      </c>
      <c r="D71" s="1262"/>
      <c r="E71" s="1262"/>
      <c r="F71" s="1262"/>
      <c r="G71" s="1262"/>
      <c r="H71" s="1262"/>
      <c r="I71" s="1262"/>
      <c r="J71" s="1262"/>
      <c r="K71" s="1262"/>
      <c r="L71" s="1262"/>
      <c r="M71" s="1262"/>
      <c r="N71" s="1262"/>
      <c r="O71" s="1262"/>
      <c r="P71" s="1262"/>
      <c r="Q71" s="1262"/>
      <c r="R71" s="1262"/>
      <c r="S71" s="1262"/>
      <c r="T71" s="1262"/>
      <c r="U71" s="1262"/>
      <c r="V71" s="1011"/>
    </row>
    <row r="72" spans="1:23" x14ac:dyDescent="0.2">
      <c r="A72" s="1009"/>
      <c r="C72" s="1014"/>
      <c r="D72" s="1262"/>
      <c r="E72" s="1262"/>
      <c r="F72" s="1262"/>
      <c r="G72" s="1262"/>
      <c r="H72" s="1262"/>
      <c r="I72" s="1262"/>
      <c r="J72" s="1262"/>
      <c r="K72" s="1262"/>
      <c r="L72" s="1262"/>
      <c r="M72" s="1262"/>
      <c r="N72" s="1262"/>
      <c r="O72" s="1262"/>
      <c r="P72" s="1262"/>
      <c r="Q72" s="1262"/>
      <c r="R72" s="1262"/>
      <c r="S72" s="1262"/>
      <c r="T72" s="1262"/>
      <c r="U72" s="1262"/>
      <c r="V72" s="1011"/>
    </row>
    <row r="73" spans="1:23" x14ac:dyDescent="0.2">
      <c r="A73" s="1009"/>
      <c r="C73" s="1014" t="str">
        <f>IF(OR(S45="mR/h",S46="mR/h",S47="mR/h",S48="mR/h",S49="mR/h",S50="mR/h",S51="mR/h",S52="mR/h",S53="mR/h",S54="mR/h",S55="mR/h",S56="mR/h"),"(*) Equipo calibrado asumiendo que: "&amp;'Datos varios'!B120&amp;" "&amp;'Datos varios'!C120&amp;" es equivalente a "&amp;'Datos varios'!E120&amp;" "&amp;'Datos varios'!F120,IF(OR(S45="mR/h",S46="mR/h",S47="mR/h",S48="mR/h",S49="mR/h",S50="mR/h",S51="mR/h",S52="mR/h",S53="mR/h",S54="mR/h",S55="mR/h",S56="mR/h"),"(*) Equipo calibrado asumiendo que: "&amp;'Datos varios'!B123&amp;" "&amp;'Datos varios'!C123&amp;" es equivalente a "&amp;'Datos varios'!E123&amp;" "&amp;'Datos varios'!F123,""))</f>
        <v/>
      </c>
      <c r="D73" s="1262"/>
      <c r="E73" s="1262"/>
      <c r="F73" s="1262"/>
      <c r="G73" s="1262"/>
      <c r="H73" s="1262"/>
      <c r="I73" s="1262"/>
      <c r="J73" s="1262"/>
      <c r="K73" s="1262"/>
      <c r="L73" s="1262"/>
      <c r="M73" s="1262"/>
      <c r="N73" s="1262"/>
      <c r="O73" s="1262"/>
      <c r="P73" s="1262"/>
      <c r="Q73" s="1262"/>
      <c r="R73" s="1262"/>
      <c r="S73" s="1262"/>
      <c r="T73" s="1262"/>
      <c r="U73" s="1262"/>
      <c r="V73" s="1011"/>
    </row>
    <row r="74" spans="1:23" x14ac:dyDescent="0.2">
      <c r="A74" s="1009"/>
      <c r="C74" s="1410"/>
      <c r="D74" s="1410"/>
      <c r="E74" s="1410"/>
      <c r="F74" s="1410"/>
      <c r="G74" s="1410"/>
      <c r="H74" s="1410"/>
      <c r="I74" s="1410"/>
      <c r="J74" s="1410"/>
      <c r="K74" s="1410"/>
      <c r="L74" s="1410"/>
      <c r="M74" s="1410"/>
      <c r="N74" s="1410"/>
      <c r="O74" s="1410"/>
      <c r="P74" s="1410"/>
      <c r="Q74" s="1410"/>
      <c r="R74" s="1410"/>
      <c r="S74" s="1410"/>
      <c r="T74" s="1410"/>
      <c r="U74" s="1262"/>
      <c r="V74" s="1011"/>
    </row>
    <row r="75" spans="1:23" x14ac:dyDescent="0.2">
      <c r="A75" s="1009"/>
      <c r="C75" s="180"/>
      <c r="D75" s="1262"/>
      <c r="E75" s="1262"/>
      <c r="F75" s="1262"/>
      <c r="G75" s="1262"/>
      <c r="H75" s="1262"/>
      <c r="I75" s="1262"/>
      <c r="J75" s="1262"/>
      <c r="K75" s="1262"/>
      <c r="L75" s="1262"/>
      <c r="M75" s="1262"/>
      <c r="N75" s="1262"/>
      <c r="O75" s="1262"/>
      <c r="P75" s="1014"/>
      <c r="Q75" s="1262"/>
      <c r="R75" s="1262"/>
      <c r="S75" s="1262"/>
      <c r="T75" s="1262"/>
      <c r="U75" s="1262"/>
      <c r="V75" s="1011"/>
    </row>
    <row r="76" spans="1:23" x14ac:dyDescent="0.2">
      <c r="A76" s="1009"/>
      <c r="G76" s="1430"/>
      <c r="H76" s="1430"/>
      <c r="I76" s="1430"/>
      <c r="J76" s="1010"/>
      <c r="K76" s="1010"/>
      <c r="L76" s="1010"/>
      <c r="M76" s="1010"/>
      <c r="N76" s="1010"/>
      <c r="O76" s="1010"/>
      <c r="P76" s="1010"/>
      <c r="Q76" s="1010"/>
      <c r="R76" s="1430"/>
      <c r="S76" s="1430"/>
      <c r="T76" s="1430"/>
      <c r="U76" s="1010"/>
      <c r="V76" s="1011"/>
    </row>
    <row r="77" spans="1:23" x14ac:dyDescent="0.2">
      <c r="A77" s="1009"/>
      <c r="G77" s="1430"/>
      <c r="H77" s="1430"/>
      <c r="I77" s="1430"/>
      <c r="J77" s="1010"/>
      <c r="K77" s="1010"/>
      <c r="L77" s="1010"/>
      <c r="M77" s="1010"/>
      <c r="N77" s="1010"/>
      <c r="O77" s="1010"/>
      <c r="P77" s="1010"/>
      <c r="Q77" s="1010"/>
      <c r="R77" s="1430"/>
      <c r="S77" s="1430"/>
      <c r="T77" s="1430"/>
      <c r="U77" s="1010"/>
      <c r="V77" s="1011"/>
    </row>
    <row r="78" spans="1:23" x14ac:dyDescent="0.2">
      <c r="A78" s="1009"/>
      <c r="G78" s="1035"/>
      <c r="H78" s="1035"/>
      <c r="I78" s="1035"/>
      <c r="J78" s="1683"/>
      <c r="K78" s="1683"/>
      <c r="L78" s="1683"/>
      <c r="M78" s="1683"/>
      <c r="N78" s="1683"/>
      <c r="O78" s="1683"/>
      <c r="P78" s="1683"/>
      <c r="Q78" s="1683"/>
      <c r="R78" s="1671"/>
      <c r="S78" s="1671"/>
      <c r="T78" s="1671"/>
      <c r="U78" s="1020"/>
      <c r="V78" s="1011"/>
    </row>
    <row r="79" spans="1:23" ht="17.25" customHeight="1" x14ac:dyDescent="0.2">
      <c r="A79" s="1009"/>
      <c r="B79" s="1033"/>
      <c r="C79" s="1873" t="s">
        <v>1245</v>
      </c>
      <c r="G79" s="1035"/>
      <c r="H79" s="1035"/>
      <c r="I79" s="1035"/>
      <c r="J79" s="1020"/>
      <c r="K79" s="1020"/>
      <c r="L79" s="1020"/>
      <c r="M79" s="1020"/>
      <c r="N79" s="1020"/>
      <c r="O79" s="1020"/>
      <c r="P79" s="1020"/>
      <c r="Q79" s="1020"/>
      <c r="R79" s="1035"/>
      <c r="S79" s="1035"/>
      <c r="T79" s="1035"/>
      <c r="U79" s="1020"/>
      <c r="V79" s="1011"/>
    </row>
    <row r="80" spans="1:23" ht="3" customHeight="1" thickBot="1" x14ac:dyDescent="0.25">
      <c r="A80" s="1036"/>
      <c r="B80" s="1037"/>
      <c r="C80" s="1037"/>
      <c r="D80" s="1037"/>
      <c r="E80" s="1037"/>
      <c r="F80" s="1037"/>
      <c r="G80" s="1037"/>
      <c r="H80" s="1037"/>
      <c r="I80" s="1037"/>
      <c r="J80" s="1037"/>
      <c r="K80" s="1037"/>
      <c r="L80" s="1037"/>
      <c r="M80" s="1037"/>
      <c r="N80" s="1037"/>
      <c r="O80" s="1037"/>
      <c r="P80" s="1037"/>
      <c r="Q80" s="1037"/>
      <c r="R80" s="1037"/>
      <c r="S80" s="1037"/>
      <c r="T80" s="1037"/>
      <c r="U80" s="1037"/>
      <c r="V80" s="1038"/>
    </row>
    <row r="81" spans="1:23" ht="15.75" thickTop="1" x14ac:dyDescent="0.25">
      <c r="A81" s="3057" t="s">
        <v>260</v>
      </c>
      <c r="B81" s="3058"/>
      <c r="C81" s="3058"/>
      <c r="D81" s="3058"/>
      <c r="E81" s="3058"/>
      <c r="F81" s="3058"/>
      <c r="G81" s="3058"/>
      <c r="H81" s="3058"/>
      <c r="I81" s="3058"/>
      <c r="J81" s="3058"/>
      <c r="K81" s="3058"/>
      <c r="L81" s="3058"/>
      <c r="M81" s="3058"/>
      <c r="N81" s="3058"/>
      <c r="O81" s="3058"/>
      <c r="P81" s="3058"/>
      <c r="Q81" s="3058"/>
      <c r="R81" s="3058"/>
      <c r="S81" s="3058"/>
      <c r="T81" s="3058"/>
      <c r="U81" s="3058"/>
      <c r="V81" s="3059"/>
    </row>
    <row r="82" spans="1:23" ht="11.25" customHeight="1" thickBot="1" x14ac:dyDescent="0.25">
      <c r="A82" s="2859" t="s">
        <v>810</v>
      </c>
      <c r="B82" s="2860"/>
      <c r="C82" s="2860"/>
      <c r="D82" s="2860"/>
      <c r="E82" s="2860"/>
      <c r="F82" s="2860"/>
      <c r="G82" s="2860"/>
      <c r="H82" s="2860"/>
      <c r="I82" s="2860"/>
      <c r="J82" s="2860"/>
      <c r="K82" s="2860"/>
      <c r="L82" s="2860"/>
      <c r="M82" s="2860"/>
      <c r="N82" s="2860"/>
      <c r="O82" s="2860"/>
      <c r="P82" s="2860"/>
      <c r="Q82" s="2860"/>
      <c r="R82" s="2860"/>
      <c r="S82" s="2860"/>
      <c r="T82" s="2860"/>
      <c r="U82" s="2860"/>
      <c r="V82" s="2861"/>
      <c r="W82" s="1039"/>
    </row>
    <row r="83" spans="1:23" x14ac:dyDescent="0.2">
      <c r="B83" s="1416" t="s">
        <v>917</v>
      </c>
      <c r="U83" s="1415" t="str">
        <f>A4</f>
        <v>CERTIFICADO DE CALIBRACIÓN N° LSCD 029-2021</v>
      </c>
    </row>
  </sheetData>
  <autoFilter ref="C42:T57" xr:uid="{00000000-0009-0000-0000-00001E000000}">
    <filterColumn colId="0" showButton="0">
      <filters blank="1">
        <filter val="10,0 µSv/h"/>
        <filter val="100,0 µSv/h"/>
        <filter val="15,0 µSv/h"/>
        <filter val="150,0 µSv/h"/>
        <filter val="5,00 µSv/h"/>
        <filter val="50,0 µSv/h"/>
        <filter val="VCV = Valor convencionalmente verdadero"/>
      </filters>
    </filterColumn>
    <filterColumn colId="2" showButton="0"/>
    <filterColumn colId="3" showButton="0"/>
    <filterColumn colId="4" showButton="0"/>
    <filterColumn colId="6" showButton="0"/>
    <filterColumn colId="7" showButton="0"/>
    <filterColumn colId="8" showButton="0"/>
    <filterColumn colId="10" showButton="0"/>
    <filterColumn colId="12" showButton="0"/>
    <filterColumn colId="13" showButton="0"/>
  </autoFilter>
  <mergeCells count="141">
    <mergeCell ref="A2:V3"/>
    <mergeCell ref="A4:V4"/>
    <mergeCell ref="A5:V5"/>
    <mergeCell ref="A6:V6"/>
    <mergeCell ref="E9:O9"/>
    <mergeCell ref="E16:O16"/>
    <mergeCell ref="E17:O17"/>
    <mergeCell ref="E18:O18"/>
    <mergeCell ref="Q17:U24"/>
    <mergeCell ref="E19:O19"/>
    <mergeCell ref="E20:O20"/>
    <mergeCell ref="E21:O22"/>
    <mergeCell ref="Q8:U15"/>
    <mergeCell ref="O45:Q45"/>
    <mergeCell ref="C42:D44"/>
    <mergeCell ref="M42:N44"/>
    <mergeCell ref="O42:Q44"/>
    <mergeCell ref="E42:H42"/>
    <mergeCell ref="I42:L42"/>
    <mergeCell ref="E43:F44"/>
    <mergeCell ref="G43:H44"/>
    <mergeCell ref="I43:J44"/>
    <mergeCell ref="K43:L44"/>
    <mergeCell ref="Q29:U38"/>
    <mergeCell ref="R42:R44"/>
    <mergeCell ref="S44:T44"/>
    <mergeCell ref="E24:O24"/>
    <mergeCell ref="E29:O29"/>
    <mergeCell ref="E33:O33"/>
    <mergeCell ref="E34:O34"/>
    <mergeCell ref="E36:G36"/>
    <mergeCell ref="E38:G38"/>
    <mergeCell ref="E32:L32"/>
    <mergeCell ref="E30:L30"/>
    <mergeCell ref="E31:L31"/>
    <mergeCell ref="E27:O27"/>
    <mergeCell ref="Q25:U27"/>
    <mergeCell ref="S47:T47"/>
    <mergeCell ref="M47:N47"/>
    <mergeCell ref="O47:Q47"/>
    <mergeCell ref="C48:D48"/>
    <mergeCell ref="E48:F48"/>
    <mergeCell ref="I48:J48"/>
    <mergeCell ref="S48:T48"/>
    <mergeCell ref="M48:N48"/>
    <mergeCell ref="O48:Q48"/>
    <mergeCell ref="G48:H48"/>
    <mergeCell ref="R45:R47"/>
    <mergeCell ref="C46:D46"/>
    <mergeCell ref="E46:F46"/>
    <mergeCell ref="I46:J46"/>
    <mergeCell ref="S46:T46"/>
    <mergeCell ref="M46:N46"/>
    <mergeCell ref="O46:Q46"/>
    <mergeCell ref="C47:D47"/>
    <mergeCell ref="E47:F47"/>
    <mergeCell ref="I47:J47"/>
    <mergeCell ref="C45:D45"/>
    <mergeCell ref="E45:F45"/>
    <mergeCell ref="S45:T45"/>
    <mergeCell ref="M45:N45"/>
    <mergeCell ref="S50:T50"/>
    <mergeCell ref="M50:N50"/>
    <mergeCell ref="O50:Q50"/>
    <mergeCell ref="C51:D51"/>
    <mergeCell ref="E51:F51"/>
    <mergeCell ref="I51:J51"/>
    <mergeCell ref="S51:T51"/>
    <mergeCell ref="M51:N51"/>
    <mergeCell ref="O51:Q51"/>
    <mergeCell ref="R48:R50"/>
    <mergeCell ref="C49:D49"/>
    <mergeCell ref="E49:F49"/>
    <mergeCell ref="I49:J49"/>
    <mergeCell ref="S49:T49"/>
    <mergeCell ref="M49:N49"/>
    <mergeCell ref="O49:Q49"/>
    <mergeCell ref="C50:D50"/>
    <mergeCell ref="E50:F50"/>
    <mergeCell ref="I50:J50"/>
    <mergeCell ref="S53:T53"/>
    <mergeCell ref="M53:N53"/>
    <mergeCell ref="O53:Q53"/>
    <mergeCell ref="C54:D54"/>
    <mergeCell ref="E54:F54"/>
    <mergeCell ref="I54:J54"/>
    <mergeCell ref="S54:T54"/>
    <mergeCell ref="M54:N54"/>
    <mergeCell ref="O54:Q54"/>
    <mergeCell ref="R51:R53"/>
    <mergeCell ref="C52:D52"/>
    <mergeCell ref="E52:F52"/>
    <mergeCell ref="I52:J52"/>
    <mergeCell ref="S52:T52"/>
    <mergeCell ref="M52:N52"/>
    <mergeCell ref="O52:Q52"/>
    <mergeCell ref="C53:D53"/>
    <mergeCell ref="E53:F53"/>
    <mergeCell ref="I53:J53"/>
    <mergeCell ref="G53:H53"/>
    <mergeCell ref="G54:H54"/>
    <mergeCell ref="K52:L52"/>
    <mergeCell ref="K53:L53"/>
    <mergeCell ref="K54:L54"/>
    <mergeCell ref="A81:V81"/>
    <mergeCell ref="A82:V82"/>
    <mergeCell ref="G45:H45"/>
    <mergeCell ref="G46:H46"/>
    <mergeCell ref="G47:H47"/>
    <mergeCell ref="S56:T56"/>
    <mergeCell ref="M56:N56"/>
    <mergeCell ref="O56:Q56"/>
    <mergeCell ref="A60:V60"/>
    <mergeCell ref="A61:V61"/>
    <mergeCell ref="A63:V64"/>
    <mergeCell ref="R54:R56"/>
    <mergeCell ref="C55:D55"/>
    <mergeCell ref="E55:F55"/>
    <mergeCell ref="I55:J55"/>
    <mergeCell ref="S55:T55"/>
    <mergeCell ref="M55:N55"/>
    <mergeCell ref="O55:Q55"/>
    <mergeCell ref="C56:D56"/>
    <mergeCell ref="E56:F56"/>
    <mergeCell ref="I56:J56"/>
    <mergeCell ref="K55:L55"/>
    <mergeCell ref="K56:L56"/>
    <mergeCell ref="G55:H55"/>
    <mergeCell ref="G56:H56"/>
    <mergeCell ref="K45:L45"/>
    <mergeCell ref="K46:L46"/>
    <mergeCell ref="K47:L47"/>
    <mergeCell ref="K48:L48"/>
    <mergeCell ref="K49:L49"/>
    <mergeCell ref="K50:L50"/>
    <mergeCell ref="K51:L51"/>
    <mergeCell ref="G49:H49"/>
    <mergeCell ref="G50:H50"/>
    <mergeCell ref="G51:H51"/>
    <mergeCell ref="G52:H52"/>
    <mergeCell ref="I45:J45"/>
  </mergeCells>
  <conditionalFormatting sqref="E9 P9 E37:E38 E28:P28 L38:P38 E8:P8 E10:P10 M37:P37 L36:P36 P29:P35 E33:E35">
    <cfRule type="cellIs" dxfId="132" priority="10" operator="equal">
      <formula>0</formula>
    </cfRule>
  </conditionalFormatting>
  <conditionalFormatting sqref="E9 P9 E37:E38 E28:P28 L38:P38 E8:P8 E10:P10 M37:P37 L36:P36 P29:P35 E33:E35">
    <cfRule type="containsErrors" dxfId="131" priority="9">
      <formula>ISERROR(E8)</formula>
    </cfRule>
  </conditionalFormatting>
  <conditionalFormatting sqref="E29:E32">
    <cfRule type="cellIs" dxfId="130" priority="4" operator="equal">
      <formula>0</formula>
    </cfRule>
  </conditionalFormatting>
  <conditionalFormatting sqref="E29:E32">
    <cfRule type="containsErrors" dxfId="129" priority="3">
      <formula>ISERROR(E29)</formula>
    </cfRule>
  </conditionalFormatting>
  <conditionalFormatting sqref="E36">
    <cfRule type="cellIs" dxfId="128" priority="2" operator="equal">
      <formula>0</formula>
    </cfRule>
  </conditionalFormatting>
  <conditionalFormatting sqref="E36">
    <cfRule type="containsErrors" dxfId="127" priority="1">
      <formula>ISERROR(E36)</formula>
    </cfRule>
  </conditionalFormatting>
  <pageMargins left="0.27559055118110237" right="7.874015748031496E-2" top="0.23622047244094491" bottom="0" header="0.31496062992125984" footer="0"/>
  <pageSetup paperSize="9" scale="91" orientation="portrait" r:id="rId1"/>
  <rowBreaks count="1" manualBreakCount="1">
    <brk id="61" max="16383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/>
  <dimension ref="A1:X83"/>
  <sheetViews>
    <sheetView view="pageBreakPreview" topLeftCell="A2" zoomScaleNormal="100" zoomScaleSheetLayoutView="100" workbookViewId="0">
      <selection activeCell="A2" sqref="A2:W3"/>
    </sheetView>
  </sheetViews>
  <sheetFormatPr baseColWidth="10" defaultColWidth="11.42578125" defaultRowHeight="12.75" x14ac:dyDescent="0.2"/>
  <cols>
    <col min="1" max="1" width="0.85546875" style="1008" customWidth="1"/>
    <col min="2" max="2" width="2.42578125" style="1008" customWidth="1"/>
    <col min="3" max="3" width="22.28515625" style="1008" customWidth="1"/>
    <col min="4" max="4" width="1.5703125" style="1008" customWidth="1"/>
    <col min="5" max="5" width="8.5703125" style="1008" customWidth="1"/>
    <col min="6" max="6" width="1.85546875" style="1008" customWidth="1"/>
    <col min="7" max="7" width="4.7109375" style="1008" customWidth="1"/>
    <col min="8" max="8" width="5.85546875" style="1008" customWidth="1"/>
    <col min="9" max="9" width="3.5703125" style="1008" customWidth="1"/>
    <col min="10" max="10" width="6.140625" style="1008" customWidth="1"/>
    <col min="11" max="11" width="3.28515625" style="1008" customWidth="1"/>
    <col min="12" max="12" width="6.42578125" style="1008" customWidth="1"/>
    <col min="13" max="13" width="6.5703125" style="1008" customWidth="1"/>
    <col min="14" max="14" width="3.42578125" style="1008" customWidth="1"/>
    <col min="15" max="15" width="0.42578125" style="1008" customWidth="1"/>
    <col min="16" max="16" width="0.85546875" style="1008" customWidth="1"/>
    <col min="17" max="17" width="7.85546875" style="1008" customWidth="1"/>
    <col min="18" max="18" width="9.85546875" style="1008" customWidth="1"/>
    <col min="19" max="19" width="1.140625" style="1008" customWidth="1"/>
    <col min="20" max="20" width="2" style="1008" customWidth="1"/>
    <col min="21" max="21" width="1.42578125" style="1008" customWidth="1"/>
    <col min="22" max="22" width="3.42578125" style="1008" customWidth="1"/>
    <col min="23" max="23" width="0.85546875" style="1008" customWidth="1"/>
    <col min="24" max="242" width="11.42578125" style="1008"/>
    <col min="243" max="243" width="2.28515625" style="1008" customWidth="1"/>
    <col min="244" max="244" width="2.7109375" style="1008" customWidth="1"/>
    <col min="245" max="245" width="2.42578125" style="1008" customWidth="1"/>
    <col min="246" max="246" width="17.7109375" style="1008" customWidth="1"/>
    <col min="247" max="247" width="1.5703125" style="1008" customWidth="1"/>
    <col min="248" max="248" width="6.42578125" style="1008" customWidth="1"/>
    <col min="249" max="249" width="13.140625" style="1008" customWidth="1"/>
    <col min="250" max="250" width="1" style="1008" customWidth="1"/>
    <col min="251" max="251" width="19.5703125" style="1008" customWidth="1"/>
    <col min="252" max="252" width="0.85546875" style="1008" customWidth="1"/>
    <col min="253" max="253" width="14.42578125" style="1008" customWidth="1"/>
    <col min="254" max="254" width="12.85546875" style="1008" customWidth="1"/>
    <col min="255" max="255" width="6.140625" style="1008" customWidth="1"/>
    <col min="256" max="257" width="11.42578125" style="1008"/>
    <col min="258" max="258" width="15.42578125" style="1008" customWidth="1"/>
    <col min="259" max="498" width="11.42578125" style="1008"/>
    <col min="499" max="499" width="2.28515625" style="1008" customWidth="1"/>
    <col min="500" max="500" width="2.7109375" style="1008" customWidth="1"/>
    <col min="501" max="501" width="2.42578125" style="1008" customWidth="1"/>
    <col min="502" max="502" width="17.7109375" style="1008" customWidth="1"/>
    <col min="503" max="503" width="1.5703125" style="1008" customWidth="1"/>
    <col min="504" max="504" width="6.42578125" style="1008" customWidth="1"/>
    <col min="505" max="505" width="13.140625" style="1008" customWidth="1"/>
    <col min="506" max="506" width="1" style="1008" customWidth="1"/>
    <col min="507" max="507" width="19.5703125" style="1008" customWidth="1"/>
    <col min="508" max="508" width="0.85546875" style="1008" customWidth="1"/>
    <col min="509" max="509" width="14.42578125" style="1008" customWidth="1"/>
    <col min="510" max="510" width="12.85546875" style="1008" customWidth="1"/>
    <col min="511" max="511" width="6.140625" style="1008" customWidth="1"/>
    <col min="512" max="513" width="11.42578125" style="1008"/>
    <col min="514" max="514" width="15.42578125" style="1008" customWidth="1"/>
    <col min="515" max="754" width="11.42578125" style="1008"/>
    <col min="755" max="755" width="2.28515625" style="1008" customWidth="1"/>
    <col min="756" max="756" width="2.7109375" style="1008" customWidth="1"/>
    <col min="757" max="757" width="2.42578125" style="1008" customWidth="1"/>
    <col min="758" max="758" width="17.7109375" style="1008" customWidth="1"/>
    <col min="759" max="759" width="1.5703125" style="1008" customWidth="1"/>
    <col min="760" max="760" width="6.42578125" style="1008" customWidth="1"/>
    <col min="761" max="761" width="13.140625" style="1008" customWidth="1"/>
    <col min="762" max="762" width="1" style="1008" customWidth="1"/>
    <col min="763" max="763" width="19.5703125" style="1008" customWidth="1"/>
    <col min="764" max="764" width="0.85546875" style="1008" customWidth="1"/>
    <col min="765" max="765" width="14.42578125" style="1008" customWidth="1"/>
    <col min="766" max="766" width="12.85546875" style="1008" customWidth="1"/>
    <col min="767" max="767" width="6.140625" style="1008" customWidth="1"/>
    <col min="768" max="769" width="11.42578125" style="1008"/>
    <col min="770" max="770" width="15.42578125" style="1008" customWidth="1"/>
    <col min="771" max="1010" width="11.42578125" style="1008"/>
    <col min="1011" max="1011" width="2.28515625" style="1008" customWidth="1"/>
    <col min="1012" max="1012" width="2.7109375" style="1008" customWidth="1"/>
    <col min="1013" max="1013" width="2.42578125" style="1008" customWidth="1"/>
    <col min="1014" max="1014" width="17.7109375" style="1008" customWidth="1"/>
    <col min="1015" max="1015" width="1.5703125" style="1008" customWidth="1"/>
    <col min="1016" max="1016" width="6.42578125" style="1008" customWidth="1"/>
    <col min="1017" max="1017" width="13.140625" style="1008" customWidth="1"/>
    <col min="1018" max="1018" width="1" style="1008" customWidth="1"/>
    <col min="1019" max="1019" width="19.5703125" style="1008" customWidth="1"/>
    <col min="1020" max="1020" width="0.85546875" style="1008" customWidth="1"/>
    <col min="1021" max="1021" width="14.42578125" style="1008" customWidth="1"/>
    <col min="1022" max="1022" width="12.85546875" style="1008" customWidth="1"/>
    <col min="1023" max="1023" width="6.140625" style="1008" customWidth="1"/>
    <col min="1024" max="1025" width="11.42578125" style="1008"/>
    <col min="1026" max="1026" width="15.42578125" style="1008" customWidth="1"/>
    <col min="1027" max="1266" width="11.42578125" style="1008"/>
    <col min="1267" max="1267" width="2.28515625" style="1008" customWidth="1"/>
    <col min="1268" max="1268" width="2.7109375" style="1008" customWidth="1"/>
    <col min="1269" max="1269" width="2.42578125" style="1008" customWidth="1"/>
    <col min="1270" max="1270" width="17.7109375" style="1008" customWidth="1"/>
    <col min="1271" max="1271" width="1.5703125" style="1008" customWidth="1"/>
    <col min="1272" max="1272" width="6.42578125" style="1008" customWidth="1"/>
    <col min="1273" max="1273" width="13.140625" style="1008" customWidth="1"/>
    <col min="1274" max="1274" width="1" style="1008" customWidth="1"/>
    <col min="1275" max="1275" width="19.5703125" style="1008" customWidth="1"/>
    <col min="1276" max="1276" width="0.85546875" style="1008" customWidth="1"/>
    <col min="1277" max="1277" width="14.42578125" style="1008" customWidth="1"/>
    <col min="1278" max="1278" width="12.85546875" style="1008" customWidth="1"/>
    <col min="1279" max="1279" width="6.140625" style="1008" customWidth="1"/>
    <col min="1280" max="1281" width="11.42578125" style="1008"/>
    <col min="1282" max="1282" width="15.42578125" style="1008" customWidth="1"/>
    <col min="1283" max="1522" width="11.42578125" style="1008"/>
    <col min="1523" max="1523" width="2.28515625" style="1008" customWidth="1"/>
    <col min="1524" max="1524" width="2.7109375" style="1008" customWidth="1"/>
    <col min="1525" max="1525" width="2.42578125" style="1008" customWidth="1"/>
    <col min="1526" max="1526" width="17.7109375" style="1008" customWidth="1"/>
    <col min="1527" max="1527" width="1.5703125" style="1008" customWidth="1"/>
    <col min="1528" max="1528" width="6.42578125" style="1008" customWidth="1"/>
    <col min="1529" max="1529" width="13.140625" style="1008" customWidth="1"/>
    <col min="1530" max="1530" width="1" style="1008" customWidth="1"/>
    <col min="1531" max="1531" width="19.5703125" style="1008" customWidth="1"/>
    <col min="1532" max="1532" width="0.85546875" style="1008" customWidth="1"/>
    <col min="1533" max="1533" width="14.42578125" style="1008" customWidth="1"/>
    <col min="1534" max="1534" width="12.85546875" style="1008" customWidth="1"/>
    <col min="1535" max="1535" width="6.140625" style="1008" customWidth="1"/>
    <col min="1536" max="1537" width="11.42578125" style="1008"/>
    <col min="1538" max="1538" width="15.42578125" style="1008" customWidth="1"/>
    <col min="1539" max="1778" width="11.42578125" style="1008"/>
    <col min="1779" max="1779" width="2.28515625" style="1008" customWidth="1"/>
    <col min="1780" max="1780" width="2.7109375" style="1008" customWidth="1"/>
    <col min="1781" max="1781" width="2.42578125" style="1008" customWidth="1"/>
    <col min="1782" max="1782" width="17.7109375" style="1008" customWidth="1"/>
    <col min="1783" max="1783" width="1.5703125" style="1008" customWidth="1"/>
    <col min="1784" max="1784" width="6.42578125" style="1008" customWidth="1"/>
    <col min="1785" max="1785" width="13.140625" style="1008" customWidth="1"/>
    <col min="1786" max="1786" width="1" style="1008" customWidth="1"/>
    <col min="1787" max="1787" width="19.5703125" style="1008" customWidth="1"/>
    <col min="1788" max="1788" width="0.85546875" style="1008" customWidth="1"/>
    <col min="1789" max="1789" width="14.42578125" style="1008" customWidth="1"/>
    <col min="1790" max="1790" width="12.85546875" style="1008" customWidth="1"/>
    <col min="1791" max="1791" width="6.140625" style="1008" customWidth="1"/>
    <col min="1792" max="1793" width="11.42578125" style="1008"/>
    <col min="1794" max="1794" width="15.42578125" style="1008" customWidth="1"/>
    <col min="1795" max="2034" width="11.42578125" style="1008"/>
    <col min="2035" max="2035" width="2.28515625" style="1008" customWidth="1"/>
    <col min="2036" max="2036" width="2.7109375" style="1008" customWidth="1"/>
    <col min="2037" max="2037" width="2.42578125" style="1008" customWidth="1"/>
    <col min="2038" max="2038" width="17.7109375" style="1008" customWidth="1"/>
    <col min="2039" max="2039" width="1.5703125" style="1008" customWidth="1"/>
    <col min="2040" max="2040" width="6.42578125" style="1008" customWidth="1"/>
    <col min="2041" max="2041" width="13.140625" style="1008" customWidth="1"/>
    <col min="2042" max="2042" width="1" style="1008" customWidth="1"/>
    <col min="2043" max="2043" width="19.5703125" style="1008" customWidth="1"/>
    <col min="2044" max="2044" width="0.85546875" style="1008" customWidth="1"/>
    <col min="2045" max="2045" width="14.42578125" style="1008" customWidth="1"/>
    <col min="2046" max="2046" width="12.85546875" style="1008" customWidth="1"/>
    <col min="2047" max="2047" width="6.140625" style="1008" customWidth="1"/>
    <col min="2048" max="2049" width="11.42578125" style="1008"/>
    <col min="2050" max="2050" width="15.42578125" style="1008" customWidth="1"/>
    <col min="2051" max="2290" width="11.42578125" style="1008"/>
    <col min="2291" max="2291" width="2.28515625" style="1008" customWidth="1"/>
    <col min="2292" max="2292" width="2.7109375" style="1008" customWidth="1"/>
    <col min="2293" max="2293" width="2.42578125" style="1008" customWidth="1"/>
    <col min="2294" max="2294" width="17.7109375" style="1008" customWidth="1"/>
    <col min="2295" max="2295" width="1.5703125" style="1008" customWidth="1"/>
    <col min="2296" max="2296" width="6.42578125" style="1008" customWidth="1"/>
    <col min="2297" max="2297" width="13.140625" style="1008" customWidth="1"/>
    <col min="2298" max="2298" width="1" style="1008" customWidth="1"/>
    <col min="2299" max="2299" width="19.5703125" style="1008" customWidth="1"/>
    <col min="2300" max="2300" width="0.85546875" style="1008" customWidth="1"/>
    <col min="2301" max="2301" width="14.42578125" style="1008" customWidth="1"/>
    <col min="2302" max="2302" width="12.85546875" style="1008" customWidth="1"/>
    <col min="2303" max="2303" width="6.140625" style="1008" customWidth="1"/>
    <col min="2304" max="2305" width="11.42578125" style="1008"/>
    <col min="2306" max="2306" width="15.42578125" style="1008" customWidth="1"/>
    <col min="2307" max="2546" width="11.42578125" style="1008"/>
    <col min="2547" max="2547" width="2.28515625" style="1008" customWidth="1"/>
    <col min="2548" max="2548" width="2.7109375" style="1008" customWidth="1"/>
    <col min="2549" max="2549" width="2.42578125" style="1008" customWidth="1"/>
    <col min="2550" max="2550" width="17.7109375" style="1008" customWidth="1"/>
    <col min="2551" max="2551" width="1.5703125" style="1008" customWidth="1"/>
    <col min="2552" max="2552" width="6.42578125" style="1008" customWidth="1"/>
    <col min="2553" max="2553" width="13.140625" style="1008" customWidth="1"/>
    <col min="2554" max="2554" width="1" style="1008" customWidth="1"/>
    <col min="2555" max="2555" width="19.5703125" style="1008" customWidth="1"/>
    <col min="2556" max="2556" width="0.85546875" style="1008" customWidth="1"/>
    <col min="2557" max="2557" width="14.42578125" style="1008" customWidth="1"/>
    <col min="2558" max="2558" width="12.85546875" style="1008" customWidth="1"/>
    <col min="2559" max="2559" width="6.140625" style="1008" customWidth="1"/>
    <col min="2560" max="2561" width="11.42578125" style="1008"/>
    <col min="2562" max="2562" width="15.42578125" style="1008" customWidth="1"/>
    <col min="2563" max="2802" width="11.42578125" style="1008"/>
    <col min="2803" max="2803" width="2.28515625" style="1008" customWidth="1"/>
    <col min="2804" max="2804" width="2.7109375" style="1008" customWidth="1"/>
    <col min="2805" max="2805" width="2.42578125" style="1008" customWidth="1"/>
    <col min="2806" max="2806" width="17.7109375" style="1008" customWidth="1"/>
    <col min="2807" max="2807" width="1.5703125" style="1008" customWidth="1"/>
    <col min="2808" max="2808" width="6.42578125" style="1008" customWidth="1"/>
    <col min="2809" max="2809" width="13.140625" style="1008" customWidth="1"/>
    <col min="2810" max="2810" width="1" style="1008" customWidth="1"/>
    <col min="2811" max="2811" width="19.5703125" style="1008" customWidth="1"/>
    <col min="2812" max="2812" width="0.85546875" style="1008" customWidth="1"/>
    <col min="2813" max="2813" width="14.42578125" style="1008" customWidth="1"/>
    <col min="2814" max="2814" width="12.85546875" style="1008" customWidth="1"/>
    <col min="2815" max="2815" width="6.140625" style="1008" customWidth="1"/>
    <col min="2816" max="2817" width="11.42578125" style="1008"/>
    <col min="2818" max="2818" width="15.42578125" style="1008" customWidth="1"/>
    <col min="2819" max="3058" width="11.42578125" style="1008"/>
    <col min="3059" max="3059" width="2.28515625" style="1008" customWidth="1"/>
    <col min="3060" max="3060" width="2.7109375" style="1008" customWidth="1"/>
    <col min="3061" max="3061" width="2.42578125" style="1008" customWidth="1"/>
    <col min="3062" max="3062" width="17.7109375" style="1008" customWidth="1"/>
    <col min="3063" max="3063" width="1.5703125" style="1008" customWidth="1"/>
    <col min="3064" max="3064" width="6.42578125" style="1008" customWidth="1"/>
    <col min="3065" max="3065" width="13.140625" style="1008" customWidth="1"/>
    <col min="3066" max="3066" width="1" style="1008" customWidth="1"/>
    <col min="3067" max="3067" width="19.5703125" style="1008" customWidth="1"/>
    <col min="3068" max="3068" width="0.85546875" style="1008" customWidth="1"/>
    <col min="3069" max="3069" width="14.42578125" style="1008" customWidth="1"/>
    <col min="3070" max="3070" width="12.85546875" style="1008" customWidth="1"/>
    <col min="3071" max="3071" width="6.140625" style="1008" customWidth="1"/>
    <col min="3072" max="3073" width="11.42578125" style="1008"/>
    <col min="3074" max="3074" width="15.42578125" style="1008" customWidth="1"/>
    <col min="3075" max="3314" width="11.42578125" style="1008"/>
    <col min="3315" max="3315" width="2.28515625" style="1008" customWidth="1"/>
    <col min="3316" max="3316" width="2.7109375" style="1008" customWidth="1"/>
    <col min="3317" max="3317" width="2.42578125" style="1008" customWidth="1"/>
    <col min="3318" max="3318" width="17.7109375" style="1008" customWidth="1"/>
    <col min="3319" max="3319" width="1.5703125" style="1008" customWidth="1"/>
    <col min="3320" max="3320" width="6.42578125" style="1008" customWidth="1"/>
    <col min="3321" max="3321" width="13.140625" style="1008" customWidth="1"/>
    <col min="3322" max="3322" width="1" style="1008" customWidth="1"/>
    <col min="3323" max="3323" width="19.5703125" style="1008" customWidth="1"/>
    <col min="3324" max="3324" width="0.85546875" style="1008" customWidth="1"/>
    <col min="3325" max="3325" width="14.42578125" style="1008" customWidth="1"/>
    <col min="3326" max="3326" width="12.85546875" style="1008" customWidth="1"/>
    <col min="3327" max="3327" width="6.140625" style="1008" customWidth="1"/>
    <col min="3328" max="3329" width="11.42578125" style="1008"/>
    <col min="3330" max="3330" width="15.42578125" style="1008" customWidth="1"/>
    <col min="3331" max="3570" width="11.42578125" style="1008"/>
    <col min="3571" max="3571" width="2.28515625" style="1008" customWidth="1"/>
    <col min="3572" max="3572" width="2.7109375" style="1008" customWidth="1"/>
    <col min="3573" max="3573" width="2.42578125" style="1008" customWidth="1"/>
    <col min="3574" max="3574" width="17.7109375" style="1008" customWidth="1"/>
    <col min="3575" max="3575" width="1.5703125" style="1008" customWidth="1"/>
    <col min="3576" max="3576" width="6.42578125" style="1008" customWidth="1"/>
    <col min="3577" max="3577" width="13.140625" style="1008" customWidth="1"/>
    <col min="3578" max="3578" width="1" style="1008" customWidth="1"/>
    <col min="3579" max="3579" width="19.5703125" style="1008" customWidth="1"/>
    <col min="3580" max="3580" width="0.85546875" style="1008" customWidth="1"/>
    <col min="3581" max="3581" width="14.42578125" style="1008" customWidth="1"/>
    <col min="3582" max="3582" width="12.85546875" style="1008" customWidth="1"/>
    <col min="3583" max="3583" width="6.140625" style="1008" customWidth="1"/>
    <col min="3584" max="3585" width="11.42578125" style="1008"/>
    <col min="3586" max="3586" width="15.42578125" style="1008" customWidth="1"/>
    <col min="3587" max="3826" width="11.42578125" style="1008"/>
    <col min="3827" max="3827" width="2.28515625" style="1008" customWidth="1"/>
    <col min="3828" max="3828" width="2.7109375" style="1008" customWidth="1"/>
    <col min="3829" max="3829" width="2.42578125" style="1008" customWidth="1"/>
    <col min="3830" max="3830" width="17.7109375" style="1008" customWidth="1"/>
    <col min="3831" max="3831" width="1.5703125" style="1008" customWidth="1"/>
    <col min="3832" max="3832" width="6.42578125" style="1008" customWidth="1"/>
    <col min="3833" max="3833" width="13.140625" style="1008" customWidth="1"/>
    <col min="3834" max="3834" width="1" style="1008" customWidth="1"/>
    <col min="3835" max="3835" width="19.5703125" style="1008" customWidth="1"/>
    <col min="3836" max="3836" width="0.85546875" style="1008" customWidth="1"/>
    <col min="3837" max="3837" width="14.42578125" style="1008" customWidth="1"/>
    <col min="3838" max="3838" width="12.85546875" style="1008" customWidth="1"/>
    <col min="3839" max="3839" width="6.140625" style="1008" customWidth="1"/>
    <col min="3840" max="3841" width="11.42578125" style="1008"/>
    <col min="3842" max="3842" width="15.42578125" style="1008" customWidth="1"/>
    <col min="3843" max="4082" width="11.42578125" style="1008"/>
    <col min="4083" max="4083" width="2.28515625" style="1008" customWidth="1"/>
    <col min="4084" max="4084" width="2.7109375" style="1008" customWidth="1"/>
    <col min="4085" max="4085" width="2.42578125" style="1008" customWidth="1"/>
    <col min="4086" max="4086" width="17.7109375" style="1008" customWidth="1"/>
    <col min="4087" max="4087" width="1.5703125" style="1008" customWidth="1"/>
    <col min="4088" max="4088" width="6.42578125" style="1008" customWidth="1"/>
    <col min="4089" max="4089" width="13.140625" style="1008" customWidth="1"/>
    <col min="4090" max="4090" width="1" style="1008" customWidth="1"/>
    <col min="4091" max="4091" width="19.5703125" style="1008" customWidth="1"/>
    <col min="4092" max="4092" width="0.85546875" style="1008" customWidth="1"/>
    <col min="4093" max="4093" width="14.42578125" style="1008" customWidth="1"/>
    <col min="4094" max="4094" width="12.85546875" style="1008" customWidth="1"/>
    <col min="4095" max="4095" width="6.140625" style="1008" customWidth="1"/>
    <col min="4096" max="4097" width="11.42578125" style="1008"/>
    <col min="4098" max="4098" width="15.42578125" style="1008" customWidth="1"/>
    <col min="4099" max="4338" width="11.42578125" style="1008"/>
    <col min="4339" max="4339" width="2.28515625" style="1008" customWidth="1"/>
    <col min="4340" max="4340" width="2.7109375" style="1008" customWidth="1"/>
    <col min="4341" max="4341" width="2.42578125" style="1008" customWidth="1"/>
    <col min="4342" max="4342" width="17.7109375" style="1008" customWidth="1"/>
    <col min="4343" max="4343" width="1.5703125" style="1008" customWidth="1"/>
    <col min="4344" max="4344" width="6.42578125" style="1008" customWidth="1"/>
    <col min="4345" max="4345" width="13.140625" style="1008" customWidth="1"/>
    <col min="4346" max="4346" width="1" style="1008" customWidth="1"/>
    <col min="4347" max="4347" width="19.5703125" style="1008" customWidth="1"/>
    <col min="4348" max="4348" width="0.85546875" style="1008" customWidth="1"/>
    <col min="4349" max="4349" width="14.42578125" style="1008" customWidth="1"/>
    <col min="4350" max="4350" width="12.85546875" style="1008" customWidth="1"/>
    <col min="4351" max="4351" width="6.140625" style="1008" customWidth="1"/>
    <col min="4352" max="4353" width="11.42578125" style="1008"/>
    <col min="4354" max="4354" width="15.42578125" style="1008" customWidth="1"/>
    <col min="4355" max="4594" width="11.42578125" style="1008"/>
    <col min="4595" max="4595" width="2.28515625" style="1008" customWidth="1"/>
    <col min="4596" max="4596" width="2.7109375" style="1008" customWidth="1"/>
    <col min="4597" max="4597" width="2.42578125" style="1008" customWidth="1"/>
    <col min="4598" max="4598" width="17.7109375" style="1008" customWidth="1"/>
    <col min="4599" max="4599" width="1.5703125" style="1008" customWidth="1"/>
    <col min="4600" max="4600" width="6.42578125" style="1008" customWidth="1"/>
    <col min="4601" max="4601" width="13.140625" style="1008" customWidth="1"/>
    <col min="4602" max="4602" width="1" style="1008" customWidth="1"/>
    <col min="4603" max="4603" width="19.5703125" style="1008" customWidth="1"/>
    <col min="4604" max="4604" width="0.85546875" style="1008" customWidth="1"/>
    <col min="4605" max="4605" width="14.42578125" style="1008" customWidth="1"/>
    <col min="4606" max="4606" width="12.85546875" style="1008" customWidth="1"/>
    <col min="4607" max="4607" width="6.140625" style="1008" customWidth="1"/>
    <col min="4608" max="4609" width="11.42578125" style="1008"/>
    <col min="4610" max="4610" width="15.42578125" style="1008" customWidth="1"/>
    <col min="4611" max="4850" width="11.42578125" style="1008"/>
    <col min="4851" max="4851" width="2.28515625" style="1008" customWidth="1"/>
    <col min="4852" max="4852" width="2.7109375" style="1008" customWidth="1"/>
    <col min="4853" max="4853" width="2.42578125" style="1008" customWidth="1"/>
    <col min="4854" max="4854" width="17.7109375" style="1008" customWidth="1"/>
    <col min="4855" max="4855" width="1.5703125" style="1008" customWidth="1"/>
    <col min="4856" max="4856" width="6.42578125" style="1008" customWidth="1"/>
    <col min="4857" max="4857" width="13.140625" style="1008" customWidth="1"/>
    <col min="4858" max="4858" width="1" style="1008" customWidth="1"/>
    <col min="4859" max="4859" width="19.5703125" style="1008" customWidth="1"/>
    <col min="4860" max="4860" width="0.85546875" style="1008" customWidth="1"/>
    <col min="4861" max="4861" width="14.42578125" style="1008" customWidth="1"/>
    <col min="4862" max="4862" width="12.85546875" style="1008" customWidth="1"/>
    <col min="4863" max="4863" width="6.140625" style="1008" customWidth="1"/>
    <col min="4864" max="4865" width="11.42578125" style="1008"/>
    <col min="4866" max="4866" width="15.42578125" style="1008" customWidth="1"/>
    <col min="4867" max="5106" width="11.42578125" style="1008"/>
    <col min="5107" max="5107" width="2.28515625" style="1008" customWidth="1"/>
    <col min="5108" max="5108" width="2.7109375" style="1008" customWidth="1"/>
    <col min="5109" max="5109" width="2.42578125" style="1008" customWidth="1"/>
    <col min="5110" max="5110" width="17.7109375" style="1008" customWidth="1"/>
    <col min="5111" max="5111" width="1.5703125" style="1008" customWidth="1"/>
    <col min="5112" max="5112" width="6.42578125" style="1008" customWidth="1"/>
    <col min="5113" max="5113" width="13.140625" style="1008" customWidth="1"/>
    <col min="5114" max="5114" width="1" style="1008" customWidth="1"/>
    <col min="5115" max="5115" width="19.5703125" style="1008" customWidth="1"/>
    <col min="5116" max="5116" width="0.85546875" style="1008" customWidth="1"/>
    <col min="5117" max="5117" width="14.42578125" style="1008" customWidth="1"/>
    <col min="5118" max="5118" width="12.85546875" style="1008" customWidth="1"/>
    <col min="5119" max="5119" width="6.140625" style="1008" customWidth="1"/>
    <col min="5120" max="5121" width="11.42578125" style="1008"/>
    <col min="5122" max="5122" width="15.42578125" style="1008" customWidth="1"/>
    <col min="5123" max="5362" width="11.42578125" style="1008"/>
    <col min="5363" max="5363" width="2.28515625" style="1008" customWidth="1"/>
    <col min="5364" max="5364" width="2.7109375" style="1008" customWidth="1"/>
    <col min="5365" max="5365" width="2.42578125" style="1008" customWidth="1"/>
    <col min="5366" max="5366" width="17.7109375" style="1008" customWidth="1"/>
    <col min="5367" max="5367" width="1.5703125" style="1008" customWidth="1"/>
    <col min="5368" max="5368" width="6.42578125" style="1008" customWidth="1"/>
    <col min="5369" max="5369" width="13.140625" style="1008" customWidth="1"/>
    <col min="5370" max="5370" width="1" style="1008" customWidth="1"/>
    <col min="5371" max="5371" width="19.5703125" style="1008" customWidth="1"/>
    <col min="5372" max="5372" width="0.85546875" style="1008" customWidth="1"/>
    <col min="5373" max="5373" width="14.42578125" style="1008" customWidth="1"/>
    <col min="5374" max="5374" width="12.85546875" style="1008" customWidth="1"/>
    <col min="5375" max="5375" width="6.140625" style="1008" customWidth="1"/>
    <col min="5376" max="5377" width="11.42578125" style="1008"/>
    <col min="5378" max="5378" width="15.42578125" style="1008" customWidth="1"/>
    <col min="5379" max="5618" width="11.42578125" style="1008"/>
    <col min="5619" max="5619" width="2.28515625" style="1008" customWidth="1"/>
    <col min="5620" max="5620" width="2.7109375" style="1008" customWidth="1"/>
    <col min="5621" max="5621" width="2.42578125" style="1008" customWidth="1"/>
    <col min="5622" max="5622" width="17.7109375" style="1008" customWidth="1"/>
    <col min="5623" max="5623" width="1.5703125" style="1008" customWidth="1"/>
    <col min="5624" max="5624" width="6.42578125" style="1008" customWidth="1"/>
    <col min="5625" max="5625" width="13.140625" style="1008" customWidth="1"/>
    <col min="5626" max="5626" width="1" style="1008" customWidth="1"/>
    <col min="5627" max="5627" width="19.5703125" style="1008" customWidth="1"/>
    <col min="5628" max="5628" width="0.85546875" style="1008" customWidth="1"/>
    <col min="5629" max="5629" width="14.42578125" style="1008" customWidth="1"/>
    <col min="5630" max="5630" width="12.85546875" style="1008" customWidth="1"/>
    <col min="5631" max="5631" width="6.140625" style="1008" customWidth="1"/>
    <col min="5632" max="5633" width="11.42578125" style="1008"/>
    <col min="5634" max="5634" width="15.42578125" style="1008" customWidth="1"/>
    <col min="5635" max="5874" width="11.42578125" style="1008"/>
    <col min="5875" max="5875" width="2.28515625" style="1008" customWidth="1"/>
    <col min="5876" max="5876" width="2.7109375" style="1008" customWidth="1"/>
    <col min="5877" max="5877" width="2.42578125" style="1008" customWidth="1"/>
    <col min="5878" max="5878" width="17.7109375" style="1008" customWidth="1"/>
    <col min="5879" max="5879" width="1.5703125" style="1008" customWidth="1"/>
    <col min="5880" max="5880" width="6.42578125" style="1008" customWidth="1"/>
    <col min="5881" max="5881" width="13.140625" style="1008" customWidth="1"/>
    <col min="5882" max="5882" width="1" style="1008" customWidth="1"/>
    <col min="5883" max="5883" width="19.5703125" style="1008" customWidth="1"/>
    <col min="5884" max="5884" width="0.85546875" style="1008" customWidth="1"/>
    <col min="5885" max="5885" width="14.42578125" style="1008" customWidth="1"/>
    <col min="5886" max="5886" width="12.85546875" style="1008" customWidth="1"/>
    <col min="5887" max="5887" width="6.140625" style="1008" customWidth="1"/>
    <col min="5888" max="5889" width="11.42578125" style="1008"/>
    <col min="5890" max="5890" width="15.42578125" style="1008" customWidth="1"/>
    <col min="5891" max="6130" width="11.42578125" style="1008"/>
    <col min="6131" max="6131" width="2.28515625" style="1008" customWidth="1"/>
    <col min="6132" max="6132" width="2.7109375" style="1008" customWidth="1"/>
    <col min="6133" max="6133" width="2.42578125" style="1008" customWidth="1"/>
    <col min="6134" max="6134" width="17.7109375" style="1008" customWidth="1"/>
    <col min="6135" max="6135" width="1.5703125" style="1008" customWidth="1"/>
    <col min="6136" max="6136" width="6.42578125" style="1008" customWidth="1"/>
    <col min="6137" max="6137" width="13.140625" style="1008" customWidth="1"/>
    <col min="6138" max="6138" width="1" style="1008" customWidth="1"/>
    <col min="6139" max="6139" width="19.5703125" style="1008" customWidth="1"/>
    <col min="6140" max="6140" width="0.85546875" style="1008" customWidth="1"/>
    <col min="6141" max="6141" width="14.42578125" style="1008" customWidth="1"/>
    <col min="6142" max="6142" width="12.85546875" style="1008" customWidth="1"/>
    <col min="6143" max="6143" width="6.140625" style="1008" customWidth="1"/>
    <col min="6144" max="6145" width="11.42578125" style="1008"/>
    <col min="6146" max="6146" width="15.42578125" style="1008" customWidth="1"/>
    <col min="6147" max="6386" width="11.42578125" style="1008"/>
    <col min="6387" max="6387" width="2.28515625" style="1008" customWidth="1"/>
    <col min="6388" max="6388" width="2.7109375" style="1008" customWidth="1"/>
    <col min="6389" max="6389" width="2.42578125" style="1008" customWidth="1"/>
    <col min="6390" max="6390" width="17.7109375" style="1008" customWidth="1"/>
    <col min="6391" max="6391" width="1.5703125" style="1008" customWidth="1"/>
    <col min="6392" max="6392" width="6.42578125" style="1008" customWidth="1"/>
    <col min="6393" max="6393" width="13.140625" style="1008" customWidth="1"/>
    <col min="6394" max="6394" width="1" style="1008" customWidth="1"/>
    <col min="6395" max="6395" width="19.5703125" style="1008" customWidth="1"/>
    <col min="6396" max="6396" width="0.85546875" style="1008" customWidth="1"/>
    <col min="6397" max="6397" width="14.42578125" style="1008" customWidth="1"/>
    <col min="6398" max="6398" width="12.85546875" style="1008" customWidth="1"/>
    <col min="6399" max="6399" width="6.140625" style="1008" customWidth="1"/>
    <col min="6400" max="6401" width="11.42578125" style="1008"/>
    <col min="6402" max="6402" width="15.42578125" style="1008" customWidth="1"/>
    <col min="6403" max="6642" width="11.42578125" style="1008"/>
    <col min="6643" max="6643" width="2.28515625" style="1008" customWidth="1"/>
    <col min="6644" max="6644" width="2.7109375" style="1008" customWidth="1"/>
    <col min="6645" max="6645" width="2.42578125" style="1008" customWidth="1"/>
    <col min="6646" max="6646" width="17.7109375" style="1008" customWidth="1"/>
    <col min="6647" max="6647" width="1.5703125" style="1008" customWidth="1"/>
    <col min="6648" max="6648" width="6.42578125" style="1008" customWidth="1"/>
    <col min="6649" max="6649" width="13.140625" style="1008" customWidth="1"/>
    <col min="6650" max="6650" width="1" style="1008" customWidth="1"/>
    <col min="6651" max="6651" width="19.5703125" style="1008" customWidth="1"/>
    <col min="6652" max="6652" width="0.85546875" style="1008" customWidth="1"/>
    <col min="6653" max="6653" width="14.42578125" style="1008" customWidth="1"/>
    <col min="6654" max="6654" width="12.85546875" style="1008" customWidth="1"/>
    <col min="6655" max="6655" width="6.140625" style="1008" customWidth="1"/>
    <col min="6656" max="6657" width="11.42578125" style="1008"/>
    <col min="6658" max="6658" width="15.42578125" style="1008" customWidth="1"/>
    <col min="6659" max="6898" width="11.42578125" style="1008"/>
    <col min="6899" max="6899" width="2.28515625" style="1008" customWidth="1"/>
    <col min="6900" max="6900" width="2.7109375" style="1008" customWidth="1"/>
    <col min="6901" max="6901" width="2.42578125" style="1008" customWidth="1"/>
    <col min="6902" max="6902" width="17.7109375" style="1008" customWidth="1"/>
    <col min="6903" max="6903" width="1.5703125" style="1008" customWidth="1"/>
    <col min="6904" max="6904" width="6.42578125" style="1008" customWidth="1"/>
    <col min="6905" max="6905" width="13.140625" style="1008" customWidth="1"/>
    <col min="6906" max="6906" width="1" style="1008" customWidth="1"/>
    <col min="6907" max="6907" width="19.5703125" style="1008" customWidth="1"/>
    <col min="6908" max="6908" width="0.85546875" style="1008" customWidth="1"/>
    <col min="6909" max="6909" width="14.42578125" style="1008" customWidth="1"/>
    <col min="6910" max="6910" width="12.85546875" style="1008" customWidth="1"/>
    <col min="6911" max="6911" width="6.140625" style="1008" customWidth="1"/>
    <col min="6912" max="6913" width="11.42578125" style="1008"/>
    <col min="6914" max="6914" width="15.42578125" style="1008" customWidth="1"/>
    <col min="6915" max="7154" width="11.42578125" style="1008"/>
    <col min="7155" max="7155" width="2.28515625" style="1008" customWidth="1"/>
    <col min="7156" max="7156" width="2.7109375" style="1008" customWidth="1"/>
    <col min="7157" max="7157" width="2.42578125" style="1008" customWidth="1"/>
    <col min="7158" max="7158" width="17.7109375" style="1008" customWidth="1"/>
    <col min="7159" max="7159" width="1.5703125" style="1008" customWidth="1"/>
    <col min="7160" max="7160" width="6.42578125" style="1008" customWidth="1"/>
    <col min="7161" max="7161" width="13.140625" style="1008" customWidth="1"/>
    <col min="7162" max="7162" width="1" style="1008" customWidth="1"/>
    <col min="7163" max="7163" width="19.5703125" style="1008" customWidth="1"/>
    <col min="7164" max="7164" width="0.85546875" style="1008" customWidth="1"/>
    <col min="7165" max="7165" width="14.42578125" style="1008" customWidth="1"/>
    <col min="7166" max="7166" width="12.85546875" style="1008" customWidth="1"/>
    <col min="7167" max="7167" width="6.140625" style="1008" customWidth="1"/>
    <col min="7168" max="7169" width="11.42578125" style="1008"/>
    <col min="7170" max="7170" width="15.42578125" style="1008" customWidth="1"/>
    <col min="7171" max="7410" width="11.42578125" style="1008"/>
    <col min="7411" max="7411" width="2.28515625" style="1008" customWidth="1"/>
    <col min="7412" max="7412" width="2.7109375" style="1008" customWidth="1"/>
    <col min="7413" max="7413" width="2.42578125" style="1008" customWidth="1"/>
    <col min="7414" max="7414" width="17.7109375" style="1008" customWidth="1"/>
    <col min="7415" max="7415" width="1.5703125" style="1008" customWidth="1"/>
    <col min="7416" max="7416" width="6.42578125" style="1008" customWidth="1"/>
    <col min="7417" max="7417" width="13.140625" style="1008" customWidth="1"/>
    <col min="7418" max="7418" width="1" style="1008" customWidth="1"/>
    <col min="7419" max="7419" width="19.5703125" style="1008" customWidth="1"/>
    <col min="7420" max="7420" width="0.85546875" style="1008" customWidth="1"/>
    <col min="7421" max="7421" width="14.42578125" style="1008" customWidth="1"/>
    <col min="7422" max="7422" width="12.85546875" style="1008" customWidth="1"/>
    <col min="7423" max="7423" width="6.140625" style="1008" customWidth="1"/>
    <col min="7424" max="7425" width="11.42578125" style="1008"/>
    <col min="7426" max="7426" width="15.42578125" style="1008" customWidth="1"/>
    <col min="7427" max="7666" width="11.42578125" style="1008"/>
    <col min="7667" max="7667" width="2.28515625" style="1008" customWidth="1"/>
    <col min="7668" max="7668" width="2.7109375" style="1008" customWidth="1"/>
    <col min="7669" max="7669" width="2.42578125" style="1008" customWidth="1"/>
    <col min="7670" max="7670" width="17.7109375" style="1008" customWidth="1"/>
    <col min="7671" max="7671" width="1.5703125" style="1008" customWidth="1"/>
    <col min="7672" max="7672" width="6.42578125" style="1008" customWidth="1"/>
    <col min="7673" max="7673" width="13.140625" style="1008" customWidth="1"/>
    <col min="7674" max="7674" width="1" style="1008" customWidth="1"/>
    <col min="7675" max="7675" width="19.5703125" style="1008" customWidth="1"/>
    <col min="7676" max="7676" width="0.85546875" style="1008" customWidth="1"/>
    <col min="7677" max="7677" width="14.42578125" style="1008" customWidth="1"/>
    <col min="7678" max="7678" width="12.85546875" style="1008" customWidth="1"/>
    <col min="7679" max="7679" width="6.140625" style="1008" customWidth="1"/>
    <col min="7680" max="7681" width="11.42578125" style="1008"/>
    <col min="7682" max="7682" width="15.42578125" style="1008" customWidth="1"/>
    <col min="7683" max="7922" width="11.42578125" style="1008"/>
    <col min="7923" max="7923" width="2.28515625" style="1008" customWidth="1"/>
    <col min="7924" max="7924" width="2.7109375" style="1008" customWidth="1"/>
    <col min="7925" max="7925" width="2.42578125" style="1008" customWidth="1"/>
    <col min="7926" max="7926" width="17.7109375" style="1008" customWidth="1"/>
    <col min="7927" max="7927" width="1.5703125" style="1008" customWidth="1"/>
    <col min="7928" max="7928" width="6.42578125" style="1008" customWidth="1"/>
    <col min="7929" max="7929" width="13.140625" style="1008" customWidth="1"/>
    <col min="7930" max="7930" width="1" style="1008" customWidth="1"/>
    <col min="7931" max="7931" width="19.5703125" style="1008" customWidth="1"/>
    <col min="7932" max="7932" width="0.85546875" style="1008" customWidth="1"/>
    <col min="7933" max="7933" width="14.42578125" style="1008" customWidth="1"/>
    <col min="7934" max="7934" width="12.85546875" style="1008" customWidth="1"/>
    <col min="7935" max="7935" width="6.140625" style="1008" customWidth="1"/>
    <col min="7936" max="7937" width="11.42578125" style="1008"/>
    <col min="7938" max="7938" width="15.42578125" style="1008" customWidth="1"/>
    <col min="7939" max="8178" width="11.42578125" style="1008"/>
    <col min="8179" max="8179" width="2.28515625" style="1008" customWidth="1"/>
    <col min="8180" max="8180" width="2.7109375" style="1008" customWidth="1"/>
    <col min="8181" max="8181" width="2.42578125" style="1008" customWidth="1"/>
    <col min="8182" max="8182" width="17.7109375" style="1008" customWidth="1"/>
    <col min="8183" max="8183" width="1.5703125" style="1008" customWidth="1"/>
    <col min="8184" max="8184" width="6.42578125" style="1008" customWidth="1"/>
    <col min="8185" max="8185" width="13.140625" style="1008" customWidth="1"/>
    <col min="8186" max="8186" width="1" style="1008" customWidth="1"/>
    <col min="8187" max="8187" width="19.5703125" style="1008" customWidth="1"/>
    <col min="8188" max="8188" width="0.85546875" style="1008" customWidth="1"/>
    <col min="8189" max="8189" width="14.42578125" style="1008" customWidth="1"/>
    <col min="8190" max="8190" width="12.85546875" style="1008" customWidth="1"/>
    <col min="8191" max="8191" width="6.140625" style="1008" customWidth="1"/>
    <col min="8192" max="8193" width="11.42578125" style="1008"/>
    <col min="8194" max="8194" width="15.42578125" style="1008" customWidth="1"/>
    <col min="8195" max="8434" width="11.42578125" style="1008"/>
    <col min="8435" max="8435" width="2.28515625" style="1008" customWidth="1"/>
    <col min="8436" max="8436" width="2.7109375" style="1008" customWidth="1"/>
    <col min="8437" max="8437" width="2.42578125" style="1008" customWidth="1"/>
    <col min="8438" max="8438" width="17.7109375" style="1008" customWidth="1"/>
    <col min="8439" max="8439" width="1.5703125" style="1008" customWidth="1"/>
    <col min="8440" max="8440" width="6.42578125" style="1008" customWidth="1"/>
    <col min="8441" max="8441" width="13.140625" style="1008" customWidth="1"/>
    <col min="8442" max="8442" width="1" style="1008" customWidth="1"/>
    <col min="8443" max="8443" width="19.5703125" style="1008" customWidth="1"/>
    <col min="8444" max="8444" width="0.85546875" style="1008" customWidth="1"/>
    <col min="8445" max="8445" width="14.42578125" style="1008" customWidth="1"/>
    <col min="8446" max="8446" width="12.85546875" style="1008" customWidth="1"/>
    <col min="8447" max="8447" width="6.140625" style="1008" customWidth="1"/>
    <col min="8448" max="8449" width="11.42578125" style="1008"/>
    <col min="8450" max="8450" width="15.42578125" style="1008" customWidth="1"/>
    <col min="8451" max="8690" width="11.42578125" style="1008"/>
    <col min="8691" max="8691" width="2.28515625" style="1008" customWidth="1"/>
    <col min="8692" max="8692" width="2.7109375" style="1008" customWidth="1"/>
    <col min="8693" max="8693" width="2.42578125" style="1008" customWidth="1"/>
    <col min="8694" max="8694" width="17.7109375" style="1008" customWidth="1"/>
    <col min="8695" max="8695" width="1.5703125" style="1008" customWidth="1"/>
    <col min="8696" max="8696" width="6.42578125" style="1008" customWidth="1"/>
    <col min="8697" max="8697" width="13.140625" style="1008" customWidth="1"/>
    <col min="8698" max="8698" width="1" style="1008" customWidth="1"/>
    <col min="8699" max="8699" width="19.5703125" style="1008" customWidth="1"/>
    <col min="8700" max="8700" width="0.85546875" style="1008" customWidth="1"/>
    <col min="8701" max="8701" width="14.42578125" style="1008" customWidth="1"/>
    <col min="8702" max="8702" width="12.85546875" style="1008" customWidth="1"/>
    <col min="8703" max="8703" width="6.140625" style="1008" customWidth="1"/>
    <col min="8704" max="8705" width="11.42578125" style="1008"/>
    <col min="8706" max="8706" width="15.42578125" style="1008" customWidth="1"/>
    <col min="8707" max="8946" width="11.42578125" style="1008"/>
    <col min="8947" max="8947" width="2.28515625" style="1008" customWidth="1"/>
    <col min="8948" max="8948" width="2.7109375" style="1008" customWidth="1"/>
    <col min="8949" max="8949" width="2.42578125" style="1008" customWidth="1"/>
    <col min="8950" max="8950" width="17.7109375" style="1008" customWidth="1"/>
    <col min="8951" max="8951" width="1.5703125" style="1008" customWidth="1"/>
    <col min="8952" max="8952" width="6.42578125" style="1008" customWidth="1"/>
    <col min="8953" max="8953" width="13.140625" style="1008" customWidth="1"/>
    <col min="8954" max="8954" width="1" style="1008" customWidth="1"/>
    <col min="8955" max="8955" width="19.5703125" style="1008" customWidth="1"/>
    <col min="8956" max="8956" width="0.85546875" style="1008" customWidth="1"/>
    <col min="8957" max="8957" width="14.42578125" style="1008" customWidth="1"/>
    <col min="8958" max="8958" width="12.85546875" style="1008" customWidth="1"/>
    <col min="8959" max="8959" width="6.140625" style="1008" customWidth="1"/>
    <col min="8960" max="8961" width="11.42578125" style="1008"/>
    <col min="8962" max="8962" width="15.42578125" style="1008" customWidth="1"/>
    <col min="8963" max="9202" width="11.42578125" style="1008"/>
    <col min="9203" max="9203" width="2.28515625" style="1008" customWidth="1"/>
    <col min="9204" max="9204" width="2.7109375" style="1008" customWidth="1"/>
    <col min="9205" max="9205" width="2.42578125" style="1008" customWidth="1"/>
    <col min="9206" max="9206" width="17.7109375" style="1008" customWidth="1"/>
    <col min="9207" max="9207" width="1.5703125" style="1008" customWidth="1"/>
    <col min="9208" max="9208" width="6.42578125" style="1008" customWidth="1"/>
    <col min="9209" max="9209" width="13.140625" style="1008" customWidth="1"/>
    <col min="9210" max="9210" width="1" style="1008" customWidth="1"/>
    <col min="9211" max="9211" width="19.5703125" style="1008" customWidth="1"/>
    <col min="9212" max="9212" width="0.85546875" style="1008" customWidth="1"/>
    <col min="9213" max="9213" width="14.42578125" style="1008" customWidth="1"/>
    <col min="9214" max="9214" width="12.85546875" style="1008" customWidth="1"/>
    <col min="9215" max="9215" width="6.140625" style="1008" customWidth="1"/>
    <col min="9216" max="9217" width="11.42578125" style="1008"/>
    <col min="9218" max="9218" width="15.42578125" style="1008" customWidth="1"/>
    <col min="9219" max="9458" width="11.42578125" style="1008"/>
    <col min="9459" max="9459" width="2.28515625" style="1008" customWidth="1"/>
    <col min="9460" max="9460" width="2.7109375" style="1008" customWidth="1"/>
    <col min="9461" max="9461" width="2.42578125" style="1008" customWidth="1"/>
    <col min="9462" max="9462" width="17.7109375" style="1008" customWidth="1"/>
    <col min="9463" max="9463" width="1.5703125" style="1008" customWidth="1"/>
    <col min="9464" max="9464" width="6.42578125" style="1008" customWidth="1"/>
    <col min="9465" max="9465" width="13.140625" style="1008" customWidth="1"/>
    <col min="9466" max="9466" width="1" style="1008" customWidth="1"/>
    <col min="9467" max="9467" width="19.5703125" style="1008" customWidth="1"/>
    <col min="9468" max="9468" width="0.85546875" style="1008" customWidth="1"/>
    <col min="9469" max="9469" width="14.42578125" style="1008" customWidth="1"/>
    <col min="9470" max="9470" width="12.85546875" style="1008" customWidth="1"/>
    <col min="9471" max="9471" width="6.140625" style="1008" customWidth="1"/>
    <col min="9472" max="9473" width="11.42578125" style="1008"/>
    <col min="9474" max="9474" width="15.42578125" style="1008" customWidth="1"/>
    <col min="9475" max="9714" width="11.42578125" style="1008"/>
    <col min="9715" max="9715" width="2.28515625" style="1008" customWidth="1"/>
    <col min="9716" max="9716" width="2.7109375" style="1008" customWidth="1"/>
    <col min="9717" max="9717" width="2.42578125" style="1008" customWidth="1"/>
    <col min="9718" max="9718" width="17.7109375" style="1008" customWidth="1"/>
    <col min="9719" max="9719" width="1.5703125" style="1008" customWidth="1"/>
    <col min="9720" max="9720" width="6.42578125" style="1008" customWidth="1"/>
    <col min="9721" max="9721" width="13.140625" style="1008" customWidth="1"/>
    <col min="9722" max="9722" width="1" style="1008" customWidth="1"/>
    <col min="9723" max="9723" width="19.5703125" style="1008" customWidth="1"/>
    <col min="9724" max="9724" width="0.85546875" style="1008" customWidth="1"/>
    <col min="9725" max="9725" width="14.42578125" style="1008" customWidth="1"/>
    <col min="9726" max="9726" width="12.85546875" style="1008" customWidth="1"/>
    <col min="9727" max="9727" width="6.140625" style="1008" customWidth="1"/>
    <col min="9728" max="9729" width="11.42578125" style="1008"/>
    <col min="9730" max="9730" width="15.42578125" style="1008" customWidth="1"/>
    <col min="9731" max="9970" width="11.42578125" style="1008"/>
    <col min="9971" max="9971" width="2.28515625" style="1008" customWidth="1"/>
    <col min="9972" max="9972" width="2.7109375" style="1008" customWidth="1"/>
    <col min="9973" max="9973" width="2.42578125" style="1008" customWidth="1"/>
    <col min="9974" max="9974" width="17.7109375" style="1008" customWidth="1"/>
    <col min="9975" max="9975" width="1.5703125" style="1008" customWidth="1"/>
    <col min="9976" max="9976" width="6.42578125" style="1008" customWidth="1"/>
    <col min="9977" max="9977" width="13.140625" style="1008" customWidth="1"/>
    <col min="9978" max="9978" width="1" style="1008" customWidth="1"/>
    <col min="9979" max="9979" width="19.5703125" style="1008" customWidth="1"/>
    <col min="9980" max="9980" width="0.85546875" style="1008" customWidth="1"/>
    <col min="9981" max="9981" width="14.42578125" style="1008" customWidth="1"/>
    <col min="9982" max="9982" width="12.85546875" style="1008" customWidth="1"/>
    <col min="9983" max="9983" width="6.140625" style="1008" customWidth="1"/>
    <col min="9984" max="9985" width="11.42578125" style="1008"/>
    <col min="9986" max="9986" width="15.42578125" style="1008" customWidth="1"/>
    <col min="9987" max="10226" width="11.42578125" style="1008"/>
    <col min="10227" max="10227" width="2.28515625" style="1008" customWidth="1"/>
    <col min="10228" max="10228" width="2.7109375" style="1008" customWidth="1"/>
    <col min="10229" max="10229" width="2.42578125" style="1008" customWidth="1"/>
    <col min="10230" max="10230" width="17.7109375" style="1008" customWidth="1"/>
    <col min="10231" max="10231" width="1.5703125" style="1008" customWidth="1"/>
    <col min="10232" max="10232" width="6.42578125" style="1008" customWidth="1"/>
    <col min="10233" max="10233" width="13.140625" style="1008" customWidth="1"/>
    <col min="10234" max="10234" width="1" style="1008" customWidth="1"/>
    <col min="10235" max="10235" width="19.5703125" style="1008" customWidth="1"/>
    <col min="10236" max="10236" width="0.85546875" style="1008" customWidth="1"/>
    <col min="10237" max="10237" width="14.42578125" style="1008" customWidth="1"/>
    <col min="10238" max="10238" width="12.85546875" style="1008" customWidth="1"/>
    <col min="10239" max="10239" width="6.140625" style="1008" customWidth="1"/>
    <col min="10240" max="10241" width="11.42578125" style="1008"/>
    <col min="10242" max="10242" width="15.42578125" style="1008" customWidth="1"/>
    <col min="10243" max="10482" width="11.42578125" style="1008"/>
    <col min="10483" max="10483" width="2.28515625" style="1008" customWidth="1"/>
    <col min="10484" max="10484" width="2.7109375" style="1008" customWidth="1"/>
    <col min="10485" max="10485" width="2.42578125" style="1008" customWidth="1"/>
    <col min="10486" max="10486" width="17.7109375" style="1008" customWidth="1"/>
    <col min="10487" max="10487" width="1.5703125" style="1008" customWidth="1"/>
    <col min="10488" max="10488" width="6.42578125" style="1008" customWidth="1"/>
    <col min="10489" max="10489" width="13.140625" style="1008" customWidth="1"/>
    <col min="10490" max="10490" width="1" style="1008" customWidth="1"/>
    <col min="10491" max="10491" width="19.5703125" style="1008" customWidth="1"/>
    <col min="10492" max="10492" width="0.85546875" style="1008" customWidth="1"/>
    <col min="10493" max="10493" width="14.42578125" style="1008" customWidth="1"/>
    <col min="10494" max="10494" width="12.85546875" style="1008" customWidth="1"/>
    <col min="10495" max="10495" width="6.140625" style="1008" customWidth="1"/>
    <col min="10496" max="10497" width="11.42578125" style="1008"/>
    <col min="10498" max="10498" width="15.42578125" style="1008" customWidth="1"/>
    <col min="10499" max="10738" width="11.42578125" style="1008"/>
    <col min="10739" max="10739" width="2.28515625" style="1008" customWidth="1"/>
    <col min="10740" max="10740" width="2.7109375" style="1008" customWidth="1"/>
    <col min="10741" max="10741" width="2.42578125" style="1008" customWidth="1"/>
    <col min="10742" max="10742" width="17.7109375" style="1008" customWidth="1"/>
    <col min="10743" max="10743" width="1.5703125" style="1008" customWidth="1"/>
    <col min="10744" max="10744" width="6.42578125" style="1008" customWidth="1"/>
    <col min="10745" max="10745" width="13.140625" style="1008" customWidth="1"/>
    <col min="10746" max="10746" width="1" style="1008" customWidth="1"/>
    <col min="10747" max="10747" width="19.5703125" style="1008" customWidth="1"/>
    <col min="10748" max="10748" width="0.85546875" style="1008" customWidth="1"/>
    <col min="10749" max="10749" width="14.42578125" style="1008" customWidth="1"/>
    <col min="10750" max="10750" width="12.85546875" style="1008" customWidth="1"/>
    <col min="10751" max="10751" width="6.140625" style="1008" customWidth="1"/>
    <col min="10752" max="10753" width="11.42578125" style="1008"/>
    <col min="10754" max="10754" width="15.42578125" style="1008" customWidth="1"/>
    <col min="10755" max="10994" width="11.42578125" style="1008"/>
    <col min="10995" max="10995" width="2.28515625" style="1008" customWidth="1"/>
    <col min="10996" max="10996" width="2.7109375" style="1008" customWidth="1"/>
    <col min="10997" max="10997" width="2.42578125" style="1008" customWidth="1"/>
    <col min="10998" max="10998" width="17.7109375" style="1008" customWidth="1"/>
    <col min="10999" max="10999" width="1.5703125" style="1008" customWidth="1"/>
    <col min="11000" max="11000" width="6.42578125" style="1008" customWidth="1"/>
    <col min="11001" max="11001" width="13.140625" style="1008" customWidth="1"/>
    <col min="11002" max="11002" width="1" style="1008" customWidth="1"/>
    <col min="11003" max="11003" width="19.5703125" style="1008" customWidth="1"/>
    <col min="11004" max="11004" width="0.85546875" style="1008" customWidth="1"/>
    <col min="11005" max="11005" width="14.42578125" style="1008" customWidth="1"/>
    <col min="11006" max="11006" width="12.85546875" style="1008" customWidth="1"/>
    <col min="11007" max="11007" width="6.140625" style="1008" customWidth="1"/>
    <col min="11008" max="11009" width="11.42578125" style="1008"/>
    <col min="11010" max="11010" width="15.42578125" style="1008" customWidth="1"/>
    <col min="11011" max="11250" width="11.42578125" style="1008"/>
    <col min="11251" max="11251" width="2.28515625" style="1008" customWidth="1"/>
    <col min="11252" max="11252" width="2.7109375" style="1008" customWidth="1"/>
    <col min="11253" max="11253" width="2.42578125" style="1008" customWidth="1"/>
    <col min="11254" max="11254" width="17.7109375" style="1008" customWidth="1"/>
    <col min="11255" max="11255" width="1.5703125" style="1008" customWidth="1"/>
    <col min="11256" max="11256" width="6.42578125" style="1008" customWidth="1"/>
    <col min="11257" max="11257" width="13.140625" style="1008" customWidth="1"/>
    <col min="11258" max="11258" width="1" style="1008" customWidth="1"/>
    <col min="11259" max="11259" width="19.5703125" style="1008" customWidth="1"/>
    <col min="11260" max="11260" width="0.85546875" style="1008" customWidth="1"/>
    <col min="11261" max="11261" width="14.42578125" style="1008" customWidth="1"/>
    <col min="11262" max="11262" width="12.85546875" style="1008" customWidth="1"/>
    <col min="11263" max="11263" width="6.140625" style="1008" customWidth="1"/>
    <col min="11264" max="11265" width="11.42578125" style="1008"/>
    <col min="11266" max="11266" width="15.42578125" style="1008" customWidth="1"/>
    <col min="11267" max="11506" width="11.42578125" style="1008"/>
    <col min="11507" max="11507" width="2.28515625" style="1008" customWidth="1"/>
    <col min="11508" max="11508" width="2.7109375" style="1008" customWidth="1"/>
    <col min="11509" max="11509" width="2.42578125" style="1008" customWidth="1"/>
    <col min="11510" max="11510" width="17.7109375" style="1008" customWidth="1"/>
    <col min="11511" max="11511" width="1.5703125" style="1008" customWidth="1"/>
    <col min="11512" max="11512" width="6.42578125" style="1008" customWidth="1"/>
    <col min="11513" max="11513" width="13.140625" style="1008" customWidth="1"/>
    <col min="11514" max="11514" width="1" style="1008" customWidth="1"/>
    <col min="11515" max="11515" width="19.5703125" style="1008" customWidth="1"/>
    <col min="11516" max="11516" width="0.85546875" style="1008" customWidth="1"/>
    <col min="11517" max="11517" width="14.42578125" style="1008" customWidth="1"/>
    <col min="11518" max="11518" width="12.85546875" style="1008" customWidth="1"/>
    <col min="11519" max="11519" width="6.140625" style="1008" customWidth="1"/>
    <col min="11520" max="11521" width="11.42578125" style="1008"/>
    <col min="11522" max="11522" width="15.42578125" style="1008" customWidth="1"/>
    <col min="11523" max="11762" width="11.42578125" style="1008"/>
    <col min="11763" max="11763" width="2.28515625" style="1008" customWidth="1"/>
    <col min="11764" max="11764" width="2.7109375" style="1008" customWidth="1"/>
    <col min="11765" max="11765" width="2.42578125" style="1008" customWidth="1"/>
    <col min="11766" max="11766" width="17.7109375" style="1008" customWidth="1"/>
    <col min="11767" max="11767" width="1.5703125" style="1008" customWidth="1"/>
    <col min="11768" max="11768" width="6.42578125" style="1008" customWidth="1"/>
    <col min="11769" max="11769" width="13.140625" style="1008" customWidth="1"/>
    <col min="11770" max="11770" width="1" style="1008" customWidth="1"/>
    <col min="11771" max="11771" width="19.5703125" style="1008" customWidth="1"/>
    <col min="11772" max="11772" width="0.85546875" style="1008" customWidth="1"/>
    <col min="11773" max="11773" width="14.42578125" style="1008" customWidth="1"/>
    <col min="11774" max="11774" width="12.85546875" style="1008" customWidth="1"/>
    <col min="11775" max="11775" width="6.140625" style="1008" customWidth="1"/>
    <col min="11776" max="11777" width="11.42578125" style="1008"/>
    <col min="11778" max="11778" width="15.42578125" style="1008" customWidth="1"/>
    <col min="11779" max="12018" width="11.42578125" style="1008"/>
    <col min="12019" max="12019" width="2.28515625" style="1008" customWidth="1"/>
    <col min="12020" max="12020" width="2.7109375" style="1008" customWidth="1"/>
    <col min="12021" max="12021" width="2.42578125" style="1008" customWidth="1"/>
    <col min="12022" max="12022" width="17.7109375" style="1008" customWidth="1"/>
    <col min="12023" max="12023" width="1.5703125" style="1008" customWidth="1"/>
    <col min="12024" max="12024" width="6.42578125" style="1008" customWidth="1"/>
    <col min="12025" max="12025" width="13.140625" style="1008" customWidth="1"/>
    <col min="12026" max="12026" width="1" style="1008" customWidth="1"/>
    <col min="12027" max="12027" width="19.5703125" style="1008" customWidth="1"/>
    <col min="12028" max="12028" width="0.85546875" style="1008" customWidth="1"/>
    <col min="12029" max="12029" width="14.42578125" style="1008" customWidth="1"/>
    <col min="12030" max="12030" width="12.85546875" style="1008" customWidth="1"/>
    <col min="12031" max="12031" width="6.140625" style="1008" customWidth="1"/>
    <col min="12032" max="12033" width="11.42578125" style="1008"/>
    <col min="12034" max="12034" width="15.42578125" style="1008" customWidth="1"/>
    <col min="12035" max="12274" width="11.42578125" style="1008"/>
    <col min="12275" max="12275" width="2.28515625" style="1008" customWidth="1"/>
    <col min="12276" max="12276" width="2.7109375" style="1008" customWidth="1"/>
    <col min="12277" max="12277" width="2.42578125" style="1008" customWidth="1"/>
    <col min="12278" max="12278" width="17.7109375" style="1008" customWidth="1"/>
    <col min="12279" max="12279" width="1.5703125" style="1008" customWidth="1"/>
    <col min="12280" max="12280" width="6.42578125" style="1008" customWidth="1"/>
    <col min="12281" max="12281" width="13.140625" style="1008" customWidth="1"/>
    <col min="12282" max="12282" width="1" style="1008" customWidth="1"/>
    <col min="12283" max="12283" width="19.5703125" style="1008" customWidth="1"/>
    <col min="12284" max="12284" width="0.85546875" style="1008" customWidth="1"/>
    <col min="12285" max="12285" width="14.42578125" style="1008" customWidth="1"/>
    <col min="12286" max="12286" width="12.85546875" style="1008" customWidth="1"/>
    <col min="12287" max="12287" width="6.140625" style="1008" customWidth="1"/>
    <col min="12288" max="12289" width="11.42578125" style="1008"/>
    <col min="12290" max="12290" width="15.42578125" style="1008" customWidth="1"/>
    <col min="12291" max="12530" width="11.42578125" style="1008"/>
    <col min="12531" max="12531" width="2.28515625" style="1008" customWidth="1"/>
    <col min="12532" max="12532" width="2.7109375" style="1008" customWidth="1"/>
    <col min="12533" max="12533" width="2.42578125" style="1008" customWidth="1"/>
    <col min="12534" max="12534" width="17.7109375" style="1008" customWidth="1"/>
    <col min="12535" max="12535" width="1.5703125" style="1008" customWidth="1"/>
    <col min="12536" max="12536" width="6.42578125" style="1008" customWidth="1"/>
    <col min="12537" max="12537" width="13.140625" style="1008" customWidth="1"/>
    <col min="12538" max="12538" width="1" style="1008" customWidth="1"/>
    <col min="12539" max="12539" width="19.5703125" style="1008" customWidth="1"/>
    <col min="12540" max="12540" width="0.85546875" style="1008" customWidth="1"/>
    <col min="12541" max="12541" width="14.42578125" style="1008" customWidth="1"/>
    <col min="12542" max="12542" width="12.85546875" style="1008" customWidth="1"/>
    <col min="12543" max="12543" width="6.140625" style="1008" customWidth="1"/>
    <col min="12544" max="12545" width="11.42578125" style="1008"/>
    <col min="12546" max="12546" width="15.42578125" style="1008" customWidth="1"/>
    <col min="12547" max="12786" width="11.42578125" style="1008"/>
    <col min="12787" max="12787" width="2.28515625" style="1008" customWidth="1"/>
    <col min="12788" max="12788" width="2.7109375" style="1008" customWidth="1"/>
    <col min="12789" max="12789" width="2.42578125" style="1008" customWidth="1"/>
    <col min="12790" max="12790" width="17.7109375" style="1008" customWidth="1"/>
    <col min="12791" max="12791" width="1.5703125" style="1008" customWidth="1"/>
    <col min="12792" max="12792" width="6.42578125" style="1008" customWidth="1"/>
    <col min="12793" max="12793" width="13.140625" style="1008" customWidth="1"/>
    <col min="12794" max="12794" width="1" style="1008" customWidth="1"/>
    <col min="12795" max="12795" width="19.5703125" style="1008" customWidth="1"/>
    <col min="12796" max="12796" width="0.85546875" style="1008" customWidth="1"/>
    <col min="12797" max="12797" width="14.42578125" style="1008" customWidth="1"/>
    <col min="12798" max="12798" width="12.85546875" style="1008" customWidth="1"/>
    <col min="12799" max="12799" width="6.140625" style="1008" customWidth="1"/>
    <col min="12800" max="12801" width="11.42578125" style="1008"/>
    <col min="12802" max="12802" width="15.42578125" style="1008" customWidth="1"/>
    <col min="12803" max="13042" width="11.42578125" style="1008"/>
    <col min="13043" max="13043" width="2.28515625" style="1008" customWidth="1"/>
    <col min="13044" max="13044" width="2.7109375" style="1008" customWidth="1"/>
    <col min="13045" max="13045" width="2.42578125" style="1008" customWidth="1"/>
    <col min="13046" max="13046" width="17.7109375" style="1008" customWidth="1"/>
    <col min="13047" max="13047" width="1.5703125" style="1008" customWidth="1"/>
    <col min="13048" max="13048" width="6.42578125" style="1008" customWidth="1"/>
    <col min="13049" max="13049" width="13.140625" style="1008" customWidth="1"/>
    <col min="13050" max="13050" width="1" style="1008" customWidth="1"/>
    <col min="13051" max="13051" width="19.5703125" style="1008" customWidth="1"/>
    <col min="13052" max="13052" width="0.85546875" style="1008" customWidth="1"/>
    <col min="13053" max="13053" width="14.42578125" style="1008" customWidth="1"/>
    <col min="13054" max="13054" width="12.85546875" style="1008" customWidth="1"/>
    <col min="13055" max="13055" width="6.140625" style="1008" customWidth="1"/>
    <col min="13056" max="13057" width="11.42578125" style="1008"/>
    <col min="13058" max="13058" width="15.42578125" style="1008" customWidth="1"/>
    <col min="13059" max="13298" width="11.42578125" style="1008"/>
    <col min="13299" max="13299" width="2.28515625" style="1008" customWidth="1"/>
    <col min="13300" max="13300" width="2.7109375" style="1008" customWidth="1"/>
    <col min="13301" max="13301" width="2.42578125" style="1008" customWidth="1"/>
    <col min="13302" max="13302" width="17.7109375" style="1008" customWidth="1"/>
    <col min="13303" max="13303" width="1.5703125" style="1008" customWidth="1"/>
    <col min="13304" max="13304" width="6.42578125" style="1008" customWidth="1"/>
    <col min="13305" max="13305" width="13.140625" style="1008" customWidth="1"/>
    <col min="13306" max="13306" width="1" style="1008" customWidth="1"/>
    <col min="13307" max="13307" width="19.5703125" style="1008" customWidth="1"/>
    <col min="13308" max="13308" width="0.85546875" style="1008" customWidth="1"/>
    <col min="13309" max="13309" width="14.42578125" style="1008" customWidth="1"/>
    <col min="13310" max="13310" width="12.85546875" style="1008" customWidth="1"/>
    <col min="13311" max="13311" width="6.140625" style="1008" customWidth="1"/>
    <col min="13312" max="13313" width="11.42578125" style="1008"/>
    <col min="13314" max="13314" width="15.42578125" style="1008" customWidth="1"/>
    <col min="13315" max="13554" width="11.42578125" style="1008"/>
    <col min="13555" max="13555" width="2.28515625" style="1008" customWidth="1"/>
    <col min="13556" max="13556" width="2.7109375" style="1008" customWidth="1"/>
    <col min="13557" max="13557" width="2.42578125" style="1008" customWidth="1"/>
    <col min="13558" max="13558" width="17.7109375" style="1008" customWidth="1"/>
    <col min="13559" max="13559" width="1.5703125" style="1008" customWidth="1"/>
    <col min="13560" max="13560" width="6.42578125" style="1008" customWidth="1"/>
    <col min="13561" max="13561" width="13.140625" style="1008" customWidth="1"/>
    <col min="13562" max="13562" width="1" style="1008" customWidth="1"/>
    <col min="13563" max="13563" width="19.5703125" style="1008" customWidth="1"/>
    <col min="13564" max="13564" width="0.85546875" style="1008" customWidth="1"/>
    <col min="13565" max="13565" width="14.42578125" style="1008" customWidth="1"/>
    <col min="13566" max="13566" width="12.85546875" style="1008" customWidth="1"/>
    <col min="13567" max="13567" width="6.140625" style="1008" customWidth="1"/>
    <col min="13568" max="13569" width="11.42578125" style="1008"/>
    <col min="13570" max="13570" width="15.42578125" style="1008" customWidth="1"/>
    <col min="13571" max="13810" width="11.42578125" style="1008"/>
    <col min="13811" max="13811" width="2.28515625" style="1008" customWidth="1"/>
    <col min="13812" max="13812" width="2.7109375" style="1008" customWidth="1"/>
    <col min="13813" max="13813" width="2.42578125" style="1008" customWidth="1"/>
    <col min="13814" max="13814" width="17.7109375" style="1008" customWidth="1"/>
    <col min="13815" max="13815" width="1.5703125" style="1008" customWidth="1"/>
    <col min="13816" max="13816" width="6.42578125" style="1008" customWidth="1"/>
    <col min="13817" max="13817" width="13.140625" style="1008" customWidth="1"/>
    <col min="13818" max="13818" width="1" style="1008" customWidth="1"/>
    <col min="13819" max="13819" width="19.5703125" style="1008" customWidth="1"/>
    <col min="13820" max="13820" width="0.85546875" style="1008" customWidth="1"/>
    <col min="13821" max="13821" width="14.42578125" style="1008" customWidth="1"/>
    <col min="13822" max="13822" width="12.85546875" style="1008" customWidth="1"/>
    <col min="13823" max="13823" width="6.140625" style="1008" customWidth="1"/>
    <col min="13824" max="13825" width="11.42578125" style="1008"/>
    <col min="13826" max="13826" width="15.42578125" style="1008" customWidth="1"/>
    <col min="13827" max="14066" width="11.42578125" style="1008"/>
    <col min="14067" max="14067" width="2.28515625" style="1008" customWidth="1"/>
    <col min="14068" max="14068" width="2.7109375" style="1008" customWidth="1"/>
    <col min="14069" max="14069" width="2.42578125" style="1008" customWidth="1"/>
    <col min="14070" max="14070" width="17.7109375" style="1008" customWidth="1"/>
    <col min="14071" max="14071" width="1.5703125" style="1008" customWidth="1"/>
    <col min="14072" max="14072" width="6.42578125" style="1008" customWidth="1"/>
    <col min="14073" max="14073" width="13.140625" style="1008" customWidth="1"/>
    <col min="14074" max="14074" width="1" style="1008" customWidth="1"/>
    <col min="14075" max="14075" width="19.5703125" style="1008" customWidth="1"/>
    <col min="14076" max="14076" width="0.85546875" style="1008" customWidth="1"/>
    <col min="14077" max="14077" width="14.42578125" style="1008" customWidth="1"/>
    <col min="14078" max="14078" width="12.85546875" style="1008" customWidth="1"/>
    <col min="14079" max="14079" width="6.140625" style="1008" customWidth="1"/>
    <col min="14080" max="14081" width="11.42578125" style="1008"/>
    <col min="14082" max="14082" width="15.42578125" style="1008" customWidth="1"/>
    <col min="14083" max="14322" width="11.42578125" style="1008"/>
    <col min="14323" max="14323" width="2.28515625" style="1008" customWidth="1"/>
    <col min="14324" max="14324" width="2.7109375" style="1008" customWidth="1"/>
    <col min="14325" max="14325" width="2.42578125" style="1008" customWidth="1"/>
    <col min="14326" max="14326" width="17.7109375" style="1008" customWidth="1"/>
    <col min="14327" max="14327" width="1.5703125" style="1008" customWidth="1"/>
    <col min="14328" max="14328" width="6.42578125" style="1008" customWidth="1"/>
    <col min="14329" max="14329" width="13.140625" style="1008" customWidth="1"/>
    <col min="14330" max="14330" width="1" style="1008" customWidth="1"/>
    <col min="14331" max="14331" width="19.5703125" style="1008" customWidth="1"/>
    <col min="14332" max="14332" width="0.85546875" style="1008" customWidth="1"/>
    <col min="14333" max="14333" width="14.42578125" style="1008" customWidth="1"/>
    <col min="14334" max="14334" width="12.85546875" style="1008" customWidth="1"/>
    <col min="14335" max="14335" width="6.140625" style="1008" customWidth="1"/>
    <col min="14336" max="14337" width="11.42578125" style="1008"/>
    <col min="14338" max="14338" width="15.42578125" style="1008" customWidth="1"/>
    <col min="14339" max="14578" width="11.42578125" style="1008"/>
    <col min="14579" max="14579" width="2.28515625" style="1008" customWidth="1"/>
    <col min="14580" max="14580" width="2.7109375" style="1008" customWidth="1"/>
    <col min="14581" max="14581" width="2.42578125" style="1008" customWidth="1"/>
    <col min="14582" max="14582" width="17.7109375" style="1008" customWidth="1"/>
    <col min="14583" max="14583" width="1.5703125" style="1008" customWidth="1"/>
    <col min="14584" max="14584" width="6.42578125" style="1008" customWidth="1"/>
    <col min="14585" max="14585" width="13.140625" style="1008" customWidth="1"/>
    <col min="14586" max="14586" width="1" style="1008" customWidth="1"/>
    <col min="14587" max="14587" width="19.5703125" style="1008" customWidth="1"/>
    <col min="14588" max="14588" width="0.85546875" style="1008" customWidth="1"/>
    <col min="14589" max="14589" width="14.42578125" style="1008" customWidth="1"/>
    <col min="14590" max="14590" width="12.85546875" style="1008" customWidth="1"/>
    <col min="14591" max="14591" width="6.140625" style="1008" customWidth="1"/>
    <col min="14592" max="14593" width="11.42578125" style="1008"/>
    <col min="14594" max="14594" width="15.42578125" style="1008" customWidth="1"/>
    <col min="14595" max="14834" width="11.42578125" style="1008"/>
    <col min="14835" max="14835" width="2.28515625" style="1008" customWidth="1"/>
    <col min="14836" max="14836" width="2.7109375" style="1008" customWidth="1"/>
    <col min="14837" max="14837" width="2.42578125" style="1008" customWidth="1"/>
    <col min="14838" max="14838" width="17.7109375" style="1008" customWidth="1"/>
    <col min="14839" max="14839" width="1.5703125" style="1008" customWidth="1"/>
    <col min="14840" max="14840" width="6.42578125" style="1008" customWidth="1"/>
    <col min="14841" max="14841" width="13.140625" style="1008" customWidth="1"/>
    <col min="14842" max="14842" width="1" style="1008" customWidth="1"/>
    <col min="14843" max="14843" width="19.5703125" style="1008" customWidth="1"/>
    <col min="14844" max="14844" width="0.85546875" style="1008" customWidth="1"/>
    <col min="14845" max="14845" width="14.42578125" style="1008" customWidth="1"/>
    <col min="14846" max="14846" width="12.85546875" style="1008" customWidth="1"/>
    <col min="14847" max="14847" width="6.140625" style="1008" customWidth="1"/>
    <col min="14848" max="14849" width="11.42578125" style="1008"/>
    <col min="14850" max="14850" width="15.42578125" style="1008" customWidth="1"/>
    <col min="14851" max="15090" width="11.42578125" style="1008"/>
    <col min="15091" max="15091" width="2.28515625" style="1008" customWidth="1"/>
    <col min="15092" max="15092" width="2.7109375" style="1008" customWidth="1"/>
    <col min="15093" max="15093" width="2.42578125" style="1008" customWidth="1"/>
    <col min="15094" max="15094" width="17.7109375" style="1008" customWidth="1"/>
    <col min="15095" max="15095" width="1.5703125" style="1008" customWidth="1"/>
    <col min="15096" max="15096" width="6.42578125" style="1008" customWidth="1"/>
    <col min="15097" max="15097" width="13.140625" style="1008" customWidth="1"/>
    <col min="15098" max="15098" width="1" style="1008" customWidth="1"/>
    <col min="15099" max="15099" width="19.5703125" style="1008" customWidth="1"/>
    <col min="15100" max="15100" width="0.85546875" style="1008" customWidth="1"/>
    <col min="15101" max="15101" width="14.42578125" style="1008" customWidth="1"/>
    <col min="15102" max="15102" width="12.85546875" style="1008" customWidth="1"/>
    <col min="15103" max="15103" width="6.140625" style="1008" customWidth="1"/>
    <col min="15104" max="15105" width="11.42578125" style="1008"/>
    <col min="15106" max="15106" width="15.42578125" style="1008" customWidth="1"/>
    <col min="15107" max="15346" width="11.42578125" style="1008"/>
    <col min="15347" max="15347" width="2.28515625" style="1008" customWidth="1"/>
    <col min="15348" max="15348" width="2.7109375" style="1008" customWidth="1"/>
    <col min="15349" max="15349" width="2.42578125" style="1008" customWidth="1"/>
    <col min="15350" max="15350" width="17.7109375" style="1008" customWidth="1"/>
    <col min="15351" max="15351" width="1.5703125" style="1008" customWidth="1"/>
    <col min="15352" max="15352" width="6.42578125" style="1008" customWidth="1"/>
    <col min="15353" max="15353" width="13.140625" style="1008" customWidth="1"/>
    <col min="15354" max="15354" width="1" style="1008" customWidth="1"/>
    <col min="15355" max="15355" width="19.5703125" style="1008" customWidth="1"/>
    <col min="15356" max="15356" width="0.85546875" style="1008" customWidth="1"/>
    <col min="15357" max="15357" width="14.42578125" style="1008" customWidth="1"/>
    <col min="15358" max="15358" width="12.85546875" style="1008" customWidth="1"/>
    <col min="15359" max="15359" width="6.140625" style="1008" customWidth="1"/>
    <col min="15360" max="15361" width="11.42578125" style="1008"/>
    <col min="15362" max="15362" width="15.42578125" style="1008" customWidth="1"/>
    <col min="15363" max="15602" width="11.42578125" style="1008"/>
    <col min="15603" max="15603" width="2.28515625" style="1008" customWidth="1"/>
    <col min="15604" max="15604" width="2.7109375" style="1008" customWidth="1"/>
    <col min="15605" max="15605" width="2.42578125" style="1008" customWidth="1"/>
    <col min="15606" max="15606" width="17.7109375" style="1008" customWidth="1"/>
    <col min="15607" max="15607" width="1.5703125" style="1008" customWidth="1"/>
    <col min="15608" max="15608" width="6.42578125" style="1008" customWidth="1"/>
    <col min="15609" max="15609" width="13.140625" style="1008" customWidth="1"/>
    <col min="15610" max="15610" width="1" style="1008" customWidth="1"/>
    <col min="15611" max="15611" width="19.5703125" style="1008" customWidth="1"/>
    <col min="15612" max="15612" width="0.85546875" style="1008" customWidth="1"/>
    <col min="15613" max="15613" width="14.42578125" style="1008" customWidth="1"/>
    <col min="15614" max="15614" width="12.85546875" style="1008" customWidth="1"/>
    <col min="15615" max="15615" width="6.140625" style="1008" customWidth="1"/>
    <col min="15616" max="15617" width="11.42578125" style="1008"/>
    <col min="15618" max="15618" width="15.42578125" style="1008" customWidth="1"/>
    <col min="15619" max="15858" width="11.42578125" style="1008"/>
    <col min="15859" max="15859" width="2.28515625" style="1008" customWidth="1"/>
    <col min="15860" max="15860" width="2.7109375" style="1008" customWidth="1"/>
    <col min="15861" max="15861" width="2.42578125" style="1008" customWidth="1"/>
    <col min="15862" max="15862" width="17.7109375" style="1008" customWidth="1"/>
    <col min="15863" max="15863" width="1.5703125" style="1008" customWidth="1"/>
    <col min="15864" max="15864" width="6.42578125" style="1008" customWidth="1"/>
    <col min="15865" max="15865" width="13.140625" style="1008" customWidth="1"/>
    <col min="15866" max="15866" width="1" style="1008" customWidth="1"/>
    <col min="15867" max="15867" width="19.5703125" style="1008" customWidth="1"/>
    <col min="15868" max="15868" width="0.85546875" style="1008" customWidth="1"/>
    <col min="15869" max="15869" width="14.42578125" style="1008" customWidth="1"/>
    <col min="15870" max="15870" width="12.85546875" style="1008" customWidth="1"/>
    <col min="15871" max="15871" width="6.140625" style="1008" customWidth="1"/>
    <col min="15872" max="15873" width="11.42578125" style="1008"/>
    <col min="15874" max="15874" width="15.42578125" style="1008" customWidth="1"/>
    <col min="15875" max="16114" width="11.42578125" style="1008"/>
    <col min="16115" max="16115" width="2.28515625" style="1008" customWidth="1"/>
    <col min="16116" max="16116" width="2.7109375" style="1008" customWidth="1"/>
    <col min="16117" max="16117" width="2.42578125" style="1008" customWidth="1"/>
    <col min="16118" max="16118" width="17.7109375" style="1008" customWidth="1"/>
    <col min="16119" max="16119" width="1.5703125" style="1008" customWidth="1"/>
    <col min="16120" max="16120" width="6.42578125" style="1008" customWidth="1"/>
    <col min="16121" max="16121" width="13.140625" style="1008" customWidth="1"/>
    <col min="16122" max="16122" width="1" style="1008" customWidth="1"/>
    <col min="16123" max="16123" width="19.5703125" style="1008" customWidth="1"/>
    <col min="16124" max="16124" width="0.85546875" style="1008" customWidth="1"/>
    <col min="16125" max="16125" width="14.42578125" style="1008" customWidth="1"/>
    <col min="16126" max="16126" width="12.85546875" style="1008" customWidth="1"/>
    <col min="16127" max="16127" width="6.140625" style="1008" customWidth="1"/>
    <col min="16128" max="16129" width="11.42578125" style="1008"/>
    <col min="16130" max="16130" width="15.42578125" style="1008" customWidth="1"/>
    <col min="16131" max="16384" width="11.42578125" style="1008"/>
  </cols>
  <sheetData>
    <row r="1" spans="1:23" ht="9" hidden="1" customHeight="1" x14ac:dyDescent="0.2">
      <c r="A1" s="1412"/>
      <c r="B1" s="1413"/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3"/>
      <c r="W1" s="1414"/>
    </row>
    <row r="2" spans="1:23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0"/>
      <c r="U2" s="2870"/>
      <c r="V2" s="2870"/>
      <c r="W2" s="2871"/>
    </row>
    <row r="3" spans="1:23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3"/>
      <c r="U3" s="2873"/>
      <c r="V3" s="2873"/>
      <c r="W3" s="2874"/>
    </row>
    <row r="4" spans="1:23" ht="16.5" thickTop="1" x14ac:dyDescent="0.25">
      <c r="A4" s="2875" t="str">
        <f>"CERTIFICADO DE CALIBRACIÓN N° "&amp;"LSCD "&amp;'F-LSCD-012'!C25</f>
        <v>CERTIFICADO DE CALIBRACIÓN N° LSCD 029-2021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6"/>
      <c r="U4" s="2876"/>
      <c r="V4" s="2876"/>
      <c r="W4" s="2877"/>
    </row>
    <row r="5" spans="1:23" ht="15.75" x14ac:dyDescent="0.2">
      <c r="A5" s="2878" t="s">
        <v>253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79"/>
      <c r="U5" s="2879"/>
      <c r="V5" s="2879"/>
      <c r="W5" s="2880"/>
    </row>
    <row r="6" spans="1:23" ht="15" x14ac:dyDescent="0.2">
      <c r="A6" s="3102" t="s">
        <v>1119</v>
      </c>
      <c r="B6" s="3103"/>
      <c r="C6" s="3103"/>
      <c r="D6" s="3103"/>
      <c r="E6" s="3103"/>
      <c r="F6" s="3103"/>
      <c r="G6" s="3103"/>
      <c r="H6" s="3103"/>
      <c r="I6" s="3103"/>
      <c r="J6" s="3103"/>
      <c r="K6" s="3103"/>
      <c r="L6" s="3103"/>
      <c r="M6" s="3103"/>
      <c r="N6" s="3103"/>
      <c r="O6" s="3103"/>
      <c r="P6" s="3103"/>
      <c r="Q6" s="3103"/>
      <c r="R6" s="3103"/>
      <c r="S6" s="3103"/>
      <c r="T6" s="3103"/>
      <c r="U6" s="3103"/>
      <c r="V6" s="3103"/>
      <c r="W6" s="3104"/>
    </row>
    <row r="7" spans="1:23" ht="6.75" customHeight="1" x14ac:dyDescent="0.2">
      <c r="A7" s="1009"/>
      <c r="Q7" s="1428"/>
      <c r="R7" s="1428"/>
      <c r="S7" s="1428"/>
      <c r="T7" s="1428"/>
      <c r="U7" s="1428"/>
      <c r="V7" s="1975"/>
      <c r="W7" s="1011"/>
    </row>
    <row r="8" spans="1:23" ht="13.5" customHeight="1" x14ac:dyDescent="0.2">
      <c r="A8" s="1009"/>
      <c r="B8" s="166" t="s">
        <v>1105</v>
      </c>
      <c r="D8" s="1010" t="s">
        <v>218</v>
      </c>
      <c r="E8" s="1008" t="str">
        <f>'F-LSCD-012'!C7</f>
        <v>ALEPH SAC</v>
      </c>
      <c r="Q8" s="2949"/>
      <c r="R8" s="3123"/>
      <c r="S8" s="3123"/>
      <c r="T8" s="3123"/>
      <c r="U8" s="3123"/>
      <c r="V8" s="3123"/>
      <c r="W8" s="1996"/>
    </row>
    <row r="9" spans="1:23" x14ac:dyDescent="0.2">
      <c r="A9" s="1009"/>
      <c r="E9" s="3105" t="str">
        <f>'F-LSCD-012'!C8</f>
        <v>Av. Rafael Escardo 154</v>
      </c>
      <c r="F9" s="3105"/>
      <c r="G9" s="3105"/>
      <c r="H9" s="3105"/>
      <c r="I9" s="3105"/>
      <c r="J9" s="3105"/>
      <c r="K9" s="3105"/>
      <c r="L9" s="3105"/>
      <c r="M9" s="3105"/>
      <c r="N9" s="3105"/>
      <c r="O9" s="3105"/>
      <c r="Q9" s="2949"/>
      <c r="R9" s="3123"/>
      <c r="S9" s="3123"/>
      <c r="T9" s="3123"/>
      <c r="U9" s="3123"/>
      <c r="V9" s="3123"/>
      <c r="W9" s="1996"/>
    </row>
    <row r="10" spans="1:23" x14ac:dyDescent="0.2">
      <c r="A10" s="1009"/>
      <c r="E10" s="1008" t="str">
        <f>'F-LSCD-012'!I8&amp;", "&amp;'F-LSCD-012'!L8&amp;", "&amp;'F-LSCD-012'!P8&amp;", "&amp;'F-LSCD-012'!T8</f>
        <v>San Miguel, Lima, Lima, Perú</v>
      </c>
      <c r="Q10" s="2949"/>
      <c r="R10" s="3123"/>
      <c r="S10" s="3123"/>
      <c r="T10" s="3123"/>
      <c r="U10" s="3123"/>
      <c r="V10" s="3123"/>
      <c r="W10" s="1996"/>
    </row>
    <row r="11" spans="1:23" ht="6.75" customHeight="1" x14ac:dyDescent="0.2">
      <c r="A11" s="1009"/>
      <c r="Q11" s="2949"/>
      <c r="R11" s="3123"/>
      <c r="S11" s="3123"/>
      <c r="T11" s="3123"/>
      <c r="U11" s="3123"/>
      <c r="V11" s="3123"/>
      <c r="W11" s="1996"/>
    </row>
    <row r="12" spans="1:23" x14ac:dyDescent="0.2">
      <c r="A12" s="1009"/>
      <c r="B12" s="166" t="s">
        <v>1106</v>
      </c>
      <c r="D12" s="1010" t="s">
        <v>218</v>
      </c>
      <c r="E12" s="1012" t="str">
        <f>'F-LSCD-012'!C6</f>
        <v>OT 111-12925</v>
      </c>
      <c r="F12" s="1013"/>
      <c r="G12" s="1013"/>
      <c r="H12" s="1013"/>
      <c r="I12" s="1013"/>
      <c r="J12" s="1013"/>
      <c r="K12" s="1013"/>
      <c r="L12" s="1014"/>
      <c r="M12" s="1014"/>
      <c r="N12" s="1014"/>
      <c r="O12" s="1014"/>
      <c r="P12" s="1016"/>
      <c r="Q12" s="2949"/>
      <c r="R12" s="3123"/>
      <c r="S12" s="3123"/>
      <c r="T12" s="3123"/>
      <c r="U12" s="3123"/>
      <c r="V12" s="3123"/>
      <c r="W12" s="1996"/>
    </row>
    <row r="13" spans="1:23" ht="6.75" customHeight="1" x14ac:dyDescent="0.2">
      <c r="A13" s="1009"/>
      <c r="Q13" s="2949"/>
      <c r="R13" s="3123"/>
      <c r="S13" s="3123"/>
      <c r="T13" s="3123"/>
      <c r="U13" s="3123"/>
      <c r="V13" s="3123"/>
      <c r="W13" s="1996"/>
    </row>
    <row r="14" spans="1:23" ht="6.2" customHeight="1" x14ac:dyDescent="0.2">
      <c r="A14" s="1009"/>
      <c r="B14" s="3126" t="s">
        <v>1123</v>
      </c>
      <c r="C14" s="3126"/>
      <c r="D14" s="3125" t="s">
        <v>218</v>
      </c>
      <c r="E14" s="3124" t="s">
        <v>1134</v>
      </c>
      <c r="F14" s="3124"/>
      <c r="G14" s="3124"/>
      <c r="H14" s="3124"/>
      <c r="I14" s="3124"/>
      <c r="J14" s="3124"/>
      <c r="K14" s="3124"/>
      <c r="L14" s="3124"/>
      <c r="M14" s="3124"/>
      <c r="N14" s="3124"/>
      <c r="Q14" s="2949"/>
      <c r="R14" s="3123"/>
      <c r="S14" s="3123"/>
      <c r="T14" s="3123"/>
      <c r="U14" s="3123"/>
      <c r="V14" s="3123"/>
      <c r="W14" s="1996"/>
    </row>
    <row r="15" spans="1:23" ht="6.2" customHeight="1" x14ac:dyDescent="0.2">
      <c r="A15" s="1009"/>
      <c r="B15" s="3126"/>
      <c r="C15" s="3126"/>
      <c r="D15" s="3125"/>
      <c r="E15" s="3124"/>
      <c r="F15" s="3124"/>
      <c r="G15" s="3124"/>
      <c r="H15" s="3124"/>
      <c r="I15" s="3124"/>
      <c r="J15" s="3124"/>
      <c r="K15" s="3124"/>
      <c r="L15" s="3124"/>
      <c r="M15" s="3124"/>
      <c r="N15" s="3124"/>
      <c r="Q15" s="1766"/>
      <c r="R15" s="1796"/>
      <c r="S15" s="1796"/>
      <c r="T15" s="1796"/>
      <c r="U15" s="1796"/>
      <c r="V15" s="1796"/>
      <c r="W15" s="1996"/>
    </row>
    <row r="16" spans="1:23" ht="6.75" customHeight="1" x14ac:dyDescent="0.2">
      <c r="A16" s="1009"/>
      <c r="Q16" s="1994"/>
      <c r="R16" s="1995"/>
      <c r="S16" s="1995"/>
      <c r="T16" s="1995"/>
      <c r="U16" s="1995"/>
      <c r="V16" s="1995"/>
      <c r="W16" s="1011"/>
    </row>
    <row r="17" spans="1:23" ht="12.75" customHeight="1" x14ac:dyDescent="0.2">
      <c r="A17" s="1009"/>
      <c r="B17" s="166" t="s">
        <v>1124</v>
      </c>
      <c r="D17" s="166" t="s">
        <v>218</v>
      </c>
      <c r="E17" s="2883" t="str">
        <f>'F-LSCD-012'!C9</f>
        <v>Monitor de radiación (digital)</v>
      </c>
      <c r="F17" s="2883"/>
      <c r="G17" s="2883"/>
      <c r="H17" s="2883"/>
      <c r="I17" s="2883"/>
      <c r="J17" s="2883"/>
      <c r="K17" s="2883"/>
      <c r="L17" s="2883"/>
      <c r="M17" s="2883"/>
      <c r="N17" s="2883"/>
      <c r="O17" s="2883"/>
      <c r="P17" s="1017"/>
      <c r="Q17" s="1986"/>
      <c r="R17" s="1953"/>
      <c r="S17" s="1953"/>
      <c r="T17" s="1953"/>
      <c r="U17" s="1953"/>
      <c r="V17" s="1953"/>
      <c r="W17" s="1990"/>
    </row>
    <row r="18" spans="1:23" ht="11.85" customHeight="1" x14ac:dyDescent="0.2">
      <c r="A18" s="1009"/>
      <c r="B18" s="1010"/>
      <c r="D18" s="1010"/>
      <c r="E18" s="2884" t="str">
        <f>IF('F-LSCD-012'!C13="-","Marca monitor: "&amp;'F-LSCD-012'!C10,"Marca monitor: "&amp;'F-LSCD-012'!C10&amp;" / Marca sonda: "&amp;'F-LSCD-012'!C13)</f>
        <v>Marca monitor: MGP</v>
      </c>
      <c r="F18" s="2884"/>
      <c r="G18" s="2884"/>
      <c r="H18" s="2884"/>
      <c r="I18" s="2884"/>
      <c r="J18" s="2884"/>
      <c r="K18" s="2884"/>
      <c r="L18" s="2884"/>
      <c r="M18" s="2884"/>
      <c r="N18" s="2884"/>
      <c r="O18" s="2884"/>
      <c r="P18" s="1017"/>
      <c r="Q18" s="1986"/>
      <c r="R18" s="1953"/>
      <c r="S18" s="1953"/>
      <c r="T18" s="1953"/>
      <c r="U18" s="1953"/>
      <c r="V18" s="1953"/>
      <c r="W18" s="1990"/>
    </row>
    <row r="19" spans="1:23" ht="12" customHeight="1" x14ac:dyDescent="0.2">
      <c r="A19" s="1009"/>
      <c r="B19" s="1010"/>
      <c r="D19" s="1010"/>
      <c r="E19" s="2883" t="str">
        <f>IF('F-LSCD-012'!C13="-","Modelo monitor: "&amp;'F-LSCD-012'!C11,"Modelo monitor: "&amp;'F-LSCD-012'!C11&amp;" / Modelo sonda: "&amp;'F-LSCD-012'!C14)</f>
        <v>Modelo monitor: DMC 2000S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2883"/>
      <c r="P19" s="1017"/>
      <c r="Q19" s="1986"/>
      <c r="R19" s="1953"/>
      <c r="S19" s="1953"/>
      <c r="T19" s="1953"/>
      <c r="U19" s="1953"/>
      <c r="V19" s="1953"/>
      <c r="W19" s="1990"/>
    </row>
    <row r="20" spans="1:23" ht="12" customHeight="1" x14ac:dyDescent="0.2">
      <c r="A20" s="1009"/>
      <c r="B20" s="1010"/>
      <c r="D20" s="1010"/>
      <c r="E20" s="2883" t="str">
        <f>IF('F-LSCD-012'!C13="-","Serie monitor: "&amp;'F-LSCD-012'!C12,"Serie monitor: "&amp;'F-LSCD-012'!C12&amp;" / Serie sonda: "&amp;'F-LSCD-012'!C15)</f>
        <v>Serie monitor: 690384T</v>
      </c>
      <c r="F20" s="2883"/>
      <c r="G20" s="2883"/>
      <c r="H20" s="2883"/>
      <c r="I20" s="2883"/>
      <c r="J20" s="2883"/>
      <c r="K20" s="2883"/>
      <c r="L20" s="2883"/>
      <c r="M20" s="2883"/>
      <c r="N20" s="2883"/>
      <c r="O20" s="2883"/>
      <c r="P20" s="1017"/>
      <c r="Q20" s="1986"/>
      <c r="R20" s="1953"/>
      <c r="S20" s="1953"/>
      <c r="T20" s="1953"/>
      <c r="U20" s="1953"/>
      <c r="V20" s="1953"/>
      <c r="W20" s="1990"/>
    </row>
    <row r="21" spans="1:23" ht="6.75" customHeight="1" x14ac:dyDescent="0.2">
      <c r="A21" s="1009"/>
      <c r="B21" s="1010"/>
      <c r="D21" s="1010"/>
      <c r="E21" s="2883"/>
      <c r="F21" s="2883"/>
      <c r="G21" s="2883"/>
      <c r="H21" s="2883"/>
      <c r="I21" s="2883"/>
      <c r="J21" s="2883"/>
      <c r="K21" s="2883"/>
      <c r="L21" s="2883"/>
      <c r="M21" s="2883"/>
      <c r="N21" s="2883"/>
      <c r="O21" s="2883"/>
      <c r="P21" s="1017"/>
      <c r="Q21" s="1986"/>
      <c r="R21" s="1953"/>
      <c r="S21" s="1953"/>
      <c r="T21" s="1953"/>
      <c r="U21" s="1953"/>
      <c r="V21" s="1953"/>
      <c r="W21" s="1990"/>
    </row>
    <row r="22" spans="1:23" x14ac:dyDescent="0.2">
      <c r="A22" s="1009"/>
      <c r="B22" s="175" t="s">
        <v>1125</v>
      </c>
      <c r="D22" s="1008" t="s">
        <v>218</v>
      </c>
      <c r="E22" s="2908" t="str">
        <f>'F-LSCD-012'!C19</f>
        <v>Campo de radiación calibrado usando un fantoma, según ISO 4037-3 (2019), aplicado al PROC-LSCD-012 Calibración de dosímetros personales (versión 05)</v>
      </c>
      <c r="F22" s="2908"/>
      <c r="G22" s="2908"/>
      <c r="H22" s="2908"/>
      <c r="I22" s="2908"/>
      <c r="J22" s="2908"/>
      <c r="K22" s="2908"/>
      <c r="L22" s="2908"/>
      <c r="M22" s="2908"/>
      <c r="N22" s="2908"/>
      <c r="O22" s="2908"/>
      <c r="P22" s="1021"/>
      <c r="Q22" s="1986"/>
      <c r="R22" s="1953"/>
      <c r="S22" s="1953"/>
      <c r="T22" s="1953"/>
      <c r="U22" s="1953"/>
      <c r="V22" s="1953"/>
      <c r="W22" s="1990"/>
    </row>
    <row r="23" spans="1:23" x14ac:dyDescent="0.2">
      <c r="A23" s="1009"/>
      <c r="B23" s="175"/>
      <c r="E23" s="2908"/>
      <c r="F23" s="2908"/>
      <c r="G23" s="2908"/>
      <c r="H23" s="2908"/>
      <c r="I23" s="2908"/>
      <c r="J23" s="2908"/>
      <c r="K23" s="2908"/>
      <c r="L23" s="2908"/>
      <c r="M23" s="2908"/>
      <c r="N23" s="2908"/>
      <c r="O23" s="2908"/>
      <c r="P23" s="1021"/>
      <c r="Q23" s="1986"/>
      <c r="R23" s="1953"/>
      <c r="S23" s="1953"/>
      <c r="T23" s="1953"/>
      <c r="U23" s="1953"/>
      <c r="V23" s="1953"/>
      <c r="W23" s="1990"/>
    </row>
    <row r="24" spans="1:23" ht="11.85" customHeight="1" x14ac:dyDescent="0.2">
      <c r="A24" s="1009"/>
      <c r="E24" s="2908"/>
      <c r="F24" s="2908"/>
      <c r="G24" s="2908"/>
      <c r="H24" s="2908"/>
      <c r="I24" s="2908"/>
      <c r="J24" s="2908"/>
      <c r="K24" s="2908"/>
      <c r="L24" s="2908"/>
      <c r="M24" s="2908"/>
      <c r="N24" s="2908"/>
      <c r="O24" s="2908"/>
      <c r="P24" s="1021"/>
      <c r="Q24" s="1986"/>
      <c r="R24" s="1953"/>
      <c r="S24" s="1953"/>
      <c r="T24" s="1953"/>
      <c r="U24" s="1953"/>
      <c r="V24" s="1953"/>
      <c r="W24" s="1990"/>
    </row>
    <row r="25" spans="1:23" ht="6.7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1021"/>
      <c r="Q25" s="1986"/>
      <c r="R25" s="1953"/>
      <c r="S25" s="1953"/>
      <c r="T25" s="1953"/>
      <c r="U25" s="1953"/>
      <c r="V25" s="1953"/>
      <c r="W25" s="1990"/>
    </row>
    <row r="26" spans="1:23" ht="12.75" customHeight="1" x14ac:dyDescent="0.2">
      <c r="A26" s="1009"/>
      <c r="B26" s="1682" t="s">
        <v>1126</v>
      </c>
      <c r="C26" s="1272"/>
      <c r="D26" s="1280" t="s">
        <v>218</v>
      </c>
      <c r="E26" s="2908" t="str">
        <f>'F-LSCD-012'!C20</f>
        <v>Cámara de ionización patrón de 1 L , marca: PTW; modelo: TN32002; serie: 000568; Reporte de calibración de Kerma en aire DG: 13580-21 con fecha 2021-04-01 (NIST); trazable al NIST.</v>
      </c>
      <c r="F26" s="2908"/>
      <c r="G26" s="2908"/>
      <c r="H26" s="2908"/>
      <c r="I26" s="2908"/>
      <c r="J26" s="2908"/>
      <c r="K26" s="2908"/>
      <c r="L26" s="2908"/>
      <c r="M26" s="2908"/>
      <c r="N26" s="2908"/>
      <c r="O26" s="2908"/>
      <c r="P26" s="1023"/>
      <c r="Q26" s="1986"/>
      <c r="R26" s="1953"/>
      <c r="S26" s="1953"/>
      <c r="T26" s="1953"/>
      <c r="U26" s="1953"/>
      <c r="V26" s="1953"/>
      <c r="W26" s="1990"/>
    </row>
    <row r="27" spans="1:23" ht="12.75" customHeight="1" x14ac:dyDescent="0.2">
      <c r="A27" s="1009"/>
      <c r="B27" s="1682"/>
      <c r="C27" s="1272"/>
      <c r="D27" s="1280"/>
      <c r="E27" s="2908"/>
      <c r="F27" s="2908"/>
      <c r="G27" s="2908"/>
      <c r="H27" s="2908"/>
      <c r="I27" s="2908"/>
      <c r="J27" s="2908"/>
      <c r="K27" s="2908"/>
      <c r="L27" s="2908"/>
      <c r="M27" s="2908"/>
      <c r="N27" s="2908"/>
      <c r="O27" s="2908"/>
      <c r="P27" s="1023"/>
      <c r="Q27" s="1987"/>
      <c r="R27" s="1988"/>
      <c r="S27" s="1988"/>
      <c r="T27" s="1988"/>
      <c r="U27" s="1988"/>
      <c r="V27" s="1988"/>
      <c r="W27" s="1989"/>
    </row>
    <row r="28" spans="1:23" ht="12.75" customHeight="1" x14ac:dyDescent="0.2">
      <c r="A28" s="1009"/>
      <c r="B28" s="1682"/>
      <c r="C28" s="1272"/>
      <c r="D28" s="1280"/>
      <c r="E28" s="2908"/>
      <c r="F28" s="2908"/>
      <c r="G28" s="2908"/>
      <c r="H28" s="2908"/>
      <c r="I28" s="2908"/>
      <c r="J28" s="2908"/>
      <c r="K28" s="2908"/>
      <c r="L28" s="2908"/>
      <c r="M28" s="2908"/>
      <c r="N28" s="2908"/>
      <c r="O28" s="2908"/>
      <c r="P28" s="1023"/>
      <c r="Q28" s="1986" t="s">
        <v>1138</v>
      </c>
      <c r="R28" s="1953"/>
      <c r="S28" s="1953"/>
      <c r="T28" s="1953"/>
      <c r="U28" s="1953"/>
      <c r="V28" s="1953"/>
      <c r="W28" s="1990"/>
    </row>
    <row r="29" spans="1:23" ht="12.75" customHeight="1" x14ac:dyDescent="0.2">
      <c r="A29" s="1009"/>
      <c r="B29" s="1682"/>
      <c r="C29" s="1272"/>
      <c r="D29" s="1280"/>
      <c r="E29" s="2908"/>
      <c r="F29" s="2908"/>
      <c r="G29" s="2908"/>
      <c r="H29" s="2908"/>
      <c r="I29" s="2908"/>
      <c r="J29" s="2908"/>
      <c r="K29" s="2908"/>
      <c r="L29" s="2908"/>
      <c r="M29" s="2908"/>
      <c r="N29" s="2908"/>
      <c r="O29" s="2908"/>
      <c r="P29" s="1023"/>
      <c r="Q29" s="1986"/>
      <c r="R29" s="1953"/>
      <c r="S29" s="1953"/>
      <c r="T29" s="1953"/>
      <c r="U29" s="1953"/>
      <c r="V29" s="1953"/>
      <c r="W29" s="1990"/>
    </row>
    <row r="30" spans="1:23" ht="4.5" customHeight="1" x14ac:dyDescent="0.2">
      <c r="A30" s="1009"/>
      <c r="E30" s="1021"/>
      <c r="F30" s="1021"/>
      <c r="G30" s="1021"/>
      <c r="H30" s="1021"/>
      <c r="I30" s="1021"/>
      <c r="J30" s="1021"/>
      <c r="K30" s="1021"/>
      <c r="L30" s="1021"/>
      <c r="M30" s="1021"/>
      <c r="N30" s="1021"/>
      <c r="O30" s="1021"/>
      <c r="P30" s="1021"/>
      <c r="Q30" s="1986"/>
      <c r="R30" s="1953"/>
      <c r="S30" s="1953"/>
      <c r="T30" s="1953"/>
      <c r="U30" s="1953"/>
      <c r="V30" s="1953"/>
      <c r="W30" s="1990"/>
    </row>
    <row r="31" spans="1:23" ht="14.25" customHeight="1" x14ac:dyDescent="0.2">
      <c r="A31" s="1009"/>
      <c r="B31" s="166" t="s">
        <v>1127</v>
      </c>
      <c r="D31" s="1010"/>
      <c r="Q31" s="1986"/>
      <c r="R31" s="1953"/>
      <c r="S31" s="1953"/>
      <c r="T31" s="1953"/>
      <c r="U31" s="1953"/>
      <c r="V31" s="1953"/>
      <c r="W31" s="1990"/>
    </row>
    <row r="32" spans="1:23" ht="2.85" customHeight="1" x14ac:dyDescent="0.2">
      <c r="A32" s="1009"/>
      <c r="E32" s="2909"/>
      <c r="F32" s="2909"/>
      <c r="G32" s="2909"/>
      <c r="H32" s="2909"/>
      <c r="I32" s="2909"/>
      <c r="J32" s="2909"/>
      <c r="K32" s="2909"/>
      <c r="L32" s="2909"/>
      <c r="M32" s="2909"/>
      <c r="N32" s="2909"/>
      <c r="O32" s="2909"/>
      <c r="Q32" s="1986"/>
      <c r="R32" s="1953"/>
      <c r="S32" s="1953"/>
      <c r="T32" s="1953"/>
      <c r="U32" s="1953"/>
      <c r="V32" s="1953"/>
      <c r="W32" s="1990"/>
    </row>
    <row r="33" spans="1:23" ht="12" customHeight="1" x14ac:dyDescent="0.2">
      <c r="A33" s="1009"/>
      <c r="C33" s="1272" t="s">
        <v>203</v>
      </c>
      <c r="D33" s="1022" t="s">
        <v>218</v>
      </c>
      <c r="E33" s="1275" t="str">
        <f>'F-LSCD-012'!C21</f>
        <v>S-Cs (ISO 4037-3)</v>
      </c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014"/>
      <c r="Q33" s="1986"/>
      <c r="R33" s="1953"/>
      <c r="S33" s="1953"/>
      <c r="T33" s="1953"/>
      <c r="U33" s="1953"/>
      <c r="V33" s="1953"/>
      <c r="W33" s="1990"/>
    </row>
    <row r="34" spans="1:23" ht="12" customHeight="1" x14ac:dyDescent="0.2">
      <c r="A34" s="1009"/>
      <c r="C34" s="181" t="s">
        <v>138</v>
      </c>
      <c r="D34" s="227" t="s">
        <v>218</v>
      </c>
      <c r="E34" s="2910" t="str">
        <f>'F-LSCD-012'!I24</f>
        <v>Dosis equivalente personal, Hp(10)</v>
      </c>
      <c r="F34" s="2910"/>
      <c r="G34" s="2910"/>
      <c r="H34" s="2910"/>
      <c r="I34" s="2910"/>
      <c r="J34" s="2910"/>
      <c r="K34" s="2910"/>
      <c r="L34" s="2910"/>
      <c r="M34" s="2910"/>
      <c r="N34" s="2910"/>
      <c r="O34" s="2910"/>
      <c r="P34" s="1014"/>
      <c r="Q34" s="1986"/>
      <c r="R34" s="1953"/>
      <c r="S34" s="1953"/>
      <c r="T34" s="1953"/>
      <c r="U34" s="1953"/>
      <c r="V34" s="1953"/>
      <c r="W34" s="1990"/>
    </row>
    <row r="35" spans="1:23" ht="12" customHeight="1" x14ac:dyDescent="0.2">
      <c r="A35" s="1009"/>
      <c r="C35" s="181" t="s">
        <v>1110</v>
      </c>
      <c r="D35" s="227" t="s">
        <v>218</v>
      </c>
      <c r="E35" s="3096" t="str">
        <f>IF('F-LSCD-012'!D30="-","Inicio: "&amp;FIXED('F-LSCD-012'!D28,1)&amp;" °C ; "&amp;"Final: "&amp;FIXED('F-LSCD-012'!D29,1)&amp;" °C","Inicio: "&amp;FIXED('F-LSCD-012'!D28,1)&amp;" °C ; "&amp;"Final: "&amp;FIXED('F-LSCD-012'!D31,1)&amp;" °C")</f>
        <v>Inicio: 20.2 °C ; Final: 20.3 °C</v>
      </c>
      <c r="F35" s="3096"/>
      <c r="G35" s="3096"/>
      <c r="H35" s="3096"/>
      <c r="I35" s="3096"/>
      <c r="J35" s="3096"/>
      <c r="K35" s="3096"/>
      <c r="L35" s="3096"/>
      <c r="M35" s="1410"/>
      <c r="N35" s="1410"/>
      <c r="O35" s="1410"/>
      <c r="P35" s="1014"/>
      <c r="Q35" s="1986"/>
      <c r="R35" s="1953"/>
      <c r="S35" s="1953"/>
      <c r="T35" s="1953"/>
      <c r="U35" s="1953"/>
      <c r="V35" s="1953"/>
      <c r="W35" s="1990"/>
    </row>
    <row r="36" spans="1:23" ht="12" customHeight="1" x14ac:dyDescent="0.2">
      <c r="A36" s="1009"/>
      <c r="C36" s="181" t="s">
        <v>1108</v>
      </c>
      <c r="D36" s="227" t="s">
        <v>218</v>
      </c>
      <c r="E36" s="3096" t="str">
        <f>IF('F-LSCD-012'!H30="-","Inicio: "&amp;FIXED('F-LSCD-012'!H28,1)&amp;" hPa ; "&amp;"Final: "&amp;FIXED('F-LSCD-012'!H29,1)&amp;" hPa","Inicio: "&amp;FIXED('F-LSCD-012'!H28,1)&amp;" hPa ; "&amp;"Final: "&amp;FIXED('F-LSCD-012'!H31,1)&amp;" hPa")</f>
        <v>Inicio: 1,010.0 hPa ; Final: 1,010.2 hPa</v>
      </c>
      <c r="F36" s="3096"/>
      <c r="G36" s="3096"/>
      <c r="H36" s="3096"/>
      <c r="I36" s="3096"/>
      <c r="J36" s="3096"/>
      <c r="K36" s="3096"/>
      <c r="L36" s="3096"/>
      <c r="M36" s="1410"/>
      <c r="N36" s="1410"/>
      <c r="O36" s="1410"/>
      <c r="P36" s="1014"/>
      <c r="Q36" s="1986"/>
      <c r="R36" s="1953"/>
      <c r="S36" s="1953"/>
      <c r="T36" s="1953"/>
      <c r="U36" s="1953"/>
      <c r="V36" s="1953"/>
      <c r="W36" s="1990"/>
    </row>
    <row r="37" spans="1:23" ht="11.85" customHeight="1" x14ac:dyDescent="0.2">
      <c r="A37" s="1009"/>
      <c r="C37" s="181" t="s">
        <v>1109</v>
      </c>
      <c r="D37" s="227" t="s">
        <v>218</v>
      </c>
      <c r="E37" s="3096" t="str">
        <f>IF('F-LSCD-012'!F30="-","Inicio: "&amp;'F-LSCD-012'!F28&amp;" % ; "&amp;"Final: "&amp;'F-LSCD-012'!F29&amp;" %","Inicio: "&amp;'F-LSCD-012'!F28&amp;" % ; "&amp;"Final: "&amp;'F-LSCD-012'!F31&amp;" %")</f>
        <v>Inicio: 52 % ; Final: 53 %</v>
      </c>
      <c r="F37" s="3096"/>
      <c r="G37" s="3096"/>
      <c r="H37" s="3096"/>
      <c r="I37" s="3096"/>
      <c r="J37" s="3096"/>
      <c r="K37" s="3096"/>
      <c r="L37" s="3096"/>
      <c r="M37" s="1410"/>
      <c r="N37" s="1410"/>
      <c r="O37" s="1410"/>
      <c r="P37" s="1014"/>
      <c r="Q37" s="1986"/>
      <c r="R37" s="1953"/>
      <c r="S37" s="1953"/>
      <c r="T37" s="1953"/>
      <c r="U37" s="1953"/>
      <c r="V37" s="1953"/>
      <c r="W37" s="1990"/>
    </row>
    <row r="38" spans="1:23" ht="12.95" customHeight="1" x14ac:dyDescent="0.2">
      <c r="A38" s="1009"/>
      <c r="C38" s="3128" t="s">
        <v>277</v>
      </c>
      <c r="D38" s="3129" t="s">
        <v>218</v>
      </c>
      <c r="E38" s="3127" t="str">
        <f>'F-LSCD-012'!C22</f>
        <v xml:space="preserve">Eje longitudinal del detector paralelo al eje central del haz de radiación
</v>
      </c>
      <c r="F38" s="3127"/>
      <c r="G38" s="3127"/>
      <c r="H38" s="3127"/>
      <c r="I38" s="3127"/>
      <c r="J38" s="3127"/>
      <c r="K38" s="3127"/>
      <c r="L38" s="3127"/>
      <c r="M38" s="3127"/>
      <c r="N38" s="3127"/>
      <c r="O38" s="1991"/>
      <c r="P38" s="1014"/>
      <c r="Q38" s="1986"/>
      <c r="R38" s="1953"/>
      <c r="S38" s="1953"/>
      <c r="T38" s="1953"/>
      <c r="U38" s="1953"/>
      <c r="V38" s="1953"/>
      <c r="W38" s="1990"/>
    </row>
    <row r="39" spans="1:23" ht="12.95" customHeight="1" x14ac:dyDescent="0.2">
      <c r="A39" s="1009"/>
      <c r="C39" s="3128"/>
      <c r="D39" s="3129"/>
      <c r="E39" s="3127"/>
      <c r="F39" s="3127"/>
      <c r="G39" s="3127"/>
      <c r="H39" s="3127"/>
      <c r="I39" s="3127"/>
      <c r="J39" s="3127"/>
      <c r="K39" s="3127"/>
      <c r="L39" s="3127"/>
      <c r="M39" s="3127"/>
      <c r="N39" s="3127"/>
      <c r="O39" s="1973"/>
      <c r="P39" s="1014"/>
      <c r="Q39" s="1986"/>
      <c r="R39" s="1953"/>
      <c r="S39" s="1953"/>
      <c r="T39" s="1953"/>
      <c r="U39" s="1953"/>
      <c r="V39" s="1953"/>
      <c r="W39" s="1990"/>
    </row>
    <row r="40" spans="1:23" ht="12.75" customHeight="1" x14ac:dyDescent="0.2">
      <c r="A40" s="1009"/>
      <c r="C40" s="1273" t="s">
        <v>231</v>
      </c>
      <c r="D40" s="1280" t="s">
        <v>218</v>
      </c>
      <c r="E40" s="2913" t="str">
        <f>'F-LSCD-012'!C23</f>
        <v>Centro geométrico del volumen sensible del detector</v>
      </c>
      <c r="F40" s="2913"/>
      <c r="G40" s="2913"/>
      <c r="H40" s="2913"/>
      <c r="I40" s="2913"/>
      <c r="J40" s="2913"/>
      <c r="K40" s="2913"/>
      <c r="L40" s="2913"/>
      <c r="M40" s="2913"/>
      <c r="N40" s="2913"/>
      <c r="O40" s="2913"/>
      <c r="P40" s="1014"/>
      <c r="Q40" s="1766"/>
      <c r="R40" s="225"/>
      <c r="S40" s="225"/>
      <c r="T40" s="225"/>
      <c r="U40" s="225"/>
      <c r="V40" s="225"/>
      <c r="W40" s="1011"/>
    </row>
    <row r="41" spans="1:23" ht="4.5" customHeight="1" x14ac:dyDescent="0.2">
      <c r="A41" s="1009"/>
      <c r="C41" s="1273"/>
      <c r="D41" s="1280"/>
      <c r="E41" s="1672"/>
      <c r="F41" s="1672"/>
      <c r="G41" s="1672"/>
      <c r="H41" s="1672"/>
      <c r="I41" s="1672"/>
      <c r="J41" s="1672"/>
      <c r="K41" s="1672"/>
      <c r="L41" s="1672"/>
      <c r="M41" s="1672"/>
      <c r="N41" s="1672"/>
      <c r="O41" s="1672"/>
      <c r="P41" s="1014"/>
      <c r="Q41" s="1766"/>
      <c r="R41" s="225"/>
      <c r="S41" s="225"/>
      <c r="T41" s="225"/>
      <c r="U41" s="225"/>
      <c r="V41" s="225"/>
      <c r="W41" s="1011"/>
    </row>
    <row r="42" spans="1:23" x14ac:dyDescent="0.2">
      <c r="A42" s="1009"/>
      <c r="B42" s="166" t="s">
        <v>1128</v>
      </c>
      <c r="C42" s="170"/>
      <c r="D42" s="1022" t="s">
        <v>218</v>
      </c>
      <c r="E42" s="3095">
        <f>'F-LSCD-012'!C18</f>
        <v>44336</v>
      </c>
      <c r="F42" s="3095"/>
      <c r="G42" s="3095"/>
      <c r="H42" s="1278"/>
      <c r="I42" s="1278"/>
      <c r="J42" s="1278"/>
      <c r="K42" s="1278"/>
      <c r="L42" s="1279"/>
      <c r="M42" s="1279"/>
      <c r="N42" s="1279"/>
      <c r="O42" s="1279"/>
      <c r="P42" s="1027"/>
      <c r="Q42" s="1766"/>
      <c r="R42" s="225"/>
      <c r="S42" s="225"/>
      <c r="T42" s="225"/>
      <c r="U42" s="225"/>
      <c r="V42" s="225"/>
      <c r="W42" s="1011"/>
    </row>
    <row r="43" spans="1:23" ht="6.75" customHeight="1" x14ac:dyDescent="0.2">
      <c r="A43" s="1009"/>
      <c r="B43" s="166"/>
      <c r="C43" s="182"/>
      <c r="D43" s="1022"/>
      <c r="E43" s="1673"/>
      <c r="F43" s="1673"/>
      <c r="G43" s="1673"/>
      <c r="H43" s="1276"/>
      <c r="I43" s="1276"/>
      <c r="J43" s="1276"/>
      <c r="K43" s="1276"/>
      <c r="L43" s="1277"/>
      <c r="M43" s="1275"/>
      <c r="N43" s="1275"/>
      <c r="O43" s="1275"/>
      <c r="P43" s="1014"/>
      <c r="Q43" s="1766"/>
      <c r="R43" s="225"/>
      <c r="S43" s="225"/>
      <c r="T43" s="225"/>
      <c r="U43" s="225"/>
      <c r="V43" s="225"/>
      <c r="W43" s="1011"/>
    </row>
    <row r="44" spans="1:23" x14ac:dyDescent="0.2">
      <c r="A44" s="1009"/>
      <c r="B44" s="166" t="s">
        <v>1129</v>
      </c>
      <c r="C44" s="1272"/>
      <c r="D44" s="1022" t="s">
        <v>218</v>
      </c>
      <c r="E44" s="3095">
        <f>'F-LSCD-012'!C26</f>
        <v>44336</v>
      </c>
      <c r="F44" s="3095"/>
      <c r="G44" s="3095"/>
      <c r="H44" s="1278"/>
      <c r="I44" s="1278"/>
      <c r="J44" s="1278"/>
      <c r="K44" s="1278"/>
      <c r="L44" s="1279"/>
      <c r="M44" s="1279"/>
      <c r="N44" s="1279"/>
      <c r="O44" s="1279"/>
      <c r="P44" s="1027"/>
      <c r="Q44" s="1766"/>
      <c r="R44" s="225"/>
      <c r="S44" s="225"/>
      <c r="T44" s="225"/>
      <c r="U44" s="225"/>
      <c r="V44" s="225"/>
      <c r="W44" s="1011"/>
    </row>
    <row r="45" spans="1:23" ht="6.75" customHeight="1" x14ac:dyDescent="0.25">
      <c r="A45" s="1009"/>
      <c r="B45" s="1010"/>
      <c r="D45" s="1028"/>
      <c r="E45" s="1028"/>
      <c r="H45" s="1026"/>
      <c r="W45" s="1011"/>
    </row>
    <row r="46" spans="1:23" ht="15" customHeight="1" x14ac:dyDescent="0.2">
      <c r="A46" s="1009"/>
      <c r="B46" s="166" t="s">
        <v>1130</v>
      </c>
      <c r="C46" s="1010"/>
      <c r="D46" s="1029"/>
      <c r="E46" s="1029"/>
      <c r="F46" s="1010"/>
      <c r="G46" s="1010"/>
      <c r="H46" s="1010"/>
      <c r="I46" s="1010"/>
      <c r="J46" s="1010"/>
      <c r="K46" s="1010"/>
      <c r="W46" s="1011"/>
    </row>
    <row r="47" spans="1:23" ht="2.85" customHeight="1" x14ac:dyDescent="0.2">
      <c r="A47" s="1009"/>
      <c r="D47" s="1028"/>
      <c r="E47" s="1030"/>
      <c r="W47" s="1011"/>
    </row>
    <row r="48" spans="1:23" ht="15" customHeight="1" x14ac:dyDescent="0.2">
      <c r="A48" s="1009"/>
      <c r="C48" s="2889" t="str">
        <f>IF('F-LSCD-012'!I24="Tasa de dosis equivalente ambiental, H*(10)","VCV de la tasa de dosis equivalente ambiental H*(10)",IF('F-LSCD-012'!I24="Dosis equivalente personal, Hp(10)","VCV de la dosis equivalente personal Hp(10) (mSv)",IF('F-LSCD-012'!I24="Dosis equivalente personal, Hp(0,07)","VCV de la dosis equivalente personal Hp(0,07) (mSv)",IF('F-LSCD-012'!I24="Dosis absorbida, D(10)","VCV de la dosis absorbida D(10) (mGy)"))))</f>
        <v>VCV de la dosis equivalente personal Hp(10) (mSv)</v>
      </c>
      <c r="D48" s="2890"/>
      <c r="E48" s="2893" t="s">
        <v>799</v>
      </c>
      <c r="F48" s="2894"/>
      <c r="G48" s="2894"/>
      <c r="H48" s="2895"/>
      <c r="I48" s="2866" t="s">
        <v>800</v>
      </c>
      <c r="J48" s="2867"/>
      <c r="K48" s="2867"/>
      <c r="L48" s="2868"/>
      <c r="M48" s="2853" t="s">
        <v>1111</v>
      </c>
      <c r="N48" s="2868"/>
      <c r="O48" s="2940" t="s">
        <v>259</v>
      </c>
      <c r="P48" s="2941"/>
      <c r="Q48" s="2942"/>
      <c r="R48" s="2967" t="s">
        <v>6</v>
      </c>
      <c r="S48" s="214"/>
      <c r="T48" s="214"/>
      <c r="W48" s="1011"/>
    </row>
    <row r="49" spans="1:23" ht="15" customHeight="1" x14ac:dyDescent="0.2">
      <c r="A49" s="1009"/>
      <c r="C49" s="2891"/>
      <c r="D49" s="2892"/>
      <c r="E49" s="2853" t="s">
        <v>798</v>
      </c>
      <c r="F49" s="2854"/>
      <c r="G49" s="2854"/>
      <c r="H49" s="2857"/>
      <c r="I49" s="2853" t="s">
        <v>798</v>
      </c>
      <c r="J49" s="2854"/>
      <c r="K49" s="2854"/>
      <c r="L49" s="2857"/>
      <c r="M49" s="2896"/>
      <c r="N49" s="2897"/>
      <c r="O49" s="3099"/>
      <c r="P49" s="3106"/>
      <c r="Q49" s="3101"/>
      <c r="R49" s="3092"/>
      <c r="S49" s="214"/>
      <c r="T49" s="214"/>
      <c r="W49" s="1011"/>
    </row>
    <row r="50" spans="1:23" ht="24" customHeight="1" x14ac:dyDescent="0.2">
      <c r="A50" s="1009"/>
      <c r="C50" s="2936"/>
      <c r="D50" s="2937"/>
      <c r="E50" s="2855"/>
      <c r="F50" s="2856"/>
      <c r="G50" s="2856"/>
      <c r="H50" s="2858"/>
      <c r="I50" s="2855"/>
      <c r="J50" s="2856"/>
      <c r="K50" s="2856"/>
      <c r="L50" s="2858"/>
      <c r="M50" s="2938"/>
      <c r="N50" s="2939"/>
      <c r="O50" s="2943"/>
      <c r="P50" s="2944"/>
      <c r="Q50" s="2945"/>
      <c r="R50" s="2968"/>
      <c r="S50" s="3122" t="s">
        <v>117</v>
      </c>
      <c r="T50" s="3094"/>
      <c r="U50" s="1031"/>
      <c r="V50" s="1031"/>
      <c r="W50" s="1011"/>
    </row>
    <row r="51" spans="1:23" hidden="1" x14ac:dyDescent="0.2">
      <c r="A51" s="1009"/>
      <c r="C51" s="3080" t="str">
        <f>IF('F-LSCD-012'!A34="-","-",FIXED('F-LSCD-012'!A34,'F-LSCD-012'!W34+1)&amp;" "&amp;'F-LSCD-012'!A35)</f>
        <v>25,000.0 µSv</v>
      </c>
      <c r="D51" s="3090"/>
      <c r="E51" s="3050" t="str">
        <f>IF('F-LSCD-012'!A34="-","-",FIXED('F-LSCD-012'!O34,'F-LSCD-012'!W34)&amp;" "&amp;'F-LSCD-012'!N34)</f>
        <v>2,474 mrem</v>
      </c>
      <c r="F51" s="3050"/>
      <c r="G51" s="3050"/>
      <c r="H51" s="3050"/>
      <c r="I51" s="3055" t="str">
        <f>IF('F-LSCD-012'!O35="-","-",FIXED('F-LSCD-012'!O35,'F-LSCD-012'!W35)&amp;" "&amp;'F-LSCD-012'!N35)</f>
        <v>-</v>
      </c>
      <c r="J51" s="3050"/>
      <c r="K51" s="3050"/>
      <c r="L51" s="3056"/>
      <c r="M51" s="3082">
        <f>IF('F-LSCD-012'!R35="-",'F-LSCD-012'!R34,'F-LSCD-012'!R35)</f>
        <v>1.0105092966855296</v>
      </c>
      <c r="N51" s="3083"/>
      <c r="O51" s="3109">
        <f>IF('F-LSCD-012'!O35="-",'F-LSCD-012'!T34,'F-LSCD-012'!T35)</f>
        <v>4.4999999999999998E-2</v>
      </c>
      <c r="P51" s="3086"/>
      <c r="Q51" s="3087"/>
      <c r="R51" s="2957" t="s">
        <v>1137</v>
      </c>
      <c r="S51" s="3091" t="str">
        <f>IF('F-LSCD-012'!N35="-",'F-LSCD-012'!N34,'F-LSCD-012'!N35)</f>
        <v>mrem</v>
      </c>
      <c r="T51" s="3060"/>
      <c r="U51" s="1032"/>
      <c r="V51" s="1032"/>
      <c r="W51" s="1011"/>
    </row>
    <row r="52" spans="1:23" x14ac:dyDescent="0.2">
      <c r="A52" s="1009"/>
      <c r="C52" s="3068" t="str">
        <f>IF('F-LSCD-012'!A36="-","-",FIXED('F-LSCD-012'!A36,'F-LSCD-012'!W36+1)&amp;" "&amp;'F-LSCD-012'!A37)</f>
        <v>-</v>
      </c>
      <c r="D52" s="3088"/>
      <c r="E52" s="3108" t="str">
        <f>IF('F-LSCD-012'!A36="-","-",FIXED('F-LSCD-012'!O36,'F-LSCD-012'!W36)&amp;" "&amp;'F-LSCD-012'!N36)</f>
        <v>-</v>
      </c>
      <c r="F52" s="3108"/>
      <c r="G52" s="3108"/>
      <c r="H52" s="3108"/>
      <c r="I52" s="3107" t="s">
        <v>1305</v>
      </c>
      <c r="J52" s="3108"/>
      <c r="K52" s="3108"/>
      <c r="L52" s="3071"/>
      <c r="M52" s="3072" t="str">
        <f>IF('F-LSCD-012'!R37="-",'F-LSCD-012'!R36,'F-LSCD-012'!R37)</f>
        <v>-</v>
      </c>
      <c r="N52" s="3073"/>
      <c r="O52" s="3110" t="str">
        <f>IF('F-LSCD-012'!O37="-",'F-LSCD-012'!T36,'F-LSCD-012'!T37)</f>
        <v>-</v>
      </c>
      <c r="P52" s="3111"/>
      <c r="Q52" s="3075"/>
      <c r="R52" s="2958"/>
      <c r="S52" s="3060" t="str">
        <f>IF('F-LSCD-012'!N37="-",'F-LSCD-012'!N36,'F-LSCD-012'!N37)</f>
        <v>-</v>
      </c>
      <c r="T52" s="3060"/>
      <c r="U52" s="1385"/>
      <c r="V52" s="1385"/>
      <c r="W52" s="1011"/>
    </row>
    <row r="53" spans="1:23" ht="15" hidden="1" customHeight="1" x14ac:dyDescent="0.2">
      <c r="A53" s="1009"/>
      <c r="C53" s="3076" t="str">
        <f>IF('F-LSCD-012'!A38="-","-",FIXED('F-LSCD-012'!A38,'F-LSCD-012'!W38+1)&amp;" "&amp;'F-LSCD-012'!A39)</f>
        <v>-</v>
      </c>
      <c r="D53" s="3089"/>
      <c r="E53" s="3078" t="str">
        <f>IF('F-LSCD-012'!A38="-","-",FIXED('F-LSCD-012'!O38,'F-LSCD-012'!W38)&amp;" "&amp;'F-LSCD-012'!N38)</f>
        <v>-</v>
      </c>
      <c r="F53" s="3049"/>
      <c r="G53" s="3049"/>
      <c r="H53" s="3079"/>
      <c r="I53" s="3078" t="str">
        <f>IF('F-LSCD-012'!O39="-","-",FIXED('F-LSCD-012'!O39,'F-LSCD-012'!W39)&amp;" "&amp;'F-LSCD-012'!N39)</f>
        <v>-</v>
      </c>
      <c r="J53" s="3049"/>
      <c r="K53" s="3049"/>
      <c r="L53" s="3079"/>
      <c r="M53" s="3061" t="str">
        <f>IF('F-LSCD-012'!R39="-",'F-LSCD-012'!R38,'F-LSCD-012'!R39)</f>
        <v>-</v>
      </c>
      <c r="N53" s="3062"/>
      <c r="O53" s="3063" t="str">
        <f>IF('F-LSCD-012'!O39="-",'F-LSCD-012'!T38,'F-LSCD-012'!T39)</f>
        <v>-</v>
      </c>
      <c r="P53" s="3063"/>
      <c r="Q53" s="3063"/>
      <c r="R53" s="2959"/>
      <c r="S53" s="3060" t="str">
        <f>IF('F-LSCD-012'!N39="-",'F-LSCD-012'!N38,'F-LSCD-012'!N39)</f>
        <v>-</v>
      </c>
      <c r="T53" s="3060"/>
      <c r="U53" s="1032"/>
      <c r="V53" s="1032"/>
      <c r="W53" s="1011"/>
    </row>
    <row r="54" spans="1:23" x14ac:dyDescent="0.2">
      <c r="A54" s="1009"/>
      <c r="C54" s="3080" t="str">
        <f>IF('F-LSCD-012'!A40="-","-",FIXED('F-LSCD-012'!A40,'F-LSCD-012'!W40+1)&amp;" "&amp;'F-LSCD-012'!A41)</f>
        <v>-</v>
      </c>
      <c r="D54" s="3081"/>
      <c r="E54" s="3055" t="str">
        <f>IF('F-LSCD-012'!A40="-","-",FIXED('F-LSCD-012'!O40,'F-LSCD-012'!W40)&amp;" "&amp;'F-LSCD-012'!N40)</f>
        <v>-</v>
      </c>
      <c r="F54" s="3050"/>
      <c r="G54" s="3050"/>
      <c r="H54" s="3056"/>
      <c r="I54" s="3055" t="str">
        <f>IF('F-LSCD-012'!O41="-","-",FIXED('F-LSCD-012'!O41,'F-LSCD-012'!W41)&amp;" "&amp;'F-LSCD-012'!N41)</f>
        <v>-</v>
      </c>
      <c r="J54" s="3050"/>
      <c r="K54" s="3050"/>
      <c r="L54" s="3056"/>
      <c r="M54" s="3082" t="str">
        <f>IF('F-LSCD-012'!R41="-",'F-LSCD-012'!R40,'F-LSCD-012'!R41)</f>
        <v>-</v>
      </c>
      <c r="N54" s="3083"/>
      <c r="O54" s="3086" t="str">
        <f>IF('F-LSCD-012'!O41="-",'F-LSCD-012'!T40,'F-LSCD-012'!T41)</f>
        <v>-</v>
      </c>
      <c r="P54" s="3086"/>
      <c r="Q54" s="3087"/>
      <c r="R54" s="2957" t="s">
        <v>1116</v>
      </c>
      <c r="S54" s="3060" t="str">
        <f>IF('F-LSCD-012'!N41="-",'F-LSCD-012'!N40,'F-LSCD-012'!N41)</f>
        <v>-</v>
      </c>
      <c r="T54" s="3060"/>
      <c r="U54" s="1032"/>
      <c r="V54" s="1032"/>
      <c r="W54" s="1011"/>
    </row>
    <row r="55" spans="1:23" x14ac:dyDescent="0.2">
      <c r="A55" s="1009"/>
      <c r="C55" s="3068" t="str">
        <f>IF('F-LSCD-012'!A42="-","-",FIXED('F-LSCD-012'!A42,'F-LSCD-012'!W42+1)&amp;" "&amp;'F-LSCD-012'!A43)</f>
        <v>-</v>
      </c>
      <c r="D55" s="3112"/>
      <c r="E55" s="3070" t="str">
        <f>IF('F-LSCD-012'!A42="-","-",FIXED('F-LSCD-012'!O42,'F-LSCD-012'!W42)&amp;" "&amp;'F-LSCD-012'!N42)</f>
        <v>-</v>
      </c>
      <c r="F55" s="3108"/>
      <c r="G55" s="3108"/>
      <c r="H55" s="3071"/>
      <c r="I55" s="3070" t="str">
        <f>IF('F-LSCD-012'!O43="-","-",FIXED('F-LSCD-012'!O43,'F-LSCD-012'!W43)&amp;" "&amp;'F-LSCD-012'!N43)</f>
        <v>-</v>
      </c>
      <c r="J55" s="3108"/>
      <c r="K55" s="3108"/>
      <c r="L55" s="3071"/>
      <c r="M55" s="3072" t="str">
        <f>IF('F-LSCD-012'!R43="-",'F-LSCD-012'!R42,'F-LSCD-012'!R43)</f>
        <v>-</v>
      </c>
      <c r="N55" s="3073"/>
      <c r="O55" s="3111" t="str">
        <f>IF('F-LSCD-012'!O43="-",'F-LSCD-012'!T42,'F-LSCD-012'!T43)</f>
        <v>-</v>
      </c>
      <c r="P55" s="3111"/>
      <c r="Q55" s="3075"/>
      <c r="R55" s="2958"/>
      <c r="S55" s="3060" t="str">
        <f>IF('F-LSCD-012'!N43="-",'F-LSCD-012'!N42,'F-LSCD-012'!N43)</f>
        <v>-</v>
      </c>
      <c r="T55" s="3060"/>
      <c r="U55" s="1385"/>
      <c r="V55" s="1385"/>
      <c r="W55" s="1011"/>
    </row>
    <row r="56" spans="1:23" ht="15" hidden="1" customHeight="1" x14ac:dyDescent="0.2">
      <c r="A56" s="1009"/>
      <c r="C56" s="3076" t="str">
        <f>IF('F-LSCD-012'!A44="-","-",FIXED('F-LSCD-012'!A44,'F-LSCD-012'!W44+1)&amp;" "&amp;'F-LSCD-012'!A45)</f>
        <v>-</v>
      </c>
      <c r="D56" s="3077"/>
      <c r="E56" s="3078" t="str">
        <f>IF('F-LSCD-012'!A44="-","-",FIXED('F-LSCD-012'!O44,'F-LSCD-012'!W44)&amp;" "&amp;'F-LSCD-012'!N44)</f>
        <v>-</v>
      </c>
      <c r="F56" s="3049"/>
      <c r="G56" s="3049"/>
      <c r="H56" s="3079"/>
      <c r="I56" s="3078" t="str">
        <f>IF('F-LSCD-012'!O45="-","-",FIXED('F-LSCD-012'!O45,'F-LSCD-012'!W45)&amp;" "&amp;'F-LSCD-012'!N45)</f>
        <v>-</v>
      </c>
      <c r="J56" s="3049"/>
      <c r="K56" s="3049"/>
      <c r="L56" s="3079"/>
      <c r="M56" s="3061" t="str">
        <f>IF('F-LSCD-012'!R45="-",'F-LSCD-012'!R44,'F-LSCD-012'!R45)</f>
        <v>-</v>
      </c>
      <c r="N56" s="3062"/>
      <c r="O56" s="3063" t="str">
        <f>IF('F-LSCD-012'!O45="-",'F-LSCD-012'!T44,'F-LSCD-012'!T45)</f>
        <v>-</v>
      </c>
      <c r="P56" s="3063"/>
      <c r="Q56" s="3064"/>
      <c r="R56" s="2959"/>
      <c r="S56" s="3060" t="str">
        <f>IF('F-LSCD-012'!N45="-",'F-LSCD-012'!N44,'F-LSCD-012'!N45)</f>
        <v>-</v>
      </c>
      <c r="T56" s="3060"/>
      <c r="U56" s="1032"/>
      <c r="V56" s="1032"/>
      <c r="W56" s="1011"/>
    </row>
    <row r="57" spans="1:23" x14ac:dyDescent="0.2">
      <c r="A57" s="1009"/>
      <c r="C57" s="3080" t="str">
        <f>IF('F-LSCD-012'!A46="-","-",FIXED('F-LSCD-012'!A46,'F-LSCD-012'!W46+1)&amp;" "&amp;'F-LSCD-012'!A47)</f>
        <v>-</v>
      </c>
      <c r="D57" s="3081"/>
      <c r="E57" s="3055" t="str">
        <f>IF('F-LSCD-012'!A46="-","-",FIXED('F-LSCD-012'!O46,'F-LSCD-012'!W46)&amp;" "&amp;'F-LSCD-012'!N46)</f>
        <v>-</v>
      </c>
      <c r="F57" s="3050"/>
      <c r="G57" s="3050"/>
      <c r="H57" s="3056"/>
      <c r="I57" s="3055" t="str">
        <f>IF('F-LSCD-012'!O47="-","-",FIXED('F-LSCD-012'!O47,'F-LSCD-012'!W47)&amp;" "&amp;'F-LSCD-012'!N47)</f>
        <v>-</v>
      </c>
      <c r="J57" s="3050"/>
      <c r="K57" s="3050"/>
      <c r="L57" s="3056"/>
      <c r="M57" s="3082" t="str">
        <f>IF('F-LSCD-012'!R47="-",'F-LSCD-012'!R46,'F-LSCD-012'!R47)</f>
        <v>-</v>
      </c>
      <c r="N57" s="3083"/>
      <c r="O57" s="3086" t="str">
        <f>IF('F-LSCD-012'!O47="-",'F-LSCD-012'!T46,'F-LSCD-012'!T47)</f>
        <v>-</v>
      </c>
      <c r="P57" s="3086"/>
      <c r="Q57" s="3087"/>
      <c r="R57" s="2957" t="s">
        <v>1117</v>
      </c>
      <c r="S57" s="3060" t="str">
        <f>IF('F-LSCD-012'!N47="-",'F-LSCD-012'!N46,'F-LSCD-012'!N47)</f>
        <v>-</v>
      </c>
      <c r="T57" s="3060"/>
      <c r="U57" s="1032"/>
      <c r="V57" s="1032"/>
      <c r="W57" s="1011"/>
    </row>
    <row r="58" spans="1:23" x14ac:dyDescent="0.2">
      <c r="A58" s="1009"/>
      <c r="C58" s="3076" t="str">
        <f>IF('F-LSCD-012'!A48="-","-",FIXED('F-LSCD-012'!A48,'F-LSCD-012'!W48+1)&amp;" "&amp;'F-LSCD-012'!A49)</f>
        <v>-</v>
      </c>
      <c r="D58" s="3077"/>
      <c r="E58" s="3078" t="str">
        <f>IF('F-LSCD-012'!A48="-","-",FIXED('F-LSCD-012'!O48,'F-LSCD-012'!W48)&amp;" "&amp;'F-LSCD-012'!N48)</f>
        <v>-</v>
      </c>
      <c r="F58" s="3049"/>
      <c r="G58" s="3049"/>
      <c r="H58" s="3079"/>
      <c r="I58" s="3078" t="str">
        <f>IF('F-LSCD-012'!O49="-","-",FIXED('F-LSCD-012'!O49,'F-LSCD-012'!W49)&amp;" "&amp;'F-LSCD-012'!N49)</f>
        <v>-</v>
      </c>
      <c r="J58" s="3049"/>
      <c r="K58" s="3049"/>
      <c r="L58" s="3079"/>
      <c r="M58" s="3061" t="str">
        <f>IF('F-LSCD-012'!R49="-",'F-LSCD-012'!R48,'F-LSCD-012'!R49)</f>
        <v>-</v>
      </c>
      <c r="N58" s="3062"/>
      <c r="O58" s="3063" t="str">
        <f>IF('F-LSCD-012'!O49="-",'F-LSCD-012'!T48,'F-LSCD-012'!T49)</f>
        <v>-</v>
      </c>
      <c r="P58" s="3063"/>
      <c r="Q58" s="3064"/>
      <c r="R58" s="2959"/>
      <c r="S58" s="3060" t="str">
        <f>IF('F-LSCD-012'!N49="-",'F-LSCD-012'!N48,'F-LSCD-012'!N49)</f>
        <v>-</v>
      </c>
      <c r="T58" s="3060"/>
      <c r="U58" s="1385"/>
      <c r="V58" s="1385"/>
      <c r="W58" s="1011"/>
    </row>
    <row r="59" spans="1:23" hidden="1" x14ac:dyDescent="0.2">
      <c r="A59" s="1009"/>
      <c r="C59" s="3076" t="str">
        <f>IF('F-LSCD-012'!A50="-","-",FIXED('F-LSCD-012'!A50,'F-LSCD-012'!W50+1)&amp;" "&amp;'F-LSCD-012'!A51)</f>
        <v>-</v>
      </c>
      <c r="D59" s="3077"/>
      <c r="E59" s="3078" t="str">
        <f>IF('F-LSCD-012'!A50="-","-",FIXED('F-LSCD-012'!O50,'F-LSCD-012'!W50)&amp;" "&amp;'F-LSCD-012'!N50)</f>
        <v>-</v>
      </c>
      <c r="F59" s="3049"/>
      <c r="G59" s="3049"/>
      <c r="H59" s="3079"/>
      <c r="I59" s="3078" t="str">
        <f>IF('F-LSCD-012'!O51="-","-",FIXED('F-LSCD-012'!O51,'F-LSCD-012'!W51)&amp;" "&amp;'F-LSCD-012'!N51)</f>
        <v>-</v>
      </c>
      <c r="J59" s="3049"/>
      <c r="K59" s="3049"/>
      <c r="L59" s="3079"/>
      <c r="M59" s="3061" t="str">
        <f>IF('F-LSCD-012'!R51="-",'F-LSCD-012'!R50,'F-LSCD-012'!R51)</f>
        <v>-</v>
      </c>
      <c r="N59" s="3062"/>
      <c r="O59" s="3063" t="str">
        <f>IF('F-LSCD-012'!O51="-",'F-LSCD-012'!T50,'F-LSCD-012'!T51)</f>
        <v>-</v>
      </c>
      <c r="P59" s="3063"/>
      <c r="Q59" s="3064"/>
      <c r="R59" s="1985"/>
      <c r="S59" s="3060" t="str">
        <f>IF('F-LSCD-012'!N51="-",'F-LSCD-012'!N50,'F-LSCD-012'!N51)</f>
        <v>-</v>
      </c>
      <c r="T59" s="3060"/>
      <c r="U59" s="1032"/>
      <c r="V59" s="1032"/>
      <c r="W59" s="1011"/>
    </row>
    <row r="60" spans="1:23" hidden="1" x14ac:dyDescent="0.2">
      <c r="A60" s="1009"/>
      <c r="C60" s="3068" t="str">
        <f>IF('F-LSCD-012'!A52="-","-",FIXED('F-LSCD-012'!A52,'F-LSCD-012'!W52)&amp;" "&amp;'F-LSCD-012'!A53)</f>
        <v>-</v>
      </c>
      <c r="D60" s="3112"/>
      <c r="E60" s="3070" t="str">
        <f>IF('F-LSCD-012'!A52="-","-",FIXED('F-LSCD-012'!O52,'F-LSCD-012'!W52)&amp;" "&amp;'F-LSCD-012'!N52)</f>
        <v>-</v>
      </c>
      <c r="F60" s="3108"/>
      <c r="G60" s="3108"/>
      <c r="H60" s="3071"/>
      <c r="I60" s="3070" t="str">
        <f>IF('F-LSCD-012'!O53="-","-",FIXED('F-LSCD-012'!O53,'F-LSCD-012'!W53)&amp;" "&amp;'F-LSCD-012'!N53)</f>
        <v>-</v>
      </c>
      <c r="J60" s="3108"/>
      <c r="K60" s="3108"/>
      <c r="L60" s="3071"/>
      <c r="M60" s="3072" t="str">
        <f>IF('F-LSCD-012'!R53="-",'F-LSCD-012'!R52,'F-LSCD-012'!R53)</f>
        <v>-</v>
      </c>
      <c r="N60" s="3073"/>
      <c r="O60" s="3114" t="str">
        <f>IF('F-LSCD-012'!O53="-",'F-LSCD-012'!T52,'F-LSCD-012'!T53)</f>
        <v>-</v>
      </c>
      <c r="P60" s="3114"/>
      <c r="Q60" s="3115"/>
      <c r="R60" s="2958" t="s">
        <v>93</v>
      </c>
      <c r="S60" s="3060" t="str">
        <f>IF('F-LSCD-012'!N53="-",'F-LSCD-012'!N52,'F-LSCD-012'!N53)</f>
        <v>-</v>
      </c>
      <c r="T60" s="3060"/>
      <c r="U60" s="1032"/>
      <c r="V60" s="1032"/>
      <c r="W60" s="1011"/>
    </row>
    <row r="61" spans="1:23" hidden="1" x14ac:dyDescent="0.2">
      <c r="A61" s="1009"/>
      <c r="C61" s="3068" t="str">
        <f>IF('F-LSCD-012'!A54="-","-",FIXED('F-LSCD-012'!A54,'F-LSCD-012'!W54)&amp;" "&amp;'F-LSCD-012'!A55)</f>
        <v>-</v>
      </c>
      <c r="D61" s="3088"/>
      <c r="E61" s="3070" t="str">
        <f>IF('F-LSCD-012'!A54="-","-",FIXED('F-LSCD-012'!O54,'F-LSCD-012'!W54)&amp;" "&amp;'F-LSCD-012'!N54)</f>
        <v>-</v>
      </c>
      <c r="F61" s="3108"/>
      <c r="G61" s="3108"/>
      <c r="H61" s="3071"/>
      <c r="I61" s="3070" t="str">
        <f>IF('F-LSCD-012'!O55="-","-",FIXED('F-LSCD-012'!O55,'F-LSCD-012'!W55)&amp;" "&amp;'F-LSCD-012'!N55)</f>
        <v>-</v>
      </c>
      <c r="J61" s="3108"/>
      <c r="K61" s="3108"/>
      <c r="L61" s="3071"/>
      <c r="M61" s="3072" t="str">
        <f>IF('F-LSCD-012'!R55="-",'F-LSCD-012'!R54,'F-LSCD-012'!R55)</f>
        <v>-</v>
      </c>
      <c r="N61" s="3073"/>
      <c r="O61" s="3111" t="str">
        <f>IF('F-LSCD-012'!O55="-",'F-LSCD-012'!T54,'F-LSCD-012'!T55)</f>
        <v>-</v>
      </c>
      <c r="P61" s="3111"/>
      <c r="Q61" s="3075"/>
      <c r="R61" s="2958"/>
      <c r="S61" s="3060" t="str">
        <f>IF('F-LSCD-012'!N55="-",'F-LSCD-012'!N54,'F-LSCD-012'!N55)</f>
        <v>-</v>
      </c>
      <c r="T61" s="3060"/>
      <c r="U61" s="1032"/>
      <c r="V61" s="1032"/>
      <c r="W61" s="1011"/>
    </row>
    <row r="62" spans="1:23" hidden="1" x14ac:dyDescent="0.2">
      <c r="A62" s="1009"/>
      <c r="C62" s="3076" t="str">
        <f>IF('F-LSCD-012'!A56="-","-",FIXED('F-LSCD-012'!A56,'F-LSCD-012'!W56)&amp;" "&amp;'F-LSCD-012'!A57)</f>
        <v>-</v>
      </c>
      <c r="D62" s="3077"/>
      <c r="E62" s="3078" t="str">
        <f>IF('F-LSCD-012'!A56="-","-",FIXED('F-LSCD-012'!O56,'F-LSCD-012'!W56)&amp;" "&amp;'F-LSCD-012'!N56)</f>
        <v>-</v>
      </c>
      <c r="F62" s="3049"/>
      <c r="G62" s="3049"/>
      <c r="H62" s="3079"/>
      <c r="I62" s="3078" t="str">
        <f>IF('F-LSCD-012'!O57="-","-",FIXED('F-LSCD-012'!O57,'F-LSCD-012'!W57)&amp;" "&amp;'F-LSCD-012'!N57)</f>
        <v>-</v>
      </c>
      <c r="J62" s="3049"/>
      <c r="K62" s="3049"/>
      <c r="L62" s="3079"/>
      <c r="M62" s="3061" t="str">
        <f>IF('F-LSCD-012'!R57="-",'F-LSCD-012'!R56,'F-LSCD-012'!R57)</f>
        <v>-</v>
      </c>
      <c r="N62" s="3062"/>
      <c r="O62" s="3063" t="str">
        <f>IF('F-LSCD-012'!O57="-",'F-LSCD-012'!T56,'F-LSCD-012'!T57)</f>
        <v>-</v>
      </c>
      <c r="P62" s="3063"/>
      <c r="Q62" s="3064"/>
      <c r="R62" s="2959"/>
      <c r="S62" s="3060" t="str">
        <f>IF('F-LSCD-012'!N57="-",'F-LSCD-012'!N56,'F-LSCD-012'!N57)</f>
        <v>-</v>
      </c>
      <c r="T62" s="3060"/>
      <c r="U62" s="1032"/>
      <c r="V62" s="1032"/>
      <c r="W62" s="1011"/>
    </row>
    <row r="63" spans="1:23" x14ac:dyDescent="0.2">
      <c r="A63" s="1009"/>
      <c r="C63" s="1033" t="str">
        <f>"VCV = Valor convencionalmente verdadero"</f>
        <v>VCV = Valor convencionalmente verdadero</v>
      </c>
      <c r="D63" s="1033"/>
      <c r="E63" s="1033"/>
      <c r="F63" s="1033"/>
      <c r="G63" s="1034"/>
      <c r="H63" s="1034"/>
      <c r="I63" s="1034"/>
      <c r="J63" s="1034"/>
      <c r="K63" s="1034"/>
      <c r="P63" s="1010"/>
      <c r="Q63" s="1010"/>
      <c r="R63" s="1010"/>
      <c r="S63" s="1010"/>
      <c r="T63" s="1010"/>
      <c r="U63" s="1010"/>
      <c r="V63" s="1010"/>
      <c r="W63" s="1011"/>
    </row>
    <row r="64" spans="1:23" ht="12.75" hidden="1" customHeight="1" x14ac:dyDescent="0.2">
      <c r="A64" s="1009"/>
      <c r="C64" s="1014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262"/>
      <c r="S64" s="1262"/>
      <c r="T64" s="1262"/>
      <c r="U64" s="1262"/>
      <c r="V64" s="1262"/>
      <c r="W64" s="1011"/>
    </row>
    <row r="65" spans="1:24" ht="3" hidden="1" customHeight="1" x14ac:dyDescent="0.2">
      <c r="A65" s="1756"/>
      <c r="B65" s="1756"/>
      <c r="C65" s="1756"/>
      <c r="D65" s="1756"/>
      <c r="E65" s="1756"/>
      <c r="F65" s="1756"/>
      <c r="G65" s="1756"/>
      <c r="H65" s="1756"/>
      <c r="I65" s="1756"/>
      <c r="J65" s="1756"/>
      <c r="K65" s="1756"/>
      <c r="L65" s="1756"/>
      <c r="M65" s="1756"/>
      <c r="N65" s="1756"/>
      <c r="O65" s="1756"/>
      <c r="P65" s="1756"/>
      <c r="Q65" s="1756"/>
      <c r="R65" s="1756"/>
      <c r="S65" s="1756"/>
      <c r="T65" s="1756"/>
      <c r="U65" s="1756"/>
      <c r="V65" s="1756"/>
      <c r="W65" s="1756"/>
    </row>
    <row r="66" spans="1:24" ht="13.5" hidden="1" thickTop="1" x14ac:dyDescent="0.2">
      <c r="A66" s="3022" t="s">
        <v>1301</v>
      </c>
      <c r="B66" s="2864"/>
      <c r="C66" s="2864"/>
      <c r="D66" s="2864"/>
      <c r="E66" s="2864"/>
      <c r="F66" s="2864"/>
      <c r="G66" s="2864"/>
      <c r="H66" s="2864"/>
      <c r="I66" s="2864"/>
      <c r="J66" s="2864"/>
      <c r="K66" s="2864"/>
      <c r="L66" s="2864"/>
      <c r="M66" s="2864"/>
      <c r="N66" s="2864"/>
      <c r="O66" s="2864"/>
      <c r="P66" s="2864"/>
      <c r="Q66" s="2864"/>
      <c r="R66" s="2864"/>
      <c r="S66" s="2864"/>
      <c r="T66" s="2864"/>
      <c r="U66" s="2864"/>
      <c r="V66" s="2864"/>
      <c r="W66" s="2865"/>
    </row>
    <row r="67" spans="1:24" ht="11.25" hidden="1" customHeight="1" thickBot="1" x14ac:dyDescent="0.25">
      <c r="A67" s="2859" t="s">
        <v>810</v>
      </c>
      <c r="B67" s="2860"/>
      <c r="C67" s="2860"/>
      <c r="D67" s="2860"/>
      <c r="E67" s="2860"/>
      <c r="F67" s="2860"/>
      <c r="G67" s="2860"/>
      <c r="H67" s="2860"/>
      <c r="I67" s="2860"/>
      <c r="J67" s="2860"/>
      <c r="K67" s="2860"/>
      <c r="L67" s="2860"/>
      <c r="M67" s="2860"/>
      <c r="N67" s="2860"/>
      <c r="O67" s="2860"/>
      <c r="P67" s="2860"/>
      <c r="Q67" s="2860"/>
      <c r="R67" s="2860"/>
      <c r="S67" s="2860"/>
      <c r="T67" s="2860"/>
      <c r="U67" s="2860"/>
      <c r="V67" s="2860"/>
      <c r="W67" s="2861"/>
      <c r="X67" s="1039"/>
    </row>
    <row r="68" spans="1:24" ht="11.25" hidden="1" customHeight="1" x14ac:dyDescent="0.2">
      <c r="A68" s="1305"/>
      <c r="B68" s="1416" t="s">
        <v>916</v>
      </c>
      <c r="C68" s="1417"/>
      <c r="D68" s="1305"/>
      <c r="E68" s="1305"/>
      <c r="F68" s="1305"/>
      <c r="G68" s="1305"/>
      <c r="H68" s="1305"/>
      <c r="I68" s="1305"/>
      <c r="J68" s="1305"/>
      <c r="K68" s="1305"/>
      <c r="L68" s="1305"/>
      <c r="M68" s="1305"/>
      <c r="N68" s="1305"/>
      <c r="O68" s="1305"/>
      <c r="P68" s="1305"/>
      <c r="Q68" s="1305"/>
      <c r="R68" s="1305"/>
      <c r="S68" s="1305"/>
      <c r="T68" s="1305"/>
      <c r="U68" s="1415" t="str">
        <f>A4</f>
        <v>CERTIFICADO DE CALIBRACIÓN N° LSCD 029-2021</v>
      </c>
      <c r="V68" s="1415"/>
      <c r="W68" s="1305"/>
      <c r="X68" s="1039"/>
    </row>
    <row r="69" spans="1:24" x14ac:dyDescent="0.2">
      <c r="A69" s="1304"/>
      <c r="B69" s="1305"/>
      <c r="C69" s="180" t="s">
        <v>1149</v>
      </c>
      <c r="D69" s="1305"/>
      <c r="E69" s="1305"/>
      <c r="F69" s="1305"/>
      <c r="G69" s="1305"/>
      <c r="H69" s="1305"/>
      <c r="I69" s="1305"/>
      <c r="J69" s="1305"/>
      <c r="K69" s="1305"/>
      <c r="L69" s="1305"/>
      <c r="M69" s="1305"/>
      <c r="N69" s="1305"/>
      <c r="O69" s="1305"/>
      <c r="P69" s="1305"/>
      <c r="Q69" s="1305"/>
      <c r="R69" s="1305"/>
      <c r="S69" s="1305"/>
      <c r="T69" s="1305"/>
      <c r="U69" s="1305"/>
      <c r="V69" s="1305"/>
      <c r="W69" s="1306"/>
      <c r="X69" s="1039"/>
    </row>
    <row r="70" spans="1:24" ht="4.3499999999999996" hidden="1" customHeight="1" x14ac:dyDescent="0.2">
      <c r="A70" s="1304"/>
      <c r="B70" s="1305"/>
      <c r="C70" s="180"/>
      <c r="D70" s="1305"/>
      <c r="E70" s="1305"/>
      <c r="F70" s="1305"/>
      <c r="G70" s="1305"/>
      <c r="H70" s="1305"/>
      <c r="I70" s="1305"/>
      <c r="J70" s="1305"/>
      <c r="K70" s="1305"/>
      <c r="L70" s="1305"/>
      <c r="M70" s="1305"/>
      <c r="N70" s="1305"/>
      <c r="O70" s="1305"/>
      <c r="P70" s="1305"/>
      <c r="Q70" s="1305"/>
      <c r="R70" s="1305"/>
      <c r="S70" s="1305"/>
      <c r="T70" s="1305"/>
      <c r="U70" s="1305"/>
      <c r="V70" s="1305"/>
      <c r="W70" s="1306"/>
      <c r="X70" s="1039"/>
    </row>
    <row r="71" spans="1:24" x14ac:dyDescent="0.2">
      <c r="A71" s="1304"/>
      <c r="B71" s="1305"/>
      <c r="C71" s="1014" t="str">
        <f>IF(M52="-","","Promedio FC Rango "&amp;R51&amp;" = "&amp;FIXED(AVERAGE(M51:N53),2))</f>
        <v/>
      </c>
      <c r="D71" s="1305"/>
      <c r="E71" s="1305"/>
      <c r="F71" s="1305"/>
      <c r="G71" s="1305"/>
      <c r="H71" s="1305"/>
      <c r="I71" s="1305"/>
      <c r="J71" s="1305"/>
      <c r="K71" s="1305"/>
      <c r="L71" s="1305"/>
      <c r="M71" s="1305"/>
      <c r="N71" s="1305"/>
      <c r="O71" s="1305"/>
      <c r="P71" s="1305"/>
      <c r="Q71" s="1305"/>
      <c r="R71" s="1305"/>
      <c r="S71" s="1305"/>
      <c r="T71" s="1305"/>
      <c r="U71" s="1305"/>
      <c r="V71" s="1305"/>
      <c r="W71" s="1306"/>
      <c r="X71" s="1039"/>
    </row>
    <row r="72" spans="1:24" x14ac:dyDescent="0.2">
      <c r="A72" s="1304"/>
      <c r="B72" s="1305"/>
      <c r="C72" s="1014" t="str">
        <f>IF(M54="-","","Promedio FC Rango "&amp;R54&amp;" = "&amp;FIXED(AVERAGE(M54:N56),2))</f>
        <v/>
      </c>
      <c r="D72" s="1305"/>
      <c r="E72" s="1305"/>
      <c r="F72" s="1305"/>
      <c r="G72" s="1305"/>
      <c r="H72" s="1305"/>
      <c r="I72" s="1305"/>
      <c r="J72" s="1305"/>
      <c r="K72" s="1305"/>
      <c r="L72" s="1305"/>
      <c r="M72" s="1305"/>
      <c r="N72" s="1305"/>
      <c r="O72" s="1305"/>
      <c r="P72" s="1305"/>
      <c r="Q72" s="1305"/>
      <c r="R72" s="1305"/>
      <c r="S72" s="1305"/>
      <c r="T72" s="1305"/>
      <c r="U72" s="1305"/>
      <c r="V72" s="1305"/>
      <c r="W72" s="1306"/>
      <c r="X72" s="1039"/>
    </row>
    <row r="73" spans="1:24" x14ac:dyDescent="0.2">
      <c r="A73" s="1009"/>
      <c r="C73" s="1014" t="str">
        <f>IF(M57="-","","Promedio FC Rango "&amp;R57&amp;" = "&amp;FIXED(AVERAGE(M57:N59),2))</f>
        <v/>
      </c>
      <c r="D73" s="1262"/>
      <c r="E73" s="1262"/>
      <c r="F73" s="1262"/>
      <c r="G73" s="1262"/>
      <c r="H73" s="1262"/>
      <c r="I73" s="1262"/>
      <c r="J73" s="1262"/>
      <c r="K73" s="1262"/>
      <c r="L73" s="1262"/>
      <c r="M73" s="1262"/>
      <c r="N73" s="1262"/>
      <c r="O73" s="1262"/>
      <c r="P73" s="1262"/>
      <c r="Q73" s="1262"/>
      <c r="R73" s="1262"/>
      <c r="S73" s="1262"/>
      <c r="T73" s="1262"/>
      <c r="U73" s="1262"/>
      <c r="V73" s="1262"/>
      <c r="W73" s="1011"/>
    </row>
    <row r="74" spans="1:24" ht="6.75" customHeight="1" x14ac:dyDescent="0.2">
      <c r="A74" s="1009"/>
      <c r="C74" s="1014" t="str">
        <f>IF(M60="-","","Promedio FC Rango "&amp;R60&amp;" = "&amp;FIXED(AVERAGE(M60:N62),2))</f>
        <v/>
      </c>
      <c r="D74" s="1262"/>
      <c r="E74" s="1262"/>
      <c r="F74" s="1262"/>
      <c r="G74" s="1262"/>
      <c r="H74" s="1262"/>
      <c r="I74" s="1262"/>
      <c r="J74" s="1262"/>
      <c r="K74" s="1262"/>
      <c r="L74" s="1262"/>
      <c r="M74" s="1262"/>
      <c r="N74" s="1262"/>
      <c r="O74" s="1262"/>
      <c r="P74" s="1262"/>
      <c r="Q74" s="1262"/>
      <c r="R74" s="1262"/>
      <c r="S74" s="1262"/>
      <c r="T74" s="1262"/>
      <c r="U74" s="1262"/>
      <c r="V74" s="1262"/>
      <c r="W74" s="1011"/>
    </row>
    <row r="75" spans="1:24" x14ac:dyDescent="0.2">
      <c r="A75" s="1009"/>
      <c r="B75" s="175" t="s">
        <v>1302</v>
      </c>
      <c r="C75" s="1014"/>
      <c r="D75" s="1262"/>
      <c r="E75" s="1262"/>
      <c r="F75" s="1262"/>
      <c r="G75" s="1262"/>
      <c r="H75" s="1262"/>
      <c r="I75" s="1262"/>
      <c r="J75" s="1262"/>
      <c r="K75" s="1262"/>
      <c r="L75" s="1262"/>
      <c r="M75" s="1262"/>
      <c r="N75" s="1262"/>
      <c r="O75" s="1262"/>
      <c r="P75" s="1262"/>
      <c r="Q75" s="1262"/>
      <c r="R75" s="1262"/>
      <c r="S75" s="1262"/>
      <c r="T75" s="1262"/>
      <c r="U75" s="1262"/>
      <c r="V75" s="1262"/>
      <c r="W75" s="1011"/>
    </row>
    <row r="76" spans="1:24" ht="2.85" customHeight="1" x14ac:dyDescent="0.2">
      <c r="A76" s="1009"/>
      <c r="B76" s="175"/>
      <c r="C76" s="1014"/>
      <c r="D76" s="1262"/>
      <c r="E76" s="1262"/>
      <c r="F76" s="1262"/>
      <c r="G76" s="1262"/>
      <c r="H76" s="1262"/>
      <c r="I76" s="1262"/>
      <c r="J76" s="1262"/>
      <c r="K76" s="1262"/>
      <c r="L76" s="1262"/>
      <c r="M76" s="1262"/>
      <c r="N76" s="1262"/>
      <c r="O76" s="1262"/>
      <c r="P76" s="1262"/>
      <c r="Q76" s="1262"/>
      <c r="R76" s="1262"/>
      <c r="S76" s="1262"/>
      <c r="T76" s="1262"/>
      <c r="U76" s="1262"/>
      <c r="V76" s="1262"/>
      <c r="W76" s="1011"/>
    </row>
    <row r="77" spans="1:24" x14ac:dyDescent="0.2">
      <c r="A77" s="1009"/>
      <c r="C77" s="3116" t="s">
        <v>1303</v>
      </c>
      <c r="D77" s="3117"/>
      <c r="E77" s="3117"/>
      <c r="F77" s="3117"/>
      <c r="G77" s="3117"/>
      <c r="H77" s="3117"/>
      <c r="I77" s="3117"/>
      <c r="J77" s="3117"/>
      <c r="K77" s="3117"/>
      <c r="L77" s="3117"/>
      <c r="M77" s="3117"/>
      <c r="N77" s="3117"/>
      <c r="O77" s="3117"/>
      <c r="P77" s="3117"/>
      <c r="Q77" s="3117"/>
      <c r="R77" s="3118"/>
      <c r="S77" s="1262"/>
      <c r="T77" s="1262"/>
      <c r="U77" s="1262"/>
      <c r="V77" s="1262"/>
      <c r="W77" s="1011"/>
    </row>
    <row r="78" spans="1:24" x14ac:dyDescent="0.2">
      <c r="A78" s="1009"/>
      <c r="C78" s="3119"/>
      <c r="D78" s="3120"/>
      <c r="E78" s="3120"/>
      <c r="F78" s="3120"/>
      <c r="G78" s="3120"/>
      <c r="H78" s="3120"/>
      <c r="I78" s="3120"/>
      <c r="J78" s="3120"/>
      <c r="K78" s="3120"/>
      <c r="L78" s="3120"/>
      <c r="M78" s="3120"/>
      <c r="N78" s="3120"/>
      <c r="O78" s="3120"/>
      <c r="P78" s="3120"/>
      <c r="Q78" s="3120"/>
      <c r="R78" s="3121"/>
      <c r="S78" s="1671"/>
      <c r="T78" s="1671"/>
      <c r="U78" s="1020"/>
      <c r="V78" s="1020"/>
      <c r="W78" s="1011"/>
    </row>
    <row r="79" spans="1:24" ht="23.1" customHeight="1" x14ac:dyDescent="0.2">
      <c r="A79" s="1009"/>
      <c r="B79" s="1033"/>
      <c r="C79" s="1873" t="s">
        <v>1245</v>
      </c>
      <c r="G79" s="1035"/>
      <c r="H79" s="1035"/>
      <c r="I79" s="1035"/>
      <c r="J79" s="1020"/>
      <c r="K79" s="1020"/>
      <c r="L79" s="1020"/>
      <c r="M79" s="1020"/>
      <c r="N79" s="1020"/>
      <c r="O79" s="1020"/>
      <c r="P79" s="1020"/>
      <c r="Q79" s="1020"/>
      <c r="R79" s="1035"/>
      <c r="S79" s="1035"/>
      <c r="T79" s="1035"/>
      <c r="U79" s="1020"/>
      <c r="V79" s="1020"/>
      <c r="W79" s="1011"/>
    </row>
    <row r="80" spans="1:24" ht="3" customHeight="1" thickBot="1" x14ac:dyDescent="0.25">
      <c r="A80" s="1036"/>
      <c r="B80" s="1037"/>
      <c r="C80" s="1037"/>
      <c r="D80" s="1037"/>
      <c r="E80" s="1037"/>
      <c r="F80" s="1037"/>
      <c r="G80" s="1037"/>
      <c r="H80" s="1037"/>
      <c r="I80" s="1037"/>
      <c r="J80" s="1037"/>
      <c r="K80" s="1037"/>
      <c r="L80" s="1037"/>
      <c r="M80" s="1037"/>
      <c r="N80" s="1037"/>
      <c r="O80" s="1037"/>
      <c r="P80" s="1037"/>
      <c r="Q80" s="1037"/>
      <c r="R80" s="1037"/>
      <c r="S80" s="1037"/>
      <c r="T80" s="1037"/>
      <c r="U80" s="1037"/>
      <c r="V80" s="1037"/>
      <c r="W80" s="1038"/>
    </row>
    <row r="81" spans="1:24" ht="13.5" thickTop="1" x14ac:dyDescent="0.2">
      <c r="A81" s="3113" t="s">
        <v>1301</v>
      </c>
      <c r="B81" s="3058"/>
      <c r="C81" s="3058"/>
      <c r="D81" s="3058"/>
      <c r="E81" s="3058"/>
      <c r="F81" s="3058"/>
      <c r="G81" s="3058"/>
      <c r="H81" s="3058"/>
      <c r="I81" s="3058"/>
      <c r="J81" s="3058"/>
      <c r="K81" s="3058"/>
      <c r="L81" s="3058"/>
      <c r="M81" s="3058"/>
      <c r="N81" s="3058"/>
      <c r="O81" s="3058"/>
      <c r="P81" s="3058"/>
      <c r="Q81" s="3058"/>
      <c r="R81" s="3058"/>
      <c r="S81" s="3058"/>
      <c r="T81" s="3058"/>
      <c r="U81" s="3058"/>
      <c r="V81" s="3058"/>
      <c r="W81" s="3059"/>
    </row>
    <row r="82" spans="1:24" ht="11.25" customHeight="1" thickBot="1" x14ac:dyDescent="0.25">
      <c r="A82" s="2859" t="s">
        <v>810</v>
      </c>
      <c r="B82" s="2860"/>
      <c r="C82" s="2860"/>
      <c r="D82" s="2860"/>
      <c r="E82" s="2860"/>
      <c r="F82" s="2860"/>
      <c r="G82" s="2860"/>
      <c r="H82" s="2860"/>
      <c r="I82" s="2860"/>
      <c r="J82" s="2860"/>
      <c r="K82" s="2860"/>
      <c r="L82" s="2860"/>
      <c r="M82" s="2860"/>
      <c r="N82" s="2860"/>
      <c r="O82" s="2860"/>
      <c r="P82" s="2860"/>
      <c r="Q82" s="2860"/>
      <c r="R82" s="2860"/>
      <c r="S82" s="2860"/>
      <c r="T82" s="2860"/>
      <c r="U82" s="2860"/>
      <c r="V82" s="2860"/>
      <c r="W82" s="2861"/>
      <c r="X82" s="1039"/>
    </row>
    <row r="83" spans="1:24" x14ac:dyDescent="0.2">
      <c r="B83" s="1416" t="s">
        <v>907</v>
      </c>
      <c r="U83" s="1415" t="str">
        <f>A4</f>
        <v>CERTIFICADO DE CALIBRACIÓN N° LSCD 029-2021</v>
      </c>
      <c r="V83" s="1415"/>
    </row>
  </sheetData>
  <autoFilter ref="C48:T63" xr:uid="{00000000-0009-0000-0000-00001F000000}">
    <filterColumn colId="0" showButton="0">
      <filters blank="1">
        <filter val="20,0 µSv/h"/>
        <filter val="200,0 µSv/h"/>
        <filter val="5,000 µSv/h"/>
        <filter val="50,000 µSv/h"/>
        <filter val="500,0 µSv/h"/>
        <filter val="8,0 µSv/h"/>
        <filter val="80,000 µSv/h"/>
        <filter val="800,0 µSv/h"/>
        <filter val="VCV = Valor convencionalmente verdadero"/>
      </filters>
    </filterColumn>
    <filterColumn colId="2" showButton="0"/>
    <filterColumn colId="3" showButton="0"/>
    <filterColumn colId="4" showButton="0"/>
    <filterColumn colId="6" showButton="0"/>
    <filterColumn colId="7" showButton="0"/>
    <filterColumn colId="8" showButton="0"/>
    <filterColumn colId="10" showButton="0"/>
    <filterColumn colId="12" showButton="0"/>
    <filterColumn colId="13" showButton="0"/>
  </autoFilter>
  <mergeCells count="117">
    <mergeCell ref="Q8:V14"/>
    <mergeCell ref="E14:N15"/>
    <mergeCell ref="D14:D15"/>
    <mergeCell ref="B14:C15"/>
    <mergeCell ref="E26:O29"/>
    <mergeCell ref="E38:N39"/>
    <mergeCell ref="C38:C39"/>
    <mergeCell ref="D38:D39"/>
    <mergeCell ref="E61:H61"/>
    <mergeCell ref="E60:H60"/>
    <mergeCell ref="E59:H59"/>
    <mergeCell ref="E58:H58"/>
    <mergeCell ref="E57:H57"/>
    <mergeCell ref="E56:H56"/>
    <mergeCell ref="I58:L58"/>
    <mergeCell ref="I57:L57"/>
    <mergeCell ref="I56:L56"/>
    <mergeCell ref="I55:L55"/>
    <mergeCell ref="I54:L54"/>
    <mergeCell ref="I53:L53"/>
    <mergeCell ref="O61:Q61"/>
    <mergeCell ref="C60:D60"/>
    <mergeCell ref="M60:N60"/>
    <mergeCell ref="S58:T58"/>
    <mergeCell ref="A66:W66"/>
    <mergeCell ref="A67:W67"/>
    <mergeCell ref="A81:W81"/>
    <mergeCell ref="A82:W82"/>
    <mergeCell ref="E49:H50"/>
    <mergeCell ref="I49:L50"/>
    <mergeCell ref="I62:L62"/>
    <mergeCell ref="I61:L61"/>
    <mergeCell ref="I60:L60"/>
    <mergeCell ref="S61:T61"/>
    <mergeCell ref="C62:D62"/>
    <mergeCell ref="M62:N62"/>
    <mergeCell ref="O62:Q62"/>
    <mergeCell ref="S62:T62"/>
    <mergeCell ref="E62:H62"/>
    <mergeCell ref="O60:Q60"/>
    <mergeCell ref="S60:T60"/>
    <mergeCell ref="C61:D61"/>
    <mergeCell ref="M61:N61"/>
    <mergeCell ref="C77:R78"/>
    <mergeCell ref="S55:T55"/>
    <mergeCell ref="S52:T52"/>
    <mergeCell ref="R48:R50"/>
    <mergeCell ref="S50:T50"/>
    <mergeCell ref="C59:D59"/>
    <mergeCell ref="M59:N59"/>
    <mergeCell ref="O59:Q59"/>
    <mergeCell ref="S59:T59"/>
    <mergeCell ref="I59:L59"/>
    <mergeCell ref="R60:R62"/>
    <mergeCell ref="O57:Q57"/>
    <mergeCell ref="S57:T57"/>
    <mergeCell ref="C58:D58"/>
    <mergeCell ref="M58:N58"/>
    <mergeCell ref="O58:Q58"/>
    <mergeCell ref="C57:D57"/>
    <mergeCell ref="M57:N57"/>
    <mergeCell ref="R57:R58"/>
    <mergeCell ref="C56:D56"/>
    <mergeCell ref="M56:N56"/>
    <mergeCell ref="O56:Q56"/>
    <mergeCell ref="S56:T56"/>
    <mergeCell ref="E55:H55"/>
    <mergeCell ref="O54:Q54"/>
    <mergeCell ref="S54:T54"/>
    <mergeCell ref="C55:D55"/>
    <mergeCell ref="M55:N55"/>
    <mergeCell ref="O55:Q55"/>
    <mergeCell ref="C54:D54"/>
    <mergeCell ref="M54:N54"/>
    <mergeCell ref="E54:H54"/>
    <mergeCell ref="R54:R56"/>
    <mergeCell ref="C53:D53"/>
    <mergeCell ref="M53:N53"/>
    <mergeCell ref="O53:Q53"/>
    <mergeCell ref="S53:T53"/>
    <mergeCell ref="I52:L52"/>
    <mergeCell ref="O51:Q51"/>
    <mergeCell ref="S51:T51"/>
    <mergeCell ref="C52:D52"/>
    <mergeCell ref="M52:N52"/>
    <mergeCell ref="O52:Q52"/>
    <mergeCell ref="C51:D51"/>
    <mergeCell ref="M51:N51"/>
    <mergeCell ref="I51:L51"/>
    <mergeCell ref="E53:H53"/>
    <mergeCell ref="E52:H52"/>
    <mergeCell ref="E51:H51"/>
    <mergeCell ref="R51:R53"/>
    <mergeCell ref="E21:O21"/>
    <mergeCell ref="E22:O24"/>
    <mergeCell ref="A2:W3"/>
    <mergeCell ref="A4:W4"/>
    <mergeCell ref="A5:W5"/>
    <mergeCell ref="A6:W6"/>
    <mergeCell ref="E9:O9"/>
    <mergeCell ref="C48:D50"/>
    <mergeCell ref="E48:H48"/>
    <mergeCell ref="I48:L48"/>
    <mergeCell ref="M48:N50"/>
    <mergeCell ref="O48:Q50"/>
    <mergeCell ref="E32:O32"/>
    <mergeCell ref="E34:O34"/>
    <mergeCell ref="E35:L35"/>
    <mergeCell ref="E36:L36"/>
    <mergeCell ref="E37:L37"/>
    <mergeCell ref="E40:O40"/>
    <mergeCell ref="E42:G42"/>
    <mergeCell ref="E44:G44"/>
    <mergeCell ref="E17:O17"/>
    <mergeCell ref="E18:O18"/>
    <mergeCell ref="E19:O19"/>
    <mergeCell ref="E20:O20"/>
  </mergeCells>
  <conditionalFormatting sqref="E9 P9 E43:E44 E33:P33 L44:P44 E8:P8 E10:P10 M43:P43 L42:P42 P34:P41 E38 E40:E41">
    <cfRule type="cellIs" dxfId="126" priority="6" operator="equal">
      <formula>0</formula>
    </cfRule>
  </conditionalFormatting>
  <conditionalFormatting sqref="E9 P9 E43:E44 E33:P33 L44:P44 E8:P8 E10:P10 M43:P43 L42:P42 P34:P41 E38 E40:E41">
    <cfRule type="containsErrors" dxfId="125" priority="5">
      <formula>ISERROR(E8)</formula>
    </cfRule>
  </conditionalFormatting>
  <conditionalFormatting sqref="E34:E37">
    <cfRule type="cellIs" dxfId="124" priority="4" operator="equal">
      <formula>0</formula>
    </cfRule>
  </conditionalFormatting>
  <conditionalFormatting sqref="E34:E37">
    <cfRule type="containsErrors" dxfId="123" priority="3">
      <formula>ISERROR(E34)</formula>
    </cfRule>
  </conditionalFormatting>
  <conditionalFormatting sqref="E42">
    <cfRule type="cellIs" dxfId="122" priority="2" operator="equal">
      <formula>0</formula>
    </cfRule>
  </conditionalFormatting>
  <conditionalFormatting sqref="E42">
    <cfRule type="containsErrors" dxfId="121" priority="1">
      <formula>ISERROR(E42)</formula>
    </cfRule>
  </conditionalFormatting>
  <pageMargins left="0.15" right="7.874015748031496E-2" top="0.17" bottom="0" header="0.31496062992125984" footer="0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filterMode="1"/>
  <dimension ref="A1:W83"/>
  <sheetViews>
    <sheetView view="pageLayout" topLeftCell="A17" zoomScaleNormal="100" workbookViewId="0">
      <selection activeCell="C72" sqref="C72"/>
    </sheetView>
  </sheetViews>
  <sheetFormatPr baseColWidth="10" defaultColWidth="11.42578125" defaultRowHeight="12.75" x14ac:dyDescent="0.2"/>
  <cols>
    <col min="1" max="1" width="1.140625" style="1008" customWidth="1"/>
    <col min="2" max="2" width="2.42578125" style="1008" customWidth="1"/>
    <col min="3" max="3" width="22.28515625" style="1008" customWidth="1"/>
    <col min="4" max="4" width="1.5703125" style="1008" customWidth="1"/>
    <col min="5" max="5" width="8.5703125" style="1008" customWidth="1"/>
    <col min="6" max="6" width="1.85546875" style="1008" customWidth="1"/>
    <col min="7" max="7" width="4.7109375" style="1008" customWidth="1"/>
    <col min="8" max="8" width="5.85546875" style="1008" customWidth="1"/>
    <col min="9" max="9" width="3.5703125" style="1008" customWidth="1"/>
    <col min="10" max="10" width="6.140625" style="1008" customWidth="1"/>
    <col min="11" max="11" width="3.28515625" style="1008" customWidth="1"/>
    <col min="12" max="12" width="6.42578125" style="1008" customWidth="1"/>
    <col min="13" max="13" width="6.5703125" style="1008" customWidth="1"/>
    <col min="14" max="14" width="4.85546875" style="1008" customWidth="1"/>
    <col min="15" max="15" width="0.42578125" style="1008" customWidth="1"/>
    <col min="16" max="16" width="0.85546875" style="1008" customWidth="1"/>
    <col min="17" max="17" width="3.85546875" style="1008" customWidth="1"/>
    <col min="18" max="18" width="9.85546875" style="1008" customWidth="1"/>
    <col min="19" max="19" width="1.140625" style="1008" customWidth="1"/>
    <col min="20" max="20" width="2" style="1008" customWidth="1"/>
    <col min="21" max="21" width="1.42578125" style="1008" customWidth="1"/>
    <col min="22" max="22" width="0.85546875" style="1008" customWidth="1"/>
    <col min="23" max="241" width="11.42578125" style="1008"/>
    <col min="242" max="242" width="2.28515625" style="1008" customWidth="1"/>
    <col min="243" max="243" width="2.7109375" style="1008" customWidth="1"/>
    <col min="244" max="244" width="2.42578125" style="1008" customWidth="1"/>
    <col min="245" max="245" width="17.7109375" style="1008" customWidth="1"/>
    <col min="246" max="246" width="1.5703125" style="1008" customWidth="1"/>
    <col min="247" max="247" width="6.42578125" style="1008" customWidth="1"/>
    <col min="248" max="248" width="13.140625" style="1008" customWidth="1"/>
    <col min="249" max="249" width="1" style="1008" customWidth="1"/>
    <col min="250" max="250" width="19.5703125" style="1008" customWidth="1"/>
    <col min="251" max="251" width="0.85546875" style="1008" customWidth="1"/>
    <col min="252" max="252" width="14.42578125" style="1008" customWidth="1"/>
    <col min="253" max="253" width="12.85546875" style="1008" customWidth="1"/>
    <col min="254" max="254" width="6.140625" style="1008" customWidth="1"/>
    <col min="255" max="256" width="11.42578125" style="1008"/>
    <col min="257" max="257" width="15.42578125" style="1008" customWidth="1"/>
    <col min="258" max="497" width="11.42578125" style="1008"/>
    <col min="498" max="498" width="2.28515625" style="1008" customWidth="1"/>
    <col min="499" max="499" width="2.7109375" style="1008" customWidth="1"/>
    <col min="500" max="500" width="2.42578125" style="1008" customWidth="1"/>
    <col min="501" max="501" width="17.7109375" style="1008" customWidth="1"/>
    <col min="502" max="502" width="1.5703125" style="1008" customWidth="1"/>
    <col min="503" max="503" width="6.42578125" style="1008" customWidth="1"/>
    <col min="504" max="504" width="13.140625" style="1008" customWidth="1"/>
    <col min="505" max="505" width="1" style="1008" customWidth="1"/>
    <col min="506" max="506" width="19.5703125" style="1008" customWidth="1"/>
    <col min="507" max="507" width="0.85546875" style="1008" customWidth="1"/>
    <col min="508" max="508" width="14.42578125" style="1008" customWidth="1"/>
    <col min="509" max="509" width="12.85546875" style="1008" customWidth="1"/>
    <col min="510" max="510" width="6.140625" style="1008" customWidth="1"/>
    <col min="511" max="512" width="11.42578125" style="1008"/>
    <col min="513" max="513" width="15.42578125" style="1008" customWidth="1"/>
    <col min="514" max="753" width="11.42578125" style="1008"/>
    <col min="754" max="754" width="2.28515625" style="1008" customWidth="1"/>
    <col min="755" max="755" width="2.7109375" style="1008" customWidth="1"/>
    <col min="756" max="756" width="2.42578125" style="1008" customWidth="1"/>
    <col min="757" max="757" width="17.7109375" style="1008" customWidth="1"/>
    <col min="758" max="758" width="1.5703125" style="1008" customWidth="1"/>
    <col min="759" max="759" width="6.42578125" style="1008" customWidth="1"/>
    <col min="760" max="760" width="13.140625" style="1008" customWidth="1"/>
    <col min="761" max="761" width="1" style="1008" customWidth="1"/>
    <col min="762" max="762" width="19.5703125" style="1008" customWidth="1"/>
    <col min="763" max="763" width="0.85546875" style="1008" customWidth="1"/>
    <col min="764" max="764" width="14.42578125" style="1008" customWidth="1"/>
    <col min="765" max="765" width="12.85546875" style="1008" customWidth="1"/>
    <col min="766" max="766" width="6.140625" style="1008" customWidth="1"/>
    <col min="767" max="768" width="11.42578125" style="1008"/>
    <col min="769" max="769" width="15.42578125" style="1008" customWidth="1"/>
    <col min="770" max="1009" width="11.42578125" style="1008"/>
    <col min="1010" max="1010" width="2.28515625" style="1008" customWidth="1"/>
    <col min="1011" max="1011" width="2.7109375" style="1008" customWidth="1"/>
    <col min="1012" max="1012" width="2.42578125" style="1008" customWidth="1"/>
    <col min="1013" max="1013" width="17.7109375" style="1008" customWidth="1"/>
    <col min="1014" max="1014" width="1.5703125" style="1008" customWidth="1"/>
    <col min="1015" max="1015" width="6.42578125" style="1008" customWidth="1"/>
    <col min="1016" max="1016" width="13.140625" style="1008" customWidth="1"/>
    <col min="1017" max="1017" width="1" style="1008" customWidth="1"/>
    <col min="1018" max="1018" width="19.5703125" style="1008" customWidth="1"/>
    <col min="1019" max="1019" width="0.85546875" style="1008" customWidth="1"/>
    <col min="1020" max="1020" width="14.42578125" style="1008" customWidth="1"/>
    <col min="1021" max="1021" width="12.85546875" style="1008" customWidth="1"/>
    <col min="1022" max="1022" width="6.140625" style="1008" customWidth="1"/>
    <col min="1023" max="1024" width="11.42578125" style="1008"/>
    <col min="1025" max="1025" width="15.42578125" style="1008" customWidth="1"/>
    <col min="1026" max="1265" width="11.42578125" style="1008"/>
    <col min="1266" max="1266" width="2.28515625" style="1008" customWidth="1"/>
    <col min="1267" max="1267" width="2.7109375" style="1008" customWidth="1"/>
    <col min="1268" max="1268" width="2.42578125" style="1008" customWidth="1"/>
    <col min="1269" max="1269" width="17.7109375" style="1008" customWidth="1"/>
    <col min="1270" max="1270" width="1.5703125" style="1008" customWidth="1"/>
    <col min="1271" max="1271" width="6.42578125" style="1008" customWidth="1"/>
    <col min="1272" max="1272" width="13.140625" style="1008" customWidth="1"/>
    <col min="1273" max="1273" width="1" style="1008" customWidth="1"/>
    <col min="1274" max="1274" width="19.5703125" style="1008" customWidth="1"/>
    <col min="1275" max="1275" width="0.85546875" style="1008" customWidth="1"/>
    <col min="1276" max="1276" width="14.42578125" style="1008" customWidth="1"/>
    <col min="1277" max="1277" width="12.85546875" style="1008" customWidth="1"/>
    <col min="1278" max="1278" width="6.140625" style="1008" customWidth="1"/>
    <col min="1279" max="1280" width="11.42578125" style="1008"/>
    <col min="1281" max="1281" width="15.42578125" style="1008" customWidth="1"/>
    <col min="1282" max="1521" width="11.42578125" style="1008"/>
    <col min="1522" max="1522" width="2.28515625" style="1008" customWidth="1"/>
    <col min="1523" max="1523" width="2.7109375" style="1008" customWidth="1"/>
    <col min="1524" max="1524" width="2.42578125" style="1008" customWidth="1"/>
    <col min="1525" max="1525" width="17.7109375" style="1008" customWidth="1"/>
    <col min="1526" max="1526" width="1.5703125" style="1008" customWidth="1"/>
    <col min="1527" max="1527" width="6.42578125" style="1008" customWidth="1"/>
    <col min="1528" max="1528" width="13.140625" style="1008" customWidth="1"/>
    <col min="1529" max="1529" width="1" style="1008" customWidth="1"/>
    <col min="1530" max="1530" width="19.5703125" style="1008" customWidth="1"/>
    <col min="1531" max="1531" width="0.85546875" style="1008" customWidth="1"/>
    <col min="1532" max="1532" width="14.42578125" style="1008" customWidth="1"/>
    <col min="1533" max="1533" width="12.85546875" style="1008" customWidth="1"/>
    <col min="1534" max="1534" width="6.140625" style="1008" customWidth="1"/>
    <col min="1535" max="1536" width="11.42578125" style="1008"/>
    <col min="1537" max="1537" width="15.42578125" style="1008" customWidth="1"/>
    <col min="1538" max="1777" width="11.42578125" style="1008"/>
    <col min="1778" max="1778" width="2.28515625" style="1008" customWidth="1"/>
    <col min="1779" max="1779" width="2.7109375" style="1008" customWidth="1"/>
    <col min="1780" max="1780" width="2.42578125" style="1008" customWidth="1"/>
    <col min="1781" max="1781" width="17.7109375" style="1008" customWidth="1"/>
    <col min="1782" max="1782" width="1.5703125" style="1008" customWidth="1"/>
    <col min="1783" max="1783" width="6.42578125" style="1008" customWidth="1"/>
    <col min="1784" max="1784" width="13.140625" style="1008" customWidth="1"/>
    <col min="1785" max="1785" width="1" style="1008" customWidth="1"/>
    <col min="1786" max="1786" width="19.5703125" style="1008" customWidth="1"/>
    <col min="1787" max="1787" width="0.85546875" style="1008" customWidth="1"/>
    <col min="1788" max="1788" width="14.42578125" style="1008" customWidth="1"/>
    <col min="1789" max="1789" width="12.85546875" style="1008" customWidth="1"/>
    <col min="1790" max="1790" width="6.140625" style="1008" customWidth="1"/>
    <col min="1791" max="1792" width="11.42578125" style="1008"/>
    <col min="1793" max="1793" width="15.42578125" style="1008" customWidth="1"/>
    <col min="1794" max="2033" width="11.42578125" style="1008"/>
    <col min="2034" max="2034" width="2.28515625" style="1008" customWidth="1"/>
    <col min="2035" max="2035" width="2.7109375" style="1008" customWidth="1"/>
    <col min="2036" max="2036" width="2.42578125" style="1008" customWidth="1"/>
    <col min="2037" max="2037" width="17.7109375" style="1008" customWidth="1"/>
    <col min="2038" max="2038" width="1.5703125" style="1008" customWidth="1"/>
    <col min="2039" max="2039" width="6.42578125" style="1008" customWidth="1"/>
    <col min="2040" max="2040" width="13.140625" style="1008" customWidth="1"/>
    <col min="2041" max="2041" width="1" style="1008" customWidth="1"/>
    <col min="2042" max="2042" width="19.5703125" style="1008" customWidth="1"/>
    <col min="2043" max="2043" width="0.85546875" style="1008" customWidth="1"/>
    <col min="2044" max="2044" width="14.42578125" style="1008" customWidth="1"/>
    <col min="2045" max="2045" width="12.85546875" style="1008" customWidth="1"/>
    <col min="2046" max="2046" width="6.140625" style="1008" customWidth="1"/>
    <col min="2047" max="2048" width="11.42578125" style="1008"/>
    <col min="2049" max="2049" width="15.42578125" style="1008" customWidth="1"/>
    <col min="2050" max="2289" width="11.42578125" style="1008"/>
    <col min="2290" max="2290" width="2.28515625" style="1008" customWidth="1"/>
    <col min="2291" max="2291" width="2.7109375" style="1008" customWidth="1"/>
    <col min="2292" max="2292" width="2.42578125" style="1008" customWidth="1"/>
    <col min="2293" max="2293" width="17.7109375" style="1008" customWidth="1"/>
    <col min="2294" max="2294" width="1.5703125" style="1008" customWidth="1"/>
    <col min="2295" max="2295" width="6.42578125" style="1008" customWidth="1"/>
    <col min="2296" max="2296" width="13.140625" style="1008" customWidth="1"/>
    <col min="2297" max="2297" width="1" style="1008" customWidth="1"/>
    <col min="2298" max="2298" width="19.5703125" style="1008" customWidth="1"/>
    <col min="2299" max="2299" width="0.85546875" style="1008" customWidth="1"/>
    <col min="2300" max="2300" width="14.42578125" style="1008" customWidth="1"/>
    <col min="2301" max="2301" width="12.85546875" style="1008" customWidth="1"/>
    <col min="2302" max="2302" width="6.140625" style="1008" customWidth="1"/>
    <col min="2303" max="2304" width="11.42578125" style="1008"/>
    <col min="2305" max="2305" width="15.42578125" style="1008" customWidth="1"/>
    <col min="2306" max="2545" width="11.42578125" style="1008"/>
    <col min="2546" max="2546" width="2.28515625" style="1008" customWidth="1"/>
    <col min="2547" max="2547" width="2.7109375" style="1008" customWidth="1"/>
    <col min="2548" max="2548" width="2.42578125" style="1008" customWidth="1"/>
    <col min="2549" max="2549" width="17.7109375" style="1008" customWidth="1"/>
    <col min="2550" max="2550" width="1.5703125" style="1008" customWidth="1"/>
    <col min="2551" max="2551" width="6.42578125" style="1008" customWidth="1"/>
    <col min="2552" max="2552" width="13.140625" style="1008" customWidth="1"/>
    <col min="2553" max="2553" width="1" style="1008" customWidth="1"/>
    <col min="2554" max="2554" width="19.5703125" style="1008" customWidth="1"/>
    <col min="2555" max="2555" width="0.85546875" style="1008" customWidth="1"/>
    <col min="2556" max="2556" width="14.42578125" style="1008" customWidth="1"/>
    <col min="2557" max="2557" width="12.85546875" style="1008" customWidth="1"/>
    <col min="2558" max="2558" width="6.140625" style="1008" customWidth="1"/>
    <col min="2559" max="2560" width="11.42578125" style="1008"/>
    <col min="2561" max="2561" width="15.42578125" style="1008" customWidth="1"/>
    <col min="2562" max="2801" width="11.42578125" style="1008"/>
    <col min="2802" max="2802" width="2.28515625" style="1008" customWidth="1"/>
    <col min="2803" max="2803" width="2.7109375" style="1008" customWidth="1"/>
    <col min="2804" max="2804" width="2.42578125" style="1008" customWidth="1"/>
    <col min="2805" max="2805" width="17.7109375" style="1008" customWidth="1"/>
    <col min="2806" max="2806" width="1.5703125" style="1008" customWidth="1"/>
    <col min="2807" max="2807" width="6.42578125" style="1008" customWidth="1"/>
    <col min="2808" max="2808" width="13.140625" style="1008" customWidth="1"/>
    <col min="2809" max="2809" width="1" style="1008" customWidth="1"/>
    <col min="2810" max="2810" width="19.5703125" style="1008" customWidth="1"/>
    <col min="2811" max="2811" width="0.85546875" style="1008" customWidth="1"/>
    <col min="2812" max="2812" width="14.42578125" style="1008" customWidth="1"/>
    <col min="2813" max="2813" width="12.85546875" style="1008" customWidth="1"/>
    <col min="2814" max="2814" width="6.140625" style="1008" customWidth="1"/>
    <col min="2815" max="2816" width="11.42578125" style="1008"/>
    <col min="2817" max="2817" width="15.42578125" style="1008" customWidth="1"/>
    <col min="2818" max="3057" width="11.42578125" style="1008"/>
    <col min="3058" max="3058" width="2.28515625" style="1008" customWidth="1"/>
    <col min="3059" max="3059" width="2.7109375" style="1008" customWidth="1"/>
    <col min="3060" max="3060" width="2.42578125" style="1008" customWidth="1"/>
    <col min="3061" max="3061" width="17.7109375" style="1008" customWidth="1"/>
    <col min="3062" max="3062" width="1.5703125" style="1008" customWidth="1"/>
    <col min="3063" max="3063" width="6.42578125" style="1008" customWidth="1"/>
    <col min="3064" max="3064" width="13.140625" style="1008" customWidth="1"/>
    <col min="3065" max="3065" width="1" style="1008" customWidth="1"/>
    <col min="3066" max="3066" width="19.5703125" style="1008" customWidth="1"/>
    <col min="3067" max="3067" width="0.85546875" style="1008" customWidth="1"/>
    <col min="3068" max="3068" width="14.42578125" style="1008" customWidth="1"/>
    <col min="3069" max="3069" width="12.85546875" style="1008" customWidth="1"/>
    <col min="3070" max="3070" width="6.140625" style="1008" customWidth="1"/>
    <col min="3071" max="3072" width="11.42578125" style="1008"/>
    <col min="3073" max="3073" width="15.42578125" style="1008" customWidth="1"/>
    <col min="3074" max="3313" width="11.42578125" style="1008"/>
    <col min="3314" max="3314" width="2.28515625" style="1008" customWidth="1"/>
    <col min="3315" max="3315" width="2.7109375" style="1008" customWidth="1"/>
    <col min="3316" max="3316" width="2.42578125" style="1008" customWidth="1"/>
    <col min="3317" max="3317" width="17.7109375" style="1008" customWidth="1"/>
    <col min="3318" max="3318" width="1.5703125" style="1008" customWidth="1"/>
    <col min="3319" max="3319" width="6.42578125" style="1008" customWidth="1"/>
    <col min="3320" max="3320" width="13.140625" style="1008" customWidth="1"/>
    <col min="3321" max="3321" width="1" style="1008" customWidth="1"/>
    <col min="3322" max="3322" width="19.5703125" style="1008" customWidth="1"/>
    <col min="3323" max="3323" width="0.85546875" style="1008" customWidth="1"/>
    <col min="3324" max="3324" width="14.42578125" style="1008" customWidth="1"/>
    <col min="3325" max="3325" width="12.85546875" style="1008" customWidth="1"/>
    <col min="3326" max="3326" width="6.140625" style="1008" customWidth="1"/>
    <col min="3327" max="3328" width="11.42578125" style="1008"/>
    <col min="3329" max="3329" width="15.42578125" style="1008" customWidth="1"/>
    <col min="3330" max="3569" width="11.42578125" style="1008"/>
    <col min="3570" max="3570" width="2.28515625" style="1008" customWidth="1"/>
    <col min="3571" max="3571" width="2.7109375" style="1008" customWidth="1"/>
    <col min="3572" max="3572" width="2.42578125" style="1008" customWidth="1"/>
    <col min="3573" max="3573" width="17.7109375" style="1008" customWidth="1"/>
    <col min="3574" max="3574" width="1.5703125" style="1008" customWidth="1"/>
    <col min="3575" max="3575" width="6.42578125" style="1008" customWidth="1"/>
    <col min="3576" max="3576" width="13.140625" style="1008" customWidth="1"/>
    <col min="3577" max="3577" width="1" style="1008" customWidth="1"/>
    <col min="3578" max="3578" width="19.5703125" style="1008" customWidth="1"/>
    <col min="3579" max="3579" width="0.85546875" style="1008" customWidth="1"/>
    <col min="3580" max="3580" width="14.42578125" style="1008" customWidth="1"/>
    <col min="3581" max="3581" width="12.85546875" style="1008" customWidth="1"/>
    <col min="3582" max="3582" width="6.140625" style="1008" customWidth="1"/>
    <col min="3583" max="3584" width="11.42578125" style="1008"/>
    <col min="3585" max="3585" width="15.42578125" style="1008" customWidth="1"/>
    <col min="3586" max="3825" width="11.42578125" style="1008"/>
    <col min="3826" max="3826" width="2.28515625" style="1008" customWidth="1"/>
    <col min="3827" max="3827" width="2.7109375" style="1008" customWidth="1"/>
    <col min="3828" max="3828" width="2.42578125" style="1008" customWidth="1"/>
    <col min="3829" max="3829" width="17.7109375" style="1008" customWidth="1"/>
    <col min="3830" max="3830" width="1.5703125" style="1008" customWidth="1"/>
    <col min="3831" max="3831" width="6.42578125" style="1008" customWidth="1"/>
    <col min="3832" max="3832" width="13.140625" style="1008" customWidth="1"/>
    <col min="3833" max="3833" width="1" style="1008" customWidth="1"/>
    <col min="3834" max="3834" width="19.5703125" style="1008" customWidth="1"/>
    <col min="3835" max="3835" width="0.85546875" style="1008" customWidth="1"/>
    <col min="3836" max="3836" width="14.42578125" style="1008" customWidth="1"/>
    <col min="3837" max="3837" width="12.85546875" style="1008" customWidth="1"/>
    <col min="3838" max="3838" width="6.140625" style="1008" customWidth="1"/>
    <col min="3839" max="3840" width="11.42578125" style="1008"/>
    <col min="3841" max="3841" width="15.42578125" style="1008" customWidth="1"/>
    <col min="3842" max="4081" width="11.42578125" style="1008"/>
    <col min="4082" max="4082" width="2.28515625" style="1008" customWidth="1"/>
    <col min="4083" max="4083" width="2.7109375" style="1008" customWidth="1"/>
    <col min="4084" max="4084" width="2.42578125" style="1008" customWidth="1"/>
    <col min="4085" max="4085" width="17.7109375" style="1008" customWidth="1"/>
    <col min="4086" max="4086" width="1.5703125" style="1008" customWidth="1"/>
    <col min="4087" max="4087" width="6.42578125" style="1008" customWidth="1"/>
    <col min="4088" max="4088" width="13.140625" style="1008" customWidth="1"/>
    <col min="4089" max="4089" width="1" style="1008" customWidth="1"/>
    <col min="4090" max="4090" width="19.5703125" style="1008" customWidth="1"/>
    <col min="4091" max="4091" width="0.85546875" style="1008" customWidth="1"/>
    <col min="4092" max="4092" width="14.42578125" style="1008" customWidth="1"/>
    <col min="4093" max="4093" width="12.85546875" style="1008" customWidth="1"/>
    <col min="4094" max="4094" width="6.140625" style="1008" customWidth="1"/>
    <col min="4095" max="4096" width="11.42578125" style="1008"/>
    <col min="4097" max="4097" width="15.42578125" style="1008" customWidth="1"/>
    <col min="4098" max="4337" width="11.42578125" style="1008"/>
    <col min="4338" max="4338" width="2.28515625" style="1008" customWidth="1"/>
    <col min="4339" max="4339" width="2.7109375" style="1008" customWidth="1"/>
    <col min="4340" max="4340" width="2.42578125" style="1008" customWidth="1"/>
    <col min="4341" max="4341" width="17.7109375" style="1008" customWidth="1"/>
    <col min="4342" max="4342" width="1.5703125" style="1008" customWidth="1"/>
    <col min="4343" max="4343" width="6.42578125" style="1008" customWidth="1"/>
    <col min="4344" max="4344" width="13.140625" style="1008" customWidth="1"/>
    <col min="4345" max="4345" width="1" style="1008" customWidth="1"/>
    <col min="4346" max="4346" width="19.5703125" style="1008" customWidth="1"/>
    <col min="4347" max="4347" width="0.85546875" style="1008" customWidth="1"/>
    <col min="4348" max="4348" width="14.42578125" style="1008" customWidth="1"/>
    <col min="4349" max="4349" width="12.85546875" style="1008" customWidth="1"/>
    <col min="4350" max="4350" width="6.140625" style="1008" customWidth="1"/>
    <col min="4351" max="4352" width="11.42578125" style="1008"/>
    <col min="4353" max="4353" width="15.42578125" style="1008" customWidth="1"/>
    <col min="4354" max="4593" width="11.42578125" style="1008"/>
    <col min="4594" max="4594" width="2.28515625" style="1008" customWidth="1"/>
    <col min="4595" max="4595" width="2.7109375" style="1008" customWidth="1"/>
    <col min="4596" max="4596" width="2.42578125" style="1008" customWidth="1"/>
    <col min="4597" max="4597" width="17.7109375" style="1008" customWidth="1"/>
    <col min="4598" max="4598" width="1.5703125" style="1008" customWidth="1"/>
    <col min="4599" max="4599" width="6.42578125" style="1008" customWidth="1"/>
    <col min="4600" max="4600" width="13.140625" style="1008" customWidth="1"/>
    <col min="4601" max="4601" width="1" style="1008" customWidth="1"/>
    <col min="4602" max="4602" width="19.5703125" style="1008" customWidth="1"/>
    <col min="4603" max="4603" width="0.85546875" style="1008" customWidth="1"/>
    <col min="4604" max="4604" width="14.42578125" style="1008" customWidth="1"/>
    <col min="4605" max="4605" width="12.85546875" style="1008" customWidth="1"/>
    <col min="4606" max="4606" width="6.140625" style="1008" customWidth="1"/>
    <col min="4607" max="4608" width="11.42578125" style="1008"/>
    <col min="4609" max="4609" width="15.42578125" style="1008" customWidth="1"/>
    <col min="4610" max="4849" width="11.42578125" style="1008"/>
    <col min="4850" max="4850" width="2.28515625" style="1008" customWidth="1"/>
    <col min="4851" max="4851" width="2.7109375" style="1008" customWidth="1"/>
    <col min="4852" max="4852" width="2.42578125" style="1008" customWidth="1"/>
    <col min="4853" max="4853" width="17.7109375" style="1008" customWidth="1"/>
    <col min="4854" max="4854" width="1.5703125" style="1008" customWidth="1"/>
    <col min="4855" max="4855" width="6.42578125" style="1008" customWidth="1"/>
    <col min="4856" max="4856" width="13.140625" style="1008" customWidth="1"/>
    <col min="4857" max="4857" width="1" style="1008" customWidth="1"/>
    <col min="4858" max="4858" width="19.5703125" style="1008" customWidth="1"/>
    <col min="4859" max="4859" width="0.85546875" style="1008" customWidth="1"/>
    <col min="4860" max="4860" width="14.42578125" style="1008" customWidth="1"/>
    <col min="4861" max="4861" width="12.85546875" style="1008" customWidth="1"/>
    <col min="4862" max="4862" width="6.140625" style="1008" customWidth="1"/>
    <col min="4863" max="4864" width="11.42578125" style="1008"/>
    <col min="4865" max="4865" width="15.42578125" style="1008" customWidth="1"/>
    <col min="4866" max="5105" width="11.42578125" style="1008"/>
    <col min="5106" max="5106" width="2.28515625" style="1008" customWidth="1"/>
    <col min="5107" max="5107" width="2.7109375" style="1008" customWidth="1"/>
    <col min="5108" max="5108" width="2.42578125" style="1008" customWidth="1"/>
    <col min="5109" max="5109" width="17.7109375" style="1008" customWidth="1"/>
    <col min="5110" max="5110" width="1.5703125" style="1008" customWidth="1"/>
    <col min="5111" max="5111" width="6.42578125" style="1008" customWidth="1"/>
    <col min="5112" max="5112" width="13.140625" style="1008" customWidth="1"/>
    <col min="5113" max="5113" width="1" style="1008" customWidth="1"/>
    <col min="5114" max="5114" width="19.5703125" style="1008" customWidth="1"/>
    <col min="5115" max="5115" width="0.85546875" style="1008" customWidth="1"/>
    <col min="5116" max="5116" width="14.42578125" style="1008" customWidth="1"/>
    <col min="5117" max="5117" width="12.85546875" style="1008" customWidth="1"/>
    <col min="5118" max="5118" width="6.140625" style="1008" customWidth="1"/>
    <col min="5119" max="5120" width="11.42578125" style="1008"/>
    <col min="5121" max="5121" width="15.42578125" style="1008" customWidth="1"/>
    <col min="5122" max="5361" width="11.42578125" style="1008"/>
    <col min="5362" max="5362" width="2.28515625" style="1008" customWidth="1"/>
    <col min="5363" max="5363" width="2.7109375" style="1008" customWidth="1"/>
    <col min="5364" max="5364" width="2.42578125" style="1008" customWidth="1"/>
    <col min="5365" max="5365" width="17.7109375" style="1008" customWidth="1"/>
    <col min="5366" max="5366" width="1.5703125" style="1008" customWidth="1"/>
    <col min="5367" max="5367" width="6.42578125" style="1008" customWidth="1"/>
    <col min="5368" max="5368" width="13.140625" style="1008" customWidth="1"/>
    <col min="5369" max="5369" width="1" style="1008" customWidth="1"/>
    <col min="5370" max="5370" width="19.5703125" style="1008" customWidth="1"/>
    <col min="5371" max="5371" width="0.85546875" style="1008" customWidth="1"/>
    <col min="5372" max="5372" width="14.42578125" style="1008" customWidth="1"/>
    <col min="5373" max="5373" width="12.85546875" style="1008" customWidth="1"/>
    <col min="5374" max="5374" width="6.140625" style="1008" customWidth="1"/>
    <col min="5375" max="5376" width="11.42578125" style="1008"/>
    <col min="5377" max="5377" width="15.42578125" style="1008" customWidth="1"/>
    <col min="5378" max="5617" width="11.42578125" style="1008"/>
    <col min="5618" max="5618" width="2.28515625" style="1008" customWidth="1"/>
    <col min="5619" max="5619" width="2.7109375" style="1008" customWidth="1"/>
    <col min="5620" max="5620" width="2.42578125" style="1008" customWidth="1"/>
    <col min="5621" max="5621" width="17.7109375" style="1008" customWidth="1"/>
    <col min="5622" max="5622" width="1.5703125" style="1008" customWidth="1"/>
    <col min="5623" max="5623" width="6.42578125" style="1008" customWidth="1"/>
    <col min="5624" max="5624" width="13.140625" style="1008" customWidth="1"/>
    <col min="5625" max="5625" width="1" style="1008" customWidth="1"/>
    <col min="5626" max="5626" width="19.5703125" style="1008" customWidth="1"/>
    <col min="5627" max="5627" width="0.85546875" style="1008" customWidth="1"/>
    <col min="5628" max="5628" width="14.42578125" style="1008" customWidth="1"/>
    <col min="5629" max="5629" width="12.85546875" style="1008" customWidth="1"/>
    <col min="5630" max="5630" width="6.140625" style="1008" customWidth="1"/>
    <col min="5631" max="5632" width="11.42578125" style="1008"/>
    <col min="5633" max="5633" width="15.42578125" style="1008" customWidth="1"/>
    <col min="5634" max="5873" width="11.42578125" style="1008"/>
    <col min="5874" max="5874" width="2.28515625" style="1008" customWidth="1"/>
    <col min="5875" max="5875" width="2.7109375" style="1008" customWidth="1"/>
    <col min="5876" max="5876" width="2.42578125" style="1008" customWidth="1"/>
    <col min="5877" max="5877" width="17.7109375" style="1008" customWidth="1"/>
    <col min="5878" max="5878" width="1.5703125" style="1008" customWidth="1"/>
    <col min="5879" max="5879" width="6.42578125" style="1008" customWidth="1"/>
    <col min="5880" max="5880" width="13.140625" style="1008" customWidth="1"/>
    <col min="5881" max="5881" width="1" style="1008" customWidth="1"/>
    <col min="5882" max="5882" width="19.5703125" style="1008" customWidth="1"/>
    <col min="5883" max="5883" width="0.85546875" style="1008" customWidth="1"/>
    <col min="5884" max="5884" width="14.42578125" style="1008" customWidth="1"/>
    <col min="5885" max="5885" width="12.85546875" style="1008" customWidth="1"/>
    <col min="5886" max="5886" width="6.140625" style="1008" customWidth="1"/>
    <col min="5887" max="5888" width="11.42578125" style="1008"/>
    <col min="5889" max="5889" width="15.42578125" style="1008" customWidth="1"/>
    <col min="5890" max="6129" width="11.42578125" style="1008"/>
    <col min="6130" max="6130" width="2.28515625" style="1008" customWidth="1"/>
    <col min="6131" max="6131" width="2.7109375" style="1008" customWidth="1"/>
    <col min="6132" max="6132" width="2.42578125" style="1008" customWidth="1"/>
    <col min="6133" max="6133" width="17.7109375" style="1008" customWidth="1"/>
    <col min="6134" max="6134" width="1.5703125" style="1008" customWidth="1"/>
    <col min="6135" max="6135" width="6.42578125" style="1008" customWidth="1"/>
    <col min="6136" max="6136" width="13.140625" style="1008" customWidth="1"/>
    <col min="6137" max="6137" width="1" style="1008" customWidth="1"/>
    <col min="6138" max="6138" width="19.5703125" style="1008" customWidth="1"/>
    <col min="6139" max="6139" width="0.85546875" style="1008" customWidth="1"/>
    <col min="6140" max="6140" width="14.42578125" style="1008" customWidth="1"/>
    <col min="6141" max="6141" width="12.85546875" style="1008" customWidth="1"/>
    <col min="6142" max="6142" width="6.140625" style="1008" customWidth="1"/>
    <col min="6143" max="6144" width="11.42578125" style="1008"/>
    <col min="6145" max="6145" width="15.42578125" style="1008" customWidth="1"/>
    <col min="6146" max="6385" width="11.42578125" style="1008"/>
    <col min="6386" max="6386" width="2.28515625" style="1008" customWidth="1"/>
    <col min="6387" max="6387" width="2.7109375" style="1008" customWidth="1"/>
    <col min="6388" max="6388" width="2.42578125" style="1008" customWidth="1"/>
    <col min="6389" max="6389" width="17.7109375" style="1008" customWidth="1"/>
    <col min="6390" max="6390" width="1.5703125" style="1008" customWidth="1"/>
    <col min="6391" max="6391" width="6.42578125" style="1008" customWidth="1"/>
    <col min="6392" max="6392" width="13.140625" style="1008" customWidth="1"/>
    <col min="6393" max="6393" width="1" style="1008" customWidth="1"/>
    <col min="6394" max="6394" width="19.5703125" style="1008" customWidth="1"/>
    <col min="6395" max="6395" width="0.85546875" style="1008" customWidth="1"/>
    <col min="6396" max="6396" width="14.42578125" style="1008" customWidth="1"/>
    <col min="6397" max="6397" width="12.85546875" style="1008" customWidth="1"/>
    <col min="6398" max="6398" width="6.140625" style="1008" customWidth="1"/>
    <col min="6399" max="6400" width="11.42578125" style="1008"/>
    <col min="6401" max="6401" width="15.42578125" style="1008" customWidth="1"/>
    <col min="6402" max="6641" width="11.42578125" style="1008"/>
    <col min="6642" max="6642" width="2.28515625" style="1008" customWidth="1"/>
    <col min="6643" max="6643" width="2.7109375" style="1008" customWidth="1"/>
    <col min="6644" max="6644" width="2.42578125" style="1008" customWidth="1"/>
    <col min="6645" max="6645" width="17.7109375" style="1008" customWidth="1"/>
    <col min="6646" max="6646" width="1.5703125" style="1008" customWidth="1"/>
    <col min="6647" max="6647" width="6.42578125" style="1008" customWidth="1"/>
    <col min="6648" max="6648" width="13.140625" style="1008" customWidth="1"/>
    <col min="6649" max="6649" width="1" style="1008" customWidth="1"/>
    <col min="6650" max="6650" width="19.5703125" style="1008" customWidth="1"/>
    <col min="6651" max="6651" width="0.85546875" style="1008" customWidth="1"/>
    <col min="6652" max="6652" width="14.42578125" style="1008" customWidth="1"/>
    <col min="6653" max="6653" width="12.85546875" style="1008" customWidth="1"/>
    <col min="6654" max="6654" width="6.140625" style="1008" customWidth="1"/>
    <col min="6655" max="6656" width="11.42578125" style="1008"/>
    <col min="6657" max="6657" width="15.42578125" style="1008" customWidth="1"/>
    <col min="6658" max="6897" width="11.42578125" style="1008"/>
    <col min="6898" max="6898" width="2.28515625" style="1008" customWidth="1"/>
    <col min="6899" max="6899" width="2.7109375" style="1008" customWidth="1"/>
    <col min="6900" max="6900" width="2.42578125" style="1008" customWidth="1"/>
    <col min="6901" max="6901" width="17.7109375" style="1008" customWidth="1"/>
    <col min="6902" max="6902" width="1.5703125" style="1008" customWidth="1"/>
    <col min="6903" max="6903" width="6.42578125" style="1008" customWidth="1"/>
    <col min="6904" max="6904" width="13.140625" style="1008" customWidth="1"/>
    <col min="6905" max="6905" width="1" style="1008" customWidth="1"/>
    <col min="6906" max="6906" width="19.5703125" style="1008" customWidth="1"/>
    <col min="6907" max="6907" width="0.85546875" style="1008" customWidth="1"/>
    <col min="6908" max="6908" width="14.42578125" style="1008" customWidth="1"/>
    <col min="6909" max="6909" width="12.85546875" style="1008" customWidth="1"/>
    <col min="6910" max="6910" width="6.140625" style="1008" customWidth="1"/>
    <col min="6911" max="6912" width="11.42578125" style="1008"/>
    <col min="6913" max="6913" width="15.42578125" style="1008" customWidth="1"/>
    <col min="6914" max="7153" width="11.42578125" style="1008"/>
    <col min="7154" max="7154" width="2.28515625" style="1008" customWidth="1"/>
    <col min="7155" max="7155" width="2.7109375" style="1008" customWidth="1"/>
    <col min="7156" max="7156" width="2.42578125" style="1008" customWidth="1"/>
    <col min="7157" max="7157" width="17.7109375" style="1008" customWidth="1"/>
    <col min="7158" max="7158" width="1.5703125" style="1008" customWidth="1"/>
    <col min="7159" max="7159" width="6.42578125" style="1008" customWidth="1"/>
    <col min="7160" max="7160" width="13.140625" style="1008" customWidth="1"/>
    <col min="7161" max="7161" width="1" style="1008" customWidth="1"/>
    <col min="7162" max="7162" width="19.5703125" style="1008" customWidth="1"/>
    <col min="7163" max="7163" width="0.85546875" style="1008" customWidth="1"/>
    <col min="7164" max="7164" width="14.42578125" style="1008" customWidth="1"/>
    <col min="7165" max="7165" width="12.85546875" style="1008" customWidth="1"/>
    <col min="7166" max="7166" width="6.140625" style="1008" customWidth="1"/>
    <col min="7167" max="7168" width="11.42578125" style="1008"/>
    <col min="7169" max="7169" width="15.42578125" style="1008" customWidth="1"/>
    <col min="7170" max="7409" width="11.42578125" style="1008"/>
    <col min="7410" max="7410" width="2.28515625" style="1008" customWidth="1"/>
    <col min="7411" max="7411" width="2.7109375" style="1008" customWidth="1"/>
    <col min="7412" max="7412" width="2.42578125" style="1008" customWidth="1"/>
    <col min="7413" max="7413" width="17.7109375" style="1008" customWidth="1"/>
    <col min="7414" max="7414" width="1.5703125" style="1008" customWidth="1"/>
    <col min="7415" max="7415" width="6.42578125" style="1008" customWidth="1"/>
    <col min="7416" max="7416" width="13.140625" style="1008" customWidth="1"/>
    <col min="7417" max="7417" width="1" style="1008" customWidth="1"/>
    <col min="7418" max="7418" width="19.5703125" style="1008" customWidth="1"/>
    <col min="7419" max="7419" width="0.85546875" style="1008" customWidth="1"/>
    <col min="7420" max="7420" width="14.42578125" style="1008" customWidth="1"/>
    <col min="7421" max="7421" width="12.85546875" style="1008" customWidth="1"/>
    <col min="7422" max="7422" width="6.140625" style="1008" customWidth="1"/>
    <col min="7423" max="7424" width="11.42578125" style="1008"/>
    <col min="7425" max="7425" width="15.42578125" style="1008" customWidth="1"/>
    <col min="7426" max="7665" width="11.42578125" style="1008"/>
    <col min="7666" max="7666" width="2.28515625" style="1008" customWidth="1"/>
    <col min="7667" max="7667" width="2.7109375" style="1008" customWidth="1"/>
    <col min="7668" max="7668" width="2.42578125" style="1008" customWidth="1"/>
    <col min="7669" max="7669" width="17.7109375" style="1008" customWidth="1"/>
    <col min="7670" max="7670" width="1.5703125" style="1008" customWidth="1"/>
    <col min="7671" max="7671" width="6.42578125" style="1008" customWidth="1"/>
    <col min="7672" max="7672" width="13.140625" style="1008" customWidth="1"/>
    <col min="7673" max="7673" width="1" style="1008" customWidth="1"/>
    <col min="7674" max="7674" width="19.5703125" style="1008" customWidth="1"/>
    <col min="7675" max="7675" width="0.85546875" style="1008" customWidth="1"/>
    <col min="7676" max="7676" width="14.42578125" style="1008" customWidth="1"/>
    <col min="7677" max="7677" width="12.85546875" style="1008" customWidth="1"/>
    <col min="7678" max="7678" width="6.140625" style="1008" customWidth="1"/>
    <col min="7679" max="7680" width="11.42578125" style="1008"/>
    <col min="7681" max="7681" width="15.42578125" style="1008" customWidth="1"/>
    <col min="7682" max="7921" width="11.42578125" style="1008"/>
    <col min="7922" max="7922" width="2.28515625" style="1008" customWidth="1"/>
    <col min="7923" max="7923" width="2.7109375" style="1008" customWidth="1"/>
    <col min="7924" max="7924" width="2.42578125" style="1008" customWidth="1"/>
    <col min="7925" max="7925" width="17.7109375" style="1008" customWidth="1"/>
    <col min="7926" max="7926" width="1.5703125" style="1008" customWidth="1"/>
    <col min="7927" max="7927" width="6.42578125" style="1008" customWidth="1"/>
    <col min="7928" max="7928" width="13.140625" style="1008" customWidth="1"/>
    <col min="7929" max="7929" width="1" style="1008" customWidth="1"/>
    <col min="7930" max="7930" width="19.5703125" style="1008" customWidth="1"/>
    <col min="7931" max="7931" width="0.85546875" style="1008" customWidth="1"/>
    <col min="7932" max="7932" width="14.42578125" style="1008" customWidth="1"/>
    <col min="7933" max="7933" width="12.85546875" style="1008" customWidth="1"/>
    <col min="7934" max="7934" width="6.140625" style="1008" customWidth="1"/>
    <col min="7935" max="7936" width="11.42578125" style="1008"/>
    <col min="7937" max="7937" width="15.42578125" style="1008" customWidth="1"/>
    <col min="7938" max="8177" width="11.42578125" style="1008"/>
    <col min="8178" max="8178" width="2.28515625" style="1008" customWidth="1"/>
    <col min="8179" max="8179" width="2.7109375" style="1008" customWidth="1"/>
    <col min="8180" max="8180" width="2.42578125" style="1008" customWidth="1"/>
    <col min="8181" max="8181" width="17.7109375" style="1008" customWidth="1"/>
    <col min="8182" max="8182" width="1.5703125" style="1008" customWidth="1"/>
    <col min="8183" max="8183" width="6.42578125" style="1008" customWidth="1"/>
    <col min="8184" max="8184" width="13.140625" style="1008" customWidth="1"/>
    <col min="8185" max="8185" width="1" style="1008" customWidth="1"/>
    <col min="8186" max="8186" width="19.5703125" style="1008" customWidth="1"/>
    <col min="8187" max="8187" width="0.85546875" style="1008" customWidth="1"/>
    <col min="8188" max="8188" width="14.42578125" style="1008" customWidth="1"/>
    <col min="8189" max="8189" width="12.85546875" style="1008" customWidth="1"/>
    <col min="8190" max="8190" width="6.140625" style="1008" customWidth="1"/>
    <col min="8191" max="8192" width="11.42578125" style="1008"/>
    <col min="8193" max="8193" width="15.42578125" style="1008" customWidth="1"/>
    <col min="8194" max="8433" width="11.42578125" style="1008"/>
    <col min="8434" max="8434" width="2.28515625" style="1008" customWidth="1"/>
    <col min="8435" max="8435" width="2.7109375" style="1008" customWidth="1"/>
    <col min="8436" max="8436" width="2.42578125" style="1008" customWidth="1"/>
    <col min="8437" max="8437" width="17.7109375" style="1008" customWidth="1"/>
    <col min="8438" max="8438" width="1.5703125" style="1008" customWidth="1"/>
    <col min="8439" max="8439" width="6.42578125" style="1008" customWidth="1"/>
    <col min="8440" max="8440" width="13.140625" style="1008" customWidth="1"/>
    <col min="8441" max="8441" width="1" style="1008" customWidth="1"/>
    <col min="8442" max="8442" width="19.5703125" style="1008" customWidth="1"/>
    <col min="8443" max="8443" width="0.85546875" style="1008" customWidth="1"/>
    <col min="8444" max="8444" width="14.42578125" style="1008" customWidth="1"/>
    <col min="8445" max="8445" width="12.85546875" style="1008" customWidth="1"/>
    <col min="8446" max="8446" width="6.140625" style="1008" customWidth="1"/>
    <col min="8447" max="8448" width="11.42578125" style="1008"/>
    <col min="8449" max="8449" width="15.42578125" style="1008" customWidth="1"/>
    <col min="8450" max="8689" width="11.42578125" style="1008"/>
    <col min="8690" max="8690" width="2.28515625" style="1008" customWidth="1"/>
    <col min="8691" max="8691" width="2.7109375" style="1008" customWidth="1"/>
    <col min="8692" max="8692" width="2.42578125" style="1008" customWidth="1"/>
    <col min="8693" max="8693" width="17.7109375" style="1008" customWidth="1"/>
    <col min="8694" max="8694" width="1.5703125" style="1008" customWidth="1"/>
    <col min="8695" max="8695" width="6.42578125" style="1008" customWidth="1"/>
    <col min="8696" max="8696" width="13.140625" style="1008" customWidth="1"/>
    <col min="8697" max="8697" width="1" style="1008" customWidth="1"/>
    <col min="8698" max="8698" width="19.5703125" style="1008" customWidth="1"/>
    <col min="8699" max="8699" width="0.85546875" style="1008" customWidth="1"/>
    <col min="8700" max="8700" width="14.42578125" style="1008" customWidth="1"/>
    <col min="8701" max="8701" width="12.85546875" style="1008" customWidth="1"/>
    <col min="8702" max="8702" width="6.140625" style="1008" customWidth="1"/>
    <col min="8703" max="8704" width="11.42578125" style="1008"/>
    <col min="8705" max="8705" width="15.42578125" style="1008" customWidth="1"/>
    <col min="8706" max="8945" width="11.42578125" style="1008"/>
    <col min="8946" max="8946" width="2.28515625" style="1008" customWidth="1"/>
    <col min="8947" max="8947" width="2.7109375" style="1008" customWidth="1"/>
    <col min="8948" max="8948" width="2.42578125" style="1008" customWidth="1"/>
    <col min="8949" max="8949" width="17.7109375" style="1008" customWidth="1"/>
    <col min="8950" max="8950" width="1.5703125" style="1008" customWidth="1"/>
    <col min="8951" max="8951" width="6.42578125" style="1008" customWidth="1"/>
    <col min="8952" max="8952" width="13.140625" style="1008" customWidth="1"/>
    <col min="8953" max="8953" width="1" style="1008" customWidth="1"/>
    <col min="8954" max="8954" width="19.5703125" style="1008" customWidth="1"/>
    <col min="8955" max="8955" width="0.85546875" style="1008" customWidth="1"/>
    <col min="8956" max="8956" width="14.42578125" style="1008" customWidth="1"/>
    <col min="8957" max="8957" width="12.85546875" style="1008" customWidth="1"/>
    <col min="8958" max="8958" width="6.140625" style="1008" customWidth="1"/>
    <col min="8959" max="8960" width="11.42578125" style="1008"/>
    <col min="8961" max="8961" width="15.42578125" style="1008" customWidth="1"/>
    <col min="8962" max="9201" width="11.42578125" style="1008"/>
    <col min="9202" max="9202" width="2.28515625" style="1008" customWidth="1"/>
    <col min="9203" max="9203" width="2.7109375" style="1008" customWidth="1"/>
    <col min="9204" max="9204" width="2.42578125" style="1008" customWidth="1"/>
    <col min="9205" max="9205" width="17.7109375" style="1008" customWidth="1"/>
    <col min="9206" max="9206" width="1.5703125" style="1008" customWidth="1"/>
    <col min="9207" max="9207" width="6.42578125" style="1008" customWidth="1"/>
    <col min="9208" max="9208" width="13.140625" style="1008" customWidth="1"/>
    <col min="9209" max="9209" width="1" style="1008" customWidth="1"/>
    <col min="9210" max="9210" width="19.5703125" style="1008" customWidth="1"/>
    <col min="9211" max="9211" width="0.85546875" style="1008" customWidth="1"/>
    <col min="9212" max="9212" width="14.42578125" style="1008" customWidth="1"/>
    <col min="9213" max="9213" width="12.85546875" style="1008" customWidth="1"/>
    <col min="9214" max="9214" width="6.140625" style="1008" customWidth="1"/>
    <col min="9215" max="9216" width="11.42578125" style="1008"/>
    <col min="9217" max="9217" width="15.42578125" style="1008" customWidth="1"/>
    <col min="9218" max="9457" width="11.42578125" style="1008"/>
    <col min="9458" max="9458" width="2.28515625" style="1008" customWidth="1"/>
    <col min="9459" max="9459" width="2.7109375" style="1008" customWidth="1"/>
    <col min="9460" max="9460" width="2.42578125" style="1008" customWidth="1"/>
    <col min="9461" max="9461" width="17.7109375" style="1008" customWidth="1"/>
    <col min="9462" max="9462" width="1.5703125" style="1008" customWidth="1"/>
    <col min="9463" max="9463" width="6.42578125" style="1008" customWidth="1"/>
    <col min="9464" max="9464" width="13.140625" style="1008" customWidth="1"/>
    <col min="9465" max="9465" width="1" style="1008" customWidth="1"/>
    <col min="9466" max="9466" width="19.5703125" style="1008" customWidth="1"/>
    <col min="9467" max="9467" width="0.85546875" style="1008" customWidth="1"/>
    <col min="9468" max="9468" width="14.42578125" style="1008" customWidth="1"/>
    <col min="9469" max="9469" width="12.85546875" style="1008" customWidth="1"/>
    <col min="9470" max="9470" width="6.140625" style="1008" customWidth="1"/>
    <col min="9471" max="9472" width="11.42578125" style="1008"/>
    <col min="9473" max="9473" width="15.42578125" style="1008" customWidth="1"/>
    <col min="9474" max="9713" width="11.42578125" style="1008"/>
    <col min="9714" max="9714" width="2.28515625" style="1008" customWidth="1"/>
    <col min="9715" max="9715" width="2.7109375" style="1008" customWidth="1"/>
    <col min="9716" max="9716" width="2.42578125" style="1008" customWidth="1"/>
    <col min="9717" max="9717" width="17.7109375" style="1008" customWidth="1"/>
    <col min="9718" max="9718" width="1.5703125" style="1008" customWidth="1"/>
    <col min="9719" max="9719" width="6.42578125" style="1008" customWidth="1"/>
    <col min="9720" max="9720" width="13.140625" style="1008" customWidth="1"/>
    <col min="9721" max="9721" width="1" style="1008" customWidth="1"/>
    <col min="9722" max="9722" width="19.5703125" style="1008" customWidth="1"/>
    <col min="9723" max="9723" width="0.85546875" style="1008" customWidth="1"/>
    <col min="9724" max="9724" width="14.42578125" style="1008" customWidth="1"/>
    <col min="9725" max="9725" width="12.85546875" style="1008" customWidth="1"/>
    <col min="9726" max="9726" width="6.140625" style="1008" customWidth="1"/>
    <col min="9727" max="9728" width="11.42578125" style="1008"/>
    <col min="9729" max="9729" width="15.42578125" style="1008" customWidth="1"/>
    <col min="9730" max="9969" width="11.42578125" style="1008"/>
    <col min="9970" max="9970" width="2.28515625" style="1008" customWidth="1"/>
    <col min="9971" max="9971" width="2.7109375" style="1008" customWidth="1"/>
    <col min="9972" max="9972" width="2.42578125" style="1008" customWidth="1"/>
    <col min="9973" max="9973" width="17.7109375" style="1008" customWidth="1"/>
    <col min="9974" max="9974" width="1.5703125" style="1008" customWidth="1"/>
    <col min="9975" max="9975" width="6.42578125" style="1008" customWidth="1"/>
    <col min="9976" max="9976" width="13.140625" style="1008" customWidth="1"/>
    <col min="9977" max="9977" width="1" style="1008" customWidth="1"/>
    <col min="9978" max="9978" width="19.5703125" style="1008" customWidth="1"/>
    <col min="9979" max="9979" width="0.85546875" style="1008" customWidth="1"/>
    <col min="9980" max="9980" width="14.42578125" style="1008" customWidth="1"/>
    <col min="9981" max="9981" width="12.85546875" style="1008" customWidth="1"/>
    <col min="9982" max="9982" width="6.140625" style="1008" customWidth="1"/>
    <col min="9983" max="9984" width="11.42578125" style="1008"/>
    <col min="9985" max="9985" width="15.42578125" style="1008" customWidth="1"/>
    <col min="9986" max="10225" width="11.42578125" style="1008"/>
    <col min="10226" max="10226" width="2.28515625" style="1008" customWidth="1"/>
    <col min="10227" max="10227" width="2.7109375" style="1008" customWidth="1"/>
    <col min="10228" max="10228" width="2.42578125" style="1008" customWidth="1"/>
    <col min="10229" max="10229" width="17.7109375" style="1008" customWidth="1"/>
    <col min="10230" max="10230" width="1.5703125" style="1008" customWidth="1"/>
    <col min="10231" max="10231" width="6.42578125" style="1008" customWidth="1"/>
    <col min="10232" max="10232" width="13.140625" style="1008" customWidth="1"/>
    <col min="10233" max="10233" width="1" style="1008" customWidth="1"/>
    <col min="10234" max="10234" width="19.5703125" style="1008" customWidth="1"/>
    <col min="10235" max="10235" width="0.85546875" style="1008" customWidth="1"/>
    <col min="10236" max="10236" width="14.42578125" style="1008" customWidth="1"/>
    <col min="10237" max="10237" width="12.85546875" style="1008" customWidth="1"/>
    <col min="10238" max="10238" width="6.140625" style="1008" customWidth="1"/>
    <col min="10239" max="10240" width="11.42578125" style="1008"/>
    <col min="10241" max="10241" width="15.42578125" style="1008" customWidth="1"/>
    <col min="10242" max="10481" width="11.42578125" style="1008"/>
    <col min="10482" max="10482" width="2.28515625" style="1008" customWidth="1"/>
    <col min="10483" max="10483" width="2.7109375" style="1008" customWidth="1"/>
    <col min="10484" max="10484" width="2.42578125" style="1008" customWidth="1"/>
    <col min="10485" max="10485" width="17.7109375" style="1008" customWidth="1"/>
    <col min="10486" max="10486" width="1.5703125" style="1008" customWidth="1"/>
    <col min="10487" max="10487" width="6.42578125" style="1008" customWidth="1"/>
    <col min="10488" max="10488" width="13.140625" style="1008" customWidth="1"/>
    <col min="10489" max="10489" width="1" style="1008" customWidth="1"/>
    <col min="10490" max="10490" width="19.5703125" style="1008" customWidth="1"/>
    <col min="10491" max="10491" width="0.85546875" style="1008" customWidth="1"/>
    <col min="10492" max="10492" width="14.42578125" style="1008" customWidth="1"/>
    <col min="10493" max="10493" width="12.85546875" style="1008" customWidth="1"/>
    <col min="10494" max="10494" width="6.140625" style="1008" customWidth="1"/>
    <col min="10495" max="10496" width="11.42578125" style="1008"/>
    <col min="10497" max="10497" width="15.42578125" style="1008" customWidth="1"/>
    <col min="10498" max="10737" width="11.42578125" style="1008"/>
    <col min="10738" max="10738" width="2.28515625" style="1008" customWidth="1"/>
    <col min="10739" max="10739" width="2.7109375" style="1008" customWidth="1"/>
    <col min="10740" max="10740" width="2.42578125" style="1008" customWidth="1"/>
    <col min="10741" max="10741" width="17.7109375" style="1008" customWidth="1"/>
    <col min="10742" max="10742" width="1.5703125" style="1008" customWidth="1"/>
    <col min="10743" max="10743" width="6.42578125" style="1008" customWidth="1"/>
    <col min="10744" max="10744" width="13.140625" style="1008" customWidth="1"/>
    <col min="10745" max="10745" width="1" style="1008" customWidth="1"/>
    <col min="10746" max="10746" width="19.5703125" style="1008" customWidth="1"/>
    <col min="10747" max="10747" width="0.85546875" style="1008" customWidth="1"/>
    <col min="10748" max="10748" width="14.42578125" style="1008" customWidth="1"/>
    <col min="10749" max="10749" width="12.85546875" style="1008" customWidth="1"/>
    <col min="10750" max="10750" width="6.140625" style="1008" customWidth="1"/>
    <col min="10751" max="10752" width="11.42578125" style="1008"/>
    <col min="10753" max="10753" width="15.42578125" style="1008" customWidth="1"/>
    <col min="10754" max="10993" width="11.42578125" style="1008"/>
    <col min="10994" max="10994" width="2.28515625" style="1008" customWidth="1"/>
    <col min="10995" max="10995" width="2.7109375" style="1008" customWidth="1"/>
    <col min="10996" max="10996" width="2.42578125" style="1008" customWidth="1"/>
    <col min="10997" max="10997" width="17.7109375" style="1008" customWidth="1"/>
    <col min="10998" max="10998" width="1.5703125" style="1008" customWidth="1"/>
    <col min="10999" max="10999" width="6.42578125" style="1008" customWidth="1"/>
    <col min="11000" max="11000" width="13.140625" style="1008" customWidth="1"/>
    <col min="11001" max="11001" width="1" style="1008" customWidth="1"/>
    <col min="11002" max="11002" width="19.5703125" style="1008" customWidth="1"/>
    <col min="11003" max="11003" width="0.85546875" style="1008" customWidth="1"/>
    <col min="11004" max="11004" width="14.42578125" style="1008" customWidth="1"/>
    <col min="11005" max="11005" width="12.85546875" style="1008" customWidth="1"/>
    <col min="11006" max="11006" width="6.140625" style="1008" customWidth="1"/>
    <col min="11007" max="11008" width="11.42578125" style="1008"/>
    <col min="11009" max="11009" width="15.42578125" style="1008" customWidth="1"/>
    <col min="11010" max="11249" width="11.42578125" style="1008"/>
    <col min="11250" max="11250" width="2.28515625" style="1008" customWidth="1"/>
    <col min="11251" max="11251" width="2.7109375" style="1008" customWidth="1"/>
    <col min="11252" max="11252" width="2.42578125" style="1008" customWidth="1"/>
    <col min="11253" max="11253" width="17.7109375" style="1008" customWidth="1"/>
    <col min="11254" max="11254" width="1.5703125" style="1008" customWidth="1"/>
    <col min="11255" max="11255" width="6.42578125" style="1008" customWidth="1"/>
    <col min="11256" max="11256" width="13.140625" style="1008" customWidth="1"/>
    <col min="11257" max="11257" width="1" style="1008" customWidth="1"/>
    <col min="11258" max="11258" width="19.5703125" style="1008" customWidth="1"/>
    <col min="11259" max="11259" width="0.85546875" style="1008" customWidth="1"/>
    <col min="11260" max="11260" width="14.42578125" style="1008" customWidth="1"/>
    <col min="11261" max="11261" width="12.85546875" style="1008" customWidth="1"/>
    <col min="11262" max="11262" width="6.140625" style="1008" customWidth="1"/>
    <col min="11263" max="11264" width="11.42578125" style="1008"/>
    <col min="11265" max="11265" width="15.42578125" style="1008" customWidth="1"/>
    <col min="11266" max="11505" width="11.42578125" style="1008"/>
    <col min="11506" max="11506" width="2.28515625" style="1008" customWidth="1"/>
    <col min="11507" max="11507" width="2.7109375" style="1008" customWidth="1"/>
    <col min="11508" max="11508" width="2.42578125" style="1008" customWidth="1"/>
    <col min="11509" max="11509" width="17.7109375" style="1008" customWidth="1"/>
    <col min="11510" max="11510" width="1.5703125" style="1008" customWidth="1"/>
    <col min="11511" max="11511" width="6.42578125" style="1008" customWidth="1"/>
    <col min="11512" max="11512" width="13.140625" style="1008" customWidth="1"/>
    <col min="11513" max="11513" width="1" style="1008" customWidth="1"/>
    <col min="11514" max="11514" width="19.5703125" style="1008" customWidth="1"/>
    <col min="11515" max="11515" width="0.85546875" style="1008" customWidth="1"/>
    <col min="11516" max="11516" width="14.42578125" style="1008" customWidth="1"/>
    <col min="11517" max="11517" width="12.85546875" style="1008" customWidth="1"/>
    <col min="11518" max="11518" width="6.140625" style="1008" customWidth="1"/>
    <col min="11519" max="11520" width="11.42578125" style="1008"/>
    <col min="11521" max="11521" width="15.42578125" style="1008" customWidth="1"/>
    <col min="11522" max="11761" width="11.42578125" style="1008"/>
    <col min="11762" max="11762" width="2.28515625" style="1008" customWidth="1"/>
    <col min="11763" max="11763" width="2.7109375" style="1008" customWidth="1"/>
    <col min="11764" max="11764" width="2.42578125" style="1008" customWidth="1"/>
    <col min="11765" max="11765" width="17.7109375" style="1008" customWidth="1"/>
    <col min="11766" max="11766" width="1.5703125" style="1008" customWidth="1"/>
    <col min="11767" max="11767" width="6.42578125" style="1008" customWidth="1"/>
    <col min="11768" max="11768" width="13.140625" style="1008" customWidth="1"/>
    <col min="11769" max="11769" width="1" style="1008" customWidth="1"/>
    <col min="11770" max="11770" width="19.5703125" style="1008" customWidth="1"/>
    <col min="11771" max="11771" width="0.85546875" style="1008" customWidth="1"/>
    <col min="11772" max="11772" width="14.42578125" style="1008" customWidth="1"/>
    <col min="11773" max="11773" width="12.85546875" style="1008" customWidth="1"/>
    <col min="11774" max="11774" width="6.140625" style="1008" customWidth="1"/>
    <col min="11775" max="11776" width="11.42578125" style="1008"/>
    <col min="11777" max="11777" width="15.42578125" style="1008" customWidth="1"/>
    <col min="11778" max="12017" width="11.42578125" style="1008"/>
    <col min="12018" max="12018" width="2.28515625" style="1008" customWidth="1"/>
    <col min="12019" max="12019" width="2.7109375" style="1008" customWidth="1"/>
    <col min="12020" max="12020" width="2.42578125" style="1008" customWidth="1"/>
    <col min="12021" max="12021" width="17.7109375" style="1008" customWidth="1"/>
    <col min="12022" max="12022" width="1.5703125" style="1008" customWidth="1"/>
    <col min="12023" max="12023" width="6.42578125" style="1008" customWidth="1"/>
    <col min="12024" max="12024" width="13.140625" style="1008" customWidth="1"/>
    <col min="12025" max="12025" width="1" style="1008" customWidth="1"/>
    <col min="12026" max="12026" width="19.5703125" style="1008" customWidth="1"/>
    <col min="12027" max="12027" width="0.85546875" style="1008" customWidth="1"/>
    <col min="12028" max="12028" width="14.42578125" style="1008" customWidth="1"/>
    <col min="12029" max="12029" width="12.85546875" style="1008" customWidth="1"/>
    <col min="12030" max="12030" width="6.140625" style="1008" customWidth="1"/>
    <col min="12031" max="12032" width="11.42578125" style="1008"/>
    <col min="12033" max="12033" width="15.42578125" style="1008" customWidth="1"/>
    <col min="12034" max="12273" width="11.42578125" style="1008"/>
    <col min="12274" max="12274" width="2.28515625" style="1008" customWidth="1"/>
    <col min="12275" max="12275" width="2.7109375" style="1008" customWidth="1"/>
    <col min="12276" max="12276" width="2.42578125" style="1008" customWidth="1"/>
    <col min="12277" max="12277" width="17.7109375" style="1008" customWidth="1"/>
    <col min="12278" max="12278" width="1.5703125" style="1008" customWidth="1"/>
    <col min="12279" max="12279" width="6.42578125" style="1008" customWidth="1"/>
    <col min="12280" max="12280" width="13.140625" style="1008" customWidth="1"/>
    <col min="12281" max="12281" width="1" style="1008" customWidth="1"/>
    <col min="12282" max="12282" width="19.5703125" style="1008" customWidth="1"/>
    <col min="12283" max="12283" width="0.85546875" style="1008" customWidth="1"/>
    <col min="12284" max="12284" width="14.42578125" style="1008" customWidth="1"/>
    <col min="12285" max="12285" width="12.85546875" style="1008" customWidth="1"/>
    <col min="12286" max="12286" width="6.140625" style="1008" customWidth="1"/>
    <col min="12287" max="12288" width="11.42578125" style="1008"/>
    <col min="12289" max="12289" width="15.42578125" style="1008" customWidth="1"/>
    <col min="12290" max="12529" width="11.42578125" style="1008"/>
    <col min="12530" max="12530" width="2.28515625" style="1008" customWidth="1"/>
    <col min="12531" max="12531" width="2.7109375" style="1008" customWidth="1"/>
    <col min="12532" max="12532" width="2.42578125" style="1008" customWidth="1"/>
    <col min="12533" max="12533" width="17.7109375" style="1008" customWidth="1"/>
    <col min="12534" max="12534" width="1.5703125" style="1008" customWidth="1"/>
    <col min="12535" max="12535" width="6.42578125" style="1008" customWidth="1"/>
    <col min="12536" max="12536" width="13.140625" style="1008" customWidth="1"/>
    <col min="12537" max="12537" width="1" style="1008" customWidth="1"/>
    <col min="12538" max="12538" width="19.5703125" style="1008" customWidth="1"/>
    <col min="12539" max="12539" width="0.85546875" style="1008" customWidth="1"/>
    <col min="12540" max="12540" width="14.42578125" style="1008" customWidth="1"/>
    <col min="12541" max="12541" width="12.85546875" style="1008" customWidth="1"/>
    <col min="12542" max="12542" width="6.140625" style="1008" customWidth="1"/>
    <col min="12543" max="12544" width="11.42578125" style="1008"/>
    <col min="12545" max="12545" width="15.42578125" style="1008" customWidth="1"/>
    <col min="12546" max="12785" width="11.42578125" style="1008"/>
    <col min="12786" max="12786" width="2.28515625" style="1008" customWidth="1"/>
    <col min="12787" max="12787" width="2.7109375" style="1008" customWidth="1"/>
    <col min="12788" max="12788" width="2.42578125" style="1008" customWidth="1"/>
    <col min="12789" max="12789" width="17.7109375" style="1008" customWidth="1"/>
    <col min="12790" max="12790" width="1.5703125" style="1008" customWidth="1"/>
    <col min="12791" max="12791" width="6.42578125" style="1008" customWidth="1"/>
    <col min="12792" max="12792" width="13.140625" style="1008" customWidth="1"/>
    <col min="12793" max="12793" width="1" style="1008" customWidth="1"/>
    <col min="12794" max="12794" width="19.5703125" style="1008" customWidth="1"/>
    <col min="12795" max="12795" width="0.85546875" style="1008" customWidth="1"/>
    <col min="12796" max="12796" width="14.42578125" style="1008" customWidth="1"/>
    <col min="12797" max="12797" width="12.85546875" style="1008" customWidth="1"/>
    <col min="12798" max="12798" width="6.140625" style="1008" customWidth="1"/>
    <col min="12799" max="12800" width="11.42578125" style="1008"/>
    <col min="12801" max="12801" width="15.42578125" style="1008" customWidth="1"/>
    <col min="12802" max="13041" width="11.42578125" style="1008"/>
    <col min="13042" max="13042" width="2.28515625" style="1008" customWidth="1"/>
    <col min="13043" max="13043" width="2.7109375" style="1008" customWidth="1"/>
    <col min="13044" max="13044" width="2.42578125" style="1008" customWidth="1"/>
    <col min="13045" max="13045" width="17.7109375" style="1008" customWidth="1"/>
    <col min="13046" max="13046" width="1.5703125" style="1008" customWidth="1"/>
    <col min="13047" max="13047" width="6.42578125" style="1008" customWidth="1"/>
    <col min="13048" max="13048" width="13.140625" style="1008" customWidth="1"/>
    <col min="13049" max="13049" width="1" style="1008" customWidth="1"/>
    <col min="13050" max="13050" width="19.5703125" style="1008" customWidth="1"/>
    <col min="13051" max="13051" width="0.85546875" style="1008" customWidth="1"/>
    <col min="13052" max="13052" width="14.42578125" style="1008" customWidth="1"/>
    <col min="13053" max="13053" width="12.85546875" style="1008" customWidth="1"/>
    <col min="13054" max="13054" width="6.140625" style="1008" customWidth="1"/>
    <col min="13055" max="13056" width="11.42578125" style="1008"/>
    <col min="13057" max="13057" width="15.42578125" style="1008" customWidth="1"/>
    <col min="13058" max="13297" width="11.42578125" style="1008"/>
    <col min="13298" max="13298" width="2.28515625" style="1008" customWidth="1"/>
    <col min="13299" max="13299" width="2.7109375" style="1008" customWidth="1"/>
    <col min="13300" max="13300" width="2.42578125" style="1008" customWidth="1"/>
    <col min="13301" max="13301" width="17.7109375" style="1008" customWidth="1"/>
    <col min="13302" max="13302" width="1.5703125" style="1008" customWidth="1"/>
    <col min="13303" max="13303" width="6.42578125" style="1008" customWidth="1"/>
    <col min="13304" max="13304" width="13.140625" style="1008" customWidth="1"/>
    <col min="13305" max="13305" width="1" style="1008" customWidth="1"/>
    <col min="13306" max="13306" width="19.5703125" style="1008" customWidth="1"/>
    <col min="13307" max="13307" width="0.85546875" style="1008" customWidth="1"/>
    <col min="13308" max="13308" width="14.42578125" style="1008" customWidth="1"/>
    <col min="13309" max="13309" width="12.85546875" style="1008" customWidth="1"/>
    <col min="13310" max="13310" width="6.140625" style="1008" customWidth="1"/>
    <col min="13311" max="13312" width="11.42578125" style="1008"/>
    <col min="13313" max="13313" width="15.42578125" style="1008" customWidth="1"/>
    <col min="13314" max="13553" width="11.42578125" style="1008"/>
    <col min="13554" max="13554" width="2.28515625" style="1008" customWidth="1"/>
    <col min="13555" max="13555" width="2.7109375" style="1008" customWidth="1"/>
    <col min="13556" max="13556" width="2.42578125" style="1008" customWidth="1"/>
    <col min="13557" max="13557" width="17.7109375" style="1008" customWidth="1"/>
    <col min="13558" max="13558" width="1.5703125" style="1008" customWidth="1"/>
    <col min="13559" max="13559" width="6.42578125" style="1008" customWidth="1"/>
    <col min="13560" max="13560" width="13.140625" style="1008" customWidth="1"/>
    <col min="13561" max="13561" width="1" style="1008" customWidth="1"/>
    <col min="13562" max="13562" width="19.5703125" style="1008" customWidth="1"/>
    <col min="13563" max="13563" width="0.85546875" style="1008" customWidth="1"/>
    <col min="13564" max="13564" width="14.42578125" style="1008" customWidth="1"/>
    <col min="13565" max="13565" width="12.85546875" style="1008" customWidth="1"/>
    <col min="13566" max="13566" width="6.140625" style="1008" customWidth="1"/>
    <col min="13567" max="13568" width="11.42578125" style="1008"/>
    <col min="13569" max="13569" width="15.42578125" style="1008" customWidth="1"/>
    <col min="13570" max="13809" width="11.42578125" style="1008"/>
    <col min="13810" max="13810" width="2.28515625" style="1008" customWidth="1"/>
    <col min="13811" max="13811" width="2.7109375" style="1008" customWidth="1"/>
    <col min="13812" max="13812" width="2.42578125" style="1008" customWidth="1"/>
    <col min="13813" max="13813" width="17.7109375" style="1008" customWidth="1"/>
    <col min="13814" max="13814" width="1.5703125" style="1008" customWidth="1"/>
    <col min="13815" max="13815" width="6.42578125" style="1008" customWidth="1"/>
    <col min="13816" max="13816" width="13.140625" style="1008" customWidth="1"/>
    <col min="13817" max="13817" width="1" style="1008" customWidth="1"/>
    <col min="13818" max="13818" width="19.5703125" style="1008" customWidth="1"/>
    <col min="13819" max="13819" width="0.85546875" style="1008" customWidth="1"/>
    <col min="13820" max="13820" width="14.42578125" style="1008" customWidth="1"/>
    <col min="13821" max="13821" width="12.85546875" style="1008" customWidth="1"/>
    <col min="13822" max="13822" width="6.140625" style="1008" customWidth="1"/>
    <col min="13823" max="13824" width="11.42578125" style="1008"/>
    <col min="13825" max="13825" width="15.42578125" style="1008" customWidth="1"/>
    <col min="13826" max="14065" width="11.42578125" style="1008"/>
    <col min="14066" max="14066" width="2.28515625" style="1008" customWidth="1"/>
    <col min="14067" max="14067" width="2.7109375" style="1008" customWidth="1"/>
    <col min="14068" max="14068" width="2.42578125" style="1008" customWidth="1"/>
    <col min="14069" max="14069" width="17.7109375" style="1008" customWidth="1"/>
    <col min="14070" max="14070" width="1.5703125" style="1008" customWidth="1"/>
    <col min="14071" max="14071" width="6.42578125" style="1008" customWidth="1"/>
    <col min="14072" max="14072" width="13.140625" style="1008" customWidth="1"/>
    <col min="14073" max="14073" width="1" style="1008" customWidth="1"/>
    <col min="14074" max="14074" width="19.5703125" style="1008" customWidth="1"/>
    <col min="14075" max="14075" width="0.85546875" style="1008" customWidth="1"/>
    <col min="14076" max="14076" width="14.42578125" style="1008" customWidth="1"/>
    <col min="14077" max="14077" width="12.85546875" style="1008" customWidth="1"/>
    <col min="14078" max="14078" width="6.140625" style="1008" customWidth="1"/>
    <col min="14079" max="14080" width="11.42578125" style="1008"/>
    <col min="14081" max="14081" width="15.42578125" style="1008" customWidth="1"/>
    <col min="14082" max="14321" width="11.42578125" style="1008"/>
    <col min="14322" max="14322" width="2.28515625" style="1008" customWidth="1"/>
    <col min="14323" max="14323" width="2.7109375" style="1008" customWidth="1"/>
    <col min="14324" max="14324" width="2.42578125" style="1008" customWidth="1"/>
    <col min="14325" max="14325" width="17.7109375" style="1008" customWidth="1"/>
    <col min="14326" max="14326" width="1.5703125" style="1008" customWidth="1"/>
    <col min="14327" max="14327" width="6.42578125" style="1008" customWidth="1"/>
    <col min="14328" max="14328" width="13.140625" style="1008" customWidth="1"/>
    <col min="14329" max="14329" width="1" style="1008" customWidth="1"/>
    <col min="14330" max="14330" width="19.5703125" style="1008" customWidth="1"/>
    <col min="14331" max="14331" width="0.85546875" style="1008" customWidth="1"/>
    <col min="14332" max="14332" width="14.42578125" style="1008" customWidth="1"/>
    <col min="14333" max="14333" width="12.85546875" style="1008" customWidth="1"/>
    <col min="14334" max="14334" width="6.140625" style="1008" customWidth="1"/>
    <col min="14335" max="14336" width="11.42578125" style="1008"/>
    <col min="14337" max="14337" width="15.42578125" style="1008" customWidth="1"/>
    <col min="14338" max="14577" width="11.42578125" style="1008"/>
    <col min="14578" max="14578" width="2.28515625" style="1008" customWidth="1"/>
    <col min="14579" max="14579" width="2.7109375" style="1008" customWidth="1"/>
    <col min="14580" max="14580" width="2.42578125" style="1008" customWidth="1"/>
    <col min="14581" max="14581" width="17.7109375" style="1008" customWidth="1"/>
    <col min="14582" max="14582" width="1.5703125" style="1008" customWidth="1"/>
    <col min="14583" max="14583" width="6.42578125" style="1008" customWidth="1"/>
    <col min="14584" max="14584" width="13.140625" style="1008" customWidth="1"/>
    <col min="14585" max="14585" width="1" style="1008" customWidth="1"/>
    <col min="14586" max="14586" width="19.5703125" style="1008" customWidth="1"/>
    <col min="14587" max="14587" width="0.85546875" style="1008" customWidth="1"/>
    <col min="14588" max="14588" width="14.42578125" style="1008" customWidth="1"/>
    <col min="14589" max="14589" width="12.85546875" style="1008" customWidth="1"/>
    <col min="14590" max="14590" width="6.140625" style="1008" customWidth="1"/>
    <col min="14591" max="14592" width="11.42578125" style="1008"/>
    <col min="14593" max="14593" width="15.42578125" style="1008" customWidth="1"/>
    <col min="14594" max="14833" width="11.42578125" style="1008"/>
    <col min="14834" max="14834" width="2.28515625" style="1008" customWidth="1"/>
    <col min="14835" max="14835" width="2.7109375" style="1008" customWidth="1"/>
    <col min="14836" max="14836" width="2.42578125" style="1008" customWidth="1"/>
    <col min="14837" max="14837" width="17.7109375" style="1008" customWidth="1"/>
    <col min="14838" max="14838" width="1.5703125" style="1008" customWidth="1"/>
    <col min="14839" max="14839" width="6.42578125" style="1008" customWidth="1"/>
    <col min="14840" max="14840" width="13.140625" style="1008" customWidth="1"/>
    <col min="14841" max="14841" width="1" style="1008" customWidth="1"/>
    <col min="14842" max="14842" width="19.5703125" style="1008" customWidth="1"/>
    <col min="14843" max="14843" width="0.85546875" style="1008" customWidth="1"/>
    <col min="14844" max="14844" width="14.42578125" style="1008" customWidth="1"/>
    <col min="14845" max="14845" width="12.85546875" style="1008" customWidth="1"/>
    <col min="14846" max="14846" width="6.140625" style="1008" customWidth="1"/>
    <col min="14847" max="14848" width="11.42578125" style="1008"/>
    <col min="14849" max="14849" width="15.42578125" style="1008" customWidth="1"/>
    <col min="14850" max="15089" width="11.42578125" style="1008"/>
    <col min="15090" max="15090" width="2.28515625" style="1008" customWidth="1"/>
    <col min="15091" max="15091" width="2.7109375" style="1008" customWidth="1"/>
    <col min="15092" max="15092" width="2.42578125" style="1008" customWidth="1"/>
    <col min="15093" max="15093" width="17.7109375" style="1008" customWidth="1"/>
    <col min="15094" max="15094" width="1.5703125" style="1008" customWidth="1"/>
    <col min="15095" max="15095" width="6.42578125" style="1008" customWidth="1"/>
    <col min="15096" max="15096" width="13.140625" style="1008" customWidth="1"/>
    <col min="15097" max="15097" width="1" style="1008" customWidth="1"/>
    <col min="15098" max="15098" width="19.5703125" style="1008" customWidth="1"/>
    <col min="15099" max="15099" width="0.85546875" style="1008" customWidth="1"/>
    <col min="15100" max="15100" width="14.42578125" style="1008" customWidth="1"/>
    <col min="15101" max="15101" width="12.85546875" style="1008" customWidth="1"/>
    <col min="15102" max="15102" width="6.140625" style="1008" customWidth="1"/>
    <col min="15103" max="15104" width="11.42578125" style="1008"/>
    <col min="15105" max="15105" width="15.42578125" style="1008" customWidth="1"/>
    <col min="15106" max="15345" width="11.42578125" style="1008"/>
    <col min="15346" max="15346" width="2.28515625" style="1008" customWidth="1"/>
    <col min="15347" max="15347" width="2.7109375" style="1008" customWidth="1"/>
    <col min="15348" max="15348" width="2.42578125" style="1008" customWidth="1"/>
    <col min="15349" max="15349" width="17.7109375" style="1008" customWidth="1"/>
    <col min="15350" max="15350" width="1.5703125" style="1008" customWidth="1"/>
    <col min="15351" max="15351" width="6.42578125" style="1008" customWidth="1"/>
    <col min="15352" max="15352" width="13.140625" style="1008" customWidth="1"/>
    <col min="15353" max="15353" width="1" style="1008" customWidth="1"/>
    <col min="15354" max="15354" width="19.5703125" style="1008" customWidth="1"/>
    <col min="15355" max="15355" width="0.85546875" style="1008" customWidth="1"/>
    <col min="15356" max="15356" width="14.42578125" style="1008" customWidth="1"/>
    <col min="15357" max="15357" width="12.85546875" style="1008" customWidth="1"/>
    <col min="15358" max="15358" width="6.140625" style="1008" customWidth="1"/>
    <col min="15359" max="15360" width="11.42578125" style="1008"/>
    <col min="15361" max="15361" width="15.42578125" style="1008" customWidth="1"/>
    <col min="15362" max="15601" width="11.42578125" style="1008"/>
    <col min="15602" max="15602" width="2.28515625" style="1008" customWidth="1"/>
    <col min="15603" max="15603" width="2.7109375" style="1008" customWidth="1"/>
    <col min="15604" max="15604" width="2.42578125" style="1008" customWidth="1"/>
    <col min="15605" max="15605" width="17.7109375" style="1008" customWidth="1"/>
    <col min="15606" max="15606" width="1.5703125" style="1008" customWidth="1"/>
    <col min="15607" max="15607" width="6.42578125" style="1008" customWidth="1"/>
    <col min="15608" max="15608" width="13.140625" style="1008" customWidth="1"/>
    <col min="15609" max="15609" width="1" style="1008" customWidth="1"/>
    <col min="15610" max="15610" width="19.5703125" style="1008" customWidth="1"/>
    <col min="15611" max="15611" width="0.85546875" style="1008" customWidth="1"/>
    <col min="15612" max="15612" width="14.42578125" style="1008" customWidth="1"/>
    <col min="15613" max="15613" width="12.85546875" style="1008" customWidth="1"/>
    <col min="15614" max="15614" width="6.140625" style="1008" customWidth="1"/>
    <col min="15615" max="15616" width="11.42578125" style="1008"/>
    <col min="15617" max="15617" width="15.42578125" style="1008" customWidth="1"/>
    <col min="15618" max="15857" width="11.42578125" style="1008"/>
    <col min="15858" max="15858" width="2.28515625" style="1008" customWidth="1"/>
    <col min="15859" max="15859" width="2.7109375" style="1008" customWidth="1"/>
    <col min="15860" max="15860" width="2.42578125" style="1008" customWidth="1"/>
    <col min="15861" max="15861" width="17.7109375" style="1008" customWidth="1"/>
    <col min="15862" max="15862" width="1.5703125" style="1008" customWidth="1"/>
    <col min="15863" max="15863" width="6.42578125" style="1008" customWidth="1"/>
    <col min="15864" max="15864" width="13.140625" style="1008" customWidth="1"/>
    <col min="15865" max="15865" width="1" style="1008" customWidth="1"/>
    <col min="15866" max="15866" width="19.5703125" style="1008" customWidth="1"/>
    <col min="15867" max="15867" width="0.85546875" style="1008" customWidth="1"/>
    <col min="15868" max="15868" width="14.42578125" style="1008" customWidth="1"/>
    <col min="15869" max="15869" width="12.85546875" style="1008" customWidth="1"/>
    <col min="15870" max="15870" width="6.140625" style="1008" customWidth="1"/>
    <col min="15871" max="15872" width="11.42578125" style="1008"/>
    <col min="15873" max="15873" width="15.42578125" style="1008" customWidth="1"/>
    <col min="15874" max="16113" width="11.42578125" style="1008"/>
    <col min="16114" max="16114" width="2.28515625" style="1008" customWidth="1"/>
    <col min="16115" max="16115" width="2.7109375" style="1008" customWidth="1"/>
    <col min="16116" max="16116" width="2.42578125" style="1008" customWidth="1"/>
    <col min="16117" max="16117" width="17.7109375" style="1008" customWidth="1"/>
    <col min="16118" max="16118" width="1.5703125" style="1008" customWidth="1"/>
    <col min="16119" max="16119" width="6.42578125" style="1008" customWidth="1"/>
    <col min="16120" max="16120" width="13.140625" style="1008" customWidth="1"/>
    <col min="16121" max="16121" width="1" style="1008" customWidth="1"/>
    <col min="16122" max="16122" width="19.5703125" style="1008" customWidth="1"/>
    <col min="16123" max="16123" width="0.85546875" style="1008" customWidth="1"/>
    <col min="16124" max="16124" width="14.42578125" style="1008" customWidth="1"/>
    <col min="16125" max="16125" width="12.85546875" style="1008" customWidth="1"/>
    <col min="16126" max="16126" width="6.140625" style="1008" customWidth="1"/>
    <col min="16127" max="16128" width="11.42578125" style="1008"/>
    <col min="16129" max="16129" width="15.42578125" style="1008" customWidth="1"/>
    <col min="16130" max="16384" width="11.42578125" style="1008"/>
  </cols>
  <sheetData>
    <row r="1" spans="1:22" ht="9" hidden="1" customHeight="1" x14ac:dyDescent="0.2">
      <c r="A1" s="1412"/>
      <c r="B1" s="1413"/>
      <c r="C1" s="1413"/>
      <c r="D1" s="1413"/>
      <c r="E1" s="1413"/>
      <c r="F1" s="1413"/>
      <c r="G1" s="1413"/>
      <c r="H1" s="1413"/>
      <c r="I1" s="1413"/>
      <c r="J1" s="1413"/>
      <c r="K1" s="1413"/>
      <c r="L1" s="1413"/>
      <c r="M1" s="1413"/>
      <c r="N1" s="1413"/>
      <c r="O1" s="1413"/>
      <c r="P1" s="1413"/>
      <c r="Q1" s="1413"/>
      <c r="R1" s="1413"/>
      <c r="S1" s="1413"/>
      <c r="T1" s="1413"/>
      <c r="U1" s="1413"/>
      <c r="V1" s="1414"/>
    </row>
    <row r="2" spans="1:22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0"/>
      <c r="U2" s="2870"/>
      <c r="V2" s="2871"/>
    </row>
    <row r="3" spans="1:22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3"/>
      <c r="U3" s="2873"/>
      <c r="V3" s="2874"/>
    </row>
    <row r="4" spans="1:22" ht="16.5" thickTop="1" x14ac:dyDescent="0.25">
      <c r="A4" s="2875" t="str">
        <f>"CERTIFICADO DE CALIBRACIÓN N° "&amp;"LSCD "&amp;'F-LSCD-012'!C25</f>
        <v>CERTIFICADO DE CALIBRACIÓN N° LSCD 029-2021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6"/>
      <c r="U4" s="2876"/>
      <c r="V4" s="2877"/>
    </row>
    <row r="5" spans="1:22" ht="15.75" x14ac:dyDescent="0.2">
      <c r="A5" s="2878" t="s">
        <v>253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79"/>
      <c r="U5" s="2879"/>
      <c r="V5" s="2880"/>
    </row>
    <row r="6" spans="1:22" ht="15" x14ac:dyDescent="0.2">
      <c r="A6" s="3102" t="s">
        <v>1119</v>
      </c>
      <c r="B6" s="3103"/>
      <c r="C6" s="3103"/>
      <c r="D6" s="3103"/>
      <c r="E6" s="3103"/>
      <c r="F6" s="3103"/>
      <c r="G6" s="3103"/>
      <c r="H6" s="3103"/>
      <c r="I6" s="3103"/>
      <c r="J6" s="3103"/>
      <c r="K6" s="3103"/>
      <c r="L6" s="3103"/>
      <c r="M6" s="3103"/>
      <c r="N6" s="3103"/>
      <c r="O6" s="3103"/>
      <c r="P6" s="3103"/>
      <c r="Q6" s="3103"/>
      <c r="R6" s="3103"/>
      <c r="S6" s="3103"/>
      <c r="T6" s="3103"/>
      <c r="U6" s="3103"/>
      <c r="V6" s="3104"/>
    </row>
    <row r="7" spans="1:22" ht="9" customHeight="1" x14ac:dyDescent="0.2">
      <c r="A7" s="1009"/>
      <c r="Q7" s="1775"/>
      <c r="R7" s="1775"/>
      <c r="S7" s="1775"/>
      <c r="T7" s="1775"/>
      <c r="U7" s="1775"/>
      <c r="V7" s="1011"/>
    </row>
    <row r="8" spans="1:22" ht="13.5" customHeight="1" x14ac:dyDescent="0.2">
      <c r="A8" s="1009"/>
      <c r="B8" s="166" t="s">
        <v>1105</v>
      </c>
      <c r="D8" s="1010" t="s">
        <v>218</v>
      </c>
      <c r="E8" s="1008" t="str">
        <f>'F-LSCD-012'!C7</f>
        <v>ALEPH SAC</v>
      </c>
      <c r="Q8" s="2902" t="s">
        <v>221</v>
      </c>
      <c r="R8" s="2930"/>
      <c r="S8" s="2930"/>
      <c r="T8" s="2930"/>
      <c r="U8" s="2930"/>
      <c r="V8" s="1011"/>
    </row>
    <row r="9" spans="1:22" x14ac:dyDescent="0.2">
      <c r="A9" s="1009"/>
      <c r="E9" s="2882" t="str">
        <f>'F-LSCD-012'!C8</f>
        <v>Av. Rafael Escardo 154</v>
      </c>
      <c r="F9" s="2882"/>
      <c r="G9" s="2882"/>
      <c r="H9" s="2882"/>
      <c r="I9" s="2882"/>
      <c r="J9" s="2882"/>
      <c r="K9" s="2882"/>
      <c r="L9" s="2882"/>
      <c r="M9" s="2882"/>
      <c r="N9" s="2882"/>
      <c r="O9" s="2882"/>
      <c r="Q9" s="2902"/>
      <c r="R9" s="2930"/>
      <c r="S9" s="2930"/>
      <c r="T9" s="2930"/>
      <c r="U9" s="2930"/>
      <c r="V9" s="1011"/>
    </row>
    <row r="10" spans="1:22" x14ac:dyDescent="0.2">
      <c r="A10" s="1009"/>
      <c r="E10" s="1008" t="str">
        <f>'F-LSCD-012'!I8&amp;", "&amp;'F-LSCD-012'!L8&amp;", "&amp;'F-LSCD-012'!P8&amp;", "&amp;'F-LSCD-012'!T8</f>
        <v>San Miguel, Lima, Lima, Perú</v>
      </c>
      <c r="Q10" s="2902"/>
      <c r="R10" s="2930"/>
      <c r="S10" s="2930"/>
      <c r="T10" s="2930"/>
      <c r="U10" s="2930"/>
      <c r="V10" s="1011"/>
    </row>
    <row r="11" spans="1:22" ht="6.75" customHeight="1" x14ac:dyDescent="0.2">
      <c r="A11" s="1009"/>
      <c r="Q11" s="2902"/>
      <c r="R11" s="2930"/>
      <c r="S11" s="2930"/>
      <c r="T11" s="2930"/>
      <c r="U11" s="2930"/>
      <c r="V11" s="1011"/>
    </row>
    <row r="12" spans="1:22" x14ac:dyDescent="0.2">
      <c r="A12" s="1009"/>
      <c r="B12" s="166" t="s">
        <v>1106</v>
      </c>
      <c r="D12" s="1010" t="s">
        <v>218</v>
      </c>
      <c r="E12" s="1012" t="str">
        <f>'F-LSCD-012'!C6</f>
        <v>OT 111-12925</v>
      </c>
      <c r="F12" s="1013"/>
      <c r="G12" s="1013"/>
      <c r="H12" s="1013"/>
      <c r="I12" s="1013"/>
      <c r="J12" s="1013"/>
      <c r="K12" s="1013"/>
      <c r="L12" s="1014"/>
      <c r="M12" s="1014"/>
      <c r="N12" s="1014"/>
      <c r="O12" s="1014"/>
      <c r="P12" s="1016"/>
      <c r="Q12" s="2902"/>
      <c r="R12" s="2930"/>
      <c r="S12" s="2930"/>
      <c r="T12" s="2930"/>
      <c r="U12" s="2930"/>
      <c r="V12" s="1011"/>
    </row>
    <row r="13" spans="1:22" ht="6.75" customHeight="1" x14ac:dyDescent="0.2">
      <c r="A13" s="1009"/>
      <c r="Q13" s="2902"/>
      <c r="R13" s="2930"/>
      <c r="S13" s="2930"/>
      <c r="T13" s="2930"/>
      <c r="U13" s="2930"/>
      <c r="V13" s="1011"/>
    </row>
    <row r="14" spans="1:22" x14ac:dyDescent="0.2">
      <c r="A14" s="1009"/>
      <c r="B14" s="166" t="s">
        <v>1123</v>
      </c>
      <c r="D14" s="175" t="s">
        <v>218</v>
      </c>
      <c r="E14" s="163" t="s">
        <v>1134</v>
      </c>
      <c r="Q14" s="2902"/>
      <c r="R14" s="2930"/>
      <c r="S14" s="2930"/>
      <c r="T14" s="2930"/>
      <c r="U14" s="2930"/>
      <c r="V14" s="1011"/>
    </row>
    <row r="15" spans="1:22" ht="7.5" customHeight="1" x14ac:dyDescent="0.2">
      <c r="A15" s="1009"/>
      <c r="Q15" s="1774"/>
      <c r="R15" s="1775"/>
      <c r="S15" s="1775"/>
      <c r="T15" s="1775"/>
      <c r="U15" s="1775"/>
      <c r="V15" s="1011"/>
    </row>
    <row r="16" spans="1:22" x14ac:dyDescent="0.2">
      <c r="A16" s="1009"/>
      <c r="B16" s="166" t="s">
        <v>1124</v>
      </c>
      <c r="D16" s="166" t="s">
        <v>218</v>
      </c>
      <c r="E16" s="2883" t="str">
        <f>'F-LSCD-012'!C9</f>
        <v>Monitor de radiación (digital)</v>
      </c>
      <c r="F16" s="2883"/>
      <c r="G16" s="2883"/>
      <c r="H16" s="2883"/>
      <c r="I16" s="2883"/>
      <c r="J16" s="2883"/>
      <c r="K16" s="2883"/>
      <c r="L16" s="2883"/>
      <c r="M16" s="2883"/>
      <c r="N16" s="2883"/>
      <c r="O16" s="2883"/>
      <c r="P16" s="1017"/>
      <c r="Q16" s="1018"/>
      <c r="R16" s="1019"/>
      <c r="S16" s="1019"/>
      <c r="T16" s="1019"/>
      <c r="U16" s="1019"/>
      <c r="V16" s="1011"/>
    </row>
    <row r="17" spans="1:22" ht="15" customHeight="1" x14ac:dyDescent="0.2">
      <c r="A17" s="1009"/>
      <c r="B17" s="1010"/>
      <c r="D17" s="1010"/>
      <c r="E17" s="2884" t="str">
        <f>IF('F-LSCD-012'!C13="-","Marca monitor: "&amp;'F-LSCD-012'!C10,"Marca monitor: "&amp;'F-LSCD-012'!C10&amp;" / Marca sonda: "&amp;'F-LSCD-012'!C13)</f>
        <v>Marca monitor: MGP</v>
      </c>
      <c r="F17" s="2884"/>
      <c r="G17" s="2884"/>
      <c r="H17" s="2884"/>
      <c r="I17" s="2884"/>
      <c r="J17" s="2884"/>
      <c r="K17" s="2884"/>
      <c r="L17" s="2884"/>
      <c r="M17" s="2884"/>
      <c r="N17" s="2884"/>
      <c r="O17" s="2884"/>
      <c r="P17" s="1017"/>
      <c r="Q17" s="2948" t="s">
        <v>225</v>
      </c>
      <c r="R17" s="2947"/>
      <c r="S17" s="2947"/>
      <c r="T17" s="2947"/>
      <c r="U17" s="2947"/>
      <c r="V17" s="1011"/>
    </row>
    <row r="18" spans="1:22" ht="12" customHeight="1" x14ac:dyDescent="0.2">
      <c r="A18" s="1009"/>
      <c r="B18" s="1010"/>
      <c r="D18" s="1010"/>
      <c r="E18" s="2883" t="str">
        <f>IF('F-LSCD-012'!C13="-","Modelo monitor: "&amp;'F-LSCD-012'!C11,"Modelo monitor: "&amp;'F-LSCD-012'!C11&amp;" / Modelo sonda: "&amp;'F-LSCD-012'!C14)</f>
        <v>Modelo monitor: DMC 2000S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2883"/>
      <c r="P18" s="1017"/>
      <c r="Q18" s="2948"/>
      <c r="R18" s="2947"/>
      <c r="S18" s="2947"/>
      <c r="T18" s="2947"/>
      <c r="U18" s="2947"/>
      <c r="V18" s="1011"/>
    </row>
    <row r="19" spans="1:22" ht="12" customHeight="1" x14ac:dyDescent="0.2">
      <c r="A19" s="1009"/>
      <c r="B19" s="1010"/>
      <c r="D19" s="1010"/>
      <c r="E19" s="2883" t="str">
        <f>IF('F-LSCD-012'!C13="-","Serie monitor: "&amp;'F-LSCD-012'!C12,"Serie monitor: "&amp;'F-LSCD-012'!C12&amp;" / Serie sonda: "&amp;'F-LSCD-012'!C15)</f>
        <v>Serie monitor: 690384T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2883"/>
      <c r="P19" s="1017"/>
      <c r="Q19" s="2948"/>
      <c r="R19" s="2947"/>
      <c r="S19" s="2947"/>
      <c r="T19" s="2947"/>
      <c r="U19" s="2947"/>
      <c r="V19" s="1011"/>
    </row>
    <row r="20" spans="1:22" ht="6" customHeight="1" x14ac:dyDescent="0.2">
      <c r="A20" s="1009"/>
      <c r="B20" s="1010"/>
      <c r="D20" s="1010"/>
      <c r="E20" s="2883"/>
      <c r="F20" s="2883"/>
      <c r="G20" s="2883"/>
      <c r="H20" s="2883"/>
      <c r="I20" s="2883"/>
      <c r="J20" s="2883"/>
      <c r="K20" s="2883"/>
      <c r="L20" s="2883"/>
      <c r="M20" s="2883"/>
      <c r="N20" s="2883"/>
      <c r="O20" s="2883"/>
      <c r="P20" s="1017"/>
      <c r="Q20" s="2948"/>
      <c r="R20" s="2947"/>
      <c r="S20" s="2947"/>
      <c r="T20" s="2947"/>
      <c r="U20" s="2947"/>
      <c r="V20" s="1011"/>
    </row>
    <row r="21" spans="1:22" x14ac:dyDescent="0.2">
      <c r="A21" s="1009"/>
      <c r="B21" s="175" t="s">
        <v>1125</v>
      </c>
      <c r="D21" s="1008" t="s">
        <v>218</v>
      </c>
      <c r="E21" s="2908" t="str">
        <f>'F-LSCD-012'!C19</f>
        <v>Campo de radiación calibrado usando un fantoma, según ISO 4037-3 (2019), aplicado al PROC-LSCD-012 Calibración de dosímetros personales (versión 05)</v>
      </c>
      <c r="F21" s="2908"/>
      <c r="G21" s="2908"/>
      <c r="H21" s="2908"/>
      <c r="I21" s="2908"/>
      <c r="J21" s="2908"/>
      <c r="K21" s="2908"/>
      <c r="L21" s="2908"/>
      <c r="M21" s="2908"/>
      <c r="N21" s="2908"/>
      <c r="O21" s="2908"/>
      <c r="P21" s="1021"/>
      <c r="Q21" s="2948"/>
      <c r="R21" s="2947"/>
      <c r="S21" s="2947"/>
      <c r="T21" s="2947"/>
      <c r="U21" s="2947"/>
      <c r="V21" s="1011"/>
    </row>
    <row r="22" spans="1:22" ht="27" customHeight="1" x14ac:dyDescent="0.2">
      <c r="A22" s="1009"/>
      <c r="E22" s="2908"/>
      <c r="F22" s="2908"/>
      <c r="G22" s="2908"/>
      <c r="H22" s="2908"/>
      <c r="I22" s="2908"/>
      <c r="J22" s="2908"/>
      <c r="K22" s="2908"/>
      <c r="L22" s="2908"/>
      <c r="M22" s="2908"/>
      <c r="N22" s="2908"/>
      <c r="O22" s="2908"/>
      <c r="P22" s="1021"/>
      <c r="Q22" s="2948"/>
      <c r="R22" s="2947"/>
      <c r="S22" s="2947"/>
      <c r="T22" s="2947"/>
      <c r="U22" s="2947"/>
      <c r="V22" s="1011"/>
    </row>
    <row r="23" spans="1:22" ht="6.75" customHeight="1" x14ac:dyDescent="0.2">
      <c r="A23" s="1009"/>
      <c r="E23" s="1021"/>
      <c r="F23" s="1021"/>
      <c r="G23" s="1021"/>
      <c r="H23" s="1021"/>
      <c r="I23" s="1021"/>
      <c r="J23" s="1021"/>
      <c r="K23" s="1021"/>
      <c r="L23" s="1021"/>
      <c r="M23" s="1021"/>
      <c r="N23" s="1021"/>
      <c r="O23" s="1021"/>
      <c r="P23" s="1021"/>
      <c r="Q23" s="2948"/>
      <c r="R23" s="2947"/>
      <c r="S23" s="2947"/>
      <c r="T23" s="2947"/>
      <c r="U23" s="2947"/>
      <c r="V23" s="1011"/>
    </row>
    <row r="24" spans="1:22" ht="40.5" customHeight="1" x14ac:dyDescent="0.2">
      <c r="A24" s="1009"/>
      <c r="B24" s="1682" t="s">
        <v>1126</v>
      </c>
      <c r="C24" s="1272"/>
      <c r="D24" s="1280" t="s">
        <v>218</v>
      </c>
      <c r="E24" s="2908" t="str">
        <f>'F-LSCD-012'!C20</f>
        <v>Cámara de ionización patrón de 1 L , marca: PTW; modelo: TN32002; serie: 000568; Reporte de calibración de Kerma en aire DG: 13580-21 con fecha 2021-04-01 (NIST); trazable al NIST.</v>
      </c>
      <c r="F24" s="2908"/>
      <c r="G24" s="2908"/>
      <c r="H24" s="2908"/>
      <c r="I24" s="2908"/>
      <c r="J24" s="2908"/>
      <c r="K24" s="2908"/>
      <c r="L24" s="2908"/>
      <c r="M24" s="2908"/>
      <c r="N24" s="2908"/>
      <c r="O24" s="2908"/>
      <c r="P24" s="1023"/>
      <c r="Q24" s="2948"/>
      <c r="R24" s="2947"/>
      <c r="S24" s="2947"/>
      <c r="T24" s="2947"/>
      <c r="U24" s="2947"/>
      <c r="V24" s="1011"/>
    </row>
    <row r="25" spans="1:22" ht="7.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1021"/>
      <c r="Q25" s="2951" t="s">
        <v>702</v>
      </c>
      <c r="R25" s="2950"/>
      <c r="S25" s="2950"/>
      <c r="T25" s="2950"/>
      <c r="U25" s="2950"/>
      <c r="V25" s="1011"/>
    </row>
    <row r="26" spans="1:22" ht="14.25" customHeight="1" x14ac:dyDescent="0.2">
      <c r="A26" s="1009"/>
      <c r="B26" s="166" t="s">
        <v>1127</v>
      </c>
      <c r="D26" s="1010"/>
      <c r="Q26" s="2951"/>
      <c r="R26" s="2950"/>
      <c r="S26" s="2950"/>
      <c r="T26" s="2950"/>
      <c r="U26" s="2950"/>
      <c r="V26" s="1011"/>
    </row>
    <row r="27" spans="1:22" ht="7.5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O27" s="2909"/>
      <c r="Q27" s="1024"/>
      <c r="R27" s="1025"/>
      <c r="S27" s="1025"/>
      <c r="T27" s="1025"/>
      <c r="U27" s="1025"/>
      <c r="V27" s="1011"/>
    </row>
    <row r="28" spans="1:22" ht="12" customHeight="1" x14ac:dyDescent="0.2">
      <c r="A28" s="1009"/>
      <c r="C28" s="1272" t="s">
        <v>203</v>
      </c>
      <c r="D28" s="1022" t="s">
        <v>218</v>
      </c>
      <c r="E28" s="1275" t="str">
        <f>'F-LSCD-012'!C21</f>
        <v>S-Cs (ISO 4037-3)</v>
      </c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014"/>
      <c r="Q28" s="1018"/>
      <c r="R28" s="1019"/>
      <c r="S28" s="1019"/>
      <c r="T28" s="1019"/>
      <c r="U28" s="1019"/>
      <c r="V28" s="1011"/>
    </row>
    <row r="29" spans="1:22" ht="12" customHeight="1" x14ac:dyDescent="0.2">
      <c r="A29" s="1009"/>
      <c r="C29" s="181" t="s">
        <v>138</v>
      </c>
      <c r="D29" s="227" t="s">
        <v>218</v>
      </c>
      <c r="E29" s="2910" t="str">
        <f>'F-LSCD-012'!I24</f>
        <v>Dosis equivalente personal, Hp(10)</v>
      </c>
      <c r="F29" s="2910"/>
      <c r="G29" s="2910"/>
      <c r="H29" s="2910"/>
      <c r="I29" s="2910"/>
      <c r="J29" s="2910"/>
      <c r="K29" s="2910"/>
      <c r="L29" s="2910"/>
      <c r="M29" s="2910"/>
      <c r="N29" s="2910"/>
      <c r="O29" s="2910"/>
      <c r="P29" s="1014"/>
      <c r="Q29" s="2906" t="s">
        <v>1138</v>
      </c>
      <c r="R29" s="2907"/>
      <c r="S29" s="2907"/>
      <c r="T29" s="2907"/>
      <c r="U29" s="2907"/>
      <c r="V29" s="1011"/>
    </row>
    <row r="30" spans="1:22" ht="12" customHeight="1" x14ac:dyDescent="0.2">
      <c r="A30" s="1009"/>
      <c r="C30" s="181" t="s">
        <v>1110</v>
      </c>
      <c r="D30" s="227" t="s">
        <v>218</v>
      </c>
      <c r="E30" s="3096" t="str">
        <f>IF('F-LSCD-012'!D30="-","Inicio: "&amp;FIXED('F-LSCD-012'!D28,1)&amp;" °C ; "&amp;"Final: "&amp;FIXED('F-LSCD-012'!D29,1)&amp;" °C","Inicio: "&amp;FIXED('F-LSCD-012'!D28,1)&amp;" °C ; "&amp;"Final: "&amp;FIXED('F-LSCD-012'!D31,1)&amp;" °C")</f>
        <v>Inicio: 20.2 °C ; Final: 20.3 °C</v>
      </c>
      <c r="F30" s="3096"/>
      <c r="G30" s="3096"/>
      <c r="H30" s="3096"/>
      <c r="I30" s="3096"/>
      <c r="J30" s="3096"/>
      <c r="K30" s="3096"/>
      <c r="L30" s="3096"/>
      <c r="M30" s="1776"/>
      <c r="N30" s="1776"/>
      <c r="O30" s="1776"/>
      <c r="P30" s="1014"/>
      <c r="Q30" s="2906"/>
      <c r="R30" s="2907"/>
      <c r="S30" s="2907"/>
      <c r="T30" s="2907"/>
      <c r="U30" s="2907"/>
      <c r="V30" s="1011"/>
    </row>
    <row r="31" spans="1:22" ht="12" customHeight="1" x14ac:dyDescent="0.2">
      <c r="A31" s="1009"/>
      <c r="C31" s="181" t="s">
        <v>1108</v>
      </c>
      <c r="D31" s="227" t="s">
        <v>218</v>
      </c>
      <c r="E31" s="3096" t="str">
        <f>IF('F-LSCD-012'!H30="-","Inicio: "&amp;FIXED('F-LSCD-012'!H28,1)&amp;" hPa ; "&amp;"Final: "&amp;FIXED('F-LSCD-012'!H29,1)&amp;" hPa","Inicio: "&amp;FIXED('F-LSCD-012'!H28,1)&amp;" hPa ; "&amp;"Final: "&amp;FIXED('F-LSCD-012'!H31,1)&amp;" hPa")</f>
        <v>Inicio: 1,010.0 hPa ; Final: 1,010.2 hPa</v>
      </c>
      <c r="F31" s="3096"/>
      <c r="G31" s="3096"/>
      <c r="H31" s="3096"/>
      <c r="I31" s="3096"/>
      <c r="J31" s="3096"/>
      <c r="K31" s="3096"/>
      <c r="L31" s="3096"/>
      <c r="M31" s="1776"/>
      <c r="N31" s="1776"/>
      <c r="O31" s="1776"/>
      <c r="P31" s="1014"/>
      <c r="Q31" s="2906"/>
      <c r="R31" s="2907"/>
      <c r="S31" s="2907"/>
      <c r="T31" s="2907"/>
      <c r="U31" s="2907"/>
      <c r="V31" s="1011"/>
    </row>
    <row r="32" spans="1:22" ht="21" customHeight="1" x14ac:dyDescent="0.2">
      <c r="A32" s="1009"/>
      <c r="C32" s="181" t="s">
        <v>1109</v>
      </c>
      <c r="D32" s="227" t="s">
        <v>218</v>
      </c>
      <c r="E32" s="3096" t="str">
        <f>IF('F-LSCD-012'!F30="-","Inicio: "&amp;'F-LSCD-012'!F28&amp;" % ; "&amp;"Final: "&amp;'F-LSCD-012'!F29&amp;" %","Inicio: "&amp;'F-LSCD-012'!F28&amp;" % ; "&amp;"Final: "&amp;'F-LSCD-012'!F31&amp;" %")</f>
        <v>Inicio: 52 % ; Final: 53 %</v>
      </c>
      <c r="F32" s="3096"/>
      <c r="G32" s="3096"/>
      <c r="H32" s="3096"/>
      <c r="I32" s="3096"/>
      <c r="J32" s="3096"/>
      <c r="K32" s="3096"/>
      <c r="L32" s="3096"/>
      <c r="M32" s="1776"/>
      <c r="N32" s="1776"/>
      <c r="O32" s="1776"/>
      <c r="P32" s="1014"/>
      <c r="Q32" s="2906"/>
      <c r="R32" s="2907"/>
      <c r="S32" s="2907"/>
      <c r="T32" s="2907"/>
      <c r="U32" s="2907"/>
      <c r="V32" s="1011"/>
    </row>
    <row r="33" spans="1:22" ht="27" customHeight="1" x14ac:dyDescent="0.2">
      <c r="A33" s="1009"/>
      <c r="C33" s="1273" t="s">
        <v>277</v>
      </c>
      <c r="D33" s="1280" t="s">
        <v>218</v>
      </c>
      <c r="E33" s="2912" t="str">
        <f>'F-LSCD-012'!C22</f>
        <v xml:space="preserve">Eje longitudinal del detector paralelo al eje central del haz de radiación
</v>
      </c>
      <c r="F33" s="2912"/>
      <c r="G33" s="2912"/>
      <c r="H33" s="2912"/>
      <c r="I33" s="2912"/>
      <c r="J33" s="2912"/>
      <c r="K33" s="2912"/>
      <c r="L33" s="2912"/>
      <c r="M33" s="2912"/>
      <c r="N33" s="2912"/>
      <c r="O33" s="2912"/>
      <c r="P33" s="1014"/>
      <c r="Q33" s="2906"/>
      <c r="R33" s="2907"/>
      <c r="S33" s="2907"/>
      <c r="T33" s="2907"/>
      <c r="U33" s="2907"/>
      <c r="V33" s="1011"/>
    </row>
    <row r="34" spans="1:22" ht="12.75" customHeight="1" x14ac:dyDescent="0.2">
      <c r="A34" s="1009"/>
      <c r="C34" s="1273" t="s">
        <v>231</v>
      </c>
      <c r="D34" s="1280" t="s">
        <v>218</v>
      </c>
      <c r="E34" s="2913" t="str">
        <f>'F-LSCD-012'!C23</f>
        <v>Centro geométrico del volumen sensible del detector</v>
      </c>
      <c r="F34" s="2913"/>
      <c r="G34" s="2913"/>
      <c r="H34" s="2913"/>
      <c r="I34" s="2913"/>
      <c r="J34" s="2913"/>
      <c r="K34" s="2913"/>
      <c r="L34" s="2913"/>
      <c r="M34" s="2913"/>
      <c r="N34" s="2913"/>
      <c r="O34" s="2913"/>
      <c r="P34" s="1014"/>
      <c r="Q34" s="2906"/>
      <c r="R34" s="2907"/>
      <c r="S34" s="2907"/>
      <c r="T34" s="2907"/>
      <c r="U34" s="2907"/>
      <c r="V34" s="1011"/>
    </row>
    <row r="35" spans="1:22" ht="10.5" customHeight="1" x14ac:dyDescent="0.2">
      <c r="A35" s="1009"/>
      <c r="C35" s="1273"/>
      <c r="D35" s="1280"/>
      <c r="E35" s="1777"/>
      <c r="F35" s="1777"/>
      <c r="G35" s="1777"/>
      <c r="H35" s="1777"/>
      <c r="I35" s="1777"/>
      <c r="J35" s="1777"/>
      <c r="K35" s="1777"/>
      <c r="L35" s="1777"/>
      <c r="M35" s="1777"/>
      <c r="N35" s="1777"/>
      <c r="O35" s="1777"/>
      <c r="P35" s="1014"/>
      <c r="Q35" s="2906"/>
      <c r="R35" s="2907"/>
      <c r="S35" s="2907"/>
      <c r="T35" s="2907"/>
      <c r="U35" s="2907"/>
      <c r="V35" s="1011"/>
    </row>
    <row r="36" spans="1:22" x14ac:dyDescent="0.2">
      <c r="A36" s="1009"/>
      <c r="B36" s="166" t="s">
        <v>1128</v>
      </c>
      <c r="C36" s="170"/>
      <c r="D36" s="1022" t="s">
        <v>218</v>
      </c>
      <c r="E36" s="3095">
        <f>'F-LSCD-012'!C18</f>
        <v>44336</v>
      </c>
      <c r="F36" s="3095"/>
      <c r="G36" s="3095"/>
      <c r="H36" s="1278"/>
      <c r="I36" s="1278"/>
      <c r="J36" s="1278"/>
      <c r="K36" s="1278"/>
      <c r="L36" s="1279"/>
      <c r="M36" s="1279"/>
      <c r="N36" s="1279"/>
      <c r="O36" s="1279"/>
      <c r="P36" s="1027"/>
      <c r="Q36" s="2906"/>
      <c r="R36" s="2907"/>
      <c r="S36" s="2907"/>
      <c r="T36" s="2907"/>
      <c r="U36" s="2907"/>
      <c r="V36" s="1011"/>
    </row>
    <row r="37" spans="1:22" ht="9.75" customHeight="1" x14ac:dyDescent="0.2">
      <c r="A37" s="1009"/>
      <c r="B37" s="166"/>
      <c r="C37" s="182"/>
      <c r="D37" s="1022"/>
      <c r="E37" s="1779"/>
      <c r="F37" s="1779"/>
      <c r="G37" s="1779"/>
      <c r="H37" s="1276"/>
      <c r="I37" s="1276"/>
      <c r="J37" s="1276"/>
      <c r="K37" s="1276"/>
      <c r="L37" s="1277"/>
      <c r="M37" s="1275"/>
      <c r="N37" s="1275"/>
      <c r="O37" s="1275"/>
      <c r="P37" s="1014"/>
      <c r="Q37" s="2906"/>
      <c r="R37" s="2907"/>
      <c r="S37" s="2907"/>
      <c r="T37" s="2907"/>
      <c r="U37" s="2907"/>
      <c r="V37" s="1011"/>
    </row>
    <row r="38" spans="1:22" x14ac:dyDescent="0.2">
      <c r="A38" s="1009"/>
      <c r="B38" s="166" t="s">
        <v>1129</v>
      </c>
      <c r="C38" s="1272"/>
      <c r="D38" s="1022" t="s">
        <v>218</v>
      </c>
      <c r="E38" s="3095">
        <f>'F-LSCD-012'!C26</f>
        <v>44336</v>
      </c>
      <c r="F38" s="3095"/>
      <c r="G38" s="3095"/>
      <c r="H38" s="1278"/>
      <c r="I38" s="1278"/>
      <c r="J38" s="1278"/>
      <c r="K38" s="1278"/>
      <c r="L38" s="1279"/>
      <c r="M38" s="1279"/>
      <c r="N38" s="1279"/>
      <c r="O38" s="1279"/>
      <c r="P38" s="1027"/>
      <c r="Q38" s="2906"/>
      <c r="R38" s="2907"/>
      <c r="S38" s="2907"/>
      <c r="T38" s="2907"/>
      <c r="U38" s="2907"/>
      <c r="V38" s="1011"/>
    </row>
    <row r="39" spans="1:22" ht="8.25" customHeight="1" x14ac:dyDescent="0.25">
      <c r="A39" s="1009"/>
      <c r="B39" s="1010"/>
      <c r="D39" s="1028"/>
      <c r="E39" s="1028"/>
      <c r="H39" s="1026"/>
      <c r="V39" s="1011"/>
    </row>
    <row r="40" spans="1:22" ht="15" customHeight="1" x14ac:dyDescent="0.2">
      <c r="A40" s="1009"/>
      <c r="B40" s="166" t="s">
        <v>1130</v>
      </c>
      <c r="C40" s="1010"/>
      <c r="D40" s="1029"/>
      <c r="E40" s="1029"/>
      <c r="F40" s="1010"/>
      <c r="G40" s="1010"/>
      <c r="H40" s="1010"/>
      <c r="I40" s="1010"/>
      <c r="J40" s="1010"/>
      <c r="K40" s="1010"/>
      <c r="V40" s="1011"/>
    </row>
    <row r="41" spans="1:22" ht="8.25" customHeight="1" x14ac:dyDescent="0.2">
      <c r="A41" s="1009"/>
      <c r="D41" s="1028"/>
      <c r="E41" s="1030"/>
      <c r="V41" s="1011"/>
    </row>
    <row r="42" spans="1:22" ht="15" customHeight="1" x14ac:dyDescent="0.2">
      <c r="A42" s="1009"/>
      <c r="C42" s="2889" t="str">
        <f>IF('F-LSCD-012'!I24="Tasa de dosis equivalente ambiental, H*(10)","VCV de la tasa de dosis equivalente ambiental H*(10)",IF('F-LSCD-012'!I24="Dosis equivalente personal, Hp(10)","VCV de la dosis equivalente personal Hp(10) (mSv)",IF('F-LSCD-012'!I24="Dosis equivalente personal, Hp(0,07)","VCV de la dosis equivalente personal Hp(0,07) (mSv)",IF('F-LSCD-012'!I24="Dosis absorbida, D(10)","VCV de la dosis absorbida D(10) (mGy)"))))</f>
        <v>VCV de la dosis equivalente personal Hp(10) (mSv)</v>
      </c>
      <c r="D42" s="2890"/>
      <c r="E42" s="2893" t="s">
        <v>799</v>
      </c>
      <c r="F42" s="2894"/>
      <c r="G42" s="2894"/>
      <c r="H42" s="2895"/>
      <c r="I42" s="2866" t="s">
        <v>800</v>
      </c>
      <c r="J42" s="2867"/>
      <c r="K42" s="2867"/>
      <c r="L42" s="2868"/>
      <c r="M42" s="2853" t="s">
        <v>1168</v>
      </c>
      <c r="N42" s="2868"/>
      <c r="O42" s="2940" t="s">
        <v>259</v>
      </c>
      <c r="P42" s="2941"/>
      <c r="Q42" s="2942"/>
      <c r="R42" s="2967" t="s">
        <v>6</v>
      </c>
      <c r="S42" s="214"/>
      <c r="T42" s="214"/>
      <c r="V42" s="1011"/>
    </row>
    <row r="43" spans="1:22" ht="15" customHeight="1" x14ac:dyDescent="0.2">
      <c r="A43" s="1009"/>
      <c r="C43" s="2891"/>
      <c r="D43" s="2892"/>
      <c r="E43" s="2853" t="s">
        <v>798</v>
      </c>
      <c r="F43" s="2854"/>
      <c r="G43" s="2854"/>
      <c r="H43" s="2857"/>
      <c r="I43" s="2853" t="s">
        <v>798</v>
      </c>
      <c r="J43" s="2854"/>
      <c r="K43" s="2854"/>
      <c r="L43" s="2857"/>
      <c r="M43" s="2896"/>
      <c r="N43" s="2897"/>
      <c r="O43" s="3099"/>
      <c r="P43" s="3106"/>
      <c r="Q43" s="3101"/>
      <c r="R43" s="3092"/>
      <c r="S43" s="214"/>
      <c r="T43" s="214"/>
      <c r="V43" s="1011"/>
    </row>
    <row r="44" spans="1:22" ht="27" customHeight="1" x14ac:dyDescent="0.2">
      <c r="A44" s="1009"/>
      <c r="C44" s="2936"/>
      <c r="D44" s="2937"/>
      <c r="E44" s="2855"/>
      <c r="F44" s="2856"/>
      <c r="G44" s="2856"/>
      <c r="H44" s="2858"/>
      <c r="I44" s="2855"/>
      <c r="J44" s="2856"/>
      <c r="K44" s="2856"/>
      <c r="L44" s="2858"/>
      <c r="M44" s="2938"/>
      <c r="N44" s="2939"/>
      <c r="O44" s="2943"/>
      <c r="P44" s="2944"/>
      <c r="Q44" s="2945"/>
      <c r="R44" s="2968"/>
      <c r="S44" s="3094" t="s">
        <v>117</v>
      </c>
      <c r="T44" s="3094"/>
      <c r="U44" s="1031"/>
      <c r="V44" s="1011"/>
    </row>
    <row r="45" spans="1:22" x14ac:dyDescent="0.2">
      <c r="A45" s="1009"/>
      <c r="C45" s="3080" t="str">
        <f>IF('F-LSCD-012'!A34="-","-",FIXED('F-LSCD-012'!A34,'F-LSCD-012'!W34+1)&amp;" "&amp;'F-LSCD-012'!A35)</f>
        <v>25,000.0 µSv</v>
      </c>
      <c r="D45" s="3090"/>
      <c r="E45" s="3050" t="str">
        <f>IF('F-LSCD-012'!A34="-","-",FIXED('F-LSCD-012'!O34,'F-LSCD-012'!W34)&amp;" "&amp;'F-LSCD-012'!N34)</f>
        <v>2,474 mrem</v>
      </c>
      <c r="F45" s="3050"/>
      <c r="G45" s="3050"/>
      <c r="H45" s="3050"/>
      <c r="I45" s="3055" t="str">
        <f>IF('F-LSCD-012'!O35="-","-",FIXED('F-LSCD-012'!O35,'F-LSCD-012'!W35)&amp;" "&amp;'F-LSCD-012'!N35)</f>
        <v>-</v>
      </c>
      <c r="J45" s="3050"/>
      <c r="K45" s="3050"/>
      <c r="L45" s="3056"/>
      <c r="M45" s="3130">
        <f>IF('F-LSCD-012'!R35="-",'F-LSCD-012'!R34,'F-LSCD-012'!R35)</f>
        <v>1.0105092966855296</v>
      </c>
      <c r="N45" s="3131"/>
      <c r="O45" s="3109">
        <f>IF('F-LSCD-012'!O35="-",'F-LSCD-012'!T34,'F-LSCD-012'!T35)</f>
        <v>4.4999999999999998E-2</v>
      </c>
      <c r="P45" s="3086"/>
      <c r="Q45" s="3087"/>
      <c r="R45" s="2957" t="s">
        <v>1116</v>
      </c>
      <c r="S45" s="3091" t="str">
        <f>IF('F-LSCD-012'!N35="-",'F-LSCD-012'!N34,'F-LSCD-012'!N35)</f>
        <v>mrem</v>
      </c>
      <c r="T45" s="3060"/>
      <c r="U45" s="1032"/>
      <c r="V45" s="1011"/>
    </row>
    <row r="46" spans="1:22" x14ac:dyDescent="0.2">
      <c r="A46" s="1009"/>
      <c r="C46" s="3068" t="str">
        <f>IF('F-LSCD-012'!A36="-","-",FIXED('F-LSCD-012'!A36,'F-LSCD-012'!W36+1)&amp;" "&amp;'F-LSCD-012'!A37)</f>
        <v>-</v>
      </c>
      <c r="D46" s="3088"/>
      <c r="E46" s="3108" t="str">
        <f>IF('F-LSCD-012'!A36="-","-",FIXED('F-LSCD-012'!O36,'F-LSCD-012'!W36)&amp;" "&amp;'F-LSCD-012'!N36)</f>
        <v>-</v>
      </c>
      <c r="F46" s="3108"/>
      <c r="G46" s="3108"/>
      <c r="H46" s="3108"/>
      <c r="I46" s="3070" t="str">
        <f>IF('F-LSCD-012'!O37="-","-",FIXED('F-LSCD-012'!O37,'F-LSCD-012'!W37)&amp;" "&amp;'F-LSCD-012'!N37)</f>
        <v>-</v>
      </c>
      <c r="J46" s="3108"/>
      <c r="K46" s="3108"/>
      <c r="L46" s="3071"/>
      <c r="M46" s="3132" t="str">
        <f>IF('F-LSCD-012'!R37="-",'F-LSCD-012'!R36,'F-LSCD-012'!R37)</f>
        <v>-</v>
      </c>
      <c r="N46" s="3133"/>
      <c r="O46" s="3110" t="str">
        <f>IF('F-LSCD-012'!O37="-",'F-LSCD-012'!T36,'F-LSCD-012'!T37)</f>
        <v>-</v>
      </c>
      <c r="P46" s="3111"/>
      <c r="Q46" s="3075"/>
      <c r="R46" s="2958"/>
      <c r="S46" s="3060" t="str">
        <f>IF('F-LSCD-012'!N37="-",'F-LSCD-012'!N36,'F-LSCD-012'!N37)</f>
        <v>-</v>
      </c>
      <c r="T46" s="3060"/>
      <c r="U46" s="1385"/>
      <c r="V46" s="1011"/>
    </row>
    <row r="47" spans="1:22" ht="15" customHeight="1" x14ac:dyDescent="0.2">
      <c r="A47" s="1009"/>
      <c r="C47" s="3076" t="str">
        <f>IF('F-LSCD-012'!A38="-","-",FIXED('F-LSCD-012'!A38,'F-LSCD-012'!W38+1)&amp;" "&amp;'F-LSCD-012'!A39)</f>
        <v>-</v>
      </c>
      <c r="D47" s="3089"/>
      <c r="E47" s="3078" t="str">
        <f>IF('F-LSCD-012'!A38="-","-",FIXED('F-LSCD-012'!O38,'F-LSCD-012'!W38)&amp;" "&amp;'F-LSCD-012'!N38)</f>
        <v>-</v>
      </c>
      <c r="F47" s="3049"/>
      <c r="G47" s="3049"/>
      <c r="H47" s="3079"/>
      <c r="I47" s="3078" t="str">
        <f>IF('F-LSCD-012'!O39="-","-",FIXED('F-LSCD-012'!O39,'F-LSCD-012'!W39)&amp;" "&amp;'F-LSCD-012'!N39)</f>
        <v>-</v>
      </c>
      <c r="J47" s="3049"/>
      <c r="K47" s="3049"/>
      <c r="L47" s="3079"/>
      <c r="M47" s="3134" t="str">
        <f>IF('F-LSCD-012'!R39="-",'F-LSCD-012'!R38,'F-LSCD-012'!R39)</f>
        <v>-</v>
      </c>
      <c r="N47" s="3135"/>
      <c r="O47" s="3063" t="str">
        <f>IF('F-LSCD-012'!O39="-",'F-LSCD-012'!T38,'F-LSCD-012'!T39)</f>
        <v>-</v>
      </c>
      <c r="P47" s="3063"/>
      <c r="Q47" s="3063"/>
      <c r="R47" s="2959"/>
      <c r="S47" s="3060" t="str">
        <f>IF('F-LSCD-012'!N39="-",'F-LSCD-012'!N38,'F-LSCD-012'!N39)</f>
        <v>-</v>
      </c>
      <c r="T47" s="3060"/>
      <c r="U47" s="1032"/>
      <c r="V47" s="1011"/>
    </row>
    <row r="48" spans="1:22" x14ac:dyDescent="0.2">
      <c r="A48" s="1009"/>
      <c r="C48" s="3080" t="str">
        <f>IF('F-LSCD-012'!A40="-","-",FIXED('F-LSCD-012'!A40,'F-LSCD-012'!W40+1)&amp;" "&amp;'F-LSCD-012'!A41)</f>
        <v>-</v>
      </c>
      <c r="D48" s="3081"/>
      <c r="E48" s="3055" t="str">
        <f>IF('F-LSCD-012'!A40="-","-",FIXED('F-LSCD-012'!O40,'F-LSCD-012'!W40)&amp;" "&amp;'F-LSCD-012'!N40)</f>
        <v>-</v>
      </c>
      <c r="F48" s="3050"/>
      <c r="G48" s="3050"/>
      <c r="H48" s="3056"/>
      <c r="I48" s="3055" t="str">
        <f>IF('F-LSCD-012'!O41="-","-",FIXED('F-LSCD-012'!O41,'F-LSCD-012'!W41)&amp;" "&amp;'F-LSCD-012'!N41)</f>
        <v>-</v>
      </c>
      <c r="J48" s="3050"/>
      <c r="K48" s="3050"/>
      <c r="L48" s="3056"/>
      <c r="M48" s="3130" t="str">
        <f>IF('F-LSCD-012'!R41="-",'F-LSCD-012'!R40,'F-LSCD-012'!R41)</f>
        <v>-</v>
      </c>
      <c r="N48" s="3131"/>
      <c r="O48" s="3086" t="str">
        <f>IF('F-LSCD-012'!O41="-",'F-LSCD-012'!T40,'F-LSCD-012'!T41)</f>
        <v>-</v>
      </c>
      <c r="P48" s="3086"/>
      <c r="Q48" s="3087"/>
      <c r="R48" s="2957" t="s">
        <v>1117</v>
      </c>
      <c r="S48" s="3060" t="str">
        <f>IF('F-LSCD-012'!N41="-",'F-LSCD-012'!N40,'F-LSCD-012'!N41)</f>
        <v>-</v>
      </c>
      <c r="T48" s="3060"/>
      <c r="U48" s="1032"/>
      <c r="V48" s="1011"/>
    </row>
    <row r="49" spans="1:23" x14ac:dyDescent="0.2">
      <c r="A49" s="1009"/>
      <c r="C49" s="3068" t="str">
        <f>IF('F-LSCD-012'!A42="-","-",FIXED('F-LSCD-012'!A42,'F-LSCD-012'!W42+1)&amp;" "&amp;'F-LSCD-012'!A43)</f>
        <v>-</v>
      </c>
      <c r="D49" s="3112"/>
      <c r="E49" s="3070" t="str">
        <f>IF('F-LSCD-012'!A42="-","-",FIXED('F-LSCD-012'!O42,'F-LSCD-012'!W42)&amp;" "&amp;'F-LSCD-012'!N42)</f>
        <v>-</v>
      </c>
      <c r="F49" s="3108"/>
      <c r="G49" s="3108"/>
      <c r="H49" s="3071"/>
      <c r="I49" s="3070" t="str">
        <f>IF('F-LSCD-012'!O43="-","-",FIXED('F-LSCD-012'!O43,'F-LSCD-012'!W43)&amp;" "&amp;'F-LSCD-012'!N43)</f>
        <v>-</v>
      </c>
      <c r="J49" s="3108"/>
      <c r="K49" s="3108"/>
      <c r="L49" s="3071"/>
      <c r="M49" s="3132" t="str">
        <f>IF('F-LSCD-012'!R43="-",'F-LSCD-012'!R42,'F-LSCD-012'!R43)</f>
        <v>-</v>
      </c>
      <c r="N49" s="3133"/>
      <c r="O49" s="3111" t="str">
        <f>IF('F-LSCD-012'!O43="-",'F-LSCD-012'!T42,'F-LSCD-012'!T43)</f>
        <v>-</v>
      </c>
      <c r="P49" s="3111"/>
      <c r="Q49" s="3075"/>
      <c r="R49" s="2958"/>
      <c r="S49" s="3060" t="str">
        <f>IF('F-LSCD-012'!N43="-",'F-LSCD-012'!N42,'F-LSCD-012'!N43)</f>
        <v>-</v>
      </c>
      <c r="T49" s="3060"/>
      <c r="U49" s="1385"/>
      <c r="V49" s="1011"/>
    </row>
    <row r="50" spans="1:23" ht="15" customHeight="1" x14ac:dyDescent="0.2">
      <c r="A50" s="1009"/>
      <c r="C50" s="3076" t="str">
        <f>IF('F-LSCD-012'!A44="-","-",FIXED('F-LSCD-012'!A44,'F-LSCD-012'!W44+1)&amp;" "&amp;'F-LSCD-012'!A45)</f>
        <v>-</v>
      </c>
      <c r="D50" s="3077"/>
      <c r="E50" s="3078" t="str">
        <f>IF('F-LSCD-012'!A44="-","-",FIXED('F-LSCD-012'!O44,'F-LSCD-012'!W44)&amp;" "&amp;'F-LSCD-012'!N44)</f>
        <v>-</v>
      </c>
      <c r="F50" s="3049"/>
      <c r="G50" s="3049"/>
      <c r="H50" s="3079"/>
      <c r="I50" s="3078" t="str">
        <f>IF('F-LSCD-012'!O45="-","-",FIXED('F-LSCD-012'!O45,'F-LSCD-012'!W45)&amp;" "&amp;'F-LSCD-012'!N45)</f>
        <v>-</v>
      </c>
      <c r="J50" s="3049"/>
      <c r="K50" s="3049"/>
      <c r="L50" s="3079"/>
      <c r="M50" s="3134" t="str">
        <f>IF('F-LSCD-012'!R45="-",'F-LSCD-012'!R44,'F-LSCD-012'!R45)</f>
        <v>-</v>
      </c>
      <c r="N50" s="3135"/>
      <c r="O50" s="3063" t="str">
        <f>IF('F-LSCD-012'!O45="-",'F-LSCD-012'!T44,'F-LSCD-012'!T45)</f>
        <v>-</v>
      </c>
      <c r="P50" s="3063"/>
      <c r="Q50" s="3064"/>
      <c r="R50" s="2959"/>
      <c r="S50" s="3060" t="str">
        <f>IF('F-LSCD-012'!N45="-",'F-LSCD-012'!N44,'F-LSCD-012'!N45)</f>
        <v>-</v>
      </c>
      <c r="T50" s="3060"/>
      <c r="U50" s="1032"/>
      <c r="V50" s="1011"/>
    </row>
    <row r="51" spans="1:23" x14ac:dyDescent="0.2">
      <c r="A51" s="1009"/>
      <c r="C51" s="3080" t="str">
        <f>IF('F-LSCD-012'!A46="-","-",FIXED('F-LSCD-012'!A46,'F-LSCD-012'!W46+1)&amp;" "&amp;'F-LSCD-012'!A47)</f>
        <v>-</v>
      </c>
      <c r="D51" s="3081"/>
      <c r="E51" s="3055" t="str">
        <f>IF('F-LSCD-012'!A46="-","-",FIXED('F-LSCD-012'!O46,'F-LSCD-012'!W46)&amp;" "&amp;'F-LSCD-012'!N46)</f>
        <v>-</v>
      </c>
      <c r="F51" s="3050"/>
      <c r="G51" s="3050"/>
      <c r="H51" s="3056"/>
      <c r="I51" s="3055" t="str">
        <f>IF('F-LSCD-012'!O47="-","-",FIXED('F-LSCD-012'!O47,'F-LSCD-012'!W47)&amp;" "&amp;'F-LSCD-012'!N47)</f>
        <v>-</v>
      </c>
      <c r="J51" s="3050"/>
      <c r="K51" s="3050"/>
      <c r="L51" s="3056"/>
      <c r="M51" s="3130" t="str">
        <f>IF('F-LSCD-012'!R47="-",'F-LSCD-012'!R46,'F-LSCD-012'!R47)</f>
        <v>-</v>
      </c>
      <c r="N51" s="3131"/>
      <c r="O51" s="3086" t="str">
        <f>IF('F-LSCD-012'!O47="-",'F-LSCD-012'!T46,'F-LSCD-012'!T47)</f>
        <v>-</v>
      </c>
      <c r="P51" s="3086"/>
      <c r="Q51" s="3087"/>
      <c r="R51" s="2957" t="s">
        <v>1145</v>
      </c>
      <c r="S51" s="3060" t="str">
        <f>IF('F-LSCD-012'!N47="-",'F-LSCD-012'!N46,'F-LSCD-012'!N47)</f>
        <v>-</v>
      </c>
      <c r="T51" s="3060"/>
      <c r="U51" s="1032"/>
      <c r="V51" s="1011"/>
    </row>
    <row r="52" spans="1:23" x14ac:dyDescent="0.2">
      <c r="A52" s="1009"/>
      <c r="C52" s="3068" t="str">
        <f>IF('F-LSCD-012'!A48="-","-",FIXED('F-LSCD-012'!A48,'F-LSCD-012'!W48+1)&amp;" "&amp;'F-LSCD-012'!A49)</f>
        <v>-</v>
      </c>
      <c r="D52" s="3112"/>
      <c r="E52" s="3070" t="str">
        <f>IF('F-LSCD-012'!A48="-","-",FIXED('F-LSCD-012'!O48,'F-LSCD-012'!W48)&amp;" "&amp;'F-LSCD-012'!N48)</f>
        <v>-</v>
      </c>
      <c r="F52" s="3108"/>
      <c r="G52" s="3108"/>
      <c r="H52" s="3071"/>
      <c r="I52" s="3070" t="str">
        <f>IF('F-LSCD-012'!O49="-","-",FIXED('F-LSCD-012'!O49,'F-LSCD-012'!W49)&amp;" "&amp;'F-LSCD-012'!N49)</f>
        <v>-</v>
      </c>
      <c r="J52" s="3108"/>
      <c r="K52" s="3108"/>
      <c r="L52" s="3071"/>
      <c r="M52" s="3132" t="str">
        <f>IF('F-LSCD-012'!R49="-",'F-LSCD-012'!R48,'F-LSCD-012'!R49)</f>
        <v>-</v>
      </c>
      <c r="N52" s="3133"/>
      <c r="O52" s="3114" t="str">
        <f>IF('F-LSCD-012'!O49="-",'F-LSCD-012'!T48,'F-LSCD-012'!T49)</f>
        <v>-</v>
      </c>
      <c r="P52" s="3114"/>
      <c r="Q52" s="3115"/>
      <c r="R52" s="2958"/>
      <c r="S52" s="3060" t="str">
        <f>IF('F-LSCD-012'!N49="-",'F-LSCD-012'!N48,'F-LSCD-012'!N49)</f>
        <v>-</v>
      </c>
      <c r="T52" s="3060"/>
      <c r="U52" s="1385"/>
      <c r="V52" s="1011"/>
    </row>
    <row r="53" spans="1:23" x14ac:dyDescent="0.2">
      <c r="A53" s="1009"/>
      <c r="C53" s="3076" t="str">
        <f>IF('F-LSCD-012'!A50="-","-",FIXED('F-LSCD-012'!A50,'F-LSCD-012'!W50+1)&amp;" "&amp;'F-LSCD-012'!A51)</f>
        <v>-</v>
      </c>
      <c r="D53" s="3077"/>
      <c r="E53" s="3078" t="str">
        <f>IF('F-LSCD-012'!A50="-","-",FIXED('F-LSCD-012'!O50,'F-LSCD-012'!W50)&amp;" "&amp;'F-LSCD-012'!N50)</f>
        <v>-</v>
      </c>
      <c r="F53" s="3049"/>
      <c r="G53" s="3049"/>
      <c r="H53" s="3079"/>
      <c r="I53" s="3078" t="str">
        <f>IF('F-LSCD-012'!O51="-","-",FIXED('F-LSCD-012'!O51,'F-LSCD-012'!W51)&amp;" "&amp;'F-LSCD-012'!N51)</f>
        <v>-</v>
      </c>
      <c r="J53" s="3049"/>
      <c r="K53" s="3049"/>
      <c r="L53" s="3079"/>
      <c r="M53" s="3134" t="str">
        <f>IF('F-LSCD-012'!R51="-",'F-LSCD-012'!R50,'F-LSCD-012'!R51)</f>
        <v>-</v>
      </c>
      <c r="N53" s="3135"/>
      <c r="O53" s="3063" t="str">
        <f>IF('F-LSCD-012'!O51="-",'F-LSCD-012'!T50,'F-LSCD-012'!T51)</f>
        <v>-</v>
      </c>
      <c r="P53" s="3063"/>
      <c r="Q53" s="3064"/>
      <c r="R53" s="2959"/>
      <c r="S53" s="3060" t="str">
        <f>IF('F-LSCD-012'!N51="-",'F-LSCD-012'!N50,'F-LSCD-012'!N51)</f>
        <v>-</v>
      </c>
      <c r="T53" s="3060"/>
      <c r="U53" s="1032"/>
      <c r="V53" s="1011"/>
    </row>
    <row r="54" spans="1:23" x14ac:dyDescent="0.2">
      <c r="A54" s="1009"/>
      <c r="C54" s="3068" t="str">
        <f>IF('F-LSCD-012'!A52="-","-",FIXED('F-LSCD-012'!A52,'F-LSCD-012'!W52)&amp;" "&amp;'F-LSCD-012'!A53)</f>
        <v>-</v>
      </c>
      <c r="D54" s="3112"/>
      <c r="E54" s="3070" t="str">
        <f>IF('F-LSCD-012'!A52="-","-",FIXED('F-LSCD-012'!O52,'F-LSCD-012'!W52)&amp;" "&amp;'F-LSCD-012'!N52)</f>
        <v>-</v>
      </c>
      <c r="F54" s="3108"/>
      <c r="G54" s="3108"/>
      <c r="H54" s="3071"/>
      <c r="I54" s="3070" t="str">
        <f>IF('F-LSCD-012'!O53="-","-",FIXED('F-LSCD-012'!O53,'F-LSCD-012'!W53)&amp;" "&amp;'F-LSCD-012'!N53)</f>
        <v>-</v>
      </c>
      <c r="J54" s="3108"/>
      <c r="K54" s="3108"/>
      <c r="L54" s="3071"/>
      <c r="M54" s="3072" t="str">
        <f>IF('F-LSCD-012'!R53="-",'F-LSCD-012'!R52,'F-LSCD-012'!R53)</f>
        <v>-</v>
      </c>
      <c r="N54" s="3073"/>
      <c r="O54" s="3114" t="str">
        <f>IF('F-LSCD-012'!O53="-",'F-LSCD-012'!T52,'F-LSCD-012'!T53)</f>
        <v>-</v>
      </c>
      <c r="P54" s="3114"/>
      <c r="Q54" s="3115"/>
      <c r="R54" s="2958" t="s">
        <v>93</v>
      </c>
      <c r="S54" s="3060" t="str">
        <f>IF('F-LSCD-012'!N53="-",'F-LSCD-012'!N52,'F-LSCD-012'!N53)</f>
        <v>-</v>
      </c>
      <c r="T54" s="3060"/>
      <c r="U54" s="1032"/>
      <c r="V54" s="1011"/>
    </row>
    <row r="55" spans="1:23" x14ac:dyDescent="0.2">
      <c r="A55" s="1009"/>
      <c r="C55" s="3068" t="str">
        <f>IF('F-LSCD-012'!A54="-","-",FIXED('F-LSCD-012'!A54,'F-LSCD-012'!W54)&amp;" "&amp;'F-LSCD-012'!A55)</f>
        <v>-</v>
      </c>
      <c r="D55" s="3088"/>
      <c r="E55" s="3070" t="str">
        <f>IF('F-LSCD-012'!A54="-","-",FIXED('F-LSCD-012'!O54,'F-LSCD-012'!W54)&amp;" "&amp;'F-LSCD-012'!N54)</f>
        <v>-</v>
      </c>
      <c r="F55" s="3108"/>
      <c r="G55" s="3108"/>
      <c r="H55" s="3071"/>
      <c r="I55" s="3070" t="str">
        <f>IF('F-LSCD-012'!O55="-","-",FIXED('F-LSCD-012'!O55,'F-LSCD-012'!W55)&amp;" "&amp;'F-LSCD-012'!N55)</f>
        <v>-</v>
      </c>
      <c r="J55" s="3108"/>
      <c r="K55" s="3108"/>
      <c r="L55" s="3071"/>
      <c r="M55" s="3072" t="str">
        <f>IF('F-LSCD-012'!R55="-",'F-LSCD-012'!R54,'F-LSCD-012'!R55)</f>
        <v>-</v>
      </c>
      <c r="N55" s="3073"/>
      <c r="O55" s="3111" t="str">
        <f>IF('F-LSCD-012'!O55="-",'F-LSCD-012'!T54,'F-LSCD-012'!T55)</f>
        <v>-</v>
      </c>
      <c r="P55" s="3111"/>
      <c r="Q55" s="3075"/>
      <c r="R55" s="2958"/>
      <c r="S55" s="3060" t="str">
        <f>IF('F-LSCD-012'!N55="-",'F-LSCD-012'!N54,'F-LSCD-012'!N55)</f>
        <v>-</v>
      </c>
      <c r="T55" s="3060"/>
      <c r="U55" s="1032"/>
      <c r="V55" s="1011"/>
    </row>
    <row r="56" spans="1:23" x14ac:dyDescent="0.2">
      <c r="A56" s="1009"/>
      <c r="C56" s="3076" t="str">
        <f>IF('F-LSCD-012'!A56="-","-",FIXED('F-LSCD-012'!A56,'F-LSCD-012'!W56)&amp;" "&amp;'F-LSCD-012'!A57)</f>
        <v>-</v>
      </c>
      <c r="D56" s="3077"/>
      <c r="E56" s="3078" t="str">
        <f>IF('F-LSCD-012'!A56="-","-",FIXED('F-LSCD-012'!O56,'F-LSCD-012'!W56)&amp;" "&amp;'F-LSCD-012'!N56)</f>
        <v>-</v>
      </c>
      <c r="F56" s="3049"/>
      <c r="G56" s="3049"/>
      <c r="H56" s="3079"/>
      <c r="I56" s="3078" t="str">
        <f>IF('F-LSCD-012'!O57="-","-",FIXED('F-LSCD-012'!O57,'F-LSCD-012'!W57)&amp;" "&amp;'F-LSCD-012'!N57)</f>
        <v>-</v>
      </c>
      <c r="J56" s="3049"/>
      <c r="K56" s="3049"/>
      <c r="L56" s="3079"/>
      <c r="M56" s="3061" t="str">
        <f>IF('F-LSCD-012'!R57="-",'F-LSCD-012'!R56,'F-LSCD-012'!R57)</f>
        <v>-</v>
      </c>
      <c r="N56" s="3062"/>
      <c r="O56" s="3063" t="str">
        <f>IF('F-LSCD-012'!O57="-",'F-LSCD-012'!T56,'F-LSCD-012'!T57)</f>
        <v>-</v>
      </c>
      <c r="P56" s="3063"/>
      <c r="Q56" s="3064"/>
      <c r="R56" s="2959"/>
      <c r="S56" s="3060" t="str">
        <f>IF('F-LSCD-012'!N57="-",'F-LSCD-012'!N56,'F-LSCD-012'!N57)</f>
        <v>-</v>
      </c>
      <c r="T56" s="3060"/>
      <c r="U56" s="1032"/>
      <c r="V56" s="1011"/>
    </row>
    <row r="57" spans="1:23" x14ac:dyDescent="0.2">
      <c r="A57" s="1009"/>
      <c r="C57" s="1033" t="str">
        <f>"VCV = Valor convencionalmente verdadero"</f>
        <v>VCV = Valor convencionalmente verdadero</v>
      </c>
      <c r="D57" s="1033"/>
      <c r="E57" s="1033"/>
      <c r="F57" s="1033"/>
      <c r="G57" s="1034"/>
      <c r="H57" s="1034"/>
      <c r="I57" s="1034"/>
      <c r="J57" s="1034"/>
      <c r="K57" s="1034"/>
      <c r="P57" s="1010"/>
      <c r="Q57" s="1010"/>
      <c r="R57" s="1010"/>
      <c r="S57" s="1010"/>
      <c r="T57" s="1010"/>
      <c r="U57" s="1010"/>
      <c r="V57" s="1011"/>
    </row>
    <row r="58" spans="1:23" ht="12.75" hidden="1" customHeight="1" x14ac:dyDescent="0.2">
      <c r="A58" s="1009"/>
      <c r="C58" s="1014"/>
      <c r="D58" s="1262"/>
      <c r="E58" s="1262"/>
      <c r="F58" s="1262"/>
      <c r="G58" s="1262"/>
      <c r="H58" s="1262"/>
      <c r="I58" s="1262"/>
      <c r="J58" s="1262"/>
      <c r="K58" s="1262"/>
      <c r="L58" s="1262"/>
      <c r="M58" s="1262"/>
      <c r="N58" s="1262"/>
      <c r="O58" s="1262"/>
      <c r="P58" s="1262"/>
      <c r="Q58" s="1262"/>
      <c r="R58" s="1262"/>
      <c r="S58" s="1262"/>
      <c r="T58" s="1262"/>
      <c r="U58" s="1262"/>
      <c r="V58" s="1011"/>
    </row>
    <row r="59" spans="1:23" ht="3" customHeight="1" thickBot="1" x14ac:dyDescent="0.25">
      <c r="A59" s="1036"/>
      <c r="B59" s="1037"/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8"/>
    </row>
    <row r="60" spans="1:23" ht="15.75" thickTop="1" x14ac:dyDescent="0.25">
      <c r="A60" s="3022" t="s">
        <v>1118</v>
      </c>
      <c r="B60" s="2864"/>
      <c r="C60" s="2864"/>
      <c r="D60" s="2864"/>
      <c r="E60" s="2864"/>
      <c r="F60" s="2864"/>
      <c r="G60" s="2864"/>
      <c r="H60" s="2864"/>
      <c r="I60" s="2864"/>
      <c r="J60" s="2864"/>
      <c r="K60" s="2864"/>
      <c r="L60" s="2864"/>
      <c r="M60" s="2864"/>
      <c r="N60" s="2864"/>
      <c r="O60" s="2864"/>
      <c r="P60" s="2864"/>
      <c r="Q60" s="2864"/>
      <c r="R60" s="2864"/>
      <c r="S60" s="2864"/>
      <c r="T60" s="2864"/>
      <c r="U60" s="2864"/>
      <c r="V60" s="2865"/>
    </row>
    <row r="61" spans="1:23" ht="11.25" customHeight="1" thickBot="1" x14ac:dyDescent="0.25">
      <c r="A61" s="2859" t="s">
        <v>810</v>
      </c>
      <c r="B61" s="2860"/>
      <c r="C61" s="2860"/>
      <c r="D61" s="2860"/>
      <c r="E61" s="2860"/>
      <c r="F61" s="2860"/>
      <c r="G61" s="2860"/>
      <c r="H61" s="2860"/>
      <c r="I61" s="2860"/>
      <c r="J61" s="2860"/>
      <c r="K61" s="2860"/>
      <c r="L61" s="2860"/>
      <c r="M61" s="2860"/>
      <c r="N61" s="2860"/>
      <c r="O61" s="2860"/>
      <c r="P61" s="2860"/>
      <c r="Q61" s="2860"/>
      <c r="R61" s="2860"/>
      <c r="S61" s="2860"/>
      <c r="T61" s="2860"/>
      <c r="U61" s="2860"/>
      <c r="V61" s="2861"/>
      <c r="W61" s="1039"/>
    </row>
    <row r="62" spans="1:23" ht="11.25" customHeight="1" thickBot="1" x14ac:dyDescent="0.25">
      <c r="A62" s="1305"/>
      <c r="B62" s="1416" t="s">
        <v>916</v>
      </c>
      <c r="C62" s="1417"/>
      <c r="D62" s="1305"/>
      <c r="E62" s="1305"/>
      <c r="F62" s="1305"/>
      <c r="G62" s="1305"/>
      <c r="H62" s="1305"/>
      <c r="I62" s="1305"/>
      <c r="J62" s="1305"/>
      <c r="K62" s="1305"/>
      <c r="L62" s="1305"/>
      <c r="M62" s="1305"/>
      <c r="N62" s="1305"/>
      <c r="O62" s="1305"/>
      <c r="P62" s="1305"/>
      <c r="Q62" s="1305"/>
      <c r="R62" s="1305"/>
      <c r="S62" s="1305"/>
      <c r="T62" s="1305"/>
      <c r="U62" s="1415" t="str">
        <f>A4</f>
        <v>CERTIFICADO DE CALIBRACIÓN N° LSCD 029-2021</v>
      </c>
      <c r="V62" s="1305"/>
      <c r="W62" s="1039"/>
    </row>
    <row r="63" spans="1:23" ht="51" customHeight="1" x14ac:dyDescent="0.2">
      <c r="A63" s="2869"/>
      <c r="B63" s="2870"/>
      <c r="C63" s="2870"/>
      <c r="D63" s="2870"/>
      <c r="E63" s="2870"/>
      <c r="F63" s="2870"/>
      <c r="G63" s="2870"/>
      <c r="H63" s="2870"/>
      <c r="I63" s="2870"/>
      <c r="J63" s="2870"/>
      <c r="K63" s="2870"/>
      <c r="L63" s="2870"/>
      <c r="M63" s="2870"/>
      <c r="N63" s="2870"/>
      <c r="O63" s="2870"/>
      <c r="P63" s="2870"/>
      <c r="Q63" s="2870"/>
      <c r="R63" s="2870"/>
      <c r="S63" s="2870"/>
      <c r="T63" s="2870"/>
      <c r="U63" s="2870"/>
      <c r="V63" s="2871"/>
    </row>
    <row r="64" spans="1:23" ht="27" customHeight="1" thickBot="1" x14ac:dyDescent="0.25">
      <c r="A64" s="2872"/>
      <c r="B64" s="2873"/>
      <c r="C64" s="2873"/>
      <c r="D64" s="2873"/>
      <c r="E64" s="2873"/>
      <c r="F64" s="2873"/>
      <c r="G64" s="2873"/>
      <c r="H64" s="2873"/>
      <c r="I64" s="2873"/>
      <c r="J64" s="2873"/>
      <c r="K64" s="2873"/>
      <c r="L64" s="2873"/>
      <c r="M64" s="2873"/>
      <c r="N64" s="2873"/>
      <c r="O64" s="2873"/>
      <c r="P64" s="2873"/>
      <c r="Q64" s="2873"/>
      <c r="R64" s="2873"/>
      <c r="S64" s="2873"/>
      <c r="T64" s="2873"/>
      <c r="U64" s="2873"/>
      <c r="V64" s="2874"/>
    </row>
    <row r="65" spans="1:23" ht="13.5" thickTop="1" x14ac:dyDescent="0.2">
      <c r="A65" s="1304"/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5"/>
      <c r="T65" s="1305"/>
      <c r="U65" s="1305"/>
      <c r="V65" s="1306"/>
      <c r="W65" s="1039"/>
    </row>
    <row r="66" spans="1:23" x14ac:dyDescent="0.2">
      <c r="A66" s="1304"/>
      <c r="B66" s="1305"/>
      <c r="C66" s="1014" t="str">
        <f>IF(M45="-","","Promedio FC Rango "&amp;R45&amp;" = "&amp;FIXED(AVERAGE(M45:N47),2))</f>
        <v>Promedio FC Rango x 10 = 1.01</v>
      </c>
      <c r="D66" s="1305"/>
      <c r="E66" s="1305"/>
      <c r="F66" s="1305"/>
      <c r="G66" s="1305"/>
      <c r="H66" s="1305"/>
      <c r="I66" s="1305"/>
      <c r="J66" s="1305"/>
      <c r="K66" s="1305"/>
      <c r="L66" s="1305"/>
      <c r="M66" s="1305"/>
      <c r="N66" s="1305"/>
      <c r="O66" s="1305"/>
      <c r="P66" s="1305"/>
      <c r="Q66" s="1305"/>
      <c r="R66" s="1305"/>
      <c r="S66" s="1305"/>
      <c r="T66" s="1305"/>
      <c r="U66" s="1305"/>
      <c r="V66" s="1306"/>
      <c r="W66" s="1039"/>
    </row>
    <row r="67" spans="1:23" x14ac:dyDescent="0.2">
      <c r="A67" s="1304"/>
      <c r="B67" s="1305"/>
      <c r="C67" s="1014" t="str">
        <f>IF(M48="-","","Promedio FC Rango "&amp;R48&amp;" = "&amp;FIXED(AVERAGE(M48:N50),2))</f>
        <v/>
      </c>
      <c r="D67" s="1305"/>
      <c r="E67" s="1305"/>
      <c r="F67" s="1305"/>
      <c r="G67" s="1305"/>
      <c r="H67" s="1305"/>
      <c r="I67" s="1305"/>
      <c r="J67" s="1305"/>
      <c r="K67" s="1305"/>
      <c r="L67" s="1305"/>
      <c r="M67" s="1305"/>
      <c r="N67" s="1305"/>
      <c r="O67" s="1305"/>
      <c r="P67" s="1305"/>
      <c r="Q67" s="1305"/>
      <c r="R67" s="1305"/>
      <c r="S67" s="1305"/>
      <c r="T67" s="1305"/>
      <c r="U67" s="1305"/>
      <c r="V67" s="1306"/>
      <c r="W67" s="1039"/>
    </row>
    <row r="68" spans="1:23" x14ac:dyDescent="0.2">
      <c r="A68" s="1009"/>
      <c r="C68" s="1014" t="str">
        <f>IF(M51="-","","Promedio FC Rango "&amp;R51&amp;" = "&amp;FIXED(AVERAGE(M51:N53),2))</f>
        <v/>
      </c>
      <c r="D68" s="1262"/>
      <c r="E68" s="1262"/>
      <c r="F68" s="1262"/>
      <c r="G68" s="1262"/>
      <c r="H68" s="1262"/>
      <c r="I68" s="1262"/>
      <c r="J68" s="1262"/>
      <c r="K68" s="1262"/>
      <c r="L68" s="1262"/>
      <c r="M68" s="1262"/>
      <c r="N68" s="1262"/>
      <c r="O68" s="1262"/>
      <c r="P68" s="1262"/>
      <c r="Q68" s="1262"/>
      <c r="R68" s="1262"/>
      <c r="S68" s="1262"/>
      <c r="T68" s="1262"/>
      <c r="U68" s="1262"/>
      <c r="V68" s="1011"/>
    </row>
    <row r="69" spans="1:23" x14ac:dyDescent="0.2">
      <c r="A69" s="1009"/>
      <c r="C69" s="1014" t="str">
        <f>IF(M54="-","","Promedio FC Rango "&amp;R54&amp;" = "&amp;FIXED(AVERAGE(M54:N56),2))</f>
        <v/>
      </c>
      <c r="D69" s="1262"/>
      <c r="E69" s="1262"/>
      <c r="F69" s="1262"/>
      <c r="G69" s="1262"/>
      <c r="H69" s="1262"/>
      <c r="I69" s="1262"/>
      <c r="J69" s="1262"/>
      <c r="K69" s="1262"/>
      <c r="L69" s="1262"/>
      <c r="M69" s="1262"/>
      <c r="N69" s="1262"/>
      <c r="O69" s="1262"/>
      <c r="P69" s="1262"/>
      <c r="Q69" s="1262"/>
      <c r="R69" s="1262"/>
      <c r="S69" s="1262"/>
      <c r="T69" s="1262"/>
      <c r="U69" s="1262"/>
      <c r="V69" s="1011"/>
    </row>
    <row r="70" spans="1:23" x14ac:dyDescent="0.2">
      <c r="A70" s="1009"/>
      <c r="C70" s="1014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011"/>
    </row>
    <row r="71" spans="1:23" x14ac:dyDescent="0.2">
      <c r="A71" s="1009"/>
      <c r="C71" s="180" t="s">
        <v>1149</v>
      </c>
      <c r="D71" s="1262"/>
      <c r="E71" s="1262"/>
      <c r="F71" s="1262"/>
      <c r="G71" s="1262"/>
      <c r="H71" s="1262"/>
      <c r="I71" s="1262"/>
      <c r="J71" s="1262"/>
      <c r="K71" s="1262"/>
      <c r="L71" s="1262"/>
      <c r="M71" s="1262"/>
      <c r="N71" s="1262"/>
      <c r="O71" s="1262"/>
      <c r="P71" s="1262"/>
      <c r="Q71" s="1262"/>
      <c r="R71" s="1262"/>
      <c r="S71" s="1262"/>
      <c r="T71" s="1262"/>
      <c r="U71" s="1262"/>
      <c r="V71" s="1011"/>
    </row>
    <row r="72" spans="1:23" x14ac:dyDescent="0.2">
      <c r="A72" s="1009"/>
      <c r="C72" s="1014"/>
      <c r="D72" s="1262"/>
      <c r="E72" s="1262"/>
      <c r="F72" s="1262"/>
      <c r="G72" s="1262"/>
      <c r="H72" s="1262"/>
      <c r="I72" s="1262"/>
      <c r="J72" s="1262"/>
      <c r="K72" s="1262"/>
      <c r="L72" s="1262"/>
      <c r="M72" s="1262"/>
      <c r="N72" s="1262"/>
      <c r="O72" s="1262"/>
      <c r="P72" s="1262"/>
      <c r="Q72" s="1262"/>
      <c r="R72" s="1262"/>
      <c r="S72" s="1262"/>
      <c r="T72" s="1262"/>
      <c r="U72" s="1262"/>
      <c r="V72" s="1011"/>
    </row>
    <row r="73" spans="1:23" x14ac:dyDescent="0.2">
      <c r="A73" s="1009"/>
      <c r="C73" s="1014" t="str">
        <f>IF(OR(S45="mR/h",S46="mR/h",S47="mR/h",S48="mR/h",S49="mR/h"),"(*) Equipo calibrado asumiendo que: "&amp;'Datos varios'!B120&amp;" "&amp;'Datos varios'!C120&amp;" es equivalente a "&amp;'Datos varios'!E120&amp;" "&amp;'Datos varios'!F120,IF(OR(S45="mrem/h",S46="mrem/h",S47="mrem/h",S48="mrem/h",S49="mrem/h"),"Equipo calibrado asumiendo que: "&amp;'Datos varios'!B123&amp;" "&amp;'Datos varios'!C123&amp;" es equivalente a "&amp;'Datos varios'!E123&amp;" "&amp;'Datos varios'!F123,""))</f>
        <v/>
      </c>
      <c r="D73" s="1262"/>
      <c r="E73" s="1262"/>
      <c r="F73" s="1262"/>
      <c r="G73" s="1262"/>
      <c r="H73" s="1262"/>
      <c r="I73" s="1262"/>
      <c r="J73" s="1262"/>
      <c r="K73" s="1262"/>
      <c r="L73" s="1262"/>
      <c r="M73" s="1262"/>
      <c r="N73" s="1262"/>
      <c r="O73" s="1262"/>
      <c r="P73" s="1262"/>
      <c r="Q73" s="1262"/>
      <c r="R73" s="1262"/>
      <c r="S73" s="1262"/>
      <c r="T73" s="1262"/>
      <c r="U73" s="1262"/>
      <c r="V73" s="1011"/>
    </row>
    <row r="74" spans="1:23" x14ac:dyDescent="0.2">
      <c r="A74" s="1009"/>
      <c r="C74" s="1776"/>
      <c r="D74" s="1776"/>
      <c r="E74" s="1776"/>
      <c r="F74" s="1776"/>
      <c r="G74" s="1776"/>
      <c r="H74" s="1776"/>
      <c r="I74" s="1776"/>
      <c r="J74" s="1776"/>
      <c r="K74" s="1776"/>
      <c r="L74" s="1776"/>
      <c r="M74" s="1776"/>
      <c r="N74" s="1776"/>
      <c r="O74" s="1776"/>
      <c r="P74" s="1776"/>
      <c r="Q74" s="1776"/>
      <c r="R74" s="1776"/>
      <c r="S74" s="1776"/>
      <c r="T74" s="1776"/>
      <c r="U74" s="1262"/>
      <c r="V74" s="1011"/>
    </row>
    <row r="75" spans="1:23" x14ac:dyDescent="0.2">
      <c r="A75" s="1009"/>
      <c r="C75" s="180"/>
      <c r="D75" s="1262"/>
      <c r="E75" s="1262"/>
      <c r="F75" s="1262"/>
      <c r="G75" s="1262"/>
      <c r="H75" s="1262"/>
      <c r="I75" s="1262"/>
      <c r="J75" s="1262"/>
      <c r="K75" s="1262"/>
      <c r="L75" s="1262"/>
      <c r="M75" s="1262"/>
      <c r="N75" s="1262"/>
      <c r="O75" s="1262"/>
      <c r="P75" s="1014"/>
      <c r="Q75" s="1262"/>
      <c r="R75" s="1262"/>
      <c r="S75" s="1262"/>
      <c r="T75" s="1262"/>
      <c r="U75" s="1262"/>
      <c r="V75" s="1011"/>
    </row>
    <row r="76" spans="1:23" x14ac:dyDescent="0.2">
      <c r="A76" s="1009"/>
      <c r="G76" s="1778"/>
      <c r="H76" s="1778"/>
      <c r="I76" s="1778"/>
      <c r="J76" s="1010"/>
      <c r="K76" s="1010"/>
      <c r="L76" s="1010"/>
      <c r="M76" s="1010"/>
      <c r="N76" s="1010"/>
      <c r="O76" s="1010"/>
      <c r="P76" s="1010"/>
      <c r="Q76" s="1010"/>
      <c r="R76" s="1778"/>
      <c r="S76" s="1778"/>
      <c r="T76" s="1778"/>
      <c r="U76" s="1010"/>
      <c r="V76" s="1011"/>
    </row>
    <row r="77" spans="1:23" x14ac:dyDescent="0.2">
      <c r="A77" s="1009"/>
      <c r="G77" s="1778"/>
      <c r="H77" s="1778"/>
      <c r="I77" s="1778"/>
      <c r="J77" s="1010"/>
      <c r="K77" s="1010"/>
      <c r="L77" s="1010"/>
      <c r="M77" s="1010"/>
      <c r="N77" s="1010"/>
      <c r="O77" s="1010"/>
      <c r="P77" s="1010"/>
      <c r="Q77" s="1010"/>
      <c r="R77" s="1778"/>
      <c r="S77" s="1778"/>
      <c r="T77" s="1778"/>
      <c r="U77" s="1010"/>
      <c r="V77" s="1011"/>
    </row>
    <row r="78" spans="1:23" x14ac:dyDescent="0.2">
      <c r="A78" s="1009"/>
      <c r="G78" s="1772"/>
      <c r="H78" s="1772"/>
      <c r="I78" s="1772"/>
      <c r="J78" s="1683"/>
      <c r="K78" s="1683"/>
      <c r="L78" s="1683"/>
      <c r="M78" s="1683"/>
      <c r="N78" s="1683"/>
      <c r="O78" s="1683"/>
      <c r="P78" s="1683"/>
      <c r="Q78" s="1683"/>
      <c r="R78" s="1773"/>
      <c r="S78" s="1773"/>
      <c r="T78" s="1773"/>
      <c r="U78" s="1020"/>
      <c r="V78" s="1011"/>
    </row>
    <row r="79" spans="1:23" ht="17.25" customHeight="1" x14ac:dyDescent="0.2">
      <c r="A79" s="1009"/>
      <c r="B79" s="1033"/>
      <c r="C79" s="1873" t="s">
        <v>1245</v>
      </c>
      <c r="G79" s="1772"/>
      <c r="H79" s="1772"/>
      <c r="I79" s="1772"/>
      <c r="J79" s="1020"/>
      <c r="K79" s="1020"/>
      <c r="L79" s="1020"/>
      <c r="M79" s="1020"/>
      <c r="N79" s="1020"/>
      <c r="O79" s="1020"/>
      <c r="P79" s="1020"/>
      <c r="Q79" s="1020"/>
      <c r="R79" s="1772"/>
      <c r="S79" s="1772"/>
      <c r="T79" s="1772"/>
      <c r="U79" s="1020"/>
      <c r="V79" s="1011"/>
    </row>
    <row r="80" spans="1:23" ht="3" customHeight="1" thickBot="1" x14ac:dyDescent="0.25">
      <c r="A80" s="1036"/>
      <c r="B80" s="1037"/>
      <c r="C80" s="1037"/>
      <c r="D80" s="1037"/>
      <c r="E80" s="1037"/>
      <c r="F80" s="1037"/>
      <c r="G80" s="1037"/>
      <c r="H80" s="1037"/>
      <c r="I80" s="1037"/>
      <c r="J80" s="1037"/>
      <c r="K80" s="1037"/>
      <c r="L80" s="1037"/>
      <c r="M80" s="1037"/>
      <c r="N80" s="1037"/>
      <c r="O80" s="1037"/>
      <c r="P80" s="1037"/>
      <c r="Q80" s="1037"/>
      <c r="R80" s="1037"/>
      <c r="S80" s="1037"/>
      <c r="T80" s="1037"/>
      <c r="U80" s="1037"/>
      <c r="V80" s="1038"/>
    </row>
    <row r="81" spans="1:23" ht="15.75" thickTop="1" x14ac:dyDescent="0.25">
      <c r="A81" s="3057" t="s">
        <v>260</v>
      </c>
      <c r="B81" s="3058"/>
      <c r="C81" s="3058"/>
      <c r="D81" s="3058"/>
      <c r="E81" s="3058"/>
      <c r="F81" s="3058"/>
      <c r="G81" s="3058"/>
      <c r="H81" s="3058"/>
      <c r="I81" s="3058"/>
      <c r="J81" s="3058"/>
      <c r="K81" s="3058"/>
      <c r="L81" s="3058"/>
      <c r="M81" s="3058"/>
      <c r="N81" s="3058"/>
      <c r="O81" s="3058"/>
      <c r="P81" s="3058"/>
      <c r="Q81" s="3058"/>
      <c r="R81" s="3058"/>
      <c r="S81" s="3058"/>
      <c r="T81" s="3058"/>
      <c r="U81" s="3058"/>
      <c r="V81" s="3059"/>
    </row>
    <row r="82" spans="1:23" ht="11.25" customHeight="1" thickBot="1" x14ac:dyDescent="0.25">
      <c r="A82" s="2859" t="s">
        <v>810</v>
      </c>
      <c r="B82" s="2860"/>
      <c r="C82" s="2860"/>
      <c r="D82" s="2860"/>
      <c r="E82" s="2860"/>
      <c r="F82" s="2860"/>
      <c r="G82" s="2860"/>
      <c r="H82" s="2860"/>
      <c r="I82" s="2860"/>
      <c r="J82" s="2860"/>
      <c r="K82" s="2860"/>
      <c r="L82" s="2860"/>
      <c r="M82" s="2860"/>
      <c r="N82" s="2860"/>
      <c r="O82" s="2860"/>
      <c r="P82" s="2860"/>
      <c r="Q82" s="2860"/>
      <c r="R82" s="2860"/>
      <c r="S82" s="2860"/>
      <c r="T82" s="2860"/>
      <c r="U82" s="2860"/>
      <c r="V82" s="2861"/>
      <c r="W82" s="1039"/>
    </row>
    <row r="83" spans="1:23" x14ac:dyDescent="0.2">
      <c r="B83" s="1416" t="s">
        <v>917</v>
      </c>
      <c r="U83" s="1415" t="str">
        <f>A4</f>
        <v>CERTIFICADO DE CALIBRACIÓN N° LSCD 029-2021</v>
      </c>
    </row>
  </sheetData>
  <autoFilter ref="C42:T57" xr:uid="{00000000-0009-0000-0000-000020000000}">
    <filterColumn colId="0" showButton="0">
      <filters blank="1">
        <filter val="20,0 µSv/h"/>
        <filter val="200,0 µSv/h"/>
        <filter val="5,000 µSv/h"/>
        <filter val="50,000 µSv/h"/>
        <filter val="500,0 µSv/h"/>
        <filter val="8,0 µSv/h"/>
        <filter val="80,000 µSv/h"/>
        <filter val="800,0 µSv/h"/>
        <filter val="VCV = Valor convencionalmente verdadero"/>
      </filters>
    </filterColumn>
    <filterColumn colId="2" showButton="0"/>
    <filterColumn colId="3" showButton="0"/>
    <filterColumn colId="4" showButton="0"/>
    <filterColumn colId="6" showButton="0"/>
    <filterColumn colId="7" showButton="0"/>
    <filterColumn colId="8" showButton="0"/>
    <filterColumn colId="10" showButton="0"/>
    <filterColumn colId="12" showButton="0"/>
    <filterColumn colId="13" showButton="0"/>
  </autoFilter>
  <mergeCells count="115">
    <mergeCell ref="E16:O16"/>
    <mergeCell ref="E17:O17"/>
    <mergeCell ref="Q17:U24"/>
    <mergeCell ref="E18:O18"/>
    <mergeCell ref="E19:O19"/>
    <mergeCell ref="E20:O20"/>
    <mergeCell ref="E21:O22"/>
    <mergeCell ref="E24:O24"/>
    <mergeCell ref="A2:V3"/>
    <mergeCell ref="A4:V4"/>
    <mergeCell ref="A5:V5"/>
    <mergeCell ref="A6:V6"/>
    <mergeCell ref="Q8:U14"/>
    <mergeCell ref="E9:O9"/>
    <mergeCell ref="E38:G38"/>
    <mergeCell ref="C42:D44"/>
    <mergeCell ref="E42:H42"/>
    <mergeCell ref="I42:L42"/>
    <mergeCell ref="M42:N44"/>
    <mergeCell ref="O42:Q44"/>
    <mergeCell ref="Q25:U26"/>
    <mergeCell ref="E27:O27"/>
    <mergeCell ref="E29:O29"/>
    <mergeCell ref="Q29:U38"/>
    <mergeCell ref="E30:L30"/>
    <mergeCell ref="E31:L31"/>
    <mergeCell ref="E32:L32"/>
    <mergeCell ref="E33:O33"/>
    <mergeCell ref="E34:O34"/>
    <mergeCell ref="E36:G36"/>
    <mergeCell ref="R42:R44"/>
    <mergeCell ref="E43:H44"/>
    <mergeCell ref="I43:L44"/>
    <mergeCell ref="S44:T44"/>
    <mergeCell ref="S47:T47"/>
    <mergeCell ref="S45:T45"/>
    <mergeCell ref="C46:D46"/>
    <mergeCell ref="E46:H46"/>
    <mergeCell ref="I46:L46"/>
    <mergeCell ref="M46:N46"/>
    <mergeCell ref="O46:Q46"/>
    <mergeCell ref="S46:T46"/>
    <mergeCell ref="S48:T48"/>
    <mergeCell ref="C45:D45"/>
    <mergeCell ref="E45:H45"/>
    <mergeCell ref="I45:L45"/>
    <mergeCell ref="M45:N45"/>
    <mergeCell ref="O45:Q45"/>
    <mergeCell ref="R45:R47"/>
    <mergeCell ref="C47:D47"/>
    <mergeCell ref="E47:H47"/>
    <mergeCell ref="I47:L47"/>
    <mergeCell ref="M47:N47"/>
    <mergeCell ref="O47:Q47"/>
    <mergeCell ref="C49:D49"/>
    <mergeCell ref="E49:H49"/>
    <mergeCell ref="I49:L49"/>
    <mergeCell ref="M49:N49"/>
    <mergeCell ref="O49:Q49"/>
    <mergeCell ref="S49:T49"/>
    <mergeCell ref="C48:D48"/>
    <mergeCell ref="E48:H48"/>
    <mergeCell ref="I48:L48"/>
    <mergeCell ref="M48:N48"/>
    <mergeCell ref="O48:Q48"/>
    <mergeCell ref="R48:R50"/>
    <mergeCell ref="C50:D50"/>
    <mergeCell ref="E50:H50"/>
    <mergeCell ref="I50:L50"/>
    <mergeCell ref="M50:N50"/>
    <mergeCell ref="O50:Q50"/>
    <mergeCell ref="S50:T50"/>
    <mergeCell ref="C51:D51"/>
    <mergeCell ref="E51:H51"/>
    <mergeCell ref="I51:L51"/>
    <mergeCell ref="M51:N51"/>
    <mergeCell ref="O51:Q51"/>
    <mergeCell ref="R51:R53"/>
    <mergeCell ref="S51:T51"/>
    <mergeCell ref="C52:D52"/>
    <mergeCell ref="E52:H52"/>
    <mergeCell ref="I52:L52"/>
    <mergeCell ref="M52:N52"/>
    <mergeCell ref="O52:Q52"/>
    <mergeCell ref="S52:T52"/>
    <mergeCell ref="C53:D53"/>
    <mergeCell ref="E53:H53"/>
    <mergeCell ref="I53:L53"/>
    <mergeCell ref="M53:N53"/>
    <mergeCell ref="O53:Q53"/>
    <mergeCell ref="S53:T53"/>
    <mergeCell ref="C54:D54"/>
    <mergeCell ref="E54:H54"/>
    <mergeCell ref="I54:L54"/>
    <mergeCell ref="M54:N54"/>
    <mergeCell ref="O54:Q54"/>
    <mergeCell ref="R54:R56"/>
    <mergeCell ref="S54:T54"/>
    <mergeCell ref="C55:D55"/>
    <mergeCell ref="E55:H55"/>
    <mergeCell ref="A60:V60"/>
    <mergeCell ref="A61:V61"/>
    <mergeCell ref="A63:V64"/>
    <mergeCell ref="A81:V81"/>
    <mergeCell ref="A82:V82"/>
    <mergeCell ref="I55:L55"/>
    <mergeCell ref="M55:N55"/>
    <mergeCell ref="O55:Q55"/>
    <mergeCell ref="S55:T55"/>
    <mergeCell ref="C56:D56"/>
    <mergeCell ref="E56:H56"/>
    <mergeCell ref="I56:L56"/>
    <mergeCell ref="M56:N56"/>
    <mergeCell ref="O56:Q56"/>
    <mergeCell ref="S56:T56"/>
  </mergeCells>
  <conditionalFormatting sqref="E9 P9 E37:E38 E28:P28 L38:P38 E8:P8 E10:P10 M37:P37 L36:P36 P29:P35 E33:E35">
    <cfRule type="cellIs" dxfId="120" priority="6" operator="equal">
      <formula>0</formula>
    </cfRule>
  </conditionalFormatting>
  <conditionalFormatting sqref="E9 P9 E37:E38 E28:P28 L38:P38 E8:P8 E10:P10 M37:P37 L36:P36 P29:P35 E33:E35">
    <cfRule type="containsErrors" dxfId="119" priority="5">
      <formula>ISERROR(E8)</formula>
    </cfRule>
  </conditionalFormatting>
  <conditionalFormatting sqref="E29:E32">
    <cfRule type="cellIs" dxfId="118" priority="4" operator="equal">
      <formula>0</formula>
    </cfRule>
  </conditionalFormatting>
  <conditionalFormatting sqref="E29:E32">
    <cfRule type="containsErrors" dxfId="117" priority="3">
      <formula>ISERROR(E29)</formula>
    </cfRule>
  </conditionalFormatting>
  <conditionalFormatting sqref="E36">
    <cfRule type="cellIs" dxfId="116" priority="2" operator="equal">
      <formula>0</formula>
    </cfRule>
  </conditionalFormatting>
  <conditionalFormatting sqref="E36">
    <cfRule type="containsErrors" dxfId="115" priority="1">
      <formula>ISERROR(E36)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25"/>
  <dimension ref="A1:S64"/>
  <sheetViews>
    <sheetView view="pageLayout" topLeftCell="E17" zoomScaleNormal="100" workbookViewId="0">
      <selection activeCell="P36" sqref="P36"/>
    </sheetView>
  </sheetViews>
  <sheetFormatPr baseColWidth="10" defaultColWidth="11.42578125" defaultRowHeight="12.75" x14ac:dyDescent="0.2"/>
  <cols>
    <col min="1" max="1" width="2.7109375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1.85546875" style="1008" customWidth="1"/>
    <col min="7" max="7" width="6.140625" style="1008" customWidth="1"/>
    <col min="8" max="10" width="3.5703125" style="1008" customWidth="1"/>
    <col min="11" max="11" width="3.28515625" style="1008" customWidth="1"/>
    <col min="12" max="12" width="7.7109375" style="1008" customWidth="1"/>
    <col min="13" max="13" width="3.140625" style="1008" customWidth="1"/>
    <col min="14" max="14" width="7" style="1008" customWidth="1"/>
    <col min="15" max="15" width="1" style="1008" customWidth="1"/>
    <col min="16" max="16" width="15.85546875" style="1008" customWidth="1"/>
    <col min="17" max="17" width="6.85546875" style="1008" customWidth="1"/>
    <col min="18" max="18" width="1.140625" style="1008" customWidth="1"/>
    <col min="19" max="237" width="11.42578125" style="1008"/>
    <col min="238" max="238" width="2.28515625" style="1008" customWidth="1"/>
    <col min="239" max="239" width="2.7109375" style="1008" customWidth="1"/>
    <col min="240" max="240" width="2.42578125" style="1008" customWidth="1"/>
    <col min="241" max="241" width="17.7109375" style="1008" customWidth="1"/>
    <col min="242" max="242" width="1.5703125" style="1008" customWidth="1"/>
    <col min="243" max="243" width="6.42578125" style="1008" customWidth="1"/>
    <col min="244" max="244" width="13.140625" style="1008" customWidth="1"/>
    <col min="245" max="245" width="1" style="1008" customWidth="1"/>
    <col min="246" max="246" width="19.5703125" style="1008" customWidth="1"/>
    <col min="247" max="247" width="0.85546875" style="1008" customWidth="1"/>
    <col min="248" max="248" width="14.42578125" style="1008" customWidth="1"/>
    <col min="249" max="249" width="12.85546875" style="1008" customWidth="1"/>
    <col min="250" max="250" width="6.140625" style="1008" customWidth="1"/>
    <col min="251" max="252" width="11.42578125" style="1008"/>
    <col min="253" max="253" width="15.42578125" style="1008" customWidth="1"/>
    <col min="254" max="493" width="11.42578125" style="1008"/>
    <col min="494" max="494" width="2.28515625" style="1008" customWidth="1"/>
    <col min="495" max="495" width="2.7109375" style="1008" customWidth="1"/>
    <col min="496" max="496" width="2.42578125" style="1008" customWidth="1"/>
    <col min="497" max="497" width="17.7109375" style="1008" customWidth="1"/>
    <col min="498" max="498" width="1.5703125" style="1008" customWidth="1"/>
    <col min="499" max="499" width="6.42578125" style="1008" customWidth="1"/>
    <col min="500" max="500" width="13.140625" style="1008" customWidth="1"/>
    <col min="501" max="501" width="1" style="1008" customWidth="1"/>
    <col min="502" max="502" width="19.5703125" style="1008" customWidth="1"/>
    <col min="503" max="503" width="0.85546875" style="1008" customWidth="1"/>
    <col min="504" max="504" width="14.42578125" style="1008" customWidth="1"/>
    <col min="505" max="505" width="12.85546875" style="1008" customWidth="1"/>
    <col min="506" max="506" width="6.140625" style="1008" customWidth="1"/>
    <col min="507" max="508" width="11.42578125" style="1008"/>
    <col min="509" max="509" width="15.42578125" style="1008" customWidth="1"/>
    <col min="510" max="749" width="11.42578125" style="1008"/>
    <col min="750" max="750" width="2.28515625" style="1008" customWidth="1"/>
    <col min="751" max="751" width="2.7109375" style="1008" customWidth="1"/>
    <col min="752" max="752" width="2.42578125" style="1008" customWidth="1"/>
    <col min="753" max="753" width="17.7109375" style="1008" customWidth="1"/>
    <col min="754" max="754" width="1.5703125" style="1008" customWidth="1"/>
    <col min="755" max="755" width="6.42578125" style="1008" customWidth="1"/>
    <col min="756" max="756" width="13.140625" style="1008" customWidth="1"/>
    <col min="757" max="757" width="1" style="1008" customWidth="1"/>
    <col min="758" max="758" width="19.5703125" style="1008" customWidth="1"/>
    <col min="759" max="759" width="0.85546875" style="1008" customWidth="1"/>
    <col min="760" max="760" width="14.42578125" style="1008" customWidth="1"/>
    <col min="761" max="761" width="12.85546875" style="1008" customWidth="1"/>
    <col min="762" max="762" width="6.140625" style="1008" customWidth="1"/>
    <col min="763" max="764" width="11.42578125" style="1008"/>
    <col min="765" max="765" width="15.42578125" style="1008" customWidth="1"/>
    <col min="766" max="1005" width="11.42578125" style="1008"/>
    <col min="1006" max="1006" width="2.28515625" style="1008" customWidth="1"/>
    <col min="1007" max="1007" width="2.7109375" style="1008" customWidth="1"/>
    <col min="1008" max="1008" width="2.42578125" style="1008" customWidth="1"/>
    <col min="1009" max="1009" width="17.7109375" style="1008" customWidth="1"/>
    <col min="1010" max="1010" width="1.5703125" style="1008" customWidth="1"/>
    <col min="1011" max="1011" width="6.42578125" style="1008" customWidth="1"/>
    <col min="1012" max="1012" width="13.140625" style="1008" customWidth="1"/>
    <col min="1013" max="1013" width="1" style="1008" customWidth="1"/>
    <col min="1014" max="1014" width="19.5703125" style="1008" customWidth="1"/>
    <col min="1015" max="1015" width="0.85546875" style="1008" customWidth="1"/>
    <col min="1016" max="1016" width="14.42578125" style="1008" customWidth="1"/>
    <col min="1017" max="1017" width="12.85546875" style="1008" customWidth="1"/>
    <col min="1018" max="1018" width="6.140625" style="1008" customWidth="1"/>
    <col min="1019" max="1020" width="11.42578125" style="1008"/>
    <col min="1021" max="1021" width="15.42578125" style="1008" customWidth="1"/>
    <col min="1022" max="1261" width="11.42578125" style="1008"/>
    <col min="1262" max="1262" width="2.28515625" style="1008" customWidth="1"/>
    <col min="1263" max="1263" width="2.7109375" style="1008" customWidth="1"/>
    <col min="1264" max="1264" width="2.42578125" style="1008" customWidth="1"/>
    <col min="1265" max="1265" width="17.7109375" style="1008" customWidth="1"/>
    <col min="1266" max="1266" width="1.5703125" style="1008" customWidth="1"/>
    <col min="1267" max="1267" width="6.42578125" style="1008" customWidth="1"/>
    <col min="1268" max="1268" width="13.140625" style="1008" customWidth="1"/>
    <col min="1269" max="1269" width="1" style="1008" customWidth="1"/>
    <col min="1270" max="1270" width="19.5703125" style="1008" customWidth="1"/>
    <col min="1271" max="1271" width="0.85546875" style="1008" customWidth="1"/>
    <col min="1272" max="1272" width="14.42578125" style="1008" customWidth="1"/>
    <col min="1273" max="1273" width="12.85546875" style="1008" customWidth="1"/>
    <col min="1274" max="1274" width="6.140625" style="1008" customWidth="1"/>
    <col min="1275" max="1276" width="11.42578125" style="1008"/>
    <col min="1277" max="1277" width="15.42578125" style="1008" customWidth="1"/>
    <col min="1278" max="1517" width="11.42578125" style="1008"/>
    <col min="1518" max="1518" width="2.28515625" style="1008" customWidth="1"/>
    <col min="1519" max="1519" width="2.7109375" style="1008" customWidth="1"/>
    <col min="1520" max="1520" width="2.42578125" style="1008" customWidth="1"/>
    <col min="1521" max="1521" width="17.7109375" style="1008" customWidth="1"/>
    <col min="1522" max="1522" width="1.5703125" style="1008" customWidth="1"/>
    <col min="1523" max="1523" width="6.42578125" style="1008" customWidth="1"/>
    <col min="1524" max="1524" width="13.140625" style="1008" customWidth="1"/>
    <col min="1525" max="1525" width="1" style="1008" customWidth="1"/>
    <col min="1526" max="1526" width="19.5703125" style="1008" customWidth="1"/>
    <col min="1527" max="1527" width="0.85546875" style="1008" customWidth="1"/>
    <col min="1528" max="1528" width="14.42578125" style="1008" customWidth="1"/>
    <col min="1529" max="1529" width="12.85546875" style="1008" customWidth="1"/>
    <col min="1530" max="1530" width="6.140625" style="1008" customWidth="1"/>
    <col min="1531" max="1532" width="11.42578125" style="1008"/>
    <col min="1533" max="1533" width="15.42578125" style="1008" customWidth="1"/>
    <col min="1534" max="1773" width="11.42578125" style="1008"/>
    <col min="1774" max="1774" width="2.28515625" style="1008" customWidth="1"/>
    <col min="1775" max="1775" width="2.7109375" style="1008" customWidth="1"/>
    <col min="1776" max="1776" width="2.42578125" style="1008" customWidth="1"/>
    <col min="1777" max="1777" width="17.7109375" style="1008" customWidth="1"/>
    <col min="1778" max="1778" width="1.5703125" style="1008" customWidth="1"/>
    <col min="1779" max="1779" width="6.42578125" style="1008" customWidth="1"/>
    <col min="1780" max="1780" width="13.140625" style="1008" customWidth="1"/>
    <col min="1781" max="1781" width="1" style="1008" customWidth="1"/>
    <col min="1782" max="1782" width="19.5703125" style="1008" customWidth="1"/>
    <col min="1783" max="1783" width="0.85546875" style="1008" customWidth="1"/>
    <col min="1784" max="1784" width="14.42578125" style="1008" customWidth="1"/>
    <col min="1785" max="1785" width="12.85546875" style="1008" customWidth="1"/>
    <col min="1786" max="1786" width="6.140625" style="1008" customWidth="1"/>
    <col min="1787" max="1788" width="11.42578125" style="1008"/>
    <col min="1789" max="1789" width="15.42578125" style="1008" customWidth="1"/>
    <col min="1790" max="2029" width="11.42578125" style="1008"/>
    <col min="2030" max="2030" width="2.28515625" style="1008" customWidth="1"/>
    <col min="2031" max="2031" width="2.7109375" style="1008" customWidth="1"/>
    <col min="2032" max="2032" width="2.42578125" style="1008" customWidth="1"/>
    <col min="2033" max="2033" width="17.7109375" style="1008" customWidth="1"/>
    <col min="2034" max="2034" width="1.5703125" style="1008" customWidth="1"/>
    <col min="2035" max="2035" width="6.42578125" style="1008" customWidth="1"/>
    <col min="2036" max="2036" width="13.140625" style="1008" customWidth="1"/>
    <col min="2037" max="2037" width="1" style="1008" customWidth="1"/>
    <col min="2038" max="2038" width="19.5703125" style="1008" customWidth="1"/>
    <col min="2039" max="2039" width="0.85546875" style="1008" customWidth="1"/>
    <col min="2040" max="2040" width="14.42578125" style="1008" customWidth="1"/>
    <col min="2041" max="2041" width="12.85546875" style="1008" customWidth="1"/>
    <col min="2042" max="2042" width="6.140625" style="1008" customWidth="1"/>
    <col min="2043" max="2044" width="11.42578125" style="1008"/>
    <col min="2045" max="2045" width="15.42578125" style="1008" customWidth="1"/>
    <col min="2046" max="2285" width="11.42578125" style="1008"/>
    <col min="2286" max="2286" width="2.28515625" style="1008" customWidth="1"/>
    <col min="2287" max="2287" width="2.7109375" style="1008" customWidth="1"/>
    <col min="2288" max="2288" width="2.42578125" style="1008" customWidth="1"/>
    <col min="2289" max="2289" width="17.7109375" style="1008" customWidth="1"/>
    <col min="2290" max="2290" width="1.5703125" style="1008" customWidth="1"/>
    <col min="2291" max="2291" width="6.42578125" style="1008" customWidth="1"/>
    <col min="2292" max="2292" width="13.140625" style="1008" customWidth="1"/>
    <col min="2293" max="2293" width="1" style="1008" customWidth="1"/>
    <col min="2294" max="2294" width="19.5703125" style="1008" customWidth="1"/>
    <col min="2295" max="2295" width="0.85546875" style="1008" customWidth="1"/>
    <col min="2296" max="2296" width="14.42578125" style="1008" customWidth="1"/>
    <col min="2297" max="2297" width="12.85546875" style="1008" customWidth="1"/>
    <col min="2298" max="2298" width="6.140625" style="1008" customWidth="1"/>
    <col min="2299" max="2300" width="11.42578125" style="1008"/>
    <col min="2301" max="2301" width="15.42578125" style="1008" customWidth="1"/>
    <col min="2302" max="2541" width="11.42578125" style="1008"/>
    <col min="2542" max="2542" width="2.28515625" style="1008" customWidth="1"/>
    <col min="2543" max="2543" width="2.7109375" style="1008" customWidth="1"/>
    <col min="2544" max="2544" width="2.42578125" style="1008" customWidth="1"/>
    <col min="2545" max="2545" width="17.7109375" style="1008" customWidth="1"/>
    <col min="2546" max="2546" width="1.5703125" style="1008" customWidth="1"/>
    <col min="2547" max="2547" width="6.42578125" style="1008" customWidth="1"/>
    <col min="2548" max="2548" width="13.140625" style="1008" customWidth="1"/>
    <col min="2549" max="2549" width="1" style="1008" customWidth="1"/>
    <col min="2550" max="2550" width="19.5703125" style="1008" customWidth="1"/>
    <col min="2551" max="2551" width="0.85546875" style="1008" customWidth="1"/>
    <col min="2552" max="2552" width="14.42578125" style="1008" customWidth="1"/>
    <col min="2553" max="2553" width="12.85546875" style="1008" customWidth="1"/>
    <col min="2554" max="2554" width="6.140625" style="1008" customWidth="1"/>
    <col min="2555" max="2556" width="11.42578125" style="1008"/>
    <col min="2557" max="2557" width="15.42578125" style="1008" customWidth="1"/>
    <col min="2558" max="2797" width="11.42578125" style="1008"/>
    <col min="2798" max="2798" width="2.28515625" style="1008" customWidth="1"/>
    <col min="2799" max="2799" width="2.7109375" style="1008" customWidth="1"/>
    <col min="2800" max="2800" width="2.42578125" style="1008" customWidth="1"/>
    <col min="2801" max="2801" width="17.7109375" style="1008" customWidth="1"/>
    <col min="2802" max="2802" width="1.5703125" style="1008" customWidth="1"/>
    <col min="2803" max="2803" width="6.42578125" style="1008" customWidth="1"/>
    <col min="2804" max="2804" width="13.140625" style="1008" customWidth="1"/>
    <col min="2805" max="2805" width="1" style="1008" customWidth="1"/>
    <col min="2806" max="2806" width="19.5703125" style="1008" customWidth="1"/>
    <col min="2807" max="2807" width="0.85546875" style="1008" customWidth="1"/>
    <col min="2808" max="2808" width="14.42578125" style="1008" customWidth="1"/>
    <col min="2809" max="2809" width="12.85546875" style="1008" customWidth="1"/>
    <col min="2810" max="2810" width="6.140625" style="1008" customWidth="1"/>
    <col min="2811" max="2812" width="11.42578125" style="1008"/>
    <col min="2813" max="2813" width="15.42578125" style="1008" customWidth="1"/>
    <col min="2814" max="3053" width="11.42578125" style="1008"/>
    <col min="3054" max="3054" width="2.28515625" style="1008" customWidth="1"/>
    <col min="3055" max="3055" width="2.7109375" style="1008" customWidth="1"/>
    <col min="3056" max="3056" width="2.42578125" style="1008" customWidth="1"/>
    <col min="3057" max="3057" width="17.7109375" style="1008" customWidth="1"/>
    <col min="3058" max="3058" width="1.5703125" style="1008" customWidth="1"/>
    <col min="3059" max="3059" width="6.42578125" style="1008" customWidth="1"/>
    <col min="3060" max="3060" width="13.140625" style="1008" customWidth="1"/>
    <col min="3061" max="3061" width="1" style="1008" customWidth="1"/>
    <col min="3062" max="3062" width="19.5703125" style="1008" customWidth="1"/>
    <col min="3063" max="3063" width="0.85546875" style="1008" customWidth="1"/>
    <col min="3064" max="3064" width="14.42578125" style="1008" customWidth="1"/>
    <col min="3065" max="3065" width="12.85546875" style="1008" customWidth="1"/>
    <col min="3066" max="3066" width="6.140625" style="1008" customWidth="1"/>
    <col min="3067" max="3068" width="11.42578125" style="1008"/>
    <col min="3069" max="3069" width="15.42578125" style="1008" customWidth="1"/>
    <col min="3070" max="3309" width="11.42578125" style="1008"/>
    <col min="3310" max="3310" width="2.28515625" style="1008" customWidth="1"/>
    <col min="3311" max="3311" width="2.7109375" style="1008" customWidth="1"/>
    <col min="3312" max="3312" width="2.42578125" style="1008" customWidth="1"/>
    <col min="3313" max="3313" width="17.7109375" style="1008" customWidth="1"/>
    <col min="3314" max="3314" width="1.5703125" style="1008" customWidth="1"/>
    <col min="3315" max="3315" width="6.42578125" style="1008" customWidth="1"/>
    <col min="3316" max="3316" width="13.140625" style="1008" customWidth="1"/>
    <col min="3317" max="3317" width="1" style="1008" customWidth="1"/>
    <col min="3318" max="3318" width="19.5703125" style="1008" customWidth="1"/>
    <col min="3319" max="3319" width="0.85546875" style="1008" customWidth="1"/>
    <col min="3320" max="3320" width="14.42578125" style="1008" customWidth="1"/>
    <col min="3321" max="3321" width="12.85546875" style="1008" customWidth="1"/>
    <col min="3322" max="3322" width="6.140625" style="1008" customWidth="1"/>
    <col min="3323" max="3324" width="11.42578125" style="1008"/>
    <col min="3325" max="3325" width="15.42578125" style="1008" customWidth="1"/>
    <col min="3326" max="3565" width="11.42578125" style="1008"/>
    <col min="3566" max="3566" width="2.28515625" style="1008" customWidth="1"/>
    <col min="3567" max="3567" width="2.7109375" style="1008" customWidth="1"/>
    <col min="3568" max="3568" width="2.42578125" style="1008" customWidth="1"/>
    <col min="3569" max="3569" width="17.7109375" style="1008" customWidth="1"/>
    <col min="3570" max="3570" width="1.5703125" style="1008" customWidth="1"/>
    <col min="3571" max="3571" width="6.42578125" style="1008" customWidth="1"/>
    <col min="3572" max="3572" width="13.140625" style="1008" customWidth="1"/>
    <col min="3573" max="3573" width="1" style="1008" customWidth="1"/>
    <col min="3574" max="3574" width="19.5703125" style="1008" customWidth="1"/>
    <col min="3575" max="3575" width="0.85546875" style="1008" customWidth="1"/>
    <col min="3576" max="3576" width="14.42578125" style="1008" customWidth="1"/>
    <col min="3577" max="3577" width="12.85546875" style="1008" customWidth="1"/>
    <col min="3578" max="3578" width="6.140625" style="1008" customWidth="1"/>
    <col min="3579" max="3580" width="11.42578125" style="1008"/>
    <col min="3581" max="3581" width="15.42578125" style="1008" customWidth="1"/>
    <col min="3582" max="3821" width="11.42578125" style="1008"/>
    <col min="3822" max="3822" width="2.28515625" style="1008" customWidth="1"/>
    <col min="3823" max="3823" width="2.7109375" style="1008" customWidth="1"/>
    <col min="3824" max="3824" width="2.42578125" style="1008" customWidth="1"/>
    <col min="3825" max="3825" width="17.7109375" style="1008" customWidth="1"/>
    <col min="3826" max="3826" width="1.5703125" style="1008" customWidth="1"/>
    <col min="3827" max="3827" width="6.42578125" style="1008" customWidth="1"/>
    <col min="3828" max="3828" width="13.140625" style="1008" customWidth="1"/>
    <col min="3829" max="3829" width="1" style="1008" customWidth="1"/>
    <col min="3830" max="3830" width="19.5703125" style="1008" customWidth="1"/>
    <col min="3831" max="3831" width="0.85546875" style="1008" customWidth="1"/>
    <col min="3832" max="3832" width="14.42578125" style="1008" customWidth="1"/>
    <col min="3833" max="3833" width="12.85546875" style="1008" customWidth="1"/>
    <col min="3834" max="3834" width="6.140625" style="1008" customWidth="1"/>
    <col min="3835" max="3836" width="11.42578125" style="1008"/>
    <col min="3837" max="3837" width="15.42578125" style="1008" customWidth="1"/>
    <col min="3838" max="4077" width="11.42578125" style="1008"/>
    <col min="4078" max="4078" width="2.28515625" style="1008" customWidth="1"/>
    <col min="4079" max="4079" width="2.7109375" style="1008" customWidth="1"/>
    <col min="4080" max="4080" width="2.42578125" style="1008" customWidth="1"/>
    <col min="4081" max="4081" width="17.7109375" style="1008" customWidth="1"/>
    <col min="4082" max="4082" width="1.5703125" style="1008" customWidth="1"/>
    <col min="4083" max="4083" width="6.42578125" style="1008" customWidth="1"/>
    <col min="4084" max="4084" width="13.140625" style="1008" customWidth="1"/>
    <col min="4085" max="4085" width="1" style="1008" customWidth="1"/>
    <col min="4086" max="4086" width="19.5703125" style="1008" customWidth="1"/>
    <col min="4087" max="4087" width="0.85546875" style="1008" customWidth="1"/>
    <col min="4088" max="4088" width="14.42578125" style="1008" customWidth="1"/>
    <col min="4089" max="4089" width="12.85546875" style="1008" customWidth="1"/>
    <col min="4090" max="4090" width="6.140625" style="1008" customWidth="1"/>
    <col min="4091" max="4092" width="11.42578125" style="1008"/>
    <col min="4093" max="4093" width="15.42578125" style="1008" customWidth="1"/>
    <col min="4094" max="4333" width="11.42578125" style="1008"/>
    <col min="4334" max="4334" width="2.28515625" style="1008" customWidth="1"/>
    <col min="4335" max="4335" width="2.7109375" style="1008" customWidth="1"/>
    <col min="4336" max="4336" width="2.42578125" style="1008" customWidth="1"/>
    <col min="4337" max="4337" width="17.7109375" style="1008" customWidth="1"/>
    <col min="4338" max="4338" width="1.5703125" style="1008" customWidth="1"/>
    <col min="4339" max="4339" width="6.42578125" style="1008" customWidth="1"/>
    <col min="4340" max="4340" width="13.140625" style="1008" customWidth="1"/>
    <col min="4341" max="4341" width="1" style="1008" customWidth="1"/>
    <col min="4342" max="4342" width="19.5703125" style="1008" customWidth="1"/>
    <col min="4343" max="4343" width="0.85546875" style="1008" customWidth="1"/>
    <col min="4344" max="4344" width="14.42578125" style="1008" customWidth="1"/>
    <col min="4345" max="4345" width="12.85546875" style="1008" customWidth="1"/>
    <col min="4346" max="4346" width="6.140625" style="1008" customWidth="1"/>
    <col min="4347" max="4348" width="11.42578125" style="1008"/>
    <col min="4349" max="4349" width="15.42578125" style="1008" customWidth="1"/>
    <col min="4350" max="4589" width="11.42578125" style="1008"/>
    <col min="4590" max="4590" width="2.28515625" style="1008" customWidth="1"/>
    <col min="4591" max="4591" width="2.7109375" style="1008" customWidth="1"/>
    <col min="4592" max="4592" width="2.42578125" style="1008" customWidth="1"/>
    <col min="4593" max="4593" width="17.7109375" style="1008" customWidth="1"/>
    <col min="4594" max="4594" width="1.5703125" style="1008" customWidth="1"/>
    <col min="4595" max="4595" width="6.42578125" style="1008" customWidth="1"/>
    <col min="4596" max="4596" width="13.140625" style="1008" customWidth="1"/>
    <col min="4597" max="4597" width="1" style="1008" customWidth="1"/>
    <col min="4598" max="4598" width="19.5703125" style="1008" customWidth="1"/>
    <col min="4599" max="4599" width="0.85546875" style="1008" customWidth="1"/>
    <col min="4600" max="4600" width="14.42578125" style="1008" customWidth="1"/>
    <col min="4601" max="4601" width="12.85546875" style="1008" customWidth="1"/>
    <col min="4602" max="4602" width="6.140625" style="1008" customWidth="1"/>
    <col min="4603" max="4604" width="11.42578125" style="1008"/>
    <col min="4605" max="4605" width="15.42578125" style="1008" customWidth="1"/>
    <col min="4606" max="4845" width="11.42578125" style="1008"/>
    <col min="4846" max="4846" width="2.28515625" style="1008" customWidth="1"/>
    <col min="4847" max="4847" width="2.7109375" style="1008" customWidth="1"/>
    <col min="4848" max="4848" width="2.42578125" style="1008" customWidth="1"/>
    <col min="4849" max="4849" width="17.7109375" style="1008" customWidth="1"/>
    <col min="4850" max="4850" width="1.5703125" style="1008" customWidth="1"/>
    <col min="4851" max="4851" width="6.42578125" style="1008" customWidth="1"/>
    <col min="4852" max="4852" width="13.140625" style="1008" customWidth="1"/>
    <col min="4853" max="4853" width="1" style="1008" customWidth="1"/>
    <col min="4854" max="4854" width="19.5703125" style="1008" customWidth="1"/>
    <col min="4855" max="4855" width="0.85546875" style="1008" customWidth="1"/>
    <col min="4856" max="4856" width="14.42578125" style="1008" customWidth="1"/>
    <col min="4857" max="4857" width="12.85546875" style="1008" customWidth="1"/>
    <col min="4858" max="4858" width="6.140625" style="1008" customWidth="1"/>
    <col min="4859" max="4860" width="11.42578125" style="1008"/>
    <col min="4861" max="4861" width="15.42578125" style="1008" customWidth="1"/>
    <col min="4862" max="5101" width="11.42578125" style="1008"/>
    <col min="5102" max="5102" width="2.28515625" style="1008" customWidth="1"/>
    <col min="5103" max="5103" width="2.7109375" style="1008" customWidth="1"/>
    <col min="5104" max="5104" width="2.42578125" style="1008" customWidth="1"/>
    <col min="5105" max="5105" width="17.7109375" style="1008" customWidth="1"/>
    <col min="5106" max="5106" width="1.5703125" style="1008" customWidth="1"/>
    <col min="5107" max="5107" width="6.42578125" style="1008" customWidth="1"/>
    <col min="5108" max="5108" width="13.140625" style="1008" customWidth="1"/>
    <col min="5109" max="5109" width="1" style="1008" customWidth="1"/>
    <col min="5110" max="5110" width="19.5703125" style="1008" customWidth="1"/>
    <col min="5111" max="5111" width="0.85546875" style="1008" customWidth="1"/>
    <col min="5112" max="5112" width="14.42578125" style="1008" customWidth="1"/>
    <col min="5113" max="5113" width="12.85546875" style="1008" customWidth="1"/>
    <col min="5114" max="5114" width="6.140625" style="1008" customWidth="1"/>
    <col min="5115" max="5116" width="11.42578125" style="1008"/>
    <col min="5117" max="5117" width="15.42578125" style="1008" customWidth="1"/>
    <col min="5118" max="5357" width="11.42578125" style="1008"/>
    <col min="5358" max="5358" width="2.28515625" style="1008" customWidth="1"/>
    <col min="5359" max="5359" width="2.7109375" style="1008" customWidth="1"/>
    <col min="5360" max="5360" width="2.42578125" style="1008" customWidth="1"/>
    <col min="5361" max="5361" width="17.7109375" style="1008" customWidth="1"/>
    <col min="5362" max="5362" width="1.5703125" style="1008" customWidth="1"/>
    <col min="5363" max="5363" width="6.42578125" style="1008" customWidth="1"/>
    <col min="5364" max="5364" width="13.140625" style="1008" customWidth="1"/>
    <col min="5365" max="5365" width="1" style="1008" customWidth="1"/>
    <col min="5366" max="5366" width="19.5703125" style="1008" customWidth="1"/>
    <col min="5367" max="5367" width="0.85546875" style="1008" customWidth="1"/>
    <col min="5368" max="5368" width="14.42578125" style="1008" customWidth="1"/>
    <col min="5369" max="5369" width="12.85546875" style="1008" customWidth="1"/>
    <col min="5370" max="5370" width="6.140625" style="1008" customWidth="1"/>
    <col min="5371" max="5372" width="11.42578125" style="1008"/>
    <col min="5373" max="5373" width="15.42578125" style="1008" customWidth="1"/>
    <col min="5374" max="5613" width="11.42578125" style="1008"/>
    <col min="5614" max="5614" width="2.28515625" style="1008" customWidth="1"/>
    <col min="5615" max="5615" width="2.7109375" style="1008" customWidth="1"/>
    <col min="5616" max="5616" width="2.42578125" style="1008" customWidth="1"/>
    <col min="5617" max="5617" width="17.7109375" style="1008" customWidth="1"/>
    <col min="5618" max="5618" width="1.5703125" style="1008" customWidth="1"/>
    <col min="5619" max="5619" width="6.42578125" style="1008" customWidth="1"/>
    <col min="5620" max="5620" width="13.140625" style="1008" customWidth="1"/>
    <col min="5621" max="5621" width="1" style="1008" customWidth="1"/>
    <col min="5622" max="5622" width="19.5703125" style="1008" customWidth="1"/>
    <col min="5623" max="5623" width="0.85546875" style="1008" customWidth="1"/>
    <col min="5624" max="5624" width="14.42578125" style="1008" customWidth="1"/>
    <col min="5625" max="5625" width="12.85546875" style="1008" customWidth="1"/>
    <col min="5626" max="5626" width="6.140625" style="1008" customWidth="1"/>
    <col min="5627" max="5628" width="11.42578125" style="1008"/>
    <col min="5629" max="5629" width="15.42578125" style="1008" customWidth="1"/>
    <col min="5630" max="5869" width="11.42578125" style="1008"/>
    <col min="5870" max="5870" width="2.28515625" style="1008" customWidth="1"/>
    <col min="5871" max="5871" width="2.7109375" style="1008" customWidth="1"/>
    <col min="5872" max="5872" width="2.42578125" style="1008" customWidth="1"/>
    <col min="5873" max="5873" width="17.7109375" style="1008" customWidth="1"/>
    <col min="5874" max="5874" width="1.5703125" style="1008" customWidth="1"/>
    <col min="5875" max="5875" width="6.42578125" style="1008" customWidth="1"/>
    <col min="5876" max="5876" width="13.140625" style="1008" customWidth="1"/>
    <col min="5877" max="5877" width="1" style="1008" customWidth="1"/>
    <col min="5878" max="5878" width="19.5703125" style="1008" customWidth="1"/>
    <col min="5879" max="5879" width="0.85546875" style="1008" customWidth="1"/>
    <col min="5880" max="5880" width="14.42578125" style="1008" customWidth="1"/>
    <col min="5881" max="5881" width="12.85546875" style="1008" customWidth="1"/>
    <col min="5882" max="5882" width="6.140625" style="1008" customWidth="1"/>
    <col min="5883" max="5884" width="11.42578125" style="1008"/>
    <col min="5885" max="5885" width="15.42578125" style="1008" customWidth="1"/>
    <col min="5886" max="6125" width="11.42578125" style="1008"/>
    <col min="6126" max="6126" width="2.28515625" style="1008" customWidth="1"/>
    <col min="6127" max="6127" width="2.7109375" style="1008" customWidth="1"/>
    <col min="6128" max="6128" width="2.42578125" style="1008" customWidth="1"/>
    <col min="6129" max="6129" width="17.7109375" style="1008" customWidth="1"/>
    <col min="6130" max="6130" width="1.5703125" style="1008" customWidth="1"/>
    <col min="6131" max="6131" width="6.42578125" style="1008" customWidth="1"/>
    <col min="6132" max="6132" width="13.140625" style="1008" customWidth="1"/>
    <col min="6133" max="6133" width="1" style="1008" customWidth="1"/>
    <col min="6134" max="6134" width="19.5703125" style="1008" customWidth="1"/>
    <col min="6135" max="6135" width="0.85546875" style="1008" customWidth="1"/>
    <col min="6136" max="6136" width="14.42578125" style="1008" customWidth="1"/>
    <col min="6137" max="6137" width="12.85546875" style="1008" customWidth="1"/>
    <col min="6138" max="6138" width="6.140625" style="1008" customWidth="1"/>
    <col min="6139" max="6140" width="11.42578125" style="1008"/>
    <col min="6141" max="6141" width="15.42578125" style="1008" customWidth="1"/>
    <col min="6142" max="6381" width="11.42578125" style="1008"/>
    <col min="6382" max="6382" width="2.28515625" style="1008" customWidth="1"/>
    <col min="6383" max="6383" width="2.7109375" style="1008" customWidth="1"/>
    <col min="6384" max="6384" width="2.42578125" style="1008" customWidth="1"/>
    <col min="6385" max="6385" width="17.7109375" style="1008" customWidth="1"/>
    <col min="6386" max="6386" width="1.5703125" style="1008" customWidth="1"/>
    <col min="6387" max="6387" width="6.42578125" style="1008" customWidth="1"/>
    <col min="6388" max="6388" width="13.140625" style="1008" customWidth="1"/>
    <col min="6389" max="6389" width="1" style="1008" customWidth="1"/>
    <col min="6390" max="6390" width="19.5703125" style="1008" customWidth="1"/>
    <col min="6391" max="6391" width="0.85546875" style="1008" customWidth="1"/>
    <col min="6392" max="6392" width="14.42578125" style="1008" customWidth="1"/>
    <col min="6393" max="6393" width="12.85546875" style="1008" customWidth="1"/>
    <col min="6394" max="6394" width="6.140625" style="1008" customWidth="1"/>
    <col min="6395" max="6396" width="11.42578125" style="1008"/>
    <col min="6397" max="6397" width="15.42578125" style="1008" customWidth="1"/>
    <col min="6398" max="6637" width="11.42578125" style="1008"/>
    <col min="6638" max="6638" width="2.28515625" style="1008" customWidth="1"/>
    <col min="6639" max="6639" width="2.7109375" style="1008" customWidth="1"/>
    <col min="6640" max="6640" width="2.42578125" style="1008" customWidth="1"/>
    <col min="6641" max="6641" width="17.7109375" style="1008" customWidth="1"/>
    <col min="6642" max="6642" width="1.5703125" style="1008" customWidth="1"/>
    <col min="6643" max="6643" width="6.42578125" style="1008" customWidth="1"/>
    <col min="6644" max="6644" width="13.140625" style="1008" customWidth="1"/>
    <col min="6645" max="6645" width="1" style="1008" customWidth="1"/>
    <col min="6646" max="6646" width="19.5703125" style="1008" customWidth="1"/>
    <col min="6647" max="6647" width="0.85546875" style="1008" customWidth="1"/>
    <col min="6648" max="6648" width="14.42578125" style="1008" customWidth="1"/>
    <col min="6649" max="6649" width="12.85546875" style="1008" customWidth="1"/>
    <col min="6650" max="6650" width="6.140625" style="1008" customWidth="1"/>
    <col min="6651" max="6652" width="11.42578125" style="1008"/>
    <col min="6653" max="6653" width="15.42578125" style="1008" customWidth="1"/>
    <col min="6654" max="6893" width="11.42578125" style="1008"/>
    <col min="6894" max="6894" width="2.28515625" style="1008" customWidth="1"/>
    <col min="6895" max="6895" width="2.7109375" style="1008" customWidth="1"/>
    <col min="6896" max="6896" width="2.42578125" style="1008" customWidth="1"/>
    <col min="6897" max="6897" width="17.7109375" style="1008" customWidth="1"/>
    <col min="6898" max="6898" width="1.5703125" style="1008" customWidth="1"/>
    <col min="6899" max="6899" width="6.42578125" style="1008" customWidth="1"/>
    <col min="6900" max="6900" width="13.140625" style="1008" customWidth="1"/>
    <col min="6901" max="6901" width="1" style="1008" customWidth="1"/>
    <col min="6902" max="6902" width="19.5703125" style="1008" customWidth="1"/>
    <col min="6903" max="6903" width="0.85546875" style="1008" customWidth="1"/>
    <col min="6904" max="6904" width="14.42578125" style="1008" customWidth="1"/>
    <col min="6905" max="6905" width="12.85546875" style="1008" customWidth="1"/>
    <col min="6906" max="6906" width="6.140625" style="1008" customWidth="1"/>
    <col min="6907" max="6908" width="11.42578125" style="1008"/>
    <col min="6909" max="6909" width="15.42578125" style="1008" customWidth="1"/>
    <col min="6910" max="7149" width="11.42578125" style="1008"/>
    <col min="7150" max="7150" width="2.28515625" style="1008" customWidth="1"/>
    <col min="7151" max="7151" width="2.7109375" style="1008" customWidth="1"/>
    <col min="7152" max="7152" width="2.42578125" style="1008" customWidth="1"/>
    <col min="7153" max="7153" width="17.7109375" style="1008" customWidth="1"/>
    <col min="7154" max="7154" width="1.5703125" style="1008" customWidth="1"/>
    <col min="7155" max="7155" width="6.42578125" style="1008" customWidth="1"/>
    <col min="7156" max="7156" width="13.140625" style="1008" customWidth="1"/>
    <col min="7157" max="7157" width="1" style="1008" customWidth="1"/>
    <col min="7158" max="7158" width="19.5703125" style="1008" customWidth="1"/>
    <col min="7159" max="7159" width="0.85546875" style="1008" customWidth="1"/>
    <col min="7160" max="7160" width="14.42578125" style="1008" customWidth="1"/>
    <col min="7161" max="7161" width="12.85546875" style="1008" customWidth="1"/>
    <col min="7162" max="7162" width="6.140625" style="1008" customWidth="1"/>
    <col min="7163" max="7164" width="11.42578125" style="1008"/>
    <col min="7165" max="7165" width="15.42578125" style="1008" customWidth="1"/>
    <col min="7166" max="7405" width="11.42578125" style="1008"/>
    <col min="7406" max="7406" width="2.28515625" style="1008" customWidth="1"/>
    <col min="7407" max="7407" width="2.7109375" style="1008" customWidth="1"/>
    <col min="7408" max="7408" width="2.42578125" style="1008" customWidth="1"/>
    <col min="7409" max="7409" width="17.7109375" style="1008" customWidth="1"/>
    <col min="7410" max="7410" width="1.5703125" style="1008" customWidth="1"/>
    <col min="7411" max="7411" width="6.42578125" style="1008" customWidth="1"/>
    <col min="7412" max="7412" width="13.140625" style="1008" customWidth="1"/>
    <col min="7413" max="7413" width="1" style="1008" customWidth="1"/>
    <col min="7414" max="7414" width="19.5703125" style="1008" customWidth="1"/>
    <col min="7415" max="7415" width="0.85546875" style="1008" customWidth="1"/>
    <col min="7416" max="7416" width="14.42578125" style="1008" customWidth="1"/>
    <col min="7417" max="7417" width="12.85546875" style="1008" customWidth="1"/>
    <col min="7418" max="7418" width="6.140625" style="1008" customWidth="1"/>
    <col min="7419" max="7420" width="11.42578125" style="1008"/>
    <col min="7421" max="7421" width="15.42578125" style="1008" customWidth="1"/>
    <col min="7422" max="7661" width="11.42578125" style="1008"/>
    <col min="7662" max="7662" width="2.28515625" style="1008" customWidth="1"/>
    <col min="7663" max="7663" width="2.7109375" style="1008" customWidth="1"/>
    <col min="7664" max="7664" width="2.42578125" style="1008" customWidth="1"/>
    <col min="7665" max="7665" width="17.7109375" style="1008" customWidth="1"/>
    <col min="7666" max="7666" width="1.5703125" style="1008" customWidth="1"/>
    <col min="7667" max="7667" width="6.42578125" style="1008" customWidth="1"/>
    <col min="7668" max="7668" width="13.140625" style="1008" customWidth="1"/>
    <col min="7669" max="7669" width="1" style="1008" customWidth="1"/>
    <col min="7670" max="7670" width="19.5703125" style="1008" customWidth="1"/>
    <col min="7671" max="7671" width="0.85546875" style="1008" customWidth="1"/>
    <col min="7672" max="7672" width="14.42578125" style="1008" customWidth="1"/>
    <col min="7673" max="7673" width="12.85546875" style="1008" customWidth="1"/>
    <col min="7674" max="7674" width="6.140625" style="1008" customWidth="1"/>
    <col min="7675" max="7676" width="11.42578125" style="1008"/>
    <col min="7677" max="7677" width="15.42578125" style="1008" customWidth="1"/>
    <col min="7678" max="7917" width="11.42578125" style="1008"/>
    <col min="7918" max="7918" width="2.28515625" style="1008" customWidth="1"/>
    <col min="7919" max="7919" width="2.7109375" style="1008" customWidth="1"/>
    <col min="7920" max="7920" width="2.42578125" style="1008" customWidth="1"/>
    <col min="7921" max="7921" width="17.7109375" style="1008" customWidth="1"/>
    <col min="7922" max="7922" width="1.5703125" style="1008" customWidth="1"/>
    <col min="7923" max="7923" width="6.42578125" style="1008" customWidth="1"/>
    <col min="7924" max="7924" width="13.140625" style="1008" customWidth="1"/>
    <col min="7925" max="7925" width="1" style="1008" customWidth="1"/>
    <col min="7926" max="7926" width="19.5703125" style="1008" customWidth="1"/>
    <col min="7927" max="7927" width="0.85546875" style="1008" customWidth="1"/>
    <col min="7928" max="7928" width="14.42578125" style="1008" customWidth="1"/>
    <col min="7929" max="7929" width="12.85546875" style="1008" customWidth="1"/>
    <col min="7930" max="7930" width="6.140625" style="1008" customWidth="1"/>
    <col min="7931" max="7932" width="11.42578125" style="1008"/>
    <col min="7933" max="7933" width="15.42578125" style="1008" customWidth="1"/>
    <col min="7934" max="8173" width="11.42578125" style="1008"/>
    <col min="8174" max="8174" width="2.28515625" style="1008" customWidth="1"/>
    <col min="8175" max="8175" width="2.7109375" style="1008" customWidth="1"/>
    <col min="8176" max="8176" width="2.42578125" style="1008" customWidth="1"/>
    <col min="8177" max="8177" width="17.7109375" style="1008" customWidth="1"/>
    <col min="8178" max="8178" width="1.5703125" style="1008" customWidth="1"/>
    <col min="8179" max="8179" width="6.42578125" style="1008" customWidth="1"/>
    <col min="8180" max="8180" width="13.140625" style="1008" customWidth="1"/>
    <col min="8181" max="8181" width="1" style="1008" customWidth="1"/>
    <col min="8182" max="8182" width="19.5703125" style="1008" customWidth="1"/>
    <col min="8183" max="8183" width="0.85546875" style="1008" customWidth="1"/>
    <col min="8184" max="8184" width="14.42578125" style="1008" customWidth="1"/>
    <col min="8185" max="8185" width="12.85546875" style="1008" customWidth="1"/>
    <col min="8186" max="8186" width="6.140625" style="1008" customWidth="1"/>
    <col min="8187" max="8188" width="11.42578125" style="1008"/>
    <col min="8189" max="8189" width="15.42578125" style="1008" customWidth="1"/>
    <col min="8190" max="8429" width="11.42578125" style="1008"/>
    <col min="8430" max="8430" width="2.28515625" style="1008" customWidth="1"/>
    <col min="8431" max="8431" width="2.7109375" style="1008" customWidth="1"/>
    <col min="8432" max="8432" width="2.42578125" style="1008" customWidth="1"/>
    <col min="8433" max="8433" width="17.7109375" style="1008" customWidth="1"/>
    <col min="8434" max="8434" width="1.5703125" style="1008" customWidth="1"/>
    <col min="8435" max="8435" width="6.42578125" style="1008" customWidth="1"/>
    <col min="8436" max="8436" width="13.140625" style="1008" customWidth="1"/>
    <col min="8437" max="8437" width="1" style="1008" customWidth="1"/>
    <col min="8438" max="8438" width="19.5703125" style="1008" customWidth="1"/>
    <col min="8439" max="8439" width="0.85546875" style="1008" customWidth="1"/>
    <col min="8440" max="8440" width="14.42578125" style="1008" customWidth="1"/>
    <col min="8441" max="8441" width="12.85546875" style="1008" customWidth="1"/>
    <col min="8442" max="8442" width="6.140625" style="1008" customWidth="1"/>
    <col min="8443" max="8444" width="11.42578125" style="1008"/>
    <col min="8445" max="8445" width="15.42578125" style="1008" customWidth="1"/>
    <col min="8446" max="8685" width="11.42578125" style="1008"/>
    <col min="8686" max="8686" width="2.28515625" style="1008" customWidth="1"/>
    <col min="8687" max="8687" width="2.7109375" style="1008" customWidth="1"/>
    <col min="8688" max="8688" width="2.42578125" style="1008" customWidth="1"/>
    <col min="8689" max="8689" width="17.7109375" style="1008" customWidth="1"/>
    <col min="8690" max="8690" width="1.5703125" style="1008" customWidth="1"/>
    <col min="8691" max="8691" width="6.42578125" style="1008" customWidth="1"/>
    <col min="8692" max="8692" width="13.140625" style="1008" customWidth="1"/>
    <col min="8693" max="8693" width="1" style="1008" customWidth="1"/>
    <col min="8694" max="8694" width="19.5703125" style="1008" customWidth="1"/>
    <col min="8695" max="8695" width="0.85546875" style="1008" customWidth="1"/>
    <col min="8696" max="8696" width="14.42578125" style="1008" customWidth="1"/>
    <col min="8697" max="8697" width="12.85546875" style="1008" customWidth="1"/>
    <col min="8698" max="8698" width="6.140625" style="1008" customWidth="1"/>
    <col min="8699" max="8700" width="11.42578125" style="1008"/>
    <col min="8701" max="8701" width="15.42578125" style="1008" customWidth="1"/>
    <col min="8702" max="8941" width="11.42578125" style="1008"/>
    <col min="8942" max="8942" width="2.28515625" style="1008" customWidth="1"/>
    <col min="8943" max="8943" width="2.7109375" style="1008" customWidth="1"/>
    <col min="8944" max="8944" width="2.42578125" style="1008" customWidth="1"/>
    <col min="8945" max="8945" width="17.7109375" style="1008" customWidth="1"/>
    <col min="8946" max="8946" width="1.5703125" style="1008" customWidth="1"/>
    <col min="8947" max="8947" width="6.42578125" style="1008" customWidth="1"/>
    <col min="8948" max="8948" width="13.140625" style="1008" customWidth="1"/>
    <col min="8949" max="8949" width="1" style="1008" customWidth="1"/>
    <col min="8950" max="8950" width="19.5703125" style="1008" customWidth="1"/>
    <col min="8951" max="8951" width="0.85546875" style="1008" customWidth="1"/>
    <col min="8952" max="8952" width="14.42578125" style="1008" customWidth="1"/>
    <col min="8953" max="8953" width="12.85546875" style="1008" customWidth="1"/>
    <col min="8954" max="8954" width="6.140625" style="1008" customWidth="1"/>
    <col min="8955" max="8956" width="11.42578125" style="1008"/>
    <col min="8957" max="8957" width="15.42578125" style="1008" customWidth="1"/>
    <col min="8958" max="9197" width="11.42578125" style="1008"/>
    <col min="9198" max="9198" width="2.28515625" style="1008" customWidth="1"/>
    <col min="9199" max="9199" width="2.7109375" style="1008" customWidth="1"/>
    <col min="9200" max="9200" width="2.42578125" style="1008" customWidth="1"/>
    <col min="9201" max="9201" width="17.7109375" style="1008" customWidth="1"/>
    <col min="9202" max="9202" width="1.5703125" style="1008" customWidth="1"/>
    <col min="9203" max="9203" width="6.42578125" style="1008" customWidth="1"/>
    <col min="9204" max="9204" width="13.140625" style="1008" customWidth="1"/>
    <col min="9205" max="9205" width="1" style="1008" customWidth="1"/>
    <col min="9206" max="9206" width="19.5703125" style="1008" customWidth="1"/>
    <col min="9207" max="9207" width="0.85546875" style="1008" customWidth="1"/>
    <col min="9208" max="9208" width="14.42578125" style="1008" customWidth="1"/>
    <col min="9209" max="9209" width="12.85546875" style="1008" customWidth="1"/>
    <col min="9210" max="9210" width="6.140625" style="1008" customWidth="1"/>
    <col min="9211" max="9212" width="11.42578125" style="1008"/>
    <col min="9213" max="9213" width="15.42578125" style="1008" customWidth="1"/>
    <col min="9214" max="9453" width="11.42578125" style="1008"/>
    <col min="9454" max="9454" width="2.28515625" style="1008" customWidth="1"/>
    <col min="9455" max="9455" width="2.7109375" style="1008" customWidth="1"/>
    <col min="9456" max="9456" width="2.42578125" style="1008" customWidth="1"/>
    <col min="9457" max="9457" width="17.7109375" style="1008" customWidth="1"/>
    <col min="9458" max="9458" width="1.5703125" style="1008" customWidth="1"/>
    <col min="9459" max="9459" width="6.42578125" style="1008" customWidth="1"/>
    <col min="9460" max="9460" width="13.140625" style="1008" customWidth="1"/>
    <col min="9461" max="9461" width="1" style="1008" customWidth="1"/>
    <col min="9462" max="9462" width="19.5703125" style="1008" customWidth="1"/>
    <col min="9463" max="9463" width="0.85546875" style="1008" customWidth="1"/>
    <col min="9464" max="9464" width="14.42578125" style="1008" customWidth="1"/>
    <col min="9465" max="9465" width="12.85546875" style="1008" customWidth="1"/>
    <col min="9466" max="9466" width="6.140625" style="1008" customWidth="1"/>
    <col min="9467" max="9468" width="11.42578125" style="1008"/>
    <col min="9469" max="9469" width="15.42578125" style="1008" customWidth="1"/>
    <col min="9470" max="9709" width="11.42578125" style="1008"/>
    <col min="9710" max="9710" width="2.28515625" style="1008" customWidth="1"/>
    <col min="9711" max="9711" width="2.7109375" style="1008" customWidth="1"/>
    <col min="9712" max="9712" width="2.42578125" style="1008" customWidth="1"/>
    <col min="9713" max="9713" width="17.7109375" style="1008" customWidth="1"/>
    <col min="9714" max="9714" width="1.5703125" style="1008" customWidth="1"/>
    <col min="9715" max="9715" width="6.42578125" style="1008" customWidth="1"/>
    <col min="9716" max="9716" width="13.140625" style="1008" customWidth="1"/>
    <col min="9717" max="9717" width="1" style="1008" customWidth="1"/>
    <col min="9718" max="9718" width="19.5703125" style="1008" customWidth="1"/>
    <col min="9719" max="9719" width="0.85546875" style="1008" customWidth="1"/>
    <col min="9720" max="9720" width="14.42578125" style="1008" customWidth="1"/>
    <col min="9721" max="9721" width="12.85546875" style="1008" customWidth="1"/>
    <col min="9722" max="9722" width="6.140625" style="1008" customWidth="1"/>
    <col min="9723" max="9724" width="11.42578125" style="1008"/>
    <col min="9725" max="9725" width="15.42578125" style="1008" customWidth="1"/>
    <col min="9726" max="9965" width="11.42578125" style="1008"/>
    <col min="9966" max="9966" width="2.28515625" style="1008" customWidth="1"/>
    <col min="9967" max="9967" width="2.7109375" style="1008" customWidth="1"/>
    <col min="9968" max="9968" width="2.42578125" style="1008" customWidth="1"/>
    <col min="9969" max="9969" width="17.7109375" style="1008" customWidth="1"/>
    <col min="9970" max="9970" width="1.5703125" style="1008" customWidth="1"/>
    <col min="9971" max="9971" width="6.42578125" style="1008" customWidth="1"/>
    <col min="9972" max="9972" width="13.140625" style="1008" customWidth="1"/>
    <col min="9973" max="9973" width="1" style="1008" customWidth="1"/>
    <col min="9974" max="9974" width="19.5703125" style="1008" customWidth="1"/>
    <col min="9975" max="9975" width="0.85546875" style="1008" customWidth="1"/>
    <col min="9976" max="9976" width="14.42578125" style="1008" customWidth="1"/>
    <col min="9977" max="9977" width="12.85546875" style="1008" customWidth="1"/>
    <col min="9978" max="9978" width="6.140625" style="1008" customWidth="1"/>
    <col min="9979" max="9980" width="11.42578125" style="1008"/>
    <col min="9981" max="9981" width="15.42578125" style="1008" customWidth="1"/>
    <col min="9982" max="10221" width="11.42578125" style="1008"/>
    <col min="10222" max="10222" width="2.28515625" style="1008" customWidth="1"/>
    <col min="10223" max="10223" width="2.7109375" style="1008" customWidth="1"/>
    <col min="10224" max="10224" width="2.42578125" style="1008" customWidth="1"/>
    <col min="10225" max="10225" width="17.7109375" style="1008" customWidth="1"/>
    <col min="10226" max="10226" width="1.5703125" style="1008" customWidth="1"/>
    <col min="10227" max="10227" width="6.42578125" style="1008" customWidth="1"/>
    <col min="10228" max="10228" width="13.140625" style="1008" customWidth="1"/>
    <col min="10229" max="10229" width="1" style="1008" customWidth="1"/>
    <col min="10230" max="10230" width="19.5703125" style="1008" customWidth="1"/>
    <col min="10231" max="10231" width="0.85546875" style="1008" customWidth="1"/>
    <col min="10232" max="10232" width="14.42578125" style="1008" customWidth="1"/>
    <col min="10233" max="10233" width="12.85546875" style="1008" customWidth="1"/>
    <col min="10234" max="10234" width="6.140625" style="1008" customWidth="1"/>
    <col min="10235" max="10236" width="11.42578125" style="1008"/>
    <col min="10237" max="10237" width="15.42578125" style="1008" customWidth="1"/>
    <col min="10238" max="10477" width="11.42578125" style="1008"/>
    <col min="10478" max="10478" width="2.28515625" style="1008" customWidth="1"/>
    <col min="10479" max="10479" width="2.7109375" style="1008" customWidth="1"/>
    <col min="10480" max="10480" width="2.42578125" style="1008" customWidth="1"/>
    <col min="10481" max="10481" width="17.7109375" style="1008" customWidth="1"/>
    <col min="10482" max="10482" width="1.5703125" style="1008" customWidth="1"/>
    <col min="10483" max="10483" width="6.42578125" style="1008" customWidth="1"/>
    <col min="10484" max="10484" width="13.140625" style="1008" customWidth="1"/>
    <col min="10485" max="10485" width="1" style="1008" customWidth="1"/>
    <col min="10486" max="10486" width="19.5703125" style="1008" customWidth="1"/>
    <col min="10487" max="10487" width="0.85546875" style="1008" customWidth="1"/>
    <col min="10488" max="10488" width="14.42578125" style="1008" customWidth="1"/>
    <col min="10489" max="10489" width="12.85546875" style="1008" customWidth="1"/>
    <col min="10490" max="10490" width="6.140625" style="1008" customWidth="1"/>
    <col min="10491" max="10492" width="11.42578125" style="1008"/>
    <col min="10493" max="10493" width="15.42578125" style="1008" customWidth="1"/>
    <col min="10494" max="10733" width="11.42578125" style="1008"/>
    <col min="10734" max="10734" width="2.28515625" style="1008" customWidth="1"/>
    <col min="10735" max="10735" width="2.7109375" style="1008" customWidth="1"/>
    <col min="10736" max="10736" width="2.42578125" style="1008" customWidth="1"/>
    <col min="10737" max="10737" width="17.7109375" style="1008" customWidth="1"/>
    <col min="10738" max="10738" width="1.5703125" style="1008" customWidth="1"/>
    <col min="10739" max="10739" width="6.42578125" style="1008" customWidth="1"/>
    <col min="10740" max="10740" width="13.140625" style="1008" customWidth="1"/>
    <col min="10741" max="10741" width="1" style="1008" customWidth="1"/>
    <col min="10742" max="10742" width="19.5703125" style="1008" customWidth="1"/>
    <col min="10743" max="10743" width="0.85546875" style="1008" customWidth="1"/>
    <col min="10744" max="10744" width="14.42578125" style="1008" customWidth="1"/>
    <col min="10745" max="10745" width="12.85546875" style="1008" customWidth="1"/>
    <col min="10746" max="10746" width="6.140625" style="1008" customWidth="1"/>
    <col min="10747" max="10748" width="11.42578125" style="1008"/>
    <col min="10749" max="10749" width="15.42578125" style="1008" customWidth="1"/>
    <col min="10750" max="10989" width="11.42578125" style="1008"/>
    <col min="10990" max="10990" width="2.28515625" style="1008" customWidth="1"/>
    <col min="10991" max="10991" width="2.7109375" style="1008" customWidth="1"/>
    <col min="10992" max="10992" width="2.42578125" style="1008" customWidth="1"/>
    <col min="10993" max="10993" width="17.7109375" style="1008" customWidth="1"/>
    <col min="10994" max="10994" width="1.5703125" style="1008" customWidth="1"/>
    <col min="10995" max="10995" width="6.42578125" style="1008" customWidth="1"/>
    <col min="10996" max="10996" width="13.140625" style="1008" customWidth="1"/>
    <col min="10997" max="10997" width="1" style="1008" customWidth="1"/>
    <col min="10998" max="10998" width="19.5703125" style="1008" customWidth="1"/>
    <col min="10999" max="10999" width="0.85546875" style="1008" customWidth="1"/>
    <col min="11000" max="11000" width="14.42578125" style="1008" customWidth="1"/>
    <col min="11001" max="11001" width="12.85546875" style="1008" customWidth="1"/>
    <col min="11002" max="11002" width="6.140625" style="1008" customWidth="1"/>
    <col min="11003" max="11004" width="11.42578125" style="1008"/>
    <col min="11005" max="11005" width="15.42578125" style="1008" customWidth="1"/>
    <col min="11006" max="11245" width="11.42578125" style="1008"/>
    <col min="11246" max="11246" width="2.28515625" style="1008" customWidth="1"/>
    <col min="11247" max="11247" width="2.7109375" style="1008" customWidth="1"/>
    <col min="11248" max="11248" width="2.42578125" style="1008" customWidth="1"/>
    <col min="11249" max="11249" width="17.7109375" style="1008" customWidth="1"/>
    <col min="11250" max="11250" width="1.5703125" style="1008" customWidth="1"/>
    <col min="11251" max="11251" width="6.42578125" style="1008" customWidth="1"/>
    <col min="11252" max="11252" width="13.140625" style="1008" customWidth="1"/>
    <col min="11253" max="11253" width="1" style="1008" customWidth="1"/>
    <col min="11254" max="11254" width="19.5703125" style="1008" customWidth="1"/>
    <col min="11255" max="11255" width="0.85546875" style="1008" customWidth="1"/>
    <col min="11256" max="11256" width="14.42578125" style="1008" customWidth="1"/>
    <col min="11257" max="11257" width="12.85546875" style="1008" customWidth="1"/>
    <col min="11258" max="11258" width="6.140625" style="1008" customWidth="1"/>
    <col min="11259" max="11260" width="11.42578125" style="1008"/>
    <col min="11261" max="11261" width="15.42578125" style="1008" customWidth="1"/>
    <col min="11262" max="11501" width="11.42578125" style="1008"/>
    <col min="11502" max="11502" width="2.28515625" style="1008" customWidth="1"/>
    <col min="11503" max="11503" width="2.7109375" style="1008" customWidth="1"/>
    <col min="11504" max="11504" width="2.42578125" style="1008" customWidth="1"/>
    <col min="11505" max="11505" width="17.7109375" style="1008" customWidth="1"/>
    <col min="11506" max="11506" width="1.5703125" style="1008" customWidth="1"/>
    <col min="11507" max="11507" width="6.42578125" style="1008" customWidth="1"/>
    <col min="11508" max="11508" width="13.140625" style="1008" customWidth="1"/>
    <col min="11509" max="11509" width="1" style="1008" customWidth="1"/>
    <col min="11510" max="11510" width="19.5703125" style="1008" customWidth="1"/>
    <col min="11511" max="11511" width="0.85546875" style="1008" customWidth="1"/>
    <col min="11512" max="11512" width="14.42578125" style="1008" customWidth="1"/>
    <col min="11513" max="11513" width="12.85546875" style="1008" customWidth="1"/>
    <col min="11514" max="11514" width="6.140625" style="1008" customWidth="1"/>
    <col min="11515" max="11516" width="11.42578125" style="1008"/>
    <col min="11517" max="11517" width="15.42578125" style="1008" customWidth="1"/>
    <col min="11518" max="11757" width="11.42578125" style="1008"/>
    <col min="11758" max="11758" width="2.28515625" style="1008" customWidth="1"/>
    <col min="11759" max="11759" width="2.7109375" style="1008" customWidth="1"/>
    <col min="11760" max="11760" width="2.42578125" style="1008" customWidth="1"/>
    <col min="11761" max="11761" width="17.7109375" style="1008" customWidth="1"/>
    <col min="11762" max="11762" width="1.5703125" style="1008" customWidth="1"/>
    <col min="11763" max="11763" width="6.42578125" style="1008" customWidth="1"/>
    <col min="11764" max="11764" width="13.140625" style="1008" customWidth="1"/>
    <col min="11765" max="11765" width="1" style="1008" customWidth="1"/>
    <col min="11766" max="11766" width="19.5703125" style="1008" customWidth="1"/>
    <col min="11767" max="11767" width="0.85546875" style="1008" customWidth="1"/>
    <col min="11768" max="11768" width="14.42578125" style="1008" customWidth="1"/>
    <col min="11769" max="11769" width="12.85546875" style="1008" customWidth="1"/>
    <col min="11770" max="11770" width="6.140625" style="1008" customWidth="1"/>
    <col min="11771" max="11772" width="11.42578125" style="1008"/>
    <col min="11773" max="11773" width="15.42578125" style="1008" customWidth="1"/>
    <col min="11774" max="12013" width="11.42578125" style="1008"/>
    <col min="12014" max="12014" width="2.28515625" style="1008" customWidth="1"/>
    <col min="12015" max="12015" width="2.7109375" style="1008" customWidth="1"/>
    <col min="12016" max="12016" width="2.42578125" style="1008" customWidth="1"/>
    <col min="12017" max="12017" width="17.7109375" style="1008" customWidth="1"/>
    <col min="12018" max="12018" width="1.5703125" style="1008" customWidth="1"/>
    <col min="12019" max="12019" width="6.42578125" style="1008" customWidth="1"/>
    <col min="12020" max="12020" width="13.140625" style="1008" customWidth="1"/>
    <col min="12021" max="12021" width="1" style="1008" customWidth="1"/>
    <col min="12022" max="12022" width="19.5703125" style="1008" customWidth="1"/>
    <col min="12023" max="12023" width="0.85546875" style="1008" customWidth="1"/>
    <col min="12024" max="12024" width="14.42578125" style="1008" customWidth="1"/>
    <col min="12025" max="12025" width="12.85546875" style="1008" customWidth="1"/>
    <col min="12026" max="12026" width="6.140625" style="1008" customWidth="1"/>
    <col min="12027" max="12028" width="11.42578125" style="1008"/>
    <col min="12029" max="12029" width="15.42578125" style="1008" customWidth="1"/>
    <col min="12030" max="12269" width="11.42578125" style="1008"/>
    <col min="12270" max="12270" width="2.28515625" style="1008" customWidth="1"/>
    <col min="12271" max="12271" width="2.7109375" style="1008" customWidth="1"/>
    <col min="12272" max="12272" width="2.42578125" style="1008" customWidth="1"/>
    <col min="12273" max="12273" width="17.7109375" style="1008" customWidth="1"/>
    <col min="12274" max="12274" width="1.5703125" style="1008" customWidth="1"/>
    <col min="12275" max="12275" width="6.42578125" style="1008" customWidth="1"/>
    <col min="12276" max="12276" width="13.140625" style="1008" customWidth="1"/>
    <col min="12277" max="12277" width="1" style="1008" customWidth="1"/>
    <col min="12278" max="12278" width="19.5703125" style="1008" customWidth="1"/>
    <col min="12279" max="12279" width="0.85546875" style="1008" customWidth="1"/>
    <col min="12280" max="12280" width="14.42578125" style="1008" customWidth="1"/>
    <col min="12281" max="12281" width="12.85546875" style="1008" customWidth="1"/>
    <col min="12282" max="12282" width="6.140625" style="1008" customWidth="1"/>
    <col min="12283" max="12284" width="11.42578125" style="1008"/>
    <col min="12285" max="12285" width="15.42578125" style="1008" customWidth="1"/>
    <col min="12286" max="12525" width="11.42578125" style="1008"/>
    <col min="12526" max="12526" width="2.28515625" style="1008" customWidth="1"/>
    <col min="12527" max="12527" width="2.7109375" style="1008" customWidth="1"/>
    <col min="12528" max="12528" width="2.42578125" style="1008" customWidth="1"/>
    <col min="12529" max="12529" width="17.7109375" style="1008" customWidth="1"/>
    <col min="12530" max="12530" width="1.5703125" style="1008" customWidth="1"/>
    <col min="12531" max="12531" width="6.42578125" style="1008" customWidth="1"/>
    <col min="12532" max="12532" width="13.140625" style="1008" customWidth="1"/>
    <col min="12533" max="12533" width="1" style="1008" customWidth="1"/>
    <col min="12534" max="12534" width="19.5703125" style="1008" customWidth="1"/>
    <col min="12535" max="12535" width="0.85546875" style="1008" customWidth="1"/>
    <col min="12536" max="12536" width="14.42578125" style="1008" customWidth="1"/>
    <col min="12537" max="12537" width="12.85546875" style="1008" customWidth="1"/>
    <col min="12538" max="12538" width="6.140625" style="1008" customWidth="1"/>
    <col min="12539" max="12540" width="11.42578125" style="1008"/>
    <col min="12541" max="12541" width="15.42578125" style="1008" customWidth="1"/>
    <col min="12542" max="12781" width="11.42578125" style="1008"/>
    <col min="12782" max="12782" width="2.28515625" style="1008" customWidth="1"/>
    <col min="12783" max="12783" width="2.7109375" style="1008" customWidth="1"/>
    <col min="12784" max="12784" width="2.42578125" style="1008" customWidth="1"/>
    <col min="12785" max="12785" width="17.7109375" style="1008" customWidth="1"/>
    <col min="12786" max="12786" width="1.5703125" style="1008" customWidth="1"/>
    <col min="12787" max="12787" width="6.42578125" style="1008" customWidth="1"/>
    <col min="12788" max="12788" width="13.140625" style="1008" customWidth="1"/>
    <col min="12789" max="12789" width="1" style="1008" customWidth="1"/>
    <col min="12790" max="12790" width="19.5703125" style="1008" customWidth="1"/>
    <col min="12791" max="12791" width="0.85546875" style="1008" customWidth="1"/>
    <col min="12792" max="12792" width="14.42578125" style="1008" customWidth="1"/>
    <col min="12793" max="12793" width="12.85546875" style="1008" customWidth="1"/>
    <col min="12794" max="12794" width="6.140625" style="1008" customWidth="1"/>
    <col min="12795" max="12796" width="11.42578125" style="1008"/>
    <col min="12797" max="12797" width="15.42578125" style="1008" customWidth="1"/>
    <col min="12798" max="13037" width="11.42578125" style="1008"/>
    <col min="13038" max="13038" width="2.28515625" style="1008" customWidth="1"/>
    <col min="13039" max="13039" width="2.7109375" style="1008" customWidth="1"/>
    <col min="13040" max="13040" width="2.42578125" style="1008" customWidth="1"/>
    <col min="13041" max="13041" width="17.7109375" style="1008" customWidth="1"/>
    <col min="13042" max="13042" width="1.5703125" style="1008" customWidth="1"/>
    <col min="13043" max="13043" width="6.42578125" style="1008" customWidth="1"/>
    <col min="13044" max="13044" width="13.140625" style="1008" customWidth="1"/>
    <col min="13045" max="13045" width="1" style="1008" customWidth="1"/>
    <col min="13046" max="13046" width="19.5703125" style="1008" customWidth="1"/>
    <col min="13047" max="13047" width="0.85546875" style="1008" customWidth="1"/>
    <col min="13048" max="13048" width="14.42578125" style="1008" customWidth="1"/>
    <col min="13049" max="13049" width="12.85546875" style="1008" customWidth="1"/>
    <col min="13050" max="13050" width="6.140625" style="1008" customWidth="1"/>
    <col min="13051" max="13052" width="11.42578125" style="1008"/>
    <col min="13053" max="13053" width="15.42578125" style="1008" customWidth="1"/>
    <col min="13054" max="13293" width="11.42578125" style="1008"/>
    <col min="13294" max="13294" width="2.28515625" style="1008" customWidth="1"/>
    <col min="13295" max="13295" width="2.7109375" style="1008" customWidth="1"/>
    <col min="13296" max="13296" width="2.42578125" style="1008" customWidth="1"/>
    <col min="13297" max="13297" width="17.7109375" style="1008" customWidth="1"/>
    <col min="13298" max="13298" width="1.5703125" style="1008" customWidth="1"/>
    <col min="13299" max="13299" width="6.42578125" style="1008" customWidth="1"/>
    <col min="13300" max="13300" width="13.140625" style="1008" customWidth="1"/>
    <col min="13301" max="13301" width="1" style="1008" customWidth="1"/>
    <col min="13302" max="13302" width="19.5703125" style="1008" customWidth="1"/>
    <col min="13303" max="13303" width="0.85546875" style="1008" customWidth="1"/>
    <col min="13304" max="13304" width="14.42578125" style="1008" customWidth="1"/>
    <col min="13305" max="13305" width="12.85546875" style="1008" customWidth="1"/>
    <col min="13306" max="13306" width="6.140625" style="1008" customWidth="1"/>
    <col min="13307" max="13308" width="11.42578125" style="1008"/>
    <col min="13309" max="13309" width="15.42578125" style="1008" customWidth="1"/>
    <col min="13310" max="13549" width="11.42578125" style="1008"/>
    <col min="13550" max="13550" width="2.28515625" style="1008" customWidth="1"/>
    <col min="13551" max="13551" width="2.7109375" style="1008" customWidth="1"/>
    <col min="13552" max="13552" width="2.42578125" style="1008" customWidth="1"/>
    <col min="13553" max="13553" width="17.7109375" style="1008" customWidth="1"/>
    <col min="13554" max="13554" width="1.5703125" style="1008" customWidth="1"/>
    <col min="13555" max="13555" width="6.42578125" style="1008" customWidth="1"/>
    <col min="13556" max="13556" width="13.140625" style="1008" customWidth="1"/>
    <col min="13557" max="13557" width="1" style="1008" customWidth="1"/>
    <col min="13558" max="13558" width="19.5703125" style="1008" customWidth="1"/>
    <col min="13559" max="13559" width="0.85546875" style="1008" customWidth="1"/>
    <col min="13560" max="13560" width="14.42578125" style="1008" customWidth="1"/>
    <col min="13561" max="13561" width="12.85546875" style="1008" customWidth="1"/>
    <col min="13562" max="13562" width="6.140625" style="1008" customWidth="1"/>
    <col min="13563" max="13564" width="11.42578125" style="1008"/>
    <col min="13565" max="13565" width="15.42578125" style="1008" customWidth="1"/>
    <col min="13566" max="13805" width="11.42578125" style="1008"/>
    <col min="13806" max="13806" width="2.28515625" style="1008" customWidth="1"/>
    <col min="13807" max="13807" width="2.7109375" style="1008" customWidth="1"/>
    <col min="13808" max="13808" width="2.42578125" style="1008" customWidth="1"/>
    <col min="13809" max="13809" width="17.7109375" style="1008" customWidth="1"/>
    <col min="13810" max="13810" width="1.5703125" style="1008" customWidth="1"/>
    <col min="13811" max="13811" width="6.42578125" style="1008" customWidth="1"/>
    <col min="13812" max="13812" width="13.140625" style="1008" customWidth="1"/>
    <col min="13813" max="13813" width="1" style="1008" customWidth="1"/>
    <col min="13814" max="13814" width="19.5703125" style="1008" customWidth="1"/>
    <col min="13815" max="13815" width="0.85546875" style="1008" customWidth="1"/>
    <col min="13816" max="13816" width="14.42578125" style="1008" customWidth="1"/>
    <col min="13817" max="13817" width="12.85546875" style="1008" customWidth="1"/>
    <col min="13818" max="13818" width="6.140625" style="1008" customWidth="1"/>
    <col min="13819" max="13820" width="11.42578125" style="1008"/>
    <col min="13821" max="13821" width="15.42578125" style="1008" customWidth="1"/>
    <col min="13822" max="14061" width="11.42578125" style="1008"/>
    <col min="14062" max="14062" width="2.28515625" style="1008" customWidth="1"/>
    <col min="14063" max="14063" width="2.7109375" style="1008" customWidth="1"/>
    <col min="14064" max="14064" width="2.42578125" style="1008" customWidth="1"/>
    <col min="14065" max="14065" width="17.7109375" style="1008" customWidth="1"/>
    <col min="14066" max="14066" width="1.5703125" style="1008" customWidth="1"/>
    <col min="14067" max="14067" width="6.42578125" style="1008" customWidth="1"/>
    <col min="14068" max="14068" width="13.140625" style="1008" customWidth="1"/>
    <col min="14069" max="14069" width="1" style="1008" customWidth="1"/>
    <col min="14070" max="14070" width="19.5703125" style="1008" customWidth="1"/>
    <col min="14071" max="14071" width="0.85546875" style="1008" customWidth="1"/>
    <col min="14072" max="14072" width="14.42578125" style="1008" customWidth="1"/>
    <col min="14073" max="14073" width="12.85546875" style="1008" customWidth="1"/>
    <col min="14074" max="14074" width="6.140625" style="1008" customWidth="1"/>
    <col min="14075" max="14076" width="11.42578125" style="1008"/>
    <col min="14077" max="14077" width="15.42578125" style="1008" customWidth="1"/>
    <col min="14078" max="14317" width="11.42578125" style="1008"/>
    <col min="14318" max="14318" width="2.28515625" style="1008" customWidth="1"/>
    <col min="14319" max="14319" width="2.7109375" style="1008" customWidth="1"/>
    <col min="14320" max="14320" width="2.42578125" style="1008" customWidth="1"/>
    <col min="14321" max="14321" width="17.7109375" style="1008" customWidth="1"/>
    <col min="14322" max="14322" width="1.5703125" style="1008" customWidth="1"/>
    <col min="14323" max="14323" width="6.42578125" style="1008" customWidth="1"/>
    <col min="14324" max="14324" width="13.140625" style="1008" customWidth="1"/>
    <col min="14325" max="14325" width="1" style="1008" customWidth="1"/>
    <col min="14326" max="14326" width="19.5703125" style="1008" customWidth="1"/>
    <col min="14327" max="14327" width="0.85546875" style="1008" customWidth="1"/>
    <col min="14328" max="14328" width="14.42578125" style="1008" customWidth="1"/>
    <col min="14329" max="14329" width="12.85546875" style="1008" customWidth="1"/>
    <col min="14330" max="14330" width="6.140625" style="1008" customWidth="1"/>
    <col min="14331" max="14332" width="11.42578125" style="1008"/>
    <col min="14333" max="14333" width="15.42578125" style="1008" customWidth="1"/>
    <col min="14334" max="14573" width="11.42578125" style="1008"/>
    <col min="14574" max="14574" width="2.28515625" style="1008" customWidth="1"/>
    <col min="14575" max="14575" width="2.7109375" style="1008" customWidth="1"/>
    <col min="14576" max="14576" width="2.42578125" style="1008" customWidth="1"/>
    <col min="14577" max="14577" width="17.7109375" style="1008" customWidth="1"/>
    <col min="14578" max="14578" width="1.5703125" style="1008" customWidth="1"/>
    <col min="14579" max="14579" width="6.42578125" style="1008" customWidth="1"/>
    <col min="14580" max="14580" width="13.140625" style="1008" customWidth="1"/>
    <col min="14581" max="14581" width="1" style="1008" customWidth="1"/>
    <col min="14582" max="14582" width="19.5703125" style="1008" customWidth="1"/>
    <col min="14583" max="14583" width="0.85546875" style="1008" customWidth="1"/>
    <col min="14584" max="14584" width="14.42578125" style="1008" customWidth="1"/>
    <col min="14585" max="14585" width="12.85546875" style="1008" customWidth="1"/>
    <col min="14586" max="14586" width="6.140625" style="1008" customWidth="1"/>
    <col min="14587" max="14588" width="11.42578125" style="1008"/>
    <col min="14589" max="14589" width="15.42578125" style="1008" customWidth="1"/>
    <col min="14590" max="14829" width="11.42578125" style="1008"/>
    <col min="14830" max="14830" width="2.28515625" style="1008" customWidth="1"/>
    <col min="14831" max="14831" width="2.7109375" style="1008" customWidth="1"/>
    <col min="14832" max="14832" width="2.42578125" style="1008" customWidth="1"/>
    <col min="14833" max="14833" width="17.7109375" style="1008" customWidth="1"/>
    <col min="14834" max="14834" width="1.5703125" style="1008" customWidth="1"/>
    <col min="14835" max="14835" width="6.42578125" style="1008" customWidth="1"/>
    <col min="14836" max="14836" width="13.140625" style="1008" customWidth="1"/>
    <col min="14837" max="14837" width="1" style="1008" customWidth="1"/>
    <col min="14838" max="14838" width="19.5703125" style="1008" customWidth="1"/>
    <col min="14839" max="14839" width="0.85546875" style="1008" customWidth="1"/>
    <col min="14840" max="14840" width="14.42578125" style="1008" customWidth="1"/>
    <col min="14841" max="14841" width="12.85546875" style="1008" customWidth="1"/>
    <col min="14842" max="14842" width="6.140625" style="1008" customWidth="1"/>
    <col min="14843" max="14844" width="11.42578125" style="1008"/>
    <col min="14845" max="14845" width="15.42578125" style="1008" customWidth="1"/>
    <col min="14846" max="15085" width="11.42578125" style="1008"/>
    <col min="15086" max="15086" width="2.28515625" style="1008" customWidth="1"/>
    <col min="15087" max="15087" width="2.7109375" style="1008" customWidth="1"/>
    <col min="15088" max="15088" width="2.42578125" style="1008" customWidth="1"/>
    <col min="15089" max="15089" width="17.7109375" style="1008" customWidth="1"/>
    <col min="15090" max="15090" width="1.5703125" style="1008" customWidth="1"/>
    <col min="15091" max="15091" width="6.42578125" style="1008" customWidth="1"/>
    <col min="15092" max="15092" width="13.140625" style="1008" customWidth="1"/>
    <col min="15093" max="15093" width="1" style="1008" customWidth="1"/>
    <col min="15094" max="15094" width="19.5703125" style="1008" customWidth="1"/>
    <col min="15095" max="15095" width="0.85546875" style="1008" customWidth="1"/>
    <col min="15096" max="15096" width="14.42578125" style="1008" customWidth="1"/>
    <col min="15097" max="15097" width="12.85546875" style="1008" customWidth="1"/>
    <col min="15098" max="15098" width="6.140625" style="1008" customWidth="1"/>
    <col min="15099" max="15100" width="11.42578125" style="1008"/>
    <col min="15101" max="15101" width="15.42578125" style="1008" customWidth="1"/>
    <col min="15102" max="15341" width="11.42578125" style="1008"/>
    <col min="15342" max="15342" width="2.28515625" style="1008" customWidth="1"/>
    <col min="15343" max="15343" width="2.7109375" style="1008" customWidth="1"/>
    <col min="15344" max="15344" width="2.42578125" style="1008" customWidth="1"/>
    <col min="15345" max="15345" width="17.7109375" style="1008" customWidth="1"/>
    <col min="15346" max="15346" width="1.5703125" style="1008" customWidth="1"/>
    <col min="15347" max="15347" width="6.42578125" style="1008" customWidth="1"/>
    <col min="15348" max="15348" width="13.140625" style="1008" customWidth="1"/>
    <col min="15349" max="15349" width="1" style="1008" customWidth="1"/>
    <col min="15350" max="15350" width="19.5703125" style="1008" customWidth="1"/>
    <col min="15351" max="15351" width="0.85546875" style="1008" customWidth="1"/>
    <col min="15352" max="15352" width="14.42578125" style="1008" customWidth="1"/>
    <col min="15353" max="15353" width="12.85546875" style="1008" customWidth="1"/>
    <col min="15354" max="15354" width="6.140625" style="1008" customWidth="1"/>
    <col min="15355" max="15356" width="11.42578125" style="1008"/>
    <col min="15357" max="15357" width="15.42578125" style="1008" customWidth="1"/>
    <col min="15358" max="15597" width="11.42578125" style="1008"/>
    <col min="15598" max="15598" width="2.28515625" style="1008" customWidth="1"/>
    <col min="15599" max="15599" width="2.7109375" style="1008" customWidth="1"/>
    <col min="15600" max="15600" width="2.42578125" style="1008" customWidth="1"/>
    <col min="15601" max="15601" width="17.7109375" style="1008" customWidth="1"/>
    <col min="15602" max="15602" width="1.5703125" style="1008" customWidth="1"/>
    <col min="15603" max="15603" width="6.42578125" style="1008" customWidth="1"/>
    <col min="15604" max="15604" width="13.140625" style="1008" customWidth="1"/>
    <col min="15605" max="15605" width="1" style="1008" customWidth="1"/>
    <col min="15606" max="15606" width="19.5703125" style="1008" customWidth="1"/>
    <col min="15607" max="15607" width="0.85546875" style="1008" customWidth="1"/>
    <col min="15608" max="15608" width="14.42578125" style="1008" customWidth="1"/>
    <col min="15609" max="15609" width="12.85546875" style="1008" customWidth="1"/>
    <col min="15610" max="15610" width="6.140625" style="1008" customWidth="1"/>
    <col min="15611" max="15612" width="11.42578125" style="1008"/>
    <col min="15613" max="15613" width="15.42578125" style="1008" customWidth="1"/>
    <col min="15614" max="15853" width="11.42578125" style="1008"/>
    <col min="15854" max="15854" width="2.28515625" style="1008" customWidth="1"/>
    <col min="15855" max="15855" width="2.7109375" style="1008" customWidth="1"/>
    <col min="15856" max="15856" width="2.42578125" style="1008" customWidth="1"/>
    <col min="15857" max="15857" width="17.7109375" style="1008" customWidth="1"/>
    <col min="15858" max="15858" width="1.5703125" style="1008" customWidth="1"/>
    <col min="15859" max="15859" width="6.42578125" style="1008" customWidth="1"/>
    <col min="15860" max="15860" width="13.140625" style="1008" customWidth="1"/>
    <col min="15861" max="15861" width="1" style="1008" customWidth="1"/>
    <col min="15862" max="15862" width="19.5703125" style="1008" customWidth="1"/>
    <col min="15863" max="15863" width="0.85546875" style="1008" customWidth="1"/>
    <col min="15864" max="15864" width="14.42578125" style="1008" customWidth="1"/>
    <col min="15865" max="15865" width="12.85546875" style="1008" customWidth="1"/>
    <col min="15866" max="15866" width="6.140625" style="1008" customWidth="1"/>
    <col min="15867" max="15868" width="11.42578125" style="1008"/>
    <col min="15869" max="15869" width="15.42578125" style="1008" customWidth="1"/>
    <col min="15870" max="16109" width="11.42578125" style="1008"/>
    <col min="16110" max="16110" width="2.28515625" style="1008" customWidth="1"/>
    <col min="16111" max="16111" width="2.7109375" style="1008" customWidth="1"/>
    <col min="16112" max="16112" width="2.42578125" style="1008" customWidth="1"/>
    <col min="16113" max="16113" width="17.7109375" style="1008" customWidth="1"/>
    <col min="16114" max="16114" width="1.5703125" style="1008" customWidth="1"/>
    <col min="16115" max="16115" width="6.42578125" style="1008" customWidth="1"/>
    <col min="16116" max="16116" width="13.140625" style="1008" customWidth="1"/>
    <col min="16117" max="16117" width="1" style="1008" customWidth="1"/>
    <col min="16118" max="16118" width="19.5703125" style="1008" customWidth="1"/>
    <col min="16119" max="16119" width="0.85546875" style="1008" customWidth="1"/>
    <col min="16120" max="16120" width="14.42578125" style="1008" customWidth="1"/>
    <col min="16121" max="16121" width="12.85546875" style="1008" customWidth="1"/>
    <col min="16122" max="16122" width="6.140625" style="1008" customWidth="1"/>
    <col min="16123" max="16124" width="11.42578125" style="1008"/>
    <col min="16125" max="16125" width="15.42578125" style="1008" customWidth="1"/>
    <col min="16126" max="16384" width="11.42578125" style="1008"/>
  </cols>
  <sheetData>
    <row r="1" spans="1:18" ht="9" hidden="1" customHeight="1" x14ac:dyDescent="0.2"/>
    <row r="2" spans="1:18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1"/>
    </row>
    <row r="3" spans="1:18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4"/>
    </row>
    <row r="4" spans="1:18" ht="16.5" thickTop="1" x14ac:dyDescent="0.25">
      <c r="A4" s="2875" t="s">
        <v>252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7"/>
    </row>
    <row r="5" spans="1:18" ht="15.75" x14ac:dyDescent="0.2">
      <c r="A5" s="2954" t="e">
        <f>"N° "&amp;#REF!&amp;" ALEPH/GR/LSCD"</f>
        <v>#REF!</v>
      </c>
      <c r="B5" s="2955"/>
      <c r="C5" s="2955"/>
      <c r="D5" s="2955"/>
      <c r="E5" s="2955"/>
      <c r="F5" s="2955"/>
      <c r="G5" s="2955"/>
      <c r="H5" s="2955"/>
      <c r="I5" s="2955"/>
      <c r="J5" s="2955"/>
      <c r="K5" s="2955"/>
      <c r="L5" s="2955"/>
      <c r="M5" s="2955"/>
      <c r="N5" s="2955"/>
      <c r="O5" s="2955"/>
      <c r="P5" s="2955"/>
      <c r="Q5" s="2955"/>
      <c r="R5" s="2956"/>
    </row>
    <row r="6" spans="1:18" ht="15.75" x14ac:dyDescent="0.2">
      <c r="A6" s="2878" t="s">
        <v>253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80"/>
    </row>
    <row r="7" spans="1:18" ht="15.75" x14ac:dyDescent="0.2">
      <c r="A7" s="2878" t="s">
        <v>275</v>
      </c>
      <c r="B7" s="2879"/>
      <c r="C7" s="2879"/>
      <c r="D7" s="2879"/>
      <c r="E7" s="2879"/>
      <c r="F7" s="2879"/>
      <c r="G7" s="2879"/>
      <c r="H7" s="2879"/>
      <c r="I7" s="2879"/>
      <c r="J7" s="2879"/>
      <c r="K7" s="2879"/>
      <c r="L7" s="2879"/>
      <c r="M7" s="2879"/>
      <c r="N7" s="2879"/>
      <c r="O7" s="2879"/>
      <c r="P7" s="2879"/>
      <c r="Q7" s="2879"/>
      <c r="R7" s="2880"/>
    </row>
    <row r="8" spans="1:18" ht="4.9000000000000004" customHeight="1" x14ac:dyDescent="0.2">
      <c r="A8" s="2885"/>
      <c r="B8" s="2886"/>
      <c r="C8" s="2886"/>
      <c r="D8" s="2886"/>
      <c r="E8" s="2886"/>
      <c r="F8" s="2886"/>
      <c r="G8" s="2886"/>
      <c r="H8" s="2886"/>
      <c r="I8" s="2886"/>
      <c r="J8" s="2886"/>
      <c r="K8" s="2886"/>
      <c r="L8" s="2886"/>
      <c r="M8" s="2886"/>
      <c r="N8" s="2886"/>
      <c r="O8" s="2886"/>
      <c r="P8" s="2886"/>
      <c r="Q8" s="2886"/>
      <c r="R8" s="2887"/>
    </row>
    <row r="9" spans="1:18" ht="15" customHeight="1" x14ac:dyDescent="0.2">
      <c r="A9" s="1009"/>
      <c r="B9" s="1010" t="s">
        <v>217</v>
      </c>
      <c r="D9" s="1010" t="s">
        <v>218</v>
      </c>
      <c r="E9" s="163" t="s">
        <v>1053</v>
      </c>
      <c r="R9" s="1011"/>
    </row>
    <row r="10" spans="1:18" ht="12.75" customHeight="1" x14ac:dyDescent="0.2">
      <c r="A10" s="1009"/>
      <c r="C10" s="1010"/>
      <c r="D10" s="1010"/>
      <c r="E10" s="1008" t="s">
        <v>219</v>
      </c>
      <c r="P10" s="1428"/>
      <c r="Q10" s="1428"/>
      <c r="R10" s="1011"/>
    </row>
    <row r="11" spans="1:18" ht="6.75" customHeight="1" x14ac:dyDescent="0.2">
      <c r="A11" s="1009"/>
      <c r="P11" s="1428"/>
      <c r="Q11" s="1428"/>
      <c r="R11" s="1011"/>
    </row>
    <row r="12" spans="1:18" ht="13.5" customHeight="1" x14ac:dyDescent="0.2">
      <c r="A12" s="1009"/>
      <c r="B12" s="1010" t="s">
        <v>220</v>
      </c>
      <c r="D12" s="1010" t="s">
        <v>218</v>
      </c>
      <c r="E12" s="1008" t="str">
        <f>'F-LSCD-012'!C7</f>
        <v>ALEPH SAC</v>
      </c>
      <c r="P12" s="2902" t="s">
        <v>221</v>
      </c>
      <c r="Q12" s="2930"/>
      <c r="R12" s="1011"/>
    </row>
    <row r="13" spans="1:18" ht="24.75" customHeight="1" x14ac:dyDescent="0.2">
      <c r="A13" s="1009"/>
      <c r="E13" s="2882" t="str">
        <f>'F-LSCD-012'!C8</f>
        <v>Av. Rafael Escardo 154</v>
      </c>
      <c r="F13" s="2882"/>
      <c r="G13" s="2882"/>
      <c r="H13" s="2882"/>
      <c r="I13" s="2882"/>
      <c r="J13" s="2882"/>
      <c r="K13" s="2882"/>
      <c r="L13" s="2882"/>
      <c r="M13" s="2882"/>
      <c r="N13" s="2882"/>
      <c r="P13" s="2902"/>
      <c r="Q13" s="2930"/>
      <c r="R13" s="1011"/>
    </row>
    <row r="14" spans="1:18" ht="15" customHeight="1" x14ac:dyDescent="0.2">
      <c r="A14" s="1009"/>
      <c r="E14" s="1008" t="str">
        <f>'F-LSCD-012'!I8&amp;", "&amp;'F-LSCD-012'!L8&amp;", "&amp;'F-LSCD-012'!P8&amp;", "&amp;'F-LSCD-012'!T8</f>
        <v>San Miguel, Lima, Lima, Perú</v>
      </c>
      <c r="P14" s="2902"/>
      <c r="Q14" s="2930"/>
      <c r="R14" s="1011"/>
    </row>
    <row r="15" spans="1:18" ht="8.25" customHeight="1" x14ac:dyDescent="0.2">
      <c r="A15" s="1009"/>
      <c r="P15" s="2902"/>
      <c r="Q15" s="2930"/>
      <c r="R15" s="1011"/>
    </row>
    <row r="16" spans="1:18" x14ac:dyDescent="0.2">
      <c r="A16" s="1009"/>
      <c r="B16" s="1010" t="s">
        <v>222</v>
      </c>
      <c r="D16" s="1010" t="s">
        <v>218</v>
      </c>
      <c r="E16" s="1012" t="str">
        <f>'F-LSCD-012'!C6</f>
        <v>OT 111-12925</v>
      </c>
      <c r="F16" s="1013"/>
      <c r="G16" s="1013"/>
      <c r="H16" s="1013"/>
      <c r="I16" s="1013"/>
      <c r="J16" s="1013"/>
      <c r="K16" s="1014"/>
      <c r="L16" s="1014"/>
      <c r="M16" s="1014"/>
      <c r="N16" s="1015"/>
      <c r="O16" s="1016"/>
      <c r="P16" s="2902"/>
      <c r="Q16" s="2930"/>
      <c r="R16" s="1011"/>
    </row>
    <row r="17" spans="1:18" ht="5.25" customHeight="1" x14ac:dyDescent="0.2">
      <c r="A17" s="1009"/>
      <c r="P17" s="2902"/>
      <c r="Q17" s="2930"/>
      <c r="R17" s="1011"/>
    </row>
    <row r="18" spans="1:18" x14ac:dyDescent="0.2">
      <c r="A18" s="1009"/>
      <c r="B18" s="1010" t="s">
        <v>255</v>
      </c>
      <c r="D18" s="1010" t="s">
        <v>218</v>
      </c>
      <c r="E18" s="2883" t="str">
        <f>'F-LSCD-012'!C9</f>
        <v>Monitor de radiación (digital)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1017"/>
      <c r="P18" s="1018"/>
      <c r="Q18" s="1019"/>
      <c r="R18" s="1011"/>
    </row>
    <row r="19" spans="1:18" x14ac:dyDescent="0.2">
      <c r="A19" s="1009"/>
      <c r="B19" s="1010"/>
      <c r="D19" s="1010"/>
      <c r="E19" s="2883" t="str">
        <f>IF('F-LSCD-012'!C13="-","Marca monitor: "&amp;'F-LSCD-012'!C10,"Marca monitor: "&amp;'F-LSCD-012'!C10&amp;" / Marca sonda: "&amp;'F-LSCD-012'!C13)</f>
        <v>Marca monitor: MGP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1017"/>
      <c r="P19" s="1429"/>
      <c r="Q19" s="1428"/>
      <c r="R19" s="1011"/>
    </row>
    <row r="20" spans="1:18" ht="12" customHeight="1" x14ac:dyDescent="0.2">
      <c r="A20" s="1009"/>
      <c r="B20" s="1010"/>
      <c r="D20" s="1010"/>
      <c r="E20" s="2883" t="str">
        <f>IF('F-LSCD-012'!C13="-","Modelo monitor: "&amp;'F-LSCD-012'!C11,"Modelo monitor: "&amp;'F-LSCD-012'!C11&amp;" / Modelo sonda: "&amp;'F-LSCD-012'!C14)</f>
        <v>Modelo monitor: DMC 2000S</v>
      </c>
      <c r="F20" s="2883"/>
      <c r="G20" s="2883"/>
      <c r="H20" s="2883"/>
      <c r="I20" s="2883"/>
      <c r="J20" s="2883"/>
      <c r="K20" s="2883"/>
      <c r="L20" s="2883"/>
      <c r="M20" s="2883"/>
      <c r="N20" s="2883"/>
      <c r="O20" s="1017"/>
      <c r="P20" s="2948" t="s">
        <v>225</v>
      </c>
      <c r="Q20" s="2947"/>
      <c r="R20" s="1011"/>
    </row>
    <row r="21" spans="1:18" ht="12" customHeight="1" x14ac:dyDescent="0.2">
      <c r="A21" s="1009"/>
      <c r="B21" s="1010"/>
      <c r="D21" s="1010"/>
      <c r="E21" s="2883" t="str">
        <f>IF('F-LSCD-012'!C13="-","Serie monitor: "&amp;'F-LSCD-012'!C12,"Serie monitor: "&amp;'F-LSCD-012'!C12&amp;" / Serie sonda: "&amp;'F-LSCD-012'!C15)</f>
        <v>Serie monitor: 690384T</v>
      </c>
      <c r="F21" s="2883"/>
      <c r="G21" s="2883"/>
      <c r="H21" s="2883"/>
      <c r="I21" s="2883"/>
      <c r="J21" s="2883"/>
      <c r="K21" s="2883"/>
      <c r="L21" s="2883"/>
      <c r="M21" s="2883"/>
      <c r="N21" s="2883"/>
      <c r="O21" s="1017"/>
      <c r="P21" s="2948"/>
      <c r="Q21" s="2947"/>
      <c r="R21" s="1011"/>
    </row>
    <row r="22" spans="1:18" ht="8.25" customHeight="1" x14ac:dyDescent="0.2">
      <c r="A22" s="1009"/>
      <c r="B22" s="1010"/>
      <c r="D22" s="1010"/>
      <c r="E22" s="2883"/>
      <c r="F22" s="2883"/>
      <c r="G22" s="2883"/>
      <c r="H22" s="2883"/>
      <c r="I22" s="2883"/>
      <c r="J22" s="2883"/>
      <c r="K22" s="2883"/>
      <c r="L22" s="2883"/>
      <c r="M22" s="2883"/>
      <c r="N22" s="2883"/>
      <c r="O22" s="1017"/>
      <c r="P22" s="2948"/>
      <c r="Q22" s="2947"/>
      <c r="R22" s="1011"/>
    </row>
    <row r="23" spans="1:18" x14ac:dyDescent="0.2">
      <c r="A23" s="1009"/>
      <c r="B23" s="1020" t="s">
        <v>224</v>
      </c>
      <c r="D23" s="175" t="s">
        <v>218</v>
      </c>
      <c r="E23" s="2908" t="str">
        <f>'F-LSCD-012'!C19</f>
        <v>Campo de radiación calibrado usando un fantoma, según ISO 4037-3 (2019), aplicado al PROC-LSCD-012 Calibración de dosímetros personales (versión 05)</v>
      </c>
      <c r="F23" s="2908"/>
      <c r="G23" s="2908"/>
      <c r="H23" s="2908"/>
      <c r="I23" s="2908"/>
      <c r="J23" s="2908"/>
      <c r="K23" s="2908"/>
      <c r="L23" s="2908"/>
      <c r="M23" s="2908"/>
      <c r="N23" s="2908"/>
      <c r="O23" s="1021"/>
      <c r="P23" s="2948"/>
      <c r="Q23" s="2947"/>
      <c r="R23" s="1011"/>
    </row>
    <row r="24" spans="1:18" x14ac:dyDescent="0.2">
      <c r="A24" s="1009"/>
      <c r="E24" s="2908"/>
      <c r="F24" s="2908"/>
      <c r="G24" s="2908"/>
      <c r="H24" s="2908"/>
      <c r="I24" s="2908"/>
      <c r="J24" s="2908"/>
      <c r="K24" s="2908"/>
      <c r="L24" s="2908"/>
      <c r="M24" s="2908"/>
      <c r="N24" s="2908"/>
      <c r="O24" s="1021"/>
      <c r="P24" s="2948"/>
      <c r="Q24" s="2947"/>
      <c r="R24" s="1011"/>
    </row>
    <row r="25" spans="1:18" ht="6.7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2948"/>
      <c r="Q25" s="2947"/>
      <c r="R25" s="1011"/>
    </row>
    <row r="26" spans="1:18" ht="14.25" customHeight="1" x14ac:dyDescent="0.2">
      <c r="A26" s="1009"/>
      <c r="B26" s="1010" t="s">
        <v>226</v>
      </c>
      <c r="D26" s="1010" t="s">
        <v>218</v>
      </c>
      <c r="P26" s="2948"/>
      <c r="Q26" s="2947"/>
      <c r="R26" s="1011"/>
    </row>
    <row r="27" spans="1:18" ht="8.25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P27" s="2948"/>
      <c r="Q27" s="2947"/>
      <c r="R27" s="1011"/>
    </row>
    <row r="28" spans="1:18" ht="42" customHeight="1" x14ac:dyDescent="0.2">
      <c r="A28" s="1009"/>
      <c r="C28" s="1272" t="s">
        <v>227</v>
      </c>
      <c r="D28" s="1280" t="s">
        <v>218</v>
      </c>
      <c r="E28" s="2908" t="str">
        <f>'F-LSCD-012'!C20</f>
        <v>Cámara de ionización patrón de 1 L , marca: PTW; modelo: TN32002; serie: 000568; Reporte de calibración de Kerma en aire DG: 13580-21 con fecha 2021-04-01 (NIST); trazable al NIST.</v>
      </c>
      <c r="F28" s="2908"/>
      <c r="G28" s="2908"/>
      <c r="H28" s="2908"/>
      <c r="I28" s="2908"/>
      <c r="J28" s="2908"/>
      <c r="K28" s="2908"/>
      <c r="L28" s="2908"/>
      <c r="M28" s="2908"/>
      <c r="N28" s="2908"/>
      <c r="O28" s="1023"/>
      <c r="P28" s="2948"/>
      <c r="Q28" s="2947"/>
      <c r="R28" s="1011"/>
    </row>
    <row r="29" spans="1:18" ht="12" customHeight="1" x14ac:dyDescent="0.2">
      <c r="A29" s="1009"/>
      <c r="C29" s="1272" t="s">
        <v>203</v>
      </c>
      <c r="D29" s="1022" t="s">
        <v>218</v>
      </c>
      <c r="E29" s="1275" t="str">
        <f>'F-LSCD-012'!C21</f>
        <v>S-Cs (ISO 4037-3)</v>
      </c>
      <c r="F29" s="1275"/>
      <c r="G29" s="1275"/>
      <c r="H29" s="1275"/>
      <c r="I29" s="1275"/>
      <c r="J29" s="1275"/>
      <c r="K29" s="1275"/>
      <c r="L29" s="1275"/>
      <c r="M29" s="1275"/>
      <c r="N29" s="1275"/>
      <c r="O29" s="1014"/>
      <c r="P29" s="2902" t="s">
        <v>702</v>
      </c>
      <c r="Q29" s="2930"/>
      <c r="R29" s="1011"/>
    </row>
    <row r="30" spans="1:18" x14ac:dyDescent="0.2">
      <c r="A30" s="1009"/>
      <c r="C30" s="170" t="s">
        <v>138</v>
      </c>
      <c r="D30" s="227" t="s">
        <v>218</v>
      </c>
      <c r="E30" s="1401" t="str">
        <f>'F-LSCD-012'!I24</f>
        <v>Dosis equivalente personal, Hp(10)</v>
      </c>
      <c r="F30" s="1275"/>
      <c r="G30" s="1275"/>
      <c r="H30" s="1275"/>
      <c r="I30" s="1275"/>
      <c r="J30" s="1275"/>
      <c r="K30" s="1275"/>
      <c r="L30" s="1275"/>
      <c r="M30" s="1275"/>
      <c r="N30" s="1275"/>
      <c r="O30" s="1014"/>
      <c r="P30" s="2902"/>
      <c r="Q30" s="2930"/>
      <c r="R30" s="1011"/>
    </row>
    <row r="31" spans="1:18" ht="25.5" x14ac:dyDescent="0.2">
      <c r="A31" s="1009"/>
      <c r="C31" s="1274" t="s">
        <v>228</v>
      </c>
      <c r="D31" s="1022" t="s">
        <v>218</v>
      </c>
      <c r="E31" s="2952" t="str">
        <f>IF('F-LSCD-012'!D30="-","Temp (°C): "&amp;'F-LSCD-012'!D28&amp;"; Presión (hPa): "&amp;'F-LSCD-012'!H28&amp;"; HR(%): "&amp;'F-LSCD-012'!F28,"Temp (°C): "&amp;'F-LSCD-012'!D30&amp;"; Presión (hPa): "&amp;'F-LSCD-012'!H30&amp;"; HR(%): "&amp;'F-LSCD-012'!F30)</f>
        <v>Temp (°C): 20.2; Presión (hPa): 1010; HR(%): 52</v>
      </c>
      <c r="F31" s="2952"/>
      <c r="G31" s="2952"/>
      <c r="H31" s="2952"/>
      <c r="I31" s="2952"/>
      <c r="J31" s="2952"/>
      <c r="K31" s="2952"/>
      <c r="L31" s="2952"/>
      <c r="M31" s="2952"/>
      <c r="N31" s="2952"/>
      <c r="O31" s="1014"/>
      <c r="P31" s="2902"/>
      <c r="Q31" s="2930"/>
      <c r="R31" s="1011"/>
    </row>
    <row r="32" spans="1:18" ht="25.5" x14ac:dyDescent="0.2">
      <c r="A32" s="1009"/>
      <c r="C32" s="1273" t="s">
        <v>277</v>
      </c>
      <c r="D32" s="1280" t="s">
        <v>218</v>
      </c>
      <c r="E32" s="2912" t="str">
        <f>'F-LSCD-012'!C22</f>
        <v xml:space="preserve">Eje longitudinal del detector paralelo al eje central del haz de radiación
</v>
      </c>
      <c r="F32" s="2912"/>
      <c r="G32" s="2912"/>
      <c r="H32" s="2912"/>
      <c r="I32" s="2912"/>
      <c r="J32" s="2912"/>
      <c r="K32" s="2912"/>
      <c r="L32" s="2912"/>
      <c r="M32" s="2912"/>
      <c r="N32" s="2912"/>
      <c r="O32" s="1014"/>
      <c r="P32" s="1024"/>
      <c r="Q32" s="1025"/>
      <c r="R32" s="1011"/>
    </row>
    <row r="33" spans="1:18" x14ac:dyDescent="0.2">
      <c r="A33" s="1009"/>
      <c r="C33" s="1273" t="s">
        <v>231</v>
      </c>
      <c r="D33" s="1280" t="s">
        <v>218</v>
      </c>
      <c r="E33" s="2913" t="str">
        <f>'F-LSCD-012'!C23</f>
        <v>Centro geométrico del volumen sensible del detector</v>
      </c>
      <c r="F33" s="2913"/>
      <c r="G33" s="2913"/>
      <c r="H33" s="2913"/>
      <c r="I33" s="2913"/>
      <c r="J33" s="2913"/>
      <c r="K33" s="2913"/>
      <c r="L33" s="2913"/>
      <c r="M33" s="2913"/>
      <c r="N33" s="2913"/>
      <c r="O33" s="1014"/>
      <c r="P33" s="2906" t="s">
        <v>1247</v>
      </c>
      <c r="Q33" s="2930"/>
      <c r="R33" s="1011"/>
    </row>
    <row r="34" spans="1:18" ht="12.75" customHeight="1" x14ac:dyDescent="0.2">
      <c r="A34" s="1009"/>
      <c r="C34" s="1273" t="s">
        <v>232</v>
      </c>
      <c r="D34" s="1022" t="s">
        <v>218</v>
      </c>
      <c r="E34" s="2931">
        <f>'F-LSCD-012'!C16</f>
        <v>44336</v>
      </c>
      <c r="F34" s="2931"/>
      <c r="G34" s="2931"/>
      <c r="H34" s="1276"/>
      <c r="I34" s="1276"/>
      <c r="J34" s="1276"/>
      <c r="K34" s="1277"/>
      <c r="L34" s="1275"/>
      <c r="M34" s="1275"/>
      <c r="N34" s="1275"/>
      <c r="O34" s="1014"/>
      <c r="P34" s="2902"/>
      <c r="Q34" s="2930"/>
      <c r="R34" s="1011"/>
    </row>
    <row r="35" spans="1:18" ht="15" customHeight="1" x14ac:dyDescent="0.2">
      <c r="A35" s="1009"/>
      <c r="C35" s="1272" t="s">
        <v>257</v>
      </c>
      <c r="D35" s="1022" t="s">
        <v>218</v>
      </c>
      <c r="E35" s="2931">
        <f>'F-LSCD-012'!C18</f>
        <v>44336</v>
      </c>
      <c r="F35" s="2931"/>
      <c r="G35" s="2931"/>
      <c r="H35" s="1278"/>
      <c r="I35" s="1278"/>
      <c r="J35" s="1278"/>
      <c r="K35" s="1279"/>
      <c r="L35" s="1279"/>
      <c r="M35" s="1279"/>
      <c r="N35" s="1279"/>
      <c r="O35" s="1027"/>
      <c r="P35" s="2902"/>
      <c r="Q35" s="2930"/>
      <c r="R35" s="1011"/>
    </row>
    <row r="36" spans="1:18" ht="9" customHeight="1" x14ac:dyDescent="0.25">
      <c r="A36" s="1009"/>
      <c r="B36" s="1010"/>
      <c r="D36" s="1028"/>
      <c r="E36" s="1028"/>
      <c r="H36" s="1026"/>
      <c r="R36" s="1011"/>
    </row>
    <row r="37" spans="1:18" ht="15" customHeight="1" x14ac:dyDescent="0.2">
      <c r="A37" s="1009"/>
      <c r="B37" s="1010" t="s">
        <v>258</v>
      </c>
      <c r="C37" s="1010"/>
      <c r="D37" s="1029"/>
      <c r="E37" s="1029"/>
      <c r="F37" s="1010"/>
      <c r="G37" s="1010"/>
      <c r="H37" s="1010"/>
      <c r="I37" s="1010"/>
      <c r="J37" s="1010"/>
      <c r="R37" s="1011"/>
    </row>
    <row r="38" spans="1:18" ht="3.75" customHeight="1" x14ac:dyDescent="0.2">
      <c r="A38" s="1009"/>
      <c r="D38" s="1028"/>
      <c r="E38" s="1030"/>
      <c r="R38" s="1011"/>
    </row>
    <row r="39" spans="1:18" ht="15" customHeight="1" x14ac:dyDescent="0.2">
      <c r="A39" s="1009"/>
      <c r="C39" s="3138" t="str">
        <f>IF('F-LSCD-012'!I24="Tasa de dosis equivalente ambiental, H*(10)","VCV de la tasa de dosis equivalente ambiental H*(10) (µSv/h)",IF('F-LSCD-012'!I24="Dosis equivalente personal, Hp(10)","VCV de la dosis equivalente personal Hp(10) (µSv)",IF('F-LSCD-012'!I24="Dosis equivalente personal, Hp(0,07)","VCV de la dosis equivalente personal Hp(0,07) (µSv)",IF('F-LSCD-012'!I24="Dosis absorbida, D(10)","VCV de la dosis absorbida D(10) (mGy)"))))</f>
        <v>VCV de la dosis equivalente personal Hp(10) (µSv)</v>
      </c>
      <c r="D39" s="2890"/>
      <c r="E39" s="3139" t="s">
        <v>948</v>
      </c>
      <c r="F39" s="3139"/>
      <c r="G39" s="3139" t="s">
        <v>117</v>
      </c>
      <c r="H39" s="3140"/>
      <c r="I39" s="2853" t="s">
        <v>204</v>
      </c>
      <c r="J39" s="2857"/>
      <c r="K39" s="2866" t="s">
        <v>801</v>
      </c>
      <c r="L39" s="2868"/>
      <c r="M39" s="2940" t="s">
        <v>259</v>
      </c>
      <c r="N39" s="2941"/>
      <c r="O39" s="2942"/>
      <c r="R39" s="1011"/>
    </row>
    <row r="40" spans="1:18" ht="22.5" customHeight="1" x14ac:dyDescent="0.2">
      <c r="A40" s="1009"/>
      <c r="C40" s="2936"/>
      <c r="D40" s="2937"/>
      <c r="E40" s="3139"/>
      <c r="F40" s="3139"/>
      <c r="G40" s="3140"/>
      <c r="H40" s="3140"/>
      <c r="I40" s="2855"/>
      <c r="J40" s="2858"/>
      <c r="K40" s="2938"/>
      <c r="L40" s="2939"/>
      <c r="M40" s="2943"/>
      <c r="N40" s="2944"/>
      <c r="O40" s="2945"/>
      <c r="P40" s="1031"/>
      <c r="Q40" s="1031"/>
      <c r="R40" s="1011"/>
    </row>
    <row r="41" spans="1:18" x14ac:dyDescent="0.2">
      <c r="A41" s="1009"/>
      <c r="C41" s="2851">
        <f>'F-LSCD-012'!A34</f>
        <v>25000</v>
      </c>
      <c r="D41" s="2851"/>
      <c r="E41" s="2965">
        <f>'F-LSCD-012'!O34</f>
        <v>2474</v>
      </c>
      <c r="F41" s="2966"/>
      <c r="G41" s="2850" t="str">
        <f>IF('F-LSCD-012'!N35="-",'F-LSCD-012'!N34,'F-LSCD-012'!N35)</f>
        <v>mrem</v>
      </c>
      <c r="H41" s="2920"/>
      <c r="I41" s="3137" t="str">
        <f>'F-LSCD-004'!$H$10</f>
        <v>0°</v>
      </c>
      <c r="J41" s="2920"/>
      <c r="K41" s="2934">
        <f>IF('F-LSCD-012'!R35="-",'F-LSCD-012'!R34,'F-LSCD-012'!R35)</f>
        <v>1.0105092966855296</v>
      </c>
      <c r="L41" s="2935"/>
      <c r="M41" s="2847">
        <f>IF('F-LSCD-012'!O35="-",'F-LSCD-012'!T34,'F-LSCD-012'!T35)</f>
        <v>4.4999999999999998E-2</v>
      </c>
      <c r="N41" s="2847"/>
      <c r="O41" s="2847"/>
      <c r="P41" s="1032"/>
      <c r="Q41" s="1032"/>
      <c r="R41" s="1011"/>
    </row>
    <row r="42" spans="1:18" x14ac:dyDescent="0.2">
      <c r="A42" s="1009"/>
      <c r="C42" s="2851" t="str">
        <f>'F-LSCD-012'!A36</f>
        <v>-</v>
      </c>
      <c r="D42" s="2851"/>
      <c r="E42" s="2927" t="str">
        <f>'F-LSCD-012'!O36</f>
        <v>-</v>
      </c>
      <c r="F42" s="2928"/>
      <c r="G42" s="2850" t="str">
        <f>IF('F-LSCD-012'!N37="-",'F-LSCD-012'!N36,'F-LSCD-012'!N37)</f>
        <v>-</v>
      </c>
      <c r="H42" s="2920"/>
      <c r="I42" s="3136" t="str">
        <f>'F-LSCD-004'!$H$10</f>
        <v>0°</v>
      </c>
      <c r="J42" s="2920"/>
      <c r="K42" s="2850" t="str">
        <f>IF('F-LSCD-012'!R37="-",'F-LSCD-012'!R36,'F-LSCD-012'!R37)</f>
        <v>-</v>
      </c>
      <c r="L42" s="2850"/>
      <c r="M42" s="2847" t="str">
        <f>IF('F-LSCD-012'!O37="-",'F-LSCD-012'!T36,'F-LSCD-012'!T37)</f>
        <v>-</v>
      </c>
      <c r="N42" s="2847"/>
      <c r="O42" s="2847"/>
      <c r="P42" s="1032"/>
      <c r="Q42" s="1032"/>
      <c r="R42" s="1011"/>
    </row>
    <row r="43" spans="1:18" x14ac:dyDescent="0.2">
      <c r="A43" s="1009"/>
      <c r="C43" s="2851" t="str">
        <f>'F-LSCD-012'!A38</f>
        <v>-</v>
      </c>
      <c r="D43" s="2851"/>
      <c r="E43" s="2934" t="str">
        <f>'F-LSCD-012'!O38</f>
        <v>-</v>
      </c>
      <c r="F43" s="2935"/>
      <c r="G43" s="2850" t="str">
        <f>IF('F-LSCD-012'!N39="-",'F-LSCD-012'!N38,'F-LSCD-012'!N39)</f>
        <v>-</v>
      </c>
      <c r="H43" s="2850"/>
      <c r="I43" s="3136" t="str">
        <f>'F-LSCD-004'!$H$10</f>
        <v>0°</v>
      </c>
      <c r="J43" s="2920"/>
      <c r="K43" s="2850" t="str">
        <f>IF('F-LSCD-012'!R39="-",'F-LSCD-012'!R38,'F-LSCD-012'!R39)</f>
        <v>-</v>
      </c>
      <c r="L43" s="2850"/>
      <c r="M43" s="2847" t="str">
        <f>IF('F-LSCD-012'!O39="-",'F-LSCD-012'!T38,'F-LSCD-012'!T39)</f>
        <v>-</v>
      </c>
      <c r="N43" s="2847"/>
      <c r="O43" s="2847"/>
      <c r="P43" s="199"/>
      <c r="Q43" s="1032"/>
      <c r="R43" s="1011"/>
    </row>
    <row r="44" spans="1:18" hidden="1" x14ac:dyDescent="0.2">
      <c r="A44" s="1009"/>
      <c r="C44" s="2851" t="str">
        <f>'F-LSCD-012'!A40</f>
        <v>-</v>
      </c>
      <c r="D44" s="2851"/>
      <c r="E44" s="2921" t="str">
        <f>'F-LSCD-012'!O40</f>
        <v>-</v>
      </c>
      <c r="F44" s="2922"/>
      <c r="G44" s="2850" t="str">
        <f>IF('F-LSCD-012'!N41="-",'F-LSCD-012'!N40,'F-LSCD-012'!N41)</f>
        <v>-</v>
      </c>
      <c r="H44" s="2850"/>
      <c r="I44" s="3136" t="str">
        <f>'F-LSCD-004'!$H$10</f>
        <v>0°</v>
      </c>
      <c r="J44" s="2920"/>
      <c r="K44" s="2850" t="str">
        <f>IF('F-LSCD-012'!R41="-",'F-LSCD-012'!R40,'F-LSCD-012'!R41)</f>
        <v>-</v>
      </c>
      <c r="L44" s="2850"/>
      <c r="M44" s="2847" t="str">
        <f>IF('F-LSCD-012'!O41="-",'F-LSCD-012'!T40,'F-LSCD-012'!T41)</f>
        <v>-</v>
      </c>
      <c r="N44" s="2847"/>
      <c r="O44" s="2847"/>
      <c r="P44" s="1032"/>
      <c r="Q44" s="1032"/>
      <c r="R44" s="1011"/>
    </row>
    <row r="45" spans="1:18" hidden="1" x14ac:dyDescent="0.2">
      <c r="A45" s="1009"/>
      <c r="C45" s="2851" t="str">
        <f>'F-LSCD-012'!A42</f>
        <v>-</v>
      </c>
      <c r="D45" s="2851"/>
      <c r="E45" s="2960" t="str">
        <f>'F-LSCD-012'!O42</f>
        <v>-</v>
      </c>
      <c r="F45" s="2961"/>
      <c r="G45" s="2850" t="str">
        <f>IF('F-LSCD-012'!N43="-",'F-LSCD-012'!N42,'F-LSCD-012'!N43)</f>
        <v>-</v>
      </c>
      <c r="H45" s="2850"/>
      <c r="I45" s="3136" t="str">
        <f>'F-LSCD-004'!$H$10</f>
        <v>0°</v>
      </c>
      <c r="J45" s="2920"/>
      <c r="K45" s="2850" t="str">
        <f>IF('F-LSCD-012'!R43="-",'F-LSCD-012'!R42,'F-LSCD-012'!R43)</f>
        <v>-</v>
      </c>
      <c r="L45" s="2850"/>
      <c r="M45" s="2847" t="str">
        <f>IF('F-LSCD-012'!O43="-",'F-LSCD-012'!T42,'F-LSCD-012'!T43)</f>
        <v>-</v>
      </c>
      <c r="N45" s="2847"/>
      <c r="O45" s="2847"/>
      <c r="P45" s="1032"/>
      <c r="Q45" s="1032"/>
      <c r="R45" s="1011"/>
    </row>
    <row r="46" spans="1:18" hidden="1" x14ac:dyDescent="0.2">
      <c r="A46" s="1009"/>
      <c r="C46" s="2851" t="str">
        <f>'F-LSCD-012'!A44</f>
        <v>-</v>
      </c>
      <c r="D46" s="2851"/>
      <c r="E46" s="2965" t="str">
        <f>'F-LSCD-012'!O44</f>
        <v>-</v>
      </c>
      <c r="F46" s="2966"/>
      <c r="G46" s="2850" t="str">
        <f>IF('F-LSCD-012'!N45="-",'F-LSCD-012'!N44,'F-LSCD-012'!N45)</f>
        <v>-</v>
      </c>
      <c r="H46" s="2850"/>
      <c r="I46" s="3136" t="str">
        <f>'F-LSCD-004'!$H$10</f>
        <v>0°</v>
      </c>
      <c r="J46" s="2920"/>
      <c r="K46" s="2850" t="str">
        <f>IF('F-LSCD-012'!R45="-",'F-LSCD-012'!R44,'F-LSCD-012'!R45)</f>
        <v>-</v>
      </c>
      <c r="L46" s="2850"/>
      <c r="M46" s="2847" t="str">
        <f>IF('F-LSCD-012'!O45="-",'F-LSCD-012'!T44,'F-LSCD-012'!T45)</f>
        <v>-</v>
      </c>
      <c r="N46" s="2847"/>
      <c r="O46" s="2847"/>
      <c r="P46" s="1032"/>
      <c r="Q46" s="1032"/>
      <c r="R46" s="1011"/>
    </row>
    <row r="47" spans="1:18" hidden="1" x14ac:dyDescent="0.2">
      <c r="A47" s="1009"/>
      <c r="C47" s="2851" t="str">
        <f>'F-LSCD-012'!A46</f>
        <v>-</v>
      </c>
      <c r="D47" s="2851"/>
      <c r="E47" s="2965" t="str">
        <f>'F-LSCD-012'!O46</f>
        <v>-</v>
      </c>
      <c r="F47" s="2966"/>
      <c r="G47" s="2850" t="str">
        <f>IF('F-LSCD-012'!N47="-",'F-LSCD-012'!N46,'F-LSCD-012'!N47)</f>
        <v>-</v>
      </c>
      <c r="H47" s="2850"/>
      <c r="I47" s="3136" t="str">
        <f>'F-LSCD-004'!$H$10</f>
        <v>0°</v>
      </c>
      <c r="J47" s="2920"/>
      <c r="K47" s="2850" t="str">
        <f>IF('F-LSCD-012'!R47="-",'F-LSCD-012'!R46,'F-LSCD-012'!R47)</f>
        <v>-</v>
      </c>
      <c r="L47" s="2850"/>
      <c r="M47" s="2847" t="str">
        <f>IF('F-LSCD-012'!O47="-",'F-LSCD-012'!T46,'F-LSCD-012'!T47)</f>
        <v>-</v>
      </c>
      <c r="N47" s="2847"/>
      <c r="O47" s="2847"/>
      <c r="P47" s="1385"/>
      <c r="Q47" s="1032"/>
      <c r="R47" s="1011"/>
    </row>
    <row r="48" spans="1:18" hidden="1" x14ac:dyDescent="0.2">
      <c r="A48" s="1009"/>
      <c r="C48" s="2851" t="str">
        <f>'F-LSCD-012'!A48</f>
        <v>-</v>
      </c>
      <c r="D48" s="2851"/>
      <c r="E48" s="2934" t="str">
        <f>'F-LSCD-012'!O48</f>
        <v>-</v>
      </c>
      <c r="F48" s="2935"/>
      <c r="G48" s="2850" t="str">
        <f>IF('F-LSCD-012'!N49="-",'F-LSCD-012'!N48,'F-LSCD-012'!N49)</f>
        <v>-</v>
      </c>
      <c r="H48" s="2850"/>
      <c r="I48" s="3136" t="str">
        <f>'F-LSCD-004'!$H$10</f>
        <v>0°</v>
      </c>
      <c r="J48" s="2920"/>
      <c r="K48" s="2850" t="str">
        <f>IF('F-LSCD-012'!R49="-",'F-LSCD-012'!R48,'F-LSCD-012'!R49)</f>
        <v>-</v>
      </c>
      <c r="L48" s="2850"/>
      <c r="M48" s="2847" t="str">
        <f>IF('F-LSCD-012'!O49="-",'F-LSCD-012'!T48,'F-LSCD-012'!T49)</f>
        <v>-</v>
      </c>
      <c r="N48" s="2847"/>
      <c r="O48" s="2847"/>
      <c r="P48" s="1032"/>
      <c r="Q48" s="1032"/>
      <c r="R48" s="1011"/>
    </row>
    <row r="49" spans="1:19" hidden="1" x14ac:dyDescent="0.2">
      <c r="A49" s="1009"/>
      <c r="C49" s="2851" t="str">
        <f>'F-LSCD-012'!A50</f>
        <v>-</v>
      </c>
      <c r="D49" s="2851"/>
      <c r="E49" s="2934" t="str">
        <f>'F-LSCD-012'!O50</f>
        <v>-</v>
      </c>
      <c r="F49" s="2935"/>
      <c r="G49" s="2850" t="str">
        <f>IF('F-LSCD-012'!N51="-",'F-LSCD-012'!N50,'F-LSCD-012'!N51)</f>
        <v>-</v>
      </c>
      <c r="H49" s="2850"/>
      <c r="I49" s="3136" t="str">
        <f>'F-LSCD-004'!$H$10</f>
        <v>0°</v>
      </c>
      <c r="J49" s="2920"/>
      <c r="K49" s="2850" t="str">
        <f>IF('F-LSCD-012'!R51="-",'F-LSCD-012'!R50,'F-LSCD-012'!R51)</f>
        <v>-</v>
      </c>
      <c r="L49" s="2850"/>
      <c r="M49" s="2847" t="str">
        <f>IF('F-LSCD-012'!O51="-",'F-LSCD-012'!T50,'F-LSCD-012'!T51)</f>
        <v>-</v>
      </c>
      <c r="N49" s="2847"/>
      <c r="O49" s="2847"/>
      <c r="P49" s="1032"/>
      <c r="Q49" s="1032"/>
      <c r="R49" s="1011"/>
    </row>
    <row r="50" spans="1:19" hidden="1" x14ac:dyDescent="0.2">
      <c r="A50" s="1009"/>
      <c r="C50" s="2851" t="str">
        <f>'F-LSCD-012'!A52</f>
        <v>-</v>
      </c>
      <c r="D50" s="2851"/>
      <c r="E50" s="2934" t="str">
        <f>'F-LSCD-012'!O52</f>
        <v>-</v>
      </c>
      <c r="F50" s="2935"/>
      <c r="G50" s="2850" t="str">
        <f>IF('F-LSCD-012'!N53="-",'F-LSCD-012'!N52,'F-LSCD-012'!N53)</f>
        <v>-</v>
      </c>
      <c r="H50" s="2850"/>
      <c r="I50" s="3136" t="str">
        <f>'F-LSCD-004'!$H$10</f>
        <v>0°</v>
      </c>
      <c r="J50" s="2920"/>
      <c r="K50" s="2850" t="str">
        <f>IF('F-LSCD-012'!R53="-",'F-LSCD-012'!R52,'F-LSCD-012'!R53)</f>
        <v>-</v>
      </c>
      <c r="L50" s="2850"/>
      <c r="M50" s="2847" t="str">
        <f>IF('F-LSCD-012'!O53="-",'F-LSCD-012'!T52,'F-LSCD-012'!T53)</f>
        <v>-</v>
      </c>
      <c r="N50" s="2847"/>
      <c r="O50" s="2847"/>
      <c r="P50" s="1032"/>
      <c r="Q50" s="1032"/>
      <c r="R50" s="1011"/>
    </row>
    <row r="51" spans="1:19" hidden="1" x14ac:dyDescent="0.2">
      <c r="A51" s="1009"/>
      <c r="C51" s="2851" t="str">
        <f>'F-LSCD-012'!A54</f>
        <v>-</v>
      </c>
      <c r="D51" s="2851"/>
      <c r="E51" s="2934" t="str">
        <f>'F-LSCD-012'!O54</f>
        <v>-</v>
      </c>
      <c r="F51" s="2935"/>
      <c r="G51" s="2850" t="str">
        <f>IF('F-LSCD-012'!N55="-",'F-LSCD-012'!N54,'F-LSCD-012'!N55)</f>
        <v>-</v>
      </c>
      <c r="H51" s="2850"/>
      <c r="I51" s="3136" t="str">
        <f>'F-LSCD-004'!$H$10</f>
        <v>0°</v>
      </c>
      <c r="J51" s="2920"/>
      <c r="K51" s="2850" t="str">
        <f>IF('F-LSCD-012'!R55="-",'F-LSCD-012'!R54,'F-LSCD-012'!R55)</f>
        <v>-</v>
      </c>
      <c r="L51" s="2850"/>
      <c r="M51" s="2847" t="str">
        <f>IF('F-LSCD-012'!O55="-",'F-LSCD-012'!T54,'F-LSCD-012'!T55)</f>
        <v>-</v>
      </c>
      <c r="N51" s="2847"/>
      <c r="O51" s="2847"/>
      <c r="P51" s="1032"/>
      <c r="Q51" s="1032"/>
      <c r="R51" s="1011"/>
    </row>
    <row r="52" spans="1:19" hidden="1" x14ac:dyDescent="0.2">
      <c r="A52" s="1009"/>
      <c r="C52" s="2851" t="str">
        <f>'F-LSCD-012'!A56</f>
        <v>-</v>
      </c>
      <c r="D52" s="2851"/>
      <c r="E52" s="2934" t="str">
        <f>'F-LSCD-012'!O56</f>
        <v>-</v>
      </c>
      <c r="F52" s="2935"/>
      <c r="G52" s="2850" t="str">
        <f>IF('F-LSCD-012'!N57="-",'F-LSCD-012'!N56,'F-LSCD-012'!N57)</f>
        <v>-</v>
      </c>
      <c r="H52" s="2850"/>
      <c r="I52" s="3136" t="str">
        <f>'F-LSCD-004'!$H$10</f>
        <v>0°</v>
      </c>
      <c r="J52" s="2920"/>
      <c r="K52" s="2850" t="str">
        <f>IF('F-LSCD-012'!R57="-",'F-LSCD-012'!R56,'F-LSCD-012'!R57)</f>
        <v>-</v>
      </c>
      <c r="L52" s="2850"/>
      <c r="M52" s="2847" t="str">
        <f>IF('F-LSCD-012'!O57="-",'F-LSCD-012'!T56,'F-LSCD-012'!T57)</f>
        <v>-</v>
      </c>
      <c r="N52" s="2847"/>
      <c r="O52" s="2847"/>
      <c r="P52" s="1032"/>
      <c r="Q52" s="1032"/>
      <c r="R52" s="1011"/>
    </row>
    <row r="53" spans="1:19" x14ac:dyDescent="0.2">
      <c r="A53" s="1009"/>
      <c r="C53" s="1033" t="str">
        <f>IF(K41="-","","VCV = Valor convencionalmente verdadero = "&amp;"Lectura del dosímetro x FC")</f>
        <v>VCV = Valor convencionalmente verdadero = Lectura del dosímetro x FC</v>
      </c>
      <c r="D53" s="1033"/>
      <c r="E53" s="1033"/>
      <c r="F53" s="1033"/>
      <c r="G53" s="1034"/>
      <c r="H53" s="1034"/>
      <c r="I53" s="1034"/>
      <c r="J53" s="1034"/>
      <c r="N53" s="1010"/>
      <c r="O53" s="1010"/>
      <c r="P53" s="1010"/>
      <c r="Q53" s="1010"/>
      <c r="R53" s="1011"/>
    </row>
    <row r="54" spans="1:19" x14ac:dyDescent="0.2">
      <c r="A54" s="1009"/>
      <c r="C54" s="1014" t="str">
        <f>IF(K41="-","","Promedio FC = "&amp;TEXT(AVERAGE(K41:L43),"#0,##"))</f>
        <v>Promedio FC = 01</v>
      </c>
      <c r="D54" s="1262"/>
      <c r="E54" s="1262"/>
      <c r="F54" s="1262"/>
      <c r="G54" s="1262"/>
      <c r="H54" s="1262"/>
      <c r="I54" s="1262"/>
      <c r="J54" s="1262"/>
      <c r="K54" s="1262"/>
      <c r="L54" s="1262"/>
      <c r="M54" s="1262"/>
      <c r="N54" s="1262"/>
      <c r="O54" s="1262"/>
      <c r="P54" s="1262"/>
      <c r="Q54" s="1262"/>
      <c r="R54" s="1011"/>
    </row>
    <row r="55" spans="1:19" x14ac:dyDescent="0.2">
      <c r="A55" s="1009"/>
      <c r="C55" s="180" t="str">
        <f>IF(OR(G41="mR",G42="mR",G43="mR",G44="mR",G45="mR"),"Dosímetro calibrado asumiendo que: "&amp;'Datos varios'!B120&amp;" "&amp;'Datos varios'!C120&amp;" es equivalente a "&amp;'Datos varios'!E120&amp;" "&amp;'Datos varios'!F120,IF(OR(G41="mrem",G42="mrem",G43="mrem",G44="mrem",G45="mrem"),"Dosímetro calibrado asumiendo que: "&amp;'Datos varios'!B123&amp;" "&amp;'Datos varios'!C123&amp;" es equivalente a "&amp;'Datos varios'!E123&amp;" "&amp;'Datos varios'!F123,""))</f>
        <v>Dosímetro calibrado asumiendo que: 1 mrem/h es equivalente a 10 µSv/h</v>
      </c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011"/>
    </row>
    <row r="56" spans="1:19" x14ac:dyDescent="0.2">
      <c r="A56" s="1009"/>
      <c r="C56" s="180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011"/>
    </row>
    <row r="57" spans="1:19" x14ac:dyDescent="0.2">
      <c r="A57" s="1009"/>
      <c r="C57" s="180"/>
      <c r="D57" s="1262"/>
      <c r="E57" s="1262"/>
      <c r="F57" s="1262"/>
      <c r="G57" s="1262"/>
      <c r="H57" s="1262"/>
      <c r="I57" s="1262"/>
      <c r="J57" s="1262"/>
      <c r="K57" s="1262"/>
      <c r="L57" s="1262"/>
      <c r="M57" s="1262"/>
      <c r="N57" s="1262"/>
      <c r="O57" s="1262"/>
      <c r="P57" s="1262"/>
      <c r="Q57" s="1262"/>
      <c r="R57" s="1011"/>
    </row>
    <row r="58" spans="1:19" ht="32.25" customHeight="1" x14ac:dyDescent="0.2">
      <c r="A58" s="1009"/>
      <c r="C58" s="1411">
        <f>'F-LSCD-012'!C26</f>
        <v>44336</v>
      </c>
      <c r="G58" s="1430"/>
      <c r="H58" s="1430"/>
      <c r="I58" s="1430"/>
      <c r="J58" s="2917"/>
      <c r="K58" s="2917"/>
      <c r="L58" s="2917"/>
      <c r="M58" s="2917"/>
      <c r="N58" s="2917"/>
      <c r="O58" s="2917"/>
      <c r="P58" s="2917"/>
      <c r="Q58" s="1010"/>
      <c r="R58" s="1011"/>
    </row>
    <row r="59" spans="1:19" ht="51" customHeight="1" x14ac:dyDescent="0.2">
      <c r="A59" s="1009"/>
      <c r="G59" s="1035"/>
      <c r="H59" s="1035"/>
      <c r="I59" s="1035"/>
      <c r="J59" s="2886"/>
      <c r="K59" s="2886"/>
      <c r="L59" s="2886"/>
      <c r="M59" s="2886"/>
      <c r="N59" s="2886"/>
      <c r="O59" s="2886"/>
      <c r="P59" s="2886"/>
      <c r="Q59" s="1020"/>
      <c r="R59" s="1011"/>
    </row>
    <row r="60" spans="1:19" ht="15" customHeight="1" x14ac:dyDescent="0.2">
      <c r="A60" s="1009"/>
      <c r="B60" s="1033"/>
      <c r="C60" s="1873" t="s">
        <v>1245</v>
      </c>
      <c r="G60" s="1035"/>
      <c r="H60" s="1035"/>
      <c r="I60" s="1035"/>
      <c r="J60" s="2862"/>
      <c r="K60" s="2862"/>
      <c r="L60" s="2862"/>
      <c r="M60" s="2862"/>
      <c r="N60" s="2862"/>
      <c r="O60" s="2862"/>
      <c r="P60" s="2862"/>
      <c r="Q60" s="1020"/>
      <c r="R60" s="1011"/>
    </row>
    <row r="61" spans="1:19" ht="3" customHeight="1" thickBot="1" x14ac:dyDescent="0.25">
      <c r="A61" s="1036"/>
      <c r="B61" s="1037"/>
      <c r="C61" s="1037"/>
      <c r="D61" s="1037"/>
      <c r="E61" s="1037"/>
      <c r="F61" s="1037"/>
      <c r="G61" s="1037"/>
      <c r="H61" s="1037"/>
      <c r="I61" s="1037"/>
      <c r="J61" s="1037"/>
      <c r="K61" s="1037"/>
      <c r="L61" s="1037"/>
      <c r="M61" s="1037"/>
      <c r="N61" s="1037"/>
      <c r="O61" s="1037"/>
      <c r="P61" s="1037"/>
      <c r="Q61" s="1037"/>
      <c r="R61" s="1038"/>
    </row>
    <row r="62" spans="1:19" ht="15.75" thickTop="1" x14ac:dyDescent="0.25">
      <c r="A62" s="3022" t="s">
        <v>957</v>
      </c>
      <c r="B62" s="2864"/>
      <c r="C62" s="2864"/>
      <c r="D62" s="2864"/>
      <c r="E62" s="2864"/>
      <c r="F62" s="2864"/>
      <c r="G62" s="2864"/>
      <c r="H62" s="2864"/>
      <c r="I62" s="2864"/>
      <c r="J62" s="2864"/>
      <c r="K62" s="2864"/>
      <c r="L62" s="2864"/>
      <c r="M62" s="2864"/>
      <c r="N62" s="2864"/>
      <c r="O62" s="2864"/>
      <c r="P62" s="2864"/>
      <c r="Q62" s="2864"/>
      <c r="R62" s="2865"/>
    </row>
    <row r="63" spans="1:19" ht="11.25" customHeight="1" thickBot="1" x14ac:dyDescent="0.25">
      <c r="A63" s="2859" t="s">
        <v>810</v>
      </c>
      <c r="B63" s="2860"/>
      <c r="C63" s="2860"/>
      <c r="D63" s="2860"/>
      <c r="E63" s="2860"/>
      <c r="F63" s="2860"/>
      <c r="G63" s="2860"/>
      <c r="H63" s="2860"/>
      <c r="I63" s="2860"/>
      <c r="J63" s="2860"/>
      <c r="K63" s="2860"/>
      <c r="L63" s="2860"/>
      <c r="M63" s="2860"/>
      <c r="N63" s="2860"/>
      <c r="O63" s="2860"/>
      <c r="P63" s="2860"/>
      <c r="Q63" s="2860"/>
      <c r="R63" s="2861"/>
      <c r="S63" s="1039"/>
    </row>
    <row r="64" spans="1:19" x14ac:dyDescent="0.2">
      <c r="A64" s="1356" t="s">
        <v>907</v>
      </c>
      <c r="B64" s="163"/>
      <c r="Q64" s="1357" t="e">
        <f>A4&amp;" "&amp;A5</f>
        <v>#REF!</v>
      </c>
    </row>
  </sheetData>
  <autoFilter ref="C39:O55" xr:uid="{00000000-0009-0000-0000-00002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1" showButton="0"/>
  </autoFilter>
  <mergeCells count="107">
    <mergeCell ref="A2:R3"/>
    <mergeCell ref="A4:R4"/>
    <mergeCell ref="A5:R5"/>
    <mergeCell ref="A6:R6"/>
    <mergeCell ref="A7:R7"/>
    <mergeCell ref="A8:R8"/>
    <mergeCell ref="E28:N28"/>
    <mergeCell ref="P29:Q31"/>
    <mergeCell ref="E31:N31"/>
    <mergeCell ref="E32:N32"/>
    <mergeCell ref="E33:N33"/>
    <mergeCell ref="P33:Q35"/>
    <mergeCell ref="E34:G34"/>
    <mergeCell ref="E35:G35"/>
    <mergeCell ref="P12:Q17"/>
    <mergeCell ref="E13:N13"/>
    <mergeCell ref="E18:N18"/>
    <mergeCell ref="E19:N19"/>
    <mergeCell ref="E20:N20"/>
    <mergeCell ref="P20:Q28"/>
    <mergeCell ref="E21:N21"/>
    <mergeCell ref="E22:N22"/>
    <mergeCell ref="E23:N24"/>
    <mergeCell ref="E27:N27"/>
    <mergeCell ref="C41:D41"/>
    <mergeCell ref="E41:F41"/>
    <mergeCell ref="G41:H41"/>
    <mergeCell ref="I41:J41"/>
    <mergeCell ref="K41:L41"/>
    <mergeCell ref="M41:O41"/>
    <mergeCell ref="C39:D40"/>
    <mergeCell ref="K39:L40"/>
    <mergeCell ref="M39:O40"/>
    <mergeCell ref="E39:F40"/>
    <mergeCell ref="G39:H40"/>
    <mergeCell ref="I39:J40"/>
    <mergeCell ref="C43:D43"/>
    <mergeCell ref="E43:F43"/>
    <mergeCell ref="G43:H43"/>
    <mergeCell ref="I43:J43"/>
    <mergeCell ref="K43:L43"/>
    <mergeCell ref="M43:O43"/>
    <mergeCell ref="C42:D42"/>
    <mergeCell ref="E42:F42"/>
    <mergeCell ref="G42:H42"/>
    <mergeCell ref="I42:J42"/>
    <mergeCell ref="K42:L42"/>
    <mergeCell ref="M42:O42"/>
    <mergeCell ref="C45:D45"/>
    <mergeCell ref="E45:F45"/>
    <mergeCell ref="G45:H45"/>
    <mergeCell ref="I45:J45"/>
    <mergeCell ref="K45:L45"/>
    <mergeCell ref="M45:O45"/>
    <mergeCell ref="C44:D44"/>
    <mergeCell ref="E44:F44"/>
    <mergeCell ref="G44:H44"/>
    <mergeCell ref="I44:J44"/>
    <mergeCell ref="K44:L44"/>
    <mergeCell ref="M44:O44"/>
    <mergeCell ref="C47:D47"/>
    <mergeCell ref="E47:F47"/>
    <mergeCell ref="G47:H47"/>
    <mergeCell ref="I47:J47"/>
    <mergeCell ref="K47:L47"/>
    <mergeCell ref="M47:O47"/>
    <mergeCell ref="C46:D46"/>
    <mergeCell ref="E46:F46"/>
    <mergeCell ref="G46:H46"/>
    <mergeCell ref="I46:J46"/>
    <mergeCell ref="K46:L46"/>
    <mergeCell ref="M46:O46"/>
    <mergeCell ref="C49:D49"/>
    <mergeCell ref="E49:F49"/>
    <mergeCell ref="G49:H49"/>
    <mergeCell ref="I49:J49"/>
    <mergeCell ref="K49:L49"/>
    <mergeCell ref="M49:O49"/>
    <mergeCell ref="C48:D48"/>
    <mergeCell ref="E48:F48"/>
    <mergeCell ref="G48:H48"/>
    <mergeCell ref="I48:J48"/>
    <mergeCell ref="K48:L48"/>
    <mergeCell ref="M48:O48"/>
    <mergeCell ref="C51:D51"/>
    <mergeCell ref="E51:F51"/>
    <mergeCell ref="G51:H51"/>
    <mergeCell ref="I51:J51"/>
    <mergeCell ref="K51:L51"/>
    <mergeCell ref="M51:O51"/>
    <mergeCell ref="C50:D50"/>
    <mergeCell ref="E50:F50"/>
    <mergeCell ref="G50:H50"/>
    <mergeCell ref="I50:J50"/>
    <mergeCell ref="K50:L50"/>
    <mergeCell ref="M50:O50"/>
    <mergeCell ref="J58:P58"/>
    <mergeCell ref="J59:P59"/>
    <mergeCell ref="J60:P60"/>
    <mergeCell ref="A62:R62"/>
    <mergeCell ref="A63:R63"/>
    <mergeCell ref="C52:D52"/>
    <mergeCell ref="E52:F52"/>
    <mergeCell ref="G52:H52"/>
    <mergeCell ref="I52:J52"/>
    <mergeCell ref="K52:L52"/>
    <mergeCell ref="M52:O52"/>
  </mergeCells>
  <conditionalFormatting sqref="E29:O30 K35:O35 E35 E31:E33 O31:O33 L34:O34 E12:O12 E14:O14 E13 O13">
    <cfRule type="cellIs" dxfId="114" priority="6" operator="equal">
      <formula>0</formula>
    </cfRule>
  </conditionalFormatting>
  <conditionalFormatting sqref="E29:O30 K35:O35 E35 E31:E33 O31:O33 L34:O34 E12:O12 E14:O14 E13 O13">
    <cfRule type="containsErrors" dxfId="113" priority="5">
      <formula>ISERROR(E12)</formula>
    </cfRule>
  </conditionalFormatting>
  <conditionalFormatting sqref="P19">
    <cfRule type="cellIs" dxfId="112" priority="4" operator="equal">
      <formula>0</formula>
    </cfRule>
  </conditionalFormatting>
  <conditionalFormatting sqref="P19">
    <cfRule type="containsErrors" dxfId="111" priority="3">
      <formula>ISERROR(P19)</formula>
    </cfRule>
  </conditionalFormatting>
  <conditionalFormatting sqref="E34">
    <cfRule type="cellIs" dxfId="110" priority="2" operator="equal">
      <formula>0</formula>
    </cfRule>
  </conditionalFormatting>
  <conditionalFormatting sqref="E34">
    <cfRule type="containsErrors" dxfId="109" priority="1">
      <formula>ISERROR(E34)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64"/>
  <sheetViews>
    <sheetView view="pageLayout" topLeftCell="H29" zoomScaleNormal="100" workbookViewId="0">
      <selection activeCell="J60" sqref="J60:P60"/>
    </sheetView>
  </sheetViews>
  <sheetFormatPr baseColWidth="10" defaultColWidth="11.42578125" defaultRowHeight="12.75" x14ac:dyDescent="0.2"/>
  <cols>
    <col min="1" max="1" width="2.7109375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1.85546875" style="1008" customWidth="1"/>
    <col min="7" max="7" width="6.140625" style="1008" customWidth="1"/>
    <col min="8" max="10" width="3.5703125" style="1008" customWidth="1"/>
    <col min="11" max="11" width="3.28515625" style="1008" customWidth="1"/>
    <col min="12" max="12" width="7.7109375" style="1008" customWidth="1"/>
    <col min="13" max="13" width="3.140625" style="1008" customWidth="1"/>
    <col min="14" max="14" width="7" style="1008" customWidth="1"/>
    <col min="15" max="15" width="1" style="1008" customWidth="1"/>
    <col min="16" max="16" width="15.85546875" style="1008" customWidth="1"/>
    <col min="17" max="17" width="6.85546875" style="1008" customWidth="1"/>
    <col min="18" max="18" width="1.140625" style="1008" customWidth="1"/>
    <col min="19" max="237" width="11.42578125" style="1008"/>
    <col min="238" max="238" width="2.28515625" style="1008" customWidth="1"/>
    <col min="239" max="239" width="2.7109375" style="1008" customWidth="1"/>
    <col min="240" max="240" width="2.42578125" style="1008" customWidth="1"/>
    <col min="241" max="241" width="17.7109375" style="1008" customWidth="1"/>
    <col min="242" max="242" width="1.5703125" style="1008" customWidth="1"/>
    <col min="243" max="243" width="6.42578125" style="1008" customWidth="1"/>
    <col min="244" max="244" width="13.140625" style="1008" customWidth="1"/>
    <col min="245" max="245" width="1" style="1008" customWidth="1"/>
    <col min="246" max="246" width="19.5703125" style="1008" customWidth="1"/>
    <col min="247" max="247" width="0.85546875" style="1008" customWidth="1"/>
    <col min="248" max="248" width="14.42578125" style="1008" customWidth="1"/>
    <col min="249" max="249" width="12.85546875" style="1008" customWidth="1"/>
    <col min="250" max="250" width="6.140625" style="1008" customWidth="1"/>
    <col min="251" max="252" width="11.42578125" style="1008"/>
    <col min="253" max="253" width="15.42578125" style="1008" customWidth="1"/>
    <col min="254" max="493" width="11.42578125" style="1008"/>
    <col min="494" max="494" width="2.28515625" style="1008" customWidth="1"/>
    <col min="495" max="495" width="2.7109375" style="1008" customWidth="1"/>
    <col min="496" max="496" width="2.42578125" style="1008" customWidth="1"/>
    <col min="497" max="497" width="17.7109375" style="1008" customWidth="1"/>
    <col min="498" max="498" width="1.5703125" style="1008" customWidth="1"/>
    <col min="499" max="499" width="6.42578125" style="1008" customWidth="1"/>
    <col min="500" max="500" width="13.140625" style="1008" customWidth="1"/>
    <col min="501" max="501" width="1" style="1008" customWidth="1"/>
    <col min="502" max="502" width="19.5703125" style="1008" customWidth="1"/>
    <col min="503" max="503" width="0.85546875" style="1008" customWidth="1"/>
    <col min="504" max="504" width="14.42578125" style="1008" customWidth="1"/>
    <col min="505" max="505" width="12.85546875" style="1008" customWidth="1"/>
    <col min="506" max="506" width="6.140625" style="1008" customWidth="1"/>
    <col min="507" max="508" width="11.42578125" style="1008"/>
    <col min="509" max="509" width="15.42578125" style="1008" customWidth="1"/>
    <col min="510" max="749" width="11.42578125" style="1008"/>
    <col min="750" max="750" width="2.28515625" style="1008" customWidth="1"/>
    <col min="751" max="751" width="2.7109375" style="1008" customWidth="1"/>
    <col min="752" max="752" width="2.42578125" style="1008" customWidth="1"/>
    <col min="753" max="753" width="17.7109375" style="1008" customWidth="1"/>
    <col min="754" max="754" width="1.5703125" style="1008" customWidth="1"/>
    <col min="755" max="755" width="6.42578125" style="1008" customWidth="1"/>
    <col min="756" max="756" width="13.140625" style="1008" customWidth="1"/>
    <col min="757" max="757" width="1" style="1008" customWidth="1"/>
    <col min="758" max="758" width="19.5703125" style="1008" customWidth="1"/>
    <col min="759" max="759" width="0.85546875" style="1008" customWidth="1"/>
    <col min="760" max="760" width="14.42578125" style="1008" customWidth="1"/>
    <col min="761" max="761" width="12.85546875" style="1008" customWidth="1"/>
    <col min="762" max="762" width="6.140625" style="1008" customWidth="1"/>
    <col min="763" max="764" width="11.42578125" style="1008"/>
    <col min="765" max="765" width="15.42578125" style="1008" customWidth="1"/>
    <col min="766" max="1005" width="11.42578125" style="1008"/>
    <col min="1006" max="1006" width="2.28515625" style="1008" customWidth="1"/>
    <col min="1007" max="1007" width="2.7109375" style="1008" customWidth="1"/>
    <col min="1008" max="1008" width="2.42578125" style="1008" customWidth="1"/>
    <col min="1009" max="1009" width="17.7109375" style="1008" customWidth="1"/>
    <col min="1010" max="1010" width="1.5703125" style="1008" customWidth="1"/>
    <col min="1011" max="1011" width="6.42578125" style="1008" customWidth="1"/>
    <col min="1012" max="1012" width="13.140625" style="1008" customWidth="1"/>
    <col min="1013" max="1013" width="1" style="1008" customWidth="1"/>
    <col min="1014" max="1014" width="19.5703125" style="1008" customWidth="1"/>
    <col min="1015" max="1015" width="0.85546875" style="1008" customWidth="1"/>
    <col min="1016" max="1016" width="14.42578125" style="1008" customWidth="1"/>
    <col min="1017" max="1017" width="12.85546875" style="1008" customWidth="1"/>
    <col min="1018" max="1018" width="6.140625" style="1008" customWidth="1"/>
    <col min="1019" max="1020" width="11.42578125" style="1008"/>
    <col min="1021" max="1021" width="15.42578125" style="1008" customWidth="1"/>
    <col min="1022" max="1261" width="11.42578125" style="1008"/>
    <col min="1262" max="1262" width="2.28515625" style="1008" customWidth="1"/>
    <col min="1263" max="1263" width="2.7109375" style="1008" customWidth="1"/>
    <col min="1264" max="1264" width="2.42578125" style="1008" customWidth="1"/>
    <col min="1265" max="1265" width="17.7109375" style="1008" customWidth="1"/>
    <col min="1266" max="1266" width="1.5703125" style="1008" customWidth="1"/>
    <col min="1267" max="1267" width="6.42578125" style="1008" customWidth="1"/>
    <col min="1268" max="1268" width="13.140625" style="1008" customWidth="1"/>
    <col min="1269" max="1269" width="1" style="1008" customWidth="1"/>
    <col min="1270" max="1270" width="19.5703125" style="1008" customWidth="1"/>
    <col min="1271" max="1271" width="0.85546875" style="1008" customWidth="1"/>
    <col min="1272" max="1272" width="14.42578125" style="1008" customWidth="1"/>
    <col min="1273" max="1273" width="12.85546875" style="1008" customWidth="1"/>
    <col min="1274" max="1274" width="6.140625" style="1008" customWidth="1"/>
    <col min="1275" max="1276" width="11.42578125" style="1008"/>
    <col min="1277" max="1277" width="15.42578125" style="1008" customWidth="1"/>
    <col min="1278" max="1517" width="11.42578125" style="1008"/>
    <col min="1518" max="1518" width="2.28515625" style="1008" customWidth="1"/>
    <col min="1519" max="1519" width="2.7109375" style="1008" customWidth="1"/>
    <col min="1520" max="1520" width="2.42578125" style="1008" customWidth="1"/>
    <col min="1521" max="1521" width="17.7109375" style="1008" customWidth="1"/>
    <col min="1522" max="1522" width="1.5703125" style="1008" customWidth="1"/>
    <col min="1523" max="1523" width="6.42578125" style="1008" customWidth="1"/>
    <col min="1524" max="1524" width="13.140625" style="1008" customWidth="1"/>
    <col min="1525" max="1525" width="1" style="1008" customWidth="1"/>
    <col min="1526" max="1526" width="19.5703125" style="1008" customWidth="1"/>
    <col min="1527" max="1527" width="0.85546875" style="1008" customWidth="1"/>
    <col min="1528" max="1528" width="14.42578125" style="1008" customWidth="1"/>
    <col min="1529" max="1529" width="12.85546875" style="1008" customWidth="1"/>
    <col min="1530" max="1530" width="6.140625" style="1008" customWidth="1"/>
    <col min="1531" max="1532" width="11.42578125" style="1008"/>
    <col min="1533" max="1533" width="15.42578125" style="1008" customWidth="1"/>
    <col min="1534" max="1773" width="11.42578125" style="1008"/>
    <col min="1774" max="1774" width="2.28515625" style="1008" customWidth="1"/>
    <col min="1775" max="1775" width="2.7109375" style="1008" customWidth="1"/>
    <col min="1776" max="1776" width="2.42578125" style="1008" customWidth="1"/>
    <col min="1777" max="1777" width="17.7109375" style="1008" customWidth="1"/>
    <col min="1778" max="1778" width="1.5703125" style="1008" customWidth="1"/>
    <col min="1779" max="1779" width="6.42578125" style="1008" customWidth="1"/>
    <col min="1780" max="1780" width="13.140625" style="1008" customWidth="1"/>
    <col min="1781" max="1781" width="1" style="1008" customWidth="1"/>
    <col min="1782" max="1782" width="19.5703125" style="1008" customWidth="1"/>
    <col min="1783" max="1783" width="0.85546875" style="1008" customWidth="1"/>
    <col min="1784" max="1784" width="14.42578125" style="1008" customWidth="1"/>
    <col min="1785" max="1785" width="12.85546875" style="1008" customWidth="1"/>
    <col min="1786" max="1786" width="6.140625" style="1008" customWidth="1"/>
    <col min="1787" max="1788" width="11.42578125" style="1008"/>
    <col min="1789" max="1789" width="15.42578125" style="1008" customWidth="1"/>
    <col min="1790" max="2029" width="11.42578125" style="1008"/>
    <col min="2030" max="2030" width="2.28515625" style="1008" customWidth="1"/>
    <col min="2031" max="2031" width="2.7109375" style="1008" customWidth="1"/>
    <col min="2032" max="2032" width="2.42578125" style="1008" customWidth="1"/>
    <col min="2033" max="2033" width="17.7109375" style="1008" customWidth="1"/>
    <col min="2034" max="2034" width="1.5703125" style="1008" customWidth="1"/>
    <col min="2035" max="2035" width="6.42578125" style="1008" customWidth="1"/>
    <col min="2036" max="2036" width="13.140625" style="1008" customWidth="1"/>
    <col min="2037" max="2037" width="1" style="1008" customWidth="1"/>
    <col min="2038" max="2038" width="19.5703125" style="1008" customWidth="1"/>
    <col min="2039" max="2039" width="0.85546875" style="1008" customWidth="1"/>
    <col min="2040" max="2040" width="14.42578125" style="1008" customWidth="1"/>
    <col min="2041" max="2041" width="12.85546875" style="1008" customWidth="1"/>
    <col min="2042" max="2042" width="6.140625" style="1008" customWidth="1"/>
    <col min="2043" max="2044" width="11.42578125" style="1008"/>
    <col min="2045" max="2045" width="15.42578125" style="1008" customWidth="1"/>
    <col min="2046" max="2285" width="11.42578125" style="1008"/>
    <col min="2286" max="2286" width="2.28515625" style="1008" customWidth="1"/>
    <col min="2287" max="2287" width="2.7109375" style="1008" customWidth="1"/>
    <col min="2288" max="2288" width="2.42578125" style="1008" customWidth="1"/>
    <col min="2289" max="2289" width="17.7109375" style="1008" customWidth="1"/>
    <col min="2290" max="2290" width="1.5703125" style="1008" customWidth="1"/>
    <col min="2291" max="2291" width="6.42578125" style="1008" customWidth="1"/>
    <col min="2292" max="2292" width="13.140625" style="1008" customWidth="1"/>
    <col min="2293" max="2293" width="1" style="1008" customWidth="1"/>
    <col min="2294" max="2294" width="19.5703125" style="1008" customWidth="1"/>
    <col min="2295" max="2295" width="0.85546875" style="1008" customWidth="1"/>
    <col min="2296" max="2296" width="14.42578125" style="1008" customWidth="1"/>
    <col min="2297" max="2297" width="12.85546875" style="1008" customWidth="1"/>
    <col min="2298" max="2298" width="6.140625" style="1008" customWidth="1"/>
    <col min="2299" max="2300" width="11.42578125" style="1008"/>
    <col min="2301" max="2301" width="15.42578125" style="1008" customWidth="1"/>
    <col min="2302" max="2541" width="11.42578125" style="1008"/>
    <col min="2542" max="2542" width="2.28515625" style="1008" customWidth="1"/>
    <col min="2543" max="2543" width="2.7109375" style="1008" customWidth="1"/>
    <col min="2544" max="2544" width="2.42578125" style="1008" customWidth="1"/>
    <col min="2545" max="2545" width="17.7109375" style="1008" customWidth="1"/>
    <col min="2546" max="2546" width="1.5703125" style="1008" customWidth="1"/>
    <col min="2547" max="2547" width="6.42578125" style="1008" customWidth="1"/>
    <col min="2548" max="2548" width="13.140625" style="1008" customWidth="1"/>
    <col min="2549" max="2549" width="1" style="1008" customWidth="1"/>
    <col min="2550" max="2550" width="19.5703125" style="1008" customWidth="1"/>
    <col min="2551" max="2551" width="0.85546875" style="1008" customWidth="1"/>
    <col min="2552" max="2552" width="14.42578125" style="1008" customWidth="1"/>
    <col min="2553" max="2553" width="12.85546875" style="1008" customWidth="1"/>
    <col min="2554" max="2554" width="6.140625" style="1008" customWidth="1"/>
    <col min="2555" max="2556" width="11.42578125" style="1008"/>
    <col min="2557" max="2557" width="15.42578125" style="1008" customWidth="1"/>
    <col min="2558" max="2797" width="11.42578125" style="1008"/>
    <col min="2798" max="2798" width="2.28515625" style="1008" customWidth="1"/>
    <col min="2799" max="2799" width="2.7109375" style="1008" customWidth="1"/>
    <col min="2800" max="2800" width="2.42578125" style="1008" customWidth="1"/>
    <col min="2801" max="2801" width="17.7109375" style="1008" customWidth="1"/>
    <col min="2802" max="2802" width="1.5703125" style="1008" customWidth="1"/>
    <col min="2803" max="2803" width="6.42578125" style="1008" customWidth="1"/>
    <col min="2804" max="2804" width="13.140625" style="1008" customWidth="1"/>
    <col min="2805" max="2805" width="1" style="1008" customWidth="1"/>
    <col min="2806" max="2806" width="19.5703125" style="1008" customWidth="1"/>
    <col min="2807" max="2807" width="0.85546875" style="1008" customWidth="1"/>
    <col min="2808" max="2808" width="14.42578125" style="1008" customWidth="1"/>
    <col min="2809" max="2809" width="12.85546875" style="1008" customWidth="1"/>
    <col min="2810" max="2810" width="6.140625" style="1008" customWidth="1"/>
    <col min="2811" max="2812" width="11.42578125" style="1008"/>
    <col min="2813" max="2813" width="15.42578125" style="1008" customWidth="1"/>
    <col min="2814" max="3053" width="11.42578125" style="1008"/>
    <col min="3054" max="3054" width="2.28515625" style="1008" customWidth="1"/>
    <col min="3055" max="3055" width="2.7109375" style="1008" customWidth="1"/>
    <col min="3056" max="3056" width="2.42578125" style="1008" customWidth="1"/>
    <col min="3057" max="3057" width="17.7109375" style="1008" customWidth="1"/>
    <col min="3058" max="3058" width="1.5703125" style="1008" customWidth="1"/>
    <col min="3059" max="3059" width="6.42578125" style="1008" customWidth="1"/>
    <col min="3060" max="3060" width="13.140625" style="1008" customWidth="1"/>
    <col min="3061" max="3061" width="1" style="1008" customWidth="1"/>
    <col min="3062" max="3062" width="19.5703125" style="1008" customWidth="1"/>
    <col min="3063" max="3063" width="0.85546875" style="1008" customWidth="1"/>
    <col min="3064" max="3064" width="14.42578125" style="1008" customWidth="1"/>
    <col min="3065" max="3065" width="12.85546875" style="1008" customWidth="1"/>
    <col min="3066" max="3066" width="6.140625" style="1008" customWidth="1"/>
    <col min="3067" max="3068" width="11.42578125" style="1008"/>
    <col min="3069" max="3069" width="15.42578125" style="1008" customWidth="1"/>
    <col min="3070" max="3309" width="11.42578125" style="1008"/>
    <col min="3310" max="3310" width="2.28515625" style="1008" customWidth="1"/>
    <col min="3311" max="3311" width="2.7109375" style="1008" customWidth="1"/>
    <col min="3312" max="3312" width="2.42578125" style="1008" customWidth="1"/>
    <col min="3313" max="3313" width="17.7109375" style="1008" customWidth="1"/>
    <col min="3314" max="3314" width="1.5703125" style="1008" customWidth="1"/>
    <col min="3315" max="3315" width="6.42578125" style="1008" customWidth="1"/>
    <col min="3316" max="3316" width="13.140625" style="1008" customWidth="1"/>
    <col min="3317" max="3317" width="1" style="1008" customWidth="1"/>
    <col min="3318" max="3318" width="19.5703125" style="1008" customWidth="1"/>
    <col min="3319" max="3319" width="0.85546875" style="1008" customWidth="1"/>
    <col min="3320" max="3320" width="14.42578125" style="1008" customWidth="1"/>
    <col min="3321" max="3321" width="12.85546875" style="1008" customWidth="1"/>
    <col min="3322" max="3322" width="6.140625" style="1008" customWidth="1"/>
    <col min="3323" max="3324" width="11.42578125" style="1008"/>
    <col min="3325" max="3325" width="15.42578125" style="1008" customWidth="1"/>
    <col min="3326" max="3565" width="11.42578125" style="1008"/>
    <col min="3566" max="3566" width="2.28515625" style="1008" customWidth="1"/>
    <col min="3567" max="3567" width="2.7109375" style="1008" customWidth="1"/>
    <col min="3568" max="3568" width="2.42578125" style="1008" customWidth="1"/>
    <col min="3569" max="3569" width="17.7109375" style="1008" customWidth="1"/>
    <col min="3570" max="3570" width="1.5703125" style="1008" customWidth="1"/>
    <col min="3571" max="3571" width="6.42578125" style="1008" customWidth="1"/>
    <col min="3572" max="3572" width="13.140625" style="1008" customWidth="1"/>
    <col min="3573" max="3573" width="1" style="1008" customWidth="1"/>
    <col min="3574" max="3574" width="19.5703125" style="1008" customWidth="1"/>
    <col min="3575" max="3575" width="0.85546875" style="1008" customWidth="1"/>
    <col min="3576" max="3576" width="14.42578125" style="1008" customWidth="1"/>
    <col min="3577" max="3577" width="12.85546875" style="1008" customWidth="1"/>
    <col min="3578" max="3578" width="6.140625" style="1008" customWidth="1"/>
    <col min="3579" max="3580" width="11.42578125" style="1008"/>
    <col min="3581" max="3581" width="15.42578125" style="1008" customWidth="1"/>
    <col min="3582" max="3821" width="11.42578125" style="1008"/>
    <col min="3822" max="3822" width="2.28515625" style="1008" customWidth="1"/>
    <col min="3823" max="3823" width="2.7109375" style="1008" customWidth="1"/>
    <col min="3824" max="3824" width="2.42578125" style="1008" customWidth="1"/>
    <col min="3825" max="3825" width="17.7109375" style="1008" customWidth="1"/>
    <col min="3826" max="3826" width="1.5703125" style="1008" customWidth="1"/>
    <col min="3827" max="3827" width="6.42578125" style="1008" customWidth="1"/>
    <col min="3828" max="3828" width="13.140625" style="1008" customWidth="1"/>
    <col min="3829" max="3829" width="1" style="1008" customWidth="1"/>
    <col min="3830" max="3830" width="19.5703125" style="1008" customWidth="1"/>
    <col min="3831" max="3831" width="0.85546875" style="1008" customWidth="1"/>
    <col min="3832" max="3832" width="14.42578125" style="1008" customWidth="1"/>
    <col min="3833" max="3833" width="12.85546875" style="1008" customWidth="1"/>
    <col min="3834" max="3834" width="6.140625" style="1008" customWidth="1"/>
    <col min="3835" max="3836" width="11.42578125" style="1008"/>
    <col min="3837" max="3837" width="15.42578125" style="1008" customWidth="1"/>
    <col min="3838" max="4077" width="11.42578125" style="1008"/>
    <col min="4078" max="4078" width="2.28515625" style="1008" customWidth="1"/>
    <col min="4079" max="4079" width="2.7109375" style="1008" customWidth="1"/>
    <col min="4080" max="4080" width="2.42578125" style="1008" customWidth="1"/>
    <col min="4081" max="4081" width="17.7109375" style="1008" customWidth="1"/>
    <col min="4082" max="4082" width="1.5703125" style="1008" customWidth="1"/>
    <col min="4083" max="4083" width="6.42578125" style="1008" customWidth="1"/>
    <col min="4084" max="4084" width="13.140625" style="1008" customWidth="1"/>
    <col min="4085" max="4085" width="1" style="1008" customWidth="1"/>
    <col min="4086" max="4086" width="19.5703125" style="1008" customWidth="1"/>
    <col min="4087" max="4087" width="0.85546875" style="1008" customWidth="1"/>
    <col min="4088" max="4088" width="14.42578125" style="1008" customWidth="1"/>
    <col min="4089" max="4089" width="12.85546875" style="1008" customWidth="1"/>
    <col min="4090" max="4090" width="6.140625" style="1008" customWidth="1"/>
    <col min="4091" max="4092" width="11.42578125" style="1008"/>
    <col min="4093" max="4093" width="15.42578125" style="1008" customWidth="1"/>
    <col min="4094" max="4333" width="11.42578125" style="1008"/>
    <col min="4334" max="4334" width="2.28515625" style="1008" customWidth="1"/>
    <col min="4335" max="4335" width="2.7109375" style="1008" customWidth="1"/>
    <col min="4336" max="4336" width="2.42578125" style="1008" customWidth="1"/>
    <col min="4337" max="4337" width="17.7109375" style="1008" customWidth="1"/>
    <col min="4338" max="4338" width="1.5703125" style="1008" customWidth="1"/>
    <col min="4339" max="4339" width="6.42578125" style="1008" customWidth="1"/>
    <col min="4340" max="4340" width="13.140625" style="1008" customWidth="1"/>
    <col min="4341" max="4341" width="1" style="1008" customWidth="1"/>
    <col min="4342" max="4342" width="19.5703125" style="1008" customWidth="1"/>
    <col min="4343" max="4343" width="0.85546875" style="1008" customWidth="1"/>
    <col min="4344" max="4344" width="14.42578125" style="1008" customWidth="1"/>
    <col min="4345" max="4345" width="12.85546875" style="1008" customWidth="1"/>
    <col min="4346" max="4346" width="6.140625" style="1008" customWidth="1"/>
    <col min="4347" max="4348" width="11.42578125" style="1008"/>
    <col min="4349" max="4349" width="15.42578125" style="1008" customWidth="1"/>
    <col min="4350" max="4589" width="11.42578125" style="1008"/>
    <col min="4590" max="4590" width="2.28515625" style="1008" customWidth="1"/>
    <col min="4591" max="4591" width="2.7109375" style="1008" customWidth="1"/>
    <col min="4592" max="4592" width="2.42578125" style="1008" customWidth="1"/>
    <col min="4593" max="4593" width="17.7109375" style="1008" customWidth="1"/>
    <col min="4594" max="4594" width="1.5703125" style="1008" customWidth="1"/>
    <col min="4595" max="4595" width="6.42578125" style="1008" customWidth="1"/>
    <col min="4596" max="4596" width="13.140625" style="1008" customWidth="1"/>
    <col min="4597" max="4597" width="1" style="1008" customWidth="1"/>
    <col min="4598" max="4598" width="19.5703125" style="1008" customWidth="1"/>
    <col min="4599" max="4599" width="0.85546875" style="1008" customWidth="1"/>
    <col min="4600" max="4600" width="14.42578125" style="1008" customWidth="1"/>
    <col min="4601" max="4601" width="12.85546875" style="1008" customWidth="1"/>
    <col min="4602" max="4602" width="6.140625" style="1008" customWidth="1"/>
    <col min="4603" max="4604" width="11.42578125" style="1008"/>
    <col min="4605" max="4605" width="15.42578125" style="1008" customWidth="1"/>
    <col min="4606" max="4845" width="11.42578125" style="1008"/>
    <col min="4846" max="4846" width="2.28515625" style="1008" customWidth="1"/>
    <col min="4847" max="4847" width="2.7109375" style="1008" customWidth="1"/>
    <col min="4848" max="4848" width="2.42578125" style="1008" customWidth="1"/>
    <col min="4849" max="4849" width="17.7109375" style="1008" customWidth="1"/>
    <col min="4850" max="4850" width="1.5703125" style="1008" customWidth="1"/>
    <col min="4851" max="4851" width="6.42578125" style="1008" customWidth="1"/>
    <col min="4852" max="4852" width="13.140625" style="1008" customWidth="1"/>
    <col min="4853" max="4853" width="1" style="1008" customWidth="1"/>
    <col min="4854" max="4854" width="19.5703125" style="1008" customWidth="1"/>
    <col min="4855" max="4855" width="0.85546875" style="1008" customWidth="1"/>
    <col min="4856" max="4856" width="14.42578125" style="1008" customWidth="1"/>
    <col min="4857" max="4857" width="12.85546875" style="1008" customWidth="1"/>
    <col min="4858" max="4858" width="6.140625" style="1008" customWidth="1"/>
    <col min="4859" max="4860" width="11.42578125" style="1008"/>
    <col min="4861" max="4861" width="15.42578125" style="1008" customWidth="1"/>
    <col min="4862" max="5101" width="11.42578125" style="1008"/>
    <col min="5102" max="5102" width="2.28515625" style="1008" customWidth="1"/>
    <col min="5103" max="5103" width="2.7109375" style="1008" customWidth="1"/>
    <col min="5104" max="5104" width="2.42578125" style="1008" customWidth="1"/>
    <col min="5105" max="5105" width="17.7109375" style="1008" customWidth="1"/>
    <col min="5106" max="5106" width="1.5703125" style="1008" customWidth="1"/>
    <col min="5107" max="5107" width="6.42578125" style="1008" customWidth="1"/>
    <col min="5108" max="5108" width="13.140625" style="1008" customWidth="1"/>
    <col min="5109" max="5109" width="1" style="1008" customWidth="1"/>
    <col min="5110" max="5110" width="19.5703125" style="1008" customWidth="1"/>
    <col min="5111" max="5111" width="0.85546875" style="1008" customWidth="1"/>
    <col min="5112" max="5112" width="14.42578125" style="1008" customWidth="1"/>
    <col min="5113" max="5113" width="12.85546875" style="1008" customWidth="1"/>
    <col min="5114" max="5114" width="6.140625" style="1008" customWidth="1"/>
    <col min="5115" max="5116" width="11.42578125" style="1008"/>
    <col min="5117" max="5117" width="15.42578125" style="1008" customWidth="1"/>
    <col min="5118" max="5357" width="11.42578125" style="1008"/>
    <col min="5358" max="5358" width="2.28515625" style="1008" customWidth="1"/>
    <col min="5359" max="5359" width="2.7109375" style="1008" customWidth="1"/>
    <col min="5360" max="5360" width="2.42578125" style="1008" customWidth="1"/>
    <col min="5361" max="5361" width="17.7109375" style="1008" customWidth="1"/>
    <col min="5362" max="5362" width="1.5703125" style="1008" customWidth="1"/>
    <col min="5363" max="5363" width="6.42578125" style="1008" customWidth="1"/>
    <col min="5364" max="5364" width="13.140625" style="1008" customWidth="1"/>
    <col min="5365" max="5365" width="1" style="1008" customWidth="1"/>
    <col min="5366" max="5366" width="19.5703125" style="1008" customWidth="1"/>
    <col min="5367" max="5367" width="0.85546875" style="1008" customWidth="1"/>
    <col min="5368" max="5368" width="14.42578125" style="1008" customWidth="1"/>
    <col min="5369" max="5369" width="12.85546875" style="1008" customWidth="1"/>
    <col min="5370" max="5370" width="6.140625" style="1008" customWidth="1"/>
    <col min="5371" max="5372" width="11.42578125" style="1008"/>
    <col min="5373" max="5373" width="15.42578125" style="1008" customWidth="1"/>
    <col min="5374" max="5613" width="11.42578125" style="1008"/>
    <col min="5614" max="5614" width="2.28515625" style="1008" customWidth="1"/>
    <col min="5615" max="5615" width="2.7109375" style="1008" customWidth="1"/>
    <col min="5616" max="5616" width="2.42578125" style="1008" customWidth="1"/>
    <col min="5617" max="5617" width="17.7109375" style="1008" customWidth="1"/>
    <col min="5618" max="5618" width="1.5703125" style="1008" customWidth="1"/>
    <col min="5619" max="5619" width="6.42578125" style="1008" customWidth="1"/>
    <col min="5620" max="5620" width="13.140625" style="1008" customWidth="1"/>
    <col min="5621" max="5621" width="1" style="1008" customWidth="1"/>
    <col min="5622" max="5622" width="19.5703125" style="1008" customWidth="1"/>
    <col min="5623" max="5623" width="0.85546875" style="1008" customWidth="1"/>
    <col min="5624" max="5624" width="14.42578125" style="1008" customWidth="1"/>
    <col min="5625" max="5625" width="12.85546875" style="1008" customWidth="1"/>
    <col min="5626" max="5626" width="6.140625" style="1008" customWidth="1"/>
    <col min="5627" max="5628" width="11.42578125" style="1008"/>
    <col min="5629" max="5629" width="15.42578125" style="1008" customWidth="1"/>
    <col min="5630" max="5869" width="11.42578125" style="1008"/>
    <col min="5870" max="5870" width="2.28515625" style="1008" customWidth="1"/>
    <col min="5871" max="5871" width="2.7109375" style="1008" customWidth="1"/>
    <col min="5872" max="5872" width="2.42578125" style="1008" customWidth="1"/>
    <col min="5873" max="5873" width="17.7109375" style="1008" customWidth="1"/>
    <col min="5874" max="5874" width="1.5703125" style="1008" customWidth="1"/>
    <col min="5875" max="5875" width="6.42578125" style="1008" customWidth="1"/>
    <col min="5876" max="5876" width="13.140625" style="1008" customWidth="1"/>
    <col min="5877" max="5877" width="1" style="1008" customWidth="1"/>
    <col min="5878" max="5878" width="19.5703125" style="1008" customWidth="1"/>
    <col min="5879" max="5879" width="0.85546875" style="1008" customWidth="1"/>
    <col min="5880" max="5880" width="14.42578125" style="1008" customWidth="1"/>
    <col min="5881" max="5881" width="12.85546875" style="1008" customWidth="1"/>
    <col min="5882" max="5882" width="6.140625" style="1008" customWidth="1"/>
    <col min="5883" max="5884" width="11.42578125" style="1008"/>
    <col min="5885" max="5885" width="15.42578125" style="1008" customWidth="1"/>
    <col min="5886" max="6125" width="11.42578125" style="1008"/>
    <col min="6126" max="6126" width="2.28515625" style="1008" customWidth="1"/>
    <col min="6127" max="6127" width="2.7109375" style="1008" customWidth="1"/>
    <col min="6128" max="6128" width="2.42578125" style="1008" customWidth="1"/>
    <col min="6129" max="6129" width="17.7109375" style="1008" customWidth="1"/>
    <col min="6130" max="6130" width="1.5703125" style="1008" customWidth="1"/>
    <col min="6131" max="6131" width="6.42578125" style="1008" customWidth="1"/>
    <col min="6132" max="6132" width="13.140625" style="1008" customWidth="1"/>
    <col min="6133" max="6133" width="1" style="1008" customWidth="1"/>
    <col min="6134" max="6134" width="19.5703125" style="1008" customWidth="1"/>
    <col min="6135" max="6135" width="0.85546875" style="1008" customWidth="1"/>
    <col min="6136" max="6136" width="14.42578125" style="1008" customWidth="1"/>
    <col min="6137" max="6137" width="12.85546875" style="1008" customWidth="1"/>
    <col min="6138" max="6138" width="6.140625" style="1008" customWidth="1"/>
    <col min="6139" max="6140" width="11.42578125" style="1008"/>
    <col min="6141" max="6141" width="15.42578125" style="1008" customWidth="1"/>
    <col min="6142" max="6381" width="11.42578125" style="1008"/>
    <col min="6382" max="6382" width="2.28515625" style="1008" customWidth="1"/>
    <col min="6383" max="6383" width="2.7109375" style="1008" customWidth="1"/>
    <col min="6384" max="6384" width="2.42578125" style="1008" customWidth="1"/>
    <col min="6385" max="6385" width="17.7109375" style="1008" customWidth="1"/>
    <col min="6386" max="6386" width="1.5703125" style="1008" customWidth="1"/>
    <col min="6387" max="6387" width="6.42578125" style="1008" customWidth="1"/>
    <col min="6388" max="6388" width="13.140625" style="1008" customWidth="1"/>
    <col min="6389" max="6389" width="1" style="1008" customWidth="1"/>
    <col min="6390" max="6390" width="19.5703125" style="1008" customWidth="1"/>
    <col min="6391" max="6391" width="0.85546875" style="1008" customWidth="1"/>
    <col min="6392" max="6392" width="14.42578125" style="1008" customWidth="1"/>
    <col min="6393" max="6393" width="12.85546875" style="1008" customWidth="1"/>
    <col min="6394" max="6394" width="6.140625" style="1008" customWidth="1"/>
    <col min="6395" max="6396" width="11.42578125" style="1008"/>
    <col min="6397" max="6397" width="15.42578125" style="1008" customWidth="1"/>
    <col min="6398" max="6637" width="11.42578125" style="1008"/>
    <col min="6638" max="6638" width="2.28515625" style="1008" customWidth="1"/>
    <col min="6639" max="6639" width="2.7109375" style="1008" customWidth="1"/>
    <col min="6640" max="6640" width="2.42578125" style="1008" customWidth="1"/>
    <col min="6641" max="6641" width="17.7109375" style="1008" customWidth="1"/>
    <col min="6642" max="6642" width="1.5703125" style="1008" customWidth="1"/>
    <col min="6643" max="6643" width="6.42578125" style="1008" customWidth="1"/>
    <col min="6644" max="6644" width="13.140625" style="1008" customWidth="1"/>
    <col min="6645" max="6645" width="1" style="1008" customWidth="1"/>
    <col min="6646" max="6646" width="19.5703125" style="1008" customWidth="1"/>
    <col min="6647" max="6647" width="0.85546875" style="1008" customWidth="1"/>
    <col min="6648" max="6648" width="14.42578125" style="1008" customWidth="1"/>
    <col min="6649" max="6649" width="12.85546875" style="1008" customWidth="1"/>
    <col min="6650" max="6650" width="6.140625" style="1008" customWidth="1"/>
    <col min="6651" max="6652" width="11.42578125" style="1008"/>
    <col min="6653" max="6653" width="15.42578125" style="1008" customWidth="1"/>
    <col min="6654" max="6893" width="11.42578125" style="1008"/>
    <col min="6894" max="6894" width="2.28515625" style="1008" customWidth="1"/>
    <col min="6895" max="6895" width="2.7109375" style="1008" customWidth="1"/>
    <col min="6896" max="6896" width="2.42578125" style="1008" customWidth="1"/>
    <col min="6897" max="6897" width="17.7109375" style="1008" customWidth="1"/>
    <col min="6898" max="6898" width="1.5703125" style="1008" customWidth="1"/>
    <col min="6899" max="6899" width="6.42578125" style="1008" customWidth="1"/>
    <col min="6900" max="6900" width="13.140625" style="1008" customWidth="1"/>
    <col min="6901" max="6901" width="1" style="1008" customWidth="1"/>
    <col min="6902" max="6902" width="19.5703125" style="1008" customWidth="1"/>
    <col min="6903" max="6903" width="0.85546875" style="1008" customWidth="1"/>
    <col min="6904" max="6904" width="14.42578125" style="1008" customWidth="1"/>
    <col min="6905" max="6905" width="12.85546875" style="1008" customWidth="1"/>
    <col min="6906" max="6906" width="6.140625" style="1008" customWidth="1"/>
    <col min="6907" max="6908" width="11.42578125" style="1008"/>
    <col min="6909" max="6909" width="15.42578125" style="1008" customWidth="1"/>
    <col min="6910" max="7149" width="11.42578125" style="1008"/>
    <col min="7150" max="7150" width="2.28515625" style="1008" customWidth="1"/>
    <col min="7151" max="7151" width="2.7109375" style="1008" customWidth="1"/>
    <col min="7152" max="7152" width="2.42578125" style="1008" customWidth="1"/>
    <col min="7153" max="7153" width="17.7109375" style="1008" customWidth="1"/>
    <col min="7154" max="7154" width="1.5703125" style="1008" customWidth="1"/>
    <col min="7155" max="7155" width="6.42578125" style="1008" customWidth="1"/>
    <col min="7156" max="7156" width="13.140625" style="1008" customWidth="1"/>
    <col min="7157" max="7157" width="1" style="1008" customWidth="1"/>
    <col min="7158" max="7158" width="19.5703125" style="1008" customWidth="1"/>
    <col min="7159" max="7159" width="0.85546875" style="1008" customWidth="1"/>
    <col min="7160" max="7160" width="14.42578125" style="1008" customWidth="1"/>
    <col min="7161" max="7161" width="12.85546875" style="1008" customWidth="1"/>
    <col min="7162" max="7162" width="6.140625" style="1008" customWidth="1"/>
    <col min="7163" max="7164" width="11.42578125" style="1008"/>
    <col min="7165" max="7165" width="15.42578125" style="1008" customWidth="1"/>
    <col min="7166" max="7405" width="11.42578125" style="1008"/>
    <col min="7406" max="7406" width="2.28515625" style="1008" customWidth="1"/>
    <col min="7407" max="7407" width="2.7109375" style="1008" customWidth="1"/>
    <col min="7408" max="7408" width="2.42578125" style="1008" customWidth="1"/>
    <col min="7409" max="7409" width="17.7109375" style="1008" customWidth="1"/>
    <col min="7410" max="7410" width="1.5703125" style="1008" customWidth="1"/>
    <col min="7411" max="7411" width="6.42578125" style="1008" customWidth="1"/>
    <col min="7412" max="7412" width="13.140625" style="1008" customWidth="1"/>
    <col min="7413" max="7413" width="1" style="1008" customWidth="1"/>
    <col min="7414" max="7414" width="19.5703125" style="1008" customWidth="1"/>
    <col min="7415" max="7415" width="0.85546875" style="1008" customWidth="1"/>
    <col min="7416" max="7416" width="14.42578125" style="1008" customWidth="1"/>
    <col min="7417" max="7417" width="12.85546875" style="1008" customWidth="1"/>
    <col min="7418" max="7418" width="6.140625" style="1008" customWidth="1"/>
    <col min="7419" max="7420" width="11.42578125" style="1008"/>
    <col min="7421" max="7421" width="15.42578125" style="1008" customWidth="1"/>
    <col min="7422" max="7661" width="11.42578125" style="1008"/>
    <col min="7662" max="7662" width="2.28515625" style="1008" customWidth="1"/>
    <col min="7663" max="7663" width="2.7109375" style="1008" customWidth="1"/>
    <col min="7664" max="7664" width="2.42578125" style="1008" customWidth="1"/>
    <col min="7665" max="7665" width="17.7109375" style="1008" customWidth="1"/>
    <col min="7666" max="7666" width="1.5703125" style="1008" customWidth="1"/>
    <col min="7667" max="7667" width="6.42578125" style="1008" customWidth="1"/>
    <col min="7668" max="7668" width="13.140625" style="1008" customWidth="1"/>
    <col min="7669" max="7669" width="1" style="1008" customWidth="1"/>
    <col min="7670" max="7670" width="19.5703125" style="1008" customWidth="1"/>
    <col min="7671" max="7671" width="0.85546875" style="1008" customWidth="1"/>
    <col min="7672" max="7672" width="14.42578125" style="1008" customWidth="1"/>
    <col min="7673" max="7673" width="12.85546875" style="1008" customWidth="1"/>
    <col min="7674" max="7674" width="6.140625" style="1008" customWidth="1"/>
    <col min="7675" max="7676" width="11.42578125" style="1008"/>
    <col min="7677" max="7677" width="15.42578125" style="1008" customWidth="1"/>
    <col min="7678" max="7917" width="11.42578125" style="1008"/>
    <col min="7918" max="7918" width="2.28515625" style="1008" customWidth="1"/>
    <col min="7919" max="7919" width="2.7109375" style="1008" customWidth="1"/>
    <col min="7920" max="7920" width="2.42578125" style="1008" customWidth="1"/>
    <col min="7921" max="7921" width="17.7109375" style="1008" customWidth="1"/>
    <col min="7922" max="7922" width="1.5703125" style="1008" customWidth="1"/>
    <col min="7923" max="7923" width="6.42578125" style="1008" customWidth="1"/>
    <col min="7924" max="7924" width="13.140625" style="1008" customWidth="1"/>
    <col min="7925" max="7925" width="1" style="1008" customWidth="1"/>
    <col min="7926" max="7926" width="19.5703125" style="1008" customWidth="1"/>
    <col min="7927" max="7927" width="0.85546875" style="1008" customWidth="1"/>
    <col min="7928" max="7928" width="14.42578125" style="1008" customWidth="1"/>
    <col min="7929" max="7929" width="12.85546875" style="1008" customWidth="1"/>
    <col min="7930" max="7930" width="6.140625" style="1008" customWidth="1"/>
    <col min="7931" max="7932" width="11.42578125" style="1008"/>
    <col min="7933" max="7933" width="15.42578125" style="1008" customWidth="1"/>
    <col min="7934" max="8173" width="11.42578125" style="1008"/>
    <col min="8174" max="8174" width="2.28515625" style="1008" customWidth="1"/>
    <col min="8175" max="8175" width="2.7109375" style="1008" customWidth="1"/>
    <col min="8176" max="8176" width="2.42578125" style="1008" customWidth="1"/>
    <col min="8177" max="8177" width="17.7109375" style="1008" customWidth="1"/>
    <col min="8178" max="8178" width="1.5703125" style="1008" customWidth="1"/>
    <col min="8179" max="8179" width="6.42578125" style="1008" customWidth="1"/>
    <col min="8180" max="8180" width="13.140625" style="1008" customWidth="1"/>
    <col min="8181" max="8181" width="1" style="1008" customWidth="1"/>
    <col min="8182" max="8182" width="19.5703125" style="1008" customWidth="1"/>
    <col min="8183" max="8183" width="0.85546875" style="1008" customWidth="1"/>
    <col min="8184" max="8184" width="14.42578125" style="1008" customWidth="1"/>
    <col min="8185" max="8185" width="12.85546875" style="1008" customWidth="1"/>
    <col min="8186" max="8186" width="6.140625" style="1008" customWidth="1"/>
    <col min="8187" max="8188" width="11.42578125" style="1008"/>
    <col min="8189" max="8189" width="15.42578125" style="1008" customWidth="1"/>
    <col min="8190" max="8429" width="11.42578125" style="1008"/>
    <col min="8430" max="8430" width="2.28515625" style="1008" customWidth="1"/>
    <col min="8431" max="8431" width="2.7109375" style="1008" customWidth="1"/>
    <col min="8432" max="8432" width="2.42578125" style="1008" customWidth="1"/>
    <col min="8433" max="8433" width="17.7109375" style="1008" customWidth="1"/>
    <col min="8434" max="8434" width="1.5703125" style="1008" customWidth="1"/>
    <col min="8435" max="8435" width="6.42578125" style="1008" customWidth="1"/>
    <col min="8436" max="8436" width="13.140625" style="1008" customWidth="1"/>
    <col min="8437" max="8437" width="1" style="1008" customWidth="1"/>
    <col min="8438" max="8438" width="19.5703125" style="1008" customWidth="1"/>
    <col min="8439" max="8439" width="0.85546875" style="1008" customWidth="1"/>
    <col min="8440" max="8440" width="14.42578125" style="1008" customWidth="1"/>
    <col min="8441" max="8441" width="12.85546875" style="1008" customWidth="1"/>
    <col min="8442" max="8442" width="6.140625" style="1008" customWidth="1"/>
    <col min="8443" max="8444" width="11.42578125" style="1008"/>
    <col min="8445" max="8445" width="15.42578125" style="1008" customWidth="1"/>
    <col min="8446" max="8685" width="11.42578125" style="1008"/>
    <col min="8686" max="8686" width="2.28515625" style="1008" customWidth="1"/>
    <col min="8687" max="8687" width="2.7109375" style="1008" customWidth="1"/>
    <col min="8688" max="8688" width="2.42578125" style="1008" customWidth="1"/>
    <col min="8689" max="8689" width="17.7109375" style="1008" customWidth="1"/>
    <col min="8690" max="8690" width="1.5703125" style="1008" customWidth="1"/>
    <col min="8691" max="8691" width="6.42578125" style="1008" customWidth="1"/>
    <col min="8692" max="8692" width="13.140625" style="1008" customWidth="1"/>
    <col min="8693" max="8693" width="1" style="1008" customWidth="1"/>
    <col min="8694" max="8694" width="19.5703125" style="1008" customWidth="1"/>
    <col min="8695" max="8695" width="0.85546875" style="1008" customWidth="1"/>
    <col min="8696" max="8696" width="14.42578125" style="1008" customWidth="1"/>
    <col min="8697" max="8697" width="12.85546875" style="1008" customWidth="1"/>
    <col min="8698" max="8698" width="6.140625" style="1008" customWidth="1"/>
    <col min="8699" max="8700" width="11.42578125" style="1008"/>
    <col min="8701" max="8701" width="15.42578125" style="1008" customWidth="1"/>
    <col min="8702" max="8941" width="11.42578125" style="1008"/>
    <col min="8942" max="8942" width="2.28515625" style="1008" customWidth="1"/>
    <col min="8943" max="8943" width="2.7109375" style="1008" customWidth="1"/>
    <col min="8944" max="8944" width="2.42578125" style="1008" customWidth="1"/>
    <col min="8945" max="8945" width="17.7109375" style="1008" customWidth="1"/>
    <col min="8946" max="8946" width="1.5703125" style="1008" customWidth="1"/>
    <col min="8947" max="8947" width="6.42578125" style="1008" customWidth="1"/>
    <col min="8948" max="8948" width="13.140625" style="1008" customWidth="1"/>
    <col min="8949" max="8949" width="1" style="1008" customWidth="1"/>
    <col min="8950" max="8950" width="19.5703125" style="1008" customWidth="1"/>
    <col min="8951" max="8951" width="0.85546875" style="1008" customWidth="1"/>
    <col min="8952" max="8952" width="14.42578125" style="1008" customWidth="1"/>
    <col min="8953" max="8953" width="12.85546875" style="1008" customWidth="1"/>
    <col min="8954" max="8954" width="6.140625" style="1008" customWidth="1"/>
    <col min="8955" max="8956" width="11.42578125" style="1008"/>
    <col min="8957" max="8957" width="15.42578125" style="1008" customWidth="1"/>
    <col min="8958" max="9197" width="11.42578125" style="1008"/>
    <col min="9198" max="9198" width="2.28515625" style="1008" customWidth="1"/>
    <col min="9199" max="9199" width="2.7109375" style="1008" customWidth="1"/>
    <col min="9200" max="9200" width="2.42578125" style="1008" customWidth="1"/>
    <col min="9201" max="9201" width="17.7109375" style="1008" customWidth="1"/>
    <col min="9202" max="9202" width="1.5703125" style="1008" customWidth="1"/>
    <col min="9203" max="9203" width="6.42578125" style="1008" customWidth="1"/>
    <col min="9204" max="9204" width="13.140625" style="1008" customWidth="1"/>
    <col min="9205" max="9205" width="1" style="1008" customWidth="1"/>
    <col min="9206" max="9206" width="19.5703125" style="1008" customWidth="1"/>
    <col min="9207" max="9207" width="0.85546875" style="1008" customWidth="1"/>
    <col min="9208" max="9208" width="14.42578125" style="1008" customWidth="1"/>
    <col min="9209" max="9209" width="12.85546875" style="1008" customWidth="1"/>
    <col min="9210" max="9210" width="6.140625" style="1008" customWidth="1"/>
    <col min="9211" max="9212" width="11.42578125" style="1008"/>
    <col min="9213" max="9213" width="15.42578125" style="1008" customWidth="1"/>
    <col min="9214" max="9453" width="11.42578125" style="1008"/>
    <col min="9454" max="9454" width="2.28515625" style="1008" customWidth="1"/>
    <col min="9455" max="9455" width="2.7109375" style="1008" customWidth="1"/>
    <col min="9456" max="9456" width="2.42578125" style="1008" customWidth="1"/>
    <col min="9457" max="9457" width="17.7109375" style="1008" customWidth="1"/>
    <col min="9458" max="9458" width="1.5703125" style="1008" customWidth="1"/>
    <col min="9459" max="9459" width="6.42578125" style="1008" customWidth="1"/>
    <col min="9460" max="9460" width="13.140625" style="1008" customWidth="1"/>
    <col min="9461" max="9461" width="1" style="1008" customWidth="1"/>
    <col min="9462" max="9462" width="19.5703125" style="1008" customWidth="1"/>
    <col min="9463" max="9463" width="0.85546875" style="1008" customWidth="1"/>
    <col min="9464" max="9464" width="14.42578125" style="1008" customWidth="1"/>
    <col min="9465" max="9465" width="12.85546875" style="1008" customWidth="1"/>
    <col min="9466" max="9466" width="6.140625" style="1008" customWidth="1"/>
    <col min="9467" max="9468" width="11.42578125" style="1008"/>
    <col min="9469" max="9469" width="15.42578125" style="1008" customWidth="1"/>
    <col min="9470" max="9709" width="11.42578125" style="1008"/>
    <col min="9710" max="9710" width="2.28515625" style="1008" customWidth="1"/>
    <col min="9711" max="9711" width="2.7109375" style="1008" customWidth="1"/>
    <col min="9712" max="9712" width="2.42578125" style="1008" customWidth="1"/>
    <col min="9713" max="9713" width="17.7109375" style="1008" customWidth="1"/>
    <col min="9714" max="9714" width="1.5703125" style="1008" customWidth="1"/>
    <col min="9715" max="9715" width="6.42578125" style="1008" customWidth="1"/>
    <col min="9716" max="9716" width="13.140625" style="1008" customWidth="1"/>
    <col min="9717" max="9717" width="1" style="1008" customWidth="1"/>
    <col min="9718" max="9718" width="19.5703125" style="1008" customWidth="1"/>
    <col min="9719" max="9719" width="0.85546875" style="1008" customWidth="1"/>
    <col min="9720" max="9720" width="14.42578125" style="1008" customWidth="1"/>
    <col min="9721" max="9721" width="12.85546875" style="1008" customWidth="1"/>
    <col min="9722" max="9722" width="6.140625" style="1008" customWidth="1"/>
    <col min="9723" max="9724" width="11.42578125" style="1008"/>
    <col min="9725" max="9725" width="15.42578125" style="1008" customWidth="1"/>
    <col min="9726" max="9965" width="11.42578125" style="1008"/>
    <col min="9966" max="9966" width="2.28515625" style="1008" customWidth="1"/>
    <col min="9967" max="9967" width="2.7109375" style="1008" customWidth="1"/>
    <col min="9968" max="9968" width="2.42578125" style="1008" customWidth="1"/>
    <col min="9969" max="9969" width="17.7109375" style="1008" customWidth="1"/>
    <col min="9970" max="9970" width="1.5703125" style="1008" customWidth="1"/>
    <col min="9971" max="9971" width="6.42578125" style="1008" customWidth="1"/>
    <col min="9972" max="9972" width="13.140625" style="1008" customWidth="1"/>
    <col min="9973" max="9973" width="1" style="1008" customWidth="1"/>
    <col min="9974" max="9974" width="19.5703125" style="1008" customWidth="1"/>
    <col min="9975" max="9975" width="0.85546875" style="1008" customWidth="1"/>
    <col min="9976" max="9976" width="14.42578125" style="1008" customWidth="1"/>
    <col min="9977" max="9977" width="12.85546875" style="1008" customWidth="1"/>
    <col min="9978" max="9978" width="6.140625" style="1008" customWidth="1"/>
    <col min="9979" max="9980" width="11.42578125" style="1008"/>
    <col min="9981" max="9981" width="15.42578125" style="1008" customWidth="1"/>
    <col min="9982" max="10221" width="11.42578125" style="1008"/>
    <col min="10222" max="10222" width="2.28515625" style="1008" customWidth="1"/>
    <col min="10223" max="10223" width="2.7109375" style="1008" customWidth="1"/>
    <col min="10224" max="10224" width="2.42578125" style="1008" customWidth="1"/>
    <col min="10225" max="10225" width="17.7109375" style="1008" customWidth="1"/>
    <col min="10226" max="10226" width="1.5703125" style="1008" customWidth="1"/>
    <col min="10227" max="10227" width="6.42578125" style="1008" customWidth="1"/>
    <col min="10228" max="10228" width="13.140625" style="1008" customWidth="1"/>
    <col min="10229" max="10229" width="1" style="1008" customWidth="1"/>
    <col min="10230" max="10230" width="19.5703125" style="1008" customWidth="1"/>
    <col min="10231" max="10231" width="0.85546875" style="1008" customWidth="1"/>
    <col min="10232" max="10232" width="14.42578125" style="1008" customWidth="1"/>
    <col min="10233" max="10233" width="12.85546875" style="1008" customWidth="1"/>
    <col min="10234" max="10234" width="6.140625" style="1008" customWidth="1"/>
    <col min="10235" max="10236" width="11.42578125" style="1008"/>
    <col min="10237" max="10237" width="15.42578125" style="1008" customWidth="1"/>
    <col min="10238" max="10477" width="11.42578125" style="1008"/>
    <col min="10478" max="10478" width="2.28515625" style="1008" customWidth="1"/>
    <col min="10479" max="10479" width="2.7109375" style="1008" customWidth="1"/>
    <col min="10480" max="10480" width="2.42578125" style="1008" customWidth="1"/>
    <col min="10481" max="10481" width="17.7109375" style="1008" customWidth="1"/>
    <col min="10482" max="10482" width="1.5703125" style="1008" customWidth="1"/>
    <col min="10483" max="10483" width="6.42578125" style="1008" customWidth="1"/>
    <col min="10484" max="10484" width="13.140625" style="1008" customWidth="1"/>
    <col min="10485" max="10485" width="1" style="1008" customWidth="1"/>
    <col min="10486" max="10486" width="19.5703125" style="1008" customWidth="1"/>
    <col min="10487" max="10487" width="0.85546875" style="1008" customWidth="1"/>
    <col min="10488" max="10488" width="14.42578125" style="1008" customWidth="1"/>
    <col min="10489" max="10489" width="12.85546875" style="1008" customWidth="1"/>
    <col min="10490" max="10490" width="6.140625" style="1008" customWidth="1"/>
    <col min="10491" max="10492" width="11.42578125" style="1008"/>
    <col min="10493" max="10493" width="15.42578125" style="1008" customWidth="1"/>
    <col min="10494" max="10733" width="11.42578125" style="1008"/>
    <col min="10734" max="10734" width="2.28515625" style="1008" customWidth="1"/>
    <col min="10735" max="10735" width="2.7109375" style="1008" customWidth="1"/>
    <col min="10736" max="10736" width="2.42578125" style="1008" customWidth="1"/>
    <col min="10737" max="10737" width="17.7109375" style="1008" customWidth="1"/>
    <col min="10738" max="10738" width="1.5703125" style="1008" customWidth="1"/>
    <col min="10739" max="10739" width="6.42578125" style="1008" customWidth="1"/>
    <col min="10740" max="10740" width="13.140625" style="1008" customWidth="1"/>
    <col min="10741" max="10741" width="1" style="1008" customWidth="1"/>
    <col min="10742" max="10742" width="19.5703125" style="1008" customWidth="1"/>
    <col min="10743" max="10743" width="0.85546875" style="1008" customWidth="1"/>
    <col min="10744" max="10744" width="14.42578125" style="1008" customWidth="1"/>
    <col min="10745" max="10745" width="12.85546875" style="1008" customWidth="1"/>
    <col min="10746" max="10746" width="6.140625" style="1008" customWidth="1"/>
    <col min="10747" max="10748" width="11.42578125" style="1008"/>
    <col min="10749" max="10749" width="15.42578125" style="1008" customWidth="1"/>
    <col min="10750" max="10989" width="11.42578125" style="1008"/>
    <col min="10990" max="10990" width="2.28515625" style="1008" customWidth="1"/>
    <col min="10991" max="10991" width="2.7109375" style="1008" customWidth="1"/>
    <col min="10992" max="10992" width="2.42578125" style="1008" customWidth="1"/>
    <col min="10993" max="10993" width="17.7109375" style="1008" customWidth="1"/>
    <col min="10994" max="10994" width="1.5703125" style="1008" customWidth="1"/>
    <col min="10995" max="10995" width="6.42578125" style="1008" customWidth="1"/>
    <col min="10996" max="10996" width="13.140625" style="1008" customWidth="1"/>
    <col min="10997" max="10997" width="1" style="1008" customWidth="1"/>
    <col min="10998" max="10998" width="19.5703125" style="1008" customWidth="1"/>
    <col min="10999" max="10999" width="0.85546875" style="1008" customWidth="1"/>
    <col min="11000" max="11000" width="14.42578125" style="1008" customWidth="1"/>
    <col min="11001" max="11001" width="12.85546875" style="1008" customWidth="1"/>
    <col min="11002" max="11002" width="6.140625" style="1008" customWidth="1"/>
    <col min="11003" max="11004" width="11.42578125" style="1008"/>
    <col min="11005" max="11005" width="15.42578125" style="1008" customWidth="1"/>
    <col min="11006" max="11245" width="11.42578125" style="1008"/>
    <col min="11246" max="11246" width="2.28515625" style="1008" customWidth="1"/>
    <col min="11247" max="11247" width="2.7109375" style="1008" customWidth="1"/>
    <col min="11248" max="11248" width="2.42578125" style="1008" customWidth="1"/>
    <col min="11249" max="11249" width="17.7109375" style="1008" customWidth="1"/>
    <col min="11250" max="11250" width="1.5703125" style="1008" customWidth="1"/>
    <col min="11251" max="11251" width="6.42578125" style="1008" customWidth="1"/>
    <col min="11252" max="11252" width="13.140625" style="1008" customWidth="1"/>
    <col min="11253" max="11253" width="1" style="1008" customWidth="1"/>
    <col min="11254" max="11254" width="19.5703125" style="1008" customWidth="1"/>
    <col min="11255" max="11255" width="0.85546875" style="1008" customWidth="1"/>
    <col min="11256" max="11256" width="14.42578125" style="1008" customWidth="1"/>
    <col min="11257" max="11257" width="12.85546875" style="1008" customWidth="1"/>
    <col min="11258" max="11258" width="6.140625" style="1008" customWidth="1"/>
    <col min="11259" max="11260" width="11.42578125" style="1008"/>
    <col min="11261" max="11261" width="15.42578125" style="1008" customWidth="1"/>
    <col min="11262" max="11501" width="11.42578125" style="1008"/>
    <col min="11502" max="11502" width="2.28515625" style="1008" customWidth="1"/>
    <col min="11503" max="11503" width="2.7109375" style="1008" customWidth="1"/>
    <col min="11504" max="11504" width="2.42578125" style="1008" customWidth="1"/>
    <col min="11505" max="11505" width="17.7109375" style="1008" customWidth="1"/>
    <col min="11506" max="11506" width="1.5703125" style="1008" customWidth="1"/>
    <col min="11507" max="11507" width="6.42578125" style="1008" customWidth="1"/>
    <col min="11508" max="11508" width="13.140625" style="1008" customWidth="1"/>
    <col min="11509" max="11509" width="1" style="1008" customWidth="1"/>
    <col min="11510" max="11510" width="19.5703125" style="1008" customWidth="1"/>
    <col min="11511" max="11511" width="0.85546875" style="1008" customWidth="1"/>
    <col min="11512" max="11512" width="14.42578125" style="1008" customWidth="1"/>
    <col min="11513" max="11513" width="12.85546875" style="1008" customWidth="1"/>
    <col min="11514" max="11514" width="6.140625" style="1008" customWidth="1"/>
    <col min="11515" max="11516" width="11.42578125" style="1008"/>
    <col min="11517" max="11517" width="15.42578125" style="1008" customWidth="1"/>
    <col min="11518" max="11757" width="11.42578125" style="1008"/>
    <col min="11758" max="11758" width="2.28515625" style="1008" customWidth="1"/>
    <col min="11759" max="11759" width="2.7109375" style="1008" customWidth="1"/>
    <col min="11760" max="11760" width="2.42578125" style="1008" customWidth="1"/>
    <col min="11761" max="11761" width="17.7109375" style="1008" customWidth="1"/>
    <col min="11762" max="11762" width="1.5703125" style="1008" customWidth="1"/>
    <col min="11763" max="11763" width="6.42578125" style="1008" customWidth="1"/>
    <col min="11764" max="11764" width="13.140625" style="1008" customWidth="1"/>
    <col min="11765" max="11765" width="1" style="1008" customWidth="1"/>
    <col min="11766" max="11766" width="19.5703125" style="1008" customWidth="1"/>
    <col min="11767" max="11767" width="0.85546875" style="1008" customWidth="1"/>
    <col min="11768" max="11768" width="14.42578125" style="1008" customWidth="1"/>
    <col min="11769" max="11769" width="12.85546875" style="1008" customWidth="1"/>
    <col min="11770" max="11770" width="6.140625" style="1008" customWidth="1"/>
    <col min="11771" max="11772" width="11.42578125" style="1008"/>
    <col min="11773" max="11773" width="15.42578125" style="1008" customWidth="1"/>
    <col min="11774" max="12013" width="11.42578125" style="1008"/>
    <col min="12014" max="12014" width="2.28515625" style="1008" customWidth="1"/>
    <col min="12015" max="12015" width="2.7109375" style="1008" customWidth="1"/>
    <col min="12016" max="12016" width="2.42578125" style="1008" customWidth="1"/>
    <col min="12017" max="12017" width="17.7109375" style="1008" customWidth="1"/>
    <col min="12018" max="12018" width="1.5703125" style="1008" customWidth="1"/>
    <col min="12019" max="12019" width="6.42578125" style="1008" customWidth="1"/>
    <col min="12020" max="12020" width="13.140625" style="1008" customWidth="1"/>
    <col min="12021" max="12021" width="1" style="1008" customWidth="1"/>
    <col min="12022" max="12022" width="19.5703125" style="1008" customWidth="1"/>
    <col min="12023" max="12023" width="0.85546875" style="1008" customWidth="1"/>
    <col min="12024" max="12024" width="14.42578125" style="1008" customWidth="1"/>
    <col min="12025" max="12025" width="12.85546875" style="1008" customWidth="1"/>
    <col min="12026" max="12026" width="6.140625" style="1008" customWidth="1"/>
    <col min="12027" max="12028" width="11.42578125" style="1008"/>
    <col min="12029" max="12029" width="15.42578125" style="1008" customWidth="1"/>
    <col min="12030" max="12269" width="11.42578125" style="1008"/>
    <col min="12270" max="12270" width="2.28515625" style="1008" customWidth="1"/>
    <col min="12271" max="12271" width="2.7109375" style="1008" customWidth="1"/>
    <col min="12272" max="12272" width="2.42578125" style="1008" customWidth="1"/>
    <col min="12273" max="12273" width="17.7109375" style="1008" customWidth="1"/>
    <col min="12274" max="12274" width="1.5703125" style="1008" customWidth="1"/>
    <col min="12275" max="12275" width="6.42578125" style="1008" customWidth="1"/>
    <col min="12276" max="12276" width="13.140625" style="1008" customWidth="1"/>
    <col min="12277" max="12277" width="1" style="1008" customWidth="1"/>
    <col min="12278" max="12278" width="19.5703125" style="1008" customWidth="1"/>
    <col min="12279" max="12279" width="0.85546875" style="1008" customWidth="1"/>
    <col min="12280" max="12280" width="14.42578125" style="1008" customWidth="1"/>
    <col min="12281" max="12281" width="12.85546875" style="1008" customWidth="1"/>
    <col min="12282" max="12282" width="6.140625" style="1008" customWidth="1"/>
    <col min="12283" max="12284" width="11.42578125" style="1008"/>
    <col min="12285" max="12285" width="15.42578125" style="1008" customWidth="1"/>
    <col min="12286" max="12525" width="11.42578125" style="1008"/>
    <col min="12526" max="12526" width="2.28515625" style="1008" customWidth="1"/>
    <col min="12527" max="12527" width="2.7109375" style="1008" customWidth="1"/>
    <col min="12528" max="12528" width="2.42578125" style="1008" customWidth="1"/>
    <col min="12529" max="12529" width="17.7109375" style="1008" customWidth="1"/>
    <col min="12530" max="12530" width="1.5703125" style="1008" customWidth="1"/>
    <col min="12531" max="12531" width="6.42578125" style="1008" customWidth="1"/>
    <col min="12532" max="12532" width="13.140625" style="1008" customWidth="1"/>
    <col min="12533" max="12533" width="1" style="1008" customWidth="1"/>
    <col min="12534" max="12534" width="19.5703125" style="1008" customWidth="1"/>
    <col min="12535" max="12535" width="0.85546875" style="1008" customWidth="1"/>
    <col min="12536" max="12536" width="14.42578125" style="1008" customWidth="1"/>
    <col min="12537" max="12537" width="12.85546875" style="1008" customWidth="1"/>
    <col min="12538" max="12538" width="6.140625" style="1008" customWidth="1"/>
    <col min="12539" max="12540" width="11.42578125" style="1008"/>
    <col min="12541" max="12541" width="15.42578125" style="1008" customWidth="1"/>
    <col min="12542" max="12781" width="11.42578125" style="1008"/>
    <col min="12782" max="12782" width="2.28515625" style="1008" customWidth="1"/>
    <col min="12783" max="12783" width="2.7109375" style="1008" customWidth="1"/>
    <col min="12784" max="12784" width="2.42578125" style="1008" customWidth="1"/>
    <col min="12785" max="12785" width="17.7109375" style="1008" customWidth="1"/>
    <col min="12786" max="12786" width="1.5703125" style="1008" customWidth="1"/>
    <col min="12787" max="12787" width="6.42578125" style="1008" customWidth="1"/>
    <col min="12788" max="12788" width="13.140625" style="1008" customWidth="1"/>
    <col min="12789" max="12789" width="1" style="1008" customWidth="1"/>
    <col min="12790" max="12790" width="19.5703125" style="1008" customWidth="1"/>
    <col min="12791" max="12791" width="0.85546875" style="1008" customWidth="1"/>
    <col min="12792" max="12792" width="14.42578125" style="1008" customWidth="1"/>
    <col min="12793" max="12793" width="12.85546875" style="1008" customWidth="1"/>
    <col min="12794" max="12794" width="6.140625" style="1008" customWidth="1"/>
    <col min="12795" max="12796" width="11.42578125" style="1008"/>
    <col min="12797" max="12797" width="15.42578125" style="1008" customWidth="1"/>
    <col min="12798" max="13037" width="11.42578125" style="1008"/>
    <col min="13038" max="13038" width="2.28515625" style="1008" customWidth="1"/>
    <col min="13039" max="13039" width="2.7109375" style="1008" customWidth="1"/>
    <col min="13040" max="13040" width="2.42578125" style="1008" customWidth="1"/>
    <col min="13041" max="13041" width="17.7109375" style="1008" customWidth="1"/>
    <col min="13042" max="13042" width="1.5703125" style="1008" customWidth="1"/>
    <col min="13043" max="13043" width="6.42578125" style="1008" customWidth="1"/>
    <col min="13044" max="13044" width="13.140625" style="1008" customWidth="1"/>
    <col min="13045" max="13045" width="1" style="1008" customWidth="1"/>
    <col min="13046" max="13046" width="19.5703125" style="1008" customWidth="1"/>
    <col min="13047" max="13047" width="0.85546875" style="1008" customWidth="1"/>
    <col min="13048" max="13048" width="14.42578125" style="1008" customWidth="1"/>
    <col min="13049" max="13049" width="12.85546875" style="1008" customWidth="1"/>
    <col min="13050" max="13050" width="6.140625" style="1008" customWidth="1"/>
    <col min="13051" max="13052" width="11.42578125" style="1008"/>
    <col min="13053" max="13053" width="15.42578125" style="1008" customWidth="1"/>
    <col min="13054" max="13293" width="11.42578125" style="1008"/>
    <col min="13294" max="13294" width="2.28515625" style="1008" customWidth="1"/>
    <col min="13295" max="13295" width="2.7109375" style="1008" customWidth="1"/>
    <col min="13296" max="13296" width="2.42578125" style="1008" customWidth="1"/>
    <col min="13297" max="13297" width="17.7109375" style="1008" customWidth="1"/>
    <col min="13298" max="13298" width="1.5703125" style="1008" customWidth="1"/>
    <col min="13299" max="13299" width="6.42578125" style="1008" customWidth="1"/>
    <col min="13300" max="13300" width="13.140625" style="1008" customWidth="1"/>
    <col min="13301" max="13301" width="1" style="1008" customWidth="1"/>
    <col min="13302" max="13302" width="19.5703125" style="1008" customWidth="1"/>
    <col min="13303" max="13303" width="0.85546875" style="1008" customWidth="1"/>
    <col min="13304" max="13304" width="14.42578125" style="1008" customWidth="1"/>
    <col min="13305" max="13305" width="12.85546875" style="1008" customWidth="1"/>
    <col min="13306" max="13306" width="6.140625" style="1008" customWidth="1"/>
    <col min="13307" max="13308" width="11.42578125" style="1008"/>
    <col min="13309" max="13309" width="15.42578125" style="1008" customWidth="1"/>
    <col min="13310" max="13549" width="11.42578125" style="1008"/>
    <col min="13550" max="13550" width="2.28515625" style="1008" customWidth="1"/>
    <col min="13551" max="13551" width="2.7109375" style="1008" customWidth="1"/>
    <col min="13552" max="13552" width="2.42578125" style="1008" customWidth="1"/>
    <col min="13553" max="13553" width="17.7109375" style="1008" customWidth="1"/>
    <col min="13554" max="13554" width="1.5703125" style="1008" customWidth="1"/>
    <col min="13555" max="13555" width="6.42578125" style="1008" customWidth="1"/>
    <col min="13556" max="13556" width="13.140625" style="1008" customWidth="1"/>
    <col min="13557" max="13557" width="1" style="1008" customWidth="1"/>
    <col min="13558" max="13558" width="19.5703125" style="1008" customWidth="1"/>
    <col min="13559" max="13559" width="0.85546875" style="1008" customWidth="1"/>
    <col min="13560" max="13560" width="14.42578125" style="1008" customWidth="1"/>
    <col min="13561" max="13561" width="12.85546875" style="1008" customWidth="1"/>
    <col min="13562" max="13562" width="6.140625" style="1008" customWidth="1"/>
    <col min="13563" max="13564" width="11.42578125" style="1008"/>
    <col min="13565" max="13565" width="15.42578125" style="1008" customWidth="1"/>
    <col min="13566" max="13805" width="11.42578125" style="1008"/>
    <col min="13806" max="13806" width="2.28515625" style="1008" customWidth="1"/>
    <col min="13807" max="13807" width="2.7109375" style="1008" customWidth="1"/>
    <col min="13808" max="13808" width="2.42578125" style="1008" customWidth="1"/>
    <col min="13809" max="13809" width="17.7109375" style="1008" customWidth="1"/>
    <col min="13810" max="13810" width="1.5703125" style="1008" customWidth="1"/>
    <col min="13811" max="13811" width="6.42578125" style="1008" customWidth="1"/>
    <col min="13812" max="13812" width="13.140625" style="1008" customWidth="1"/>
    <col min="13813" max="13813" width="1" style="1008" customWidth="1"/>
    <col min="13814" max="13814" width="19.5703125" style="1008" customWidth="1"/>
    <col min="13815" max="13815" width="0.85546875" style="1008" customWidth="1"/>
    <col min="13816" max="13816" width="14.42578125" style="1008" customWidth="1"/>
    <col min="13817" max="13817" width="12.85546875" style="1008" customWidth="1"/>
    <col min="13818" max="13818" width="6.140625" style="1008" customWidth="1"/>
    <col min="13819" max="13820" width="11.42578125" style="1008"/>
    <col min="13821" max="13821" width="15.42578125" style="1008" customWidth="1"/>
    <col min="13822" max="14061" width="11.42578125" style="1008"/>
    <col min="14062" max="14062" width="2.28515625" style="1008" customWidth="1"/>
    <col min="14063" max="14063" width="2.7109375" style="1008" customWidth="1"/>
    <col min="14064" max="14064" width="2.42578125" style="1008" customWidth="1"/>
    <col min="14065" max="14065" width="17.7109375" style="1008" customWidth="1"/>
    <col min="14066" max="14066" width="1.5703125" style="1008" customWidth="1"/>
    <col min="14067" max="14067" width="6.42578125" style="1008" customWidth="1"/>
    <col min="14068" max="14068" width="13.140625" style="1008" customWidth="1"/>
    <col min="14069" max="14069" width="1" style="1008" customWidth="1"/>
    <col min="14070" max="14070" width="19.5703125" style="1008" customWidth="1"/>
    <col min="14071" max="14071" width="0.85546875" style="1008" customWidth="1"/>
    <col min="14072" max="14072" width="14.42578125" style="1008" customWidth="1"/>
    <col min="14073" max="14073" width="12.85546875" style="1008" customWidth="1"/>
    <col min="14074" max="14074" width="6.140625" style="1008" customWidth="1"/>
    <col min="14075" max="14076" width="11.42578125" style="1008"/>
    <col min="14077" max="14077" width="15.42578125" style="1008" customWidth="1"/>
    <col min="14078" max="14317" width="11.42578125" style="1008"/>
    <col min="14318" max="14318" width="2.28515625" style="1008" customWidth="1"/>
    <col min="14319" max="14319" width="2.7109375" style="1008" customWidth="1"/>
    <col min="14320" max="14320" width="2.42578125" style="1008" customWidth="1"/>
    <col min="14321" max="14321" width="17.7109375" style="1008" customWidth="1"/>
    <col min="14322" max="14322" width="1.5703125" style="1008" customWidth="1"/>
    <col min="14323" max="14323" width="6.42578125" style="1008" customWidth="1"/>
    <col min="14324" max="14324" width="13.140625" style="1008" customWidth="1"/>
    <col min="14325" max="14325" width="1" style="1008" customWidth="1"/>
    <col min="14326" max="14326" width="19.5703125" style="1008" customWidth="1"/>
    <col min="14327" max="14327" width="0.85546875" style="1008" customWidth="1"/>
    <col min="14328" max="14328" width="14.42578125" style="1008" customWidth="1"/>
    <col min="14329" max="14329" width="12.85546875" style="1008" customWidth="1"/>
    <col min="14330" max="14330" width="6.140625" style="1008" customWidth="1"/>
    <col min="14331" max="14332" width="11.42578125" style="1008"/>
    <col min="14333" max="14333" width="15.42578125" style="1008" customWidth="1"/>
    <col min="14334" max="14573" width="11.42578125" style="1008"/>
    <col min="14574" max="14574" width="2.28515625" style="1008" customWidth="1"/>
    <col min="14575" max="14575" width="2.7109375" style="1008" customWidth="1"/>
    <col min="14576" max="14576" width="2.42578125" style="1008" customWidth="1"/>
    <col min="14577" max="14577" width="17.7109375" style="1008" customWidth="1"/>
    <col min="14578" max="14578" width="1.5703125" style="1008" customWidth="1"/>
    <col min="14579" max="14579" width="6.42578125" style="1008" customWidth="1"/>
    <col min="14580" max="14580" width="13.140625" style="1008" customWidth="1"/>
    <col min="14581" max="14581" width="1" style="1008" customWidth="1"/>
    <col min="14582" max="14582" width="19.5703125" style="1008" customWidth="1"/>
    <col min="14583" max="14583" width="0.85546875" style="1008" customWidth="1"/>
    <col min="14584" max="14584" width="14.42578125" style="1008" customWidth="1"/>
    <col min="14585" max="14585" width="12.85546875" style="1008" customWidth="1"/>
    <col min="14586" max="14586" width="6.140625" style="1008" customWidth="1"/>
    <col min="14587" max="14588" width="11.42578125" style="1008"/>
    <col min="14589" max="14589" width="15.42578125" style="1008" customWidth="1"/>
    <col min="14590" max="14829" width="11.42578125" style="1008"/>
    <col min="14830" max="14830" width="2.28515625" style="1008" customWidth="1"/>
    <col min="14831" max="14831" width="2.7109375" style="1008" customWidth="1"/>
    <col min="14832" max="14832" width="2.42578125" style="1008" customWidth="1"/>
    <col min="14833" max="14833" width="17.7109375" style="1008" customWidth="1"/>
    <col min="14834" max="14834" width="1.5703125" style="1008" customWidth="1"/>
    <col min="14835" max="14835" width="6.42578125" style="1008" customWidth="1"/>
    <col min="14836" max="14836" width="13.140625" style="1008" customWidth="1"/>
    <col min="14837" max="14837" width="1" style="1008" customWidth="1"/>
    <col min="14838" max="14838" width="19.5703125" style="1008" customWidth="1"/>
    <col min="14839" max="14839" width="0.85546875" style="1008" customWidth="1"/>
    <col min="14840" max="14840" width="14.42578125" style="1008" customWidth="1"/>
    <col min="14841" max="14841" width="12.85546875" style="1008" customWidth="1"/>
    <col min="14842" max="14842" width="6.140625" style="1008" customWidth="1"/>
    <col min="14843" max="14844" width="11.42578125" style="1008"/>
    <col min="14845" max="14845" width="15.42578125" style="1008" customWidth="1"/>
    <col min="14846" max="15085" width="11.42578125" style="1008"/>
    <col min="15086" max="15086" width="2.28515625" style="1008" customWidth="1"/>
    <col min="15087" max="15087" width="2.7109375" style="1008" customWidth="1"/>
    <col min="15088" max="15088" width="2.42578125" style="1008" customWidth="1"/>
    <col min="15089" max="15089" width="17.7109375" style="1008" customWidth="1"/>
    <col min="15090" max="15090" width="1.5703125" style="1008" customWidth="1"/>
    <col min="15091" max="15091" width="6.42578125" style="1008" customWidth="1"/>
    <col min="15092" max="15092" width="13.140625" style="1008" customWidth="1"/>
    <col min="15093" max="15093" width="1" style="1008" customWidth="1"/>
    <col min="15094" max="15094" width="19.5703125" style="1008" customWidth="1"/>
    <col min="15095" max="15095" width="0.85546875" style="1008" customWidth="1"/>
    <col min="15096" max="15096" width="14.42578125" style="1008" customWidth="1"/>
    <col min="15097" max="15097" width="12.85546875" style="1008" customWidth="1"/>
    <col min="15098" max="15098" width="6.140625" style="1008" customWidth="1"/>
    <col min="15099" max="15100" width="11.42578125" style="1008"/>
    <col min="15101" max="15101" width="15.42578125" style="1008" customWidth="1"/>
    <col min="15102" max="15341" width="11.42578125" style="1008"/>
    <col min="15342" max="15342" width="2.28515625" style="1008" customWidth="1"/>
    <col min="15343" max="15343" width="2.7109375" style="1008" customWidth="1"/>
    <col min="15344" max="15344" width="2.42578125" style="1008" customWidth="1"/>
    <col min="15345" max="15345" width="17.7109375" style="1008" customWidth="1"/>
    <col min="15346" max="15346" width="1.5703125" style="1008" customWidth="1"/>
    <col min="15347" max="15347" width="6.42578125" style="1008" customWidth="1"/>
    <col min="15348" max="15348" width="13.140625" style="1008" customWidth="1"/>
    <col min="15349" max="15349" width="1" style="1008" customWidth="1"/>
    <col min="15350" max="15350" width="19.5703125" style="1008" customWidth="1"/>
    <col min="15351" max="15351" width="0.85546875" style="1008" customWidth="1"/>
    <col min="15352" max="15352" width="14.42578125" style="1008" customWidth="1"/>
    <col min="15353" max="15353" width="12.85546875" style="1008" customWidth="1"/>
    <col min="15354" max="15354" width="6.140625" style="1008" customWidth="1"/>
    <col min="15355" max="15356" width="11.42578125" style="1008"/>
    <col min="15357" max="15357" width="15.42578125" style="1008" customWidth="1"/>
    <col min="15358" max="15597" width="11.42578125" style="1008"/>
    <col min="15598" max="15598" width="2.28515625" style="1008" customWidth="1"/>
    <col min="15599" max="15599" width="2.7109375" style="1008" customWidth="1"/>
    <col min="15600" max="15600" width="2.42578125" style="1008" customWidth="1"/>
    <col min="15601" max="15601" width="17.7109375" style="1008" customWidth="1"/>
    <col min="15602" max="15602" width="1.5703125" style="1008" customWidth="1"/>
    <col min="15603" max="15603" width="6.42578125" style="1008" customWidth="1"/>
    <col min="15604" max="15604" width="13.140625" style="1008" customWidth="1"/>
    <col min="15605" max="15605" width="1" style="1008" customWidth="1"/>
    <col min="15606" max="15606" width="19.5703125" style="1008" customWidth="1"/>
    <col min="15607" max="15607" width="0.85546875" style="1008" customWidth="1"/>
    <col min="15608" max="15608" width="14.42578125" style="1008" customWidth="1"/>
    <col min="15609" max="15609" width="12.85546875" style="1008" customWidth="1"/>
    <col min="15610" max="15610" width="6.140625" style="1008" customWidth="1"/>
    <col min="15611" max="15612" width="11.42578125" style="1008"/>
    <col min="15613" max="15613" width="15.42578125" style="1008" customWidth="1"/>
    <col min="15614" max="15853" width="11.42578125" style="1008"/>
    <col min="15854" max="15854" width="2.28515625" style="1008" customWidth="1"/>
    <col min="15855" max="15855" width="2.7109375" style="1008" customWidth="1"/>
    <col min="15856" max="15856" width="2.42578125" style="1008" customWidth="1"/>
    <col min="15857" max="15857" width="17.7109375" style="1008" customWidth="1"/>
    <col min="15858" max="15858" width="1.5703125" style="1008" customWidth="1"/>
    <col min="15859" max="15859" width="6.42578125" style="1008" customWidth="1"/>
    <col min="15860" max="15860" width="13.140625" style="1008" customWidth="1"/>
    <col min="15861" max="15861" width="1" style="1008" customWidth="1"/>
    <col min="15862" max="15862" width="19.5703125" style="1008" customWidth="1"/>
    <col min="15863" max="15863" width="0.85546875" style="1008" customWidth="1"/>
    <col min="15864" max="15864" width="14.42578125" style="1008" customWidth="1"/>
    <col min="15865" max="15865" width="12.85546875" style="1008" customWidth="1"/>
    <col min="15866" max="15866" width="6.140625" style="1008" customWidth="1"/>
    <col min="15867" max="15868" width="11.42578125" style="1008"/>
    <col min="15869" max="15869" width="15.42578125" style="1008" customWidth="1"/>
    <col min="15870" max="16109" width="11.42578125" style="1008"/>
    <col min="16110" max="16110" width="2.28515625" style="1008" customWidth="1"/>
    <col min="16111" max="16111" width="2.7109375" style="1008" customWidth="1"/>
    <col min="16112" max="16112" width="2.42578125" style="1008" customWidth="1"/>
    <col min="16113" max="16113" width="17.7109375" style="1008" customWidth="1"/>
    <col min="16114" max="16114" width="1.5703125" style="1008" customWidth="1"/>
    <col min="16115" max="16115" width="6.42578125" style="1008" customWidth="1"/>
    <col min="16116" max="16116" width="13.140625" style="1008" customWidth="1"/>
    <col min="16117" max="16117" width="1" style="1008" customWidth="1"/>
    <col min="16118" max="16118" width="19.5703125" style="1008" customWidth="1"/>
    <col min="16119" max="16119" width="0.85546875" style="1008" customWidth="1"/>
    <col min="16120" max="16120" width="14.42578125" style="1008" customWidth="1"/>
    <col min="16121" max="16121" width="12.85546875" style="1008" customWidth="1"/>
    <col min="16122" max="16122" width="6.140625" style="1008" customWidth="1"/>
    <col min="16123" max="16124" width="11.42578125" style="1008"/>
    <col min="16125" max="16125" width="15.42578125" style="1008" customWidth="1"/>
    <col min="16126" max="16384" width="11.42578125" style="1008"/>
  </cols>
  <sheetData>
    <row r="1" spans="1:18" ht="9" hidden="1" customHeight="1" x14ac:dyDescent="0.2"/>
    <row r="2" spans="1:18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1"/>
    </row>
    <row r="3" spans="1:18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4"/>
    </row>
    <row r="4" spans="1:18" ht="16.5" thickTop="1" x14ac:dyDescent="0.25">
      <c r="A4" s="2875" t="str">
        <f>"CERTIFICADO DE CALIBRACIÓN N° "&amp;"LSCD "&amp;'F-LSCD-012'!C25</f>
        <v>CERTIFICADO DE CALIBRACIÓN N° LSCD 029-2021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7"/>
    </row>
    <row r="5" spans="1:18" ht="15.75" x14ac:dyDescent="0.2">
      <c r="A5" s="2878" t="s">
        <v>253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80"/>
    </row>
    <row r="6" spans="1:18" ht="15.75" x14ac:dyDescent="0.2">
      <c r="A6" s="2881" t="s">
        <v>1119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80"/>
    </row>
    <row r="7" spans="1:18" ht="4.9000000000000004" customHeight="1" x14ac:dyDescent="0.2">
      <c r="A7" s="2885"/>
      <c r="B7" s="2886"/>
      <c r="C7" s="2886"/>
      <c r="D7" s="2886"/>
      <c r="E7" s="2886"/>
      <c r="F7" s="2886"/>
      <c r="G7" s="2886"/>
      <c r="H7" s="2886"/>
      <c r="I7" s="2886"/>
      <c r="J7" s="2886"/>
      <c r="K7" s="2886"/>
      <c r="L7" s="2886"/>
      <c r="M7" s="2886"/>
      <c r="N7" s="2886"/>
      <c r="O7" s="2886"/>
      <c r="P7" s="2886"/>
      <c r="Q7" s="2886"/>
      <c r="R7" s="2887"/>
    </row>
    <row r="8" spans="1:18" ht="6.75" customHeight="1" x14ac:dyDescent="0.2">
      <c r="A8" s="1009"/>
      <c r="P8" s="1747"/>
      <c r="Q8" s="1747"/>
      <c r="R8" s="1011"/>
    </row>
    <row r="9" spans="1:18" ht="13.5" customHeight="1" x14ac:dyDescent="0.2">
      <c r="A9" s="1009"/>
      <c r="B9" s="1010" t="s">
        <v>220</v>
      </c>
      <c r="D9" s="1010" t="s">
        <v>218</v>
      </c>
      <c r="E9" s="1008" t="str">
        <f>'F-LSCD-012'!C7</f>
        <v>ALEPH SAC</v>
      </c>
      <c r="P9" s="2902" t="s">
        <v>221</v>
      </c>
      <c r="Q9" s="2930"/>
      <c r="R9" s="1011"/>
    </row>
    <row r="10" spans="1:18" ht="24.75" customHeight="1" x14ac:dyDescent="0.2">
      <c r="A10" s="1009"/>
      <c r="E10" s="2882" t="str">
        <f>'F-LSCD-012'!C8</f>
        <v>Av. Rafael Escardo 154</v>
      </c>
      <c r="F10" s="2882"/>
      <c r="G10" s="2882"/>
      <c r="H10" s="2882"/>
      <c r="I10" s="2882"/>
      <c r="J10" s="2882"/>
      <c r="K10" s="2882"/>
      <c r="L10" s="2882"/>
      <c r="M10" s="2882"/>
      <c r="N10" s="2882"/>
      <c r="P10" s="2902"/>
      <c r="Q10" s="2930"/>
      <c r="R10" s="1011"/>
    </row>
    <row r="11" spans="1:18" ht="15" customHeight="1" x14ac:dyDescent="0.2">
      <c r="A11" s="1009"/>
      <c r="E11" s="1008" t="str">
        <f>'F-LSCD-012'!I8&amp;", "&amp;'F-LSCD-012'!L8&amp;", "&amp;'F-LSCD-012'!P8&amp;", "&amp;'F-LSCD-012'!T8</f>
        <v>San Miguel, Lima, Lima, Perú</v>
      </c>
      <c r="P11" s="2902"/>
      <c r="Q11" s="2930"/>
      <c r="R11" s="1011"/>
    </row>
    <row r="12" spans="1:18" ht="8.25" customHeight="1" x14ac:dyDescent="0.2">
      <c r="A12" s="1009"/>
      <c r="P12" s="2902"/>
      <c r="Q12" s="2930"/>
      <c r="R12" s="1011"/>
    </row>
    <row r="13" spans="1:18" x14ac:dyDescent="0.2">
      <c r="A13" s="1009"/>
      <c r="B13" s="1010" t="s">
        <v>222</v>
      </c>
      <c r="D13" s="1010" t="s">
        <v>218</v>
      </c>
      <c r="E13" s="1012" t="str">
        <f>'F-LSCD-012'!C6</f>
        <v>OT 111-12925</v>
      </c>
      <c r="F13" s="1013"/>
      <c r="G13" s="1013"/>
      <c r="H13" s="1013"/>
      <c r="I13" s="1013"/>
      <c r="J13" s="1013"/>
      <c r="K13" s="1014"/>
      <c r="L13" s="1014"/>
      <c r="M13" s="1014"/>
      <c r="N13" s="1015"/>
      <c r="O13" s="1016"/>
      <c r="P13" s="2902"/>
      <c r="Q13" s="2930"/>
      <c r="R13" s="1011"/>
    </row>
    <row r="14" spans="1:18" ht="5.25" customHeight="1" x14ac:dyDescent="0.2">
      <c r="A14" s="1009"/>
      <c r="P14" s="2902"/>
      <c r="Q14" s="2930"/>
      <c r="R14" s="1011"/>
    </row>
    <row r="15" spans="1:18" x14ac:dyDescent="0.2">
      <c r="A15" s="1009"/>
      <c r="B15" s="175" t="s">
        <v>133</v>
      </c>
      <c r="P15" s="1746"/>
      <c r="Q15" s="1747"/>
      <c r="R15" s="1011"/>
    </row>
    <row r="16" spans="1:18" ht="5.25" customHeight="1" x14ac:dyDescent="0.2">
      <c r="A16" s="1009"/>
      <c r="P16" s="1746"/>
      <c r="Q16" s="1747"/>
      <c r="R16" s="1011"/>
    </row>
    <row r="17" spans="1:18" ht="5.25" customHeight="1" x14ac:dyDescent="0.2">
      <c r="A17" s="1009"/>
      <c r="P17" s="1746"/>
      <c r="Q17" s="1747"/>
      <c r="R17" s="1011"/>
    </row>
    <row r="18" spans="1:18" x14ac:dyDescent="0.2">
      <c r="A18" s="1009"/>
      <c r="B18" s="1010" t="s">
        <v>255</v>
      </c>
      <c r="D18" s="1010" t="s">
        <v>218</v>
      </c>
      <c r="E18" s="2883" t="str">
        <f>'F-LSCD-012'!C9</f>
        <v>Monitor de radiación (digital)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1017"/>
      <c r="P18" s="1018"/>
      <c r="Q18" s="1019"/>
      <c r="R18" s="1011"/>
    </row>
    <row r="19" spans="1:18" x14ac:dyDescent="0.2">
      <c r="A19" s="1009"/>
      <c r="B19" s="1010"/>
      <c r="D19" s="1010"/>
      <c r="E19" s="2883" t="str">
        <f>IF('F-LSCD-012'!C13="-","Marca monitor: "&amp;'F-LSCD-012'!C10,"Marca monitor: "&amp;'F-LSCD-012'!C10&amp;" / Marca sonda: "&amp;'F-LSCD-012'!C13)</f>
        <v>Marca monitor: MGP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1017"/>
      <c r="P19" s="1746"/>
      <c r="Q19" s="1747"/>
      <c r="R19" s="1011"/>
    </row>
    <row r="20" spans="1:18" ht="12" customHeight="1" x14ac:dyDescent="0.2">
      <c r="A20" s="1009"/>
      <c r="B20" s="1010"/>
      <c r="D20" s="1010"/>
      <c r="E20" s="2883" t="str">
        <f>IF('F-LSCD-012'!C13="-","Modelo monitor: "&amp;'F-LSCD-012'!C11,"Modelo monitor: "&amp;'F-LSCD-012'!C11&amp;" / Modelo sonda: "&amp;'F-LSCD-012'!C14)</f>
        <v>Modelo monitor: DMC 2000S</v>
      </c>
      <c r="F20" s="2883"/>
      <c r="G20" s="2883"/>
      <c r="H20" s="2883"/>
      <c r="I20" s="2883"/>
      <c r="J20" s="2883"/>
      <c r="K20" s="2883"/>
      <c r="L20" s="2883"/>
      <c r="M20" s="2883"/>
      <c r="N20" s="2883"/>
      <c r="O20" s="1017"/>
      <c r="P20" s="2948" t="s">
        <v>225</v>
      </c>
      <c r="Q20" s="2947"/>
      <c r="R20" s="1011"/>
    </row>
    <row r="21" spans="1:18" ht="12" customHeight="1" x14ac:dyDescent="0.2">
      <c r="A21" s="1009"/>
      <c r="B21" s="1010"/>
      <c r="D21" s="1010"/>
      <c r="E21" s="2883" t="str">
        <f>IF('F-LSCD-012'!C13="-","Serie monitor: "&amp;'F-LSCD-012'!C12,"Serie monitor: "&amp;'F-LSCD-012'!C12&amp;" / Serie sonda: "&amp;'F-LSCD-012'!C15)</f>
        <v>Serie monitor: 690384T</v>
      </c>
      <c r="F21" s="2883"/>
      <c r="G21" s="2883"/>
      <c r="H21" s="2883"/>
      <c r="I21" s="2883"/>
      <c r="J21" s="2883"/>
      <c r="K21" s="2883"/>
      <c r="L21" s="2883"/>
      <c r="M21" s="2883"/>
      <c r="N21" s="2883"/>
      <c r="O21" s="1017"/>
      <c r="P21" s="2948"/>
      <c r="Q21" s="2947"/>
      <c r="R21" s="1011"/>
    </row>
    <row r="22" spans="1:18" ht="8.25" customHeight="1" x14ac:dyDescent="0.2">
      <c r="A22" s="1009"/>
      <c r="B22" s="1010"/>
      <c r="D22" s="1010"/>
      <c r="E22" s="2883"/>
      <c r="F22" s="2883"/>
      <c r="G22" s="2883"/>
      <c r="H22" s="2883"/>
      <c r="I22" s="2883"/>
      <c r="J22" s="2883"/>
      <c r="K22" s="2883"/>
      <c r="L22" s="2883"/>
      <c r="M22" s="2883"/>
      <c r="N22" s="2883"/>
      <c r="O22" s="1017"/>
      <c r="P22" s="2948"/>
      <c r="Q22" s="2947"/>
      <c r="R22" s="1011"/>
    </row>
    <row r="23" spans="1:18" x14ac:dyDescent="0.2">
      <c r="A23" s="1009"/>
      <c r="B23" s="1020" t="s">
        <v>224</v>
      </c>
      <c r="D23" s="175" t="s">
        <v>218</v>
      </c>
      <c r="E23" s="2908" t="str">
        <f>'F-LSCD-012'!C19</f>
        <v>Campo de radiación calibrado usando un fantoma, según ISO 4037-3 (2019), aplicado al PROC-LSCD-012 Calibración de dosímetros personales (versión 05)</v>
      </c>
      <c r="F23" s="2908"/>
      <c r="G23" s="2908"/>
      <c r="H23" s="2908"/>
      <c r="I23" s="2908"/>
      <c r="J23" s="2908"/>
      <c r="K23" s="2908"/>
      <c r="L23" s="2908"/>
      <c r="M23" s="2908"/>
      <c r="N23" s="2908"/>
      <c r="O23" s="1021"/>
      <c r="P23" s="2948"/>
      <c r="Q23" s="2947"/>
      <c r="R23" s="1011"/>
    </row>
    <row r="24" spans="1:18" x14ac:dyDescent="0.2">
      <c r="A24" s="1009"/>
      <c r="E24" s="2908"/>
      <c r="F24" s="2908"/>
      <c r="G24" s="2908"/>
      <c r="H24" s="2908"/>
      <c r="I24" s="2908"/>
      <c r="J24" s="2908"/>
      <c r="K24" s="2908"/>
      <c r="L24" s="2908"/>
      <c r="M24" s="2908"/>
      <c r="N24" s="2908"/>
      <c r="O24" s="1021"/>
      <c r="P24" s="2948"/>
      <c r="Q24" s="2947"/>
      <c r="R24" s="1011"/>
    </row>
    <row r="25" spans="1:18" ht="6.7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2948"/>
      <c r="Q25" s="2947"/>
      <c r="R25" s="1011"/>
    </row>
    <row r="26" spans="1:18" ht="14.25" customHeight="1" x14ac:dyDescent="0.2">
      <c r="A26" s="1009"/>
      <c r="B26" s="1010" t="s">
        <v>226</v>
      </c>
      <c r="D26" s="1010" t="s">
        <v>218</v>
      </c>
      <c r="P26" s="2948"/>
      <c r="Q26" s="2947"/>
      <c r="R26" s="1011"/>
    </row>
    <row r="27" spans="1:18" ht="8.25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P27" s="2948"/>
      <c r="Q27" s="2947"/>
      <c r="R27" s="1011"/>
    </row>
    <row r="28" spans="1:18" ht="42" customHeight="1" x14ac:dyDescent="0.2">
      <c r="A28" s="1009"/>
      <c r="C28" s="1272" t="s">
        <v>227</v>
      </c>
      <c r="D28" s="1280" t="s">
        <v>218</v>
      </c>
      <c r="E28" s="2908" t="str">
        <f>'F-LSCD-012'!C20</f>
        <v>Cámara de ionización patrón de 1 L , marca: PTW; modelo: TN32002; serie: 000568; Reporte de calibración de Kerma en aire DG: 13580-21 con fecha 2021-04-01 (NIST); trazable al NIST.</v>
      </c>
      <c r="F28" s="2908"/>
      <c r="G28" s="2908"/>
      <c r="H28" s="2908"/>
      <c r="I28" s="2908"/>
      <c r="J28" s="2908"/>
      <c r="K28" s="2908"/>
      <c r="L28" s="2908"/>
      <c r="M28" s="2908"/>
      <c r="N28" s="2908"/>
      <c r="O28" s="1023"/>
      <c r="P28" s="2948"/>
      <c r="Q28" s="2947"/>
      <c r="R28" s="1011"/>
    </row>
    <row r="29" spans="1:18" ht="12" customHeight="1" x14ac:dyDescent="0.2">
      <c r="A29" s="1009"/>
      <c r="C29" s="1272" t="s">
        <v>203</v>
      </c>
      <c r="D29" s="1022" t="s">
        <v>218</v>
      </c>
      <c r="E29" s="1275" t="str">
        <f>'F-LSCD-012'!C21</f>
        <v>S-Cs (ISO 4037-3)</v>
      </c>
      <c r="F29" s="1275"/>
      <c r="G29" s="1275"/>
      <c r="H29" s="1275"/>
      <c r="I29" s="1275"/>
      <c r="J29" s="1275"/>
      <c r="K29" s="1275"/>
      <c r="L29" s="1275"/>
      <c r="M29" s="1275"/>
      <c r="N29" s="1275"/>
      <c r="O29" s="1014"/>
      <c r="P29" s="2902" t="s">
        <v>702</v>
      </c>
      <c r="Q29" s="2930"/>
      <c r="R29" s="1011"/>
    </row>
    <row r="30" spans="1:18" x14ac:dyDescent="0.2">
      <c r="A30" s="1009"/>
      <c r="C30" s="170" t="s">
        <v>138</v>
      </c>
      <c r="D30" s="227" t="s">
        <v>218</v>
      </c>
      <c r="E30" s="1401" t="str">
        <f>'F-LSCD-012'!I24</f>
        <v>Dosis equivalente personal, Hp(10)</v>
      </c>
      <c r="F30" s="1275"/>
      <c r="G30" s="1275"/>
      <c r="H30" s="1275"/>
      <c r="I30" s="1275"/>
      <c r="J30" s="1275"/>
      <c r="K30" s="1275"/>
      <c r="L30" s="1275"/>
      <c r="M30" s="1275"/>
      <c r="N30" s="1275"/>
      <c r="O30" s="1014"/>
      <c r="P30" s="2902"/>
      <c r="Q30" s="2930"/>
      <c r="R30" s="1011"/>
    </row>
    <row r="31" spans="1:18" ht="25.5" x14ac:dyDescent="0.2">
      <c r="A31" s="1009"/>
      <c r="C31" s="1274" t="s">
        <v>228</v>
      </c>
      <c r="D31" s="1022" t="s">
        <v>218</v>
      </c>
      <c r="E31" s="2952" t="str">
        <f>IF('F-LSCD-012'!D30="-","Temp (°C): "&amp;'F-LSCD-012'!D28&amp;"; Presión (hPa): "&amp;'F-LSCD-012'!H28&amp;"; HR(%): "&amp;'F-LSCD-012'!F28,"Temp (°C): "&amp;'F-LSCD-012'!D30&amp;"; Presión (hPa): "&amp;'F-LSCD-012'!H30&amp;"; HR(%): "&amp;'F-LSCD-012'!F30)</f>
        <v>Temp (°C): 20.2; Presión (hPa): 1010; HR(%): 52</v>
      </c>
      <c r="F31" s="2952"/>
      <c r="G31" s="2952"/>
      <c r="H31" s="2952"/>
      <c r="I31" s="2952"/>
      <c r="J31" s="2952"/>
      <c r="K31" s="2952"/>
      <c r="L31" s="2952"/>
      <c r="M31" s="2952"/>
      <c r="N31" s="2952"/>
      <c r="O31" s="1014"/>
      <c r="P31" s="2902"/>
      <c r="Q31" s="2930"/>
      <c r="R31" s="1011"/>
    </row>
    <row r="32" spans="1:18" ht="25.5" x14ac:dyDescent="0.2">
      <c r="A32" s="1009"/>
      <c r="C32" s="1273" t="s">
        <v>277</v>
      </c>
      <c r="D32" s="1280" t="s">
        <v>218</v>
      </c>
      <c r="E32" s="2912" t="str">
        <f>'F-LSCD-012'!C22</f>
        <v xml:space="preserve">Eje longitudinal del detector paralelo al eje central del haz de radiación
</v>
      </c>
      <c r="F32" s="2912"/>
      <c r="G32" s="2912"/>
      <c r="H32" s="2912"/>
      <c r="I32" s="2912"/>
      <c r="J32" s="2912"/>
      <c r="K32" s="2912"/>
      <c r="L32" s="2912"/>
      <c r="M32" s="2912"/>
      <c r="N32" s="2912"/>
      <c r="O32" s="1014"/>
      <c r="P32" s="1024"/>
      <c r="Q32" s="1025"/>
      <c r="R32" s="1011"/>
    </row>
    <row r="33" spans="1:18" x14ac:dyDescent="0.2">
      <c r="A33" s="1009"/>
      <c r="C33" s="1273" t="s">
        <v>231</v>
      </c>
      <c r="D33" s="1280" t="s">
        <v>218</v>
      </c>
      <c r="E33" s="2913" t="str">
        <f>'F-LSCD-012'!C23</f>
        <v>Centro geométrico del volumen sensible del detector</v>
      </c>
      <c r="F33" s="2913"/>
      <c r="G33" s="2913"/>
      <c r="H33" s="2913"/>
      <c r="I33" s="2913"/>
      <c r="J33" s="2913"/>
      <c r="K33" s="2913"/>
      <c r="L33" s="2913"/>
      <c r="M33" s="2913"/>
      <c r="N33" s="2913"/>
      <c r="O33" s="1014"/>
      <c r="P33" s="2906" t="s">
        <v>1247</v>
      </c>
      <c r="Q33" s="2930"/>
      <c r="R33" s="1011"/>
    </row>
    <row r="34" spans="1:18" ht="12.75" customHeight="1" x14ac:dyDescent="0.2">
      <c r="A34" s="1009"/>
      <c r="C34" s="1273" t="s">
        <v>232</v>
      </c>
      <c r="D34" s="1022" t="s">
        <v>218</v>
      </c>
      <c r="E34" s="2931">
        <f>'F-LSCD-012'!C16</f>
        <v>44336</v>
      </c>
      <c r="F34" s="2931"/>
      <c r="G34" s="2931"/>
      <c r="H34" s="1276"/>
      <c r="I34" s="1276"/>
      <c r="J34" s="1276"/>
      <c r="K34" s="1277"/>
      <c r="L34" s="1275"/>
      <c r="M34" s="1275"/>
      <c r="N34" s="1275"/>
      <c r="O34" s="1014"/>
      <c r="P34" s="2902"/>
      <c r="Q34" s="2930"/>
      <c r="R34" s="1011"/>
    </row>
    <row r="35" spans="1:18" ht="15" customHeight="1" x14ac:dyDescent="0.2">
      <c r="A35" s="1009"/>
      <c r="C35" s="1272" t="s">
        <v>257</v>
      </c>
      <c r="D35" s="1022" t="s">
        <v>218</v>
      </c>
      <c r="E35" s="2931">
        <f>'F-LSCD-012'!C18</f>
        <v>44336</v>
      </c>
      <c r="F35" s="2931"/>
      <c r="G35" s="2931"/>
      <c r="H35" s="1278"/>
      <c r="I35" s="1278"/>
      <c r="J35" s="1278"/>
      <c r="K35" s="1279"/>
      <c r="L35" s="1279"/>
      <c r="M35" s="1279"/>
      <c r="N35" s="1279"/>
      <c r="O35" s="1027"/>
      <c r="P35" s="2902"/>
      <c r="Q35" s="2930"/>
      <c r="R35" s="1011"/>
    </row>
    <row r="36" spans="1:18" ht="9" customHeight="1" x14ac:dyDescent="0.25">
      <c r="A36" s="1009"/>
      <c r="B36" s="1010"/>
      <c r="D36" s="1028"/>
      <c r="E36" s="1028"/>
      <c r="H36" s="1026"/>
      <c r="R36" s="1011"/>
    </row>
    <row r="37" spans="1:18" ht="15" customHeight="1" x14ac:dyDescent="0.2">
      <c r="A37" s="1009"/>
      <c r="B37" s="1010" t="s">
        <v>258</v>
      </c>
      <c r="C37" s="1010"/>
      <c r="D37" s="1029"/>
      <c r="E37" s="1029"/>
      <c r="F37" s="1010"/>
      <c r="G37" s="1010"/>
      <c r="H37" s="1010"/>
      <c r="I37" s="1010"/>
      <c r="J37" s="1010"/>
      <c r="R37" s="1011"/>
    </row>
    <row r="38" spans="1:18" ht="3.75" customHeight="1" x14ac:dyDescent="0.2">
      <c r="A38" s="1009"/>
      <c r="D38" s="1028"/>
      <c r="E38" s="1030"/>
      <c r="R38" s="1011"/>
    </row>
    <row r="39" spans="1:18" ht="15" customHeight="1" x14ac:dyDescent="0.2">
      <c r="A39" s="1009"/>
      <c r="C39" s="3138" t="str">
        <f>IF('F-LSCD-012'!I24="Tasa de dosis equivalente ambiental, H*(10)","VCV de la tasa de dosis equivalente ambiental H*(10) (µSv/h)",IF('F-LSCD-012'!I24="Dosis equivalente personal, Hp(10)","VCV de la dosis equivalente personal Hp(10) (µSv)",IF('F-LSCD-012'!I24="Dosis equivalente personal, Hp(0,07)","VCV de la dosis equivalente personal Hp(0,07) (µSv)",IF('F-LSCD-012'!I24="Dosis absorbida, D(10)","VCV de la dosis absorbida D(10) (mGy)"))))</f>
        <v>VCV de la dosis equivalente personal Hp(10) (µSv)</v>
      </c>
      <c r="D39" s="2890"/>
      <c r="E39" s="3139" t="s">
        <v>948</v>
      </c>
      <c r="F39" s="3139"/>
      <c r="G39" s="3139" t="s">
        <v>117</v>
      </c>
      <c r="H39" s="3140"/>
      <c r="I39" s="2853" t="s">
        <v>204</v>
      </c>
      <c r="J39" s="2857"/>
      <c r="K39" s="2866" t="s">
        <v>801</v>
      </c>
      <c r="L39" s="2868"/>
      <c r="M39" s="2940" t="s">
        <v>259</v>
      </c>
      <c r="N39" s="2941"/>
      <c r="O39" s="2942"/>
      <c r="R39" s="1011"/>
    </row>
    <row r="40" spans="1:18" ht="22.5" customHeight="1" x14ac:dyDescent="0.2">
      <c r="A40" s="1009"/>
      <c r="C40" s="2936"/>
      <c r="D40" s="2937"/>
      <c r="E40" s="3139"/>
      <c r="F40" s="3139"/>
      <c r="G40" s="3140"/>
      <c r="H40" s="3140"/>
      <c r="I40" s="2855"/>
      <c r="J40" s="2858"/>
      <c r="K40" s="2938"/>
      <c r="L40" s="2939"/>
      <c r="M40" s="2943"/>
      <c r="N40" s="2944"/>
      <c r="O40" s="2945"/>
      <c r="P40" s="1031"/>
      <c r="Q40" s="1031"/>
      <c r="R40" s="1011"/>
    </row>
    <row r="41" spans="1:18" x14ac:dyDescent="0.2">
      <c r="A41" s="1009"/>
      <c r="C41" s="2851">
        <f>'F-LSCD-012'!A34</f>
        <v>25000</v>
      </c>
      <c r="D41" s="2851"/>
      <c r="E41" s="2965">
        <f>'F-LSCD-012'!O34</f>
        <v>2474</v>
      </c>
      <c r="F41" s="2966"/>
      <c r="G41" s="2850" t="str">
        <f>IF('F-LSCD-012'!N35="-",'F-LSCD-012'!N34,'F-LSCD-012'!N35)</f>
        <v>mrem</v>
      </c>
      <c r="H41" s="2920"/>
      <c r="I41" s="3137" t="str">
        <f>'F-LSCD-004'!$H$10</f>
        <v>0°</v>
      </c>
      <c r="J41" s="2920"/>
      <c r="K41" s="2934">
        <f>IF('F-LSCD-012'!R35="-",'F-LSCD-012'!R34,'F-LSCD-012'!R35)</f>
        <v>1.0105092966855296</v>
      </c>
      <c r="L41" s="2935"/>
      <c r="M41" s="2847">
        <f>IF('F-LSCD-012'!O35="-",'F-LSCD-012'!T34,'F-LSCD-012'!T35)</f>
        <v>4.4999999999999998E-2</v>
      </c>
      <c r="N41" s="2847"/>
      <c r="O41" s="2847"/>
      <c r="P41" s="1032"/>
      <c r="Q41" s="1032"/>
      <c r="R41" s="1011"/>
    </row>
    <row r="42" spans="1:18" x14ac:dyDescent="0.2">
      <c r="A42" s="1009"/>
      <c r="C42" s="2851" t="str">
        <f>'F-LSCD-012'!A36</f>
        <v>-</v>
      </c>
      <c r="D42" s="2851"/>
      <c r="E42" s="2927" t="str">
        <f>'F-LSCD-012'!O36</f>
        <v>-</v>
      </c>
      <c r="F42" s="2928"/>
      <c r="G42" s="2850" t="str">
        <f>IF('F-LSCD-012'!N37="-",'F-LSCD-012'!N36,'F-LSCD-012'!N37)</f>
        <v>-</v>
      </c>
      <c r="H42" s="2920"/>
      <c r="I42" s="3136" t="str">
        <f>'F-LSCD-004'!$H$10</f>
        <v>0°</v>
      </c>
      <c r="J42" s="2920"/>
      <c r="K42" s="2850" t="str">
        <f>IF('F-LSCD-012'!R37="-",'F-LSCD-012'!R36,'F-LSCD-012'!R37)</f>
        <v>-</v>
      </c>
      <c r="L42" s="2850"/>
      <c r="M42" s="2847" t="str">
        <f>IF('F-LSCD-012'!O37="-",'F-LSCD-012'!T36,'F-LSCD-012'!T37)</f>
        <v>-</v>
      </c>
      <c r="N42" s="2847"/>
      <c r="O42" s="2847"/>
      <c r="P42" s="1032"/>
      <c r="Q42" s="1032"/>
      <c r="R42" s="1011"/>
    </row>
    <row r="43" spans="1:18" x14ac:dyDescent="0.2">
      <c r="A43" s="1009"/>
      <c r="C43" s="2851" t="str">
        <f>'F-LSCD-012'!A38</f>
        <v>-</v>
      </c>
      <c r="D43" s="2851"/>
      <c r="E43" s="2934" t="str">
        <f>'F-LSCD-012'!O38</f>
        <v>-</v>
      </c>
      <c r="F43" s="2935"/>
      <c r="G43" s="2850" t="str">
        <f>IF('F-LSCD-012'!N39="-",'F-LSCD-012'!N38,'F-LSCD-012'!N39)</f>
        <v>-</v>
      </c>
      <c r="H43" s="2850"/>
      <c r="I43" s="3136" t="str">
        <f>'F-LSCD-004'!$H$10</f>
        <v>0°</v>
      </c>
      <c r="J43" s="2920"/>
      <c r="K43" s="2850" t="str">
        <f>IF('F-LSCD-012'!R39="-",'F-LSCD-012'!R38,'F-LSCD-012'!R39)</f>
        <v>-</v>
      </c>
      <c r="L43" s="2850"/>
      <c r="M43" s="2847" t="str">
        <f>IF('F-LSCD-012'!O39="-",'F-LSCD-012'!T38,'F-LSCD-012'!T39)</f>
        <v>-</v>
      </c>
      <c r="N43" s="2847"/>
      <c r="O43" s="2847"/>
      <c r="P43" s="199"/>
      <c r="Q43" s="1032"/>
      <c r="R43" s="1011"/>
    </row>
    <row r="44" spans="1:18" hidden="1" x14ac:dyDescent="0.2">
      <c r="A44" s="1009"/>
      <c r="C44" s="2851" t="str">
        <f>'F-LSCD-012'!A40</f>
        <v>-</v>
      </c>
      <c r="D44" s="2851"/>
      <c r="E44" s="2921" t="str">
        <f>'F-LSCD-012'!O40</f>
        <v>-</v>
      </c>
      <c r="F44" s="2922"/>
      <c r="G44" s="2850" t="str">
        <f>IF('F-LSCD-012'!N41="-",'F-LSCD-012'!N40,'F-LSCD-012'!N41)</f>
        <v>-</v>
      </c>
      <c r="H44" s="2850"/>
      <c r="I44" s="3136" t="str">
        <f>'F-LSCD-004'!$H$10</f>
        <v>0°</v>
      </c>
      <c r="J44" s="2920"/>
      <c r="K44" s="2850" t="str">
        <f>IF('F-LSCD-012'!R41="-",'F-LSCD-012'!R40,'F-LSCD-012'!R41)</f>
        <v>-</v>
      </c>
      <c r="L44" s="2850"/>
      <c r="M44" s="2847" t="str">
        <f>IF('F-LSCD-012'!O41="-",'F-LSCD-012'!T40,'F-LSCD-012'!T41)</f>
        <v>-</v>
      </c>
      <c r="N44" s="2847"/>
      <c r="O44" s="2847"/>
      <c r="P44" s="1032"/>
      <c r="Q44" s="1032"/>
      <c r="R44" s="1011"/>
    </row>
    <row r="45" spans="1:18" hidden="1" x14ac:dyDescent="0.2">
      <c r="A45" s="1009"/>
      <c r="C45" s="2851" t="str">
        <f>'F-LSCD-012'!A42</f>
        <v>-</v>
      </c>
      <c r="D45" s="2851"/>
      <c r="E45" s="2960" t="str">
        <f>'F-LSCD-012'!O42</f>
        <v>-</v>
      </c>
      <c r="F45" s="2961"/>
      <c r="G45" s="2850" t="str">
        <f>IF('F-LSCD-012'!N43="-",'F-LSCD-012'!N42,'F-LSCD-012'!N43)</f>
        <v>-</v>
      </c>
      <c r="H45" s="2850"/>
      <c r="I45" s="3136" t="str">
        <f>'F-LSCD-004'!$H$10</f>
        <v>0°</v>
      </c>
      <c r="J45" s="2920"/>
      <c r="K45" s="2850" t="str">
        <f>IF('F-LSCD-012'!R43="-",'F-LSCD-012'!R42,'F-LSCD-012'!R43)</f>
        <v>-</v>
      </c>
      <c r="L45" s="2850"/>
      <c r="M45" s="2847" t="str">
        <f>IF('F-LSCD-012'!O43="-",'F-LSCD-012'!T42,'F-LSCD-012'!T43)</f>
        <v>-</v>
      </c>
      <c r="N45" s="2847"/>
      <c r="O45" s="2847"/>
      <c r="P45" s="1032"/>
      <c r="Q45" s="1032"/>
      <c r="R45" s="1011"/>
    </row>
    <row r="46" spans="1:18" hidden="1" x14ac:dyDescent="0.2">
      <c r="A46" s="1009"/>
      <c r="C46" s="2851" t="str">
        <f>'F-LSCD-012'!A44</f>
        <v>-</v>
      </c>
      <c r="D46" s="2851"/>
      <c r="E46" s="2965" t="str">
        <f>'F-LSCD-012'!O44</f>
        <v>-</v>
      </c>
      <c r="F46" s="2966"/>
      <c r="G46" s="2850" t="str">
        <f>IF('F-LSCD-012'!N45="-",'F-LSCD-012'!N44,'F-LSCD-012'!N45)</f>
        <v>-</v>
      </c>
      <c r="H46" s="2850"/>
      <c r="I46" s="3136" t="str">
        <f>'F-LSCD-004'!$H$10</f>
        <v>0°</v>
      </c>
      <c r="J46" s="2920"/>
      <c r="K46" s="2850" t="str">
        <f>IF('F-LSCD-012'!R45="-",'F-LSCD-012'!R44,'F-LSCD-012'!R45)</f>
        <v>-</v>
      </c>
      <c r="L46" s="2850"/>
      <c r="M46" s="2847" t="str">
        <f>IF('F-LSCD-012'!O45="-",'F-LSCD-012'!T44,'F-LSCD-012'!T45)</f>
        <v>-</v>
      </c>
      <c r="N46" s="2847"/>
      <c r="O46" s="2847"/>
      <c r="P46" s="1032"/>
      <c r="Q46" s="1032"/>
      <c r="R46" s="1011"/>
    </row>
    <row r="47" spans="1:18" hidden="1" x14ac:dyDescent="0.2">
      <c r="A47" s="1009"/>
      <c r="C47" s="2851" t="str">
        <f>'F-LSCD-012'!A46</f>
        <v>-</v>
      </c>
      <c r="D47" s="2851"/>
      <c r="E47" s="2965" t="str">
        <f>'F-LSCD-012'!O46</f>
        <v>-</v>
      </c>
      <c r="F47" s="2966"/>
      <c r="G47" s="2850" t="str">
        <f>IF('F-LSCD-012'!N47="-",'F-LSCD-012'!N46,'F-LSCD-012'!N47)</f>
        <v>-</v>
      </c>
      <c r="H47" s="2850"/>
      <c r="I47" s="3136" t="str">
        <f>'F-LSCD-004'!$H$10</f>
        <v>0°</v>
      </c>
      <c r="J47" s="2920"/>
      <c r="K47" s="2850" t="str">
        <f>IF('F-LSCD-012'!R47="-",'F-LSCD-012'!R46,'F-LSCD-012'!R47)</f>
        <v>-</v>
      </c>
      <c r="L47" s="2850"/>
      <c r="M47" s="2847" t="str">
        <f>IF('F-LSCD-012'!O47="-",'F-LSCD-012'!T46,'F-LSCD-012'!T47)</f>
        <v>-</v>
      </c>
      <c r="N47" s="2847"/>
      <c r="O47" s="2847"/>
      <c r="P47" s="1385"/>
      <c r="Q47" s="1032"/>
      <c r="R47" s="1011"/>
    </row>
    <row r="48" spans="1:18" hidden="1" x14ac:dyDescent="0.2">
      <c r="A48" s="1009"/>
      <c r="C48" s="2851" t="str">
        <f>'F-LSCD-012'!A48</f>
        <v>-</v>
      </c>
      <c r="D48" s="2851"/>
      <c r="E48" s="2934" t="str">
        <f>'F-LSCD-012'!O48</f>
        <v>-</v>
      </c>
      <c r="F48" s="2935"/>
      <c r="G48" s="2850" t="str">
        <f>IF('F-LSCD-012'!N49="-",'F-LSCD-012'!N48,'F-LSCD-012'!N49)</f>
        <v>-</v>
      </c>
      <c r="H48" s="2850"/>
      <c r="I48" s="3136" t="str">
        <f>'F-LSCD-004'!$H$10</f>
        <v>0°</v>
      </c>
      <c r="J48" s="2920"/>
      <c r="K48" s="2850" t="str">
        <f>IF('F-LSCD-012'!R49="-",'F-LSCD-012'!R48,'F-LSCD-012'!R49)</f>
        <v>-</v>
      </c>
      <c r="L48" s="2850"/>
      <c r="M48" s="2847" t="str">
        <f>IF('F-LSCD-012'!O49="-",'F-LSCD-012'!T48,'F-LSCD-012'!T49)</f>
        <v>-</v>
      </c>
      <c r="N48" s="2847"/>
      <c r="O48" s="2847"/>
      <c r="P48" s="1032"/>
      <c r="Q48" s="1032"/>
      <c r="R48" s="1011"/>
    </row>
    <row r="49" spans="1:19" hidden="1" x14ac:dyDescent="0.2">
      <c r="A49" s="1009"/>
      <c r="C49" s="2851" t="str">
        <f>'F-LSCD-012'!A50</f>
        <v>-</v>
      </c>
      <c r="D49" s="2851"/>
      <c r="E49" s="2934" t="str">
        <f>'F-LSCD-012'!O50</f>
        <v>-</v>
      </c>
      <c r="F49" s="2935"/>
      <c r="G49" s="2850" t="str">
        <f>IF('F-LSCD-012'!N51="-",'F-LSCD-012'!N50,'F-LSCD-012'!N51)</f>
        <v>-</v>
      </c>
      <c r="H49" s="2850"/>
      <c r="I49" s="3136" t="str">
        <f>'F-LSCD-004'!$H$10</f>
        <v>0°</v>
      </c>
      <c r="J49" s="2920"/>
      <c r="K49" s="2850" t="str">
        <f>IF('F-LSCD-012'!R51="-",'F-LSCD-012'!R50,'F-LSCD-012'!R51)</f>
        <v>-</v>
      </c>
      <c r="L49" s="2850"/>
      <c r="M49" s="2847" t="str">
        <f>IF('F-LSCD-012'!O51="-",'F-LSCD-012'!T50,'F-LSCD-012'!T51)</f>
        <v>-</v>
      </c>
      <c r="N49" s="2847"/>
      <c r="O49" s="2847"/>
      <c r="P49" s="1032"/>
      <c r="Q49" s="1032"/>
      <c r="R49" s="1011"/>
    </row>
    <row r="50" spans="1:19" hidden="1" x14ac:dyDescent="0.2">
      <c r="A50" s="1009"/>
      <c r="C50" s="2851" t="str">
        <f>'F-LSCD-012'!A52</f>
        <v>-</v>
      </c>
      <c r="D50" s="2851"/>
      <c r="E50" s="2934" t="str">
        <f>'F-LSCD-012'!O52</f>
        <v>-</v>
      </c>
      <c r="F50" s="2935"/>
      <c r="G50" s="2850" t="str">
        <f>IF('F-LSCD-012'!N53="-",'F-LSCD-012'!N52,'F-LSCD-012'!N53)</f>
        <v>-</v>
      </c>
      <c r="H50" s="2850"/>
      <c r="I50" s="3136" t="str">
        <f>'F-LSCD-004'!$H$10</f>
        <v>0°</v>
      </c>
      <c r="J50" s="2920"/>
      <c r="K50" s="2850" t="str">
        <f>IF('F-LSCD-012'!R53="-",'F-LSCD-012'!R52,'F-LSCD-012'!R53)</f>
        <v>-</v>
      </c>
      <c r="L50" s="2850"/>
      <c r="M50" s="2847" t="str">
        <f>IF('F-LSCD-012'!O53="-",'F-LSCD-012'!T52,'F-LSCD-012'!T53)</f>
        <v>-</v>
      </c>
      <c r="N50" s="2847"/>
      <c r="O50" s="2847"/>
      <c r="P50" s="1032"/>
      <c r="Q50" s="1032"/>
      <c r="R50" s="1011"/>
    </row>
    <row r="51" spans="1:19" hidden="1" x14ac:dyDescent="0.2">
      <c r="A51" s="1009"/>
      <c r="C51" s="2851" t="str">
        <f>'F-LSCD-012'!A54</f>
        <v>-</v>
      </c>
      <c r="D51" s="2851"/>
      <c r="E51" s="2934" t="str">
        <f>'F-LSCD-012'!O54</f>
        <v>-</v>
      </c>
      <c r="F51" s="2935"/>
      <c r="G51" s="2850" t="str">
        <f>IF('F-LSCD-012'!N55="-",'F-LSCD-012'!N54,'F-LSCD-012'!N55)</f>
        <v>-</v>
      </c>
      <c r="H51" s="2850"/>
      <c r="I51" s="3136" t="str">
        <f>'F-LSCD-004'!$H$10</f>
        <v>0°</v>
      </c>
      <c r="J51" s="2920"/>
      <c r="K51" s="2850" t="str">
        <f>IF('F-LSCD-012'!R55="-",'F-LSCD-012'!R54,'F-LSCD-012'!R55)</f>
        <v>-</v>
      </c>
      <c r="L51" s="2850"/>
      <c r="M51" s="2847" t="str">
        <f>IF('F-LSCD-012'!O55="-",'F-LSCD-012'!T54,'F-LSCD-012'!T55)</f>
        <v>-</v>
      </c>
      <c r="N51" s="2847"/>
      <c r="O51" s="2847"/>
      <c r="P51" s="1032"/>
      <c r="Q51" s="1032"/>
      <c r="R51" s="1011"/>
    </row>
    <row r="52" spans="1:19" hidden="1" x14ac:dyDescent="0.2">
      <c r="A52" s="1009"/>
      <c r="C52" s="2851" t="str">
        <f>'F-LSCD-012'!A56</f>
        <v>-</v>
      </c>
      <c r="D52" s="2851"/>
      <c r="E52" s="2934" t="str">
        <f>'F-LSCD-012'!O56</f>
        <v>-</v>
      </c>
      <c r="F52" s="2935"/>
      <c r="G52" s="2850" t="str">
        <f>IF('F-LSCD-012'!N57="-",'F-LSCD-012'!N56,'F-LSCD-012'!N57)</f>
        <v>-</v>
      </c>
      <c r="H52" s="2850"/>
      <c r="I52" s="3136" t="str">
        <f>'F-LSCD-004'!$H$10</f>
        <v>0°</v>
      </c>
      <c r="J52" s="2920"/>
      <c r="K52" s="2850" t="str">
        <f>IF('F-LSCD-012'!R57="-",'F-LSCD-012'!R56,'F-LSCD-012'!R57)</f>
        <v>-</v>
      </c>
      <c r="L52" s="2850"/>
      <c r="M52" s="2847" t="str">
        <f>IF('F-LSCD-012'!O57="-",'F-LSCD-012'!T56,'F-LSCD-012'!T57)</f>
        <v>-</v>
      </c>
      <c r="N52" s="2847"/>
      <c r="O52" s="2847"/>
      <c r="P52" s="1032"/>
      <c r="Q52" s="1032"/>
      <c r="R52" s="1011"/>
    </row>
    <row r="53" spans="1:19" x14ac:dyDescent="0.2">
      <c r="A53" s="1009"/>
      <c r="C53" s="1033" t="str">
        <f>IF(K41="-","","VCV = Valor convencionalmente verdadero = "&amp;"Lectura del dosímetro x FC")</f>
        <v>VCV = Valor convencionalmente verdadero = Lectura del dosímetro x FC</v>
      </c>
      <c r="D53" s="1033"/>
      <c r="E53" s="1033"/>
      <c r="F53" s="1033"/>
      <c r="G53" s="1034"/>
      <c r="H53" s="1034"/>
      <c r="I53" s="1034"/>
      <c r="J53" s="1034"/>
      <c r="N53" s="1010"/>
      <c r="O53" s="1010"/>
      <c r="P53" s="1010"/>
      <c r="Q53" s="1010"/>
      <c r="R53" s="1011"/>
    </row>
    <row r="54" spans="1:19" x14ac:dyDescent="0.2">
      <c r="A54" s="1009"/>
      <c r="C54" s="1014" t="str">
        <f>IF(K41="-","","Promedio FC = "&amp;TEXT(AVERAGE(K41:L43),"#0,##"))</f>
        <v>Promedio FC = 01</v>
      </c>
      <c r="D54" s="1262"/>
      <c r="E54" s="1262"/>
      <c r="F54" s="1262"/>
      <c r="G54" s="1262"/>
      <c r="H54" s="1262"/>
      <c r="I54" s="1262"/>
      <c r="J54" s="1262"/>
      <c r="K54" s="1262"/>
      <c r="L54" s="1262"/>
      <c r="M54" s="1262"/>
      <c r="N54" s="1262"/>
      <c r="O54" s="1262"/>
      <c r="P54" s="1262"/>
      <c r="Q54" s="1262"/>
      <c r="R54" s="1011"/>
    </row>
    <row r="55" spans="1:19" x14ac:dyDescent="0.2">
      <c r="A55" s="1009"/>
      <c r="C55" s="180" t="str">
        <f>IF(OR(G41="mR",G42="mR",G43="mR",G44="mR",G45="mR"),"Dosímetro calibrado asumiendo que: "&amp;'Datos varios'!B120&amp;" "&amp;'Datos varios'!C120&amp;" es equivalente a "&amp;'Datos varios'!E120&amp;" "&amp;'Datos varios'!F120,IF(OR(G41="mrem",G42="mrem",G43="mrem",G44="mrem",G45="mrem"),"Dosímetro calibrado asumiendo que: "&amp;'Datos varios'!B123&amp;" "&amp;'Datos varios'!C123&amp;" es equivalente a "&amp;'Datos varios'!E123&amp;" "&amp;'Datos varios'!F123,""))</f>
        <v>Dosímetro calibrado asumiendo que: 1 mrem/h es equivalente a 10 µSv/h</v>
      </c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011"/>
    </row>
    <row r="56" spans="1:19" x14ac:dyDescent="0.2">
      <c r="A56" s="1009"/>
      <c r="C56" s="180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011"/>
    </row>
    <row r="57" spans="1:19" x14ac:dyDescent="0.2">
      <c r="A57" s="1009"/>
      <c r="C57" s="180"/>
      <c r="D57" s="1262"/>
      <c r="E57" s="1262"/>
      <c r="F57" s="1262"/>
      <c r="G57" s="1262"/>
      <c r="H57" s="1262"/>
      <c r="I57" s="1262"/>
      <c r="J57" s="1262"/>
      <c r="K57" s="1262"/>
      <c r="L57" s="1262"/>
      <c r="M57" s="1262"/>
      <c r="N57" s="1262"/>
      <c r="O57" s="1262"/>
      <c r="P57" s="1262"/>
      <c r="Q57" s="1262"/>
      <c r="R57" s="1011"/>
    </row>
    <row r="58" spans="1:19" ht="32.25" customHeight="1" x14ac:dyDescent="0.2">
      <c r="A58" s="1009"/>
      <c r="C58" s="1411">
        <f>'F-LSCD-012'!C26</f>
        <v>44336</v>
      </c>
      <c r="G58" s="1750"/>
      <c r="H58" s="1750"/>
      <c r="I58" s="1750"/>
      <c r="J58" s="2917"/>
      <c r="K58" s="2917"/>
      <c r="L58" s="2917"/>
      <c r="M58" s="2917"/>
      <c r="N58" s="2917"/>
      <c r="O58" s="2917"/>
      <c r="P58" s="2917"/>
      <c r="Q58" s="1010"/>
      <c r="R58" s="1011"/>
    </row>
    <row r="59" spans="1:19" ht="51" customHeight="1" x14ac:dyDescent="0.2">
      <c r="A59" s="1009"/>
      <c r="G59" s="1744"/>
      <c r="H59" s="1744"/>
      <c r="I59" s="1744"/>
      <c r="J59" s="2886"/>
      <c r="K59" s="2886"/>
      <c r="L59" s="2886"/>
      <c r="M59" s="2886"/>
      <c r="N59" s="2886"/>
      <c r="O59" s="2886"/>
      <c r="P59" s="2886"/>
      <c r="Q59" s="1020"/>
      <c r="R59" s="1011"/>
    </row>
    <row r="60" spans="1:19" ht="15" customHeight="1" x14ac:dyDescent="0.2">
      <c r="A60" s="1009"/>
      <c r="B60" s="1033"/>
      <c r="C60" s="1873" t="s">
        <v>1245</v>
      </c>
      <c r="G60" s="1744"/>
      <c r="H60" s="1744"/>
      <c r="I60" s="1744"/>
      <c r="J60" s="2862"/>
      <c r="K60" s="2862"/>
      <c r="L60" s="2862"/>
      <c r="M60" s="2862"/>
      <c r="N60" s="2862"/>
      <c r="O60" s="2862"/>
      <c r="P60" s="2862"/>
      <c r="Q60" s="1020"/>
      <c r="R60" s="1011"/>
    </row>
    <row r="61" spans="1:19" ht="3" customHeight="1" thickBot="1" x14ac:dyDescent="0.25">
      <c r="A61" s="1036"/>
      <c r="B61" s="1037"/>
      <c r="C61" s="1037"/>
      <c r="D61" s="1037"/>
      <c r="E61" s="1037"/>
      <c r="F61" s="1037"/>
      <c r="G61" s="1037"/>
      <c r="H61" s="1037"/>
      <c r="I61" s="1037"/>
      <c r="J61" s="1037"/>
      <c r="K61" s="1037"/>
      <c r="L61" s="1037"/>
      <c r="M61" s="1037"/>
      <c r="N61" s="1037"/>
      <c r="O61" s="1037"/>
      <c r="P61" s="1037"/>
      <c r="Q61" s="1037"/>
      <c r="R61" s="1038"/>
    </row>
    <row r="62" spans="1:19" ht="15.75" thickTop="1" x14ac:dyDescent="0.25">
      <c r="A62" s="3022" t="s">
        <v>957</v>
      </c>
      <c r="B62" s="2864"/>
      <c r="C62" s="2864"/>
      <c r="D62" s="2864"/>
      <c r="E62" s="2864"/>
      <c r="F62" s="2864"/>
      <c r="G62" s="2864"/>
      <c r="H62" s="2864"/>
      <c r="I62" s="2864"/>
      <c r="J62" s="2864"/>
      <c r="K62" s="2864"/>
      <c r="L62" s="2864"/>
      <c r="M62" s="2864"/>
      <c r="N62" s="2864"/>
      <c r="O62" s="2864"/>
      <c r="P62" s="2864"/>
      <c r="Q62" s="2864"/>
      <c r="R62" s="2865"/>
    </row>
    <row r="63" spans="1:19" ht="11.25" customHeight="1" thickBot="1" x14ac:dyDescent="0.25">
      <c r="A63" s="2859" t="s">
        <v>810</v>
      </c>
      <c r="B63" s="2860"/>
      <c r="C63" s="2860"/>
      <c r="D63" s="2860"/>
      <c r="E63" s="2860"/>
      <c r="F63" s="2860"/>
      <c r="G63" s="2860"/>
      <c r="H63" s="2860"/>
      <c r="I63" s="2860"/>
      <c r="J63" s="2860"/>
      <c r="K63" s="2860"/>
      <c r="L63" s="2860"/>
      <c r="M63" s="2860"/>
      <c r="N63" s="2860"/>
      <c r="O63" s="2860"/>
      <c r="P63" s="2860"/>
      <c r="Q63" s="2860"/>
      <c r="R63" s="2861"/>
      <c r="S63" s="1039"/>
    </row>
    <row r="64" spans="1:19" x14ac:dyDescent="0.2">
      <c r="A64" s="1356" t="s">
        <v>907</v>
      </c>
      <c r="B64" s="163"/>
      <c r="Q64" s="1357" t="e">
        <f>A4&amp;" "&amp;#REF!</f>
        <v>#REF!</v>
      </c>
    </row>
  </sheetData>
  <autoFilter ref="C39:O55" xr:uid="{00000000-0009-0000-0000-00002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1" showButton="0"/>
  </autoFilter>
  <mergeCells count="106">
    <mergeCell ref="A2:R3"/>
    <mergeCell ref="A4:R4"/>
    <mergeCell ref="A5:R5"/>
    <mergeCell ref="A6:R6"/>
    <mergeCell ref="A7:R7"/>
    <mergeCell ref="E28:N28"/>
    <mergeCell ref="P29:Q31"/>
    <mergeCell ref="E31:N31"/>
    <mergeCell ref="E32:N32"/>
    <mergeCell ref="E33:N33"/>
    <mergeCell ref="P33:Q35"/>
    <mergeCell ref="E34:G34"/>
    <mergeCell ref="E35:G35"/>
    <mergeCell ref="P9:Q14"/>
    <mergeCell ref="E10:N10"/>
    <mergeCell ref="E18:N18"/>
    <mergeCell ref="E19:N19"/>
    <mergeCell ref="E20:N20"/>
    <mergeCell ref="P20:Q28"/>
    <mergeCell ref="E21:N21"/>
    <mergeCell ref="E22:N22"/>
    <mergeCell ref="E23:N24"/>
    <mergeCell ref="E27:N27"/>
    <mergeCell ref="C41:D41"/>
    <mergeCell ref="E41:F41"/>
    <mergeCell ref="G41:H41"/>
    <mergeCell ref="I41:J41"/>
    <mergeCell ref="K41:L41"/>
    <mergeCell ref="M41:O41"/>
    <mergeCell ref="C39:D40"/>
    <mergeCell ref="E39:F40"/>
    <mergeCell ref="G39:H40"/>
    <mergeCell ref="I39:J40"/>
    <mergeCell ref="K39:L40"/>
    <mergeCell ref="M39:O40"/>
    <mergeCell ref="C43:D43"/>
    <mergeCell ref="E43:F43"/>
    <mergeCell ref="G43:H43"/>
    <mergeCell ref="I43:J43"/>
    <mergeCell ref="K43:L43"/>
    <mergeCell ref="M43:O43"/>
    <mergeCell ref="C42:D42"/>
    <mergeCell ref="E42:F42"/>
    <mergeCell ref="G42:H42"/>
    <mergeCell ref="I42:J42"/>
    <mergeCell ref="K42:L42"/>
    <mergeCell ref="M42:O42"/>
    <mergeCell ref="C45:D45"/>
    <mergeCell ref="E45:F45"/>
    <mergeCell ref="G45:H45"/>
    <mergeCell ref="I45:J45"/>
    <mergeCell ref="K45:L45"/>
    <mergeCell ref="M45:O45"/>
    <mergeCell ref="C44:D44"/>
    <mergeCell ref="E44:F44"/>
    <mergeCell ref="G44:H44"/>
    <mergeCell ref="I44:J44"/>
    <mergeCell ref="K44:L44"/>
    <mergeCell ref="M44:O44"/>
    <mergeCell ref="C47:D47"/>
    <mergeCell ref="E47:F47"/>
    <mergeCell ref="G47:H47"/>
    <mergeCell ref="I47:J47"/>
    <mergeCell ref="K47:L47"/>
    <mergeCell ref="M47:O47"/>
    <mergeCell ref="C46:D46"/>
    <mergeCell ref="E46:F46"/>
    <mergeCell ref="G46:H46"/>
    <mergeCell ref="I46:J46"/>
    <mergeCell ref="K46:L46"/>
    <mergeCell ref="M46:O46"/>
    <mergeCell ref="C49:D49"/>
    <mergeCell ref="E49:F49"/>
    <mergeCell ref="G49:H49"/>
    <mergeCell ref="I49:J49"/>
    <mergeCell ref="K49:L49"/>
    <mergeCell ref="M49:O49"/>
    <mergeCell ref="C48:D48"/>
    <mergeCell ref="E48:F48"/>
    <mergeCell ref="G48:H48"/>
    <mergeCell ref="I48:J48"/>
    <mergeCell ref="K48:L48"/>
    <mergeCell ref="M48:O48"/>
    <mergeCell ref="C51:D51"/>
    <mergeCell ref="E51:F51"/>
    <mergeCell ref="G51:H51"/>
    <mergeCell ref="I51:J51"/>
    <mergeCell ref="K51:L51"/>
    <mergeCell ref="M51:O51"/>
    <mergeCell ref="C50:D50"/>
    <mergeCell ref="E50:F50"/>
    <mergeCell ref="G50:H50"/>
    <mergeCell ref="I50:J50"/>
    <mergeCell ref="K50:L50"/>
    <mergeCell ref="M50:O50"/>
    <mergeCell ref="J58:P58"/>
    <mergeCell ref="J59:P59"/>
    <mergeCell ref="J60:P60"/>
    <mergeCell ref="A62:R62"/>
    <mergeCell ref="A63:R63"/>
    <mergeCell ref="C52:D52"/>
    <mergeCell ref="E52:F52"/>
    <mergeCell ref="G52:H52"/>
    <mergeCell ref="I52:J52"/>
    <mergeCell ref="K52:L52"/>
    <mergeCell ref="M52:O52"/>
  </mergeCells>
  <conditionalFormatting sqref="E29:O30 K35:O35 E35 E31:E33 O31:O33 L34:O34 E9:O9 E11:O11 E10 O10">
    <cfRule type="cellIs" dxfId="108" priority="6" operator="equal">
      <formula>0</formula>
    </cfRule>
  </conditionalFormatting>
  <conditionalFormatting sqref="E29:O30 K35:O35 E35 E31:E33 O31:O33 L34:O34 E9:O9 E11:O11 E10 O10">
    <cfRule type="containsErrors" dxfId="107" priority="5">
      <formula>ISERROR(E9)</formula>
    </cfRule>
  </conditionalFormatting>
  <conditionalFormatting sqref="P19">
    <cfRule type="cellIs" dxfId="106" priority="4" operator="equal">
      <formula>0</formula>
    </cfRule>
  </conditionalFormatting>
  <conditionalFormatting sqref="P19">
    <cfRule type="containsErrors" dxfId="105" priority="3">
      <formula>ISERROR(P19)</formula>
    </cfRule>
  </conditionalFormatting>
  <conditionalFormatting sqref="E34">
    <cfRule type="cellIs" dxfId="104" priority="2" operator="equal">
      <formula>0</formula>
    </cfRule>
  </conditionalFormatting>
  <conditionalFormatting sqref="E34">
    <cfRule type="containsErrors" dxfId="103" priority="1">
      <formula>ISERROR(E34)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27"/>
  <dimension ref="B3:G166"/>
  <sheetViews>
    <sheetView workbookViewId="0"/>
  </sheetViews>
  <sheetFormatPr baseColWidth="10" defaultColWidth="11.42578125" defaultRowHeight="15" x14ac:dyDescent="0.25"/>
  <sheetData>
    <row r="3" spans="2:5" x14ac:dyDescent="0.25">
      <c r="B3" s="112" t="s">
        <v>366</v>
      </c>
      <c r="C3" s="112"/>
      <c r="D3" s="112"/>
      <c r="E3" s="112" t="s">
        <v>949</v>
      </c>
    </row>
    <row r="5" spans="2:5" x14ac:dyDescent="0.25">
      <c r="B5" t="s">
        <v>325</v>
      </c>
      <c r="E5" t="s">
        <v>950</v>
      </c>
    </row>
    <row r="6" spans="2:5" x14ac:dyDescent="0.25">
      <c r="B6" t="s">
        <v>295</v>
      </c>
      <c r="E6" t="s">
        <v>66</v>
      </c>
    </row>
    <row r="7" spans="2:5" x14ac:dyDescent="0.25">
      <c r="B7" t="s">
        <v>296</v>
      </c>
      <c r="E7" t="s">
        <v>951</v>
      </c>
    </row>
    <row r="8" spans="2:5" x14ac:dyDescent="0.25">
      <c r="B8" t="s">
        <v>7</v>
      </c>
      <c r="E8" t="s">
        <v>952</v>
      </c>
    </row>
    <row r="9" spans="2:5" x14ac:dyDescent="0.25">
      <c r="B9" t="s">
        <v>298</v>
      </c>
      <c r="E9" t="s">
        <v>953</v>
      </c>
    </row>
    <row r="10" spans="2:5" x14ac:dyDescent="0.25">
      <c r="B10" t="s">
        <v>326</v>
      </c>
      <c r="E10" t="s">
        <v>954</v>
      </c>
    </row>
    <row r="11" spans="2:5" x14ac:dyDescent="0.25">
      <c r="B11" t="s">
        <v>119</v>
      </c>
      <c r="E11" t="s">
        <v>116</v>
      </c>
    </row>
    <row r="12" spans="2:5" x14ac:dyDescent="0.25">
      <c r="B12" t="s">
        <v>802</v>
      </c>
      <c r="E12" t="s">
        <v>955</v>
      </c>
    </row>
    <row r="13" spans="2:5" x14ac:dyDescent="0.25">
      <c r="B13" t="s">
        <v>93</v>
      </c>
      <c r="E13" t="s">
        <v>93</v>
      </c>
    </row>
    <row r="14" spans="2:5" x14ac:dyDescent="0.25">
      <c r="B14" t="s">
        <v>470</v>
      </c>
    </row>
    <row r="15" spans="2:5" x14ac:dyDescent="0.25">
      <c r="B15" t="s">
        <v>753</v>
      </c>
    </row>
    <row r="18" spans="2:2" x14ac:dyDescent="0.25">
      <c r="B18" s="112" t="s">
        <v>367</v>
      </c>
    </row>
    <row r="19" spans="2:2" x14ac:dyDescent="0.25">
      <c r="B19" t="s">
        <v>15</v>
      </c>
    </row>
    <row r="20" spans="2:2" x14ac:dyDescent="0.25">
      <c r="B20" t="s">
        <v>8</v>
      </c>
    </row>
    <row r="21" spans="2:2" x14ac:dyDescent="0.25">
      <c r="B21" t="s">
        <v>645</v>
      </c>
    </row>
    <row r="22" spans="2:2" x14ac:dyDescent="0.25">
      <c r="B22" t="s">
        <v>325</v>
      </c>
    </row>
    <row r="23" spans="2:2" x14ac:dyDescent="0.25">
      <c r="B23" t="s">
        <v>295</v>
      </c>
    </row>
    <row r="24" spans="2:2" x14ac:dyDescent="0.25">
      <c r="B24" t="s">
        <v>368</v>
      </c>
    </row>
    <row r="25" spans="2:2" x14ac:dyDescent="0.25">
      <c r="B25" t="s">
        <v>16</v>
      </c>
    </row>
    <row r="26" spans="2:2" x14ac:dyDescent="0.25">
      <c r="B26" t="s">
        <v>12</v>
      </c>
    </row>
    <row r="27" spans="2:2" x14ac:dyDescent="0.25">
      <c r="B27" t="s">
        <v>369</v>
      </c>
    </row>
    <row r="28" spans="2:2" x14ac:dyDescent="0.25">
      <c r="B28" t="s">
        <v>571</v>
      </c>
    </row>
    <row r="29" spans="2:2" x14ac:dyDescent="0.25">
      <c r="B29" t="s">
        <v>470</v>
      </c>
    </row>
    <row r="30" spans="2:2" x14ac:dyDescent="0.25">
      <c r="B30" t="s">
        <v>753</v>
      </c>
    </row>
    <row r="31" spans="2:2" x14ac:dyDescent="0.25">
      <c r="B31" t="s">
        <v>325</v>
      </c>
    </row>
    <row r="32" spans="2:2" x14ac:dyDescent="0.25">
      <c r="B32" t="s">
        <v>93</v>
      </c>
    </row>
    <row r="34" spans="2:3" ht="30" x14ac:dyDescent="0.25">
      <c r="B34" s="1504" t="s">
        <v>347</v>
      </c>
      <c r="C34" s="112" t="s">
        <v>346</v>
      </c>
    </row>
    <row r="35" spans="2:3" x14ac:dyDescent="0.25">
      <c r="B35" t="s">
        <v>372</v>
      </c>
      <c r="C35">
        <v>1</v>
      </c>
    </row>
    <row r="36" spans="2:3" x14ac:dyDescent="0.25">
      <c r="B36" t="s">
        <v>373</v>
      </c>
      <c r="C36">
        <v>2</v>
      </c>
    </row>
    <row r="37" spans="2:3" x14ac:dyDescent="0.25">
      <c r="B37" t="s">
        <v>374</v>
      </c>
      <c r="C37">
        <v>3</v>
      </c>
    </row>
    <row r="38" spans="2:3" x14ac:dyDescent="0.25">
      <c r="B38" t="s">
        <v>370</v>
      </c>
      <c r="C38">
        <f>SQRT(3)</f>
        <v>1.7320508075688772</v>
      </c>
    </row>
    <row r="39" spans="2:3" x14ac:dyDescent="0.25">
      <c r="B39" t="s">
        <v>371</v>
      </c>
      <c r="C39">
        <f>SQRT(6)</f>
        <v>2.4494897427831779</v>
      </c>
    </row>
    <row r="40" spans="2:3" x14ac:dyDescent="0.25">
      <c r="B40" t="s">
        <v>375</v>
      </c>
      <c r="C40">
        <f>SQRT(2)</f>
        <v>1.4142135623730951</v>
      </c>
    </row>
    <row r="42" spans="2:3" x14ac:dyDescent="0.25">
      <c r="B42" s="112" t="s">
        <v>391</v>
      </c>
    </row>
    <row r="43" spans="2:3" x14ac:dyDescent="0.25">
      <c r="B43" t="s">
        <v>450</v>
      </c>
    </row>
    <row r="44" spans="2:3" x14ac:dyDescent="0.25">
      <c r="B44" t="s">
        <v>451</v>
      </c>
    </row>
    <row r="46" spans="2:3" x14ac:dyDescent="0.25">
      <c r="B46" s="112" t="s">
        <v>460</v>
      </c>
    </row>
    <row r="47" spans="2:3" x14ac:dyDescent="0.25">
      <c r="B47" t="s">
        <v>338</v>
      </c>
    </row>
    <row r="53" spans="2:2" x14ac:dyDescent="0.25">
      <c r="B53" s="112" t="s">
        <v>327</v>
      </c>
    </row>
    <row r="55" spans="2:2" x14ac:dyDescent="0.25">
      <c r="B55" t="s">
        <v>968</v>
      </c>
    </row>
    <row r="56" spans="2:2" x14ac:dyDescent="0.25">
      <c r="B56" t="s">
        <v>967</v>
      </c>
    </row>
    <row r="57" spans="2:2" x14ac:dyDescent="0.25">
      <c r="B57" t="s">
        <v>969</v>
      </c>
    </row>
    <row r="58" spans="2:2" x14ac:dyDescent="0.25">
      <c r="B58" t="s">
        <v>970</v>
      </c>
    </row>
    <row r="59" spans="2:2" x14ac:dyDescent="0.25">
      <c r="B59" t="s">
        <v>971</v>
      </c>
    </row>
    <row r="60" spans="2:2" x14ac:dyDescent="0.25">
      <c r="B60" t="s">
        <v>972</v>
      </c>
    </row>
    <row r="61" spans="2:2" x14ac:dyDescent="0.25">
      <c r="B61" t="s">
        <v>1112</v>
      </c>
    </row>
    <row r="62" spans="2:2" x14ac:dyDescent="0.25">
      <c r="B62" t="s">
        <v>1113</v>
      </c>
    </row>
    <row r="63" spans="2:2" x14ac:dyDescent="0.25">
      <c r="B63" t="s">
        <v>973</v>
      </c>
    </row>
    <row r="64" spans="2:2" x14ac:dyDescent="0.25">
      <c r="B64" t="s">
        <v>974</v>
      </c>
    </row>
    <row r="65" spans="2:2" x14ac:dyDescent="0.25">
      <c r="B65" t="s">
        <v>975</v>
      </c>
    </row>
    <row r="66" spans="2:2" x14ac:dyDescent="0.25">
      <c r="B66" t="s">
        <v>976</v>
      </c>
    </row>
    <row r="67" spans="2:2" x14ac:dyDescent="0.25">
      <c r="B67" t="s">
        <v>837</v>
      </c>
    </row>
    <row r="68" spans="2:2" x14ac:dyDescent="0.25">
      <c r="B68" t="s">
        <v>977</v>
      </c>
    </row>
    <row r="69" spans="2:2" x14ac:dyDescent="0.25">
      <c r="B69" s="1302" t="s">
        <v>851</v>
      </c>
    </row>
    <row r="70" spans="2:2" x14ac:dyDescent="0.25">
      <c r="B70" s="1302" t="s">
        <v>978</v>
      </c>
    </row>
    <row r="71" spans="2:2" x14ac:dyDescent="0.25">
      <c r="B71" s="1302" t="s">
        <v>1147</v>
      </c>
    </row>
    <row r="72" spans="2:2" x14ac:dyDescent="0.25">
      <c r="B72" t="s">
        <v>979</v>
      </c>
    </row>
    <row r="73" spans="2:2" x14ac:dyDescent="0.25">
      <c r="B73" t="s">
        <v>980</v>
      </c>
    </row>
    <row r="74" spans="2:2" x14ac:dyDescent="0.25">
      <c r="B74" t="s">
        <v>981</v>
      </c>
    </row>
    <row r="75" spans="2:2" x14ac:dyDescent="0.25">
      <c r="B75" t="s">
        <v>982</v>
      </c>
    </row>
    <row r="76" spans="2:2" x14ac:dyDescent="0.25">
      <c r="B76" s="1770" t="s">
        <v>1166</v>
      </c>
    </row>
    <row r="77" spans="2:2" x14ac:dyDescent="0.25">
      <c r="B77" s="1770" t="s">
        <v>1167</v>
      </c>
    </row>
    <row r="78" spans="2:2" x14ac:dyDescent="0.25">
      <c r="B78" s="1502" t="s">
        <v>1029</v>
      </c>
    </row>
    <row r="79" spans="2:2" x14ac:dyDescent="0.25">
      <c r="B79" s="1502" t="s">
        <v>1139</v>
      </c>
    </row>
    <row r="80" spans="2:2" x14ac:dyDescent="0.25">
      <c r="B80" s="1502" t="s">
        <v>1030</v>
      </c>
    </row>
    <row r="81" spans="2:2" x14ac:dyDescent="0.25">
      <c r="B81" s="1502" t="s">
        <v>1140</v>
      </c>
    </row>
    <row r="82" spans="2:2" x14ac:dyDescent="0.25">
      <c r="B82" t="s">
        <v>840</v>
      </c>
    </row>
    <row r="84" spans="2:2" x14ac:dyDescent="0.25">
      <c r="B84" s="1265" t="s">
        <v>1250</v>
      </c>
    </row>
    <row r="85" spans="2:2" x14ac:dyDescent="0.25">
      <c r="B85" s="1265" t="s">
        <v>1251</v>
      </c>
    </row>
    <row r="86" spans="2:2" x14ac:dyDescent="0.25">
      <c r="B86" s="1265" t="s">
        <v>1252</v>
      </c>
    </row>
    <row r="87" spans="2:2" x14ac:dyDescent="0.25">
      <c r="B87" s="1265" t="s">
        <v>1253</v>
      </c>
    </row>
    <row r="89" spans="2:2" x14ac:dyDescent="0.25">
      <c r="B89" s="112" t="s">
        <v>1031</v>
      </c>
    </row>
    <row r="90" spans="2:2" x14ac:dyDescent="0.25">
      <c r="B90" t="s">
        <v>1032</v>
      </c>
    </row>
    <row r="91" spans="2:2" x14ac:dyDescent="0.25">
      <c r="B91" t="s">
        <v>1033</v>
      </c>
    </row>
    <row r="92" spans="2:2" x14ac:dyDescent="0.25">
      <c r="B92" t="s">
        <v>1034</v>
      </c>
    </row>
    <row r="93" spans="2:2" x14ac:dyDescent="0.25">
      <c r="B93" t="s">
        <v>1035</v>
      </c>
    </row>
    <row r="94" spans="2:2" x14ac:dyDescent="0.25">
      <c r="B94" t="s">
        <v>1141</v>
      </c>
    </row>
    <row r="95" spans="2:2" x14ac:dyDescent="0.25">
      <c r="B95" t="s">
        <v>1142</v>
      </c>
    </row>
    <row r="96" spans="2:2" x14ac:dyDescent="0.25">
      <c r="B96" t="s">
        <v>1150</v>
      </c>
    </row>
    <row r="97" spans="2:2" x14ac:dyDescent="0.25">
      <c r="B97" t="s">
        <v>1276</v>
      </c>
    </row>
    <row r="99" spans="2:2" x14ac:dyDescent="0.25">
      <c r="B99" s="112" t="s">
        <v>138</v>
      </c>
    </row>
    <row r="100" spans="2:2" x14ac:dyDescent="0.25">
      <c r="B100" t="s">
        <v>1039</v>
      </c>
    </row>
    <row r="101" spans="2:2" x14ac:dyDescent="0.25">
      <c r="B101" t="s">
        <v>1025</v>
      </c>
    </row>
    <row r="102" spans="2:2" x14ac:dyDescent="0.25">
      <c r="B102" t="s">
        <v>1036</v>
      </c>
    </row>
    <row r="103" spans="2:2" x14ac:dyDescent="0.25">
      <c r="B103" t="s">
        <v>1037</v>
      </c>
    </row>
    <row r="104" spans="2:2" x14ac:dyDescent="0.25">
      <c r="B104" t="s">
        <v>1070</v>
      </c>
    </row>
    <row r="105" spans="2:2" x14ac:dyDescent="0.25">
      <c r="B105" t="s">
        <v>1071</v>
      </c>
    </row>
    <row r="106" spans="2:2" x14ac:dyDescent="0.25">
      <c r="B106" t="s">
        <v>1072</v>
      </c>
    </row>
    <row r="107" spans="2:2" x14ac:dyDescent="0.25">
      <c r="B107" t="s">
        <v>1083</v>
      </c>
    </row>
    <row r="109" spans="2:2" x14ac:dyDescent="0.25">
      <c r="B109" s="112" t="s">
        <v>231</v>
      </c>
    </row>
    <row r="111" spans="2:2" x14ac:dyDescent="0.25">
      <c r="B111" t="s">
        <v>842</v>
      </c>
    </row>
    <row r="112" spans="2:2" x14ac:dyDescent="0.25">
      <c r="B112" t="s">
        <v>850</v>
      </c>
    </row>
    <row r="113" spans="2:7" x14ac:dyDescent="0.25">
      <c r="B113" t="s">
        <v>841</v>
      </c>
    </row>
    <row r="114" spans="2:7" x14ac:dyDescent="0.25">
      <c r="B114" t="s">
        <v>838</v>
      </c>
    </row>
    <row r="115" spans="2:7" x14ac:dyDescent="0.25">
      <c r="B115" t="s">
        <v>839</v>
      </c>
    </row>
    <row r="117" spans="2:7" x14ac:dyDescent="0.25">
      <c r="B117" s="112" t="s">
        <v>812</v>
      </c>
    </row>
    <row r="119" spans="2:7" x14ac:dyDescent="0.25">
      <c r="B119">
        <v>1</v>
      </c>
      <c r="C119" t="s">
        <v>7</v>
      </c>
      <c r="D119" t="s">
        <v>74</v>
      </c>
      <c r="E119">
        <v>10000</v>
      </c>
      <c r="F119" s="1165" t="s">
        <v>325</v>
      </c>
      <c r="G119" s="1165" t="s">
        <v>835</v>
      </c>
    </row>
    <row r="120" spans="2:7" x14ac:dyDescent="0.25">
      <c r="B120">
        <v>1</v>
      </c>
      <c r="C120" t="s">
        <v>298</v>
      </c>
      <c r="D120" t="s">
        <v>74</v>
      </c>
      <c r="E120">
        <v>10</v>
      </c>
      <c r="F120" s="1165" t="s">
        <v>325</v>
      </c>
      <c r="G120" s="1165" t="s">
        <v>834</v>
      </c>
    </row>
    <row r="121" spans="2:7" x14ac:dyDescent="0.25">
      <c r="B121">
        <v>1</v>
      </c>
      <c r="C121" s="1165" t="s">
        <v>326</v>
      </c>
      <c r="D121" t="s">
        <v>74</v>
      </c>
      <c r="E121">
        <v>0.01</v>
      </c>
      <c r="F121" s="1165" t="s">
        <v>325</v>
      </c>
      <c r="G121" s="1165" t="s">
        <v>836</v>
      </c>
    </row>
    <row r="122" spans="2:7" x14ac:dyDescent="0.25">
      <c r="B122">
        <v>1</v>
      </c>
      <c r="C122" s="1165" t="s">
        <v>119</v>
      </c>
      <c r="D122" t="s">
        <v>74</v>
      </c>
      <c r="E122">
        <v>10000</v>
      </c>
      <c r="F122" s="1165" t="s">
        <v>325</v>
      </c>
    </row>
    <row r="123" spans="2:7" x14ac:dyDescent="0.25">
      <c r="B123">
        <v>1</v>
      </c>
      <c r="C123" s="1165" t="s">
        <v>802</v>
      </c>
      <c r="D123" t="s">
        <v>74</v>
      </c>
      <c r="E123">
        <v>10</v>
      </c>
      <c r="F123" s="1165" t="s">
        <v>325</v>
      </c>
    </row>
    <row r="124" spans="2:7" x14ac:dyDescent="0.25">
      <c r="B124">
        <v>1</v>
      </c>
      <c r="C124" s="1165" t="s">
        <v>8</v>
      </c>
      <c r="D124" t="s">
        <v>74</v>
      </c>
      <c r="E124">
        <v>1000000</v>
      </c>
      <c r="F124" s="1165" t="s">
        <v>325</v>
      </c>
    </row>
    <row r="126" spans="2:7" x14ac:dyDescent="0.25">
      <c r="B126" s="112" t="s">
        <v>833</v>
      </c>
    </row>
    <row r="128" spans="2:7" x14ac:dyDescent="0.25">
      <c r="B128" s="1265" t="s">
        <v>1242</v>
      </c>
    </row>
    <row r="129" spans="2:2" x14ac:dyDescent="0.25">
      <c r="B129" s="1265" t="s">
        <v>1298</v>
      </c>
    </row>
    <row r="130" spans="2:2" x14ac:dyDescent="0.25">
      <c r="B130" s="1265" t="s">
        <v>1299</v>
      </c>
    </row>
    <row r="131" spans="2:2" x14ac:dyDescent="0.25">
      <c r="B131" s="1265" t="s">
        <v>1243</v>
      </c>
    </row>
    <row r="132" spans="2:2" x14ac:dyDescent="0.25">
      <c r="B132" s="1265" t="s">
        <v>1300</v>
      </c>
    </row>
    <row r="134" spans="2:2" x14ac:dyDescent="0.25">
      <c r="B134" s="112" t="s">
        <v>1087</v>
      </c>
    </row>
    <row r="136" spans="2:2" x14ac:dyDescent="0.25">
      <c r="B136" t="s">
        <v>268</v>
      </c>
    </row>
    <row r="137" spans="2:2" x14ac:dyDescent="0.25">
      <c r="B137" t="s">
        <v>1042</v>
      </c>
    </row>
    <row r="138" spans="2:2" x14ac:dyDescent="0.25">
      <c r="B138" t="s">
        <v>269</v>
      </c>
    </row>
    <row r="140" spans="2:2" x14ac:dyDescent="0.25">
      <c r="B140" s="112" t="s">
        <v>1088</v>
      </c>
    </row>
    <row r="142" spans="2:2" x14ac:dyDescent="0.25">
      <c r="B142" t="s">
        <v>65</v>
      </c>
    </row>
    <row r="143" spans="2:2" x14ac:dyDescent="0.25">
      <c r="B143" t="s">
        <v>29</v>
      </c>
    </row>
    <row r="144" spans="2:2" x14ac:dyDescent="0.25">
      <c r="B144" t="s">
        <v>27</v>
      </c>
    </row>
    <row r="145" spans="2:2" x14ac:dyDescent="0.25">
      <c r="B145" t="s">
        <v>53</v>
      </c>
    </row>
    <row r="146" spans="2:2" x14ac:dyDescent="0.25">
      <c r="B146" t="s">
        <v>47</v>
      </c>
    </row>
    <row r="147" spans="2:2" x14ac:dyDescent="0.25">
      <c r="B147" t="s">
        <v>45</v>
      </c>
    </row>
    <row r="148" spans="2:2" x14ac:dyDescent="0.25">
      <c r="B148" t="s">
        <v>28</v>
      </c>
    </row>
    <row r="149" spans="2:2" x14ac:dyDescent="0.25">
      <c r="B149" t="s">
        <v>55</v>
      </c>
    </row>
    <row r="150" spans="2:2" x14ac:dyDescent="0.25">
      <c r="B150" t="s">
        <v>52</v>
      </c>
    </row>
    <row r="151" spans="2:2" x14ac:dyDescent="0.25">
      <c r="B151" t="s">
        <v>32</v>
      </c>
    </row>
    <row r="153" spans="2:2" x14ac:dyDescent="0.25">
      <c r="B153" s="112" t="s">
        <v>1089</v>
      </c>
    </row>
    <row r="154" spans="2:2" x14ac:dyDescent="0.25">
      <c r="B154" s="1588">
        <v>1</v>
      </c>
    </row>
    <row r="155" spans="2:2" x14ac:dyDescent="0.25">
      <c r="B155" s="1588">
        <v>1.5</v>
      </c>
    </row>
    <row r="156" spans="2:2" x14ac:dyDescent="0.25">
      <c r="B156" s="1588">
        <v>2</v>
      </c>
    </row>
    <row r="157" spans="2:2" x14ac:dyDescent="0.25">
      <c r="B157" s="1588">
        <v>2.5</v>
      </c>
    </row>
    <row r="158" spans="2:2" x14ac:dyDescent="0.25">
      <c r="B158" s="1588">
        <v>3</v>
      </c>
    </row>
    <row r="160" spans="2:2" x14ac:dyDescent="0.25">
      <c r="B160" s="112" t="s">
        <v>1090</v>
      </c>
    </row>
    <row r="162" spans="2:3" x14ac:dyDescent="0.25">
      <c r="B162" t="s">
        <v>114</v>
      </c>
      <c r="C162" t="s">
        <v>66</v>
      </c>
    </row>
    <row r="163" spans="2:3" x14ac:dyDescent="0.25">
      <c r="B163" t="s">
        <v>115</v>
      </c>
      <c r="C163" t="s">
        <v>66</v>
      </c>
    </row>
    <row r="164" spans="2:3" x14ac:dyDescent="0.25">
      <c r="B164" t="s">
        <v>141</v>
      </c>
      <c r="C164" t="s">
        <v>66</v>
      </c>
    </row>
    <row r="165" spans="2:3" x14ac:dyDescent="0.25">
      <c r="B165" t="s">
        <v>142</v>
      </c>
      <c r="C165" t="s">
        <v>139</v>
      </c>
    </row>
    <row r="166" spans="2:3" x14ac:dyDescent="0.25">
      <c r="B166" t="s">
        <v>93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U128"/>
  <sheetViews>
    <sheetView view="pageLayout" topLeftCell="A20" zoomScaleNormal="100" zoomScaleSheetLayoutView="110" workbookViewId="0">
      <selection activeCell="J53" sqref="J53"/>
    </sheetView>
  </sheetViews>
  <sheetFormatPr baseColWidth="10" defaultColWidth="11.42578125" defaultRowHeight="12.75" x14ac:dyDescent="0.2"/>
  <cols>
    <col min="1" max="1" width="2" style="1008" customWidth="1"/>
    <col min="2" max="2" width="2.42578125" style="1008" customWidth="1"/>
    <col min="3" max="3" width="23.28515625" style="1008" customWidth="1"/>
    <col min="4" max="4" width="1.5703125" style="1008" customWidth="1"/>
    <col min="5" max="5" width="7.42578125" style="1008" customWidth="1"/>
    <col min="6" max="6" width="3" style="1008" customWidth="1"/>
    <col min="7" max="7" width="6.140625" style="1008" customWidth="1"/>
    <col min="8" max="8" width="4.42578125" style="1008" customWidth="1"/>
    <col min="9" max="9" width="4.5703125" style="1008" customWidth="1"/>
    <col min="10" max="10" width="6.7109375" style="1008" customWidth="1"/>
    <col min="11" max="11" width="3.5703125" style="1008" customWidth="1"/>
    <col min="12" max="12" width="6.28515625" style="1008" customWidth="1"/>
    <col min="13" max="13" width="5.28515625" style="1008" customWidth="1"/>
    <col min="14" max="14" width="6.140625" style="1008" customWidth="1"/>
    <col min="15" max="15" width="1.7109375" style="1008" customWidth="1"/>
    <col min="16" max="16" width="1" style="1008" customWidth="1"/>
    <col min="17" max="17" width="2" style="1008" customWidth="1"/>
    <col min="18" max="19" width="5.28515625" style="1008" customWidth="1"/>
    <col min="20" max="20" width="1.140625" style="1008" customWidth="1"/>
    <col min="21" max="239" width="11.42578125" style="1008"/>
    <col min="240" max="240" width="2.28515625" style="1008" customWidth="1"/>
    <col min="241" max="241" width="2.7109375" style="1008" customWidth="1"/>
    <col min="242" max="242" width="2.42578125" style="1008" customWidth="1"/>
    <col min="243" max="243" width="17.7109375" style="1008" customWidth="1"/>
    <col min="244" max="244" width="1.5703125" style="1008" customWidth="1"/>
    <col min="245" max="245" width="6.42578125" style="1008" customWidth="1"/>
    <col min="246" max="246" width="13.140625" style="1008" customWidth="1"/>
    <col min="247" max="247" width="1" style="1008" customWidth="1"/>
    <col min="248" max="248" width="19.5703125" style="1008" customWidth="1"/>
    <col min="249" max="249" width="0.85546875" style="1008" customWidth="1"/>
    <col min="250" max="250" width="14.42578125" style="1008" customWidth="1"/>
    <col min="251" max="251" width="12.85546875" style="1008" customWidth="1"/>
    <col min="252" max="252" width="6.140625" style="1008" customWidth="1"/>
    <col min="253" max="254" width="11.42578125" style="1008"/>
    <col min="255" max="255" width="15.42578125" style="1008" customWidth="1"/>
    <col min="256" max="495" width="11.42578125" style="1008"/>
    <col min="496" max="496" width="2.28515625" style="1008" customWidth="1"/>
    <col min="497" max="497" width="2.7109375" style="1008" customWidth="1"/>
    <col min="498" max="498" width="2.42578125" style="1008" customWidth="1"/>
    <col min="499" max="499" width="17.7109375" style="1008" customWidth="1"/>
    <col min="500" max="500" width="1.5703125" style="1008" customWidth="1"/>
    <col min="501" max="501" width="6.42578125" style="1008" customWidth="1"/>
    <col min="502" max="502" width="13.140625" style="1008" customWidth="1"/>
    <col min="503" max="503" width="1" style="1008" customWidth="1"/>
    <col min="504" max="504" width="19.5703125" style="1008" customWidth="1"/>
    <col min="505" max="505" width="0.85546875" style="1008" customWidth="1"/>
    <col min="506" max="506" width="14.42578125" style="1008" customWidth="1"/>
    <col min="507" max="507" width="12.85546875" style="1008" customWidth="1"/>
    <col min="508" max="508" width="6.140625" style="1008" customWidth="1"/>
    <col min="509" max="510" width="11.42578125" style="1008"/>
    <col min="511" max="511" width="15.42578125" style="1008" customWidth="1"/>
    <col min="512" max="751" width="11.42578125" style="1008"/>
    <col min="752" max="752" width="2.28515625" style="1008" customWidth="1"/>
    <col min="753" max="753" width="2.7109375" style="1008" customWidth="1"/>
    <col min="754" max="754" width="2.42578125" style="1008" customWidth="1"/>
    <col min="755" max="755" width="17.7109375" style="1008" customWidth="1"/>
    <col min="756" max="756" width="1.5703125" style="1008" customWidth="1"/>
    <col min="757" max="757" width="6.42578125" style="1008" customWidth="1"/>
    <col min="758" max="758" width="13.140625" style="1008" customWidth="1"/>
    <col min="759" max="759" width="1" style="1008" customWidth="1"/>
    <col min="760" max="760" width="19.5703125" style="1008" customWidth="1"/>
    <col min="761" max="761" width="0.85546875" style="1008" customWidth="1"/>
    <col min="762" max="762" width="14.42578125" style="1008" customWidth="1"/>
    <col min="763" max="763" width="12.85546875" style="1008" customWidth="1"/>
    <col min="764" max="764" width="6.140625" style="1008" customWidth="1"/>
    <col min="765" max="766" width="11.42578125" style="1008"/>
    <col min="767" max="767" width="15.42578125" style="1008" customWidth="1"/>
    <col min="768" max="1007" width="11.42578125" style="1008"/>
    <col min="1008" max="1008" width="2.28515625" style="1008" customWidth="1"/>
    <col min="1009" max="1009" width="2.7109375" style="1008" customWidth="1"/>
    <col min="1010" max="1010" width="2.42578125" style="1008" customWidth="1"/>
    <col min="1011" max="1011" width="17.7109375" style="1008" customWidth="1"/>
    <col min="1012" max="1012" width="1.5703125" style="1008" customWidth="1"/>
    <col min="1013" max="1013" width="6.42578125" style="1008" customWidth="1"/>
    <col min="1014" max="1014" width="13.140625" style="1008" customWidth="1"/>
    <col min="1015" max="1015" width="1" style="1008" customWidth="1"/>
    <col min="1016" max="1016" width="19.5703125" style="1008" customWidth="1"/>
    <col min="1017" max="1017" width="0.85546875" style="1008" customWidth="1"/>
    <col min="1018" max="1018" width="14.42578125" style="1008" customWidth="1"/>
    <col min="1019" max="1019" width="12.85546875" style="1008" customWidth="1"/>
    <col min="1020" max="1020" width="6.140625" style="1008" customWidth="1"/>
    <col min="1021" max="1022" width="11.42578125" style="1008"/>
    <col min="1023" max="1023" width="15.42578125" style="1008" customWidth="1"/>
    <col min="1024" max="1263" width="11.42578125" style="1008"/>
    <col min="1264" max="1264" width="2.28515625" style="1008" customWidth="1"/>
    <col min="1265" max="1265" width="2.7109375" style="1008" customWidth="1"/>
    <col min="1266" max="1266" width="2.42578125" style="1008" customWidth="1"/>
    <col min="1267" max="1267" width="17.7109375" style="1008" customWidth="1"/>
    <col min="1268" max="1268" width="1.5703125" style="1008" customWidth="1"/>
    <col min="1269" max="1269" width="6.42578125" style="1008" customWidth="1"/>
    <col min="1270" max="1270" width="13.140625" style="1008" customWidth="1"/>
    <col min="1271" max="1271" width="1" style="1008" customWidth="1"/>
    <col min="1272" max="1272" width="19.5703125" style="1008" customWidth="1"/>
    <col min="1273" max="1273" width="0.85546875" style="1008" customWidth="1"/>
    <col min="1274" max="1274" width="14.42578125" style="1008" customWidth="1"/>
    <col min="1275" max="1275" width="12.85546875" style="1008" customWidth="1"/>
    <col min="1276" max="1276" width="6.140625" style="1008" customWidth="1"/>
    <col min="1277" max="1278" width="11.42578125" style="1008"/>
    <col min="1279" max="1279" width="15.42578125" style="1008" customWidth="1"/>
    <col min="1280" max="1519" width="11.42578125" style="1008"/>
    <col min="1520" max="1520" width="2.28515625" style="1008" customWidth="1"/>
    <col min="1521" max="1521" width="2.7109375" style="1008" customWidth="1"/>
    <col min="1522" max="1522" width="2.42578125" style="1008" customWidth="1"/>
    <col min="1523" max="1523" width="17.7109375" style="1008" customWidth="1"/>
    <col min="1524" max="1524" width="1.5703125" style="1008" customWidth="1"/>
    <col min="1525" max="1525" width="6.42578125" style="1008" customWidth="1"/>
    <col min="1526" max="1526" width="13.140625" style="1008" customWidth="1"/>
    <col min="1527" max="1527" width="1" style="1008" customWidth="1"/>
    <col min="1528" max="1528" width="19.5703125" style="1008" customWidth="1"/>
    <col min="1529" max="1529" width="0.85546875" style="1008" customWidth="1"/>
    <col min="1530" max="1530" width="14.42578125" style="1008" customWidth="1"/>
    <col min="1531" max="1531" width="12.85546875" style="1008" customWidth="1"/>
    <col min="1532" max="1532" width="6.140625" style="1008" customWidth="1"/>
    <col min="1533" max="1534" width="11.42578125" style="1008"/>
    <col min="1535" max="1535" width="15.42578125" style="1008" customWidth="1"/>
    <col min="1536" max="1775" width="11.42578125" style="1008"/>
    <col min="1776" max="1776" width="2.28515625" style="1008" customWidth="1"/>
    <col min="1777" max="1777" width="2.7109375" style="1008" customWidth="1"/>
    <col min="1778" max="1778" width="2.42578125" style="1008" customWidth="1"/>
    <col min="1779" max="1779" width="17.7109375" style="1008" customWidth="1"/>
    <col min="1780" max="1780" width="1.5703125" style="1008" customWidth="1"/>
    <col min="1781" max="1781" width="6.42578125" style="1008" customWidth="1"/>
    <col min="1782" max="1782" width="13.140625" style="1008" customWidth="1"/>
    <col min="1783" max="1783" width="1" style="1008" customWidth="1"/>
    <col min="1784" max="1784" width="19.5703125" style="1008" customWidth="1"/>
    <col min="1785" max="1785" width="0.85546875" style="1008" customWidth="1"/>
    <col min="1786" max="1786" width="14.42578125" style="1008" customWidth="1"/>
    <col min="1787" max="1787" width="12.85546875" style="1008" customWidth="1"/>
    <col min="1788" max="1788" width="6.140625" style="1008" customWidth="1"/>
    <col min="1789" max="1790" width="11.42578125" style="1008"/>
    <col min="1791" max="1791" width="15.42578125" style="1008" customWidth="1"/>
    <col min="1792" max="2031" width="11.42578125" style="1008"/>
    <col min="2032" max="2032" width="2.28515625" style="1008" customWidth="1"/>
    <col min="2033" max="2033" width="2.7109375" style="1008" customWidth="1"/>
    <col min="2034" max="2034" width="2.42578125" style="1008" customWidth="1"/>
    <col min="2035" max="2035" width="17.7109375" style="1008" customWidth="1"/>
    <col min="2036" max="2036" width="1.5703125" style="1008" customWidth="1"/>
    <col min="2037" max="2037" width="6.42578125" style="1008" customWidth="1"/>
    <col min="2038" max="2038" width="13.140625" style="1008" customWidth="1"/>
    <col min="2039" max="2039" width="1" style="1008" customWidth="1"/>
    <col min="2040" max="2040" width="19.5703125" style="1008" customWidth="1"/>
    <col min="2041" max="2041" width="0.85546875" style="1008" customWidth="1"/>
    <col min="2042" max="2042" width="14.42578125" style="1008" customWidth="1"/>
    <col min="2043" max="2043" width="12.85546875" style="1008" customWidth="1"/>
    <col min="2044" max="2044" width="6.140625" style="1008" customWidth="1"/>
    <col min="2045" max="2046" width="11.42578125" style="1008"/>
    <col min="2047" max="2047" width="15.42578125" style="1008" customWidth="1"/>
    <col min="2048" max="2287" width="11.42578125" style="1008"/>
    <col min="2288" max="2288" width="2.28515625" style="1008" customWidth="1"/>
    <col min="2289" max="2289" width="2.7109375" style="1008" customWidth="1"/>
    <col min="2290" max="2290" width="2.42578125" style="1008" customWidth="1"/>
    <col min="2291" max="2291" width="17.7109375" style="1008" customWidth="1"/>
    <col min="2292" max="2292" width="1.5703125" style="1008" customWidth="1"/>
    <col min="2293" max="2293" width="6.42578125" style="1008" customWidth="1"/>
    <col min="2294" max="2294" width="13.140625" style="1008" customWidth="1"/>
    <col min="2295" max="2295" width="1" style="1008" customWidth="1"/>
    <col min="2296" max="2296" width="19.5703125" style="1008" customWidth="1"/>
    <col min="2297" max="2297" width="0.85546875" style="1008" customWidth="1"/>
    <col min="2298" max="2298" width="14.42578125" style="1008" customWidth="1"/>
    <col min="2299" max="2299" width="12.85546875" style="1008" customWidth="1"/>
    <col min="2300" max="2300" width="6.140625" style="1008" customWidth="1"/>
    <col min="2301" max="2302" width="11.42578125" style="1008"/>
    <col min="2303" max="2303" width="15.42578125" style="1008" customWidth="1"/>
    <col min="2304" max="2543" width="11.42578125" style="1008"/>
    <col min="2544" max="2544" width="2.28515625" style="1008" customWidth="1"/>
    <col min="2545" max="2545" width="2.7109375" style="1008" customWidth="1"/>
    <col min="2546" max="2546" width="2.42578125" style="1008" customWidth="1"/>
    <col min="2547" max="2547" width="17.7109375" style="1008" customWidth="1"/>
    <col min="2548" max="2548" width="1.5703125" style="1008" customWidth="1"/>
    <col min="2549" max="2549" width="6.42578125" style="1008" customWidth="1"/>
    <col min="2550" max="2550" width="13.140625" style="1008" customWidth="1"/>
    <col min="2551" max="2551" width="1" style="1008" customWidth="1"/>
    <col min="2552" max="2552" width="19.5703125" style="1008" customWidth="1"/>
    <col min="2553" max="2553" width="0.85546875" style="1008" customWidth="1"/>
    <col min="2554" max="2554" width="14.42578125" style="1008" customWidth="1"/>
    <col min="2555" max="2555" width="12.85546875" style="1008" customWidth="1"/>
    <col min="2556" max="2556" width="6.140625" style="1008" customWidth="1"/>
    <col min="2557" max="2558" width="11.42578125" style="1008"/>
    <col min="2559" max="2559" width="15.42578125" style="1008" customWidth="1"/>
    <col min="2560" max="2799" width="11.42578125" style="1008"/>
    <col min="2800" max="2800" width="2.28515625" style="1008" customWidth="1"/>
    <col min="2801" max="2801" width="2.7109375" style="1008" customWidth="1"/>
    <col min="2802" max="2802" width="2.42578125" style="1008" customWidth="1"/>
    <col min="2803" max="2803" width="17.7109375" style="1008" customWidth="1"/>
    <col min="2804" max="2804" width="1.5703125" style="1008" customWidth="1"/>
    <col min="2805" max="2805" width="6.42578125" style="1008" customWidth="1"/>
    <col min="2806" max="2806" width="13.140625" style="1008" customWidth="1"/>
    <col min="2807" max="2807" width="1" style="1008" customWidth="1"/>
    <col min="2808" max="2808" width="19.5703125" style="1008" customWidth="1"/>
    <col min="2809" max="2809" width="0.85546875" style="1008" customWidth="1"/>
    <col min="2810" max="2810" width="14.42578125" style="1008" customWidth="1"/>
    <col min="2811" max="2811" width="12.85546875" style="1008" customWidth="1"/>
    <col min="2812" max="2812" width="6.140625" style="1008" customWidth="1"/>
    <col min="2813" max="2814" width="11.42578125" style="1008"/>
    <col min="2815" max="2815" width="15.42578125" style="1008" customWidth="1"/>
    <col min="2816" max="3055" width="11.42578125" style="1008"/>
    <col min="3056" max="3056" width="2.28515625" style="1008" customWidth="1"/>
    <col min="3057" max="3057" width="2.7109375" style="1008" customWidth="1"/>
    <col min="3058" max="3058" width="2.42578125" style="1008" customWidth="1"/>
    <col min="3059" max="3059" width="17.7109375" style="1008" customWidth="1"/>
    <col min="3060" max="3060" width="1.5703125" style="1008" customWidth="1"/>
    <col min="3061" max="3061" width="6.42578125" style="1008" customWidth="1"/>
    <col min="3062" max="3062" width="13.140625" style="1008" customWidth="1"/>
    <col min="3063" max="3063" width="1" style="1008" customWidth="1"/>
    <col min="3064" max="3064" width="19.5703125" style="1008" customWidth="1"/>
    <col min="3065" max="3065" width="0.85546875" style="1008" customWidth="1"/>
    <col min="3066" max="3066" width="14.42578125" style="1008" customWidth="1"/>
    <col min="3067" max="3067" width="12.85546875" style="1008" customWidth="1"/>
    <col min="3068" max="3068" width="6.140625" style="1008" customWidth="1"/>
    <col min="3069" max="3070" width="11.42578125" style="1008"/>
    <col min="3071" max="3071" width="15.42578125" style="1008" customWidth="1"/>
    <col min="3072" max="3311" width="11.42578125" style="1008"/>
    <col min="3312" max="3312" width="2.28515625" style="1008" customWidth="1"/>
    <col min="3313" max="3313" width="2.7109375" style="1008" customWidth="1"/>
    <col min="3314" max="3314" width="2.42578125" style="1008" customWidth="1"/>
    <col min="3315" max="3315" width="17.7109375" style="1008" customWidth="1"/>
    <col min="3316" max="3316" width="1.5703125" style="1008" customWidth="1"/>
    <col min="3317" max="3317" width="6.42578125" style="1008" customWidth="1"/>
    <col min="3318" max="3318" width="13.140625" style="1008" customWidth="1"/>
    <col min="3319" max="3319" width="1" style="1008" customWidth="1"/>
    <col min="3320" max="3320" width="19.5703125" style="1008" customWidth="1"/>
    <col min="3321" max="3321" width="0.85546875" style="1008" customWidth="1"/>
    <col min="3322" max="3322" width="14.42578125" style="1008" customWidth="1"/>
    <col min="3323" max="3323" width="12.85546875" style="1008" customWidth="1"/>
    <col min="3324" max="3324" width="6.140625" style="1008" customWidth="1"/>
    <col min="3325" max="3326" width="11.42578125" style="1008"/>
    <col min="3327" max="3327" width="15.42578125" style="1008" customWidth="1"/>
    <col min="3328" max="3567" width="11.42578125" style="1008"/>
    <col min="3568" max="3568" width="2.28515625" style="1008" customWidth="1"/>
    <col min="3569" max="3569" width="2.7109375" style="1008" customWidth="1"/>
    <col min="3570" max="3570" width="2.42578125" style="1008" customWidth="1"/>
    <col min="3571" max="3571" width="17.7109375" style="1008" customWidth="1"/>
    <col min="3572" max="3572" width="1.5703125" style="1008" customWidth="1"/>
    <col min="3573" max="3573" width="6.42578125" style="1008" customWidth="1"/>
    <col min="3574" max="3574" width="13.140625" style="1008" customWidth="1"/>
    <col min="3575" max="3575" width="1" style="1008" customWidth="1"/>
    <col min="3576" max="3576" width="19.5703125" style="1008" customWidth="1"/>
    <col min="3577" max="3577" width="0.85546875" style="1008" customWidth="1"/>
    <col min="3578" max="3578" width="14.42578125" style="1008" customWidth="1"/>
    <col min="3579" max="3579" width="12.85546875" style="1008" customWidth="1"/>
    <col min="3580" max="3580" width="6.140625" style="1008" customWidth="1"/>
    <col min="3581" max="3582" width="11.42578125" style="1008"/>
    <col min="3583" max="3583" width="15.42578125" style="1008" customWidth="1"/>
    <col min="3584" max="3823" width="11.42578125" style="1008"/>
    <col min="3824" max="3824" width="2.28515625" style="1008" customWidth="1"/>
    <col min="3825" max="3825" width="2.7109375" style="1008" customWidth="1"/>
    <col min="3826" max="3826" width="2.42578125" style="1008" customWidth="1"/>
    <col min="3827" max="3827" width="17.7109375" style="1008" customWidth="1"/>
    <col min="3828" max="3828" width="1.5703125" style="1008" customWidth="1"/>
    <col min="3829" max="3829" width="6.42578125" style="1008" customWidth="1"/>
    <col min="3830" max="3830" width="13.140625" style="1008" customWidth="1"/>
    <col min="3831" max="3831" width="1" style="1008" customWidth="1"/>
    <col min="3832" max="3832" width="19.5703125" style="1008" customWidth="1"/>
    <col min="3833" max="3833" width="0.85546875" style="1008" customWidth="1"/>
    <col min="3834" max="3834" width="14.42578125" style="1008" customWidth="1"/>
    <col min="3835" max="3835" width="12.85546875" style="1008" customWidth="1"/>
    <col min="3836" max="3836" width="6.140625" style="1008" customWidth="1"/>
    <col min="3837" max="3838" width="11.42578125" style="1008"/>
    <col min="3839" max="3839" width="15.42578125" style="1008" customWidth="1"/>
    <col min="3840" max="4079" width="11.42578125" style="1008"/>
    <col min="4080" max="4080" width="2.28515625" style="1008" customWidth="1"/>
    <col min="4081" max="4081" width="2.7109375" style="1008" customWidth="1"/>
    <col min="4082" max="4082" width="2.42578125" style="1008" customWidth="1"/>
    <col min="4083" max="4083" width="17.7109375" style="1008" customWidth="1"/>
    <col min="4084" max="4084" width="1.5703125" style="1008" customWidth="1"/>
    <col min="4085" max="4085" width="6.42578125" style="1008" customWidth="1"/>
    <col min="4086" max="4086" width="13.140625" style="1008" customWidth="1"/>
    <col min="4087" max="4087" width="1" style="1008" customWidth="1"/>
    <col min="4088" max="4088" width="19.5703125" style="1008" customWidth="1"/>
    <col min="4089" max="4089" width="0.85546875" style="1008" customWidth="1"/>
    <col min="4090" max="4090" width="14.42578125" style="1008" customWidth="1"/>
    <col min="4091" max="4091" width="12.85546875" style="1008" customWidth="1"/>
    <col min="4092" max="4092" width="6.140625" style="1008" customWidth="1"/>
    <col min="4093" max="4094" width="11.42578125" style="1008"/>
    <col min="4095" max="4095" width="15.42578125" style="1008" customWidth="1"/>
    <col min="4096" max="4335" width="11.42578125" style="1008"/>
    <col min="4336" max="4336" width="2.28515625" style="1008" customWidth="1"/>
    <col min="4337" max="4337" width="2.7109375" style="1008" customWidth="1"/>
    <col min="4338" max="4338" width="2.42578125" style="1008" customWidth="1"/>
    <col min="4339" max="4339" width="17.7109375" style="1008" customWidth="1"/>
    <col min="4340" max="4340" width="1.5703125" style="1008" customWidth="1"/>
    <col min="4341" max="4341" width="6.42578125" style="1008" customWidth="1"/>
    <col min="4342" max="4342" width="13.140625" style="1008" customWidth="1"/>
    <col min="4343" max="4343" width="1" style="1008" customWidth="1"/>
    <col min="4344" max="4344" width="19.5703125" style="1008" customWidth="1"/>
    <col min="4345" max="4345" width="0.85546875" style="1008" customWidth="1"/>
    <col min="4346" max="4346" width="14.42578125" style="1008" customWidth="1"/>
    <col min="4347" max="4347" width="12.85546875" style="1008" customWidth="1"/>
    <col min="4348" max="4348" width="6.140625" style="1008" customWidth="1"/>
    <col min="4349" max="4350" width="11.42578125" style="1008"/>
    <col min="4351" max="4351" width="15.42578125" style="1008" customWidth="1"/>
    <col min="4352" max="4591" width="11.42578125" style="1008"/>
    <col min="4592" max="4592" width="2.28515625" style="1008" customWidth="1"/>
    <col min="4593" max="4593" width="2.7109375" style="1008" customWidth="1"/>
    <col min="4594" max="4594" width="2.42578125" style="1008" customWidth="1"/>
    <col min="4595" max="4595" width="17.7109375" style="1008" customWidth="1"/>
    <col min="4596" max="4596" width="1.5703125" style="1008" customWidth="1"/>
    <col min="4597" max="4597" width="6.42578125" style="1008" customWidth="1"/>
    <col min="4598" max="4598" width="13.140625" style="1008" customWidth="1"/>
    <col min="4599" max="4599" width="1" style="1008" customWidth="1"/>
    <col min="4600" max="4600" width="19.5703125" style="1008" customWidth="1"/>
    <col min="4601" max="4601" width="0.85546875" style="1008" customWidth="1"/>
    <col min="4602" max="4602" width="14.42578125" style="1008" customWidth="1"/>
    <col min="4603" max="4603" width="12.85546875" style="1008" customWidth="1"/>
    <col min="4604" max="4604" width="6.140625" style="1008" customWidth="1"/>
    <col min="4605" max="4606" width="11.42578125" style="1008"/>
    <col min="4607" max="4607" width="15.42578125" style="1008" customWidth="1"/>
    <col min="4608" max="4847" width="11.42578125" style="1008"/>
    <col min="4848" max="4848" width="2.28515625" style="1008" customWidth="1"/>
    <col min="4849" max="4849" width="2.7109375" style="1008" customWidth="1"/>
    <col min="4850" max="4850" width="2.42578125" style="1008" customWidth="1"/>
    <col min="4851" max="4851" width="17.7109375" style="1008" customWidth="1"/>
    <col min="4852" max="4852" width="1.5703125" style="1008" customWidth="1"/>
    <col min="4853" max="4853" width="6.42578125" style="1008" customWidth="1"/>
    <col min="4854" max="4854" width="13.140625" style="1008" customWidth="1"/>
    <col min="4855" max="4855" width="1" style="1008" customWidth="1"/>
    <col min="4856" max="4856" width="19.5703125" style="1008" customWidth="1"/>
    <col min="4857" max="4857" width="0.85546875" style="1008" customWidth="1"/>
    <col min="4858" max="4858" width="14.42578125" style="1008" customWidth="1"/>
    <col min="4859" max="4859" width="12.85546875" style="1008" customWidth="1"/>
    <col min="4860" max="4860" width="6.140625" style="1008" customWidth="1"/>
    <col min="4861" max="4862" width="11.42578125" style="1008"/>
    <col min="4863" max="4863" width="15.42578125" style="1008" customWidth="1"/>
    <col min="4864" max="5103" width="11.42578125" style="1008"/>
    <col min="5104" max="5104" width="2.28515625" style="1008" customWidth="1"/>
    <col min="5105" max="5105" width="2.7109375" style="1008" customWidth="1"/>
    <col min="5106" max="5106" width="2.42578125" style="1008" customWidth="1"/>
    <col min="5107" max="5107" width="17.7109375" style="1008" customWidth="1"/>
    <col min="5108" max="5108" width="1.5703125" style="1008" customWidth="1"/>
    <col min="5109" max="5109" width="6.42578125" style="1008" customWidth="1"/>
    <col min="5110" max="5110" width="13.140625" style="1008" customWidth="1"/>
    <col min="5111" max="5111" width="1" style="1008" customWidth="1"/>
    <col min="5112" max="5112" width="19.5703125" style="1008" customWidth="1"/>
    <col min="5113" max="5113" width="0.85546875" style="1008" customWidth="1"/>
    <col min="5114" max="5114" width="14.42578125" style="1008" customWidth="1"/>
    <col min="5115" max="5115" width="12.85546875" style="1008" customWidth="1"/>
    <col min="5116" max="5116" width="6.140625" style="1008" customWidth="1"/>
    <col min="5117" max="5118" width="11.42578125" style="1008"/>
    <col min="5119" max="5119" width="15.42578125" style="1008" customWidth="1"/>
    <col min="5120" max="5359" width="11.42578125" style="1008"/>
    <col min="5360" max="5360" width="2.28515625" style="1008" customWidth="1"/>
    <col min="5361" max="5361" width="2.7109375" style="1008" customWidth="1"/>
    <col min="5362" max="5362" width="2.42578125" style="1008" customWidth="1"/>
    <col min="5363" max="5363" width="17.7109375" style="1008" customWidth="1"/>
    <col min="5364" max="5364" width="1.5703125" style="1008" customWidth="1"/>
    <col min="5365" max="5365" width="6.42578125" style="1008" customWidth="1"/>
    <col min="5366" max="5366" width="13.140625" style="1008" customWidth="1"/>
    <col min="5367" max="5367" width="1" style="1008" customWidth="1"/>
    <col min="5368" max="5368" width="19.5703125" style="1008" customWidth="1"/>
    <col min="5369" max="5369" width="0.85546875" style="1008" customWidth="1"/>
    <col min="5370" max="5370" width="14.42578125" style="1008" customWidth="1"/>
    <col min="5371" max="5371" width="12.85546875" style="1008" customWidth="1"/>
    <col min="5372" max="5372" width="6.140625" style="1008" customWidth="1"/>
    <col min="5373" max="5374" width="11.42578125" style="1008"/>
    <col min="5375" max="5375" width="15.42578125" style="1008" customWidth="1"/>
    <col min="5376" max="5615" width="11.42578125" style="1008"/>
    <col min="5616" max="5616" width="2.28515625" style="1008" customWidth="1"/>
    <col min="5617" max="5617" width="2.7109375" style="1008" customWidth="1"/>
    <col min="5618" max="5618" width="2.42578125" style="1008" customWidth="1"/>
    <col min="5619" max="5619" width="17.7109375" style="1008" customWidth="1"/>
    <col min="5620" max="5620" width="1.5703125" style="1008" customWidth="1"/>
    <col min="5621" max="5621" width="6.42578125" style="1008" customWidth="1"/>
    <col min="5622" max="5622" width="13.140625" style="1008" customWidth="1"/>
    <col min="5623" max="5623" width="1" style="1008" customWidth="1"/>
    <col min="5624" max="5624" width="19.5703125" style="1008" customWidth="1"/>
    <col min="5625" max="5625" width="0.85546875" style="1008" customWidth="1"/>
    <col min="5626" max="5626" width="14.42578125" style="1008" customWidth="1"/>
    <col min="5627" max="5627" width="12.85546875" style="1008" customWidth="1"/>
    <col min="5628" max="5628" width="6.140625" style="1008" customWidth="1"/>
    <col min="5629" max="5630" width="11.42578125" style="1008"/>
    <col min="5631" max="5631" width="15.42578125" style="1008" customWidth="1"/>
    <col min="5632" max="5871" width="11.42578125" style="1008"/>
    <col min="5872" max="5872" width="2.28515625" style="1008" customWidth="1"/>
    <col min="5873" max="5873" width="2.7109375" style="1008" customWidth="1"/>
    <col min="5874" max="5874" width="2.42578125" style="1008" customWidth="1"/>
    <col min="5875" max="5875" width="17.7109375" style="1008" customWidth="1"/>
    <col min="5876" max="5876" width="1.5703125" style="1008" customWidth="1"/>
    <col min="5877" max="5877" width="6.42578125" style="1008" customWidth="1"/>
    <col min="5878" max="5878" width="13.140625" style="1008" customWidth="1"/>
    <col min="5879" max="5879" width="1" style="1008" customWidth="1"/>
    <col min="5880" max="5880" width="19.5703125" style="1008" customWidth="1"/>
    <col min="5881" max="5881" width="0.85546875" style="1008" customWidth="1"/>
    <col min="5882" max="5882" width="14.42578125" style="1008" customWidth="1"/>
    <col min="5883" max="5883" width="12.85546875" style="1008" customWidth="1"/>
    <col min="5884" max="5884" width="6.140625" style="1008" customWidth="1"/>
    <col min="5885" max="5886" width="11.42578125" style="1008"/>
    <col min="5887" max="5887" width="15.42578125" style="1008" customWidth="1"/>
    <col min="5888" max="6127" width="11.42578125" style="1008"/>
    <col min="6128" max="6128" width="2.28515625" style="1008" customWidth="1"/>
    <col min="6129" max="6129" width="2.7109375" style="1008" customWidth="1"/>
    <col min="6130" max="6130" width="2.42578125" style="1008" customWidth="1"/>
    <col min="6131" max="6131" width="17.7109375" style="1008" customWidth="1"/>
    <col min="6132" max="6132" width="1.5703125" style="1008" customWidth="1"/>
    <col min="6133" max="6133" width="6.42578125" style="1008" customWidth="1"/>
    <col min="6134" max="6134" width="13.140625" style="1008" customWidth="1"/>
    <col min="6135" max="6135" width="1" style="1008" customWidth="1"/>
    <col min="6136" max="6136" width="19.5703125" style="1008" customWidth="1"/>
    <col min="6137" max="6137" width="0.85546875" style="1008" customWidth="1"/>
    <col min="6138" max="6138" width="14.42578125" style="1008" customWidth="1"/>
    <col min="6139" max="6139" width="12.85546875" style="1008" customWidth="1"/>
    <col min="6140" max="6140" width="6.140625" style="1008" customWidth="1"/>
    <col min="6141" max="6142" width="11.42578125" style="1008"/>
    <col min="6143" max="6143" width="15.42578125" style="1008" customWidth="1"/>
    <col min="6144" max="6383" width="11.42578125" style="1008"/>
    <col min="6384" max="6384" width="2.28515625" style="1008" customWidth="1"/>
    <col min="6385" max="6385" width="2.7109375" style="1008" customWidth="1"/>
    <col min="6386" max="6386" width="2.42578125" style="1008" customWidth="1"/>
    <col min="6387" max="6387" width="17.7109375" style="1008" customWidth="1"/>
    <col min="6388" max="6388" width="1.5703125" style="1008" customWidth="1"/>
    <col min="6389" max="6389" width="6.42578125" style="1008" customWidth="1"/>
    <col min="6390" max="6390" width="13.140625" style="1008" customWidth="1"/>
    <col min="6391" max="6391" width="1" style="1008" customWidth="1"/>
    <col min="6392" max="6392" width="19.5703125" style="1008" customWidth="1"/>
    <col min="6393" max="6393" width="0.85546875" style="1008" customWidth="1"/>
    <col min="6394" max="6394" width="14.42578125" style="1008" customWidth="1"/>
    <col min="6395" max="6395" width="12.85546875" style="1008" customWidth="1"/>
    <col min="6396" max="6396" width="6.140625" style="1008" customWidth="1"/>
    <col min="6397" max="6398" width="11.42578125" style="1008"/>
    <col min="6399" max="6399" width="15.42578125" style="1008" customWidth="1"/>
    <col min="6400" max="6639" width="11.42578125" style="1008"/>
    <col min="6640" max="6640" width="2.28515625" style="1008" customWidth="1"/>
    <col min="6641" max="6641" width="2.7109375" style="1008" customWidth="1"/>
    <col min="6642" max="6642" width="2.42578125" style="1008" customWidth="1"/>
    <col min="6643" max="6643" width="17.7109375" style="1008" customWidth="1"/>
    <col min="6644" max="6644" width="1.5703125" style="1008" customWidth="1"/>
    <col min="6645" max="6645" width="6.42578125" style="1008" customWidth="1"/>
    <col min="6646" max="6646" width="13.140625" style="1008" customWidth="1"/>
    <col min="6647" max="6647" width="1" style="1008" customWidth="1"/>
    <col min="6648" max="6648" width="19.5703125" style="1008" customWidth="1"/>
    <col min="6649" max="6649" width="0.85546875" style="1008" customWidth="1"/>
    <col min="6650" max="6650" width="14.42578125" style="1008" customWidth="1"/>
    <col min="6651" max="6651" width="12.85546875" style="1008" customWidth="1"/>
    <col min="6652" max="6652" width="6.140625" style="1008" customWidth="1"/>
    <col min="6653" max="6654" width="11.42578125" style="1008"/>
    <col min="6655" max="6655" width="15.42578125" style="1008" customWidth="1"/>
    <col min="6656" max="6895" width="11.42578125" style="1008"/>
    <col min="6896" max="6896" width="2.28515625" style="1008" customWidth="1"/>
    <col min="6897" max="6897" width="2.7109375" style="1008" customWidth="1"/>
    <col min="6898" max="6898" width="2.42578125" style="1008" customWidth="1"/>
    <col min="6899" max="6899" width="17.7109375" style="1008" customWidth="1"/>
    <col min="6900" max="6900" width="1.5703125" style="1008" customWidth="1"/>
    <col min="6901" max="6901" width="6.42578125" style="1008" customWidth="1"/>
    <col min="6902" max="6902" width="13.140625" style="1008" customWidth="1"/>
    <col min="6903" max="6903" width="1" style="1008" customWidth="1"/>
    <col min="6904" max="6904" width="19.5703125" style="1008" customWidth="1"/>
    <col min="6905" max="6905" width="0.85546875" style="1008" customWidth="1"/>
    <col min="6906" max="6906" width="14.42578125" style="1008" customWidth="1"/>
    <col min="6907" max="6907" width="12.85546875" style="1008" customWidth="1"/>
    <col min="6908" max="6908" width="6.140625" style="1008" customWidth="1"/>
    <col min="6909" max="6910" width="11.42578125" style="1008"/>
    <col min="6911" max="6911" width="15.42578125" style="1008" customWidth="1"/>
    <col min="6912" max="7151" width="11.42578125" style="1008"/>
    <col min="7152" max="7152" width="2.28515625" style="1008" customWidth="1"/>
    <col min="7153" max="7153" width="2.7109375" style="1008" customWidth="1"/>
    <col min="7154" max="7154" width="2.42578125" style="1008" customWidth="1"/>
    <col min="7155" max="7155" width="17.7109375" style="1008" customWidth="1"/>
    <col min="7156" max="7156" width="1.5703125" style="1008" customWidth="1"/>
    <col min="7157" max="7157" width="6.42578125" style="1008" customWidth="1"/>
    <col min="7158" max="7158" width="13.140625" style="1008" customWidth="1"/>
    <col min="7159" max="7159" width="1" style="1008" customWidth="1"/>
    <col min="7160" max="7160" width="19.5703125" style="1008" customWidth="1"/>
    <col min="7161" max="7161" width="0.85546875" style="1008" customWidth="1"/>
    <col min="7162" max="7162" width="14.42578125" style="1008" customWidth="1"/>
    <col min="7163" max="7163" width="12.85546875" style="1008" customWidth="1"/>
    <col min="7164" max="7164" width="6.140625" style="1008" customWidth="1"/>
    <col min="7165" max="7166" width="11.42578125" style="1008"/>
    <col min="7167" max="7167" width="15.42578125" style="1008" customWidth="1"/>
    <col min="7168" max="7407" width="11.42578125" style="1008"/>
    <col min="7408" max="7408" width="2.28515625" style="1008" customWidth="1"/>
    <col min="7409" max="7409" width="2.7109375" style="1008" customWidth="1"/>
    <col min="7410" max="7410" width="2.42578125" style="1008" customWidth="1"/>
    <col min="7411" max="7411" width="17.7109375" style="1008" customWidth="1"/>
    <col min="7412" max="7412" width="1.5703125" style="1008" customWidth="1"/>
    <col min="7413" max="7413" width="6.42578125" style="1008" customWidth="1"/>
    <col min="7414" max="7414" width="13.140625" style="1008" customWidth="1"/>
    <col min="7415" max="7415" width="1" style="1008" customWidth="1"/>
    <col min="7416" max="7416" width="19.5703125" style="1008" customWidth="1"/>
    <col min="7417" max="7417" width="0.85546875" style="1008" customWidth="1"/>
    <col min="7418" max="7418" width="14.42578125" style="1008" customWidth="1"/>
    <col min="7419" max="7419" width="12.85546875" style="1008" customWidth="1"/>
    <col min="7420" max="7420" width="6.140625" style="1008" customWidth="1"/>
    <col min="7421" max="7422" width="11.42578125" style="1008"/>
    <col min="7423" max="7423" width="15.42578125" style="1008" customWidth="1"/>
    <col min="7424" max="7663" width="11.42578125" style="1008"/>
    <col min="7664" max="7664" width="2.28515625" style="1008" customWidth="1"/>
    <col min="7665" max="7665" width="2.7109375" style="1008" customWidth="1"/>
    <col min="7666" max="7666" width="2.42578125" style="1008" customWidth="1"/>
    <col min="7667" max="7667" width="17.7109375" style="1008" customWidth="1"/>
    <col min="7668" max="7668" width="1.5703125" style="1008" customWidth="1"/>
    <col min="7669" max="7669" width="6.42578125" style="1008" customWidth="1"/>
    <col min="7670" max="7670" width="13.140625" style="1008" customWidth="1"/>
    <col min="7671" max="7671" width="1" style="1008" customWidth="1"/>
    <col min="7672" max="7672" width="19.5703125" style="1008" customWidth="1"/>
    <col min="7673" max="7673" width="0.85546875" style="1008" customWidth="1"/>
    <col min="7674" max="7674" width="14.42578125" style="1008" customWidth="1"/>
    <col min="7675" max="7675" width="12.85546875" style="1008" customWidth="1"/>
    <col min="7676" max="7676" width="6.140625" style="1008" customWidth="1"/>
    <col min="7677" max="7678" width="11.42578125" style="1008"/>
    <col min="7679" max="7679" width="15.42578125" style="1008" customWidth="1"/>
    <col min="7680" max="7919" width="11.42578125" style="1008"/>
    <col min="7920" max="7920" width="2.28515625" style="1008" customWidth="1"/>
    <col min="7921" max="7921" width="2.7109375" style="1008" customWidth="1"/>
    <col min="7922" max="7922" width="2.42578125" style="1008" customWidth="1"/>
    <col min="7923" max="7923" width="17.7109375" style="1008" customWidth="1"/>
    <col min="7924" max="7924" width="1.5703125" style="1008" customWidth="1"/>
    <col min="7925" max="7925" width="6.42578125" style="1008" customWidth="1"/>
    <col min="7926" max="7926" width="13.140625" style="1008" customWidth="1"/>
    <col min="7927" max="7927" width="1" style="1008" customWidth="1"/>
    <col min="7928" max="7928" width="19.5703125" style="1008" customWidth="1"/>
    <col min="7929" max="7929" width="0.85546875" style="1008" customWidth="1"/>
    <col min="7930" max="7930" width="14.42578125" style="1008" customWidth="1"/>
    <col min="7931" max="7931" width="12.85546875" style="1008" customWidth="1"/>
    <col min="7932" max="7932" width="6.140625" style="1008" customWidth="1"/>
    <col min="7933" max="7934" width="11.42578125" style="1008"/>
    <col min="7935" max="7935" width="15.42578125" style="1008" customWidth="1"/>
    <col min="7936" max="8175" width="11.42578125" style="1008"/>
    <col min="8176" max="8176" width="2.28515625" style="1008" customWidth="1"/>
    <col min="8177" max="8177" width="2.7109375" style="1008" customWidth="1"/>
    <col min="8178" max="8178" width="2.42578125" style="1008" customWidth="1"/>
    <col min="8179" max="8179" width="17.7109375" style="1008" customWidth="1"/>
    <col min="8180" max="8180" width="1.5703125" style="1008" customWidth="1"/>
    <col min="8181" max="8181" width="6.42578125" style="1008" customWidth="1"/>
    <col min="8182" max="8182" width="13.140625" style="1008" customWidth="1"/>
    <col min="8183" max="8183" width="1" style="1008" customWidth="1"/>
    <col min="8184" max="8184" width="19.5703125" style="1008" customWidth="1"/>
    <col min="8185" max="8185" width="0.85546875" style="1008" customWidth="1"/>
    <col min="8186" max="8186" width="14.42578125" style="1008" customWidth="1"/>
    <col min="8187" max="8187" width="12.85546875" style="1008" customWidth="1"/>
    <col min="8188" max="8188" width="6.140625" style="1008" customWidth="1"/>
    <col min="8189" max="8190" width="11.42578125" style="1008"/>
    <col min="8191" max="8191" width="15.42578125" style="1008" customWidth="1"/>
    <col min="8192" max="8431" width="11.42578125" style="1008"/>
    <col min="8432" max="8432" width="2.28515625" style="1008" customWidth="1"/>
    <col min="8433" max="8433" width="2.7109375" style="1008" customWidth="1"/>
    <col min="8434" max="8434" width="2.42578125" style="1008" customWidth="1"/>
    <col min="8435" max="8435" width="17.7109375" style="1008" customWidth="1"/>
    <col min="8436" max="8436" width="1.5703125" style="1008" customWidth="1"/>
    <col min="8437" max="8437" width="6.42578125" style="1008" customWidth="1"/>
    <col min="8438" max="8438" width="13.140625" style="1008" customWidth="1"/>
    <col min="8439" max="8439" width="1" style="1008" customWidth="1"/>
    <col min="8440" max="8440" width="19.5703125" style="1008" customWidth="1"/>
    <col min="8441" max="8441" width="0.85546875" style="1008" customWidth="1"/>
    <col min="8442" max="8442" width="14.42578125" style="1008" customWidth="1"/>
    <col min="8443" max="8443" width="12.85546875" style="1008" customWidth="1"/>
    <col min="8444" max="8444" width="6.140625" style="1008" customWidth="1"/>
    <col min="8445" max="8446" width="11.42578125" style="1008"/>
    <col min="8447" max="8447" width="15.42578125" style="1008" customWidth="1"/>
    <col min="8448" max="8687" width="11.42578125" style="1008"/>
    <col min="8688" max="8688" width="2.28515625" style="1008" customWidth="1"/>
    <col min="8689" max="8689" width="2.7109375" style="1008" customWidth="1"/>
    <col min="8690" max="8690" width="2.42578125" style="1008" customWidth="1"/>
    <col min="8691" max="8691" width="17.7109375" style="1008" customWidth="1"/>
    <col min="8692" max="8692" width="1.5703125" style="1008" customWidth="1"/>
    <col min="8693" max="8693" width="6.42578125" style="1008" customWidth="1"/>
    <col min="8694" max="8694" width="13.140625" style="1008" customWidth="1"/>
    <col min="8695" max="8695" width="1" style="1008" customWidth="1"/>
    <col min="8696" max="8696" width="19.5703125" style="1008" customWidth="1"/>
    <col min="8697" max="8697" width="0.85546875" style="1008" customWidth="1"/>
    <col min="8698" max="8698" width="14.42578125" style="1008" customWidth="1"/>
    <col min="8699" max="8699" width="12.85546875" style="1008" customWidth="1"/>
    <col min="8700" max="8700" width="6.140625" style="1008" customWidth="1"/>
    <col min="8701" max="8702" width="11.42578125" style="1008"/>
    <col min="8703" max="8703" width="15.42578125" style="1008" customWidth="1"/>
    <col min="8704" max="8943" width="11.42578125" style="1008"/>
    <col min="8944" max="8944" width="2.28515625" style="1008" customWidth="1"/>
    <col min="8945" max="8945" width="2.7109375" style="1008" customWidth="1"/>
    <col min="8946" max="8946" width="2.42578125" style="1008" customWidth="1"/>
    <col min="8947" max="8947" width="17.7109375" style="1008" customWidth="1"/>
    <col min="8948" max="8948" width="1.5703125" style="1008" customWidth="1"/>
    <col min="8949" max="8949" width="6.42578125" style="1008" customWidth="1"/>
    <col min="8950" max="8950" width="13.140625" style="1008" customWidth="1"/>
    <col min="8951" max="8951" width="1" style="1008" customWidth="1"/>
    <col min="8952" max="8952" width="19.5703125" style="1008" customWidth="1"/>
    <col min="8953" max="8953" width="0.85546875" style="1008" customWidth="1"/>
    <col min="8954" max="8954" width="14.42578125" style="1008" customWidth="1"/>
    <col min="8955" max="8955" width="12.85546875" style="1008" customWidth="1"/>
    <col min="8956" max="8956" width="6.140625" style="1008" customWidth="1"/>
    <col min="8957" max="8958" width="11.42578125" style="1008"/>
    <col min="8959" max="8959" width="15.42578125" style="1008" customWidth="1"/>
    <col min="8960" max="9199" width="11.42578125" style="1008"/>
    <col min="9200" max="9200" width="2.28515625" style="1008" customWidth="1"/>
    <col min="9201" max="9201" width="2.7109375" style="1008" customWidth="1"/>
    <col min="9202" max="9202" width="2.42578125" style="1008" customWidth="1"/>
    <col min="9203" max="9203" width="17.7109375" style="1008" customWidth="1"/>
    <col min="9204" max="9204" width="1.5703125" style="1008" customWidth="1"/>
    <col min="9205" max="9205" width="6.42578125" style="1008" customWidth="1"/>
    <col min="9206" max="9206" width="13.140625" style="1008" customWidth="1"/>
    <col min="9207" max="9207" width="1" style="1008" customWidth="1"/>
    <col min="9208" max="9208" width="19.5703125" style="1008" customWidth="1"/>
    <col min="9209" max="9209" width="0.85546875" style="1008" customWidth="1"/>
    <col min="9210" max="9210" width="14.42578125" style="1008" customWidth="1"/>
    <col min="9211" max="9211" width="12.85546875" style="1008" customWidth="1"/>
    <col min="9212" max="9212" width="6.140625" style="1008" customWidth="1"/>
    <col min="9213" max="9214" width="11.42578125" style="1008"/>
    <col min="9215" max="9215" width="15.42578125" style="1008" customWidth="1"/>
    <col min="9216" max="9455" width="11.42578125" style="1008"/>
    <col min="9456" max="9456" width="2.28515625" style="1008" customWidth="1"/>
    <col min="9457" max="9457" width="2.7109375" style="1008" customWidth="1"/>
    <col min="9458" max="9458" width="2.42578125" style="1008" customWidth="1"/>
    <col min="9459" max="9459" width="17.7109375" style="1008" customWidth="1"/>
    <col min="9460" max="9460" width="1.5703125" style="1008" customWidth="1"/>
    <col min="9461" max="9461" width="6.42578125" style="1008" customWidth="1"/>
    <col min="9462" max="9462" width="13.140625" style="1008" customWidth="1"/>
    <col min="9463" max="9463" width="1" style="1008" customWidth="1"/>
    <col min="9464" max="9464" width="19.5703125" style="1008" customWidth="1"/>
    <col min="9465" max="9465" width="0.85546875" style="1008" customWidth="1"/>
    <col min="9466" max="9466" width="14.42578125" style="1008" customWidth="1"/>
    <col min="9467" max="9467" width="12.85546875" style="1008" customWidth="1"/>
    <col min="9468" max="9468" width="6.140625" style="1008" customWidth="1"/>
    <col min="9469" max="9470" width="11.42578125" style="1008"/>
    <col min="9471" max="9471" width="15.42578125" style="1008" customWidth="1"/>
    <col min="9472" max="9711" width="11.42578125" style="1008"/>
    <col min="9712" max="9712" width="2.28515625" style="1008" customWidth="1"/>
    <col min="9713" max="9713" width="2.7109375" style="1008" customWidth="1"/>
    <col min="9714" max="9714" width="2.42578125" style="1008" customWidth="1"/>
    <col min="9715" max="9715" width="17.7109375" style="1008" customWidth="1"/>
    <col min="9716" max="9716" width="1.5703125" style="1008" customWidth="1"/>
    <col min="9717" max="9717" width="6.42578125" style="1008" customWidth="1"/>
    <col min="9718" max="9718" width="13.140625" style="1008" customWidth="1"/>
    <col min="9719" max="9719" width="1" style="1008" customWidth="1"/>
    <col min="9720" max="9720" width="19.5703125" style="1008" customWidth="1"/>
    <col min="9721" max="9721" width="0.85546875" style="1008" customWidth="1"/>
    <col min="9722" max="9722" width="14.42578125" style="1008" customWidth="1"/>
    <col min="9723" max="9723" width="12.85546875" style="1008" customWidth="1"/>
    <col min="9724" max="9724" width="6.140625" style="1008" customWidth="1"/>
    <col min="9725" max="9726" width="11.42578125" style="1008"/>
    <col min="9727" max="9727" width="15.42578125" style="1008" customWidth="1"/>
    <col min="9728" max="9967" width="11.42578125" style="1008"/>
    <col min="9968" max="9968" width="2.28515625" style="1008" customWidth="1"/>
    <col min="9969" max="9969" width="2.7109375" style="1008" customWidth="1"/>
    <col min="9970" max="9970" width="2.42578125" style="1008" customWidth="1"/>
    <col min="9971" max="9971" width="17.7109375" style="1008" customWidth="1"/>
    <col min="9972" max="9972" width="1.5703125" style="1008" customWidth="1"/>
    <col min="9973" max="9973" width="6.42578125" style="1008" customWidth="1"/>
    <col min="9974" max="9974" width="13.140625" style="1008" customWidth="1"/>
    <col min="9975" max="9975" width="1" style="1008" customWidth="1"/>
    <col min="9976" max="9976" width="19.5703125" style="1008" customWidth="1"/>
    <col min="9977" max="9977" width="0.85546875" style="1008" customWidth="1"/>
    <col min="9978" max="9978" width="14.42578125" style="1008" customWidth="1"/>
    <col min="9979" max="9979" width="12.85546875" style="1008" customWidth="1"/>
    <col min="9980" max="9980" width="6.140625" style="1008" customWidth="1"/>
    <col min="9981" max="9982" width="11.42578125" style="1008"/>
    <col min="9983" max="9983" width="15.42578125" style="1008" customWidth="1"/>
    <col min="9984" max="10223" width="11.42578125" style="1008"/>
    <col min="10224" max="10224" width="2.28515625" style="1008" customWidth="1"/>
    <col min="10225" max="10225" width="2.7109375" style="1008" customWidth="1"/>
    <col min="10226" max="10226" width="2.42578125" style="1008" customWidth="1"/>
    <col min="10227" max="10227" width="17.7109375" style="1008" customWidth="1"/>
    <col min="10228" max="10228" width="1.5703125" style="1008" customWidth="1"/>
    <col min="10229" max="10229" width="6.42578125" style="1008" customWidth="1"/>
    <col min="10230" max="10230" width="13.140625" style="1008" customWidth="1"/>
    <col min="10231" max="10231" width="1" style="1008" customWidth="1"/>
    <col min="10232" max="10232" width="19.5703125" style="1008" customWidth="1"/>
    <col min="10233" max="10233" width="0.85546875" style="1008" customWidth="1"/>
    <col min="10234" max="10234" width="14.42578125" style="1008" customWidth="1"/>
    <col min="10235" max="10235" width="12.85546875" style="1008" customWidth="1"/>
    <col min="10236" max="10236" width="6.140625" style="1008" customWidth="1"/>
    <col min="10237" max="10238" width="11.42578125" style="1008"/>
    <col min="10239" max="10239" width="15.42578125" style="1008" customWidth="1"/>
    <col min="10240" max="10479" width="11.42578125" style="1008"/>
    <col min="10480" max="10480" width="2.28515625" style="1008" customWidth="1"/>
    <col min="10481" max="10481" width="2.7109375" style="1008" customWidth="1"/>
    <col min="10482" max="10482" width="2.42578125" style="1008" customWidth="1"/>
    <col min="10483" max="10483" width="17.7109375" style="1008" customWidth="1"/>
    <col min="10484" max="10484" width="1.5703125" style="1008" customWidth="1"/>
    <col min="10485" max="10485" width="6.42578125" style="1008" customWidth="1"/>
    <col min="10486" max="10486" width="13.140625" style="1008" customWidth="1"/>
    <col min="10487" max="10487" width="1" style="1008" customWidth="1"/>
    <col min="10488" max="10488" width="19.5703125" style="1008" customWidth="1"/>
    <col min="10489" max="10489" width="0.85546875" style="1008" customWidth="1"/>
    <col min="10490" max="10490" width="14.42578125" style="1008" customWidth="1"/>
    <col min="10491" max="10491" width="12.85546875" style="1008" customWidth="1"/>
    <col min="10492" max="10492" width="6.140625" style="1008" customWidth="1"/>
    <col min="10493" max="10494" width="11.42578125" style="1008"/>
    <col min="10495" max="10495" width="15.42578125" style="1008" customWidth="1"/>
    <col min="10496" max="10735" width="11.42578125" style="1008"/>
    <col min="10736" max="10736" width="2.28515625" style="1008" customWidth="1"/>
    <col min="10737" max="10737" width="2.7109375" style="1008" customWidth="1"/>
    <col min="10738" max="10738" width="2.42578125" style="1008" customWidth="1"/>
    <col min="10739" max="10739" width="17.7109375" style="1008" customWidth="1"/>
    <col min="10740" max="10740" width="1.5703125" style="1008" customWidth="1"/>
    <col min="10741" max="10741" width="6.42578125" style="1008" customWidth="1"/>
    <col min="10742" max="10742" width="13.140625" style="1008" customWidth="1"/>
    <col min="10743" max="10743" width="1" style="1008" customWidth="1"/>
    <col min="10744" max="10744" width="19.5703125" style="1008" customWidth="1"/>
    <col min="10745" max="10745" width="0.85546875" style="1008" customWidth="1"/>
    <col min="10746" max="10746" width="14.42578125" style="1008" customWidth="1"/>
    <col min="10747" max="10747" width="12.85546875" style="1008" customWidth="1"/>
    <col min="10748" max="10748" width="6.140625" style="1008" customWidth="1"/>
    <col min="10749" max="10750" width="11.42578125" style="1008"/>
    <col min="10751" max="10751" width="15.42578125" style="1008" customWidth="1"/>
    <col min="10752" max="10991" width="11.42578125" style="1008"/>
    <col min="10992" max="10992" width="2.28515625" style="1008" customWidth="1"/>
    <col min="10993" max="10993" width="2.7109375" style="1008" customWidth="1"/>
    <col min="10994" max="10994" width="2.42578125" style="1008" customWidth="1"/>
    <col min="10995" max="10995" width="17.7109375" style="1008" customWidth="1"/>
    <col min="10996" max="10996" width="1.5703125" style="1008" customWidth="1"/>
    <col min="10997" max="10997" width="6.42578125" style="1008" customWidth="1"/>
    <col min="10998" max="10998" width="13.140625" style="1008" customWidth="1"/>
    <col min="10999" max="10999" width="1" style="1008" customWidth="1"/>
    <col min="11000" max="11000" width="19.5703125" style="1008" customWidth="1"/>
    <col min="11001" max="11001" width="0.85546875" style="1008" customWidth="1"/>
    <col min="11002" max="11002" width="14.42578125" style="1008" customWidth="1"/>
    <col min="11003" max="11003" width="12.85546875" style="1008" customWidth="1"/>
    <col min="11004" max="11004" width="6.140625" style="1008" customWidth="1"/>
    <col min="11005" max="11006" width="11.42578125" style="1008"/>
    <col min="11007" max="11007" width="15.42578125" style="1008" customWidth="1"/>
    <col min="11008" max="11247" width="11.42578125" style="1008"/>
    <col min="11248" max="11248" width="2.28515625" style="1008" customWidth="1"/>
    <col min="11249" max="11249" width="2.7109375" style="1008" customWidth="1"/>
    <col min="11250" max="11250" width="2.42578125" style="1008" customWidth="1"/>
    <col min="11251" max="11251" width="17.7109375" style="1008" customWidth="1"/>
    <col min="11252" max="11252" width="1.5703125" style="1008" customWidth="1"/>
    <col min="11253" max="11253" width="6.42578125" style="1008" customWidth="1"/>
    <col min="11254" max="11254" width="13.140625" style="1008" customWidth="1"/>
    <col min="11255" max="11255" width="1" style="1008" customWidth="1"/>
    <col min="11256" max="11256" width="19.5703125" style="1008" customWidth="1"/>
    <col min="11257" max="11257" width="0.85546875" style="1008" customWidth="1"/>
    <col min="11258" max="11258" width="14.42578125" style="1008" customWidth="1"/>
    <col min="11259" max="11259" width="12.85546875" style="1008" customWidth="1"/>
    <col min="11260" max="11260" width="6.140625" style="1008" customWidth="1"/>
    <col min="11261" max="11262" width="11.42578125" style="1008"/>
    <col min="11263" max="11263" width="15.42578125" style="1008" customWidth="1"/>
    <col min="11264" max="11503" width="11.42578125" style="1008"/>
    <col min="11504" max="11504" width="2.28515625" style="1008" customWidth="1"/>
    <col min="11505" max="11505" width="2.7109375" style="1008" customWidth="1"/>
    <col min="11506" max="11506" width="2.42578125" style="1008" customWidth="1"/>
    <col min="11507" max="11507" width="17.7109375" style="1008" customWidth="1"/>
    <col min="11508" max="11508" width="1.5703125" style="1008" customWidth="1"/>
    <col min="11509" max="11509" width="6.42578125" style="1008" customWidth="1"/>
    <col min="11510" max="11510" width="13.140625" style="1008" customWidth="1"/>
    <col min="11511" max="11511" width="1" style="1008" customWidth="1"/>
    <col min="11512" max="11512" width="19.5703125" style="1008" customWidth="1"/>
    <col min="11513" max="11513" width="0.85546875" style="1008" customWidth="1"/>
    <col min="11514" max="11514" width="14.42578125" style="1008" customWidth="1"/>
    <col min="11515" max="11515" width="12.85546875" style="1008" customWidth="1"/>
    <col min="11516" max="11516" width="6.140625" style="1008" customWidth="1"/>
    <col min="11517" max="11518" width="11.42578125" style="1008"/>
    <col min="11519" max="11519" width="15.42578125" style="1008" customWidth="1"/>
    <col min="11520" max="11759" width="11.42578125" style="1008"/>
    <col min="11760" max="11760" width="2.28515625" style="1008" customWidth="1"/>
    <col min="11761" max="11761" width="2.7109375" style="1008" customWidth="1"/>
    <col min="11762" max="11762" width="2.42578125" style="1008" customWidth="1"/>
    <col min="11763" max="11763" width="17.7109375" style="1008" customWidth="1"/>
    <col min="11764" max="11764" width="1.5703125" style="1008" customWidth="1"/>
    <col min="11765" max="11765" width="6.42578125" style="1008" customWidth="1"/>
    <col min="11766" max="11766" width="13.140625" style="1008" customWidth="1"/>
    <col min="11767" max="11767" width="1" style="1008" customWidth="1"/>
    <col min="11768" max="11768" width="19.5703125" style="1008" customWidth="1"/>
    <col min="11769" max="11769" width="0.85546875" style="1008" customWidth="1"/>
    <col min="11770" max="11770" width="14.42578125" style="1008" customWidth="1"/>
    <col min="11771" max="11771" width="12.85546875" style="1008" customWidth="1"/>
    <col min="11772" max="11772" width="6.140625" style="1008" customWidth="1"/>
    <col min="11773" max="11774" width="11.42578125" style="1008"/>
    <col min="11775" max="11775" width="15.42578125" style="1008" customWidth="1"/>
    <col min="11776" max="12015" width="11.42578125" style="1008"/>
    <col min="12016" max="12016" width="2.28515625" style="1008" customWidth="1"/>
    <col min="12017" max="12017" width="2.7109375" style="1008" customWidth="1"/>
    <col min="12018" max="12018" width="2.42578125" style="1008" customWidth="1"/>
    <col min="12019" max="12019" width="17.7109375" style="1008" customWidth="1"/>
    <col min="12020" max="12020" width="1.5703125" style="1008" customWidth="1"/>
    <col min="12021" max="12021" width="6.42578125" style="1008" customWidth="1"/>
    <col min="12022" max="12022" width="13.140625" style="1008" customWidth="1"/>
    <col min="12023" max="12023" width="1" style="1008" customWidth="1"/>
    <col min="12024" max="12024" width="19.5703125" style="1008" customWidth="1"/>
    <col min="12025" max="12025" width="0.85546875" style="1008" customWidth="1"/>
    <col min="12026" max="12026" width="14.42578125" style="1008" customWidth="1"/>
    <col min="12027" max="12027" width="12.85546875" style="1008" customWidth="1"/>
    <col min="12028" max="12028" width="6.140625" style="1008" customWidth="1"/>
    <col min="12029" max="12030" width="11.42578125" style="1008"/>
    <col min="12031" max="12031" width="15.42578125" style="1008" customWidth="1"/>
    <col min="12032" max="12271" width="11.42578125" style="1008"/>
    <col min="12272" max="12272" width="2.28515625" style="1008" customWidth="1"/>
    <col min="12273" max="12273" width="2.7109375" style="1008" customWidth="1"/>
    <col min="12274" max="12274" width="2.42578125" style="1008" customWidth="1"/>
    <col min="12275" max="12275" width="17.7109375" style="1008" customWidth="1"/>
    <col min="12276" max="12276" width="1.5703125" style="1008" customWidth="1"/>
    <col min="12277" max="12277" width="6.42578125" style="1008" customWidth="1"/>
    <col min="12278" max="12278" width="13.140625" style="1008" customWidth="1"/>
    <col min="12279" max="12279" width="1" style="1008" customWidth="1"/>
    <col min="12280" max="12280" width="19.5703125" style="1008" customWidth="1"/>
    <col min="12281" max="12281" width="0.85546875" style="1008" customWidth="1"/>
    <col min="12282" max="12282" width="14.42578125" style="1008" customWidth="1"/>
    <col min="12283" max="12283" width="12.85546875" style="1008" customWidth="1"/>
    <col min="12284" max="12284" width="6.140625" style="1008" customWidth="1"/>
    <col min="12285" max="12286" width="11.42578125" style="1008"/>
    <col min="12287" max="12287" width="15.42578125" style="1008" customWidth="1"/>
    <col min="12288" max="12527" width="11.42578125" style="1008"/>
    <col min="12528" max="12528" width="2.28515625" style="1008" customWidth="1"/>
    <col min="12529" max="12529" width="2.7109375" style="1008" customWidth="1"/>
    <col min="12530" max="12530" width="2.42578125" style="1008" customWidth="1"/>
    <col min="12531" max="12531" width="17.7109375" style="1008" customWidth="1"/>
    <col min="12532" max="12532" width="1.5703125" style="1008" customWidth="1"/>
    <col min="12533" max="12533" width="6.42578125" style="1008" customWidth="1"/>
    <col min="12534" max="12534" width="13.140625" style="1008" customWidth="1"/>
    <col min="12535" max="12535" width="1" style="1008" customWidth="1"/>
    <col min="12536" max="12536" width="19.5703125" style="1008" customWidth="1"/>
    <col min="12537" max="12537" width="0.85546875" style="1008" customWidth="1"/>
    <col min="12538" max="12538" width="14.42578125" style="1008" customWidth="1"/>
    <col min="12539" max="12539" width="12.85546875" style="1008" customWidth="1"/>
    <col min="12540" max="12540" width="6.140625" style="1008" customWidth="1"/>
    <col min="12541" max="12542" width="11.42578125" style="1008"/>
    <col min="12543" max="12543" width="15.42578125" style="1008" customWidth="1"/>
    <col min="12544" max="12783" width="11.42578125" style="1008"/>
    <col min="12784" max="12784" width="2.28515625" style="1008" customWidth="1"/>
    <col min="12785" max="12785" width="2.7109375" style="1008" customWidth="1"/>
    <col min="12786" max="12786" width="2.42578125" style="1008" customWidth="1"/>
    <col min="12787" max="12787" width="17.7109375" style="1008" customWidth="1"/>
    <col min="12788" max="12788" width="1.5703125" style="1008" customWidth="1"/>
    <col min="12789" max="12789" width="6.42578125" style="1008" customWidth="1"/>
    <col min="12790" max="12790" width="13.140625" style="1008" customWidth="1"/>
    <col min="12791" max="12791" width="1" style="1008" customWidth="1"/>
    <col min="12792" max="12792" width="19.5703125" style="1008" customWidth="1"/>
    <col min="12793" max="12793" width="0.85546875" style="1008" customWidth="1"/>
    <col min="12794" max="12794" width="14.42578125" style="1008" customWidth="1"/>
    <col min="12795" max="12795" width="12.85546875" style="1008" customWidth="1"/>
    <col min="12796" max="12796" width="6.140625" style="1008" customWidth="1"/>
    <col min="12797" max="12798" width="11.42578125" style="1008"/>
    <col min="12799" max="12799" width="15.42578125" style="1008" customWidth="1"/>
    <col min="12800" max="13039" width="11.42578125" style="1008"/>
    <col min="13040" max="13040" width="2.28515625" style="1008" customWidth="1"/>
    <col min="13041" max="13041" width="2.7109375" style="1008" customWidth="1"/>
    <col min="13042" max="13042" width="2.42578125" style="1008" customWidth="1"/>
    <col min="13043" max="13043" width="17.7109375" style="1008" customWidth="1"/>
    <col min="13044" max="13044" width="1.5703125" style="1008" customWidth="1"/>
    <col min="13045" max="13045" width="6.42578125" style="1008" customWidth="1"/>
    <col min="13046" max="13046" width="13.140625" style="1008" customWidth="1"/>
    <col min="13047" max="13047" width="1" style="1008" customWidth="1"/>
    <col min="13048" max="13048" width="19.5703125" style="1008" customWidth="1"/>
    <col min="13049" max="13049" width="0.85546875" style="1008" customWidth="1"/>
    <col min="13050" max="13050" width="14.42578125" style="1008" customWidth="1"/>
    <col min="13051" max="13051" width="12.85546875" style="1008" customWidth="1"/>
    <col min="13052" max="13052" width="6.140625" style="1008" customWidth="1"/>
    <col min="13053" max="13054" width="11.42578125" style="1008"/>
    <col min="13055" max="13055" width="15.42578125" style="1008" customWidth="1"/>
    <col min="13056" max="13295" width="11.42578125" style="1008"/>
    <col min="13296" max="13296" width="2.28515625" style="1008" customWidth="1"/>
    <col min="13297" max="13297" width="2.7109375" style="1008" customWidth="1"/>
    <col min="13298" max="13298" width="2.42578125" style="1008" customWidth="1"/>
    <col min="13299" max="13299" width="17.7109375" style="1008" customWidth="1"/>
    <col min="13300" max="13300" width="1.5703125" style="1008" customWidth="1"/>
    <col min="13301" max="13301" width="6.42578125" style="1008" customWidth="1"/>
    <col min="13302" max="13302" width="13.140625" style="1008" customWidth="1"/>
    <col min="13303" max="13303" width="1" style="1008" customWidth="1"/>
    <col min="13304" max="13304" width="19.5703125" style="1008" customWidth="1"/>
    <col min="13305" max="13305" width="0.85546875" style="1008" customWidth="1"/>
    <col min="13306" max="13306" width="14.42578125" style="1008" customWidth="1"/>
    <col min="13307" max="13307" width="12.85546875" style="1008" customWidth="1"/>
    <col min="13308" max="13308" width="6.140625" style="1008" customWidth="1"/>
    <col min="13309" max="13310" width="11.42578125" style="1008"/>
    <col min="13311" max="13311" width="15.42578125" style="1008" customWidth="1"/>
    <col min="13312" max="13551" width="11.42578125" style="1008"/>
    <col min="13552" max="13552" width="2.28515625" style="1008" customWidth="1"/>
    <col min="13553" max="13553" width="2.7109375" style="1008" customWidth="1"/>
    <col min="13554" max="13554" width="2.42578125" style="1008" customWidth="1"/>
    <col min="13555" max="13555" width="17.7109375" style="1008" customWidth="1"/>
    <col min="13556" max="13556" width="1.5703125" style="1008" customWidth="1"/>
    <col min="13557" max="13557" width="6.42578125" style="1008" customWidth="1"/>
    <col min="13558" max="13558" width="13.140625" style="1008" customWidth="1"/>
    <col min="13559" max="13559" width="1" style="1008" customWidth="1"/>
    <col min="13560" max="13560" width="19.5703125" style="1008" customWidth="1"/>
    <col min="13561" max="13561" width="0.85546875" style="1008" customWidth="1"/>
    <col min="13562" max="13562" width="14.42578125" style="1008" customWidth="1"/>
    <col min="13563" max="13563" width="12.85546875" style="1008" customWidth="1"/>
    <col min="13564" max="13564" width="6.140625" style="1008" customWidth="1"/>
    <col min="13565" max="13566" width="11.42578125" style="1008"/>
    <col min="13567" max="13567" width="15.42578125" style="1008" customWidth="1"/>
    <col min="13568" max="13807" width="11.42578125" style="1008"/>
    <col min="13808" max="13808" width="2.28515625" style="1008" customWidth="1"/>
    <col min="13809" max="13809" width="2.7109375" style="1008" customWidth="1"/>
    <col min="13810" max="13810" width="2.42578125" style="1008" customWidth="1"/>
    <col min="13811" max="13811" width="17.7109375" style="1008" customWidth="1"/>
    <col min="13812" max="13812" width="1.5703125" style="1008" customWidth="1"/>
    <col min="13813" max="13813" width="6.42578125" style="1008" customWidth="1"/>
    <col min="13814" max="13814" width="13.140625" style="1008" customWidth="1"/>
    <col min="13815" max="13815" width="1" style="1008" customWidth="1"/>
    <col min="13816" max="13816" width="19.5703125" style="1008" customWidth="1"/>
    <col min="13817" max="13817" width="0.85546875" style="1008" customWidth="1"/>
    <col min="13818" max="13818" width="14.42578125" style="1008" customWidth="1"/>
    <col min="13819" max="13819" width="12.85546875" style="1008" customWidth="1"/>
    <col min="13820" max="13820" width="6.140625" style="1008" customWidth="1"/>
    <col min="13821" max="13822" width="11.42578125" style="1008"/>
    <col min="13823" max="13823" width="15.42578125" style="1008" customWidth="1"/>
    <col min="13824" max="14063" width="11.42578125" style="1008"/>
    <col min="14064" max="14064" width="2.28515625" style="1008" customWidth="1"/>
    <col min="14065" max="14065" width="2.7109375" style="1008" customWidth="1"/>
    <col min="14066" max="14066" width="2.42578125" style="1008" customWidth="1"/>
    <col min="14067" max="14067" width="17.7109375" style="1008" customWidth="1"/>
    <col min="14068" max="14068" width="1.5703125" style="1008" customWidth="1"/>
    <col min="14069" max="14069" width="6.42578125" style="1008" customWidth="1"/>
    <col min="14070" max="14070" width="13.140625" style="1008" customWidth="1"/>
    <col min="14071" max="14071" width="1" style="1008" customWidth="1"/>
    <col min="14072" max="14072" width="19.5703125" style="1008" customWidth="1"/>
    <col min="14073" max="14073" width="0.85546875" style="1008" customWidth="1"/>
    <col min="14074" max="14074" width="14.42578125" style="1008" customWidth="1"/>
    <col min="14075" max="14075" width="12.85546875" style="1008" customWidth="1"/>
    <col min="14076" max="14076" width="6.140625" style="1008" customWidth="1"/>
    <col min="14077" max="14078" width="11.42578125" style="1008"/>
    <col min="14079" max="14079" width="15.42578125" style="1008" customWidth="1"/>
    <col min="14080" max="14319" width="11.42578125" style="1008"/>
    <col min="14320" max="14320" width="2.28515625" style="1008" customWidth="1"/>
    <col min="14321" max="14321" width="2.7109375" style="1008" customWidth="1"/>
    <col min="14322" max="14322" width="2.42578125" style="1008" customWidth="1"/>
    <col min="14323" max="14323" width="17.7109375" style="1008" customWidth="1"/>
    <col min="14324" max="14324" width="1.5703125" style="1008" customWidth="1"/>
    <col min="14325" max="14325" width="6.42578125" style="1008" customWidth="1"/>
    <col min="14326" max="14326" width="13.140625" style="1008" customWidth="1"/>
    <col min="14327" max="14327" width="1" style="1008" customWidth="1"/>
    <col min="14328" max="14328" width="19.5703125" style="1008" customWidth="1"/>
    <col min="14329" max="14329" width="0.85546875" style="1008" customWidth="1"/>
    <col min="14330" max="14330" width="14.42578125" style="1008" customWidth="1"/>
    <col min="14331" max="14331" width="12.85546875" style="1008" customWidth="1"/>
    <col min="14332" max="14332" width="6.140625" style="1008" customWidth="1"/>
    <col min="14333" max="14334" width="11.42578125" style="1008"/>
    <col min="14335" max="14335" width="15.42578125" style="1008" customWidth="1"/>
    <col min="14336" max="14575" width="11.42578125" style="1008"/>
    <col min="14576" max="14576" width="2.28515625" style="1008" customWidth="1"/>
    <col min="14577" max="14577" width="2.7109375" style="1008" customWidth="1"/>
    <col min="14578" max="14578" width="2.42578125" style="1008" customWidth="1"/>
    <col min="14579" max="14579" width="17.7109375" style="1008" customWidth="1"/>
    <col min="14580" max="14580" width="1.5703125" style="1008" customWidth="1"/>
    <col min="14581" max="14581" width="6.42578125" style="1008" customWidth="1"/>
    <col min="14582" max="14582" width="13.140625" style="1008" customWidth="1"/>
    <col min="14583" max="14583" width="1" style="1008" customWidth="1"/>
    <col min="14584" max="14584" width="19.5703125" style="1008" customWidth="1"/>
    <col min="14585" max="14585" width="0.85546875" style="1008" customWidth="1"/>
    <col min="14586" max="14586" width="14.42578125" style="1008" customWidth="1"/>
    <col min="14587" max="14587" width="12.85546875" style="1008" customWidth="1"/>
    <col min="14588" max="14588" width="6.140625" style="1008" customWidth="1"/>
    <col min="14589" max="14590" width="11.42578125" style="1008"/>
    <col min="14591" max="14591" width="15.42578125" style="1008" customWidth="1"/>
    <col min="14592" max="14831" width="11.42578125" style="1008"/>
    <col min="14832" max="14832" width="2.28515625" style="1008" customWidth="1"/>
    <col min="14833" max="14833" width="2.7109375" style="1008" customWidth="1"/>
    <col min="14834" max="14834" width="2.42578125" style="1008" customWidth="1"/>
    <col min="14835" max="14835" width="17.7109375" style="1008" customWidth="1"/>
    <col min="14836" max="14836" width="1.5703125" style="1008" customWidth="1"/>
    <col min="14837" max="14837" width="6.42578125" style="1008" customWidth="1"/>
    <col min="14838" max="14838" width="13.140625" style="1008" customWidth="1"/>
    <col min="14839" max="14839" width="1" style="1008" customWidth="1"/>
    <col min="14840" max="14840" width="19.5703125" style="1008" customWidth="1"/>
    <col min="14841" max="14841" width="0.85546875" style="1008" customWidth="1"/>
    <col min="14842" max="14842" width="14.42578125" style="1008" customWidth="1"/>
    <col min="14843" max="14843" width="12.85546875" style="1008" customWidth="1"/>
    <col min="14844" max="14844" width="6.140625" style="1008" customWidth="1"/>
    <col min="14845" max="14846" width="11.42578125" style="1008"/>
    <col min="14847" max="14847" width="15.42578125" style="1008" customWidth="1"/>
    <col min="14848" max="15087" width="11.42578125" style="1008"/>
    <col min="15088" max="15088" width="2.28515625" style="1008" customWidth="1"/>
    <col min="15089" max="15089" width="2.7109375" style="1008" customWidth="1"/>
    <col min="15090" max="15090" width="2.42578125" style="1008" customWidth="1"/>
    <col min="15091" max="15091" width="17.7109375" style="1008" customWidth="1"/>
    <col min="15092" max="15092" width="1.5703125" style="1008" customWidth="1"/>
    <col min="15093" max="15093" width="6.42578125" style="1008" customWidth="1"/>
    <col min="15094" max="15094" width="13.140625" style="1008" customWidth="1"/>
    <col min="15095" max="15095" width="1" style="1008" customWidth="1"/>
    <col min="15096" max="15096" width="19.5703125" style="1008" customWidth="1"/>
    <col min="15097" max="15097" width="0.85546875" style="1008" customWidth="1"/>
    <col min="15098" max="15098" width="14.42578125" style="1008" customWidth="1"/>
    <col min="15099" max="15099" width="12.85546875" style="1008" customWidth="1"/>
    <col min="15100" max="15100" width="6.140625" style="1008" customWidth="1"/>
    <col min="15101" max="15102" width="11.42578125" style="1008"/>
    <col min="15103" max="15103" width="15.42578125" style="1008" customWidth="1"/>
    <col min="15104" max="15343" width="11.42578125" style="1008"/>
    <col min="15344" max="15344" width="2.28515625" style="1008" customWidth="1"/>
    <col min="15345" max="15345" width="2.7109375" style="1008" customWidth="1"/>
    <col min="15346" max="15346" width="2.42578125" style="1008" customWidth="1"/>
    <col min="15347" max="15347" width="17.7109375" style="1008" customWidth="1"/>
    <col min="15348" max="15348" width="1.5703125" style="1008" customWidth="1"/>
    <col min="15349" max="15349" width="6.42578125" style="1008" customWidth="1"/>
    <col min="15350" max="15350" width="13.140625" style="1008" customWidth="1"/>
    <col min="15351" max="15351" width="1" style="1008" customWidth="1"/>
    <col min="15352" max="15352" width="19.5703125" style="1008" customWidth="1"/>
    <col min="15353" max="15353" width="0.85546875" style="1008" customWidth="1"/>
    <col min="15354" max="15354" width="14.42578125" style="1008" customWidth="1"/>
    <col min="15355" max="15355" width="12.85546875" style="1008" customWidth="1"/>
    <col min="15356" max="15356" width="6.140625" style="1008" customWidth="1"/>
    <col min="15357" max="15358" width="11.42578125" style="1008"/>
    <col min="15359" max="15359" width="15.42578125" style="1008" customWidth="1"/>
    <col min="15360" max="15599" width="11.42578125" style="1008"/>
    <col min="15600" max="15600" width="2.28515625" style="1008" customWidth="1"/>
    <col min="15601" max="15601" width="2.7109375" style="1008" customWidth="1"/>
    <col min="15602" max="15602" width="2.42578125" style="1008" customWidth="1"/>
    <col min="15603" max="15603" width="17.7109375" style="1008" customWidth="1"/>
    <col min="15604" max="15604" width="1.5703125" style="1008" customWidth="1"/>
    <col min="15605" max="15605" width="6.42578125" style="1008" customWidth="1"/>
    <col min="15606" max="15606" width="13.140625" style="1008" customWidth="1"/>
    <col min="15607" max="15607" width="1" style="1008" customWidth="1"/>
    <col min="15608" max="15608" width="19.5703125" style="1008" customWidth="1"/>
    <col min="15609" max="15609" width="0.85546875" style="1008" customWidth="1"/>
    <col min="15610" max="15610" width="14.42578125" style="1008" customWidth="1"/>
    <col min="15611" max="15611" width="12.85546875" style="1008" customWidth="1"/>
    <col min="15612" max="15612" width="6.140625" style="1008" customWidth="1"/>
    <col min="15613" max="15614" width="11.42578125" style="1008"/>
    <col min="15615" max="15615" width="15.42578125" style="1008" customWidth="1"/>
    <col min="15616" max="15855" width="11.42578125" style="1008"/>
    <col min="15856" max="15856" width="2.28515625" style="1008" customWidth="1"/>
    <col min="15857" max="15857" width="2.7109375" style="1008" customWidth="1"/>
    <col min="15858" max="15858" width="2.42578125" style="1008" customWidth="1"/>
    <col min="15859" max="15859" width="17.7109375" style="1008" customWidth="1"/>
    <col min="15860" max="15860" width="1.5703125" style="1008" customWidth="1"/>
    <col min="15861" max="15861" width="6.42578125" style="1008" customWidth="1"/>
    <col min="15862" max="15862" width="13.140625" style="1008" customWidth="1"/>
    <col min="15863" max="15863" width="1" style="1008" customWidth="1"/>
    <col min="15864" max="15864" width="19.5703125" style="1008" customWidth="1"/>
    <col min="15865" max="15865" width="0.85546875" style="1008" customWidth="1"/>
    <col min="15866" max="15866" width="14.42578125" style="1008" customWidth="1"/>
    <col min="15867" max="15867" width="12.85546875" style="1008" customWidth="1"/>
    <col min="15868" max="15868" width="6.140625" style="1008" customWidth="1"/>
    <col min="15869" max="15870" width="11.42578125" style="1008"/>
    <col min="15871" max="15871" width="15.42578125" style="1008" customWidth="1"/>
    <col min="15872" max="16111" width="11.42578125" style="1008"/>
    <col min="16112" max="16112" width="2.28515625" style="1008" customWidth="1"/>
    <col min="16113" max="16113" width="2.7109375" style="1008" customWidth="1"/>
    <col min="16114" max="16114" width="2.42578125" style="1008" customWidth="1"/>
    <col min="16115" max="16115" width="17.7109375" style="1008" customWidth="1"/>
    <col min="16116" max="16116" width="1.5703125" style="1008" customWidth="1"/>
    <col min="16117" max="16117" width="6.42578125" style="1008" customWidth="1"/>
    <col min="16118" max="16118" width="13.140625" style="1008" customWidth="1"/>
    <col min="16119" max="16119" width="1" style="1008" customWidth="1"/>
    <col min="16120" max="16120" width="19.5703125" style="1008" customWidth="1"/>
    <col min="16121" max="16121" width="0.85546875" style="1008" customWidth="1"/>
    <col min="16122" max="16122" width="14.42578125" style="1008" customWidth="1"/>
    <col min="16123" max="16123" width="12.85546875" style="1008" customWidth="1"/>
    <col min="16124" max="16124" width="6.140625" style="1008" customWidth="1"/>
    <col min="16125" max="16126" width="11.42578125" style="1008"/>
    <col min="16127" max="16127" width="15.42578125" style="1008" customWidth="1"/>
    <col min="16128" max="16384" width="11.42578125" style="1008"/>
  </cols>
  <sheetData>
    <row r="1" spans="1:20" ht="9" hidden="1" customHeight="1" x14ac:dyDescent="0.2"/>
    <row r="2" spans="1:20" ht="51" customHeight="1" x14ac:dyDescent="0.2">
      <c r="A2" s="2869"/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0"/>
      <c r="S2" s="2870"/>
      <c r="T2" s="2871"/>
    </row>
    <row r="3" spans="1:20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3"/>
      <c r="S3" s="2873"/>
      <c r="T3" s="2874"/>
    </row>
    <row r="4" spans="1:20" ht="16.5" thickTop="1" x14ac:dyDescent="0.25">
      <c r="A4" s="2875" t="str">
        <f>"INFORME FINAL DE INTERCOMPARACIÓN DE DOSIMETRÍA PERSONAL NIVEL ACCIDENTES"</f>
        <v>INFORME FINAL DE INTERCOMPARACIÓN DE DOSIMETRÍA PERSONAL NIVEL ACCIDENTES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6"/>
      <c r="S4" s="2876"/>
      <c r="T4" s="2877"/>
    </row>
    <row r="5" spans="1:20" ht="15.75" x14ac:dyDescent="0.2">
      <c r="A5" s="2878" t="str">
        <f>"N° "&amp;"LSCD "&amp;'F-LSCD-008'!J14</f>
        <v>N° LSCD 017-2019</v>
      </c>
      <c r="B5" s="2879"/>
      <c r="C5" s="2879"/>
      <c r="D5" s="2879"/>
      <c r="E5" s="2879"/>
      <c r="F5" s="2879"/>
      <c r="G5" s="2879"/>
      <c r="H5" s="2879"/>
      <c r="I5" s="2879"/>
      <c r="J5" s="2879"/>
      <c r="K5" s="2879"/>
      <c r="L5" s="2879"/>
      <c r="M5" s="2879"/>
      <c r="N5" s="2879"/>
      <c r="O5" s="2879"/>
      <c r="P5" s="2879"/>
      <c r="Q5" s="2879"/>
      <c r="R5" s="2879"/>
      <c r="S5" s="2879"/>
      <c r="T5" s="2880"/>
    </row>
    <row r="6" spans="1:20" ht="15.75" x14ac:dyDescent="0.2">
      <c r="A6" s="2881" t="s">
        <v>1119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79"/>
      <c r="S6" s="2879"/>
      <c r="T6" s="2880"/>
    </row>
    <row r="7" spans="1:20" ht="7.5" customHeight="1" x14ac:dyDescent="0.2">
      <c r="A7" s="2885"/>
      <c r="B7" s="2886"/>
      <c r="C7" s="2886"/>
      <c r="D7" s="2886"/>
      <c r="E7" s="2886"/>
      <c r="F7" s="2886"/>
      <c r="G7" s="2886"/>
      <c r="H7" s="2886"/>
      <c r="I7" s="2886"/>
      <c r="J7" s="2886"/>
      <c r="K7" s="2886"/>
      <c r="L7" s="2886"/>
      <c r="M7" s="2886"/>
      <c r="N7" s="2886"/>
      <c r="O7" s="2886"/>
      <c r="P7" s="2886"/>
      <c r="Q7" s="2886"/>
      <c r="R7" s="2886"/>
      <c r="S7" s="2886"/>
      <c r="T7" s="2887"/>
    </row>
    <row r="8" spans="1:20" ht="26.25" customHeight="1" x14ac:dyDescent="0.2">
      <c r="A8" s="1009"/>
      <c r="B8" s="170" t="s">
        <v>1193</v>
      </c>
      <c r="C8" s="1872"/>
      <c r="D8" s="1272" t="s">
        <v>218</v>
      </c>
      <c r="E8" s="3150" t="str">
        <f>'F-LSCD-008'!H6</f>
        <v>ALEPH GROUP &amp; ASOCIADOS S.A.C.</v>
      </c>
      <c r="F8" s="3150"/>
      <c r="G8" s="3150"/>
      <c r="H8" s="3150"/>
      <c r="I8" s="3150"/>
      <c r="J8" s="3150"/>
      <c r="K8" s="3150"/>
      <c r="L8" s="3150"/>
      <c r="M8" s="3150"/>
      <c r="N8" s="3150"/>
      <c r="O8" s="3150"/>
      <c r="P8" s="3150"/>
      <c r="Q8" s="3150"/>
      <c r="R8" s="3150"/>
      <c r="S8" s="1795"/>
      <c r="T8" s="1011"/>
    </row>
    <row r="9" spans="1:20" ht="12.75" customHeight="1" x14ac:dyDescent="0.2">
      <c r="A9" s="1009"/>
      <c r="E9" s="3154" t="str">
        <f>'F-LSCD-008'!C7</f>
        <v>Av. Rafel Escardó, 154</v>
      </c>
      <c r="F9" s="3155"/>
      <c r="G9" s="3155"/>
      <c r="H9" s="3155"/>
      <c r="I9" s="3155"/>
      <c r="J9" s="3155"/>
      <c r="K9" s="3155"/>
      <c r="L9" s="3155"/>
      <c r="M9" s="3155"/>
      <c r="N9" s="3155"/>
      <c r="O9" s="3155"/>
      <c r="P9" s="3155"/>
      <c r="Q9" s="3155"/>
      <c r="R9" s="3155"/>
      <c r="S9" s="1795"/>
      <c r="T9" s="1011"/>
    </row>
    <row r="10" spans="1:20" x14ac:dyDescent="0.2">
      <c r="A10" s="1009"/>
      <c r="E10" s="3150" t="str">
        <f>'F-LSCD-008'!H7&amp;", "&amp;'F-LSCD-008'!K7&amp;", "&amp;'F-LSCD-008'!O7</f>
        <v>San Miguel, Lima, Lima</v>
      </c>
      <c r="F10" s="3150"/>
      <c r="G10" s="3150"/>
      <c r="H10" s="3150"/>
      <c r="I10" s="3150"/>
      <c r="J10" s="3150"/>
      <c r="K10" s="3150"/>
      <c r="L10" s="3150"/>
      <c r="M10" s="3150"/>
      <c r="N10" s="3150"/>
      <c r="O10" s="3150"/>
      <c r="P10" s="3150"/>
      <c r="Q10" s="3150"/>
      <c r="R10" s="3150"/>
      <c r="S10" s="1795"/>
      <c r="T10" s="1011"/>
    </row>
    <row r="11" spans="1:20" ht="7.5" customHeight="1" x14ac:dyDescent="0.2">
      <c r="A11" s="1009"/>
      <c r="E11" s="1797"/>
      <c r="F11" s="1797"/>
      <c r="G11" s="1797"/>
      <c r="H11" s="1797"/>
      <c r="I11" s="1797"/>
      <c r="J11" s="1797"/>
      <c r="K11" s="1797"/>
      <c r="L11" s="1797"/>
      <c r="M11" s="1797"/>
      <c r="N11" s="1797"/>
      <c r="O11" s="1797"/>
      <c r="P11" s="1797"/>
      <c r="Q11" s="1787"/>
      <c r="R11" s="1787"/>
      <c r="S11" s="1795"/>
      <c r="T11" s="1011"/>
    </row>
    <row r="12" spans="1:20" x14ac:dyDescent="0.2">
      <c r="A12" s="1009"/>
      <c r="B12" s="166" t="s">
        <v>1106</v>
      </c>
      <c r="D12" s="1010" t="s">
        <v>218</v>
      </c>
      <c r="E12" s="3046" t="str">
        <f>'F-LSCD-008'!C6</f>
        <v>Solicitud N° 017-2019, según F-LD-018</v>
      </c>
      <c r="F12" s="3149"/>
      <c r="G12" s="3149"/>
      <c r="H12" s="3149"/>
      <c r="I12" s="3149"/>
      <c r="J12" s="3149"/>
      <c r="K12" s="3149"/>
      <c r="L12" s="3149"/>
      <c r="M12" s="3149"/>
      <c r="N12" s="3149"/>
      <c r="O12" s="3149"/>
      <c r="P12" s="3149"/>
      <c r="Q12" s="3149"/>
      <c r="R12" s="3149"/>
      <c r="S12" s="1795"/>
      <c r="T12" s="1011"/>
    </row>
    <row r="13" spans="1:20" ht="6.75" customHeight="1" x14ac:dyDescent="0.2">
      <c r="A13" s="1009"/>
      <c r="E13" s="1797"/>
      <c r="F13" s="1797"/>
      <c r="G13" s="1797"/>
      <c r="H13" s="1797"/>
      <c r="I13" s="1797"/>
      <c r="J13" s="1797"/>
      <c r="K13" s="1797"/>
      <c r="L13" s="1797"/>
      <c r="M13" s="1797"/>
      <c r="N13" s="1797"/>
      <c r="O13" s="1797"/>
      <c r="P13" s="1797"/>
      <c r="Q13" s="1787"/>
      <c r="R13" s="1787"/>
      <c r="S13" s="1795"/>
      <c r="T13" s="1011"/>
    </row>
    <row r="14" spans="1:20" ht="12.75" customHeight="1" x14ac:dyDescent="0.2">
      <c r="A14" s="1009"/>
      <c r="B14" s="166" t="s">
        <v>1169</v>
      </c>
      <c r="C14" s="175"/>
      <c r="D14" s="1010" t="s">
        <v>218</v>
      </c>
      <c r="E14" s="2884" t="str">
        <f>'F-LSCD-008'!C9&amp;", Marca: "&amp;'F-LSCD-008'!H9&amp;", Modelo: "&amp;'F-LSCD-008'!N9</f>
        <v>Dosímetros personales, Marca: Panasonic, Modelo: UD 802-AT</v>
      </c>
      <c r="F14" s="2884"/>
      <c r="G14" s="2884"/>
      <c r="H14" s="2884"/>
      <c r="I14" s="2884"/>
      <c r="J14" s="2884"/>
      <c r="K14" s="2884"/>
      <c r="L14" s="2884"/>
      <c r="M14" s="2884"/>
      <c r="N14" s="2884"/>
      <c r="O14" s="2884"/>
      <c r="P14" s="2884"/>
      <c r="Q14" s="2884"/>
      <c r="R14" s="2884"/>
      <c r="S14" s="1796"/>
      <c r="T14" s="1011"/>
    </row>
    <row r="15" spans="1:20" ht="6" customHeight="1" x14ac:dyDescent="0.2">
      <c r="A15" s="1009"/>
      <c r="B15" s="1010"/>
      <c r="D15" s="1010"/>
      <c r="E15" s="2883"/>
      <c r="F15" s="2883"/>
      <c r="G15" s="2883"/>
      <c r="H15" s="2883"/>
      <c r="I15" s="2883"/>
      <c r="J15" s="2883"/>
      <c r="K15" s="2883"/>
      <c r="L15" s="2883"/>
      <c r="M15" s="2883"/>
      <c r="N15" s="2883"/>
      <c r="O15" s="2883"/>
      <c r="P15" s="1017"/>
      <c r="Q15" s="1796"/>
      <c r="R15" s="1796"/>
      <c r="S15" s="1796"/>
      <c r="T15" s="1011"/>
    </row>
    <row r="16" spans="1:20" ht="12.75" customHeight="1" x14ac:dyDescent="0.2">
      <c r="A16" s="1009"/>
      <c r="B16" s="175" t="s">
        <v>1170</v>
      </c>
      <c r="D16" s="175" t="s">
        <v>218</v>
      </c>
      <c r="E16" s="3048" t="str">
        <f>'F-LSCD-008'!C10</f>
        <v xml:space="preserve">Campo de radiación calibrado usando un fantoma, según ISO 4037-3 (2019), aplicado al PROC-LSCD-001 Irradiación controlada de dosímetros personales (versión 05)
</v>
      </c>
      <c r="F16" s="2908"/>
      <c r="G16" s="2908"/>
      <c r="H16" s="2908"/>
      <c r="I16" s="2908"/>
      <c r="J16" s="2908"/>
      <c r="K16" s="2908"/>
      <c r="L16" s="2908"/>
      <c r="M16" s="2908"/>
      <c r="N16" s="2908"/>
      <c r="O16" s="2908"/>
      <c r="P16" s="2908"/>
      <c r="Q16" s="2908"/>
      <c r="R16" s="2908"/>
      <c r="S16" s="1796"/>
      <c r="T16" s="1011"/>
    </row>
    <row r="17" spans="1:20" ht="26.25" customHeight="1" x14ac:dyDescent="0.2">
      <c r="A17" s="1009"/>
      <c r="E17" s="2908"/>
      <c r="F17" s="2908"/>
      <c r="G17" s="2908"/>
      <c r="H17" s="2908"/>
      <c r="I17" s="2908"/>
      <c r="J17" s="2908"/>
      <c r="K17" s="2908"/>
      <c r="L17" s="2908"/>
      <c r="M17" s="2908"/>
      <c r="N17" s="2908"/>
      <c r="O17" s="2908"/>
      <c r="P17" s="2908"/>
      <c r="Q17" s="2908"/>
      <c r="R17" s="2908"/>
      <c r="S17" s="1796"/>
      <c r="T17" s="1011"/>
    </row>
    <row r="18" spans="1:20" ht="6" customHeight="1" x14ac:dyDescent="0.2">
      <c r="A18" s="1009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796"/>
      <c r="R18" s="1796"/>
      <c r="S18" s="1796"/>
      <c r="T18" s="1011"/>
    </row>
    <row r="19" spans="1:20" ht="39.75" customHeight="1" x14ac:dyDescent="0.2">
      <c r="A19" s="1009"/>
      <c r="B19" s="170" t="s">
        <v>1171</v>
      </c>
      <c r="D19" s="1272" t="s">
        <v>218</v>
      </c>
      <c r="E19" s="2884" t="str">
        <f>'F-LSCD-008'!C11</f>
        <v>Cámara de ionización patrón de 1 L , marca: PTW; modelo: TN32002; serie: 000568; Reporte de calibración de Kerma en aire DG: 13580-21 con fecha 2021-04-01 (NIST); trazable al NIST.</v>
      </c>
      <c r="F19" s="2884"/>
      <c r="G19" s="2884"/>
      <c r="H19" s="2884"/>
      <c r="I19" s="2884"/>
      <c r="J19" s="2884"/>
      <c r="K19" s="2884"/>
      <c r="L19" s="2884"/>
      <c r="M19" s="2884"/>
      <c r="N19" s="2884"/>
      <c r="O19" s="2884"/>
      <c r="P19" s="2884"/>
      <c r="Q19" s="2884"/>
      <c r="R19" s="2884"/>
      <c r="S19" s="1796"/>
      <c r="T19" s="1011"/>
    </row>
    <row r="20" spans="1:20" ht="6" customHeight="1" x14ac:dyDescent="0.2">
      <c r="A20" s="1009"/>
      <c r="E20" s="1021"/>
      <c r="F20" s="1021"/>
      <c r="G20" s="1021"/>
      <c r="H20" s="1021"/>
      <c r="I20" s="1021"/>
      <c r="J20" s="1021"/>
      <c r="K20" s="1021"/>
      <c r="L20" s="1021"/>
      <c r="M20" s="1021"/>
      <c r="N20" s="1021"/>
      <c r="O20" s="1021"/>
      <c r="P20" s="1021"/>
      <c r="Q20" s="1794"/>
      <c r="R20" s="1794"/>
      <c r="S20" s="1794"/>
      <c r="T20" s="1011"/>
    </row>
    <row r="21" spans="1:20" ht="14.25" customHeight="1" x14ac:dyDescent="0.2">
      <c r="A21" s="1009"/>
      <c r="B21" s="166" t="s">
        <v>1172</v>
      </c>
      <c r="D21" s="1010"/>
      <c r="Q21" s="1794"/>
      <c r="R21" s="1794"/>
      <c r="S21" s="1794"/>
      <c r="T21" s="1011"/>
    </row>
    <row r="22" spans="1:20" x14ac:dyDescent="0.2">
      <c r="A22" s="1009"/>
      <c r="E22" s="2909"/>
      <c r="F22" s="2909"/>
      <c r="G22" s="2909"/>
      <c r="H22" s="2909"/>
      <c r="I22" s="2909"/>
      <c r="J22" s="2909"/>
      <c r="K22" s="2909"/>
      <c r="L22" s="2909"/>
      <c r="M22" s="2909"/>
      <c r="N22" s="2909"/>
      <c r="O22" s="2909"/>
      <c r="Q22" s="1794"/>
      <c r="R22" s="1794"/>
      <c r="S22" s="1794"/>
      <c r="T22" s="1011"/>
    </row>
    <row r="23" spans="1:20" ht="12" customHeight="1" x14ac:dyDescent="0.2">
      <c r="A23" s="1009"/>
      <c r="C23" s="1401" t="s">
        <v>203</v>
      </c>
      <c r="D23" s="1022" t="s">
        <v>218</v>
      </c>
      <c r="E23" s="3153" t="str">
        <f>'F-LSCD-004'!H9</f>
        <v>S-Cs (ISO 4037-3)</v>
      </c>
      <c r="F23" s="3153"/>
      <c r="G23" s="3153"/>
      <c r="H23" s="3153"/>
      <c r="I23" s="3153"/>
      <c r="J23" s="3153"/>
      <c r="K23" s="3153"/>
      <c r="L23" s="3153"/>
      <c r="M23" s="3153"/>
      <c r="N23" s="3153"/>
      <c r="O23" s="3153"/>
      <c r="P23" s="3153"/>
      <c r="Q23" s="3153"/>
      <c r="R23" s="3153"/>
      <c r="S23" s="1794"/>
      <c r="T23" s="1011"/>
    </row>
    <row r="24" spans="1:20" ht="12" customHeight="1" x14ac:dyDescent="0.2">
      <c r="A24" s="1009"/>
      <c r="C24" s="1699" t="s">
        <v>138</v>
      </c>
      <c r="D24" s="227" t="s">
        <v>218</v>
      </c>
      <c r="E24" s="2910" t="str">
        <f>'F-LSCD-008'!C14</f>
        <v>Dosis equivalente personal, Hp(10) / Dosis equivalente personal, Hp(0,07)</v>
      </c>
      <c r="F24" s="2910"/>
      <c r="G24" s="2910"/>
      <c r="H24" s="2910"/>
      <c r="I24" s="2910"/>
      <c r="J24" s="2910"/>
      <c r="K24" s="2910"/>
      <c r="L24" s="2910"/>
      <c r="M24" s="2910"/>
      <c r="N24" s="2910"/>
      <c r="O24" s="2910"/>
      <c r="P24" s="2910"/>
      <c r="Q24" s="2910"/>
      <c r="R24" s="2910"/>
      <c r="S24" s="1794"/>
      <c r="T24" s="1011"/>
    </row>
    <row r="25" spans="1:20" ht="12.75" customHeight="1" x14ac:dyDescent="0.2">
      <c r="A25" s="1009"/>
      <c r="C25" s="1699" t="s">
        <v>1110</v>
      </c>
      <c r="D25" s="1022" t="s">
        <v>218</v>
      </c>
      <c r="E25" s="2952" t="str">
        <f>"Inicio: "&amp;FIXED('F-LSCD-008'!K18,1)&amp;" °C ; "&amp;"Final: "&amp;FIXED('F-LSCD-008'!O18,1)&amp;" °C"</f>
        <v>Inicio: 20.6 °C ; Final: 20.7 °C</v>
      </c>
      <c r="F25" s="2952"/>
      <c r="G25" s="2952"/>
      <c r="H25" s="2952"/>
      <c r="I25" s="2952"/>
      <c r="J25" s="2952"/>
      <c r="K25" s="2952"/>
      <c r="L25" s="2952"/>
      <c r="M25" s="2952"/>
      <c r="N25" s="2952"/>
      <c r="O25" s="2952"/>
      <c r="P25" s="2952"/>
      <c r="Q25" s="2952"/>
      <c r="R25" s="2952"/>
      <c r="S25" s="1796"/>
      <c r="T25" s="1011"/>
    </row>
    <row r="26" spans="1:20" ht="12.75" customHeight="1" x14ac:dyDescent="0.2">
      <c r="A26" s="1009"/>
      <c r="C26" s="1699" t="s">
        <v>1108</v>
      </c>
      <c r="D26" s="1022" t="s">
        <v>218</v>
      </c>
      <c r="E26" s="2952" t="str">
        <f>"Inicio: "&amp;FIXED('F-LSCD-008'!L18,1)&amp;" hPa ; "&amp;"Final: "&amp;FIXED('F-LSCD-008'!P18,1)&amp;" hPa"</f>
        <v>Inicio: 1,008.5 hPa ; Final: 1,008.3 hPa</v>
      </c>
      <c r="F26" s="2952"/>
      <c r="G26" s="2952"/>
      <c r="H26" s="2952"/>
      <c r="I26" s="2952"/>
      <c r="J26" s="2952"/>
      <c r="K26" s="2952"/>
      <c r="L26" s="2952"/>
      <c r="M26" s="2952"/>
      <c r="N26" s="2952"/>
      <c r="O26" s="2952"/>
      <c r="P26" s="2952"/>
      <c r="Q26" s="2952"/>
      <c r="R26" s="2952"/>
      <c r="S26" s="1796"/>
      <c r="T26" s="1011"/>
    </row>
    <row r="27" spans="1:20" ht="12.75" customHeight="1" x14ac:dyDescent="0.2">
      <c r="A27" s="1009"/>
      <c r="C27" s="1699" t="s">
        <v>1109</v>
      </c>
      <c r="D27" s="1022" t="s">
        <v>218</v>
      </c>
      <c r="E27" s="2952" t="str">
        <f>"Inicio: "&amp;'F-LSCD-008'!M18&amp;" % ; "&amp;"Final: "&amp;'F-LSCD-008'!Q18&amp;" %"</f>
        <v>Inicio: 54 % ; Final: 54 %</v>
      </c>
      <c r="F27" s="2952"/>
      <c r="G27" s="2952"/>
      <c r="H27" s="2952"/>
      <c r="I27" s="2952"/>
      <c r="J27" s="2952"/>
      <c r="K27" s="2952"/>
      <c r="L27" s="2952"/>
      <c r="M27" s="2952"/>
      <c r="N27" s="2952"/>
      <c r="O27" s="2952"/>
      <c r="P27" s="2952"/>
      <c r="Q27" s="2952"/>
      <c r="R27" s="2952"/>
      <c r="S27" s="1796"/>
      <c r="T27" s="1011"/>
    </row>
    <row r="28" spans="1:20" ht="36.75" customHeight="1" x14ac:dyDescent="0.2">
      <c r="A28" s="1009"/>
      <c r="C28" s="1315" t="s">
        <v>1155</v>
      </c>
      <c r="D28" s="1280" t="s">
        <v>218</v>
      </c>
      <c r="E28" s="3152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28" s="3152"/>
      <c r="G28" s="3152"/>
      <c r="H28" s="3152"/>
      <c r="I28" s="3152"/>
      <c r="J28" s="3152"/>
      <c r="K28" s="3152"/>
      <c r="L28" s="3152"/>
      <c r="M28" s="3152"/>
      <c r="N28" s="3152"/>
      <c r="O28" s="3152"/>
      <c r="P28" s="3152"/>
      <c r="Q28" s="3152"/>
      <c r="R28" s="3152"/>
      <c r="S28" s="1796"/>
      <c r="T28" s="1011"/>
    </row>
    <row r="29" spans="1:20" ht="12.75" customHeight="1" x14ac:dyDescent="0.2">
      <c r="A29" s="1009"/>
      <c r="C29" s="1315" t="s">
        <v>231</v>
      </c>
      <c r="D29" s="1280" t="s">
        <v>218</v>
      </c>
      <c r="E29" s="3151" t="str">
        <f>'F-LSCD-008'!C13</f>
        <v>Punto medio de la superfice anterior y punto medio del espesor del dosímetro</v>
      </c>
      <c r="F29" s="3151"/>
      <c r="G29" s="3151"/>
      <c r="H29" s="3151"/>
      <c r="I29" s="3151"/>
      <c r="J29" s="3151"/>
      <c r="K29" s="3151"/>
      <c r="L29" s="3151"/>
      <c r="M29" s="3151"/>
      <c r="N29" s="3151"/>
      <c r="O29" s="3151"/>
      <c r="P29" s="3151"/>
      <c r="Q29" s="3151"/>
      <c r="R29" s="3151"/>
      <c r="S29" s="1796"/>
      <c r="T29" s="1011"/>
    </row>
    <row r="30" spans="1:20" x14ac:dyDescent="0.2">
      <c r="A30" s="1009"/>
      <c r="C30" s="1315"/>
      <c r="D30" s="1280"/>
      <c r="E30" s="1781"/>
      <c r="F30" s="1781"/>
      <c r="G30" s="1781"/>
      <c r="H30" s="1781"/>
      <c r="I30" s="1781"/>
      <c r="J30" s="1781"/>
      <c r="K30" s="1781"/>
      <c r="L30" s="1781"/>
      <c r="M30" s="1781"/>
      <c r="N30" s="1781"/>
      <c r="O30" s="1781"/>
      <c r="P30" s="1014"/>
      <c r="Q30" s="1796"/>
      <c r="R30" s="1796"/>
      <c r="S30" s="1796"/>
      <c r="T30" s="1011"/>
    </row>
    <row r="31" spans="1:20" ht="12.75" customHeight="1" x14ac:dyDescent="0.2">
      <c r="A31" s="1009"/>
      <c r="B31" s="1693" t="s">
        <v>1173</v>
      </c>
      <c r="C31" s="1264"/>
      <c r="D31" s="1022" t="s">
        <v>218</v>
      </c>
      <c r="E31" s="1765">
        <f>'F-LSCD-008'!L8</f>
        <v>43802</v>
      </c>
      <c r="F31" s="1765"/>
      <c r="G31" s="1765"/>
      <c r="H31" s="1276"/>
      <c r="I31" s="1276"/>
      <c r="J31" s="1276"/>
      <c r="K31" s="1276"/>
      <c r="L31" s="1276"/>
      <c r="M31" s="1277"/>
      <c r="N31" s="1275"/>
      <c r="O31" s="1275"/>
      <c r="P31" s="1014"/>
      <c r="Q31" s="1796"/>
      <c r="R31" s="1796"/>
      <c r="S31" s="1796"/>
      <c r="T31" s="1011"/>
    </row>
    <row r="32" spans="1:20" ht="9.75" customHeight="1" x14ac:dyDescent="0.2">
      <c r="A32" s="1009"/>
      <c r="B32" s="1695"/>
      <c r="C32" s="1694"/>
      <c r="D32" s="1022"/>
      <c r="E32" s="1780"/>
      <c r="F32" s="1780"/>
      <c r="G32" s="1780"/>
      <c r="H32" s="1276"/>
      <c r="I32" s="1276"/>
      <c r="J32" s="1276"/>
      <c r="K32" s="1276"/>
      <c r="L32" s="1276"/>
      <c r="M32" s="1277"/>
      <c r="N32" s="1275"/>
      <c r="O32" s="1275"/>
      <c r="P32" s="1014"/>
      <c r="Q32" s="1796"/>
      <c r="R32" s="1796"/>
      <c r="S32" s="1796"/>
      <c r="T32" s="1011"/>
    </row>
    <row r="33" spans="1:20" ht="15" customHeight="1" x14ac:dyDescent="0.2">
      <c r="A33" s="1009"/>
      <c r="B33" s="1693" t="s">
        <v>1174</v>
      </c>
      <c r="C33" s="1697"/>
      <c r="D33" s="1022" t="s">
        <v>218</v>
      </c>
      <c r="E33" s="2911">
        <f>'F-LSCD-008'!N14</f>
        <v>43802</v>
      </c>
      <c r="F33" s="2911"/>
      <c r="G33" s="2911"/>
      <c r="H33" s="1278"/>
      <c r="I33" s="1278"/>
      <c r="J33" s="1278"/>
      <c r="K33" s="1278"/>
      <c r="L33" s="1278"/>
      <c r="M33" s="1279"/>
      <c r="N33" s="1279"/>
      <c r="O33" s="1279"/>
      <c r="P33" s="1027"/>
      <c r="Q33" s="1796"/>
      <c r="R33" s="1796"/>
      <c r="S33" s="1796"/>
      <c r="T33" s="1011"/>
    </row>
    <row r="34" spans="1:20" ht="6.75" customHeight="1" x14ac:dyDescent="0.2">
      <c r="A34" s="1009"/>
      <c r="C34" s="1315"/>
      <c r="D34" s="1280"/>
      <c r="E34" s="1781"/>
      <c r="F34" s="1781"/>
      <c r="G34" s="1781"/>
      <c r="H34" s="1781"/>
      <c r="I34" s="1781"/>
      <c r="J34" s="1781"/>
      <c r="K34" s="1781"/>
      <c r="L34" s="1781"/>
      <c r="M34" s="1781"/>
      <c r="N34" s="1781"/>
      <c r="O34" s="1781"/>
      <c r="P34" s="1014"/>
      <c r="Q34" s="1698"/>
      <c r="R34" s="1698"/>
      <c r="S34" s="1698"/>
      <c r="T34" s="1011"/>
    </row>
    <row r="35" spans="1:20" ht="15" customHeight="1" x14ac:dyDescent="0.2">
      <c r="A35" s="1009"/>
      <c r="B35" s="226" t="s">
        <v>1191</v>
      </c>
      <c r="C35" s="1010"/>
      <c r="D35" s="1029"/>
      <c r="E35" s="1029"/>
      <c r="F35" s="1010"/>
      <c r="G35" s="1010"/>
      <c r="H35" s="1010"/>
      <c r="I35" s="1010"/>
      <c r="J35" s="1010"/>
      <c r="K35" s="1010"/>
      <c r="L35" s="1010"/>
      <c r="T35" s="1011"/>
    </row>
    <row r="36" spans="1:20" ht="6.75" customHeight="1" x14ac:dyDescent="0.2">
      <c r="A36" s="1009"/>
      <c r="B36" s="226"/>
      <c r="C36" s="1010"/>
      <c r="D36" s="1029"/>
      <c r="E36" s="1029"/>
      <c r="F36" s="1010"/>
      <c r="G36" s="1010"/>
      <c r="H36" s="1010"/>
      <c r="I36" s="1010"/>
      <c r="J36" s="1010"/>
      <c r="K36" s="1010"/>
      <c r="L36" s="1010"/>
      <c r="T36" s="1011"/>
    </row>
    <row r="37" spans="1:20" ht="15" customHeight="1" x14ac:dyDescent="0.2">
      <c r="A37" s="1009"/>
      <c r="B37" s="226"/>
      <c r="C37" s="1786" t="s">
        <v>1213</v>
      </c>
      <c r="D37" s="1029"/>
      <c r="E37" s="1029"/>
      <c r="F37" s="1010"/>
      <c r="G37" s="1010"/>
      <c r="H37" s="1010"/>
      <c r="I37" s="1010"/>
      <c r="J37" s="1010"/>
      <c r="K37" s="1010"/>
      <c r="L37" s="1010"/>
      <c r="T37" s="1011"/>
    </row>
    <row r="38" spans="1:20" ht="6.75" customHeight="1" x14ac:dyDescent="0.2">
      <c r="A38" s="1009"/>
      <c r="B38" s="226"/>
      <c r="C38" s="1010"/>
      <c r="D38" s="1029"/>
      <c r="E38" s="1029"/>
      <c r="F38" s="1010"/>
      <c r="G38" s="1010"/>
      <c r="H38" s="1010"/>
      <c r="I38" s="1010"/>
      <c r="J38" s="1010"/>
      <c r="K38" s="1010"/>
      <c r="L38" s="1010"/>
      <c r="T38" s="1011"/>
    </row>
    <row r="39" spans="1:20" ht="15" customHeight="1" x14ac:dyDescent="0.2">
      <c r="A39" s="1009"/>
      <c r="B39" s="226"/>
      <c r="C39" s="3136" t="s">
        <v>1192</v>
      </c>
      <c r="D39" s="3144" t="s">
        <v>203</v>
      </c>
      <c r="E39" s="3144"/>
      <c r="F39" s="3144"/>
      <c r="G39" s="3144"/>
      <c r="H39" s="3136" t="s">
        <v>1198</v>
      </c>
      <c r="I39" s="3136"/>
      <c r="J39" s="2792" t="s">
        <v>208</v>
      </c>
      <c r="K39" s="2792"/>
      <c r="L39" s="2792"/>
      <c r="M39" s="2792"/>
      <c r="N39" s="2792"/>
      <c r="O39" s="2792"/>
      <c r="P39" s="2792"/>
      <c r="Q39" s="2792"/>
      <c r="R39" s="2792"/>
      <c r="S39" s="2967" t="s">
        <v>1190</v>
      </c>
      <c r="T39" s="1011"/>
    </row>
    <row r="40" spans="1:20" ht="30.75" customHeight="1" x14ac:dyDescent="0.2">
      <c r="A40" s="1009"/>
      <c r="B40" s="226"/>
      <c r="C40" s="3156"/>
      <c r="D40" s="3144"/>
      <c r="E40" s="3144"/>
      <c r="F40" s="3144"/>
      <c r="G40" s="3144"/>
      <c r="H40" s="3136"/>
      <c r="I40" s="3136"/>
      <c r="J40" s="2792" t="s">
        <v>1196</v>
      </c>
      <c r="K40" s="2792"/>
      <c r="L40" s="2792"/>
      <c r="M40" s="3159" t="s">
        <v>1214</v>
      </c>
      <c r="N40" s="3159"/>
      <c r="O40" s="3159"/>
      <c r="P40" s="3159"/>
      <c r="Q40" s="3159"/>
      <c r="R40" s="3159"/>
      <c r="S40" s="2968"/>
      <c r="T40" s="1011"/>
    </row>
    <row r="41" spans="1:20" ht="15" customHeight="1" x14ac:dyDescent="0.2">
      <c r="A41" s="1009"/>
      <c r="B41" s="226"/>
      <c r="C41" s="1793">
        <f>'F-LSCD-008'!B18</f>
        <v>905395</v>
      </c>
      <c r="D41" s="3143" t="str">
        <f>'F-LSCD-008'!C18</f>
        <v>S-Cs (ISO 4037-3)</v>
      </c>
      <c r="E41" s="3144"/>
      <c r="F41" s="3144"/>
      <c r="G41" s="3144"/>
      <c r="H41" s="3136" t="str">
        <f>'F-LSCD-008'!D18</f>
        <v>0°</v>
      </c>
      <c r="I41" s="3136"/>
      <c r="J41" s="2852" t="s">
        <v>93</v>
      </c>
      <c r="K41" s="2852"/>
      <c r="L41" s="2852"/>
      <c r="M41" s="3145" t="str">
        <f>IF('F-LSCD-007'!F16="D(10)",'F-LSCD-008'!H18,"-")</f>
        <v>-</v>
      </c>
      <c r="N41" s="3146"/>
      <c r="O41" s="1841" t="s">
        <v>78</v>
      </c>
      <c r="P41" s="3147" t="str">
        <f>IF('F-LSCD-007'!F16="D(10)",ROUNDUP('Incert. Irrad. Dosímetros pers'!$O$34*'F-LSCD-008'!H18,2),"-")</f>
        <v>-</v>
      </c>
      <c r="Q41" s="3147"/>
      <c r="R41" s="3148"/>
      <c r="S41" s="1788" t="str">
        <f>IF(J41="-","",J41/M41)</f>
        <v/>
      </c>
      <c r="T41" s="1011"/>
    </row>
    <row r="42" spans="1:20" ht="15" customHeight="1" x14ac:dyDescent="0.2">
      <c r="A42" s="1009"/>
      <c r="B42" s="226"/>
      <c r="C42" s="1793">
        <f>'F-LSCD-008'!B19</f>
        <v>905309</v>
      </c>
      <c r="D42" s="3143" t="str">
        <f>'F-LSCD-008'!C19</f>
        <v>S-Cs (ISO 4037-3)</v>
      </c>
      <c r="E42" s="3144"/>
      <c r="F42" s="3144"/>
      <c r="G42" s="3144"/>
      <c r="H42" s="3136" t="str">
        <f>'F-LSCD-008'!D19</f>
        <v>0°</v>
      </c>
      <c r="I42" s="3136"/>
      <c r="J42" s="2852" t="s">
        <v>93</v>
      </c>
      <c r="K42" s="2852"/>
      <c r="L42" s="2852"/>
      <c r="M42" s="3145" t="str">
        <f>IF('F-LSCD-007'!F17="D(10)",'F-LSCD-008'!H19,"-")</f>
        <v>-</v>
      </c>
      <c r="N42" s="3146"/>
      <c r="O42" s="1840" t="s">
        <v>78</v>
      </c>
      <c r="P42" s="3147" t="str">
        <f>IF('F-LSCD-007'!F17="D(10)",ROUNDUP('Incert. Irrad. Dosímetros pers'!$O$34*'F-LSCD-008'!H19,2),"-")</f>
        <v>-</v>
      </c>
      <c r="Q42" s="3147"/>
      <c r="R42" s="3148"/>
      <c r="S42" s="1886" t="str">
        <f t="shared" ref="S42:S52" si="0">IF(J42="-","",J42/M42)</f>
        <v/>
      </c>
      <c r="T42" s="1011"/>
    </row>
    <row r="43" spans="1:20" ht="15" customHeight="1" x14ac:dyDescent="0.2">
      <c r="A43" s="1009"/>
      <c r="B43" s="226"/>
      <c r="C43" s="1793">
        <f>'F-LSCD-008'!B20</f>
        <v>905161</v>
      </c>
      <c r="D43" s="3143" t="str">
        <f>'F-LSCD-008'!C20</f>
        <v>S-Cs (ISO 4037-3)</v>
      </c>
      <c r="E43" s="3144"/>
      <c r="F43" s="3144"/>
      <c r="G43" s="3144"/>
      <c r="H43" s="3136" t="str">
        <f>'F-LSCD-008'!D20</f>
        <v>0°</v>
      </c>
      <c r="I43" s="3136"/>
      <c r="J43" s="2852" t="s">
        <v>93</v>
      </c>
      <c r="K43" s="2852"/>
      <c r="L43" s="2852"/>
      <c r="M43" s="3145" t="str">
        <f>IF('F-LSCD-007'!F18="D(10)",'F-LSCD-008'!H20,"-")</f>
        <v>-</v>
      </c>
      <c r="N43" s="3146"/>
      <c r="O43" s="1840" t="s">
        <v>78</v>
      </c>
      <c r="P43" s="3147" t="str">
        <f>IF('F-LSCD-007'!F18="D(10)",ROUNDUP('Incert. Irrad. Dosímetros pers'!$O$34*'F-LSCD-008'!H20,2),"-")</f>
        <v>-</v>
      </c>
      <c r="Q43" s="3147"/>
      <c r="R43" s="3148"/>
      <c r="S43" s="1886" t="str">
        <f>IF(J43="-","",J43/M43)</f>
        <v/>
      </c>
      <c r="T43" s="1011"/>
    </row>
    <row r="44" spans="1:20" ht="15" customHeight="1" x14ac:dyDescent="0.2">
      <c r="A44" s="1009"/>
      <c r="B44" s="226"/>
      <c r="C44" s="1793">
        <f>'F-LSCD-008'!B21</f>
        <v>905327</v>
      </c>
      <c r="D44" s="3143" t="str">
        <f>'F-LSCD-008'!C21</f>
        <v>S-Cs (ISO 4037-3)</v>
      </c>
      <c r="E44" s="3144"/>
      <c r="F44" s="3144"/>
      <c r="G44" s="3144"/>
      <c r="H44" s="3136" t="str">
        <f>'F-LSCD-008'!D21</f>
        <v>0°</v>
      </c>
      <c r="I44" s="3136"/>
      <c r="J44" s="2852" t="s">
        <v>93</v>
      </c>
      <c r="K44" s="2852"/>
      <c r="L44" s="2852"/>
      <c r="M44" s="3145" t="str">
        <f>IF('F-LSCD-007'!F19="D(10)",'F-LSCD-008'!H21,"-")</f>
        <v>-</v>
      </c>
      <c r="N44" s="3146"/>
      <c r="O44" s="1840" t="s">
        <v>78</v>
      </c>
      <c r="P44" s="3147" t="str">
        <f>IF('F-LSCD-007'!F19="D(10)",FIXED('Incert. Irrad. Dosímetros pers'!$O$34*'F-LSCD-008'!H21,2),"-")</f>
        <v>-</v>
      </c>
      <c r="Q44" s="3147"/>
      <c r="R44" s="3148"/>
      <c r="S44" s="1886" t="str">
        <f t="shared" si="0"/>
        <v/>
      </c>
      <c r="T44" s="1011"/>
    </row>
    <row r="45" spans="1:20" ht="15" customHeight="1" x14ac:dyDescent="0.2">
      <c r="A45" s="1009"/>
      <c r="B45" s="226"/>
      <c r="C45" s="1793">
        <f>'F-LSCD-008'!B22</f>
        <v>905125</v>
      </c>
      <c r="D45" s="3143" t="str">
        <f>'F-LSCD-008'!C22</f>
        <v>S-Cs (ISO 4037-3)</v>
      </c>
      <c r="E45" s="3144"/>
      <c r="F45" s="3144"/>
      <c r="G45" s="3144"/>
      <c r="H45" s="3136" t="str">
        <f>'F-LSCD-008'!D22</f>
        <v>0°</v>
      </c>
      <c r="I45" s="3136"/>
      <c r="J45" s="2852" t="s">
        <v>93</v>
      </c>
      <c r="K45" s="2852"/>
      <c r="L45" s="2852"/>
      <c r="M45" s="3145" t="str">
        <f>IF('F-LSCD-007'!F20="D(10)",'F-LSCD-008'!H22,"-")</f>
        <v>-</v>
      </c>
      <c r="N45" s="3146"/>
      <c r="O45" s="1840" t="s">
        <v>78</v>
      </c>
      <c r="P45" s="3147" t="str">
        <f>IF('F-LSCD-007'!F20="D(10)",FIXED('Incert. Irrad. Dosímetros pers'!$O$34*'F-LSCD-008'!H22,2),"-")</f>
        <v>-</v>
      </c>
      <c r="Q45" s="3147"/>
      <c r="R45" s="3148"/>
      <c r="S45" s="1886" t="str">
        <f t="shared" si="0"/>
        <v/>
      </c>
      <c r="T45" s="1011"/>
    </row>
    <row r="46" spans="1:20" ht="15" customHeight="1" x14ac:dyDescent="0.2">
      <c r="A46" s="1009"/>
      <c r="B46" s="226"/>
      <c r="C46" s="1793">
        <f>'F-LSCD-008'!B23</f>
        <v>905066</v>
      </c>
      <c r="D46" s="3143" t="str">
        <f>'F-LSCD-008'!C23</f>
        <v>S-Cs (ISO 4037-3)</v>
      </c>
      <c r="E46" s="3144"/>
      <c r="F46" s="3144"/>
      <c r="G46" s="3144"/>
      <c r="H46" s="3136" t="str">
        <f>'F-LSCD-008'!D23</f>
        <v>0°</v>
      </c>
      <c r="I46" s="3136"/>
      <c r="J46" s="2852" t="s">
        <v>93</v>
      </c>
      <c r="K46" s="2852"/>
      <c r="L46" s="2852"/>
      <c r="M46" s="3145" t="str">
        <f>IF('F-LSCD-007'!F21="D(10)",'F-LSCD-008'!H23,"-")</f>
        <v>-</v>
      </c>
      <c r="N46" s="3146"/>
      <c r="O46" s="1840" t="s">
        <v>78</v>
      </c>
      <c r="P46" s="3147" t="str">
        <f>IF('F-LSCD-007'!F21="D(10)",FIXED('Incert. Irrad. Dosímetros pers'!$O$34*'F-LSCD-008'!H23,2),"-")</f>
        <v>-</v>
      </c>
      <c r="Q46" s="3147"/>
      <c r="R46" s="3148"/>
      <c r="S46" s="1886" t="str">
        <f t="shared" si="0"/>
        <v/>
      </c>
      <c r="T46" s="1011"/>
    </row>
    <row r="47" spans="1:20" ht="15" customHeight="1" x14ac:dyDescent="0.2">
      <c r="A47" s="1009"/>
      <c r="B47" s="226"/>
      <c r="C47" s="1793">
        <f>'F-LSCD-008'!B24</f>
        <v>905339</v>
      </c>
      <c r="D47" s="3143" t="str">
        <f>'F-LSCD-008'!C24</f>
        <v>S-Cs (ISO 4037-3)</v>
      </c>
      <c r="E47" s="3144"/>
      <c r="F47" s="3144"/>
      <c r="G47" s="3144"/>
      <c r="H47" s="3136" t="str">
        <f>'F-LSCD-008'!D24</f>
        <v>0°</v>
      </c>
      <c r="I47" s="3136"/>
      <c r="J47" s="2852" t="s">
        <v>93</v>
      </c>
      <c r="K47" s="2852"/>
      <c r="L47" s="2852"/>
      <c r="M47" s="3145" t="str">
        <f>IF('F-LSCD-007'!F22="D(10)",'F-LSCD-008'!H24,"-")</f>
        <v>-</v>
      </c>
      <c r="N47" s="3146"/>
      <c r="O47" s="1840" t="s">
        <v>78</v>
      </c>
      <c r="P47" s="3147" t="str">
        <f>IF('F-LSCD-007'!F22="D(10)",FIXED('Incert. Irrad. Dosímetros pers'!$O$34*'F-LSCD-008'!H24,2),"-")</f>
        <v>-</v>
      </c>
      <c r="Q47" s="3147"/>
      <c r="R47" s="3148"/>
      <c r="S47" s="1886" t="str">
        <f t="shared" si="0"/>
        <v/>
      </c>
      <c r="T47" s="1011"/>
    </row>
    <row r="48" spans="1:20" ht="15" customHeight="1" x14ac:dyDescent="0.2">
      <c r="A48" s="1009"/>
      <c r="B48" s="226"/>
      <c r="C48" s="1793">
        <f>'F-LSCD-008'!B25</f>
        <v>905189</v>
      </c>
      <c r="D48" s="3143" t="str">
        <f>'F-LSCD-008'!C25</f>
        <v>S-Cs (ISO 4037-3)</v>
      </c>
      <c r="E48" s="3144"/>
      <c r="F48" s="3144"/>
      <c r="G48" s="3144"/>
      <c r="H48" s="3136" t="str">
        <f>'F-LSCD-008'!D25</f>
        <v>0°</v>
      </c>
      <c r="I48" s="3136"/>
      <c r="J48" s="2852" t="s">
        <v>93</v>
      </c>
      <c r="K48" s="2852"/>
      <c r="L48" s="2852"/>
      <c r="M48" s="3145" t="str">
        <f>IF('F-LSCD-007'!F23="D(10)",'F-LSCD-008'!H25,"-")</f>
        <v>-</v>
      </c>
      <c r="N48" s="3146"/>
      <c r="O48" s="1840" t="s">
        <v>78</v>
      </c>
      <c r="P48" s="3147" t="str">
        <f>IF('F-LSCD-007'!F23="D(10)",FIXED('Incert. Irrad. Dosímetros pers'!$O$34*'F-LSCD-008'!H25,2),"-")</f>
        <v>-</v>
      </c>
      <c r="Q48" s="3147"/>
      <c r="R48" s="3148"/>
      <c r="S48" s="1886" t="str">
        <f t="shared" si="0"/>
        <v/>
      </c>
      <c r="T48" s="1011"/>
    </row>
    <row r="49" spans="1:21" ht="15" customHeight="1" x14ac:dyDescent="0.2">
      <c r="A49" s="1009"/>
      <c r="B49" s="226"/>
      <c r="C49" s="1793">
        <f>'F-LSCD-008'!B26</f>
        <v>905334</v>
      </c>
      <c r="D49" s="3143" t="str">
        <f>'F-LSCD-008'!C26</f>
        <v>S-Cs (ISO 4037-3)</v>
      </c>
      <c r="E49" s="3144"/>
      <c r="F49" s="3144"/>
      <c r="G49" s="3144"/>
      <c r="H49" s="3136" t="str">
        <f>'F-LSCD-008'!D26</f>
        <v>0°</v>
      </c>
      <c r="I49" s="3136"/>
      <c r="J49" s="2852" t="s">
        <v>93</v>
      </c>
      <c r="K49" s="2852"/>
      <c r="L49" s="2852"/>
      <c r="M49" s="3145" t="str">
        <f>IF('F-LSCD-007'!F24="D(10)",'F-LSCD-008'!H26,"-")</f>
        <v>-</v>
      </c>
      <c r="N49" s="3146"/>
      <c r="O49" s="1840" t="s">
        <v>78</v>
      </c>
      <c r="P49" s="3147" t="str">
        <f>IF('F-LSCD-007'!F24="D(10)",FIXED('Incert. Irrad. Dosímetros pers'!$O$34*'F-LSCD-008'!H26,2),"-")</f>
        <v>-</v>
      </c>
      <c r="Q49" s="3147"/>
      <c r="R49" s="3148"/>
      <c r="S49" s="1886" t="str">
        <f t="shared" si="0"/>
        <v/>
      </c>
      <c r="T49" s="1011"/>
    </row>
    <row r="50" spans="1:21" ht="15" customHeight="1" x14ac:dyDescent="0.2">
      <c r="A50" s="1009"/>
      <c r="B50" s="226"/>
      <c r="C50" s="1793">
        <f>'F-LSCD-008'!B27</f>
        <v>905153</v>
      </c>
      <c r="D50" s="3143" t="str">
        <f>'F-LSCD-008'!C27</f>
        <v>S-Cs (ISO 4037-3)</v>
      </c>
      <c r="E50" s="3144"/>
      <c r="F50" s="3144"/>
      <c r="G50" s="3144"/>
      <c r="H50" s="3136" t="str">
        <f>'F-LSCD-008'!D27</f>
        <v>0°</v>
      </c>
      <c r="I50" s="3136"/>
      <c r="J50" s="2852" t="s">
        <v>93</v>
      </c>
      <c r="K50" s="2852"/>
      <c r="L50" s="2852"/>
      <c r="M50" s="3145" t="str">
        <f>IF('F-LSCD-007'!F25="D(10)",'F-LSCD-008'!H27,"-")</f>
        <v>-</v>
      </c>
      <c r="N50" s="3146"/>
      <c r="O50" s="1840" t="s">
        <v>78</v>
      </c>
      <c r="P50" s="3147" t="str">
        <f>IF('F-LSCD-007'!F25="D(10)",FIXED('Incert. Irrad. Dosímetros pers'!$O$34*'F-LSCD-008'!H27,2),"-")</f>
        <v>-</v>
      </c>
      <c r="Q50" s="3147"/>
      <c r="R50" s="3148"/>
      <c r="S50" s="1886" t="str">
        <f t="shared" si="0"/>
        <v/>
      </c>
      <c r="T50" s="1011"/>
    </row>
    <row r="51" spans="1:21" ht="15" customHeight="1" x14ac:dyDescent="0.2">
      <c r="A51" s="1009"/>
      <c r="B51" s="226"/>
      <c r="C51" s="1793">
        <f>'F-LSCD-008'!B28</f>
        <v>3848</v>
      </c>
      <c r="D51" s="3143" t="str">
        <f>'F-LSCD-008'!C28</f>
        <v>S-Cs (ISO 4037-3)</v>
      </c>
      <c r="E51" s="3144"/>
      <c r="F51" s="3144"/>
      <c r="G51" s="3144"/>
      <c r="H51" s="3136" t="str">
        <f>'F-LSCD-008'!D28</f>
        <v>0°</v>
      </c>
      <c r="I51" s="3136"/>
      <c r="J51" s="2852" t="s">
        <v>93</v>
      </c>
      <c r="K51" s="2852"/>
      <c r="L51" s="2852"/>
      <c r="M51" s="3145" t="str">
        <f>IF('F-LSCD-007'!F26="D(10)",'F-LSCD-008'!H28,"-")</f>
        <v>-</v>
      </c>
      <c r="N51" s="3146"/>
      <c r="O51" s="1841" t="s">
        <v>78</v>
      </c>
      <c r="P51" s="3147" t="str">
        <f>IF('F-LSCD-007'!F26="D(10)",FIXED('Incert. Irrad. Dosímetros pers'!$O$34*'F-LSCD-008'!H28,2),"-")</f>
        <v>-</v>
      </c>
      <c r="Q51" s="3147"/>
      <c r="R51" s="3148"/>
      <c r="S51" s="1886" t="str">
        <f t="shared" si="0"/>
        <v/>
      </c>
      <c r="T51" s="1011"/>
    </row>
    <row r="52" spans="1:21" ht="15" customHeight="1" x14ac:dyDescent="0.2">
      <c r="A52" s="1009"/>
      <c r="B52" s="226"/>
      <c r="C52" s="1793">
        <f>'F-LSCD-008'!B29</f>
        <v>3884</v>
      </c>
      <c r="D52" s="3143" t="str">
        <f>'F-LSCD-008'!C29</f>
        <v>S-Cs (ISO 4037-3)</v>
      </c>
      <c r="E52" s="3144"/>
      <c r="F52" s="3144"/>
      <c r="G52" s="3144"/>
      <c r="H52" s="3136" t="str">
        <f>'F-LSCD-008'!D29</f>
        <v>0°</v>
      </c>
      <c r="I52" s="3136"/>
      <c r="J52" s="2852" t="s">
        <v>93</v>
      </c>
      <c r="K52" s="2852"/>
      <c r="L52" s="2852"/>
      <c r="M52" s="3145" t="str">
        <f>IF('F-LSCD-007'!F27="D(10)",'F-LSCD-008'!H29,"-")</f>
        <v>-</v>
      </c>
      <c r="N52" s="3146"/>
      <c r="O52" s="1841" t="s">
        <v>78</v>
      </c>
      <c r="P52" s="3147" t="str">
        <f>IF('F-LSCD-007'!F27="D(10)",FIXED('Incert. Irrad. Dosímetros pers'!$O$34*'F-LSCD-008'!H29,2),"-")</f>
        <v>-</v>
      </c>
      <c r="Q52" s="3147"/>
      <c r="R52" s="3148"/>
      <c r="S52" s="1886" t="str">
        <f t="shared" si="0"/>
        <v/>
      </c>
      <c r="T52" s="1011"/>
    </row>
    <row r="53" spans="1:21" ht="6.75" customHeight="1" x14ac:dyDescent="0.2">
      <c r="A53" s="1009"/>
      <c r="B53" s="226"/>
      <c r="C53" s="1839"/>
      <c r="D53" s="1838"/>
      <c r="E53" s="1838"/>
      <c r="F53" s="1838"/>
      <c r="G53" s="1838"/>
      <c r="H53" s="1759"/>
      <c r="I53" s="1759"/>
      <c r="J53" s="1759"/>
      <c r="K53" s="1759"/>
      <c r="L53" s="1759"/>
      <c r="M53" s="1837"/>
      <c r="N53" s="1837"/>
      <c r="O53" s="1837"/>
      <c r="P53" s="1837"/>
      <c r="Q53" s="1837"/>
      <c r="R53" s="1837"/>
      <c r="S53" s="1837"/>
      <c r="T53" s="1011"/>
    </row>
    <row r="54" spans="1:21" ht="3" customHeight="1" thickBot="1" x14ac:dyDescent="0.25">
      <c r="A54" s="1036"/>
      <c r="B54" s="1037"/>
      <c r="C54" s="1037"/>
      <c r="D54" s="1037"/>
      <c r="E54" s="1037"/>
      <c r="F54" s="1037"/>
      <c r="G54" s="1037"/>
      <c r="H54" s="1037"/>
      <c r="I54" s="1037"/>
      <c r="J54" s="1037"/>
      <c r="K54" s="1037"/>
      <c r="L54" s="1037"/>
      <c r="M54" s="1037"/>
      <c r="N54" s="1037"/>
      <c r="O54" s="1037"/>
      <c r="P54" s="1037"/>
      <c r="Q54" s="1037"/>
      <c r="R54" s="1037"/>
      <c r="S54" s="1037"/>
      <c r="T54" s="1038"/>
    </row>
    <row r="55" spans="1:21" ht="15.75" thickTop="1" x14ac:dyDescent="0.25">
      <c r="A55" s="2863" t="s">
        <v>260</v>
      </c>
      <c r="B55" s="2864"/>
      <c r="C55" s="2864"/>
      <c r="D55" s="2864"/>
      <c r="E55" s="2864"/>
      <c r="F55" s="2864"/>
      <c r="G55" s="2864"/>
      <c r="H55" s="2864"/>
      <c r="I55" s="2864"/>
      <c r="J55" s="2864"/>
      <c r="K55" s="2864"/>
      <c r="L55" s="2864"/>
      <c r="M55" s="2864"/>
      <c r="N55" s="2864"/>
      <c r="O55" s="2864"/>
      <c r="P55" s="2864"/>
      <c r="Q55" s="2864"/>
      <c r="R55" s="2864"/>
      <c r="S55" s="2864"/>
      <c r="T55" s="2865"/>
    </row>
    <row r="56" spans="1:21" ht="11.25" customHeight="1" thickBot="1" x14ac:dyDescent="0.25">
      <c r="A56" s="2859" t="s">
        <v>810</v>
      </c>
      <c r="B56" s="2860"/>
      <c r="C56" s="2860"/>
      <c r="D56" s="2860"/>
      <c r="E56" s="2860"/>
      <c r="F56" s="2860"/>
      <c r="G56" s="2860"/>
      <c r="H56" s="2860"/>
      <c r="I56" s="2860"/>
      <c r="J56" s="2860"/>
      <c r="K56" s="2860"/>
      <c r="L56" s="2860"/>
      <c r="M56" s="2860"/>
      <c r="N56" s="2860"/>
      <c r="O56" s="2860"/>
      <c r="P56" s="2860"/>
      <c r="Q56" s="2860"/>
      <c r="R56" s="2860"/>
      <c r="S56" s="2860"/>
      <c r="T56" s="2861"/>
      <c r="U56" s="1039"/>
    </row>
    <row r="57" spans="1:21" ht="13.5" thickBot="1" x14ac:dyDescent="0.25">
      <c r="A57" s="1356" t="s">
        <v>916</v>
      </c>
      <c r="B57" s="163"/>
      <c r="S57" s="1357" t="str">
        <f>A4&amp;" "&amp;A5</f>
        <v>INFORME FINAL DE INTERCOMPARACIÓN DE DOSIMETRÍA PERSONAL NIVEL ACCIDENTES N° LSCD 017-2019</v>
      </c>
    </row>
    <row r="58" spans="1:21" ht="12.75" customHeight="1" x14ac:dyDescent="0.2">
      <c r="A58" s="2869"/>
      <c r="B58" s="2870"/>
      <c r="C58" s="2870"/>
      <c r="D58" s="2870"/>
      <c r="E58" s="2870"/>
      <c r="F58" s="2870"/>
      <c r="G58" s="2870"/>
      <c r="H58" s="2870"/>
      <c r="I58" s="2870"/>
      <c r="J58" s="2870"/>
      <c r="K58" s="2870"/>
      <c r="L58" s="2870"/>
      <c r="M58" s="2870"/>
      <c r="N58" s="2870"/>
      <c r="O58" s="2870"/>
      <c r="P58" s="2870"/>
      <c r="Q58" s="2870"/>
      <c r="R58" s="2870"/>
      <c r="S58" s="2870"/>
      <c r="T58" s="2871"/>
    </row>
    <row r="59" spans="1:21" ht="66.75" customHeight="1" thickBot="1" x14ac:dyDescent="0.25">
      <c r="A59" s="2872"/>
      <c r="B59" s="2873"/>
      <c r="C59" s="2873"/>
      <c r="D59" s="2873"/>
      <c r="E59" s="2873"/>
      <c r="F59" s="2873"/>
      <c r="G59" s="2873"/>
      <c r="H59" s="2873"/>
      <c r="I59" s="2873"/>
      <c r="J59" s="2873"/>
      <c r="K59" s="2873"/>
      <c r="L59" s="2873"/>
      <c r="M59" s="2873"/>
      <c r="N59" s="2873"/>
      <c r="O59" s="2873"/>
      <c r="P59" s="2873"/>
      <c r="Q59" s="2873"/>
      <c r="R59" s="2873"/>
      <c r="S59" s="2873"/>
      <c r="T59" s="2874"/>
    </row>
    <row r="60" spans="1:21" ht="12.75" customHeight="1" thickTop="1" x14ac:dyDescent="0.2">
      <c r="A60" s="1009"/>
      <c r="B60" s="1756"/>
      <c r="C60" s="1800"/>
      <c r="D60" s="1782"/>
      <c r="E60" s="1783"/>
      <c r="F60" s="1783"/>
      <c r="G60" s="1783"/>
      <c r="H60" s="1783"/>
      <c r="I60" s="1783"/>
      <c r="J60" s="1783"/>
      <c r="K60" s="1783"/>
      <c r="L60" s="1783"/>
      <c r="M60" s="1784"/>
      <c r="N60" s="1784"/>
      <c r="O60" s="1782"/>
      <c r="P60" s="1782"/>
      <c r="Q60" s="1782"/>
      <c r="R60" s="1801"/>
      <c r="S60" s="1801"/>
      <c r="T60" s="1011"/>
    </row>
    <row r="61" spans="1:21" x14ac:dyDescent="0.2">
      <c r="A61" s="1009"/>
      <c r="B61" s="1756"/>
      <c r="C61" s="1802" t="s">
        <v>1199</v>
      </c>
      <c r="D61" s="1791"/>
      <c r="E61" s="1782"/>
      <c r="F61" s="1782"/>
      <c r="G61" s="1782"/>
      <c r="H61" s="1782"/>
      <c r="I61" s="1782"/>
      <c r="J61" s="1782"/>
      <c r="K61" s="1782"/>
      <c r="L61" s="1782"/>
      <c r="M61" s="1783"/>
      <c r="N61" s="1784"/>
      <c r="O61" s="1785"/>
      <c r="P61" s="1782"/>
      <c r="Q61" s="1782"/>
      <c r="R61" s="1782"/>
      <c r="S61" s="1782"/>
      <c r="T61" s="1011"/>
    </row>
    <row r="62" spans="1:21" x14ac:dyDescent="0.2">
      <c r="A62" s="1009"/>
      <c r="B62" s="1756"/>
      <c r="C62" s="1803"/>
      <c r="D62" s="1791"/>
      <c r="E62" s="1783"/>
      <c r="F62" s="1783"/>
      <c r="G62" s="1783"/>
      <c r="H62" s="1783"/>
      <c r="I62" s="1783"/>
      <c r="J62" s="1783"/>
      <c r="K62" s="1783"/>
      <c r="L62" s="1783"/>
      <c r="M62" s="1783"/>
      <c r="N62" s="1784"/>
      <c r="O62" s="1782"/>
      <c r="P62" s="1782"/>
      <c r="Q62" s="1782"/>
      <c r="R62" s="1782"/>
      <c r="S62" s="1782"/>
      <c r="T62" s="1011"/>
    </row>
    <row r="63" spans="1:21" ht="28.5" customHeight="1" x14ac:dyDescent="0.2">
      <c r="A63" s="1009"/>
      <c r="B63" s="1756"/>
      <c r="C63" s="1792" t="s">
        <v>1175</v>
      </c>
      <c r="D63" s="2792" t="s">
        <v>1194</v>
      </c>
      <c r="E63" s="2792"/>
      <c r="F63" s="2792"/>
      <c r="G63" s="2792"/>
      <c r="H63" s="3157" t="s">
        <v>1195</v>
      </c>
      <c r="I63" s="3157"/>
      <c r="J63" s="3157"/>
      <c r="K63" s="3157"/>
      <c r="L63" s="3157"/>
      <c r="M63" s="3157"/>
      <c r="N63" s="3157"/>
      <c r="O63" s="3157"/>
      <c r="P63" s="3157"/>
      <c r="Q63" s="3157"/>
      <c r="R63" s="3157"/>
      <c r="S63" s="3157"/>
      <c r="T63" s="1011"/>
    </row>
    <row r="64" spans="1:21" ht="15" x14ac:dyDescent="0.2">
      <c r="A64" s="1009"/>
      <c r="B64" s="1756"/>
      <c r="C64" s="1792" t="s">
        <v>1176</v>
      </c>
      <c r="D64" s="2792">
        <v>3</v>
      </c>
      <c r="E64" s="2792"/>
      <c r="F64" s="2792"/>
      <c r="G64" s="2792"/>
      <c r="H64" s="3157" t="s">
        <v>1197</v>
      </c>
      <c r="I64" s="3157"/>
      <c r="J64" s="3157"/>
      <c r="K64" s="3157"/>
      <c r="L64" s="3157"/>
      <c r="M64" s="3157"/>
      <c r="N64" s="3157"/>
      <c r="O64" s="3157"/>
      <c r="P64" s="3157"/>
      <c r="Q64" s="3157"/>
      <c r="R64" s="3157"/>
      <c r="S64" s="3157"/>
      <c r="T64" s="1011"/>
    </row>
    <row r="65" spans="1:20" ht="15" x14ac:dyDescent="0.2">
      <c r="A65" s="1009"/>
      <c r="B65" s="1756"/>
      <c r="C65" s="1792" t="s">
        <v>1181</v>
      </c>
      <c r="D65" s="2792" t="e">
        <f>ABS(ROUND(AVERAGE(S41:S52),2)-1)</f>
        <v>#DIV/0!</v>
      </c>
      <c r="E65" s="2792"/>
      <c r="F65" s="2792"/>
      <c r="G65" s="2792"/>
      <c r="H65" s="3157" t="s">
        <v>1177</v>
      </c>
      <c r="I65" s="3157"/>
      <c r="J65" s="3157"/>
      <c r="K65" s="3157"/>
      <c r="L65" s="3157"/>
      <c r="M65" s="3157"/>
      <c r="N65" s="3157"/>
      <c r="O65" s="3157"/>
      <c r="P65" s="3157"/>
      <c r="Q65" s="3157"/>
      <c r="R65" s="3157"/>
      <c r="S65" s="3157"/>
      <c r="T65" s="1011"/>
    </row>
    <row r="66" spans="1:20" ht="15" x14ac:dyDescent="0.2">
      <c r="A66" s="1009"/>
      <c r="B66" s="1756"/>
      <c r="C66" s="1792" t="s">
        <v>1178</v>
      </c>
      <c r="D66" s="2792">
        <f>ROUND(STDEVA(S41:S52),2)</f>
        <v>0</v>
      </c>
      <c r="E66" s="2792"/>
      <c r="F66" s="2792"/>
      <c r="G66" s="2792"/>
      <c r="H66" s="3157" t="s">
        <v>1186</v>
      </c>
      <c r="I66" s="3157"/>
      <c r="J66" s="3157"/>
      <c r="K66" s="3157"/>
      <c r="L66" s="3157"/>
      <c r="M66" s="3157"/>
      <c r="N66" s="3157"/>
      <c r="O66" s="3157"/>
      <c r="P66" s="3157"/>
      <c r="Q66" s="3157"/>
      <c r="R66" s="3157"/>
      <c r="S66" s="3157"/>
      <c r="T66" s="1011"/>
    </row>
    <row r="67" spans="1:20" ht="12.75" customHeight="1" x14ac:dyDescent="0.2">
      <c r="A67" s="1009"/>
      <c r="B67" s="1756"/>
      <c r="C67" s="1792" t="s">
        <v>1179</v>
      </c>
      <c r="D67" s="3158">
        <v>0.24</v>
      </c>
      <c r="E67" s="3158"/>
      <c r="F67" s="3158"/>
      <c r="G67" s="3158"/>
      <c r="H67" s="3157" t="s">
        <v>1180</v>
      </c>
      <c r="I67" s="3157"/>
      <c r="J67" s="3157"/>
      <c r="K67" s="3157"/>
      <c r="L67" s="3157"/>
      <c r="M67" s="3157"/>
      <c r="N67" s="3157"/>
      <c r="O67" s="3157"/>
      <c r="P67" s="3157"/>
      <c r="Q67" s="3157"/>
      <c r="R67" s="3157"/>
      <c r="S67" s="3157"/>
      <c r="T67" s="1011"/>
    </row>
    <row r="68" spans="1:20" ht="12.75" customHeight="1" x14ac:dyDescent="0.2">
      <c r="A68" s="1009"/>
      <c r="B68" s="1756"/>
      <c r="C68" s="1792" t="s">
        <v>1182</v>
      </c>
      <c r="D68" s="3158" t="e">
        <f>SQRT(D65*D65+D66*D66)</f>
        <v>#DIV/0!</v>
      </c>
      <c r="E68" s="3158"/>
      <c r="F68" s="3158"/>
      <c r="G68" s="3158"/>
      <c r="H68" s="3157" t="str">
        <f>IF(F68&lt;=F67, "ACEPTADO", "NO ACEPTADO")</f>
        <v>ACEPTADO</v>
      </c>
      <c r="I68" s="3157"/>
      <c r="J68" s="3157"/>
      <c r="K68" s="3157"/>
      <c r="L68" s="3157"/>
      <c r="M68" s="3157"/>
      <c r="N68" s="3157"/>
      <c r="O68" s="3157"/>
      <c r="P68" s="3157"/>
      <c r="Q68" s="3157"/>
      <c r="R68" s="3157"/>
      <c r="S68" s="3157"/>
      <c r="T68" s="1011"/>
    </row>
    <row r="69" spans="1:20" ht="12.75" customHeight="1" x14ac:dyDescent="0.2">
      <c r="A69" s="1009"/>
      <c r="B69" s="1756"/>
      <c r="C69" s="1812"/>
      <c r="D69" s="1813"/>
      <c r="E69" s="1813"/>
      <c r="F69" s="1813"/>
      <c r="G69" s="1813"/>
      <c r="H69" s="1810"/>
      <c r="I69" s="1810"/>
      <c r="J69" s="1810"/>
      <c r="K69" s="1810"/>
      <c r="L69" s="1810"/>
      <c r="M69" s="1810"/>
      <c r="N69" s="1810"/>
      <c r="O69" s="1810"/>
      <c r="P69" s="1810"/>
      <c r="Q69" s="1810"/>
      <c r="R69" s="1810"/>
      <c r="S69" s="1810"/>
      <c r="T69" s="1011"/>
    </row>
    <row r="70" spans="1:20" ht="17.25" x14ac:dyDescent="0.2">
      <c r="A70" s="1009"/>
      <c r="B70" s="1756"/>
      <c r="C70" s="1842" t="s">
        <v>1215</v>
      </c>
      <c r="D70" s="1813"/>
      <c r="E70" s="1813"/>
      <c r="F70" s="1813"/>
      <c r="G70" s="1813"/>
      <c r="H70" s="1810"/>
      <c r="I70" s="1810"/>
      <c r="J70" s="1810"/>
      <c r="K70" s="1810"/>
      <c r="L70" s="1810"/>
      <c r="M70" s="1810"/>
      <c r="N70" s="1810"/>
      <c r="O70" s="1810"/>
      <c r="P70" s="1810"/>
      <c r="Q70" s="1810"/>
      <c r="R70" s="1810"/>
      <c r="S70" s="1810"/>
      <c r="T70" s="1011"/>
    </row>
    <row r="71" spans="1:20" ht="15" x14ac:dyDescent="0.2">
      <c r="A71" s="1009"/>
      <c r="B71" s="1756"/>
      <c r="C71" s="1842"/>
      <c r="D71" s="1813"/>
      <c r="E71" s="1813"/>
      <c r="F71" s="1813"/>
      <c r="G71" s="1813"/>
      <c r="H71" s="1810"/>
      <c r="I71" s="1810"/>
      <c r="J71" s="1810"/>
      <c r="K71" s="1810"/>
      <c r="L71" s="1810"/>
      <c r="M71" s="1810"/>
      <c r="N71" s="1810"/>
      <c r="O71" s="1810"/>
      <c r="P71" s="1810"/>
      <c r="Q71" s="1810"/>
      <c r="R71" s="1810"/>
      <c r="S71" s="1810"/>
      <c r="T71" s="1011"/>
    </row>
    <row r="72" spans="1:20" ht="15" x14ac:dyDescent="0.2">
      <c r="A72" s="1009"/>
      <c r="B72" s="1756"/>
      <c r="C72" s="1843" t="s">
        <v>1200</v>
      </c>
      <c r="D72" s="1813"/>
      <c r="E72" s="1813"/>
      <c r="F72" s="1813"/>
      <c r="G72" s="1813"/>
      <c r="H72" s="1810"/>
      <c r="I72" s="1810"/>
      <c r="J72" s="1810"/>
      <c r="K72" s="1810"/>
      <c r="L72" s="1810"/>
      <c r="M72" s="1810"/>
      <c r="N72" s="1810"/>
      <c r="O72" s="1810"/>
      <c r="P72" s="1810"/>
      <c r="Q72" s="1810"/>
      <c r="R72" s="1810"/>
      <c r="S72" s="1810"/>
      <c r="T72" s="1011"/>
    </row>
    <row r="73" spans="1:20" x14ac:dyDescent="0.2">
      <c r="A73" s="1009"/>
      <c r="B73" s="1756"/>
      <c r="C73" s="1804"/>
      <c r="D73" s="1791"/>
      <c r="E73" s="1783"/>
      <c r="F73" s="1783"/>
      <c r="G73" s="1783"/>
      <c r="H73" s="1783"/>
      <c r="I73" s="1783"/>
      <c r="J73" s="1783"/>
      <c r="K73" s="1783"/>
      <c r="L73" s="1783"/>
      <c r="M73" s="1783"/>
      <c r="N73" s="1784"/>
      <c r="O73" s="1782"/>
      <c r="P73" s="1782"/>
      <c r="Q73" s="1782"/>
      <c r="R73" s="1782"/>
      <c r="S73" s="1801"/>
      <c r="T73" s="1011"/>
    </row>
    <row r="74" spans="1:20" ht="27.75" customHeight="1" x14ac:dyDescent="0.2">
      <c r="A74" s="1009"/>
      <c r="B74" s="1756"/>
      <c r="C74" s="1792" t="s">
        <v>1175</v>
      </c>
      <c r="D74" s="2792" t="s">
        <v>1194</v>
      </c>
      <c r="E74" s="2792"/>
      <c r="F74" s="2792"/>
      <c r="G74" s="2792"/>
      <c r="H74" s="3157" t="s">
        <v>1195</v>
      </c>
      <c r="I74" s="3157"/>
      <c r="J74" s="3157"/>
      <c r="K74" s="3157"/>
      <c r="L74" s="3157"/>
      <c r="M74" s="3157"/>
      <c r="N74" s="3157"/>
      <c r="O74" s="3157"/>
      <c r="P74" s="3157"/>
      <c r="Q74" s="3157"/>
      <c r="R74" s="3157"/>
      <c r="S74" s="3157"/>
      <c r="T74" s="1011"/>
    </row>
    <row r="75" spans="1:20" ht="15" x14ac:dyDescent="0.2">
      <c r="A75" s="1009"/>
      <c r="B75" s="1756"/>
      <c r="C75" s="1792" t="s">
        <v>1183</v>
      </c>
      <c r="D75" s="2792" t="e">
        <f>ROUND(AVERAGE(S41:S52),2)</f>
        <v>#DIV/0!</v>
      </c>
      <c r="E75" s="2792"/>
      <c r="F75" s="2792"/>
      <c r="G75" s="2792"/>
      <c r="H75" s="3157" t="s">
        <v>1187</v>
      </c>
      <c r="I75" s="3157"/>
      <c r="J75" s="3157"/>
      <c r="K75" s="3157"/>
      <c r="L75" s="3157"/>
      <c r="M75" s="3157"/>
      <c r="N75" s="3157"/>
      <c r="O75" s="3157"/>
      <c r="P75" s="3157"/>
      <c r="Q75" s="3157"/>
      <c r="R75" s="3157"/>
      <c r="S75" s="3157"/>
      <c r="T75" s="1011"/>
    </row>
    <row r="76" spans="1:20" ht="15" x14ac:dyDescent="0.2">
      <c r="A76" s="1009"/>
      <c r="B76" s="1756"/>
      <c r="C76" s="1792" t="s">
        <v>1184</v>
      </c>
      <c r="D76" s="2792">
        <v>0</v>
      </c>
      <c r="E76" s="2792"/>
      <c r="F76" s="2792"/>
      <c r="G76" s="2792"/>
      <c r="H76" s="3157" t="s">
        <v>1188</v>
      </c>
      <c r="I76" s="3157"/>
      <c r="J76" s="3157"/>
      <c r="K76" s="3157"/>
      <c r="L76" s="3157"/>
      <c r="M76" s="3157"/>
      <c r="N76" s="3157"/>
      <c r="O76" s="3157"/>
      <c r="P76" s="3157"/>
      <c r="Q76" s="3157"/>
      <c r="R76" s="3157"/>
      <c r="S76" s="3157"/>
      <c r="T76" s="1011"/>
    </row>
    <row r="77" spans="1:20" ht="15" x14ac:dyDescent="0.2">
      <c r="A77" s="1009"/>
      <c r="B77" s="1756"/>
      <c r="C77" s="1792" t="s">
        <v>1185</v>
      </c>
      <c r="D77" s="3164">
        <v>1</v>
      </c>
      <c r="E77" s="3164"/>
      <c r="F77" s="3164"/>
      <c r="G77" s="3164"/>
      <c r="H77" s="3157" t="s">
        <v>1189</v>
      </c>
      <c r="I77" s="3157"/>
      <c r="J77" s="3157"/>
      <c r="K77" s="3157"/>
      <c r="L77" s="3157"/>
      <c r="M77" s="3157"/>
      <c r="N77" s="3157"/>
      <c r="O77" s="3157"/>
      <c r="P77" s="3157"/>
      <c r="Q77" s="3157"/>
      <c r="R77" s="3157"/>
      <c r="S77" s="3157"/>
      <c r="T77" s="1011"/>
    </row>
    <row r="78" spans="1:20" ht="15" x14ac:dyDescent="0.2">
      <c r="A78" s="1009"/>
      <c r="B78" s="1756"/>
      <c r="C78" s="1808"/>
      <c r="D78" s="1809"/>
      <c r="E78" s="1809"/>
      <c r="F78" s="1809"/>
      <c r="G78" s="1809"/>
      <c r="H78" s="1810"/>
      <c r="I78" s="1810"/>
      <c r="J78" s="1810"/>
      <c r="K78" s="1810"/>
      <c r="L78" s="1810"/>
      <c r="M78" s="1810"/>
      <c r="N78" s="1810"/>
      <c r="O78" s="1810"/>
      <c r="P78" s="1810"/>
      <c r="Q78" s="1810"/>
      <c r="R78" s="1810"/>
      <c r="S78" s="1810"/>
      <c r="T78" s="1011"/>
    </row>
    <row r="79" spans="1:20" ht="15" x14ac:dyDescent="0.2">
      <c r="A79" s="1009"/>
      <c r="B79" s="1756"/>
      <c r="C79" s="1812"/>
      <c r="D79" s="1809"/>
      <c r="E79" s="1809"/>
      <c r="F79" s="1809"/>
      <c r="G79" s="1809"/>
      <c r="H79" s="1810"/>
      <c r="I79" s="1810"/>
      <c r="J79" s="1810"/>
      <c r="K79" s="1810"/>
      <c r="L79" s="1810"/>
      <c r="M79" s="1810"/>
      <c r="N79" s="1810"/>
      <c r="O79" s="1810"/>
      <c r="P79" s="1810"/>
      <c r="Q79" s="1810"/>
      <c r="R79" s="1810"/>
      <c r="S79" s="1810"/>
      <c r="T79" s="1011"/>
    </row>
    <row r="80" spans="1:20" ht="15" x14ac:dyDescent="0.2">
      <c r="A80" s="1009"/>
      <c r="B80" s="1756"/>
      <c r="C80" s="1812"/>
      <c r="D80" s="1809"/>
      <c r="E80" s="1809"/>
      <c r="F80" s="1809"/>
      <c r="G80" s="1809"/>
      <c r="H80" s="1810"/>
      <c r="I80" s="1810"/>
      <c r="J80" s="1810"/>
      <c r="K80" s="1810"/>
      <c r="L80" s="1810"/>
      <c r="M80" s="1810"/>
      <c r="N80" s="1810"/>
      <c r="O80" s="1810"/>
      <c r="P80" s="1810"/>
      <c r="Q80" s="1810"/>
      <c r="R80" s="1810"/>
      <c r="S80" s="1810"/>
      <c r="T80" s="1011"/>
    </row>
    <row r="81" spans="1:20" ht="15" x14ac:dyDescent="0.2">
      <c r="A81" s="1009"/>
      <c r="B81" s="1756"/>
      <c r="C81" s="1812"/>
      <c r="D81" s="1809"/>
      <c r="E81" s="1809"/>
      <c r="F81" s="1809"/>
      <c r="G81" s="1809"/>
      <c r="H81" s="1810"/>
      <c r="I81" s="1810"/>
      <c r="J81" s="1810"/>
      <c r="K81" s="1810"/>
      <c r="L81" s="1810"/>
      <c r="M81" s="1810"/>
      <c r="N81" s="1810"/>
      <c r="O81" s="1810"/>
      <c r="P81" s="1810"/>
      <c r="Q81" s="1810"/>
      <c r="R81" s="1810"/>
      <c r="S81" s="1810"/>
      <c r="T81" s="1011"/>
    </row>
    <row r="82" spans="1:20" ht="15" x14ac:dyDescent="0.2">
      <c r="A82" s="1009"/>
      <c r="B82" s="1756"/>
      <c r="C82" s="1812"/>
      <c r="D82" s="1809"/>
      <c r="E82" s="1809"/>
      <c r="F82" s="1809"/>
      <c r="G82" s="1809"/>
      <c r="H82" s="1810"/>
      <c r="I82" s="1810"/>
      <c r="J82" s="1810"/>
      <c r="K82" s="1810"/>
      <c r="L82" s="1810"/>
      <c r="M82" s="1810"/>
      <c r="N82" s="1810"/>
      <c r="O82" s="1810"/>
      <c r="P82" s="1810"/>
      <c r="Q82" s="1810"/>
      <c r="R82" s="1810"/>
      <c r="S82" s="1810"/>
      <c r="T82" s="1011"/>
    </row>
    <row r="83" spans="1:20" ht="15" x14ac:dyDescent="0.2">
      <c r="A83" s="1009"/>
      <c r="B83" s="1756"/>
      <c r="C83" s="1812"/>
      <c r="D83" s="1809"/>
      <c r="E83" s="1809"/>
      <c r="F83" s="1809"/>
      <c r="G83" s="1809"/>
      <c r="H83" s="1810"/>
      <c r="I83" s="1810"/>
      <c r="J83" s="1810"/>
      <c r="K83" s="1810"/>
      <c r="L83" s="1810"/>
      <c r="M83" s="1810"/>
      <c r="N83" s="1810"/>
      <c r="O83" s="1810"/>
      <c r="P83" s="1810"/>
      <c r="Q83" s="1810"/>
      <c r="R83" s="1810"/>
      <c r="S83" s="1810"/>
      <c r="T83" s="1011"/>
    </row>
    <row r="84" spans="1:20" ht="15" x14ac:dyDescent="0.2">
      <c r="A84" s="1009"/>
      <c r="B84" s="1756"/>
      <c r="C84" s="1812"/>
      <c r="D84" s="1809"/>
      <c r="E84" s="1809"/>
      <c r="F84" s="1809"/>
      <c r="G84" s="1809"/>
      <c r="H84" s="1810"/>
      <c r="I84" s="1810"/>
      <c r="J84" s="1810"/>
      <c r="K84" s="1810"/>
      <c r="L84" s="1810"/>
      <c r="M84" s="1810"/>
      <c r="N84" s="1810"/>
      <c r="O84" s="1810"/>
      <c r="P84" s="1810"/>
      <c r="Q84" s="1810"/>
      <c r="R84" s="1810"/>
      <c r="S84" s="1810"/>
      <c r="T84" s="1011"/>
    </row>
    <row r="85" spans="1:20" ht="15" x14ac:dyDescent="0.2">
      <c r="A85" s="1009"/>
      <c r="B85" s="1756"/>
      <c r="C85" s="1812"/>
      <c r="D85" s="1809"/>
      <c r="E85" s="1809"/>
      <c r="F85" s="1809"/>
      <c r="G85" s="1809"/>
      <c r="H85" s="1810"/>
      <c r="I85" s="1810"/>
      <c r="J85" s="1810"/>
      <c r="K85" s="1810"/>
      <c r="L85" s="1810"/>
      <c r="M85" s="1810"/>
      <c r="N85" s="1810"/>
      <c r="O85" s="1810"/>
      <c r="P85" s="1810"/>
      <c r="Q85" s="1810"/>
      <c r="R85" s="1810"/>
      <c r="S85" s="1810"/>
      <c r="T85" s="1011"/>
    </row>
    <row r="86" spans="1:20" ht="15" x14ac:dyDescent="0.2">
      <c r="A86" s="1009"/>
      <c r="B86" s="1756"/>
      <c r="C86" s="1812"/>
      <c r="D86" s="1809"/>
      <c r="E86" s="1809"/>
      <c r="F86" s="1809"/>
      <c r="G86" s="1809"/>
      <c r="H86" s="1810"/>
      <c r="I86" s="1810"/>
      <c r="J86" s="1810"/>
      <c r="K86" s="1810"/>
      <c r="L86" s="1810"/>
      <c r="M86" s="1810"/>
      <c r="N86" s="1810"/>
      <c r="O86" s="1810"/>
      <c r="P86" s="1810"/>
      <c r="Q86" s="1810"/>
      <c r="R86" s="1810"/>
      <c r="S86" s="1810"/>
      <c r="T86" s="1011"/>
    </row>
    <row r="87" spans="1:20" ht="15" x14ac:dyDescent="0.2">
      <c r="A87" s="1009"/>
      <c r="B87" s="1756"/>
      <c r="C87" s="1812"/>
      <c r="D87" s="1809"/>
      <c r="E87" s="1809"/>
      <c r="F87" s="1809"/>
      <c r="G87" s="1809"/>
      <c r="H87" s="1810"/>
      <c r="I87" s="1810"/>
      <c r="J87" s="1810"/>
      <c r="K87" s="1810"/>
      <c r="L87" s="1810"/>
      <c r="M87" s="1810"/>
      <c r="N87" s="1810"/>
      <c r="O87" s="1810"/>
      <c r="P87" s="1810"/>
      <c r="Q87" s="1810"/>
      <c r="R87" s="1810"/>
      <c r="S87" s="1810"/>
      <c r="T87" s="1011"/>
    </row>
    <row r="88" spans="1:20" ht="15" x14ac:dyDescent="0.2">
      <c r="A88" s="1009"/>
      <c r="B88" s="1756"/>
      <c r="C88" s="1812"/>
      <c r="D88" s="1809"/>
      <c r="E88" s="1809"/>
      <c r="F88" s="1809"/>
      <c r="G88" s="1809"/>
      <c r="H88" s="1810"/>
      <c r="I88" s="1810"/>
      <c r="J88" s="1810"/>
      <c r="K88" s="1810"/>
      <c r="L88" s="1810"/>
      <c r="M88" s="1810"/>
      <c r="N88" s="1810"/>
      <c r="O88" s="1810"/>
      <c r="P88" s="1810"/>
      <c r="Q88" s="1810"/>
      <c r="R88" s="1810"/>
      <c r="S88" s="1810"/>
      <c r="T88" s="1011"/>
    </row>
    <row r="89" spans="1:20" ht="15" x14ac:dyDescent="0.2">
      <c r="A89" s="1009"/>
      <c r="B89" s="1756"/>
      <c r="C89" s="1812"/>
      <c r="D89" s="1809"/>
      <c r="E89" s="1809"/>
      <c r="F89" s="1809"/>
      <c r="G89" s="1809"/>
      <c r="H89" s="1810"/>
      <c r="I89" s="1810"/>
      <c r="J89" s="1810"/>
      <c r="K89" s="1810"/>
      <c r="L89" s="1810"/>
      <c r="M89" s="1810"/>
      <c r="N89" s="1810"/>
      <c r="O89" s="1810"/>
      <c r="P89" s="1810"/>
      <c r="Q89" s="1810"/>
      <c r="R89" s="1810"/>
      <c r="S89" s="1810"/>
      <c r="T89" s="1011"/>
    </row>
    <row r="90" spans="1:20" ht="15" x14ac:dyDescent="0.2">
      <c r="A90" s="1009"/>
      <c r="B90" s="1756"/>
      <c r="C90" s="1812"/>
      <c r="D90" s="1809"/>
      <c r="E90" s="1809"/>
      <c r="F90" s="1809"/>
      <c r="G90" s="1809"/>
      <c r="H90" s="1810"/>
      <c r="I90" s="1810"/>
      <c r="J90" s="1810"/>
      <c r="K90" s="1810"/>
      <c r="L90" s="1810"/>
      <c r="M90" s="1810"/>
      <c r="N90" s="1810"/>
      <c r="O90" s="1810"/>
      <c r="P90" s="1810"/>
      <c r="Q90" s="1810"/>
      <c r="R90" s="1810"/>
      <c r="S90" s="1810"/>
      <c r="T90" s="1011"/>
    </row>
    <row r="91" spans="1:20" ht="15" x14ac:dyDescent="0.2">
      <c r="A91" s="1009"/>
      <c r="B91" s="1756"/>
      <c r="C91" s="1812"/>
      <c r="D91" s="1809"/>
      <c r="E91" s="1809"/>
      <c r="F91" s="1809"/>
      <c r="G91" s="1809"/>
      <c r="H91" s="1810"/>
      <c r="I91" s="1810"/>
      <c r="J91" s="1810"/>
      <c r="K91" s="1810"/>
      <c r="L91" s="1810"/>
      <c r="M91" s="1810"/>
      <c r="N91" s="1810"/>
      <c r="O91" s="1810"/>
      <c r="P91" s="1810"/>
      <c r="Q91" s="1810"/>
      <c r="R91" s="1810"/>
      <c r="S91" s="1810"/>
      <c r="T91" s="1011"/>
    </row>
    <row r="92" spans="1:20" ht="15" x14ac:dyDescent="0.2">
      <c r="A92" s="1009"/>
      <c r="B92" s="1756"/>
      <c r="C92" s="1812"/>
      <c r="D92" s="1809"/>
      <c r="E92" s="1809"/>
      <c r="F92" s="1809"/>
      <c r="G92" s="1809"/>
      <c r="H92" s="1810"/>
      <c r="I92" s="1810"/>
      <c r="J92" s="1810"/>
      <c r="K92" s="1810"/>
      <c r="L92" s="1810"/>
      <c r="M92" s="1810"/>
      <c r="N92" s="1810"/>
      <c r="O92" s="1810"/>
      <c r="P92" s="1810"/>
      <c r="Q92" s="1810"/>
      <c r="R92" s="1810"/>
      <c r="S92" s="1810"/>
      <c r="T92" s="1011"/>
    </row>
    <row r="93" spans="1:20" ht="15" x14ac:dyDescent="0.2">
      <c r="A93" s="1009"/>
      <c r="B93" s="1756"/>
      <c r="C93" s="1812"/>
      <c r="D93" s="1809"/>
      <c r="E93" s="1809"/>
      <c r="F93" s="1809"/>
      <c r="G93" s="1809"/>
      <c r="H93" s="1810"/>
      <c r="I93" s="1810"/>
      <c r="J93" s="1810"/>
      <c r="K93" s="1810"/>
      <c r="L93" s="1810"/>
      <c r="M93" s="1810"/>
      <c r="N93" s="1810"/>
      <c r="O93" s="1810"/>
      <c r="P93" s="1810"/>
      <c r="Q93" s="1810"/>
      <c r="R93" s="1810"/>
      <c r="S93" s="1810"/>
      <c r="T93" s="1011"/>
    </row>
    <row r="94" spans="1:20" ht="15" x14ac:dyDescent="0.2">
      <c r="A94" s="1009"/>
      <c r="B94" s="1756"/>
      <c r="C94" s="1812"/>
      <c r="D94" s="1809"/>
      <c r="E94" s="1809"/>
      <c r="F94" s="1809"/>
      <c r="G94" s="1809"/>
      <c r="H94" s="1810"/>
      <c r="I94" s="1810"/>
      <c r="J94" s="1810"/>
      <c r="K94" s="1810"/>
      <c r="L94" s="1810"/>
      <c r="M94" s="1810"/>
      <c r="N94" s="1810"/>
      <c r="O94" s="1810"/>
      <c r="P94" s="1810"/>
      <c r="Q94" s="1810"/>
      <c r="R94" s="1810"/>
      <c r="S94" s="1810"/>
      <c r="T94" s="1011"/>
    </row>
    <row r="95" spans="1:20" ht="15" x14ac:dyDescent="0.2">
      <c r="A95" s="1009"/>
      <c r="B95" s="1756"/>
      <c r="C95" s="1812"/>
      <c r="D95" s="1809"/>
      <c r="E95" s="1809"/>
      <c r="F95" s="1809"/>
      <c r="G95" s="1809"/>
      <c r="H95" s="1810"/>
      <c r="I95" s="1810"/>
      <c r="J95" s="1810"/>
      <c r="K95" s="1810"/>
      <c r="L95" s="1810"/>
      <c r="M95" s="1810"/>
      <c r="N95" s="1810"/>
      <c r="O95" s="1810"/>
      <c r="P95" s="1810"/>
      <c r="Q95" s="1810"/>
      <c r="R95" s="1810"/>
      <c r="S95" s="1810"/>
      <c r="T95" s="1011"/>
    </row>
    <row r="96" spans="1:20" ht="15" x14ac:dyDescent="0.2">
      <c r="A96" s="1009"/>
      <c r="B96" s="1756"/>
      <c r="C96" s="1808"/>
      <c r="D96" s="1809"/>
      <c r="E96" s="1809"/>
      <c r="F96" s="1809"/>
      <c r="G96" s="1809"/>
      <c r="H96" s="1813"/>
      <c r="I96" s="1813"/>
      <c r="J96" s="1813"/>
      <c r="K96" s="1813"/>
      <c r="L96" s="1813"/>
      <c r="M96" s="1813"/>
      <c r="N96" s="1810"/>
      <c r="O96" s="1810"/>
      <c r="P96" s="1810"/>
      <c r="Q96" s="1810"/>
      <c r="R96" s="1810"/>
      <c r="S96" s="1810"/>
      <c r="T96" s="1011"/>
    </row>
    <row r="97" spans="1:21" ht="15" x14ac:dyDescent="0.2">
      <c r="A97" s="1009"/>
      <c r="B97" s="1756"/>
      <c r="C97" s="1808"/>
      <c r="D97" s="1809"/>
      <c r="E97" s="1809"/>
      <c r="F97" s="1809"/>
      <c r="G97" s="1809"/>
      <c r="H97" s="1813"/>
      <c r="I97" s="1813"/>
      <c r="J97" s="1813"/>
      <c r="K97" s="1813"/>
      <c r="L97" s="1813"/>
      <c r="M97" s="1813"/>
      <c r="N97" s="1810"/>
      <c r="O97" s="1810"/>
      <c r="P97" s="1810"/>
      <c r="Q97" s="1810"/>
      <c r="R97" s="1810"/>
      <c r="S97" s="1810"/>
      <c r="T97" s="1011"/>
    </row>
    <row r="98" spans="1:21" ht="15" x14ac:dyDescent="0.2">
      <c r="A98" s="1009"/>
      <c r="B98" s="1756"/>
      <c r="C98" s="1808"/>
      <c r="D98" s="1809"/>
      <c r="E98" s="1809"/>
      <c r="F98" s="1809"/>
      <c r="G98" s="1809"/>
      <c r="H98" s="1813"/>
      <c r="I98" s="1813"/>
      <c r="J98" s="1813"/>
      <c r="K98" s="1813"/>
      <c r="L98" s="1813"/>
      <c r="M98" s="1813"/>
      <c r="N98" s="1810"/>
      <c r="O98" s="1810"/>
      <c r="P98" s="1810"/>
      <c r="Q98" s="1810"/>
      <c r="R98" s="1810"/>
      <c r="S98" s="1810"/>
      <c r="T98" s="1011"/>
    </row>
    <row r="99" spans="1:21" ht="15" x14ac:dyDescent="0.2">
      <c r="A99" s="1009"/>
      <c r="B99" s="1756"/>
      <c r="C99" s="1808"/>
      <c r="D99" s="1809"/>
      <c r="E99" s="1809"/>
      <c r="F99" s="1809"/>
      <c r="G99" s="1809"/>
      <c r="H99" s="1813"/>
      <c r="I99" s="1813"/>
      <c r="J99" s="1813"/>
      <c r="K99" s="1813"/>
      <c r="L99" s="1813"/>
      <c r="M99" s="1813"/>
      <c r="N99" s="1810"/>
      <c r="O99" s="1810"/>
      <c r="P99" s="1810"/>
      <c r="Q99" s="1810"/>
      <c r="R99" s="1810"/>
      <c r="S99" s="1810"/>
      <c r="T99" s="1011"/>
    </row>
    <row r="100" spans="1:21" ht="15" x14ac:dyDescent="0.2">
      <c r="A100" s="1009"/>
      <c r="B100" s="1756"/>
      <c r="C100" s="1808"/>
      <c r="D100" s="1809"/>
      <c r="E100" s="1809"/>
      <c r="F100" s="1809"/>
      <c r="G100" s="1809"/>
      <c r="H100" s="1813"/>
      <c r="I100" s="1813"/>
      <c r="J100" s="1813"/>
      <c r="K100" s="1813"/>
      <c r="L100" s="1813"/>
      <c r="M100" s="1813"/>
      <c r="N100" s="1810"/>
      <c r="O100" s="1810"/>
      <c r="P100" s="1810"/>
      <c r="Q100" s="1810"/>
      <c r="R100" s="1810"/>
      <c r="S100" s="1810"/>
      <c r="T100" s="1011"/>
    </row>
    <row r="101" spans="1:21" ht="15" x14ac:dyDescent="0.2">
      <c r="A101" s="1009"/>
      <c r="B101" s="1756"/>
      <c r="C101" s="1808"/>
      <c r="D101" s="1809"/>
      <c r="E101" s="1809"/>
      <c r="F101" s="1809"/>
      <c r="G101" s="1809"/>
      <c r="H101" s="1813"/>
      <c r="I101" s="1813"/>
      <c r="J101" s="1813"/>
      <c r="K101" s="1813"/>
      <c r="L101" s="1813"/>
      <c r="M101" s="1813"/>
      <c r="N101" s="1810"/>
      <c r="O101" s="1810"/>
      <c r="P101" s="1810"/>
      <c r="Q101" s="1810"/>
      <c r="R101" s="1810"/>
      <c r="S101" s="1810"/>
      <c r="T101" s="1011"/>
    </row>
    <row r="102" spans="1:21" ht="15" x14ac:dyDescent="0.2">
      <c r="A102" s="1009"/>
      <c r="B102" s="1756"/>
      <c r="C102" s="1808"/>
      <c r="D102" s="1809"/>
      <c r="E102" s="1809"/>
      <c r="F102" s="1809"/>
      <c r="G102" s="1809"/>
      <c r="H102" s="1813"/>
      <c r="I102" s="1813"/>
      <c r="J102" s="1813"/>
      <c r="K102" s="1813"/>
      <c r="L102" s="1813"/>
      <c r="M102" s="1813"/>
      <c r="N102" s="1810"/>
      <c r="O102" s="1810"/>
      <c r="P102" s="1810"/>
      <c r="Q102" s="1810"/>
      <c r="R102" s="1810"/>
      <c r="S102" s="1810"/>
      <c r="T102" s="1011"/>
    </row>
    <row r="103" spans="1:21" x14ac:dyDescent="0.2">
      <c r="A103" s="1009"/>
      <c r="B103" s="1756"/>
      <c r="C103" s="1804"/>
      <c r="D103" s="1791"/>
      <c r="E103" s="1789"/>
      <c r="F103" s="1789"/>
      <c r="G103" s="1789"/>
      <c r="H103" s="1789"/>
      <c r="I103" s="1789"/>
      <c r="J103" s="1789"/>
      <c r="K103" s="1789"/>
      <c r="L103" s="1789"/>
      <c r="M103" s="1758"/>
      <c r="N103" s="1758"/>
      <c r="O103" s="1790"/>
      <c r="P103" s="1790"/>
      <c r="Q103" s="1790"/>
      <c r="R103" s="1799"/>
      <c r="S103" s="1799"/>
      <c r="T103" s="1011"/>
    </row>
    <row r="104" spans="1:21" x14ac:dyDescent="0.2">
      <c r="A104" s="1009"/>
      <c r="B104" s="1756"/>
      <c r="C104" s="1804"/>
      <c r="D104" s="1791"/>
      <c r="E104" s="1789"/>
      <c r="F104" s="1789"/>
      <c r="G104" s="1789"/>
      <c r="H104" s="1789"/>
      <c r="I104" s="1789"/>
      <c r="J104" s="1789"/>
      <c r="K104" s="1789"/>
      <c r="L104" s="1789"/>
      <c r="M104" s="1758"/>
      <c r="N104" s="1758"/>
      <c r="O104" s="1790"/>
      <c r="P104" s="1790"/>
      <c r="Q104" s="1790"/>
      <c r="R104" s="1799"/>
      <c r="S104" s="1799"/>
      <c r="T104" s="1011"/>
    </row>
    <row r="105" spans="1:21" ht="15" customHeight="1" x14ac:dyDescent="0.2">
      <c r="A105" s="1009"/>
      <c r="B105" s="1805"/>
      <c r="C105" s="1877" t="s">
        <v>1245</v>
      </c>
      <c r="D105" s="1756"/>
      <c r="E105" s="1756"/>
      <c r="F105" s="1756"/>
      <c r="G105" s="1806"/>
      <c r="H105" s="1806"/>
      <c r="I105" s="1806"/>
      <c r="J105" s="1806"/>
      <c r="K105" s="1806"/>
      <c r="L105" s="3162"/>
      <c r="M105" s="3162"/>
      <c r="N105" s="3162"/>
      <c r="O105" s="3162"/>
      <c r="P105" s="3162"/>
      <c r="Q105" s="3162"/>
      <c r="R105" s="1806"/>
      <c r="S105" s="1807"/>
      <c r="T105" s="1011"/>
    </row>
    <row r="106" spans="1:21" ht="3" customHeight="1" thickBot="1" x14ac:dyDescent="0.25">
      <c r="A106" s="1036"/>
      <c r="B106" s="1037"/>
      <c r="C106" s="1037"/>
      <c r="D106" s="1037"/>
      <c r="E106" s="1037"/>
      <c r="F106" s="1037"/>
      <c r="G106" s="1037"/>
      <c r="H106" s="1037"/>
      <c r="I106" s="1037"/>
      <c r="J106" s="1037"/>
      <c r="K106" s="1037"/>
      <c r="L106" s="1037"/>
      <c r="M106" s="1037"/>
      <c r="N106" s="1037"/>
      <c r="O106" s="1037"/>
      <c r="P106" s="1037"/>
      <c r="Q106" s="1037"/>
      <c r="R106" s="1037"/>
      <c r="S106" s="1037"/>
      <c r="T106" s="1038"/>
    </row>
    <row r="107" spans="1:21" ht="15.75" thickTop="1" x14ac:dyDescent="0.25">
      <c r="A107" s="2863" t="s">
        <v>260</v>
      </c>
      <c r="B107" s="3163"/>
      <c r="C107" s="3163"/>
      <c r="D107" s="3163"/>
      <c r="E107" s="3163"/>
      <c r="F107" s="3163"/>
      <c r="G107" s="3163"/>
      <c r="H107" s="3163"/>
      <c r="I107" s="3163"/>
      <c r="J107" s="3163"/>
      <c r="K107" s="3163"/>
      <c r="L107" s="3163"/>
      <c r="M107" s="3163"/>
      <c r="N107" s="3163"/>
      <c r="O107" s="3163"/>
      <c r="P107" s="3163"/>
      <c r="Q107" s="3163"/>
      <c r="R107" s="3163"/>
      <c r="S107" s="3163"/>
      <c r="T107" s="2865"/>
    </row>
    <row r="108" spans="1:21" ht="11.25" customHeight="1" thickBot="1" x14ac:dyDescent="0.25">
      <c r="A108" s="2859" t="s">
        <v>810</v>
      </c>
      <c r="B108" s="2860"/>
      <c r="C108" s="2860"/>
      <c r="D108" s="2860"/>
      <c r="E108" s="2860"/>
      <c r="F108" s="2860"/>
      <c r="G108" s="2860"/>
      <c r="H108" s="2860"/>
      <c r="I108" s="2860"/>
      <c r="J108" s="2860"/>
      <c r="K108" s="2860"/>
      <c r="L108" s="2860"/>
      <c r="M108" s="2860"/>
      <c r="N108" s="2860"/>
      <c r="O108" s="2860"/>
      <c r="P108" s="2860"/>
      <c r="Q108" s="2860"/>
      <c r="R108" s="2860"/>
      <c r="S108" s="2860"/>
      <c r="T108" s="2861"/>
      <c r="U108" s="1039"/>
    </row>
    <row r="109" spans="1:21" x14ac:dyDescent="0.2">
      <c r="A109" s="1356" t="s">
        <v>917</v>
      </c>
      <c r="B109" s="163"/>
      <c r="S109" s="1357" t="str">
        <f>S57</f>
        <v>INFORME FINAL DE INTERCOMPARACIÓN DE DOSIMETRÍA PERSONAL NIVEL ACCIDENTES N° LSCD 017-2019</v>
      </c>
    </row>
    <row r="114" spans="5:13" ht="15" x14ac:dyDescent="0.2">
      <c r="E114" s="3160" t="s">
        <v>1201</v>
      </c>
      <c r="F114" s="3160"/>
      <c r="G114" s="1809">
        <v>1.5</v>
      </c>
      <c r="H114" s="1814"/>
      <c r="I114" s="1810"/>
      <c r="J114" s="1810"/>
      <c r="K114" s="1810"/>
      <c r="L114" s="1810"/>
      <c r="M114" s="1810"/>
    </row>
    <row r="115" spans="5:13" ht="18" x14ac:dyDescent="0.2">
      <c r="E115" s="3160" t="s">
        <v>1207</v>
      </c>
      <c r="F115" s="3160"/>
      <c r="G115" s="1809">
        <v>0.1</v>
      </c>
      <c r="H115" s="1814"/>
      <c r="I115" s="1810"/>
      <c r="J115" s="1810"/>
      <c r="K115" s="1810"/>
      <c r="L115" s="1810"/>
      <c r="M115" s="1810"/>
    </row>
    <row r="116" spans="5:13" ht="18" x14ac:dyDescent="0.2">
      <c r="E116" s="3160" t="s">
        <v>1208</v>
      </c>
      <c r="F116" s="3160"/>
      <c r="G116" s="1809"/>
      <c r="H116" s="1814" t="s">
        <v>1209</v>
      </c>
      <c r="I116" s="1810"/>
      <c r="J116" s="1810"/>
      <c r="K116" s="1810"/>
      <c r="L116" s="1810"/>
      <c r="M116" s="1810"/>
    </row>
    <row r="117" spans="5:13" ht="15" x14ac:dyDescent="0.2">
      <c r="E117" s="3160" t="s">
        <v>1212</v>
      </c>
      <c r="F117" s="3160"/>
      <c r="G117" s="1809"/>
      <c r="H117" s="1814" t="s">
        <v>1211</v>
      </c>
      <c r="I117" s="1810"/>
      <c r="J117" s="1810"/>
      <c r="K117" s="1810"/>
      <c r="L117" s="1810"/>
      <c r="M117" s="1810"/>
    </row>
    <row r="118" spans="5:13" ht="15" x14ac:dyDescent="0.2">
      <c r="E118" s="3160" t="s">
        <v>1183</v>
      </c>
      <c r="F118" s="3160"/>
      <c r="G118" s="1809"/>
      <c r="H118" s="1814" t="s">
        <v>1210</v>
      </c>
      <c r="I118" s="1810"/>
      <c r="J118" s="1810"/>
      <c r="K118" s="1810"/>
      <c r="L118" s="1810"/>
      <c r="M118" s="1810"/>
    </row>
    <row r="119" spans="5:13" ht="15" x14ac:dyDescent="0.2">
      <c r="E119" s="1808"/>
      <c r="F119" s="1808"/>
      <c r="G119" s="1809"/>
      <c r="H119" s="1814"/>
      <c r="I119" s="1810"/>
      <c r="J119" s="1810"/>
      <c r="K119" s="1810"/>
      <c r="L119" s="1810"/>
      <c r="M119" s="1810"/>
    </row>
    <row r="120" spans="5:13" ht="15" x14ac:dyDescent="0.2">
      <c r="E120" s="3142" t="s">
        <v>1202</v>
      </c>
      <c r="F120" s="3142"/>
      <c r="G120" s="1811">
        <f>G114</f>
        <v>1.5</v>
      </c>
      <c r="H120" s="1810"/>
      <c r="I120" s="1810"/>
      <c r="J120" s="1810"/>
      <c r="K120" s="1810"/>
      <c r="L120" s="1810"/>
      <c r="M120" s="1810"/>
    </row>
    <row r="121" spans="5:13" ht="30" x14ac:dyDescent="0.2">
      <c r="E121" s="3161" t="s">
        <v>1203</v>
      </c>
      <c r="F121" s="3142"/>
      <c r="G121" s="1798" t="s">
        <v>1204</v>
      </c>
      <c r="H121" s="3161" t="s">
        <v>1205</v>
      </c>
      <c r="I121" s="3142"/>
      <c r="J121" s="3142"/>
      <c r="K121" s="3161" t="s">
        <v>1206</v>
      </c>
      <c r="L121" s="3142"/>
      <c r="M121" s="3142"/>
    </row>
    <row r="122" spans="5:13" ht="15" x14ac:dyDescent="0.2">
      <c r="E122" s="3142">
        <f t="shared" ref="E122:E128" si="1">$G$115</f>
        <v>0.1</v>
      </c>
      <c r="F122" s="3142"/>
      <c r="G122" s="1809">
        <v>0.1</v>
      </c>
      <c r="H122" s="3141">
        <f t="shared" ref="H122:H126" si="2">1/$G$114*(1-2*E122/(E122+G122))</f>
        <v>0</v>
      </c>
      <c r="I122" s="3141"/>
      <c r="J122" s="3141"/>
      <c r="K122" s="3141">
        <f t="shared" ref="K122:K126" si="3">$G$114*(1+E122/(2*E122+G122))</f>
        <v>2</v>
      </c>
      <c r="L122" s="3141"/>
      <c r="M122" s="3141"/>
    </row>
    <row r="123" spans="5:13" ht="15" x14ac:dyDescent="0.2">
      <c r="E123" s="3142">
        <f t="shared" si="1"/>
        <v>0.1</v>
      </c>
      <c r="F123" s="3142"/>
      <c r="G123" s="1809">
        <v>1</v>
      </c>
      <c r="H123" s="3141">
        <f t="shared" si="2"/>
        <v>0.54545454545454541</v>
      </c>
      <c r="I123" s="3141"/>
      <c r="J123" s="3141"/>
      <c r="K123" s="3141">
        <f t="shared" si="3"/>
        <v>1.625</v>
      </c>
      <c r="L123" s="3141"/>
      <c r="M123" s="3141"/>
    </row>
    <row r="124" spans="5:13" ht="15" x14ac:dyDescent="0.2">
      <c r="E124" s="3142">
        <f t="shared" si="1"/>
        <v>0.1</v>
      </c>
      <c r="F124" s="3142"/>
      <c r="G124" s="1809">
        <v>1.8</v>
      </c>
      <c r="H124" s="3141">
        <f t="shared" si="2"/>
        <v>0.59649122807017541</v>
      </c>
      <c r="I124" s="3141"/>
      <c r="J124" s="3141"/>
      <c r="K124" s="3141">
        <f t="shared" si="3"/>
        <v>1.5750000000000002</v>
      </c>
      <c r="L124" s="3141"/>
      <c r="M124" s="3141"/>
    </row>
    <row r="125" spans="5:13" ht="15" x14ac:dyDescent="0.2">
      <c r="E125" s="3142">
        <f t="shared" si="1"/>
        <v>0.1</v>
      </c>
      <c r="F125" s="3142"/>
      <c r="G125" s="1809">
        <v>10</v>
      </c>
      <c r="H125" s="3141">
        <f t="shared" si="2"/>
        <v>0.65346534653465338</v>
      </c>
      <c r="I125" s="3141"/>
      <c r="J125" s="3141"/>
      <c r="K125" s="3141">
        <f t="shared" si="3"/>
        <v>1.5147058823529411</v>
      </c>
      <c r="L125" s="3141"/>
      <c r="M125" s="3141"/>
    </row>
    <row r="126" spans="5:13" ht="15" x14ac:dyDescent="0.2">
      <c r="E126" s="3142">
        <f t="shared" si="1"/>
        <v>0.1</v>
      </c>
      <c r="F126" s="3142"/>
      <c r="G126" s="1809">
        <v>100</v>
      </c>
      <c r="H126" s="3141">
        <f t="shared" si="2"/>
        <v>0.66533466533466523</v>
      </c>
      <c r="I126" s="3141"/>
      <c r="J126" s="3141"/>
      <c r="K126" s="3141">
        <f t="shared" si="3"/>
        <v>1.5014970059880239</v>
      </c>
      <c r="L126" s="3141"/>
      <c r="M126" s="3141"/>
    </row>
    <row r="127" spans="5:13" ht="15" x14ac:dyDescent="0.2">
      <c r="E127" s="3142">
        <f t="shared" si="1"/>
        <v>0.1</v>
      </c>
      <c r="F127" s="3142"/>
      <c r="G127" s="1809">
        <v>1000</v>
      </c>
      <c r="H127" s="3141">
        <f>1/$G$114*(1-2*E127/(E127+G127))</f>
        <v>0.66653334666533337</v>
      </c>
      <c r="I127" s="3141"/>
      <c r="J127" s="3141"/>
      <c r="K127" s="3141">
        <f>$G$114*(1+E127/(2*E127+G127))</f>
        <v>1.5001499700059986</v>
      </c>
      <c r="L127" s="3141"/>
      <c r="M127" s="3141"/>
    </row>
    <row r="128" spans="5:13" ht="15" x14ac:dyDescent="0.2">
      <c r="E128" s="3142">
        <f t="shared" si="1"/>
        <v>0.1</v>
      </c>
      <c r="F128" s="3142"/>
      <c r="G128" s="1885">
        <v>10000</v>
      </c>
      <c r="H128" s="3165">
        <f>1/$G$114*(1-2*E128/(E128+G128))</f>
        <v>0.66665333346666533</v>
      </c>
      <c r="I128" s="3165"/>
      <c r="J128" s="3165"/>
      <c r="K128" s="3165">
        <f>$G$114*(1+E128/(2*E128+G128))</f>
        <v>1.5000149997000061</v>
      </c>
      <c r="L128" s="3165"/>
      <c r="M128" s="3165"/>
    </row>
  </sheetData>
  <mergeCells count="145">
    <mergeCell ref="H128:J128"/>
    <mergeCell ref="K128:M128"/>
    <mergeCell ref="E128:F128"/>
    <mergeCell ref="H122:J122"/>
    <mergeCell ref="K122:M122"/>
    <mergeCell ref="H123:J123"/>
    <mergeCell ref="K123:M123"/>
    <mergeCell ref="H124:J124"/>
    <mergeCell ref="K124:M124"/>
    <mergeCell ref="H125:J125"/>
    <mergeCell ref="K125:M125"/>
    <mergeCell ref="H126:J126"/>
    <mergeCell ref="K126:M126"/>
    <mergeCell ref="E126:F126"/>
    <mergeCell ref="E125:F125"/>
    <mergeCell ref="E124:F124"/>
    <mergeCell ref="E123:F123"/>
    <mergeCell ref="E122:F122"/>
    <mergeCell ref="E118:F118"/>
    <mergeCell ref="E117:F117"/>
    <mergeCell ref="E120:F120"/>
    <mergeCell ref="E121:F121"/>
    <mergeCell ref="H63:S63"/>
    <mergeCell ref="D64:G64"/>
    <mergeCell ref="H121:J121"/>
    <mergeCell ref="K121:M121"/>
    <mergeCell ref="H75:S75"/>
    <mergeCell ref="H74:S74"/>
    <mergeCell ref="H76:S76"/>
    <mergeCell ref="H77:S77"/>
    <mergeCell ref="E114:F114"/>
    <mergeCell ref="E115:F115"/>
    <mergeCell ref="E116:F116"/>
    <mergeCell ref="D74:G74"/>
    <mergeCell ref="L105:Q105"/>
    <mergeCell ref="A107:T107"/>
    <mergeCell ref="A108:T108"/>
    <mergeCell ref="D77:G77"/>
    <mergeCell ref="D75:G75"/>
    <mergeCell ref="D76:G76"/>
    <mergeCell ref="D63:G63"/>
    <mergeCell ref="D68:G68"/>
    <mergeCell ref="D67:G67"/>
    <mergeCell ref="D66:G66"/>
    <mergeCell ref="D65:G65"/>
    <mergeCell ref="H39:I40"/>
    <mergeCell ref="D43:G43"/>
    <mergeCell ref="H43:I43"/>
    <mergeCell ref="J43:L43"/>
    <mergeCell ref="P41:R41"/>
    <mergeCell ref="P42:R42"/>
    <mergeCell ref="P43:R43"/>
    <mergeCell ref="M41:N41"/>
    <mergeCell ref="M42:N42"/>
    <mergeCell ref="M43:N43"/>
    <mergeCell ref="D41:G41"/>
    <mergeCell ref="H41:I41"/>
    <mergeCell ref="J41:L41"/>
    <mergeCell ref="D42:G42"/>
    <mergeCell ref="H42:I42"/>
    <mergeCell ref="J42:L42"/>
    <mergeCell ref="M40:R40"/>
    <mergeCell ref="J39:R39"/>
    <mergeCell ref="D39:G40"/>
    <mergeCell ref="J40:L40"/>
    <mergeCell ref="A55:T55"/>
    <mergeCell ref="A56:T56"/>
    <mergeCell ref="S39:S40"/>
    <mergeCell ref="C39:C40"/>
    <mergeCell ref="A58:T59"/>
    <mergeCell ref="H68:S68"/>
    <mergeCell ref="H67:S67"/>
    <mergeCell ref="H66:S66"/>
    <mergeCell ref="J45:L45"/>
    <mergeCell ref="J46:L46"/>
    <mergeCell ref="M44:N44"/>
    <mergeCell ref="P44:R44"/>
    <mergeCell ref="H65:S65"/>
    <mergeCell ref="M45:N45"/>
    <mergeCell ref="H64:S64"/>
    <mergeCell ref="P45:R45"/>
    <mergeCell ref="M46:N46"/>
    <mergeCell ref="P46:R46"/>
    <mergeCell ref="J44:L44"/>
    <mergeCell ref="M50:N50"/>
    <mergeCell ref="P50:R50"/>
    <mergeCell ref="M51:N51"/>
    <mergeCell ref="P51:R51"/>
    <mergeCell ref="M52:N52"/>
    <mergeCell ref="P52:R52"/>
    <mergeCell ref="A2:T3"/>
    <mergeCell ref="A4:T4"/>
    <mergeCell ref="A5:T5"/>
    <mergeCell ref="A6:T6"/>
    <mergeCell ref="A7:T7"/>
    <mergeCell ref="E15:O15"/>
    <mergeCell ref="E9:R9"/>
    <mergeCell ref="E10:R10"/>
    <mergeCell ref="E14:R14"/>
    <mergeCell ref="E16:R17"/>
    <mergeCell ref="E12:R12"/>
    <mergeCell ref="E8:R8"/>
    <mergeCell ref="E19:R19"/>
    <mergeCell ref="E29:R29"/>
    <mergeCell ref="E28:R28"/>
    <mergeCell ref="E27:R27"/>
    <mergeCell ref="E33:G33"/>
    <mergeCell ref="E26:R26"/>
    <mergeCell ref="E25:R25"/>
    <mergeCell ref="E24:R24"/>
    <mergeCell ref="E23:R23"/>
    <mergeCell ref="E22:O22"/>
    <mergeCell ref="J47:L47"/>
    <mergeCell ref="J48:L48"/>
    <mergeCell ref="J49:L49"/>
    <mergeCell ref="M47:N47"/>
    <mergeCell ref="P47:R47"/>
    <mergeCell ref="M48:N48"/>
    <mergeCell ref="P48:R48"/>
    <mergeCell ref="M49:N49"/>
    <mergeCell ref="P49:R49"/>
    <mergeCell ref="H48:I48"/>
    <mergeCell ref="H49:I49"/>
    <mergeCell ref="H50:I50"/>
    <mergeCell ref="H51:I51"/>
    <mergeCell ref="H52:I52"/>
    <mergeCell ref="K127:M127"/>
    <mergeCell ref="H127:J127"/>
    <mergeCell ref="E127:F127"/>
    <mergeCell ref="D44:G44"/>
    <mergeCell ref="D45:G45"/>
    <mergeCell ref="D46:G46"/>
    <mergeCell ref="D47:G47"/>
    <mergeCell ref="D48:G48"/>
    <mergeCell ref="D49:G49"/>
    <mergeCell ref="D50:G50"/>
    <mergeCell ref="D51:G51"/>
    <mergeCell ref="D52:G52"/>
    <mergeCell ref="H44:I44"/>
    <mergeCell ref="H45:I45"/>
    <mergeCell ref="H46:I46"/>
    <mergeCell ref="H47:I47"/>
    <mergeCell ref="J50:L50"/>
    <mergeCell ref="J51:L51"/>
    <mergeCell ref="J52:L52"/>
  </mergeCells>
  <conditionalFormatting sqref="E33 E26:E30 E23 M33:P33 N31:P32 P30 E8:E10">
    <cfRule type="cellIs" dxfId="102" priority="10" operator="equal">
      <formula>0</formula>
    </cfRule>
  </conditionalFormatting>
  <conditionalFormatting sqref="E33 E26:E30 E23 M33:P33 N31:P32 P30 E8:E10">
    <cfRule type="containsErrors" dxfId="101" priority="9">
      <formula>ISERROR(E8)</formula>
    </cfRule>
  </conditionalFormatting>
  <conditionalFormatting sqref="E31:E32">
    <cfRule type="cellIs" dxfId="100" priority="8" operator="equal">
      <formula>0</formula>
    </cfRule>
  </conditionalFormatting>
  <conditionalFormatting sqref="E31:E32">
    <cfRule type="containsErrors" dxfId="99" priority="7">
      <formula>ISERROR(E31)</formula>
    </cfRule>
  </conditionalFormatting>
  <conditionalFormatting sqref="E24">
    <cfRule type="cellIs" dxfId="98" priority="6" operator="equal">
      <formula>0</formula>
    </cfRule>
  </conditionalFormatting>
  <conditionalFormatting sqref="E24">
    <cfRule type="containsErrors" dxfId="97" priority="5">
      <formula>ISERROR(E24)</formula>
    </cfRule>
  </conditionalFormatting>
  <conditionalFormatting sqref="E25">
    <cfRule type="containsErrors" dxfId="96" priority="3">
      <formula>ISERROR(E25)</formula>
    </cfRule>
  </conditionalFormatting>
  <conditionalFormatting sqref="E25">
    <cfRule type="cellIs" dxfId="95" priority="4" operator="equal">
      <formula>0</formula>
    </cfRule>
  </conditionalFormatting>
  <conditionalFormatting sqref="P34 E34">
    <cfRule type="cellIs" dxfId="94" priority="2" operator="equal">
      <formula>0</formula>
    </cfRule>
  </conditionalFormatting>
  <conditionalFormatting sqref="P34 E34">
    <cfRule type="containsErrors" dxfId="93" priority="1">
      <formula>ISERROR(E34)</formula>
    </cfRule>
  </conditionalFormatting>
  <pageMargins left="0.27559055118110237" right="7.874015748031496E-2" top="0.23622047244094491" bottom="0" header="0.31496062992125984" footer="0"/>
  <pageSetup paperSize="9" orientation="portrait" r:id="rId1"/>
  <rowBreaks count="1" manualBreakCount="1">
    <brk id="109" max="16383" man="1"/>
  </rowBreaks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8"/>
  <dimension ref="A1:Y78"/>
  <sheetViews>
    <sheetView view="pageLayout" topLeftCell="A41" workbookViewId="0">
      <selection activeCell="H37" sqref="H37:K37"/>
    </sheetView>
  </sheetViews>
  <sheetFormatPr baseColWidth="10" defaultColWidth="11.42578125" defaultRowHeight="12.75" x14ac:dyDescent="0.2"/>
  <cols>
    <col min="1" max="1" width="1.85546875" style="163" customWidth="1"/>
    <col min="2" max="2" width="2.42578125" style="163" customWidth="1"/>
    <col min="3" max="3" width="20.140625" style="163" customWidth="1"/>
    <col min="4" max="4" width="1.5703125" style="163" customWidth="1"/>
    <col min="5" max="5" width="7.42578125" style="163" customWidth="1"/>
    <col min="6" max="6" width="6.8554687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5.85546875" style="163" customWidth="1"/>
    <col min="16" max="16" width="0.7109375" style="163" customWidth="1"/>
    <col min="17" max="18" width="3" style="163" customWidth="1"/>
    <col min="19" max="19" width="2.42578125" style="163" customWidth="1"/>
    <col min="20" max="21" width="6.1406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3004" t="s">
        <v>1238</v>
      </c>
      <c r="B2" s="3005"/>
      <c r="C2" s="3005"/>
      <c r="D2" s="3005"/>
      <c r="E2" s="3005"/>
      <c r="F2" s="3005"/>
      <c r="G2" s="3005"/>
      <c r="H2" s="3005"/>
      <c r="I2" s="3005"/>
      <c r="J2" s="3005"/>
      <c r="K2" s="3005"/>
      <c r="L2" s="3005"/>
      <c r="M2" s="3005"/>
      <c r="N2" s="3005"/>
      <c r="O2" s="3005"/>
      <c r="P2" s="3005"/>
      <c r="Q2" s="3005"/>
      <c r="R2" s="3005"/>
      <c r="S2" s="3005"/>
      <c r="T2" s="3005"/>
      <c r="U2" s="3005"/>
      <c r="V2" s="3006"/>
    </row>
    <row r="3" spans="1:25" ht="27.75" customHeight="1" thickBot="1" x14ac:dyDescent="0.25">
      <c r="A3" s="3166"/>
      <c r="B3" s="3167"/>
      <c r="C3" s="3167"/>
      <c r="D3" s="3167"/>
      <c r="E3" s="3167"/>
      <c r="F3" s="3167"/>
      <c r="G3" s="3167"/>
      <c r="H3" s="3167"/>
      <c r="I3" s="3167"/>
      <c r="J3" s="3167"/>
      <c r="K3" s="3167"/>
      <c r="L3" s="3167"/>
      <c r="M3" s="3167"/>
      <c r="N3" s="3167"/>
      <c r="O3" s="3167"/>
      <c r="P3" s="3167"/>
      <c r="Q3" s="3167"/>
      <c r="R3" s="3167"/>
      <c r="S3" s="3167"/>
      <c r="T3" s="3167"/>
      <c r="U3" s="3167"/>
      <c r="V3" s="3168"/>
    </row>
    <row r="4" spans="1:25" ht="16.5" thickTop="1" x14ac:dyDescent="0.25">
      <c r="A4" s="2953" t="s">
        <v>216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977" t="str">
        <f>"N° "&amp;'F-LSCD-008'!J14&amp;" ALEPH/GR/LSCD"</f>
        <v>N° 017-2019 ALEPH/GR/LSCD</v>
      </c>
      <c r="B5" s="3169"/>
      <c r="C5" s="3169"/>
      <c r="D5" s="3169"/>
      <c r="E5" s="3169"/>
      <c r="F5" s="3169"/>
      <c r="G5" s="3169"/>
      <c r="H5" s="3169"/>
      <c r="I5" s="3169"/>
      <c r="J5" s="3169"/>
      <c r="K5" s="3169"/>
      <c r="L5" s="3169"/>
      <c r="M5" s="3169"/>
      <c r="N5" s="3169"/>
      <c r="O5" s="3169"/>
      <c r="P5" s="3169"/>
      <c r="Q5" s="3169"/>
      <c r="R5" s="3169"/>
      <c r="S5" s="3169"/>
      <c r="T5" s="3169"/>
      <c r="U5" s="3169"/>
      <c r="V5" s="2979"/>
      <c r="X5" s="164"/>
    </row>
    <row r="6" spans="1:25" ht="15.75" x14ac:dyDescent="0.2">
      <c r="A6" s="2881" t="s">
        <v>253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ht="15.75" x14ac:dyDescent="0.2">
      <c r="A7" s="2881" t="s">
        <v>275</v>
      </c>
      <c r="B7" s="2980"/>
      <c r="C7" s="2980"/>
      <c r="D7" s="2980"/>
      <c r="E7" s="2980"/>
      <c r="F7" s="2980"/>
      <c r="G7" s="2980"/>
      <c r="H7" s="2980"/>
      <c r="I7" s="2980"/>
      <c r="J7" s="2980"/>
      <c r="K7" s="2980"/>
      <c r="L7" s="2980"/>
      <c r="M7" s="2980"/>
      <c r="N7" s="2980"/>
      <c r="O7" s="2980"/>
      <c r="P7" s="2980"/>
      <c r="Q7" s="2980"/>
      <c r="R7" s="2980"/>
      <c r="S7" s="2980"/>
      <c r="T7" s="2980"/>
      <c r="U7" s="2980"/>
      <c r="V7" s="2981"/>
    </row>
    <row r="8" spans="1:25" ht="4.9000000000000004" customHeight="1" x14ac:dyDescent="0.2">
      <c r="A8" s="2982"/>
      <c r="B8" s="2983"/>
      <c r="C8" s="2983"/>
      <c r="D8" s="2983"/>
      <c r="E8" s="2983"/>
      <c r="F8" s="2983"/>
      <c r="G8" s="2983"/>
      <c r="H8" s="2983"/>
      <c r="I8" s="2983"/>
      <c r="J8" s="2983"/>
      <c r="K8" s="2983"/>
      <c r="L8" s="2983"/>
      <c r="M8" s="2983"/>
      <c r="N8" s="2983"/>
      <c r="O8" s="2983"/>
      <c r="P8" s="2983"/>
      <c r="Q8" s="2983"/>
      <c r="R8" s="2983"/>
      <c r="S8" s="2983"/>
      <c r="T8" s="2983"/>
      <c r="U8" s="2983"/>
      <c r="V8" s="2984"/>
    </row>
    <row r="9" spans="1:25" x14ac:dyDescent="0.2">
      <c r="A9" s="165"/>
      <c r="B9" s="166" t="s">
        <v>217</v>
      </c>
      <c r="D9" s="166" t="s">
        <v>218</v>
      </c>
      <c r="E9" s="163" t="s">
        <v>1053</v>
      </c>
      <c r="V9" s="167"/>
    </row>
    <row r="10" spans="1:25" x14ac:dyDescent="0.2">
      <c r="A10" s="165"/>
      <c r="C10" s="166"/>
      <c r="D10" s="166"/>
      <c r="E10" s="163" t="s">
        <v>219</v>
      </c>
      <c r="T10" s="1308"/>
      <c r="U10" s="1308"/>
      <c r="V10" s="167"/>
    </row>
    <row r="11" spans="1:25" x14ac:dyDescent="0.2">
      <c r="A11" s="165"/>
      <c r="T11" s="1308"/>
      <c r="U11" s="1308"/>
      <c r="V11" s="167"/>
    </row>
    <row r="12" spans="1:25" ht="15" customHeight="1" x14ac:dyDescent="0.2">
      <c r="A12" s="165"/>
      <c r="B12" s="166" t="s">
        <v>220</v>
      </c>
      <c r="D12" s="166" t="s">
        <v>218</v>
      </c>
      <c r="E12" s="1555" t="str">
        <f>'F-LSCD-008'!H6</f>
        <v>ALEPH GROUP &amp; ASOCIADOS S.A.C.</v>
      </c>
      <c r="Q12" s="2906" t="s">
        <v>862</v>
      </c>
      <c r="R12" s="2907"/>
      <c r="S12" s="2907"/>
      <c r="T12" s="2907"/>
      <c r="U12" s="2907"/>
      <c r="V12" s="167"/>
    </row>
    <row r="13" spans="1:25" ht="12.75" customHeight="1" x14ac:dyDescent="0.2">
      <c r="A13" s="165"/>
      <c r="E13" s="1555" t="str">
        <f>'F-LSCD-008'!C7</f>
        <v>Av. Rafel Escardó, 154</v>
      </c>
      <c r="Q13" s="2906"/>
      <c r="R13" s="2907"/>
      <c r="S13" s="2907"/>
      <c r="T13" s="2907"/>
      <c r="U13" s="2907"/>
      <c r="V13" s="167"/>
      <c r="Y13" s="168"/>
    </row>
    <row r="14" spans="1:25" x14ac:dyDescent="0.2">
      <c r="A14" s="165"/>
      <c r="E14" s="163" t="str">
        <f>'F-LSCD-008'!H7&amp;", "&amp;'F-LSCD-008'!K7&amp;", "&amp;'F-LSCD-008'!O7</f>
        <v>San Miguel, Lima, Lima</v>
      </c>
      <c r="Q14" s="2906"/>
      <c r="R14" s="2907"/>
      <c r="S14" s="2907"/>
      <c r="T14" s="2907"/>
      <c r="U14" s="2907"/>
      <c r="V14" s="167"/>
      <c r="X14" s="169"/>
      <c r="Y14" s="168"/>
    </row>
    <row r="15" spans="1:25" x14ac:dyDescent="0.2">
      <c r="A15" s="165"/>
      <c r="Q15" s="2906"/>
      <c r="R15" s="2907"/>
      <c r="S15" s="2907"/>
      <c r="T15" s="2907"/>
      <c r="U15" s="2907"/>
      <c r="V15" s="167"/>
    </row>
    <row r="16" spans="1:25" x14ac:dyDescent="0.2">
      <c r="A16" s="165"/>
      <c r="B16" s="170" t="s">
        <v>222</v>
      </c>
      <c r="C16" s="171"/>
      <c r="D16" s="170" t="s">
        <v>218</v>
      </c>
      <c r="E16" s="2989" t="str">
        <f>'F-LSCD-008'!C6</f>
        <v>Solicitud N° 017-2019, según F-LD-018</v>
      </c>
      <c r="F16" s="2990"/>
      <c r="G16" s="2990"/>
      <c r="H16" s="2990"/>
      <c r="I16" s="2990"/>
      <c r="J16" s="2990"/>
      <c r="K16" s="2990"/>
      <c r="L16" s="2990"/>
      <c r="M16" s="2990"/>
      <c r="N16" s="2990"/>
      <c r="O16" s="2990"/>
      <c r="P16" s="172"/>
      <c r="Q16" s="2906"/>
      <c r="R16" s="2907"/>
      <c r="S16" s="2907"/>
      <c r="T16" s="2907"/>
      <c r="U16" s="2907"/>
      <c r="V16" s="167"/>
      <c r="W16" s="203"/>
      <c r="Y16" s="168"/>
    </row>
    <row r="17" spans="1:25" x14ac:dyDescent="0.2">
      <c r="A17" s="165"/>
      <c r="Q17" s="2906"/>
      <c r="R17" s="2907"/>
      <c r="S17" s="2907"/>
      <c r="T17" s="2907"/>
      <c r="U17" s="2907"/>
      <c r="V17" s="167"/>
    </row>
    <row r="18" spans="1:25" ht="24" customHeight="1" x14ac:dyDescent="0.2">
      <c r="A18" s="165"/>
      <c r="B18" s="170" t="s">
        <v>223</v>
      </c>
      <c r="C18" s="990"/>
      <c r="D18" s="170" t="s">
        <v>218</v>
      </c>
      <c r="E18" s="2993" t="str">
        <f>'F-LSCD-008'!C9&amp;", Marca: "&amp;'F-LSCD-008'!H9&amp;", Modelo: "&amp;'F-LSCD-008'!N9</f>
        <v>Dosímetros personales, Marca: Panasonic, Modelo: UD 802-AT</v>
      </c>
      <c r="F18" s="2993"/>
      <c r="G18" s="2993"/>
      <c r="H18" s="2993"/>
      <c r="I18" s="2993"/>
      <c r="J18" s="2993"/>
      <c r="K18" s="2993"/>
      <c r="L18" s="2993"/>
      <c r="M18" s="2993"/>
      <c r="N18" s="2993"/>
      <c r="O18" s="2993"/>
      <c r="P18" s="173"/>
      <c r="Q18" s="2906"/>
      <c r="R18" s="2907"/>
      <c r="S18" s="2907"/>
      <c r="T18" s="2907"/>
      <c r="U18" s="2907"/>
      <c r="V18" s="167"/>
      <c r="Y18" s="168"/>
    </row>
    <row r="19" spans="1:25" x14ac:dyDescent="0.2">
      <c r="A19" s="165"/>
      <c r="B19" s="166"/>
      <c r="D19" s="166"/>
      <c r="E19" s="1309"/>
      <c r="F19" s="1309"/>
      <c r="G19" s="1309"/>
      <c r="H19" s="1309"/>
      <c r="I19" s="1309"/>
      <c r="J19" s="1309"/>
      <c r="K19" s="1309"/>
      <c r="L19" s="1309"/>
      <c r="M19" s="1309"/>
      <c r="N19" s="1309"/>
      <c r="O19" s="173"/>
      <c r="P19" s="173"/>
      <c r="Q19" s="174"/>
      <c r="R19" s="173"/>
      <c r="S19" s="173"/>
      <c r="T19" s="1308"/>
      <c r="U19" s="1308"/>
      <c r="V19" s="167"/>
      <c r="Y19" s="168"/>
    </row>
    <row r="20" spans="1:25" x14ac:dyDescent="0.2">
      <c r="A20" s="165"/>
      <c r="B20" s="175" t="s">
        <v>224</v>
      </c>
      <c r="D20" s="175" t="s">
        <v>218</v>
      </c>
      <c r="E20" s="2992" t="str">
        <f>'F-LSCD-008'!C10</f>
        <v xml:space="preserve">Campo de radiación calibrado usando un fantoma, según ISO 4037-3 (2019), aplicado al PROC-LSCD-001 Irradiación controlada de dosímetros personales (versión 05)
</v>
      </c>
      <c r="F20" s="2991"/>
      <c r="G20" s="2991"/>
      <c r="H20" s="2991"/>
      <c r="I20" s="2991"/>
      <c r="J20" s="2991"/>
      <c r="K20" s="2991"/>
      <c r="L20" s="2991"/>
      <c r="M20" s="2991"/>
      <c r="N20" s="2991"/>
      <c r="O20" s="2991"/>
      <c r="P20" s="1479"/>
      <c r="Q20" s="176"/>
      <c r="R20" s="1479"/>
      <c r="S20" s="1479"/>
      <c r="T20" s="1308"/>
      <c r="U20" s="1308"/>
      <c r="V20" s="167"/>
    </row>
    <row r="21" spans="1:25" x14ac:dyDescent="0.2">
      <c r="A21" s="165"/>
      <c r="E21" s="2991"/>
      <c r="F21" s="2991"/>
      <c r="G21" s="2991"/>
      <c r="H21" s="2991"/>
      <c r="I21" s="2991"/>
      <c r="J21" s="2991"/>
      <c r="K21" s="2991"/>
      <c r="L21" s="2991"/>
      <c r="M21" s="2991"/>
      <c r="N21" s="2991"/>
      <c r="O21" s="2991"/>
      <c r="P21" s="1479"/>
      <c r="Q21" s="2904" t="s">
        <v>1024</v>
      </c>
      <c r="R21" s="2905"/>
      <c r="S21" s="2905"/>
      <c r="T21" s="2905"/>
      <c r="U21" s="2905"/>
      <c r="V21" s="167"/>
    </row>
    <row r="22" spans="1:25" x14ac:dyDescent="0.2">
      <c r="A22" s="165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2904"/>
      <c r="R22" s="2905"/>
      <c r="S22" s="2905"/>
      <c r="T22" s="2905"/>
      <c r="U22" s="2905"/>
      <c r="V22" s="167"/>
    </row>
    <row r="23" spans="1:25" x14ac:dyDescent="0.2">
      <c r="A23" s="165"/>
      <c r="B23" s="166" t="s">
        <v>226</v>
      </c>
      <c r="D23" s="166" t="s">
        <v>218</v>
      </c>
      <c r="Q23" s="2904"/>
      <c r="R23" s="2905"/>
      <c r="S23" s="2905"/>
      <c r="T23" s="2905"/>
      <c r="U23" s="2905"/>
      <c r="V23" s="167"/>
      <c r="Y23" s="168"/>
    </row>
    <row r="24" spans="1:25" x14ac:dyDescent="0.2">
      <c r="A24" s="165"/>
      <c r="E24" s="1447"/>
      <c r="F24" s="1447"/>
      <c r="G24" s="1447"/>
      <c r="H24" s="1447"/>
      <c r="I24" s="1447"/>
      <c r="J24" s="1447"/>
      <c r="K24" s="1447"/>
      <c r="L24" s="1447"/>
      <c r="M24" s="1447"/>
      <c r="N24" s="1447"/>
      <c r="Q24" s="2904"/>
      <c r="R24" s="2905"/>
      <c r="S24" s="2905"/>
      <c r="T24" s="2905"/>
      <c r="U24" s="2905"/>
      <c r="V24" s="167"/>
    </row>
    <row r="25" spans="1:25" ht="40.5" customHeight="1" x14ac:dyDescent="0.2">
      <c r="A25" s="165"/>
      <c r="C25" s="170" t="s">
        <v>227</v>
      </c>
      <c r="D25" s="178" t="s">
        <v>218</v>
      </c>
      <c r="E25" s="2993" t="str">
        <f>'F-LSCD-008'!C11</f>
        <v>Cámara de ionización patrón de 1 L , marca: PTW; modelo: TN32002; serie: 000568; Reporte de calibración de Kerma en aire DG: 13580-21 con fecha 2021-04-01 (NIST); trazable al NIST.</v>
      </c>
      <c r="F25" s="2993"/>
      <c r="G25" s="2993"/>
      <c r="H25" s="2993"/>
      <c r="I25" s="2993"/>
      <c r="J25" s="2993"/>
      <c r="K25" s="2993"/>
      <c r="L25" s="2993"/>
      <c r="M25" s="2993"/>
      <c r="N25" s="2993"/>
      <c r="O25" s="2993"/>
      <c r="P25" s="179"/>
      <c r="Q25" s="2904"/>
      <c r="R25" s="2905"/>
      <c r="S25" s="2905"/>
      <c r="T25" s="2905"/>
      <c r="U25" s="2905"/>
      <c r="V25" s="167"/>
      <c r="Y25" s="168"/>
    </row>
    <row r="26" spans="1:25" ht="12" customHeight="1" x14ac:dyDescent="0.2">
      <c r="A26" s="165"/>
      <c r="C26" s="170" t="s">
        <v>203</v>
      </c>
      <c r="D26" s="178" t="s">
        <v>218</v>
      </c>
      <c r="E26" s="180" t="str">
        <f>'F-LSCD-004'!H9</f>
        <v>S-Cs (ISO 4037-3)</v>
      </c>
      <c r="F26" s="180"/>
      <c r="G26" s="180"/>
      <c r="H26" s="180"/>
      <c r="I26" s="180"/>
      <c r="J26" s="180"/>
      <c r="K26" s="180"/>
      <c r="L26" s="180"/>
      <c r="M26" s="180"/>
      <c r="N26" s="180"/>
      <c r="O26" s="180"/>
      <c r="P26" s="180"/>
      <c r="Q26" s="2904"/>
      <c r="R26" s="2905"/>
      <c r="S26" s="2905"/>
      <c r="T26" s="2905"/>
      <c r="U26" s="2905"/>
      <c r="V26" s="167"/>
    </row>
    <row r="27" spans="1:25" ht="28.5" customHeight="1" x14ac:dyDescent="0.2">
      <c r="A27" s="165"/>
      <c r="C27" s="170" t="s">
        <v>138</v>
      </c>
      <c r="D27" s="178" t="s">
        <v>218</v>
      </c>
      <c r="E27" s="2994" t="str">
        <f>'F-LSCD-008'!C14</f>
        <v>Dosis equivalente personal, Hp(10) / Dosis equivalente personal, Hp(0,07)</v>
      </c>
      <c r="F27" s="2994"/>
      <c r="G27" s="2994"/>
      <c r="H27" s="2994"/>
      <c r="I27" s="2994"/>
      <c r="J27" s="2994"/>
      <c r="K27" s="2994"/>
      <c r="L27" s="2994"/>
      <c r="M27" s="2994"/>
      <c r="N27" s="2994"/>
      <c r="O27" s="2994"/>
      <c r="P27" s="180"/>
      <c r="Q27" s="2904"/>
      <c r="R27" s="2905"/>
      <c r="S27" s="2905"/>
      <c r="T27" s="2905"/>
      <c r="U27" s="2905"/>
      <c r="V27" s="167"/>
    </row>
    <row r="28" spans="1:25" ht="25.5" x14ac:dyDescent="0.2">
      <c r="A28" s="165"/>
      <c r="C28" s="181" t="s">
        <v>228</v>
      </c>
      <c r="D28" s="178" t="s">
        <v>218</v>
      </c>
      <c r="E28" s="2910" t="str">
        <f>"Temp (°C): "&amp;'F-LSCD-008'!K19&amp;" ; Presión (hPa): "&amp;'F-LSCD-008'!L19&amp;" ; HR (%): "&amp;'F-LSCD-008'!M19</f>
        <v>Temp (°C): 20.6 ; Presión (hPa): 1008.5 ; HR (%): 54</v>
      </c>
      <c r="F28" s="2910"/>
      <c r="G28" s="2910"/>
      <c r="H28" s="2910"/>
      <c r="I28" s="2910"/>
      <c r="J28" s="2910"/>
      <c r="K28" s="2910"/>
      <c r="L28" s="2910"/>
      <c r="M28" s="2910"/>
      <c r="N28" s="2910"/>
      <c r="O28" s="2910"/>
      <c r="P28" s="1410"/>
      <c r="Q28" s="2904"/>
      <c r="R28" s="2905"/>
      <c r="S28" s="2905"/>
      <c r="T28" s="2905"/>
      <c r="U28" s="2905"/>
      <c r="V28" s="167"/>
    </row>
    <row r="29" spans="1:25" ht="25.5" x14ac:dyDescent="0.2">
      <c r="A29" s="165"/>
      <c r="C29" s="182" t="s">
        <v>229</v>
      </c>
      <c r="D29" s="178" t="s">
        <v>218</v>
      </c>
      <c r="E29" s="2985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29" s="2985"/>
      <c r="G29" s="2985"/>
      <c r="H29" s="2985"/>
      <c r="I29" s="2985"/>
      <c r="J29" s="2985"/>
      <c r="K29" s="2985"/>
      <c r="L29" s="2985"/>
      <c r="M29" s="2985"/>
      <c r="N29" s="2985"/>
      <c r="O29" s="2985"/>
      <c r="P29" s="1477"/>
      <c r="Q29" s="2906" t="s">
        <v>230</v>
      </c>
      <c r="R29" s="2907"/>
      <c r="S29" s="2907"/>
      <c r="T29" s="2907"/>
      <c r="U29" s="2907"/>
      <c r="V29" s="167"/>
    </row>
    <row r="30" spans="1:25" ht="27.75" customHeight="1" x14ac:dyDescent="0.2">
      <c r="A30" s="165"/>
      <c r="C30" s="182" t="s">
        <v>231</v>
      </c>
      <c r="D30" s="178" t="s">
        <v>218</v>
      </c>
      <c r="E30" s="2986" t="str">
        <f>'F-LSCD-008'!C13</f>
        <v>Punto medio de la superfice anterior y punto medio del espesor del dosímetro</v>
      </c>
      <c r="F30" s="2986"/>
      <c r="G30" s="2986"/>
      <c r="H30" s="2986"/>
      <c r="I30" s="2986"/>
      <c r="J30" s="2986"/>
      <c r="K30" s="2986"/>
      <c r="L30" s="2986"/>
      <c r="M30" s="2986"/>
      <c r="N30" s="2986"/>
      <c r="O30" s="2986"/>
      <c r="P30" s="1478"/>
      <c r="Q30" s="2949" t="s">
        <v>1240</v>
      </c>
      <c r="R30" s="2987"/>
      <c r="S30" s="2987"/>
      <c r="T30" s="2987"/>
      <c r="U30" s="2987"/>
      <c r="V30" s="167"/>
    </row>
    <row r="31" spans="1:25" ht="12.75" customHeight="1" x14ac:dyDescent="0.2">
      <c r="A31" s="165"/>
      <c r="C31" s="182" t="s">
        <v>232</v>
      </c>
      <c r="D31" s="178" t="s">
        <v>218</v>
      </c>
      <c r="E31" s="2988">
        <f>'F-LSCD-008'!C8</f>
        <v>43802</v>
      </c>
      <c r="F31" s="2988"/>
      <c r="G31" s="183"/>
      <c r="H31" s="183"/>
      <c r="I31" s="183"/>
      <c r="J31" s="183"/>
      <c r="K31" s="180"/>
      <c r="L31" s="180"/>
      <c r="M31" s="180"/>
      <c r="N31" s="180"/>
      <c r="O31" s="180"/>
      <c r="P31" s="180"/>
      <c r="Q31" s="2949"/>
      <c r="R31" s="2987"/>
      <c r="S31" s="2987"/>
      <c r="T31" s="2987"/>
      <c r="U31" s="2987"/>
      <c r="V31" s="167"/>
    </row>
    <row r="32" spans="1:25" x14ac:dyDescent="0.2">
      <c r="A32" s="165"/>
      <c r="C32" s="170" t="s">
        <v>233</v>
      </c>
      <c r="D32" s="178" t="s">
        <v>218</v>
      </c>
      <c r="E32" s="2988">
        <f>'F-LSCD-008'!L8</f>
        <v>43802</v>
      </c>
      <c r="F32" s="2988"/>
      <c r="G32" s="2988"/>
      <c r="H32" s="2988"/>
      <c r="I32" s="2988"/>
      <c r="J32" s="1310"/>
      <c r="K32" s="184"/>
      <c r="L32" s="184"/>
      <c r="M32" s="184"/>
      <c r="N32" s="184"/>
      <c r="O32" s="184"/>
      <c r="P32" s="184"/>
      <c r="Q32" s="2949"/>
      <c r="R32" s="2987"/>
      <c r="S32" s="2987"/>
      <c r="T32" s="2987"/>
      <c r="U32" s="2987"/>
      <c r="V32" s="167"/>
    </row>
    <row r="33" spans="1:22" x14ac:dyDescent="0.2">
      <c r="A33" s="165"/>
      <c r="C33" s="170"/>
      <c r="D33" s="178"/>
      <c r="E33" s="185"/>
      <c r="F33" s="185"/>
      <c r="G33" s="185"/>
      <c r="H33" s="185"/>
      <c r="I33" s="185"/>
      <c r="J33" s="185"/>
      <c r="K33" s="180"/>
      <c r="L33" s="180"/>
      <c r="M33" s="180"/>
      <c r="N33" s="180"/>
      <c r="O33" s="180"/>
      <c r="P33" s="180"/>
      <c r="Q33" s="2949"/>
      <c r="R33" s="2987"/>
      <c r="S33" s="2987"/>
      <c r="T33" s="2987"/>
      <c r="U33" s="2987"/>
      <c r="V33" s="167"/>
    </row>
    <row r="34" spans="1:22" x14ac:dyDescent="0.2">
      <c r="A34" s="165"/>
      <c r="B34" s="166" t="s">
        <v>234</v>
      </c>
      <c r="C34" s="166"/>
      <c r="D34" s="186"/>
      <c r="E34" s="186"/>
      <c r="F34" s="166"/>
      <c r="G34" s="166"/>
      <c r="H34" s="166"/>
      <c r="I34" s="166"/>
      <c r="J34" s="166"/>
      <c r="V34" s="167"/>
    </row>
    <row r="35" spans="1:22" ht="5.25" customHeight="1" thickBot="1" x14ac:dyDescent="0.25">
      <c r="A35" s="165"/>
      <c r="D35" s="187"/>
      <c r="E35" s="188"/>
      <c r="V35" s="167"/>
    </row>
    <row r="36" spans="1:22" ht="27" customHeight="1" thickBot="1" x14ac:dyDescent="0.25">
      <c r="A36" s="165"/>
      <c r="C36" s="198" t="s">
        <v>183</v>
      </c>
      <c r="D36" s="3001" t="s">
        <v>235</v>
      </c>
      <c r="E36" s="3002"/>
      <c r="F36" s="3003"/>
      <c r="G36" s="189" t="s">
        <v>204</v>
      </c>
      <c r="H36" s="3004" t="s">
        <v>207</v>
      </c>
      <c r="I36" s="3005"/>
      <c r="J36" s="3005"/>
      <c r="K36" s="3006"/>
      <c r="L36" s="3004" t="s">
        <v>206</v>
      </c>
      <c r="M36" s="3005"/>
      <c r="N36" s="3005"/>
      <c r="O36" s="3006"/>
      <c r="P36" s="3004" t="s">
        <v>208</v>
      </c>
      <c r="Q36" s="3005"/>
      <c r="R36" s="3005"/>
      <c r="S36" s="3005"/>
      <c r="T36" s="3006"/>
      <c r="U36" s="1480"/>
      <c r="V36" s="167"/>
    </row>
    <row r="37" spans="1:22" ht="15" customHeight="1" x14ac:dyDescent="0.2">
      <c r="A37" s="165"/>
      <c r="C37" s="210">
        <f>'F-LSCD-008'!B18</f>
        <v>905395</v>
      </c>
      <c r="D37" s="3007" t="str">
        <f>'F-LSCD-008'!C18</f>
        <v>S-Cs (ISO 4037-3)</v>
      </c>
      <c r="E37" s="3008"/>
      <c r="F37" s="3009"/>
      <c r="G37" s="1589" t="str">
        <f>'F-LSCD-008'!D18</f>
        <v>0°</v>
      </c>
      <c r="H37" s="3010" t="str">
        <f>IF('F-LSCD-007'!F16="Hp(10)",TEXT('F-LSCD-008'!G18,"#0,0")&amp;" ± "&amp;TEXT('Incert. Irrad. Dosímetros pers'!$O$34*'F-LSCD-008'!G18,"#0,0"),"-")</f>
        <v>03 ± 00</v>
      </c>
      <c r="I37" s="3011"/>
      <c r="J37" s="3011"/>
      <c r="K37" s="3012"/>
      <c r="L37" s="3010" t="str">
        <f>IF('F-LSCD-007'!F16="Hp(0,07)",TEXT('F-LSCD-008'!F18,"#0,0")&amp;" ± "&amp;TEXT('Incert. Irrad. Dosímetros pers'!$O$34*'F-LSCD-008'!F18,"#0,0"),"-")</f>
        <v>-</v>
      </c>
      <c r="M37" s="3011"/>
      <c r="N37" s="3011"/>
      <c r="O37" s="3012"/>
      <c r="P37" s="3010" t="str">
        <f>IF('F-LSCD-007'!F16="D(10)",TEXT('F-LSCD-008'!H18,"#0,0")&amp;" ± "&amp;TEXT('Incert. Irrad. Dosímetros pers'!$O$34*'F-LSCD-008'!H18,"#0,0"),"-")</f>
        <v>-</v>
      </c>
      <c r="Q37" s="3011"/>
      <c r="R37" s="3011"/>
      <c r="S37" s="3011"/>
      <c r="T37" s="3013"/>
      <c r="U37" s="1480"/>
      <c r="V37" s="167"/>
    </row>
    <row r="38" spans="1:22" ht="12.75" customHeight="1" x14ac:dyDescent="0.2">
      <c r="A38" s="165"/>
      <c r="C38" s="211">
        <f>'F-LSCD-008'!B19</f>
        <v>905309</v>
      </c>
      <c r="D38" s="2995" t="str">
        <f>'F-LSCD-008'!C19</f>
        <v>S-Cs (ISO 4037-3)</v>
      </c>
      <c r="E38" s="2995"/>
      <c r="F38" s="2996"/>
      <c r="G38" s="1590" t="str">
        <f>'F-LSCD-008'!D19</f>
        <v>0°</v>
      </c>
      <c r="H38" s="2997" t="str">
        <f>IF('F-LSCD-007'!F17="Hp(10)",TEXT('F-LSCD-008'!G19,"#0,0")&amp;" ± "&amp;TEXT('Incert. Irrad. Dosímetros pers'!$O$34*'F-LSCD-008'!G19,"#0,0"),"-")</f>
        <v>03 ± 00</v>
      </c>
      <c r="I38" s="2998"/>
      <c r="J38" s="2998"/>
      <c r="K38" s="2999"/>
      <c r="L38" s="2997" t="str">
        <f>IF('F-LSCD-007'!F17="Hp(0,07)",TEXT('F-LSCD-008'!F19,"#0,0")&amp;" ± "&amp;TEXT('Incert. Irrad. Dosímetros pers'!$O$34*'F-LSCD-008'!F19,"#0,0"),"-")</f>
        <v>-</v>
      </c>
      <c r="M38" s="2998"/>
      <c r="N38" s="2998"/>
      <c r="O38" s="2999"/>
      <c r="P38" s="2997" t="str">
        <f>IF('F-LSCD-007'!F17="D(10)",TEXT('F-LSCD-008'!H19,"#0,0")&amp;" ± "&amp;TEXT('Incert. Irrad. Dosímetros pers'!$O$34*'F-LSCD-008'!H19,"#0,0"),"-")</f>
        <v>-</v>
      </c>
      <c r="Q38" s="2998"/>
      <c r="R38" s="2998"/>
      <c r="S38" s="2998"/>
      <c r="T38" s="3000"/>
      <c r="U38" s="1480"/>
      <c r="V38" s="167"/>
    </row>
    <row r="39" spans="1:22" ht="12.75" customHeight="1" x14ac:dyDescent="0.2">
      <c r="A39" s="165"/>
      <c r="C39" s="211">
        <f>'F-LSCD-008'!B20</f>
        <v>905161</v>
      </c>
      <c r="D39" s="2995" t="str">
        <f>'F-LSCD-008'!C20</f>
        <v>S-Cs (ISO 4037-3)</v>
      </c>
      <c r="E39" s="2995"/>
      <c r="F39" s="2996"/>
      <c r="G39" s="1590" t="str">
        <f>'F-LSCD-008'!D20</f>
        <v>0°</v>
      </c>
      <c r="H39" s="2997" t="str">
        <f>IF('F-LSCD-007'!F18="Hp(10)",TEXT('F-LSCD-008'!G20,"#0,0")&amp;" ± "&amp;TEXT('Incert. Irrad. Dosímetros pers'!$O$34*'F-LSCD-008'!G20,"#0,0"),"-")</f>
        <v>03 ± 00</v>
      </c>
      <c r="I39" s="2998"/>
      <c r="J39" s="2998"/>
      <c r="K39" s="2999"/>
      <c r="L39" s="2997" t="str">
        <f>IF('F-LSCD-007'!F18="Hp(0,07)",TEXT('F-LSCD-008'!F20,"#0,0")&amp;" ± "&amp;TEXT('Incert. Irrad. Dosímetros pers'!$O$34*'F-LSCD-008'!F20,"#0,0"),"-")</f>
        <v>-</v>
      </c>
      <c r="M39" s="2998"/>
      <c r="N39" s="2998"/>
      <c r="O39" s="2999"/>
      <c r="P39" s="2997" t="str">
        <f>IF('F-LSCD-007'!F18="D(10)",TEXT('F-LSCD-008'!H20,"#0,0")&amp;" ± "&amp;TEXT('Incert. Irrad. Dosímetros pers'!$O$34*'F-LSCD-008'!H20,"#0,0"),"-")</f>
        <v>-</v>
      </c>
      <c r="Q39" s="2998"/>
      <c r="R39" s="2998"/>
      <c r="S39" s="2998"/>
      <c r="T39" s="3000"/>
      <c r="U39" s="1480"/>
      <c r="V39" s="167"/>
    </row>
    <row r="40" spans="1:22" ht="12.75" customHeight="1" x14ac:dyDescent="0.2">
      <c r="A40" s="165"/>
      <c r="C40" s="211">
        <f>'F-LSCD-008'!B21</f>
        <v>905327</v>
      </c>
      <c r="D40" s="2995" t="str">
        <f>'F-LSCD-008'!C21</f>
        <v>S-Cs (ISO 4037-3)</v>
      </c>
      <c r="E40" s="2995"/>
      <c r="F40" s="2996"/>
      <c r="G40" s="1590" t="str">
        <f>'F-LSCD-008'!D21</f>
        <v>0°</v>
      </c>
      <c r="H40" s="2997" t="str">
        <f>IF('F-LSCD-007'!F19="Hp(10)",TEXT('F-LSCD-008'!G21,"#0,0")&amp;" ± "&amp;TEXT('Incert. Irrad. Dosímetros pers'!$O$34*'F-LSCD-008'!G21,"#0,0"),"-")</f>
        <v>03 ± 00</v>
      </c>
      <c r="I40" s="2998"/>
      <c r="J40" s="2998"/>
      <c r="K40" s="2999"/>
      <c r="L40" s="2997" t="str">
        <f>IF('F-LSCD-007'!F19="Hp(0,07)",TEXT('F-LSCD-008'!F21,"#0,0")&amp;" ± "&amp;TEXT('Incert. Irrad. Dosímetros pers'!$O$34*'F-LSCD-008'!F21,"#0,0"),"-")</f>
        <v>-</v>
      </c>
      <c r="M40" s="2998"/>
      <c r="N40" s="2998"/>
      <c r="O40" s="2999"/>
      <c r="P40" s="2997" t="str">
        <f>IF('F-LSCD-007'!F19="D(10)",TEXT('F-LSCD-008'!H21,"#0,0")&amp;" ± "&amp;TEXT('Incert. Irrad. Dosímetros pers'!$O$34*'F-LSCD-008'!H21,"#0,0"),"-")</f>
        <v>-</v>
      </c>
      <c r="Q40" s="2998"/>
      <c r="R40" s="2998"/>
      <c r="S40" s="2998"/>
      <c r="T40" s="3000"/>
      <c r="U40" s="1480"/>
      <c r="V40" s="167"/>
    </row>
    <row r="41" spans="1:22" ht="12.75" customHeight="1" x14ac:dyDescent="0.2">
      <c r="A41" s="165"/>
      <c r="C41" s="211">
        <f>'F-LSCD-008'!B22</f>
        <v>905125</v>
      </c>
      <c r="D41" s="2995" t="str">
        <f>'F-LSCD-008'!C22</f>
        <v>S-Cs (ISO 4037-3)</v>
      </c>
      <c r="E41" s="2995"/>
      <c r="F41" s="2996"/>
      <c r="G41" s="1590" t="str">
        <f>'F-LSCD-008'!D22</f>
        <v>0°</v>
      </c>
      <c r="H41" s="2997" t="str">
        <f>IF('F-LSCD-007'!F20="Hp(10)",TEXT('F-LSCD-008'!G22,"#0,0")&amp;" ± "&amp;TEXT('Incert. Irrad. Dosímetros pers'!$O$34*'F-LSCD-008'!G22,"#0,0"),"-")</f>
        <v>03 ± 00</v>
      </c>
      <c r="I41" s="2998"/>
      <c r="J41" s="2998"/>
      <c r="K41" s="2999"/>
      <c r="L41" s="2997" t="str">
        <f>IF('F-LSCD-007'!F20="Hp(0,07)",TEXT('F-LSCD-008'!F22,"#0,0")&amp;" ± "&amp;TEXT('Incert. Irrad. Dosímetros pers'!$O$34*'F-LSCD-008'!F22,"#0,0"),"-")</f>
        <v>-</v>
      </c>
      <c r="M41" s="2998"/>
      <c r="N41" s="2998"/>
      <c r="O41" s="2999"/>
      <c r="P41" s="2997" t="str">
        <f>IF('F-LSCD-007'!F20="D(10)",TEXT('F-LSCD-008'!H22,"#0,0")&amp;" ± "&amp;TEXT('Incert. Irrad. Dosímetros pers'!$O$34*'F-LSCD-008'!H22,"#0,0"),"-")</f>
        <v>-</v>
      </c>
      <c r="Q41" s="2998"/>
      <c r="R41" s="2998"/>
      <c r="S41" s="2998"/>
      <c r="T41" s="3000"/>
      <c r="U41" s="1480"/>
      <c r="V41" s="167"/>
    </row>
    <row r="42" spans="1:22" x14ac:dyDescent="0.2">
      <c r="A42" s="165"/>
      <c r="C42" s="1488">
        <f>'F-LSCD-008'!B23</f>
        <v>905066</v>
      </c>
      <c r="D42" s="3014" t="str">
        <f>'F-LSCD-008'!C23</f>
        <v>S-Cs (ISO 4037-3)</v>
      </c>
      <c r="E42" s="3014"/>
      <c r="F42" s="3015"/>
      <c r="G42" s="1591" t="str">
        <f>'F-LSCD-008'!D23</f>
        <v>0°</v>
      </c>
      <c r="H42" s="2997" t="str">
        <f>IF('F-LSCD-007'!F21="Hp(10)",TEXT('F-LSCD-008'!G23,"#0,0")&amp;" ± "&amp;TEXT('Incert. Irrad. Dosímetros pers'!$O$34*'F-LSCD-008'!G23,"#0,0"),"-")</f>
        <v>30 ± 01</v>
      </c>
      <c r="I42" s="2998"/>
      <c r="J42" s="2998"/>
      <c r="K42" s="2999"/>
      <c r="L42" s="2997" t="str">
        <f>IF('F-LSCD-007'!F21="Hp(0,07)",TEXT('F-LSCD-008'!F23,"#0,0")&amp;" ± "&amp;TEXT('Incert. Irrad. Dosímetros pers'!$O$34*'F-LSCD-008'!F23,"#0,0"),"-")</f>
        <v>-</v>
      </c>
      <c r="M42" s="2998"/>
      <c r="N42" s="2998"/>
      <c r="O42" s="2999"/>
      <c r="P42" s="2997" t="str">
        <f>IF('F-LSCD-007'!F21="D(10)",TEXT('F-LSCD-008'!H23,"#0,0")&amp;" ± "&amp;TEXT('Incert. Irrad. Dosímetros pers'!$O$34*'F-LSCD-008'!H23,"#0,0"),"-")</f>
        <v>-</v>
      </c>
      <c r="Q42" s="2998"/>
      <c r="R42" s="2998"/>
      <c r="S42" s="2998"/>
      <c r="T42" s="3000"/>
      <c r="U42" s="1480"/>
      <c r="V42" s="167"/>
    </row>
    <row r="43" spans="1:22" x14ac:dyDescent="0.2">
      <c r="A43" s="165"/>
      <c r="C43" s="211">
        <f>'F-LSCD-008'!B24</f>
        <v>905339</v>
      </c>
      <c r="D43" s="2995" t="str">
        <f>'F-LSCD-008'!C24</f>
        <v>S-Cs (ISO 4037-3)</v>
      </c>
      <c r="E43" s="2995"/>
      <c r="F43" s="2996"/>
      <c r="G43" s="1590" t="str">
        <f>'F-LSCD-008'!D24</f>
        <v>0°</v>
      </c>
      <c r="H43" s="2997" t="str">
        <f>IF('F-LSCD-007'!F22="Hp(10)",TEXT('F-LSCD-008'!G24,"#0,0")&amp;" ± "&amp;TEXT('Incert. Irrad. Dosímetros pers'!$O$34*'F-LSCD-008'!G24,"#0,0"),"-")</f>
        <v>30 ± 01</v>
      </c>
      <c r="I43" s="2998"/>
      <c r="J43" s="2998"/>
      <c r="K43" s="2999"/>
      <c r="L43" s="2997" t="str">
        <f>IF('F-LSCD-007'!F22="Hp(0,07)",TEXT('F-LSCD-008'!F24,"#0,0")&amp;" ± "&amp;TEXT('Incert. Irrad. Dosímetros pers'!$O$34*'F-LSCD-008'!F24,"#0,0"),"-")</f>
        <v>-</v>
      </c>
      <c r="M43" s="2998"/>
      <c r="N43" s="2998"/>
      <c r="O43" s="2999"/>
      <c r="P43" s="2997" t="str">
        <f>IF('F-LSCD-007'!F22="D(10)",TEXT('F-LSCD-008'!H24,"#0,0")&amp;" ± "&amp;TEXT('Incert. Irrad. Dosímetros pers'!$O$34*'F-LSCD-008'!H24,"#0,0"),"-")</f>
        <v>-</v>
      </c>
      <c r="Q43" s="2998"/>
      <c r="R43" s="2998"/>
      <c r="S43" s="2998"/>
      <c r="T43" s="3000"/>
      <c r="U43" s="1480"/>
      <c r="V43" s="167"/>
    </row>
    <row r="44" spans="1:22" x14ac:dyDescent="0.2">
      <c r="A44" s="165"/>
      <c r="C44" s="1488">
        <f>'F-LSCD-008'!B25</f>
        <v>905189</v>
      </c>
      <c r="D44" s="3014" t="str">
        <f>'F-LSCD-008'!C25</f>
        <v>S-Cs (ISO 4037-3)</v>
      </c>
      <c r="E44" s="3014"/>
      <c r="F44" s="3015"/>
      <c r="G44" s="1591" t="str">
        <f>'F-LSCD-008'!D25</f>
        <v>0°</v>
      </c>
      <c r="H44" s="2997" t="str">
        <f>IF('F-LSCD-007'!F23="Hp(10)",TEXT('F-LSCD-008'!G25,"#0,0")&amp;" ± "&amp;TEXT('Incert. Irrad. Dosímetros pers'!$O$34*'F-LSCD-008'!G25,"#0,0"),"-")</f>
        <v>30 ± 01</v>
      </c>
      <c r="I44" s="2998"/>
      <c r="J44" s="2998"/>
      <c r="K44" s="2999"/>
      <c r="L44" s="2997" t="str">
        <f>IF('F-LSCD-007'!F23="Hp(0,07)",TEXT('F-LSCD-008'!F25,"#0,0")&amp;" ± "&amp;TEXT('Incert. Irrad. Dosímetros pers'!$O$34*'F-LSCD-008'!F25,"#0,0"),"-")</f>
        <v>-</v>
      </c>
      <c r="M44" s="2998"/>
      <c r="N44" s="2998"/>
      <c r="O44" s="2999"/>
      <c r="P44" s="2997" t="str">
        <f>IF('F-LSCD-007'!F23="D(10)",TEXT('F-LSCD-008'!H25,"#0,0")&amp;" ± "&amp;TEXT('Incert. Irrad. Dosímetros pers'!$O$34*'F-LSCD-008'!H25,"#0,0"),"-")</f>
        <v>-</v>
      </c>
      <c r="Q44" s="2998"/>
      <c r="R44" s="2998"/>
      <c r="S44" s="2998"/>
      <c r="T44" s="3000"/>
      <c r="U44" s="1480"/>
      <c r="V44" s="167"/>
    </row>
    <row r="45" spans="1:22" x14ac:dyDescent="0.2">
      <c r="A45" s="165"/>
      <c r="C45" s="211">
        <f>'F-LSCD-008'!B26</f>
        <v>905334</v>
      </c>
      <c r="D45" s="2995" t="str">
        <f>'F-LSCD-008'!C26</f>
        <v>S-Cs (ISO 4037-3)</v>
      </c>
      <c r="E45" s="2995"/>
      <c r="F45" s="2996"/>
      <c r="G45" s="1590" t="str">
        <f>'F-LSCD-008'!D26</f>
        <v>0°</v>
      </c>
      <c r="H45" s="2997" t="str">
        <f>IF('F-LSCD-007'!F24="Hp(10)",TEXT('F-LSCD-008'!G26,"#0,0")&amp;" ± "&amp;TEXT('Incert. Irrad. Dosímetros pers'!$O$34*'F-LSCD-008'!G26,"#0,0"),"-")</f>
        <v>30 ± 01</v>
      </c>
      <c r="I45" s="2998"/>
      <c r="J45" s="2998"/>
      <c r="K45" s="2999"/>
      <c r="L45" s="2997" t="str">
        <f>IF('F-LSCD-007'!F24="Hp(0,07)",TEXT('F-LSCD-008'!F26,"#0,0")&amp;" ± "&amp;TEXT('Incert. Irrad. Dosímetros pers'!$O$34*'F-LSCD-008'!F26,"#0,0"),"-")</f>
        <v>-</v>
      </c>
      <c r="M45" s="2998"/>
      <c r="N45" s="2998"/>
      <c r="O45" s="2999"/>
      <c r="P45" s="2997" t="str">
        <f>IF('F-LSCD-007'!F24="D(10)",TEXT('F-LSCD-008'!H26,"#0,0")&amp;" ± "&amp;TEXT('Incert. Irrad. Dosímetros pers'!$O$34*'F-LSCD-008'!H26,"#0,0"),"-")</f>
        <v>-</v>
      </c>
      <c r="Q45" s="2998"/>
      <c r="R45" s="2998"/>
      <c r="S45" s="2998"/>
      <c r="T45" s="3000"/>
      <c r="U45" s="1480"/>
      <c r="V45" s="167"/>
    </row>
    <row r="46" spans="1:22" ht="12.75" customHeight="1" x14ac:dyDescent="0.2">
      <c r="A46" s="165"/>
      <c r="B46" s="168"/>
      <c r="C46" s="1488">
        <f>'F-LSCD-008'!B27</f>
        <v>905153</v>
      </c>
      <c r="D46" s="3014" t="str">
        <f>'F-LSCD-008'!C27</f>
        <v>S-Cs (ISO 4037-3)</v>
      </c>
      <c r="E46" s="3014"/>
      <c r="F46" s="3015"/>
      <c r="G46" s="1591" t="str">
        <f>'F-LSCD-008'!D27</f>
        <v>0°</v>
      </c>
      <c r="H46" s="2997" t="str">
        <f>IF('F-LSCD-007'!F25="Hp(10)",TEXT('F-LSCD-008'!G27,"#0,0")&amp;" ± "&amp;TEXT('Incert. Irrad. Dosímetros pers'!$O$34*'F-LSCD-008'!G27,"#0,0"),"-")</f>
        <v>30 ± 01</v>
      </c>
      <c r="I46" s="2998"/>
      <c r="J46" s="2998"/>
      <c r="K46" s="2999"/>
      <c r="L46" s="2997" t="str">
        <f>IF('F-LSCD-007'!F25="Hp(0,07)",TEXT('F-LSCD-008'!F27,"#0,0")&amp;" ± "&amp;TEXT('Incert. Irrad. Dosímetros pers'!$O$34*'F-LSCD-008'!F27,"#0,0"),"-")</f>
        <v>-</v>
      </c>
      <c r="M46" s="2998"/>
      <c r="N46" s="2998"/>
      <c r="O46" s="2999"/>
      <c r="P46" s="2997" t="str">
        <f>IF('F-LSCD-007'!F25="D(10)",TEXT('F-LSCD-008'!H27,"#0,0")&amp;" ± "&amp;TEXT('Incert. Irrad. Dosímetros pers'!$O$34*'F-LSCD-008'!H27,"#0,0"),"-")</f>
        <v>-</v>
      </c>
      <c r="Q46" s="2998"/>
      <c r="R46" s="2998"/>
      <c r="S46" s="2998"/>
      <c r="T46" s="3000"/>
      <c r="U46" s="1480"/>
      <c r="V46" s="167"/>
    </row>
    <row r="47" spans="1:22" ht="12.75" customHeight="1" x14ac:dyDescent="0.2">
      <c r="A47" s="165"/>
      <c r="B47" s="166"/>
      <c r="C47" s="211">
        <f>'F-LSCD-008'!B28</f>
        <v>3848</v>
      </c>
      <c r="D47" s="2995" t="str">
        <f>'F-LSCD-008'!C28</f>
        <v>S-Cs (ISO 4037-3)</v>
      </c>
      <c r="E47" s="2995"/>
      <c r="F47" s="2996"/>
      <c r="G47" s="1590" t="str">
        <f>'F-LSCD-008'!D28</f>
        <v>0°</v>
      </c>
      <c r="H47" s="2997" t="str">
        <f>IF('F-LSCD-007'!F26="Hp(10)",TEXT('F-LSCD-008'!G28,"#0,0")&amp;" ± "&amp;TEXT('Incert. Irrad. Dosímetros pers'!$O$34*'F-LSCD-008'!G28,"#0,0"),"-")</f>
        <v>-</v>
      </c>
      <c r="I47" s="2998"/>
      <c r="J47" s="2998"/>
      <c r="K47" s="2999"/>
      <c r="L47" s="2997" t="str">
        <f>IF('F-LSCD-007'!F26="Hp(0,07)",TEXT('F-LSCD-008'!F28,"#0,0")&amp;" ± "&amp;TEXT('Incert. Irrad. Dosímetros pers'!$O$34*'F-LSCD-008'!F28,"#0,0"),"-")</f>
        <v>03 ± 00</v>
      </c>
      <c r="M47" s="2998"/>
      <c r="N47" s="2998"/>
      <c r="O47" s="2999"/>
      <c r="P47" s="2997" t="str">
        <f>IF('F-LSCD-007'!F26="D(10)",TEXT('F-LSCD-008'!H28,"#0,0")&amp;" ± "&amp;TEXT('Incert. Irrad. Dosímetros pers'!$O$34*'F-LSCD-008'!H28,"#0,0"),"-")</f>
        <v>-</v>
      </c>
      <c r="Q47" s="2998"/>
      <c r="R47" s="2998"/>
      <c r="S47" s="2998"/>
      <c r="T47" s="3000"/>
      <c r="U47" s="1480"/>
      <c r="V47" s="167"/>
    </row>
    <row r="48" spans="1:22" ht="12.75" customHeight="1" x14ac:dyDescent="0.2">
      <c r="A48" s="165"/>
      <c r="C48" s="211">
        <f>'F-LSCD-008'!B29</f>
        <v>3884</v>
      </c>
      <c r="D48" s="2995" t="str">
        <f>'F-LSCD-008'!C29</f>
        <v>S-Cs (ISO 4037-3)</v>
      </c>
      <c r="E48" s="2995"/>
      <c r="F48" s="2996"/>
      <c r="G48" s="1590" t="str">
        <f>'F-LSCD-008'!D29</f>
        <v>0°</v>
      </c>
      <c r="H48" s="2997" t="str">
        <f>IF('F-LSCD-007'!F27="Hp(10)",TEXT('F-LSCD-008'!G29,"#0,0")&amp;" ± "&amp;TEXT('Incert. Irrad. Dosímetros pers'!$O$34*'F-LSCD-008'!G29,"#0,0"),"-")</f>
        <v>-</v>
      </c>
      <c r="I48" s="2998"/>
      <c r="J48" s="2998"/>
      <c r="K48" s="2999"/>
      <c r="L48" s="2997" t="str">
        <f>IF('F-LSCD-007'!F27="Hp(0,07)",TEXT('F-LSCD-008'!F29,"#0,0")&amp;" ± "&amp;TEXT('Incert. Irrad. Dosímetros pers'!$O$34*'F-LSCD-008'!F29,"#0,0"),"-")</f>
        <v>03 ± 00</v>
      </c>
      <c r="M48" s="2998"/>
      <c r="N48" s="2998"/>
      <c r="O48" s="2999"/>
      <c r="P48" s="2997" t="str">
        <f>IF('F-LSCD-007'!F27="D(10)",TEXT('F-LSCD-008'!H29,"#0,0")&amp;" ± "&amp;TEXT('Incert. Irrad. Dosímetros pers'!$O$34*'F-LSCD-008'!H29,"#0,0"),"-")</f>
        <v>-</v>
      </c>
      <c r="Q48" s="2998"/>
      <c r="R48" s="2998"/>
      <c r="S48" s="2998"/>
      <c r="T48" s="3000"/>
      <c r="U48" s="1480"/>
      <c r="V48" s="167"/>
    </row>
    <row r="49" spans="1:22" ht="12.75" customHeight="1" x14ac:dyDescent="0.2">
      <c r="A49" s="165"/>
      <c r="C49" s="1488">
        <f>'F-LSCD-008'!B30</f>
        <v>9037</v>
      </c>
      <c r="D49" s="3014" t="str">
        <f>'F-LSCD-008'!C30</f>
        <v>S-Cs (ISO 4037-3)</v>
      </c>
      <c r="E49" s="3014"/>
      <c r="F49" s="3015"/>
      <c r="G49" s="1489" t="str">
        <f>'F-LSCD-008'!D30</f>
        <v>0°</v>
      </c>
      <c r="H49" s="2997" t="str">
        <f>IF('F-LSCD-007'!F28="Hp(10)",TEXT('F-LSCD-008'!G30,"#0,0")&amp;" ± "&amp;TEXT('Incert. Irrad. Dosímetros pers'!$O$34*'F-LSCD-008'!G30,"#0,0"),"-")</f>
        <v>-</v>
      </c>
      <c r="I49" s="2998"/>
      <c r="J49" s="2998"/>
      <c r="K49" s="2999"/>
      <c r="L49" s="2997" t="str">
        <f>IF('F-LSCD-007'!F28="Hp(0,07)",TEXT('F-LSCD-008'!F30,"#0,0")&amp;" ± "&amp;TEXT('Incert. Irrad. Dosímetros pers'!$O$34*'F-LSCD-008'!F30,"#0,0"),"-")</f>
        <v>03 ± 00</v>
      </c>
      <c r="M49" s="2998"/>
      <c r="N49" s="2998"/>
      <c r="O49" s="2999"/>
      <c r="P49" s="2997" t="str">
        <f>IF('F-LSCD-007'!F28="D(10)",TEXT('F-LSCD-008'!H30,"#0,0")&amp;" ± "&amp;TEXT('Incert. Irrad. Dosímetros pers'!$O$34*'F-LSCD-008'!H30,"#0,0"),"-")</f>
        <v>-</v>
      </c>
      <c r="Q49" s="2998"/>
      <c r="R49" s="2998"/>
      <c r="S49" s="2998"/>
      <c r="T49" s="3000"/>
      <c r="U49" s="1480"/>
      <c r="V49" s="167"/>
    </row>
    <row r="50" spans="1:22" ht="12.75" customHeight="1" thickBot="1" x14ac:dyDescent="0.25">
      <c r="A50" s="165"/>
      <c r="B50" s="166"/>
      <c r="C50" s="212">
        <f>'F-LSCD-008'!B31</f>
        <v>905136</v>
      </c>
      <c r="D50" s="3016" t="str">
        <f>'F-LSCD-008'!C31</f>
        <v>S-Cs (ISO 4037-3)</v>
      </c>
      <c r="E50" s="3016"/>
      <c r="F50" s="3017"/>
      <c r="G50" s="194" t="str">
        <f>'F-LSCD-008'!D31</f>
        <v>0°</v>
      </c>
      <c r="H50" s="3018" t="str">
        <f>IF('F-LSCD-007'!F29="Hp(10)",TEXT('F-LSCD-008'!G31,"#0,0")&amp;" ± "&amp;TEXT('Incert. Irrad. Dosímetros pers'!$O$34*'F-LSCD-008'!G31,"#0,0"),"-")</f>
        <v>-</v>
      </c>
      <c r="I50" s="3019"/>
      <c r="J50" s="3019"/>
      <c r="K50" s="3020"/>
      <c r="L50" s="3018" t="str">
        <f>IF('F-LSCD-007'!F29="Hp(0,07)",TEXT('F-LSCD-008'!F31,"#0,0")&amp;" ± "&amp;TEXT('Incert. Irrad. Dosímetros pers'!$O$34*'F-LSCD-008'!F31,"#0,0"),"-")</f>
        <v>-</v>
      </c>
      <c r="M50" s="3019"/>
      <c r="N50" s="3019"/>
      <c r="O50" s="3020"/>
      <c r="P50" s="3018" t="str">
        <f>IF('F-LSCD-007'!F29="D(10)",TEXT('F-LSCD-008'!H31,"#0,0")&amp;" ± "&amp;TEXT('Incert. Irrad. Dosímetros pers'!$O$34*'F-LSCD-008'!H31,"#0,0"),"-")</f>
        <v>-</v>
      </c>
      <c r="Q50" s="3019"/>
      <c r="R50" s="3019"/>
      <c r="S50" s="3019"/>
      <c r="T50" s="3021"/>
      <c r="U50" s="1480"/>
      <c r="V50" s="167"/>
    </row>
    <row r="51" spans="1:22" x14ac:dyDescent="0.2">
      <c r="A51" s="3022" t="s">
        <v>236</v>
      </c>
      <c r="B51" s="3023"/>
      <c r="C51" s="3023"/>
      <c r="D51" s="3023"/>
      <c r="E51" s="3023"/>
      <c r="F51" s="3023"/>
      <c r="G51" s="3023"/>
      <c r="H51" s="3023"/>
      <c r="I51" s="3023"/>
      <c r="J51" s="3023"/>
      <c r="K51" s="3023"/>
      <c r="L51" s="3023"/>
      <c r="M51" s="3023"/>
      <c r="N51" s="3023"/>
      <c r="O51" s="3023"/>
      <c r="P51" s="3023"/>
      <c r="Q51" s="3023"/>
      <c r="R51" s="3023"/>
      <c r="S51" s="3023"/>
      <c r="T51" s="3023"/>
      <c r="U51" s="3023"/>
      <c r="V51" s="3024"/>
    </row>
    <row r="52" spans="1:22" ht="13.5" thickBot="1" x14ac:dyDescent="0.25">
      <c r="A52" s="3025" t="s">
        <v>279</v>
      </c>
      <c r="B52" s="3026"/>
      <c r="C52" s="3026"/>
      <c r="D52" s="3026"/>
      <c r="E52" s="3026"/>
      <c r="F52" s="3026"/>
      <c r="G52" s="3026"/>
      <c r="H52" s="3026"/>
      <c r="I52" s="3026"/>
      <c r="J52" s="3026"/>
      <c r="K52" s="3026"/>
      <c r="L52" s="3026"/>
      <c r="M52" s="3026"/>
      <c r="N52" s="3026"/>
      <c r="O52" s="3026"/>
      <c r="P52" s="3026"/>
      <c r="Q52" s="3026"/>
      <c r="R52" s="3026"/>
      <c r="S52" s="3026"/>
      <c r="T52" s="3026"/>
      <c r="U52" s="3026"/>
      <c r="V52" s="3027"/>
    </row>
    <row r="53" spans="1:22" ht="13.5" thickBot="1" x14ac:dyDescent="0.25">
      <c r="A53" s="1490"/>
      <c r="B53" s="1491" t="s">
        <v>916</v>
      </c>
      <c r="C53" s="1490"/>
      <c r="D53" s="1490"/>
      <c r="E53" s="1490"/>
      <c r="F53" s="1490"/>
      <c r="G53" s="1490"/>
      <c r="H53" s="1490"/>
      <c r="I53" s="1490"/>
      <c r="J53" s="1490"/>
      <c r="K53" s="1490"/>
      <c r="L53" s="1490"/>
      <c r="M53" s="1490"/>
      <c r="N53" s="1490"/>
      <c r="O53" s="1490"/>
      <c r="P53" s="1490"/>
      <c r="Q53" s="1490"/>
      <c r="R53" s="1490"/>
      <c r="S53" s="1490"/>
      <c r="T53" s="1490"/>
      <c r="U53" s="1492" t="str">
        <f>A4&amp;" "&amp;A5</f>
        <v>INFORME DE ENSAYO N° 017-2019 ALEPH/GR/LSCD</v>
      </c>
      <c r="V53" s="1490"/>
    </row>
    <row r="54" spans="1:22" ht="51" customHeight="1" x14ac:dyDescent="0.2">
      <c r="A54" s="3004" t="s">
        <v>1041</v>
      </c>
      <c r="B54" s="3005"/>
      <c r="C54" s="3005"/>
      <c r="D54" s="3005"/>
      <c r="E54" s="3005"/>
      <c r="F54" s="3005"/>
      <c r="G54" s="3005"/>
      <c r="H54" s="3005"/>
      <c r="I54" s="3005"/>
      <c r="J54" s="3005"/>
      <c r="K54" s="3005"/>
      <c r="L54" s="3005"/>
      <c r="M54" s="3005"/>
      <c r="N54" s="3005"/>
      <c r="O54" s="3005"/>
      <c r="P54" s="3005"/>
      <c r="Q54" s="3005"/>
      <c r="R54" s="3005"/>
      <c r="S54" s="3005"/>
      <c r="T54" s="3005"/>
      <c r="U54" s="3005"/>
      <c r="V54" s="3006"/>
    </row>
    <row r="55" spans="1:22" ht="30" customHeight="1" thickBot="1" x14ac:dyDescent="0.25">
      <c r="A55" s="3166"/>
      <c r="B55" s="3167"/>
      <c r="C55" s="3167"/>
      <c r="D55" s="3167"/>
      <c r="E55" s="3167"/>
      <c r="F55" s="3167"/>
      <c r="G55" s="3167"/>
      <c r="H55" s="3167"/>
      <c r="I55" s="3167"/>
      <c r="J55" s="3167"/>
      <c r="K55" s="3167"/>
      <c r="L55" s="3167"/>
      <c r="M55" s="3167"/>
      <c r="N55" s="3167"/>
      <c r="O55" s="3167"/>
      <c r="P55" s="3167"/>
      <c r="Q55" s="3167"/>
      <c r="R55" s="3167"/>
      <c r="S55" s="3167"/>
      <c r="T55" s="3167"/>
      <c r="U55" s="3167"/>
      <c r="V55" s="3168"/>
    </row>
    <row r="56" spans="1:22" ht="13.5" thickTop="1" x14ac:dyDescent="0.2">
      <c r="A56" s="165"/>
      <c r="V56" s="167"/>
    </row>
    <row r="57" spans="1:22" ht="27" hidden="1" customHeight="1" thickBot="1" x14ac:dyDescent="0.25">
      <c r="A57" s="165"/>
      <c r="C57" s="198" t="s">
        <v>183</v>
      </c>
      <c r="D57" s="3001" t="s">
        <v>235</v>
      </c>
      <c r="E57" s="3002"/>
      <c r="F57" s="3003"/>
      <c r="G57" s="189" t="s">
        <v>204</v>
      </c>
      <c r="H57" s="3028" t="s">
        <v>207</v>
      </c>
      <c r="I57" s="3029"/>
      <c r="J57" s="3029"/>
      <c r="K57" s="3030"/>
      <c r="L57" s="3028" t="s">
        <v>206</v>
      </c>
      <c r="M57" s="3029"/>
      <c r="N57" s="3029"/>
      <c r="O57" s="3030"/>
      <c r="P57" s="3028" t="s">
        <v>208</v>
      </c>
      <c r="Q57" s="3029"/>
      <c r="R57" s="3029"/>
      <c r="S57" s="3029"/>
      <c r="T57" s="3030"/>
      <c r="U57" s="1480"/>
      <c r="V57" s="167"/>
    </row>
    <row r="58" spans="1:22" ht="15" hidden="1" customHeight="1" x14ac:dyDescent="0.2">
      <c r="A58" s="165"/>
      <c r="C58" s="210" t="e">
        <f>'F-LSCD-008'!#REF!</f>
        <v>#REF!</v>
      </c>
      <c r="D58" s="3007" t="e">
        <f>'F-LSCD-008'!#REF!</f>
        <v>#REF!</v>
      </c>
      <c r="E58" s="3008"/>
      <c r="F58" s="3009"/>
      <c r="G58" s="190" t="e">
        <f>'F-LSCD-008'!#REF!</f>
        <v>#REF!</v>
      </c>
      <c r="H58" s="3031" t="e">
        <f>'F-LSCD-008'!#REF!</f>
        <v>#REF!</v>
      </c>
      <c r="I58" s="3032"/>
      <c r="J58" s="191" t="s">
        <v>78</v>
      </c>
      <c r="K58" s="1476" t="e">
        <f>4.73/100*H58</f>
        <v>#REF!</v>
      </c>
      <c r="L58" s="3031"/>
      <c r="M58" s="3032"/>
      <c r="N58" s="1484" t="s">
        <v>93</v>
      </c>
      <c r="O58" s="1485"/>
      <c r="P58" s="3031"/>
      <c r="Q58" s="3032"/>
      <c r="R58" s="3032"/>
      <c r="S58" s="1484" t="s">
        <v>93</v>
      </c>
      <c r="T58" s="1485"/>
      <c r="U58" s="1480"/>
      <c r="V58" s="167"/>
    </row>
    <row r="59" spans="1:22" hidden="1" x14ac:dyDescent="0.2">
      <c r="A59" s="165"/>
      <c r="C59" s="211" t="e">
        <f>'F-LSCD-008'!#REF!</f>
        <v>#REF!</v>
      </c>
      <c r="D59" s="2995" t="e">
        <f>'F-LSCD-008'!#REF!</f>
        <v>#REF!</v>
      </c>
      <c r="E59" s="2995"/>
      <c r="F59" s="2996"/>
      <c r="G59" s="192" t="e">
        <f>'F-LSCD-008'!#REF!</f>
        <v>#REF!</v>
      </c>
      <c r="H59" s="3035" t="e">
        <f>'F-LSCD-008'!#REF!</f>
        <v>#REF!</v>
      </c>
      <c r="I59" s="3036"/>
      <c r="J59" s="193" t="s">
        <v>78</v>
      </c>
      <c r="K59" s="1474" t="e">
        <f>4.73/100*H59</f>
        <v>#REF!</v>
      </c>
      <c r="L59" s="3035"/>
      <c r="M59" s="3036"/>
      <c r="N59" s="1486" t="s">
        <v>93</v>
      </c>
      <c r="O59" s="1487"/>
      <c r="P59" s="3035"/>
      <c r="Q59" s="3036"/>
      <c r="R59" s="3036"/>
      <c r="S59" s="1486" t="s">
        <v>93</v>
      </c>
      <c r="T59" s="1487"/>
      <c r="U59" s="1480"/>
      <c r="V59" s="167"/>
    </row>
    <row r="60" spans="1:22" hidden="1" x14ac:dyDescent="0.2">
      <c r="A60" s="165"/>
      <c r="C60" s="211" t="e">
        <f>'F-LSCD-008'!#REF!</f>
        <v>#REF!</v>
      </c>
      <c r="D60" s="2995" t="e">
        <f>'F-LSCD-008'!#REF!</f>
        <v>#REF!</v>
      </c>
      <c r="E60" s="2995"/>
      <c r="F60" s="2996"/>
      <c r="G60" s="192" t="e">
        <f>'F-LSCD-008'!#REF!</f>
        <v>#REF!</v>
      </c>
      <c r="H60" s="3035" t="e">
        <f>'F-LSCD-008'!#REF!</f>
        <v>#REF!</v>
      </c>
      <c r="I60" s="3036"/>
      <c r="J60" s="193" t="s">
        <v>78</v>
      </c>
      <c r="K60" s="1474" t="e">
        <f>4.73/100*H60</f>
        <v>#REF!</v>
      </c>
      <c r="L60" s="3035"/>
      <c r="M60" s="3036"/>
      <c r="N60" s="1486" t="s">
        <v>93</v>
      </c>
      <c r="O60" s="1487"/>
      <c r="P60" s="3035"/>
      <c r="Q60" s="3036"/>
      <c r="R60" s="3036"/>
      <c r="S60" s="1486" t="s">
        <v>93</v>
      </c>
      <c r="T60" s="1487"/>
      <c r="U60" s="1480"/>
      <c r="V60" s="167"/>
    </row>
    <row r="61" spans="1:22" ht="13.5" hidden="1" thickBot="1" x14ac:dyDescent="0.25">
      <c r="A61" s="165"/>
      <c r="C61" s="212" t="e">
        <f>'F-LSCD-008'!#REF!</f>
        <v>#REF!</v>
      </c>
      <c r="D61" s="3016" t="e">
        <f>'F-LSCD-008'!#REF!</f>
        <v>#REF!</v>
      </c>
      <c r="E61" s="3016"/>
      <c r="F61" s="3017"/>
      <c r="G61" s="194" t="e">
        <f>'F-LSCD-008'!#REF!</f>
        <v>#REF!</v>
      </c>
      <c r="H61" s="3033" t="e">
        <f>'F-LSCD-008'!#REF!</f>
        <v>#REF!</v>
      </c>
      <c r="I61" s="3034"/>
      <c r="J61" s="216" t="s">
        <v>78</v>
      </c>
      <c r="K61" s="1475" t="e">
        <f>4.73/100*H61</f>
        <v>#REF!</v>
      </c>
      <c r="L61" s="3033"/>
      <c r="M61" s="3034"/>
      <c r="N61" s="1493" t="s">
        <v>93</v>
      </c>
      <c r="O61" s="1494"/>
      <c r="P61" s="3033"/>
      <c r="Q61" s="3034"/>
      <c r="R61" s="3034"/>
      <c r="S61" s="1493" t="s">
        <v>93</v>
      </c>
      <c r="T61" s="1494"/>
      <c r="U61" s="1480"/>
      <c r="V61" s="167"/>
    </row>
    <row r="62" spans="1:22" x14ac:dyDescent="0.2">
      <c r="A62" s="165"/>
      <c r="C62" s="214"/>
      <c r="D62" s="1264"/>
      <c r="E62" s="1264"/>
      <c r="F62" s="1264"/>
      <c r="G62" s="1472"/>
      <c r="H62" s="1495"/>
      <c r="I62" s="1495"/>
      <c r="J62" s="215"/>
      <c r="K62" s="1473"/>
      <c r="L62" s="1495"/>
      <c r="M62" s="1495"/>
      <c r="N62" s="1495"/>
      <c r="O62" s="1495"/>
      <c r="P62" s="1495"/>
      <c r="Q62" s="1495"/>
      <c r="R62" s="1495"/>
      <c r="S62" s="1495"/>
      <c r="T62" s="1495"/>
      <c r="U62" s="1480"/>
      <c r="V62" s="167"/>
    </row>
    <row r="63" spans="1:22" x14ac:dyDescent="0.2">
      <c r="A63" s="165"/>
      <c r="C63" s="163">
        <f>'F-LSCD-008'!N14</f>
        <v>43802</v>
      </c>
      <c r="D63" s="1264"/>
      <c r="E63" s="1264"/>
      <c r="F63" s="1264"/>
      <c r="G63" s="1472"/>
      <c r="H63" s="1495"/>
      <c r="I63" s="1495"/>
      <c r="J63" s="215"/>
      <c r="K63" s="1473"/>
      <c r="L63" s="1495"/>
      <c r="M63" s="1495"/>
      <c r="N63" s="1495"/>
      <c r="O63" s="1495"/>
      <c r="P63" s="1495"/>
      <c r="Q63" s="1495"/>
      <c r="R63" s="1495"/>
      <c r="S63" s="1495"/>
      <c r="T63" s="1495"/>
      <c r="U63" s="1480"/>
      <c r="V63" s="167"/>
    </row>
    <row r="64" spans="1:22" x14ac:dyDescent="0.2">
      <c r="A64" s="165"/>
      <c r="G64" s="213"/>
      <c r="U64" s="1480"/>
      <c r="V64" s="167"/>
    </row>
    <row r="65" spans="1:22" x14ac:dyDescent="0.2">
      <c r="A65" s="165"/>
      <c r="U65" s="1480"/>
      <c r="V65" s="167"/>
    </row>
    <row r="66" spans="1:22" ht="12.75" customHeight="1" x14ac:dyDescent="0.2">
      <c r="A66" s="165"/>
      <c r="B66" s="168"/>
      <c r="U66" s="1480"/>
      <c r="V66" s="167"/>
    </row>
    <row r="67" spans="1:22" ht="12.75" customHeight="1" x14ac:dyDescent="0.2">
      <c r="A67" s="165"/>
      <c r="B67" s="166"/>
      <c r="U67" s="1480"/>
      <c r="V67" s="167"/>
    </row>
    <row r="68" spans="1:22" ht="12.75" customHeight="1" x14ac:dyDescent="0.2">
      <c r="A68" s="165"/>
      <c r="U68" s="1480"/>
      <c r="V68" s="167"/>
    </row>
    <row r="69" spans="1:22" ht="12.75" customHeight="1" x14ac:dyDescent="0.2">
      <c r="A69" s="165"/>
      <c r="U69" s="1480"/>
      <c r="V69" s="167"/>
    </row>
    <row r="70" spans="1:22" ht="12.75" customHeight="1" x14ac:dyDescent="0.2">
      <c r="A70" s="165"/>
      <c r="U70" s="1480"/>
      <c r="V70" s="167"/>
    </row>
    <row r="71" spans="1:22" ht="12.75" customHeight="1" x14ac:dyDescent="0.2">
      <c r="A71" s="165"/>
      <c r="B71" s="166"/>
      <c r="U71" s="1480"/>
      <c r="V71" s="167"/>
    </row>
    <row r="72" spans="1:22" ht="12.75" customHeight="1" x14ac:dyDescent="0.2">
      <c r="A72" s="165"/>
      <c r="B72" s="166"/>
      <c r="C72" s="166"/>
      <c r="D72" s="166"/>
      <c r="E72" s="166"/>
      <c r="F72" s="166"/>
      <c r="G72" s="200"/>
      <c r="H72" s="200"/>
      <c r="I72" s="200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480"/>
      <c r="V72" s="167"/>
    </row>
    <row r="73" spans="1:22" ht="12.75" customHeight="1" x14ac:dyDescent="0.2">
      <c r="A73" s="165"/>
      <c r="B73" s="166"/>
      <c r="C73" s="175"/>
      <c r="D73" s="175"/>
      <c r="E73" s="175"/>
      <c r="F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480"/>
      <c r="V73" s="167"/>
    </row>
    <row r="74" spans="1:22" ht="12.75" customHeight="1" x14ac:dyDescent="0.2">
      <c r="A74" s="165"/>
      <c r="C74" s="175"/>
      <c r="D74" s="175"/>
      <c r="E74" s="175"/>
      <c r="F74" s="175"/>
      <c r="G74" s="1407"/>
      <c r="H74" s="1407"/>
      <c r="I74" s="1407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480"/>
      <c r="V74" s="167"/>
    </row>
    <row r="75" spans="1:22" ht="13.5" customHeight="1" thickBot="1" x14ac:dyDescent="0.25">
      <c r="A75" s="195"/>
      <c r="B75" s="196"/>
      <c r="C75" s="1878" t="s">
        <v>1245</v>
      </c>
      <c r="D75" s="196"/>
      <c r="E75" s="196"/>
      <c r="F75" s="196"/>
      <c r="G75" s="196"/>
      <c r="H75" s="196"/>
      <c r="I75" s="196"/>
      <c r="J75" s="196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7"/>
    </row>
    <row r="76" spans="1:22" ht="13.5" thickTop="1" x14ac:dyDescent="0.2">
      <c r="A76" s="3022" t="s">
        <v>236</v>
      </c>
      <c r="B76" s="3023"/>
      <c r="C76" s="3023"/>
      <c r="D76" s="3023"/>
      <c r="E76" s="3023"/>
      <c r="F76" s="3023"/>
      <c r="G76" s="3023"/>
      <c r="H76" s="3023"/>
      <c r="I76" s="3023"/>
      <c r="J76" s="3023"/>
      <c r="K76" s="3023"/>
      <c r="L76" s="3023"/>
      <c r="M76" s="3023"/>
      <c r="N76" s="3023"/>
      <c r="O76" s="3023"/>
      <c r="P76" s="3023"/>
      <c r="Q76" s="3023"/>
      <c r="R76" s="3023"/>
      <c r="S76" s="3023"/>
      <c r="T76" s="3023"/>
      <c r="U76" s="3023"/>
      <c r="V76" s="3024"/>
    </row>
    <row r="77" spans="1:22" ht="13.5" thickBot="1" x14ac:dyDescent="0.25">
      <c r="A77" s="3025" t="s">
        <v>279</v>
      </c>
      <c r="B77" s="3026"/>
      <c r="C77" s="3026"/>
      <c r="D77" s="3026"/>
      <c r="E77" s="3026"/>
      <c r="F77" s="3026"/>
      <c r="G77" s="3026"/>
      <c r="H77" s="3026"/>
      <c r="I77" s="3026"/>
      <c r="J77" s="3026"/>
      <c r="K77" s="3026"/>
      <c r="L77" s="3026"/>
      <c r="M77" s="3026"/>
      <c r="N77" s="3026"/>
      <c r="O77" s="3026"/>
      <c r="P77" s="3026"/>
      <c r="Q77" s="3026"/>
      <c r="R77" s="3026"/>
      <c r="S77" s="3026"/>
      <c r="T77" s="3026"/>
      <c r="U77" s="3026"/>
      <c r="V77" s="3027"/>
    </row>
    <row r="78" spans="1:22" x14ac:dyDescent="0.2">
      <c r="B78" s="1356" t="s">
        <v>917</v>
      </c>
      <c r="U78" s="1357" t="str">
        <f>A4&amp;" "&amp;A5</f>
        <v>INFORME DE ENSAYO N° 017-2019 ALEPH/GR/LSCD</v>
      </c>
    </row>
  </sheetData>
  <autoFilter ref="A36:V55" xr:uid="{00000000-0009-0000-0000-000025000000}">
    <filterColumn colId="3" showButton="0"/>
    <filterColumn colId="4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</autoFilter>
  <mergeCells count="105">
    <mergeCell ref="P37:T37"/>
    <mergeCell ref="P38:T38"/>
    <mergeCell ref="P39:T39"/>
    <mergeCell ref="P40:T40"/>
    <mergeCell ref="P41:T41"/>
    <mergeCell ref="P42:T42"/>
    <mergeCell ref="P43:T43"/>
    <mergeCell ref="P44:T44"/>
    <mergeCell ref="P45:T45"/>
    <mergeCell ref="H44:K44"/>
    <mergeCell ref="H45:K45"/>
    <mergeCell ref="L37:O37"/>
    <mergeCell ref="L38:O38"/>
    <mergeCell ref="L39:O39"/>
    <mergeCell ref="L40:O40"/>
    <mergeCell ref="L41:O41"/>
    <mergeCell ref="L42:O42"/>
    <mergeCell ref="L43:O43"/>
    <mergeCell ref="L44:O44"/>
    <mergeCell ref="L45:O45"/>
    <mergeCell ref="D44:F44"/>
    <mergeCell ref="D45:F45"/>
    <mergeCell ref="D46:F46"/>
    <mergeCell ref="D47:F47"/>
    <mergeCell ref="D48:F48"/>
    <mergeCell ref="H46:K46"/>
    <mergeCell ref="H47:K47"/>
    <mergeCell ref="A76:V76"/>
    <mergeCell ref="A77:V77"/>
    <mergeCell ref="H61:I61"/>
    <mergeCell ref="L61:M61"/>
    <mergeCell ref="P61:R61"/>
    <mergeCell ref="D58:F58"/>
    <mergeCell ref="P59:R59"/>
    <mergeCell ref="A54:V55"/>
    <mergeCell ref="D57:F57"/>
    <mergeCell ref="H57:K57"/>
    <mergeCell ref="L57:O57"/>
    <mergeCell ref="P57:T57"/>
    <mergeCell ref="H58:I58"/>
    <mergeCell ref="L58:M58"/>
    <mergeCell ref="P58:R58"/>
    <mergeCell ref="D59:F59"/>
    <mergeCell ref="H59:I59"/>
    <mergeCell ref="D61:F61"/>
    <mergeCell ref="H48:K48"/>
    <mergeCell ref="L46:O46"/>
    <mergeCell ref="L47:O47"/>
    <mergeCell ref="L48:O48"/>
    <mergeCell ref="H49:K49"/>
    <mergeCell ref="H50:K50"/>
    <mergeCell ref="L49:O49"/>
    <mergeCell ref="L50:O50"/>
    <mergeCell ref="A52:V52"/>
    <mergeCell ref="D49:F49"/>
    <mergeCell ref="D50:F50"/>
    <mergeCell ref="D60:F60"/>
    <mergeCell ref="H60:I60"/>
    <mergeCell ref="L60:M60"/>
    <mergeCell ref="P60:R60"/>
    <mergeCell ref="A51:V51"/>
    <mergeCell ref="L59:M59"/>
    <mergeCell ref="P49:T49"/>
    <mergeCell ref="P50:T50"/>
    <mergeCell ref="P47:T47"/>
    <mergeCell ref="P48:T48"/>
    <mergeCell ref="P46:T46"/>
    <mergeCell ref="D38:F38"/>
    <mergeCell ref="D41:F41"/>
    <mergeCell ref="D39:F39"/>
    <mergeCell ref="D40:F40"/>
    <mergeCell ref="D37:F37"/>
    <mergeCell ref="D42:F42"/>
    <mergeCell ref="D43:F43"/>
    <mergeCell ref="E16:O16"/>
    <mergeCell ref="E20:O21"/>
    <mergeCell ref="H37:K37"/>
    <mergeCell ref="H38:K38"/>
    <mergeCell ref="H39:K39"/>
    <mergeCell ref="H40:K40"/>
    <mergeCell ref="H41:K41"/>
    <mergeCell ref="H42:K42"/>
    <mergeCell ref="H43:K43"/>
    <mergeCell ref="A2:V3"/>
    <mergeCell ref="A4:V4"/>
    <mergeCell ref="A5:V5"/>
    <mergeCell ref="A6:V6"/>
    <mergeCell ref="A7:V7"/>
    <mergeCell ref="A8:V8"/>
    <mergeCell ref="Q12:U18"/>
    <mergeCell ref="E18:O18"/>
    <mergeCell ref="E28:O28"/>
    <mergeCell ref="Q30:U33"/>
    <mergeCell ref="E31:F31"/>
    <mergeCell ref="D36:F36"/>
    <mergeCell ref="H36:K36"/>
    <mergeCell ref="L36:O36"/>
    <mergeCell ref="P36:T36"/>
    <mergeCell ref="E32:I32"/>
    <mergeCell ref="Q21:U28"/>
    <mergeCell ref="E25:O25"/>
    <mergeCell ref="E27:O27"/>
    <mergeCell ref="E29:O29"/>
    <mergeCell ref="Q29:U29"/>
    <mergeCell ref="E30:O30"/>
  </mergeCells>
  <conditionalFormatting sqref="E33 K33:P33">
    <cfRule type="cellIs" dxfId="92" priority="7" operator="equal">
      <formula>0</formula>
    </cfRule>
  </conditionalFormatting>
  <conditionalFormatting sqref="E26:P26 F12:P14 K31:P33 E27:E31 P27 E33">
    <cfRule type="cellIs" dxfId="91" priority="6" operator="equal">
      <formula>0</formula>
    </cfRule>
  </conditionalFormatting>
  <conditionalFormatting sqref="E26:P26 F12:P14 K31:P33 E27:E31 P27 E33">
    <cfRule type="containsErrors" dxfId="90" priority="5">
      <formula>ISERROR(E12)</formula>
    </cfRule>
  </conditionalFormatting>
  <conditionalFormatting sqref="E12:E14">
    <cfRule type="cellIs" dxfId="89" priority="4" operator="equal">
      <formula>0</formula>
    </cfRule>
  </conditionalFormatting>
  <conditionalFormatting sqref="E12:E14">
    <cfRule type="containsErrors" dxfId="88" priority="3">
      <formula>ISERROR(E12)</formula>
    </cfRule>
  </conditionalFormatting>
  <conditionalFormatting sqref="E32">
    <cfRule type="cellIs" dxfId="87" priority="2" operator="equal">
      <formula>0</formula>
    </cfRule>
  </conditionalFormatting>
  <conditionalFormatting sqref="E32">
    <cfRule type="containsErrors" dxfId="86" priority="1">
      <formula>ISERROR(E32)</formula>
    </cfRule>
  </conditionalFormatting>
  <pageMargins left="0.27559055118110237" right="3.937007874015748E-2" top="0.23622047244094491" bottom="0" header="0.31496062992125984" footer="0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Y84"/>
  <sheetViews>
    <sheetView view="pageLayout" topLeftCell="A14" zoomScaleNormal="100" workbookViewId="0">
      <selection activeCell="E20" sqref="E20"/>
    </sheetView>
  </sheetViews>
  <sheetFormatPr baseColWidth="10" defaultColWidth="11.42578125" defaultRowHeight="12.75" x14ac:dyDescent="0.2"/>
  <cols>
    <col min="1" max="1" width="1.85546875" style="163" customWidth="1"/>
    <col min="2" max="2" width="2.42578125" style="163" customWidth="1"/>
    <col min="3" max="3" width="23" style="163" customWidth="1"/>
    <col min="4" max="4" width="1.5703125" style="163" customWidth="1"/>
    <col min="5" max="5" width="7.42578125" style="163" customWidth="1"/>
    <col min="6" max="6" width="6.570312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4.5703125" style="163" customWidth="1"/>
    <col min="16" max="16" width="0.7109375" style="163" customWidth="1"/>
    <col min="17" max="18" width="3" style="163" customWidth="1"/>
    <col min="19" max="19" width="2.42578125" style="163" customWidth="1"/>
    <col min="20" max="20" width="5.140625" style="163" customWidth="1"/>
    <col min="21" max="21" width="6.1406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3004" t="s">
        <v>1238</v>
      </c>
      <c r="B2" s="3005"/>
      <c r="C2" s="3005"/>
      <c r="D2" s="3005"/>
      <c r="E2" s="3005"/>
      <c r="F2" s="3005"/>
      <c r="G2" s="3005"/>
      <c r="H2" s="3005"/>
      <c r="I2" s="3005"/>
      <c r="J2" s="3005"/>
      <c r="K2" s="3005"/>
      <c r="L2" s="3005"/>
      <c r="M2" s="3005"/>
      <c r="N2" s="3005"/>
      <c r="O2" s="3005"/>
      <c r="P2" s="3005"/>
      <c r="Q2" s="3005"/>
      <c r="R2" s="3005"/>
      <c r="S2" s="3005"/>
      <c r="T2" s="3005"/>
      <c r="U2" s="3005"/>
      <c r="V2" s="3006"/>
    </row>
    <row r="3" spans="1:25" ht="27.75" customHeight="1" thickBot="1" x14ac:dyDescent="0.25">
      <c r="A3" s="3166"/>
      <c r="B3" s="3167"/>
      <c r="C3" s="3167"/>
      <c r="D3" s="3167"/>
      <c r="E3" s="3167"/>
      <c r="F3" s="3167"/>
      <c r="G3" s="3167"/>
      <c r="H3" s="3167"/>
      <c r="I3" s="3167"/>
      <c r="J3" s="3167"/>
      <c r="K3" s="3167"/>
      <c r="L3" s="3167"/>
      <c r="M3" s="3167"/>
      <c r="N3" s="3167"/>
      <c r="O3" s="3167"/>
      <c r="P3" s="3167"/>
      <c r="Q3" s="3167"/>
      <c r="R3" s="3167"/>
      <c r="S3" s="3167"/>
      <c r="T3" s="3167"/>
      <c r="U3" s="3167"/>
      <c r="V3" s="3168"/>
    </row>
    <row r="4" spans="1:25" ht="16.5" thickTop="1" x14ac:dyDescent="0.25">
      <c r="A4" s="2953" t="str">
        <f>"INFORME DE ENSAYO "&amp;"N° "&amp;'F-LSCD-008'!J14&amp;" ALEPH/GR/LSCD"</f>
        <v>INFORME DE ENSAYO N° 017-2019 ALEPH/GR/LSCD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881" t="s">
        <v>253</v>
      </c>
      <c r="B5" s="2980"/>
      <c r="C5" s="2980"/>
      <c r="D5" s="2980"/>
      <c r="E5" s="2980"/>
      <c r="F5" s="2980"/>
      <c r="G5" s="2980"/>
      <c r="H5" s="2980"/>
      <c r="I5" s="2980"/>
      <c r="J5" s="2980"/>
      <c r="K5" s="2980"/>
      <c r="L5" s="2980"/>
      <c r="M5" s="2980"/>
      <c r="N5" s="2980"/>
      <c r="O5" s="2980"/>
      <c r="P5" s="2980"/>
      <c r="Q5" s="2980"/>
      <c r="R5" s="2980"/>
      <c r="S5" s="2980"/>
      <c r="T5" s="2980"/>
      <c r="U5" s="2980"/>
      <c r="V5" s="2981"/>
    </row>
    <row r="6" spans="1:25" ht="15.75" x14ac:dyDescent="0.2">
      <c r="A6" s="2881" t="s">
        <v>1119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x14ac:dyDescent="0.2">
      <c r="A7" s="2982"/>
      <c r="B7" s="2983"/>
      <c r="C7" s="2983"/>
      <c r="D7" s="2983"/>
      <c r="E7" s="2983"/>
      <c r="F7" s="2983"/>
      <c r="G7" s="2983"/>
      <c r="H7" s="2983"/>
      <c r="I7" s="2983"/>
      <c r="J7" s="2983"/>
      <c r="K7" s="2983"/>
      <c r="L7" s="2983"/>
      <c r="M7" s="2983"/>
      <c r="N7" s="2983"/>
      <c r="O7" s="2983"/>
      <c r="P7" s="2983"/>
      <c r="Q7" s="2983"/>
      <c r="R7" s="2983"/>
      <c r="S7" s="2983"/>
      <c r="T7" s="2983"/>
      <c r="U7" s="2983"/>
      <c r="V7" s="2984"/>
    </row>
    <row r="8" spans="1:25" ht="15" customHeight="1" x14ac:dyDescent="0.2">
      <c r="A8" s="165"/>
      <c r="B8" s="166" t="s">
        <v>1105</v>
      </c>
      <c r="D8" s="166" t="s">
        <v>218</v>
      </c>
      <c r="E8" s="1555" t="str">
        <f>'F-LSCD-008'!H6</f>
        <v>ALEPH GROUP &amp; ASOCIADOS S.A.C.</v>
      </c>
      <c r="Q8" s="2904" t="s">
        <v>862</v>
      </c>
      <c r="R8" s="2905"/>
      <c r="S8" s="2905"/>
      <c r="T8" s="2905"/>
      <c r="U8" s="2905"/>
      <c r="V8" s="167"/>
    </row>
    <row r="9" spans="1:25" ht="12.75" customHeight="1" x14ac:dyDescent="0.2">
      <c r="A9" s="165"/>
      <c r="E9" s="1555" t="str">
        <f>'F-LSCD-008'!C7</f>
        <v>Av. Rafel Escardó, 154</v>
      </c>
      <c r="Q9" s="2904"/>
      <c r="R9" s="2905"/>
      <c r="S9" s="2905"/>
      <c r="T9" s="2905"/>
      <c r="U9" s="2905"/>
      <c r="V9" s="167"/>
      <c r="Y9" s="168"/>
    </row>
    <row r="10" spans="1:25" x14ac:dyDescent="0.2">
      <c r="A10" s="165"/>
      <c r="E10" s="163" t="str">
        <f>'F-LSCD-008'!H7&amp;", "&amp;'F-LSCD-008'!K7&amp;", "&amp;'F-LSCD-008'!O7</f>
        <v>San Miguel, Lima, Lima</v>
      </c>
      <c r="Q10" s="2904"/>
      <c r="R10" s="2905"/>
      <c r="S10" s="2905"/>
      <c r="T10" s="2905"/>
      <c r="U10" s="2905"/>
      <c r="V10" s="167"/>
      <c r="X10" s="169"/>
      <c r="Y10" s="168"/>
    </row>
    <row r="11" spans="1:25" ht="9.75" customHeight="1" x14ac:dyDescent="0.2">
      <c r="A11" s="165"/>
      <c r="Q11" s="2904"/>
      <c r="R11" s="2905"/>
      <c r="S11" s="2905"/>
      <c r="T11" s="2905"/>
      <c r="U11" s="2905"/>
      <c r="V11" s="167"/>
    </row>
    <row r="12" spans="1:25" x14ac:dyDescent="0.2">
      <c r="A12" s="165"/>
      <c r="B12" s="170" t="s">
        <v>1106</v>
      </c>
      <c r="C12" s="171"/>
      <c r="D12" s="170" t="s">
        <v>218</v>
      </c>
      <c r="E12" s="2989" t="str">
        <f>'F-LSCD-008'!C6</f>
        <v>Solicitud N° 017-2019, según F-LD-018</v>
      </c>
      <c r="F12" s="2990"/>
      <c r="G12" s="2990"/>
      <c r="H12" s="2990"/>
      <c r="I12" s="2990"/>
      <c r="J12" s="2990"/>
      <c r="K12" s="2990"/>
      <c r="L12" s="2990"/>
      <c r="M12" s="2990"/>
      <c r="N12" s="2990"/>
      <c r="O12" s="2990"/>
      <c r="P12" s="172"/>
      <c r="Q12" s="2904"/>
      <c r="R12" s="2905"/>
      <c r="S12" s="2905"/>
      <c r="T12" s="2905"/>
      <c r="U12" s="2905"/>
      <c r="V12" s="167"/>
      <c r="W12" s="203"/>
      <c r="Y12" s="168"/>
    </row>
    <row r="13" spans="1:25" ht="9.75" customHeight="1" x14ac:dyDescent="0.2">
      <c r="A13" s="165"/>
      <c r="Q13" s="2904"/>
      <c r="R13" s="2905"/>
      <c r="S13" s="2905"/>
      <c r="T13" s="2905"/>
      <c r="U13" s="2905"/>
      <c r="V13" s="167"/>
    </row>
    <row r="14" spans="1:25" x14ac:dyDescent="0.2">
      <c r="A14" s="165"/>
      <c r="B14" s="170" t="s">
        <v>1154</v>
      </c>
      <c r="D14" s="175" t="s">
        <v>218</v>
      </c>
      <c r="E14" s="163" t="s">
        <v>1134</v>
      </c>
      <c r="Q14" s="2904"/>
      <c r="R14" s="2905"/>
      <c r="S14" s="2905"/>
      <c r="T14" s="2905"/>
      <c r="U14" s="2905"/>
      <c r="V14" s="167"/>
    </row>
    <row r="15" spans="1:25" ht="9.75" customHeight="1" x14ac:dyDescent="0.2">
      <c r="A15" s="165"/>
      <c r="Q15" s="2904"/>
      <c r="R15" s="2905"/>
      <c r="S15" s="2905"/>
      <c r="T15" s="2905"/>
      <c r="U15" s="2905"/>
      <c r="V15" s="167"/>
    </row>
    <row r="16" spans="1:25" x14ac:dyDescent="0.2">
      <c r="A16" s="165"/>
      <c r="B16" s="170" t="s">
        <v>1277</v>
      </c>
      <c r="C16" s="990"/>
      <c r="D16" s="170" t="s">
        <v>218</v>
      </c>
      <c r="E16" s="2991" t="str">
        <f>'F-LSCD-008'!C9&amp;", Marca: "&amp;'F-LSCD-008'!H9&amp;", Modelo: "&amp;'F-LSCD-008'!N9</f>
        <v>Dosímetros personales, Marca: Panasonic, Modelo: UD 802-AT</v>
      </c>
      <c r="F16" s="2991"/>
      <c r="G16" s="2991"/>
      <c r="H16" s="2991"/>
      <c r="I16" s="2991"/>
      <c r="J16" s="2991"/>
      <c r="K16" s="2991"/>
      <c r="L16" s="2991"/>
      <c r="M16" s="2991"/>
      <c r="N16" s="2991"/>
      <c r="O16" s="2991"/>
      <c r="P16" s="173"/>
      <c r="Q16" s="2904"/>
      <c r="R16" s="2905"/>
      <c r="S16" s="2905"/>
      <c r="T16" s="2905"/>
      <c r="U16" s="2905"/>
      <c r="V16" s="167"/>
      <c r="Y16" s="168"/>
    </row>
    <row r="17" spans="1:25" ht="4.5" customHeight="1" x14ac:dyDescent="0.2">
      <c r="A17" s="165"/>
      <c r="B17" s="170"/>
      <c r="C17" s="990"/>
      <c r="D17" s="170"/>
      <c r="E17" s="1904"/>
      <c r="F17" s="1904"/>
      <c r="G17" s="1904"/>
      <c r="H17" s="1904"/>
      <c r="I17" s="1904"/>
      <c r="J17" s="1904"/>
      <c r="K17" s="1904"/>
      <c r="L17" s="1904"/>
      <c r="M17" s="1904"/>
      <c r="N17" s="1904"/>
      <c r="O17" s="1904"/>
      <c r="P17" s="173"/>
      <c r="Q17" s="1902"/>
      <c r="R17" s="1903"/>
      <c r="S17" s="1903"/>
      <c r="T17" s="1903"/>
      <c r="U17" s="1903"/>
      <c r="V17" s="167"/>
      <c r="Y17" s="168"/>
    </row>
    <row r="18" spans="1:25" x14ac:dyDescent="0.2">
      <c r="A18" s="165"/>
      <c r="B18" s="170"/>
      <c r="C18" s="1682" t="s">
        <v>1278</v>
      </c>
      <c r="D18" s="170" t="s">
        <v>218</v>
      </c>
      <c r="E18" s="1904">
        <f>'F-LSCD-008'!M13</f>
        <v>13</v>
      </c>
      <c r="F18" s="1904"/>
      <c r="G18" s="1904"/>
      <c r="H18" s="1904"/>
      <c r="I18" s="1904"/>
      <c r="J18" s="1904"/>
      <c r="K18" s="1904"/>
      <c r="L18" s="1904"/>
      <c r="M18" s="1904"/>
      <c r="N18" s="1904"/>
      <c r="O18" s="1904"/>
      <c r="P18" s="173"/>
      <c r="Q18" s="1902"/>
      <c r="R18" s="1903"/>
      <c r="S18" s="1903"/>
      <c r="T18" s="1903"/>
      <c r="U18" s="1903"/>
      <c r="V18" s="167"/>
      <c r="Y18" s="168"/>
    </row>
    <row r="19" spans="1:25" x14ac:dyDescent="0.2">
      <c r="A19" s="165"/>
      <c r="B19" s="170"/>
      <c r="C19" s="1682" t="s">
        <v>1279</v>
      </c>
      <c r="D19" s="170" t="s">
        <v>218</v>
      </c>
      <c r="E19" s="1904">
        <f>'F-LSCD-008'!Q13</f>
        <v>7</v>
      </c>
      <c r="F19" s="1904"/>
      <c r="G19" s="1904"/>
      <c r="H19" s="1904"/>
      <c r="I19" s="1904"/>
      <c r="J19" s="1904"/>
      <c r="K19" s="1904"/>
      <c r="L19" s="1904"/>
      <c r="M19" s="1904"/>
      <c r="N19" s="1904"/>
      <c r="O19" s="1904"/>
      <c r="P19" s="173"/>
      <c r="Q19" s="1902"/>
      <c r="R19" s="1903"/>
      <c r="S19" s="1903"/>
      <c r="T19" s="1903"/>
      <c r="U19" s="1903"/>
      <c r="V19" s="167"/>
      <c r="Y19" s="168"/>
    </row>
    <row r="20" spans="1:25" ht="11.25" customHeight="1" x14ac:dyDescent="0.2">
      <c r="A20" s="165"/>
      <c r="B20" s="166"/>
      <c r="D20" s="166"/>
      <c r="E20" s="1830"/>
      <c r="F20" s="1830"/>
      <c r="G20" s="1830"/>
      <c r="H20" s="1830"/>
      <c r="I20" s="1830"/>
      <c r="J20" s="1830"/>
      <c r="K20" s="1830"/>
      <c r="L20" s="1830"/>
      <c r="M20" s="1830"/>
      <c r="N20" s="1830"/>
      <c r="O20" s="173"/>
      <c r="P20" s="173"/>
      <c r="Q20" s="174"/>
      <c r="R20" s="173"/>
      <c r="S20" s="173"/>
      <c r="T20" s="1822"/>
      <c r="U20" s="1822"/>
      <c r="V20" s="167"/>
      <c r="Y20" s="168"/>
    </row>
    <row r="21" spans="1:25" x14ac:dyDescent="0.2">
      <c r="A21" s="165"/>
      <c r="B21" s="175" t="s">
        <v>1153</v>
      </c>
      <c r="D21" s="175" t="s">
        <v>218</v>
      </c>
      <c r="E21" s="2992" t="str">
        <f>'F-LSCD-008'!C10</f>
        <v xml:space="preserve">Campo de radiación calibrado usando un fantoma, según ISO 4037-3 (2019), aplicado al PROC-LSCD-001 Irradiación controlada de dosímetros personales (versión 05)
</v>
      </c>
      <c r="F21" s="2991"/>
      <c r="G21" s="2991"/>
      <c r="H21" s="2991"/>
      <c r="I21" s="2991"/>
      <c r="J21" s="2991"/>
      <c r="K21" s="2991"/>
      <c r="L21" s="2991"/>
      <c r="M21" s="2991"/>
      <c r="N21" s="2991"/>
      <c r="O21" s="2991"/>
      <c r="P21" s="1827"/>
      <c r="Q21" s="1834"/>
      <c r="R21" s="1827"/>
      <c r="S21" s="1827"/>
      <c r="T21" s="1822"/>
      <c r="U21" s="1822"/>
      <c r="V21" s="167"/>
    </row>
    <row r="22" spans="1:25" ht="27" customHeight="1" x14ac:dyDescent="0.2">
      <c r="A22" s="165"/>
      <c r="E22" s="2991"/>
      <c r="F22" s="2991"/>
      <c r="G22" s="2991"/>
      <c r="H22" s="2991"/>
      <c r="I22" s="2991"/>
      <c r="J22" s="2991"/>
      <c r="K22" s="2991"/>
      <c r="L22" s="2991"/>
      <c r="M22" s="2991"/>
      <c r="N22" s="2991"/>
      <c r="O22" s="2991"/>
      <c r="P22" s="1827"/>
      <c r="Q22" s="2904" t="s">
        <v>1024</v>
      </c>
      <c r="R22" s="2905"/>
      <c r="S22" s="2905"/>
      <c r="T22" s="2905"/>
      <c r="U22" s="2905"/>
      <c r="V22" s="167"/>
    </row>
    <row r="23" spans="1:25" ht="6.75" customHeight="1" x14ac:dyDescent="0.2">
      <c r="A23" s="165"/>
      <c r="E23" s="177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2904"/>
      <c r="R23" s="2905"/>
      <c r="S23" s="2905"/>
      <c r="T23" s="2905"/>
      <c r="U23" s="2905"/>
      <c r="V23" s="167"/>
    </row>
    <row r="24" spans="1:25" ht="51.75" customHeight="1" x14ac:dyDescent="0.2">
      <c r="A24" s="165"/>
      <c r="B24" s="170" t="s">
        <v>1126</v>
      </c>
      <c r="C24" s="990"/>
      <c r="D24" s="1682" t="s">
        <v>218</v>
      </c>
      <c r="E24" s="3172" t="str">
        <f>'F-LSCD-008'!C11</f>
        <v>Cámara de ionización patrón de 1 L , marca: PTW; modelo: TN32002; serie: 000568; Reporte de calibración de Kerma en aire DG: 13580-21 con fecha 2021-04-01 (NIST); trazable al NIST.</v>
      </c>
      <c r="F24" s="3172"/>
      <c r="G24" s="3172"/>
      <c r="H24" s="3172"/>
      <c r="I24" s="3172"/>
      <c r="J24" s="3172"/>
      <c r="K24" s="3172"/>
      <c r="L24" s="3172"/>
      <c r="M24" s="3172"/>
      <c r="N24" s="3172"/>
      <c r="O24" s="3172"/>
      <c r="P24" s="177"/>
      <c r="Q24" s="2904"/>
      <c r="R24" s="2905"/>
      <c r="S24" s="2905"/>
      <c r="T24" s="2905"/>
      <c r="U24" s="2905"/>
      <c r="V24" s="167"/>
    </row>
    <row r="25" spans="1:25" ht="6.75" customHeight="1" x14ac:dyDescent="0.2">
      <c r="A25" s="165"/>
      <c r="E25" s="177"/>
      <c r="F25" s="177"/>
      <c r="G25" s="177"/>
      <c r="H25" s="177"/>
      <c r="I25" s="177"/>
      <c r="J25" s="177"/>
      <c r="K25" s="177"/>
      <c r="L25" s="177"/>
      <c r="M25" s="177"/>
      <c r="N25" s="177"/>
      <c r="O25" s="177"/>
      <c r="P25" s="177"/>
      <c r="Q25" s="2904"/>
      <c r="R25" s="2905"/>
      <c r="S25" s="2905"/>
      <c r="T25" s="2905"/>
      <c r="U25" s="2905"/>
      <c r="V25" s="167"/>
    </row>
    <row r="26" spans="1:25" x14ac:dyDescent="0.2">
      <c r="A26" s="165"/>
      <c r="B26" s="166" t="s">
        <v>1152</v>
      </c>
      <c r="D26" s="166" t="s">
        <v>218</v>
      </c>
      <c r="Q26" s="2904"/>
      <c r="R26" s="2905"/>
      <c r="S26" s="2905"/>
      <c r="T26" s="2905"/>
      <c r="U26" s="2905"/>
      <c r="V26" s="167"/>
      <c r="Y26" s="168"/>
    </row>
    <row r="27" spans="1:25" ht="6.75" customHeight="1" x14ac:dyDescent="0.2">
      <c r="A27" s="165"/>
      <c r="E27" s="1832"/>
      <c r="F27" s="1832"/>
      <c r="G27" s="1832"/>
      <c r="H27" s="1832"/>
      <c r="I27" s="1832"/>
      <c r="J27" s="1832"/>
      <c r="K27" s="1832"/>
      <c r="L27" s="1832"/>
      <c r="M27" s="1832"/>
      <c r="N27" s="1832"/>
      <c r="Q27" s="2904"/>
      <c r="R27" s="2905"/>
      <c r="S27" s="2905"/>
      <c r="T27" s="2905"/>
      <c r="U27" s="2905"/>
      <c r="V27" s="167"/>
    </row>
    <row r="28" spans="1:25" ht="12" customHeight="1" x14ac:dyDescent="0.2">
      <c r="A28" s="165"/>
      <c r="C28" s="170" t="s">
        <v>203</v>
      </c>
      <c r="D28" s="1835" t="s">
        <v>218</v>
      </c>
      <c r="E28" s="180" t="str">
        <f>'F-LSCD-004'!H9</f>
        <v>S-Cs (ISO 4037-3)</v>
      </c>
      <c r="F28" s="180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2904"/>
      <c r="R28" s="2905"/>
      <c r="S28" s="2905"/>
      <c r="T28" s="2905"/>
      <c r="U28" s="2905"/>
      <c r="V28" s="167"/>
    </row>
    <row r="29" spans="1:25" ht="27" customHeight="1" x14ac:dyDescent="0.2">
      <c r="A29" s="165"/>
      <c r="C29" s="170" t="s">
        <v>138</v>
      </c>
      <c r="D29" s="1835" t="s">
        <v>218</v>
      </c>
      <c r="E29" s="3171" t="str">
        <f>'F-LSCD-008'!C14</f>
        <v>Dosis equivalente personal, Hp(10) / Dosis equivalente personal, Hp(0,07)</v>
      </c>
      <c r="F29" s="3171"/>
      <c r="G29" s="3171"/>
      <c r="H29" s="3171"/>
      <c r="I29" s="3171"/>
      <c r="J29" s="3171"/>
      <c r="K29" s="3171"/>
      <c r="L29" s="3171"/>
      <c r="M29" s="3171"/>
      <c r="N29" s="3171"/>
      <c r="O29" s="3171"/>
      <c r="P29" s="180"/>
      <c r="Q29" s="2904"/>
      <c r="R29" s="2905"/>
      <c r="S29" s="2905"/>
      <c r="T29" s="2905"/>
      <c r="U29" s="2905"/>
      <c r="V29" s="167"/>
    </row>
    <row r="30" spans="1:25" x14ac:dyDescent="0.2">
      <c r="A30" s="165"/>
      <c r="C30" s="170" t="s">
        <v>1110</v>
      </c>
      <c r="D30" s="1835" t="s">
        <v>218</v>
      </c>
      <c r="E30" s="3173" t="str">
        <f>"Inicio: "&amp;FIXED('F-LSCD-008'!K18,1)&amp;" °C ; "&amp;"Final: "&amp;FIXED('F-LSCD-008'!O18,1)&amp;" °C"</f>
        <v>Inicio: 20.6 °C ; Final: 20.7 °C</v>
      </c>
      <c r="F30" s="3173"/>
      <c r="G30" s="3173"/>
      <c r="H30" s="3173"/>
      <c r="I30" s="3173"/>
      <c r="J30" s="3173"/>
      <c r="K30" s="3173"/>
      <c r="L30" s="3173"/>
      <c r="M30" s="3173"/>
      <c r="N30" s="3173"/>
      <c r="O30" s="3173"/>
      <c r="P30" s="180"/>
      <c r="Q30" s="2904"/>
      <c r="R30" s="2905"/>
      <c r="S30" s="2905"/>
      <c r="T30" s="2905"/>
      <c r="U30" s="2905"/>
      <c r="V30" s="167"/>
    </row>
    <row r="31" spans="1:25" x14ac:dyDescent="0.2">
      <c r="A31" s="165"/>
      <c r="C31" s="170" t="s">
        <v>1108</v>
      </c>
      <c r="D31" s="1835" t="s">
        <v>218</v>
      </c>
      <c r="E31" s="3173" t="str">
        <f>"Inicio: "&amp;FIXED('F-LSCD-008'!L18,1)&amp;" hPa ; "&amp;"Final: "&amp;FIXED('F-LSCD-008'!P18,1)&amp;" hPa"</f>
        <v>Inicio: 1,008.5 hPa ; Final: 1,008.3 hPa</v>
      </c>
      <c r="F31" s="3173"/>
      <c r="G31" s="3173"/>
      <c r="H31" s="3173"/>
      <c r="I31" s="3173"/>
      <c r="J31" s="3173"/>
      <c r="K31" s="3173"/>
      <c r="L31" s="3173"/>
      <c r="M31" s="3173"/>
      <c r="N31" s="3173"/>
      <c r="O31" s="3173"/>
      <c r="P31" s="180"/>
      <c r="Q31" s="2904"/>
      <c r="R31" s="2905"/>
      <c r="S31" s="2905"/>
      <c r="T31" s="2905"/>
      <c r="U31" s="2905"/>
      <c r="V31" s="167"/>
    </row>
    <row r="32" spans="1:25" x14ac:dyDescent="0.2">
      <c r="A32" s="165"/>
      <c r="C32" s="181" t="s">
        <v>1109</v>
      </c>
      <c r="D32" s="1835" t="s">
        <v>218</v>
      </c>
      <c r="E32" s="2910" t="str">
        <f>"Inicio: "&amp;'F-LSCD-008'!M18&amp;" % ; "&amp;"Final: "&amp;'F-LSCD-008'!Q18&amp;" %"</f>
        <v>Inicio: 54 % ; Final: 54 %</v>
      </c>
      <c r="F32" s="2910"/>
      <c r="G32" s="2910"/>
      <c r="H32" s="2910"/>
      <c r="I32" s="2910"/>
      <c r="J32" s="2910"/>
      <c r="K32" s="2910"/>
      <c r="L32" s="2910"/>
      <c r="M32" s="2910"/>
      <c r="N32" s="2910"/>
      <c r="O32" s="2910"/>
      <c r="P32" s="1823"/>
      <c r="Q32" s="2904"/>
      <c r="R32" s="2905"/>
      <c r="S32" s="2905"/>
      <c r="T32" s="2905"/>
      <c r="U32" s="2905"/>
      <c r="V32" s="167"/>
    </row>
    <row r="33" spans="1:22" ht="90.75" customHeight="1" x14ac:dyDescent="0.2">
      <c r="A33" s="165"/>
      <c r="C33" s="182" t="s">
        <v>229</v>
      </c>
      <c r="D33" s="1835" t="s">
        <v>218</v>
      </c>
      <c r="E33" s="2985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33" s="2985"/>
      <c r="G33" s="2985"/>
      <c r="H33" s="2985"/>
      <c r="I33" s="2985"/>
      <c r="J33" s="2985"/>
      <c r="K33" s="2985"/>
      <c r="L33" s="2985"/>
      <c r="M33" s="2985"/>
      <c r="N33" s="2985"/>
      <c r="O33" s="2985"/>
      <c r="P33" s="1824"/>
      <c r="Q33" s="2906" t="s">
        <v>230</v>
      </c>
      <c r="R33" s="2907"/>
      <c r="S33" s="2907"/>
      <c r="T33" s="2907"/>
      <c r="U33" s="2907"/>
      <c r="V33" s="167"/>
    </row>
    <row r="34" spans="1:22" ht="27.75" customHeight="1" x14ac:dyDescent="0.2">
      <c r="A34" s="165"/>
      <c r="C34" s="182" t="s">
        <v>231</v>
      </c>
      <c r="D34" s="1835" t="s">
        <v>218</v>
      </c>
      <c r="E34" s="2986" t="str">
        <f>'F-LSCD-008'!C13</f>
        <v>Punto medio de la superfice anterior y punto medio del espesor del dosímetro</v>
      </c>
      <c r="F34" s="2986"/>
      <c r="G34" s="2986"/>
      <c r="H34" s="2986"/>
      <c r="I34" s="2986"/>
      <c r="J34" s="2986"/>
      <c r="K34" s="2986"/>
      <c r="L34" s="2986"/>
      <c r="M34" s="2986"/>
      <c r="N34" s="2986"/>
      <c r="O34" s="2986"/>
      <c r="P34" s="1825"/>
      <c r="Q34" s="2949" t="s">
        <v>1240</v>
      </c>
      <c r="R34" s="2987"/>
      <c r="S34" s="2987"/>
      <c r="T34" s="2987"/>
      <c r="U34" s="2987"/>
      <c r="V34" s="167"/>
    </row>
    <row r="35" spans="1:22" ht="6.75" customHeight="1" x14ac:dyDescent="0.2">
      <c r="A35" s="165"/>
      <c r="C35" s="182"/>
      <c r="D35" s="1835"/>
      <c r="E35" s="1825"/>
      <c r="F35" s="1825"/>
      <c r="G35" s="1825"/>
      <c r="H35" s="1825"/>
      <c r="I35" s="1825"/>
      <c r="J35" s="1825"/>
      <c r="K35" s="1825"/>
      <c r="L35" s="1825"/>
      <c r="M35" s="1825"/>
      <c r="N35" s="1825"/>
      <c r="O35" s="1825"/>
      <c r="P35" s="1825"/>
      <c r="Q35" s="2949"/>
      <c r="R35" s="2987"/>
      <c r="S35" s="2987"/>
      <c r="T35" s="2987"/>
      <c r="U35" s="2987"/>
      <c r="V35" s="167"/>
    </row>
    <row r="36" spans="1:22" ht="12.75" customHeight="1" x14ac:dyDescent="0.2">
      <c r="A36" s="165"/>
      <c r="B36" s="175" t="s">
        <v>1156</v>
      </c>
      <c r="C36" s="182"/>
      <c r="D36" s="1835" t="s">
        <v>218</v>
      </c>
      <c r="E36" s="3170">
        <f>'F-LSCD-008'!L8</f>
        <v>43802</v>
      </c>
      <c r="F36" s="3170"/>
      <c r="G36" s="3170"/>
      <c r="H36" s="3170"/>
      <c r="I36" s="3170"/>
      <c r="J36" s="3170"/>
      <c r="K36" s="3170"/>
      <c r="L36" s="3170"/>
      <c r="M36" s="3170"/>
      <c r="N36" s="3170"/>
      <c r="O36" s="3170"/>
      <c r="P36" s="180"/>
      <c r="Q36" s="2949"/>
      <c r="R36" s="2987"/>
      <c r="S36" s="2987"/>
      <c r="T36" s="2987"/>
      <c r="U36" s="2987"/>
      <c r="V36" s="167"/>
    </row>
    <row r="37" spans="1:22" ht="6" customHeight="1" x14ac:dyDescent="0.2">
      <c r="A37" s="165"/>
      <c r="C37" s="182"/>
      <c r="D37" s="1835"/>
      <c r="E37" s="1826"/>
      <c r="F37" s="1826"/>
      <c r="G37" s="183"/>
      <c r="H37" s="183"/>
      <c r="I37" s="183"/>
      <c r="J37" s="183"/>
      <c r="K37" s="180"/>
      <c r="L37" s="180"/>
      <c r="M37" s="180"/>
      <c r="N37" s="180"/>
      <c r="O37" s="180"/>
      <c r="P37" s="180"/>
      <c r="Q37" s="2949"/>
      <c r="R37" s="2987"/>
      <c r="S37" s="2987"/>
      <c r="T37" s="2987"/>
      <c r="U37" s="2987"/>
      <c r="V37" s="167"/>
    </row>
    <row r="38" spans="1:22" x14ac:dyDescent="0.2">
      <c r="A38" s="165"/>
      <c r="B38" s="175" t="s">
        <v>1129</v>
      </c>
      <c r="C38" s="170"/>
      <c r="D38" s="1835" t="s">
        <v>218</v>
      </c>
      <c r="E38" s="3170">
        <f>'F-LSCD-008'!N14</f>
        <v>43802</v>
      </c>
      <c r="F38" s="3170"/>
      <c r="G38" s="3170"/>
      <c r="H38" s="3170"/>
      <c r="I38" s="3170"/>
      <c r="J38" s="1833"/>
      <c r="K38" s="184"/>
      <c r="L38" s="184"/>
      <c r="M38" s="184"/>
      <c r="N38" s="184"/>
      <c r="O38" s="184"/>
      <c r="P38" s="184"/>
      <c r="Q38" s="2949"/>
      <c r="R38" s="2987"/>
      <c r="S38" s="2987"/>
      <c r="T38" s="2987"/>
      <c r="U38" s="2987"/>
      <c r="V38" s="167"/>
    </row>
    <row r="39" spans="1:22" x14ac:dyDescent="0.2">
      <c r="A39" s="165"/>
      <c r="C39" s="170"/>
      <c r="D39" s="1835"/>
      <c r="E39" s="1828"/>
      <c r="F39" s="1828"/>
      <c r="G39" s="1828"/>
      <c r="H39" s="1828"/>
      <c r="I39" s="1828"/>
      <c r="J39" s="1828"/>
      <c r="K39" s="180"/>
      <c r="L39" s="180"/>
      <c r="M39" s="180"/>
      <c r="N39" s="180"/>
      <c r="O39" s="180"/>
      <c r="P39" s="180"/>
      <c r="Q39" s="2949"/>
      <c r="R39" s="2987"/>
      <c r="S39" s="2987"/>
      <c r="T39" s="2987"/>
      <c r="U39" s="2987"/>
      <c r="V39" s="167"/>
    </row>
    <row r="40" spans="1:22" x14ac:dyDescent="0.2">
      <c r="A40" s="165"/>
      <c r="B40" s="166" t="s">
        <v>1239</v>
      </c>
      <c r="C40" s="166"/>
      <c r="D40" s="186"/>
      <c r="E40" s="186"/>
      <c r="F40" s="166"/>
      <c r="G40" s="166"/>
      <c r="H40" s="166"/>
      <c r="I40" s="166"/>
      <c r="J40" s="166"/>
      <c r="V40" s="167"/>
    </row>
    <row r="41" spans="1:22" ht="5.25" customHeight="1" thickBot="1" x14ac:dyDescent="0.25">
      <c r="A41" s="165"/>
      <c r="D41" s="187"/>
      <c r="E41" s="188"/>
      <c r="V41" s="167"/>
    </row>
    <row r="42" spans="1:22" ht="27" customHeight="1" thickBot="1" x14ac:dyDescent="0.25">
      <c r="A42" s="165"/>
      <c r="C42" s="198" t="s">
        <v>183</v>
      </c>
      <c r="D42" s="3001" t="s">
        <v>235</v>
      </c>
      <c r="E42" s="3002"/>
      <c r="F42" s="3003"/>
      <c r="G42" s="189" t="s">
        <v>204</v>
      </c>
      <c r="H42" s="3004" t="s">
        <v>207</v>
      </c>
      <c r="I42" s="3005"/>
      <c r="J42" s="3005"/>
      <c r="K42" s="3006"/>
      <c r="L42" s="3004" t="s">
        <v>206</v>
      </c>
      <c r="M42" s="3005"/>
      <c r="N42" s="3005"/>
      <c r="O42" s="3006"/>
      <c r="P42" s="3004" t="s">
        <v>208</v>
      </c>
      <c r="Q42" s="3005"/>
      <c r="R42" s="3005"/>
      <c r="S42" s="3005"/>
      <c r="T42" s="3006"/>
      <c r="U42" s="1836"/>
      <c r="V42" s="167"/>
    </row>
    <row r="43" spans="1:22" ht="15" customHeight="1" x14ac:dyDescent="0.2">
      <c r="A43" s="165"/>
      <c r="C43" s="210">
        <f>'F-LSCD-008'!B18</f>
        <v>905395</v>
      </c>
      <c r="D43" s="3007" t="str">
        <f>'F-LSCD-008'!C18</f>
        <v>S-Cs (ISO 4037-3)</v>
      </c>
      <c r="E43" s="3008"/>
      <c r="F43" s="3009"/>
      <c r="G43" s="1589" t="str">
        <f>'F-LSCD-008'!D18</f>
        <v>0°</v>
      </c>
      <c r="H43" s="3010" t="str">
        <f>IF('F-LSCD-007'!F16="Hp(10)",TEXT('F-LSCD-008'!G18,"#0,0")&amp;" ± "&amp;TEXT('Incert. Irrad. Dosímetros pers'!$O$34*'F-LSCD-008'!G18,"#0,0"),"-")</f>
        <v>03 ± 00</v>
      </c>
      <c r="I43" s="3011"/>
      <c r="J43" s="3011"/>
      <c r="K43" s="3012"/>
      <c r="L43" s="3010" t="str">
        <f>IF('F-LSCD-007'!F16="Hp(0,07)",TEXT('F-LSCD-008'!F18,"#0,0")&amp;" ± "&amp;TEXT('Incert. Irrad. Dosímetros pers'!$O$34*'F-LSCD-008'!F18,"#0,0"),"-")</f>
        <v>-</v>
      </c>
      <c r="M43" s="3011"/>
      <c r="N43" s="3011"/>
      <c r="O43" s="3012"/>
      <c r="P43" s="3010" t="str">
        <f>IF('F-LSCD-007'!F16="D(10)",TEXT('F-LSCD-008'!H18,"#0,0")&amp;" ± "&amp;TEXT('Incert. Irrad. Dosímetros pers'!$O$34*'F-LSCD-008'!H18,"#0,0"),"-")</f>
        <v>-</v>
      </c>
      <c r="Q43" s="3011"/>
      <c r="R43" s="3011"/>
      <c r="S43" s="3011"/>
      <c r="T43" s="3013"/>
      <c r="U43" s="1836"/>
      <c r="V43" s="167"/>
    </row>
    <row r="44" spans="1:22" ht="12.75" customHeight="1" x14ac:dyDescent="0.2">
      <c r="A44" s="165"/>
      <c r="C44" s="211">
        <f>'F-LSCD-008'!B19</f>
        <v>905309</v>
      </c>
      <c r="D44" s="2995" t="str">
        <f>'F-LSCD-008'!C19</f>
        <v>S-Cs (ISO 4037-3)</v>
      </c>
      <c r="E44" s="2995"/>
      <c r="F44" s="2996"/>
      <c r="G44" s="1590" t="str">
        <f>'F-LSCD-008'!D19</f>
        <v>0°</v>
      </c>
      <c r="H44" s="2997" t="str">
        <f>IF('F-LSCD-007'!F17="Hp(10)",TEXT('F-LSCD-008'!G19,"#0,0")&amp;" ± "&amp;TEXT('Incert. Irrad. Dosímetros pers'!$O$34*'F-LSCD-008'!G19,"#0,0"),"-")</f>
        <v>03 ± 00</v>
      </c>
      <c r="I44" s="2998"/>
      <c r="J44" s="2998"/>
      <c r="K44" s="2999"/>
      <c r="L44" s="2997" t="str">
        <f>IF('F-LSCD-007'!F17="Hp(0,07)",TEXT('F-LSCD-008'!F19,"#0,0")&amp;" ± "&amp;TEXT('Incert. Irrad. Dosímetros pers'!$O$34*'F-LSCD-008'!F19,"#0,0"),"-")</f>
        <v>-</v>
      </c>
      <c r="M44" s="2998"/>
      <c r="N44" s="2998"/>
      <c r="O44" s="2999"/>
      <c r="P44" s="2997" t="str">
        <f>IF('F-LSCD-007'!F17="D(10)",TEXT('F-LSCD-008'!H19,"#0,0")&amp;" ± "&amp;TEXT('Incert. Irrad. Dosímetros pers'!$O$34*'F-LSCD-008'!H19,"#0,0"),"-")</f>
        <v>-</v>
      </c>
      <c r="Q44" s="2998"/>
      <c r="R44" s="2998"/>
      <c r="S44" s="2998"/>
      <c r="T44" s="3000"/>
      <c r="U44" s="1836"/>
      <c r="V44" s="167"/>
    </row>
    <row r="45" spans="1:22" ht="12.75" customHeight="1" x14ac:dyDescent="0.2">
      <c r="A45" s="165"/>
      <c r="C45" s="211">
        <f>'F-LSCD-008'!B20</f>
        <v>905161</v>
      </c>
      <c r="D45" s="2995" t="str">
        <f>'F-LSCD-008'!C20</f>
        <v>S-Cs (ISO 4037-3)</v>
      </c>
      <c r="E45" s="2995"/>
      <c r="F45" s="2996"/>
      <c r="G45" s="1590" t="str">
        <f>'F-LSCD-008'!D20</f>
        <v>0°</v>
      </c>
      <c r="H45" s="2997" t="str">
        <f>IF('F-LSCD-007'!F18="Hp(10)",TEXT('F-LSCD-008'!G20,"#0,0")&amp;" ± "&amp;TEXT('Incert. Irrad. Dosímetros pers'!$O$34*'F-LSCD-008'!G20,"#0,0"),"-")</f>
        <v>03 ± 00</v>
      </c>
      <c r="I45" s="2998"/>
      <c r="J45" s="2998"/>
      <c r="K45" s="2999"/>
      <c r="L45" s="2997" t="str">
        <f>IF('F-LSCD-007'!F18="Hp(0,07)",TEXT('F-LSCD-008'!F20,"#0,0")&amp;" ± "&amp;TEXT('Incert. Irrad. Dosímetros pers'!$O$34*'F-LSCD-008'!F20,"#0,0"),"-")</f>
        <v>-</v>
      </c>
      <c r="M45" s="2998"/>
      <c r="N45" s="2998"/>
      <c r="O45" s="2999"/>
      <c r="P45" s="2997" t="str">
        <f>IF('F-LSCD-007'!F18="D(10)",TEXT('F-LSCD-008'!H20,"#0,0")&amp;" ± "&amp;TEXT('Incert. Irrad. Dosímetros pers'!$O$34*'F-LSCD-008'!H20,"#0,0"),"-")</f>
        <v>-</v>
      </c>
      <c r="Q45" s="2998"/>
      <c r="R45" s="2998"/>
      <c r="S45" s="2998"/>
      <c r="T45" s="3000"/>
      <c r="U45" s="1836"/>
      <c r="V45" s="167"/>
    </row>
    <row r="46" spans="1:22" ht="12.75" customHeight="1" x14ac:dyDescent="0.2">
      <c r="A46" s="165"/>
      <c r="C46" s="211">
        <f>'F-LSCD-008'!B21</f>
        <v>905327</v>
      </c>
      <c r="D46" s="2995" t="str">
        <f>'F-LSCD-008'!C21</f>
        <v>S-Cs (ISO 4037-3)</v>
      </c>
      <c r="E46" s="2995"/>
      <c r="F46" s="2996"/>
      <c r="G46" s="1590" t="str">
        <f>'F-LSCD-008'!D21</f>
        <v>0°</v>
      </c>
      <c r="H46" s="2997" t="str">
        <f>IF('F-LSCD-007'!F19="Hp(10)",TEXT('F-LSCD-008'!G21,"#0,0")&amp;" ± "&amp;TEXT('Incert. Irrad. Dosímetros pers'!$O$34*'F-LSCD-008'!G21,"#0,0"),"-")</f>
        <v>03 ± 00</v>
      </c>
      <c r="I46" s="2998"/>
      <c r="J46" s="2998"/>
      <c r="K46" s="2999"/>
      <c r="L46" s="2997" t="str">
        <f>IF('F-LSCD-007'!F19="Hp(0,07)",TEXT('F-LSCD-008'!F21,"#0,0")&amp;" ± "&amp;TEXT('Incert. Irrad. Dosímetros pers'!$O$34*'F-LSCD-008'!F21,"#0,0"),"-")</f>
        <v>-</v>
      </c>
      <c r="M46" s="2998"/>
      <c r="N46" s="2998"/>
      <c r="O46" s="2999"/>
      <c r="P46" s="2997" t="str">
        <f>IF('F-LSCD-007'!F19="D(10)",TEXT('F-LSCD-008'!H21,"#0,0")&amp;" ± "&amp;TEXT('Incert. Irrad. Dosímetros pers'!$O$34*'F-LSCD-008'!H21,"#0,0"),"-")</f>
        <v>-</v>
      </c>
      <c r="Q46" s="2998"/>
      <c r="R46" s="2998"/>
      <c r="S46" s="2998"/>
      <c r="T46" s="3000"/>
      <c r="U46" s="1836"/>
      <c r="V46" s="167"/>
    </row>
    <row r="47" spans="1:22" ht="12.75" customHeight="1" x14ac:dyDescent="0.2">
      <c r="A47" s="165"/>
      <c r="C47" s="211">
        <f>'F-LSCD-008'!B22</f>
        <v>905125</v>
      </c>
      <c r="D47" s="2995" t="str">
        <f>'F-LSCD-008'!C22</f>
        <v>S-Cs (ISO 4037-3)</v>
      </c>
      <c r="E47" s="2995"/>
      <c r="F47" s="2996"/>
      <c r="G47" s="1590" t="str">
        <f>'F-LSCD-008'!D22</f>
        <v>0°</v>
      </c>
      <c r="H47" s="2997" t="str">
        <f>IF('F-LSCD-007'!F20="Hp(10)",TEXT('F-LSCD-008'!G22,"#0,0")&amp;" ± "&amp;TEXT('Incert. Irrad. Dosímetros pers'!$O$34*'F-LSCD-008'!G22,"#0,0"),"-")</f>
        <v>03 ± 00</v>
      </c>
      <c r="I47" s="2998"/>
      <c r="J47" s="2998"/>
      <c r="K47" s="2999"/>
      <c r="L47" s="2997" t="str">
        <f>IF('F-LSCD-007'!F20="Hp(0,07)",TEXT('F-LSCD-008'!F22,"#0,0")&amp;" ± "&amp;TEXT('Incert. Irrad. Dosímetros pers'!$O$34*'F-LSCD-008'!F22,"#0,0"),"-")</f>
        <v>-</v>
      </c>
      <c r="M47" s="2998"/>
      <c r="N47" s="2998"/>
      <c r="O47" s="2999"/>
      <c r="P47" s="2997" t="str">
        <f>IF('F-LSCD-007'!F20="D(10)",TEXT('F-LSCD-008'!H22,"#0,0")&amp;" ± "&amp;TEXT('Incert. Irrad. Dosímetros pers'!$O$34*'F-LSCD-008'!H22,"#0,0"),"-")</f>
        <v>-</v>
      </c>
      <c r="Q47" s="2998"/>
      <c r="R47" s="2998"/>
      <c r="S47" s="2998"/>
      <c r="T47" s="3000"/>
      <c r="U47" s="1836"/>
      <c r="V47" s="167"/>
    </row>
    <row r="48" spans="1:22" x14ac:dyDescent="0.2">
      <c r="A48" s="165"/>
      <c r="C48" s="1488">
        <f>'F-LSCD-008'!B23</f>
        <v>905066</v>
      </c>
      <c r="D48" s="3014" t="str">
        <f>'F-LSCD-008'!C23</f>
        <v>S-Cs (ISO 4037-3)</v>
      </c>
      <c r="E48" s="3014"/>
      <c r="F48" s="3015"/>
      <c r="G48" s="1591" t="str">
        <f>'F-LSCD-008'!D23</f>
        <v>0°</v>
      </c>
      <c r="H48" s="2997" t="str">
        <f>IF('F-LSCD-007'!F21="Hp(10)",TEXT('F-LSCD-008'!G23,"#0,0")&amp;" ± "&amp;TEXT('Incert. Irrad. Dosímetros pers'!$O$34*'F-LSCD-008'!G23,"#0,0"),"-")</f>
        <v>30 ± 01</v>
      </c>
      <c r="I48" s="2998"/>
      <c r="J48" s="2998"/>
      <c r="K48" s="2999"/>
      <c r="L48" s="2997" t="str">
        <f>IF('F-LSCD-007'!F21="Hp(0,07)",TEXT('F-LSCD-008'!F23,"#0,0")&amp;" ± "&amp;TEXT('Incert. Irrad. Dosímetros pers'!$O$34*'F-LSCD-008'!F23,"#0,0"),"-")</f>
        <v>-</v>
      </c>
      <c r="M48" s="2998"/>
      <c r="N48" s="2998"/>
      <c r="O48" s="2999"/>
      <c r="P48" s="2997" t="str">
        <f>IF('F-LSCD-007'!F21="D(10)",TEXT('F-LSCD-008'!H23,"#0,0")&amp;" ± "&amp;TEXT('Incert. Irrad. Dosímetros pers'!$O$34*'F-LSCD-008'!H23,"#0,0"),"-")</f>
        <v>-</v>
      </c>
      <c r="Q48" s="2998"/>
      <c r="R48" s="2998"/>
      <c r="S48" s="2998"/>
      <c r="T48" s="3000"/>
      <c r="U48" s="1836"/>
      <c r="V48" s="167"/>
    </row>
    <row r="49" spans="1:22" x14ac:dyDescent="0.2">
      <c r="A49" s="165"/>
      <c r="C49" s="211">
        <f>'F-LSCD-008'!B24</f>
        <v>905339</v>
      </c>
      <c r="D49" s="2995" t="str">
        <f>'F-LSCD-008'!C24</f>
        <v>S-Cs (ISO 4037-3)</v>
      </c>
      <c r="E49" s="2995"/>
      <c r="F49" s="2996"/>
      <c r="G49" s="1590" t="str">
        <f>'F-LSCD-008'!D24</f>
        <v>0°</v>
      </c>
      <c r="H49" s="2997" t="str">
        <f>IF('F-LSCD-007'!F22="Hp(10)",TEXT('F-LSCD-008'!G24,"#0,0")&amp;" ± "&amp;TEXT('Incert. Irrad. Dosímetros pers'!$O$34*'F-LSCD-008'!G24,"#0,0"),"-")</f>
        <v>30 ± 01</v>
      </c>
      <c r="I49" s="2998"/>
      <c r="J49" s="2998"/>
      <c r="K49" s="2999"/>
      <c r="L49" s="2997" t="str">
        <f>IF('F-LSCD-007'!F22="Hp(0,07)",TEXT('F-LSCD-008'!F24,"#0,0")&amp;" ± "&amp;TEXT('Incert. Irrad. Dosímetros pers'!$O$34*'F-LSCD-008'!F24,"#0,0"),"-")</f>
        <v>-</v>
      </c>
      <c r="M49" s="2998"/>
      <c r="N49" s="2998"/>
      <c r="O49" s="2999"/>
      <c r="P49" s="2997" t="str">
        <f>IF('F-LSCD-007'!F22="D(10)",TEXT('F-LSCD-008'!H24,"#0,0")&amp;" ± "&amp;TEXT('Incert. Irrad. Dosímetros pers'!$O$34*'F-LSCD-008'!H24,"#0,0"),"-")</f>
        <v>-</v>
      </c>
      <c r="Q49" s="2998"/>
      <c r="R49" s="2998"/>
      <c r="S49" s="2998"/>
      <c r="T49" s="3000"/>
      <c r="U49" s="1836"/>
      <c r="V49" s="167"/>
    </row>
    <row r="50" spans="1:22" x14ac:dyDescent="0.2">
      <c r="A50" s="165"/>
      <c r="C50" s="1488">
        <f>'F-LSCD-008'!B25</f>
        <v>905189</v>
      </c>
      <c r="D50" s="3014" t="str">
        <f>'F-LSCD-008'!C25</f>
        <v>S-Cs (ISO 4037-3)</v>
      </c>
      <c r="E50" s="3014"/>
      <c r="F50" s="3015"/>
      <c r="G50" s="1591" t="str">
        <f>'F-LSCD-008'!D25</f>
        <v>0°</v>
      </c>
      <c r="H50" s="2997" t="str">
        <f>IF('F-LSCD-007'!F23="Hp(10)",TEXT('F-LSCD-008'!G25,"#0,0")&amp;" ± "&amp;TEXT('Incert. Irrad. Dosímetros pers'!$O$34*'F-LSCD-008'!G25,"#0,0"),"-")</f>
        <v>30 ± 01</v>
      </c>
      <c r="I50" s="2998"/>
      <c r="J50" s="2998"/>
      <c r="K50" s="2999"/>
      <c r="L50" s="2997" t="str">
        <f>IF('F-LSCD-007'!F23="Hp(0,07)",TEXT('F-LSCD-008'!F25,"#0,0")&amp;" ± "&amp;TEXT('Incert. Irrad. Dosímetros pers'!$O$34*'F-LSCD-008'!F25,"#0,0"),"-")</f>
        <v>-</v>
      </c>
      <c r="M50" s="2998"/>
      <c r="N50" s="2998"/>
      <c r="O50" s="2999"/>
      <c r="P50" s="2997" t="str">
        <f>IF('F-LSCD-007'!F23="D(10)",TEXT('F-LSCD-008'!H25,"#0,0")&amp;" ± "&amp;TEXT('Incert. Irrad. Dosímetros pers'!$O$34*'F-LSCD-008'!H25,"#0,0"),"-")</f>
        <v>-</v>
      </c>
      <c r="Q50" s="2998"/>
      <c r="R50" s="2998"/>
      <c r="S50" s="2998"/>
      <c r="T50" s="3000"/>
      <c r="U50" s="1836"/>
      <c r="V50" s="167"/>
    </row>
    <row r="51" spans="1:22" x14ac:dyDescent="0.2">
      <c r="A51" s="165"/>
      <c r="C51" s="211">
        <f>'F-LSCD-008'!B26</f>
        <v>905334</v>
      </c>
      <c r="D51" s="2995" t="str">
        <f>'F-LSCD-008'!C26</f>
        <v>S-Cs (ISO 4037-3)</v>
      </c>
      <c r="E51" s="2995"/>
      <c r="F51" s="2996"/>
      <c r="G51" s="1590" t="str">
        <f>'F-LSCD-008'!D26</f>
        <v>0°</v>
      </c>
      <c r="H51" s="2997" t="str">
        <f>IF('F-LSCD-007'!F24="Hp(10)",TEXT('F-LSCD-008'!G26,"#0,0")&amp;" ± "&amp;TEXT('Incert. Irrad. Dosímetros pers'!$O$34*'F-LSCD-008'!G26,"#0,0"),"-")</f>
        <v>30 ± 01</v>
      </c>
      <c r="I51" s="2998"/>
      <c r="J51" s="2998"/>
      <c r="K51" s="2999"/>
      <c r="L51" s="2997" t="str">
        <f>IF('F-LSCD-007'!F24="Hp(0,07)",TEXT('F-LSCD-008'!F26,"#0,0")&amp;" ± "&amp;TEXT('Incert. Irrad. Dosímetros pers'!$O$34*'F-LSCD-008'!F26,"#0,0"),"-")</f>
        <v>-</v>
      </c>
      <c r="M51" s="2998"/>
      <c r="N51" s="2998"/>
      <c r="O51" s="2999"/>
      <c r="P51" s="2997" t="str">
        <f>IF('F-LSCD-007'!F24="D(10)",TEXT('F-LSCD-008'!H26,"#0,0")&amp;" ± "&amp;TEXT('Incert. Irrad. Dosímetros pers'!$O$34*'F-LSCD-008'!H26,"#0,0"),"-")</f>
        <v>-</v>
      </c>
      <c r="Q51" s="2998"/>
      <c r="R51" s="2998"/>
      <c r="S51" s="2998"/>
      <c r="T51" s="3000"/>
      <c r="U51" s="1836"/>
      <c r="V51" s="167"/>
    </row>
    <row r="52" spans="1:22" ht="12.75" customHeight="1" x14ac:dyDescent="0.2">
      <c r="A52" s="165"/>
      <c r="B52" s="168"/>
      <c r="C52" s="1488">
        <f>'F-LSCD-008'!B27</f>
        <v>905153</v>
      </c>
      <c r="D52" s="3014" t="str">
        <f>'F-LSCD-008'!C27</f>
        <v>S-Cs (ISO 4037-3)</v>
      </c>
      <c r="E52" s="3014"/>
      <c r="F52" s="3015"/>
      <c r="G52" s="1591" t="str">
        <f>'F-LSCD-008'!D27</f>
        <v>0°</v>
      </c>
      <c r="H52" s="2997" t="str">
        <f>IF('F-LSCD-007'!F25="Hp(10)",TEXT('F-LSCD-008'!G27,"#0,0")&amp;" ± "&amp;TEXT('Incert. Irrad. Dosímetros pers'!$O$34*'F-LSCD-008'!G27,"#0,0"),"-")</f>
        <v>30 ± 01</v>
      </c>
      <c r="I52" s="2998"/>
      <c r="J52" s="2998"/>
      <c r="K52" s="2999"/>
      <c r="L52" s="2997" t="str">
        <f>IF('F-LSCD-007'!F25="Hp(0,07)",TEXT('F-LSCD-008'!F27,"#0,0")&amp;" ± "&amp;TEXT('Incert. Irrad. Dosímetros pers'!$O$34*'F-LSCD-008'!F27,"#0,0"),"-")</f>
        <v>-</v>
      </c>
      <c r="M52" s="2998"/>
      <c r="N52" s="2998"/>
      <c r="O52" s="2999"/>
      <c r="P52" s="2997" t="str">
        <f>IF('F-LSCD-007'!F25="D(10)",TEXT('F-LSCD-008'!H27,"#0,0")&amp;" ± "&amp;TEXT('Incert. Irrad. Dosímetros pers'!$O$34*'F-LSCD-008'!H27,"#0,0"),"-")</f>
        <v>-</v>
      </c>
      <c r="Q52" s="2998"/>
      <c r="R52" s="2998"/>
      <c r="S52" s="2998"/>
      <c r="T52" s="3000"/>
      <c r="U52" s="1836"/>
      <c r="V52" s="167"/>
    </row>
    <row r="53" spans="1:22" ht="12.75" customHeight="1" x14ac:dyDescent="0.2">
      <c r="A53" s="165"/>
      <c r="B53" s="166"/>
      <c r="C53" s="211">
        <f>'F-LSCD-008'!B28</f>
        <v>3848</v>
      </c>
      <c r="D53" s="2995" t="str">
        <f>'F-LSCD-008'!C28</f>
        <v>S-Cs (ISO 4037-3)</v>
      </c>
      <c r="E53" s="2995"/>
      <c r="F53" s="2996"/>
      <c r="G53" s="1590" t="str">
        <f>'F-LSCD-008'!D28</f>
        <v>0°</v>
      </c>
      <c r="H53" s="2997" t="str">
        <f>IF('F-LSCD-007'!F26="Hp(10)",TEXT('F-LSCD-008'!G28,"#0,0")&amp;" ± "&amp;TEXT('Incert. Irrad. Dosímetros pers'!$O$34*'F-LSCD-008'!G28,"#0,0"),"-")</f>
        <v>-</v>
      </c>
      <c r="I53" s="2998"/>
      <c r="J53" s="2998"/>
      <c r="K53" s="2999"/>
      <c r="L53" s="2997" t="str">
        <f>IF('F-LSCD-007'!F26="Hp(0,07)",TEXT('F-LSCD-008'!F28,"#0,0")&amp;" ± "&amp;TEXT('Incert. Irrad. Dosímetros pers'!$O$34*'F-LSCD-008'!F28,"#0,0"),"-")</f>
        <v>03 ± 00</v>
      </c>
      <c r="M53" s="2998"/>
      <c r="N53" s="2998"/>
      <c r="O53" s="2999"/>
      <c r="P53" s="2997" t="str">
        <f>IF('F-LSCD-007'!F26="D(10)",TEXT('F-LSCD-008'!H28,"#0,0")&amp;" ± "&amp;TEXT('Incert. Irrad. Dosímetros pers'!$O$34*'F-LSCD-008'!H28,"#0,0"),"-")</f>
        <v>-</v>
      </c>
      <c r="Q53" s="2998"/>
      <c r="R53" s="2998"/>
      <c r="S53" s="2998"/>
      <c r="T53" s="3000"/>
      <c r="U53" s="1836"/>
      <c r="V53" s="167"/>
    </row>
    <row r="54" spans="1:22" ht="12.75" customHeight="1" x14ac:dyDescent="0.2">
      <c r="A54" s="165"/>
      <c r="C54" s="211">
        <f>'F-LSCD-008'!B29</f>
        <v>3884</v>
      </c>
      <c r="D54" s="2995" t="str">
        <f>'F-LSCD-008'!C29</f>
        <v>S-Cs (ISO 4037-3)</v>
      </c>
      <c r="E54" s="2995"/>
      <c r="F54" s="2996"/>
      <c r="G54" s="1590" t="str">
        <f>'F-LSCD-008'!D29</f>
        <v>0°</v>
      </c>
      <c r="H54" s="2997" t="str">
        <f>IF('F-LSCD-007'!F27="Hp(10)",TEXT('F-LSCD-008'!G29,"#0,0")&amp;" ± "&amp;TEXT('Incert. Irrad. Dosímetros pers'!$O$34*'F-LSCD-008'!G29,"#0,0"),"-")</f>
        <v>-</v>
      </c>
      <c r="I54" s="2998"/>
      <c r="J54" s="2998"/>
      <c r="K54" s="2999"/>
      <c r="L54" s="2997" t="str">
        <f>IF('F-LSCD-007'!F27="Hp(0,07)",TEXT('F-LSCD-008'!F29,"#0,0")&amp;" ± "&amp;TEXT('Incert. Irrad. Dosímetros pers'!$O$34*'F-LSCD-008'!F29,"#0,0"),"-")</f>
        <v>03 ± 00</v>
      </c>
      <c r="M54" s="2998"/>
      <c r="N54" s="2998"/>
      <c r="O54" s="2999"/>
      <c r="P54" s="2997" t="str">
        <f>IF('F-LSCD-007'!F27="D(10)",TEXT('F-LSCD-008'!H29,"#0,0")&amp;" ± "&amp;TEXT('Incert. Irrad. Dosímetros pers'!$O$34*'F-LSCD-008'!H29,"#0,0"),"-")</f>
        <v>-</v>
      </c>
      <c r="Q54" s="2998"/>
      <c r="R54" s="2998"/>
      <c r="S54" s="2998"/>
      <c r="T54" s="3000"/>
      <c r="U54" s="1836"/>
      <c r="V54" s="167"/>
    </row>
    <row r="55" spans="1:22" ht="12.75" customHeight="1" x14ac:dyDescent="0.2">
      <c r="A55" s="165"/>
      <c r="C55" s="1488">
        <f>'F-LSCD-008'!B30</f>
        <v>9037</v>
      </c>
      <c r="D55" s="3014" t="str">
        <f>'F-LSCD-008'!C30</f>
        <v>S-Cs (ISO 4037-3)</v>
      </c>
      <c r="E55" s="3014"/>
      <c r="F55" s="3015"/>
      <c r="G55" s="1489" t="str">
        <f>'F-LSCD-008'!D30</f>
        <v>0°</v>
      </c>
      <c r="H55" s="2997" t="str">
        <f>IF('F-LSCD-007'!F28="Hp(10)",TEXT('F-LSCD-008'!G30,"#0,0")&amp;" ± "&amp;TEXT('Incert. Irrad. Dosímetros pers'!$O$34*'F-LSCD-008'!G30,"#0,0"),"-")</f>
        <v>-</v>
      </c>
      <c r="I55" s="2998"/>
      <c r="J55" s="2998"/>
      <c r="K55" s="2999"/>
      <c r="L55" s="2997" t="str">
        <f>IF('F-LSCD-007'!F28="Hp(0,07)",TEXT('F-LSCD-008'!F30,"#0,0")&amp;" ± "&amp;TEXT('Incert. Irrad. Dosímetros pers'!$O$34*'F-LSCD-008'!F30,"#0,0"),"-")</f>
        <v>03 ± 00</v>
      </c>
      <c r="M55" s="2998"/>
      <c r="N55" s="2998"/>
      <c r="O55" s="2999"/>
      <c r="P55" s="2997" t="str">
        <f>IF('F-LSCD-007'!F28="D(10)",TEXT('F-LSCD-008'!H30,"#0,0")&amp;" ± "&amp;TEXT('Incert. Irrad. Dosímetros pers'!$O$34*'F-LSCD-008'!H30,"#0,0"),"-")</f>
        <v>-</v>
      </c>
      <c r="Q55" s="2998"/>
      <c r="R55" s="2998"/>
      <c r="S55" s="2998"/>
      <c r="T55" s="3000"/>
      <c r="U55" s="1836"/>
      <c r="V55" s="167"/>
    </row>
    <row r="56" spans="1:22" ht="12.75" customHeight="1" thickBot="1" x14ac:dyDescent="0.25">
      <c r="A56" s="165"/>
      <c r="B56" s="166"/>
      <c r="C56" s="212">
        <f>'F-LSCD-008'!B31</f>
        <v>905136</v>
      </c>
      <c r="D56" s="3016" t="str">
        <f>'F-LSCD-008'!C31</f>
        <v>S-Cs (ISO 4037-3)</v>
      </c>
      <c r="E56" s="3016"/>
      <c r="F56" s="3017"/>
      <c r="G56" s="194" t="str">
        <f>'F-LSCD-008'!D31</f>
        <v>0°</v>
      </c>
      <c r="H56" s="3018" t="str">
        <f>IF('F-LSCD-007'!F29="Hp(10)",TEXT('F-LSCD-008'!G31,"#0,0")&amp;" ± "&amp;TEXT('Incert. Irrad. Dosímetros pers'!$O$34*'F-LSCD-008'!G31,"#0,0"),"-")</f>
        <v>-</v>
      </c>
      <c r="I56" s="3019"/>
      <c r="J56" s="3019"/>
      <c r="K56" s="3020"/>
      <c r="L56" s="3018" t="str">
        <f>IF('F-LSCD-007'!F29="Hp(0,07)",TEXT('F-LSCD-008'!F31,"#0,0")&amp;" ± "&amp;TEXT('Incert. Irrad. Dosímetros pers'!$O$34*'F-LSCD-008'!F31,"#0,0"),"-")</f>
        <v>-</v>
      </c>
      <c r="M56" s="3019"/>
      <c r="N56" s="3019"/>
      <c r="O56" s="3020"/>
      <c r="P56" s="3018" t="str">
        <f>IF('F-LSCD-007'!F29="D(10)",TEXT('F-LSCD-008'!H31,"#0,0")&amp;" ± "&amp;TEXT('Incert. Irrad. Dosímetros pers'!$O$34*'F-LSCD-008'!H31,"#0,0"),"-")</f>
        <v>-</v>
      </c>
      <c r="Q56" s="3019"/>
      <c r="R56" s="3019"/>
      <c r="S56" s="3019"/>
      <c r="T56" s="3021"/>
      <c r="U56" s="1836"/>
      <c r="V56" s="167"/>
    </row>
    <row r="57" spans="1:22" ht="12.75" customHeight="1" thickBot="1" x14ac:dyDescent="0.25">
      <c r="A57" s="195"/>
      <c r="B57" s="1867"/>
      <c r="C57" s="1868"/>
      <c r="D57" s="1869"/>
      <c r="E57" s="1869"/>
      <c r="F57" s="1869"/>
      <c r="G57" s="1869"/>
      <c r="H57" s="1870"/>
      <c r="I57" s="1870"/>
      <c r="J57" s="1870"/>
      <c r="K57" s="1870"/>
      <c r="L57" s="1870"/>
      <c r="M57" s="1870"/>
      <c r="N57" s="1870"/>
      <c r="O57" s="1870"/>
      <c r="P57" s="1870"/>
      <c r="Q57" s="1870"/>
      <c r="R57" s="1870"/>
      <c r="S57" s="1870"/>
      <c r="T57" s="1870"/>
      <c r="U57" s="1829"/>
      <c r="V57" s="197"/>
    </row>
    <row r="58" spans="1:22" ht="13.5" thickTop="1" x14ac:dyDescent="0.2">
      <c r="A58" s="3022" t="s">
        <v>236</v>
      </c>
      <c r="B58" s="3023"/>
      <c r="C58" s="3023"/>
      <c r="D58" s="3023"/>
      <c r="E58" s="3023"/>
      <c r="F58" s="3023"/>
      <c r="G58" s="3023"/>
      <c r="H58" s="3023"/>
      <c r="I58" s="3023"/>
      <c r="J58" s="3023"/>
      <c r="K58" s="3023"/>
      <c r="L58" s="3023"/>
      <c r="M58" s="3023"/>
      <c r="N58" s="3023"/>
      <c r="O58" s="3023"/>
      <c r="P58" s="3023"/>
      <c r="Q58" s="3023"/>
      <c r="R58" s="3023"/>
      <c r="S58" s="3023"/>
      <c r="T58" s="3023"/>
      <c r="U58" s="3023"/>
      <c r="V58" s="3024"/>
    </row>
    <row r="59" spans="1:22" ht="13.5" thickBot="1" x14ac:dyDescent="0.25">
      <c r="A59" s="3025" t="s">
        <v>279</v>
      </c>
      <c r="B59" s="3026"/>
      <c r="C59" s="3026"/>
      <c r="D59" s="3026"/>
      <c r="E59" s="3026"/>
      <c r="F59" s="3026"/>
      <c r="G59" s="3026"/>
      <c r="H59" s="3026"/>
      <c r="I59" s="3026"/>
      <c r="J59" s="3026"/>
      <c r="K59" s="3026"/>
      <c r="L59" s="3026"/>
      <c r="M59" s="3026"/>
      <c r="N59" s="3026"/>
      <c r="O59" s="3026"/>
      <c r="P59" s="3026"/>
      <c r="Q59" s="3026"/>
      <c r="R59" s="3026"/>
      <c r="S59" s="3026"/>
      <c r="T59" s="3026"/>
      <c r="U59" s="3026"/>
      <c r="V59" s="3027"/>
    </row>
    <row r="60" spans="1:22" ht="13.5" thickBot="1" x14ac:dyDescent="0.25">
      <c r="A60" s="1490"/>
      <c r="B60" s="1491" t="s">
        <v>916</v>
      </c>
      <c r="C60" s="1490"/>
      <c r="D60" s="1490"/>
      <c r="E60" s="1490"/>
      <c r="F60" s="1490"/>
      <c r="G60" s="1490"/>
      <c r="H60" s="1490"/>
      <c r="I60" s="1490"/>
      <c r="J60" s="1490"/>
      <c r="K60" s="1490"/>
      <c r="L60" s="1490"/>
      <c r="M60" s="1490"/>
      <c r="N60" s="1490"/>
      <c r="O60" s="1490"/>
      <c r="P60" s="1490"/>
      <c r="Q60" s="1490"/>
      <c r="R60" s="1490"/>
      <c r="S60" s="1490"/>
      <c r="T60" s="1490"/>
      <c r="U60" s="1492" t="str">
        <f>A4</f>
        <v>INFORME DE ENSAYO N° 017-2019 ALEPH/GR/LSCD</v>
      </c>
      <c r="V60" s="1490"/>
    </row>
    <row r="61" spans="1:22" ht="51" customHeight="1" x14ac:dyDescent="0.2">
      <c r="A61" s="3004" t="s">
        <v>1238</v>
      </c>
      <c r="B61" s="3005"/>
      <c r="C61" s="3005"/>
      <c r="D61" s="3005"/>
      <c r="E61" s="3005"/>
      <c r="F61" s="3005"/>
      <c r="G61" s="3005"/>
      <c r="H61" s="3005"/>
      <c r="I61" s="3005"/>
      <c r="J61" s="3005"/>
      <c r="K61" s="3005"/>
      <c r="L61" s="3005"/>
      <c r="M61" s="3005"/>
      <c r="N61" s="3005"/>
      <c r="O61" s="3005"/>
      <c r="P61" s="3005"/>
      <c r="Q61" s="3005"/>
      <c r="R61" s="3005"/>
      <c r="S61" s="3005"/>
      <c r="T61" s="3005"/>
      <c r="U61" s="3005"/>
      <c r="V61" s="3006"/>
    </row>
    <row r="62" spans="1:22" ht="30" customHeight="1" thickBot="1" x14ac:dyDescent="0.25">
      <c r="A62" s="3166"/>
      <c r="B62" s="3167"/>
      <c r="C62" s="3167"/>
      <c r="D62" s="3167"/>
      <c r="E62" s="3167"/>
      <c r="F62" s="3167"/>
      <c r="G62" s="3167"/>
      <c r="H62" s="3167"/>
      <c r="I62" s="3167"/>
      <c r="J62" s="3167"/>
      <c r="K62" s="3167"/>
      <c r="L62" s="3167"/>
      <c r="M62" s="3167"/>
      <c r="N62" s="3167"/>
      <c r="O62" s="3167"/>
      <c r="P62" s="3167"/>
      <c r="Q62" s="3167"/>
      <c r="R62" s="3167"/>
      <c r="S62" s="3167"/>
      <c r="T62" s="3167"/>
      <c r="U62" s="3167"/>
      <c r="V62" s="3168"/>
    </row>
    <row r="63" spans="1:22" ht="14.25" thickTop="1" thickBot="1" x14ac:dyDescent="0.25">
      <c r="A63" s="165"/>
      <c r="V63" s="167"/>
    </row>
    <row r="64" spans="1:22" ht="27" customHeight="1" thickBot="1" x14ac:dyDescent="0.25">
      <c r="A64" s="165"/>
      <c r="C64" s="198" t="s">
        <v>183</v>
      </c>
      <c r="D64" s="3001" t="s">
        <v>235</v>
      </c>
      <c r="E64" s="3002"/>
      <c r="F64" s="3003"/>
      <c r="G64" s="189" t="s">
        <v>204</v>
      </c>
      <c r="H64" s="3028" t="s">
        <v>207</v>
      </c>
      <c r="I64" s="3029"/>
      <c r="J64" s="3029"/>
      <c r="K64" s="3030"/>
      <c r="L64" s="3028" t="s">
        <v>206</v>
      </c>
      <c r="M64" s="3029"/>
      <c r="N64" s="3029"/>
      <c r="O64" s="3030"/>
      <c r="P64" s="3028" t="s">
        <v>208</v>
      </c>
      <c r="Q64" s="3029"/>
      <c r="R64" s="3029"/>
      <c r="S64" s="3029"/>
      <c r="T64" s="3030"/>
      <c r="U64" s="1836"/>
      <c r="V64" s="167"/>
    </row>
    <row r="65" spans="1:22" ht="15" customHeight="1" thickBot="1" x14ac:dyDescent="0.25">
      <c r="A65" s="165"/>
      <c r="C65" s="1892">
        <f>'F-LSCD-008'!B32</f>
        <v>905390</v>
      </c>
      <c r="D65" s="3179" t="str">
        <f>'F-LSCD-008'!C32</f>
        <v>S-Cs (ISO 4037-3)</v>
      </c>
      <c r="E65" s="3180"/>
      <c r="F65" s="3181"/>
      <c r="G65" s="1893" t="str">
        <f>'F-LSCD-008'!D32</f>
        <v>0°</v>
      </c>
      <c r="H65" s="3182" t="str">
        <f>IF('F-LSCD-007'!F30="Hp(10)",TEXT('F-LSCD-008'!G32,"#0,0")&amp;" ± "&amp;TEXT('Incert. Irrad. Dosímetros pers'!$O$34*'F-LSCD-008'!G32,"#0,0"),"-")</f>
        <v>-</v>
      </c>
      <c r="I65" s="3183"/>
      <c r="J65" s="3183"/>
      <c r="K65" s="3184"/>
      <c r="L65" s="3182" t="str">
        <f>IF('F-LSCD-007'!F30="Hp(0,07)",TEXT('F-LSCD-008'!F32,"#0,0")&amp;" ± "&amp;TEXT('Incert. Irrad. Dosímetros pers'!$O$34*'F-LSCD-008'!F32,"#0,0"),"-")</f>
        <v>-</v>
      </c>
      <c r="M65" s="3183"/>
      <c r="N65" s="3183"/>
      <c r="O65" s="3184"/>
      <c r="P65" s="3182" t="str">
        <f>IF('F-LSCD-007'!F30="D(10)",TEXT('F-LSCD-008'!H32,"#0,0")&amp;" ± "&amp;TEXT('Incert. Irrad. Dosímetros pers'!$O$34*'F-LSCD-008'!H32,"#0,0"),"-")</f>
        <v>-</v>
      </c>
      <c r="Q65" s="3183"/>
      <c r="R65" s="3183"/>
      <c r="S65" s="3183"/>
      <c r="T65" s="3184"/>
      <c r="U65" s="1836"/>
      <c r="V65" s="167"/>
    </row>
    <row r="66" spans="1:22" ht="15" hidden="1" customHeight="1" x14ac:dyDescent="0.2">
      <c r="A66" s="165"/>
      <c r="C66" s="1488" t="e">
        <f>'F-LSCD-008'!#REF!</f>
        <v>#REF!</v>
      </c>
      <c r="D66" s="3014" t="e">
        <f>'F-LSCD-008'!#REF!</f>
        <v>#REF!</v>
      </c>
      <c r="E66" s="3014"/>
      <c r="F66" s="3015"/>
      <c r="G66" s="1489" t="e">
        <f>'F-LSCD-008'!#REF!</f>
        <v>#REF!</v>
      </c>
      <c r="H66" s="3174" t="str">
        <f>IF('F-LSCD-007'!F31="Hp(10)",TEXT('F-LSCD-008'!G33,"#0,0")&amp;" ± "&amp;TEXT('Incert. Irrad. Dosímetros pers'!$O$34*'F-LSCD-008'!G33,"#0,0"),"-")</f>
        <v>-</v>
      </c>
      <c r="I66" s="3175"/>
      <c r="J66" s="3175"/>
      <c r="K66" s="3176"/>
      <c r="L66" s="3174" t="str">
        <f>IF('F-LSCD-007'!F31="Hp(0,07)",TEXT('F-LSCD-008'!F33,"#0,0")&amp;" ± "&amp;TEXT('Incert. Irrad. Dosímetros pers'!$O$34*'F-LSCD-008'!F33,"#0,0"),"-")</f>
        <v>-</v>
      </c>
      <c r="M66" s="3175"/>
      <c r="N66" s="3175"/>
      <c r="O66" s="3176"/>
      <c r="P66" s="3174" t="str">
        <f>IF('F-LSCD-007'!F31="D(10)",TEXT('F-LSCD-008'!H33,"#0,0")&amp;" ± "&amp;TEXT('Incert. Irrad. Dosímetros pers'!$O$34*'F-LSCD-008'!H33,"#0,0"),"-")</f>
        <v>-</v>
      </c>
      <c r="Q66" s="3175"/>
      <c r="R66" s="3175"/>
      <c r="S66" s="3175"/>
      <c r="T66" s="3176"/>
      <c r="U66" s="1836"/>
      <c r="V66" s="167"/>
    </row>
    <row r="67" spans="1:22" ht="15" hidden="1" customHeight="1" x14ac:dyDescent="0.2">
      <c r="A67" s="165"/>
      <c r="C67" s="211" t="e">
        <f>'F-LSCD-008'!#REF!</f>
        <v>#REF!</v>
      </c>
      <c r="D67" s="2995" t="e">
        <f>'F-LSCD-008'!#REF!</f>
        <v>#REF!</v>
      </c>
      <c r="E67" s="2995"/>
      <c r="F67" s="2996"/>
      <c r="G67" s="192" t="e">
        <f>'F-LSCD-008'!#REF!</f>
        <v>#REF!</v>
      </c>
      <c r="H67" s="3035" t="str">
        <f>IF('F-LSCD-007'!F32="Hp(10)",TEXT('F-LSCD-008'!G34,"#0,0")&amp;" ± "&amp;TEXT('Incert. Irrad. Dosímetros pers'!$O$34*'F-LSCD-008'!G34,"#0,0"),"-")</f>
        <v>-</v>
      </c>
      <c r="I67" s="3036"/>
      <c r="J67" s="3036"/>
      <c r="K67" s="3178"/>
      <c r="L67" s="3035" t="str">
        <f>IF('F-LSCD-007'!F32="Hp(0,07)",TEXT('F-LSCD-008'!F34,"#0,0")&amp;" ± "&amp;TEXT('Incert. Irrad. Dosímetros pers'!$O$34*'F-LSCD-008'!F34,"#0,0"),"-")</f>
        <v>-</v>
      </c>
      <c r="M67" s="3036"/>
      <c r="N67" s="3036"/>
      <c r="O67" s="3178"/>
      <c r="P67" s="3035" t="str">
        <f>IF('F-LSCD-007'!F32="D(10)",TEXT('F-LSCD-008'!H34,"#0,0")&amp;" ± "&amp;TEXT('Incert. Irrad. Dosímetros pers'!$O$34*'F-LSCD-008'!H34,"#0,0"),"-")</f>
        <v>-</v>
      </c>
      <c r="Q67" s="3036"/>
      <c r="R67" s="3036"/>
      <c r="S67" s="3036"/>
      <c r="T67" s="3178"/>
      <c r="U67" s="1836"/>
      <c r="V67" s="167"/>
    </row>
    <row r="68" spans="1:22" ht="15.75" hidden="1" customHeight="1" thickBot="1" x14ac:dyDescent="0.25">
      <c r="A68" s="165"/>
      <c r="C68" s="212" t="e">
        <f>'F-LSCD-008'!#REF!</f>
        <v>#REF!</v>
      </c>
      <c r="D68" s="3016" t="e">
        <f>'F-LSCD-008'!#REF!</f>
        <v>#REF!</v>
      </c>
      <c r="E68" s="3016"/>
      <c r="F68" s="3017"/>
      <c r="G68" s="194" t="e">
        <f>'F-LSCD-008'!#REF!</f>
        <v>#REF!</v>
      </c>
      <c r="H68" s="3033" t="str">
        <f>IF('F-LSCD-007'!F33="Hp(10)",TEXT('F-LSCD-008'!G35,"#0,0")&amp;" ± "&amp;TEXT('Incert. Irrad. Dosímetros pers'!$O$34*'F-LSCD-008'!G35,"#0,0"),"-")</f>
        <v>-</v>
      </c>
      <c r="I68" s="3034"/>
      <c r="J68" s="3034"/>
      <c r="K68" s="3177"/>
      <c r="L68" s="3033" t="str">
        <f>IF('F-LSCD-007'!F33="Hp(0,07)",TEXT('F-LSCD-008'!F35,"#0,0")&amp;" ± "&amp;TEXT('Incert. Irrad. Dosímetros pers'!$O$34*'F-LSCD-008'!F35,"#0,0"),"-")</f>
        <v>-</v>
      </c>
      <c r="M68" s="3034"/>
      <c r="N68" s="3034"/>
      <c r="O68" s="3177"/>
      <c r="P68" s="3033" t="str">
        <f>IF('F-LSCD-007'!F33="D(10)",TEXT('F-LSCD-008'!H35,"#0,0")&amp;" ± "&amp;TEXT('Incert. Irrad. Dosímetros pers'!$O$34*'F-LSCD-008'!H35,"#0,0"),"-")</f>
        <v>-</v>
      </c>
      <c r="Q68" s="3034"/>
      <c r="R68" s="3034"/>
      <c r="S68" s="3034"/>
      <c r="T68" s="3177"/>
      <c r="U68" s="1836"/>
      <c r="V68" s="167"/>
    </row>
    <row r="69" spans="1:22" x14ac:dyDescent="0.2">
      <c r="A69" s="165"/>
      <c r="C69" s="214"/>
      <c r="D69" s="1264"/>
      <c r="E69" s="1264"/>
      <c r="F69" s="1264"/>
      <c r="G69" s="1831"/>
      <c r="H69" s="1495"/>
      <c r="I69" s="1495"/>
      <c r="J69" s="215"/>
      <c r="K69" s="1473"/>
      <c r="L69" s="1495"/>
      <c r="M69" s="1495"/>
      <c r="N69" s="1495"/>
      <c r="O69" s="1495"/>
      <c r="P69" s="1495"/>
      <c r="Q69" s="1495"/>
      <c r="R69" s="1495"/>
      <c r="S69" s="1495"/>
      <c r="T69" s="1495"/>
      <c r="U69" s="1836"/>
      <c r="V69" s="167"/>
    </row>
    <row r="70" spans="1:22" x14ac:dyDescent="0.2">
      <c r="A70" s="165"/>
      <c r="G70" s="213"/>
      <c r="U70" s="1836"/>
      <c r="V70" s="167"/>
    </row>
    <row r="71" spans="1:22" x14ac:dyDescent="0.2">
      <c r="A71" s="165"/>
      <c r="U71" s="1836"/>
      <c r="V71" s="167"/>
    </row>
    <row r="72" spans="1:22" ht="12.75" customHeight="1" x14ac:dyDescent="0.2">
      <c r="A72" s="165"/>
      <c r="B72" s="168"/>
      <c r="U72" s="1836"/>
      <c r="V72" s="167"/>
    </row>
    <row r="73" spans="1:22" ht="12.75" customHeight="1" x14ac:dyDescent="0.2">
      <c r="A73" s="165"/>
      <c r="B73" s="166"/>
      <c r="U73" s="1836"/>
      <c r="V73" s="167"/>
    </row>
    <row r="74" spans="1:22" ht="12.75" customHeight="1" x14ac:dyDescent="0.2">
      <c r="A74" s="165"/>
      <c r="U74" s="1836"/>
      <c r="V74" s="167"/>
    </row>
    <row r="75" spans="1:22" ht="12.75" customHeight="1" x14ac:dyDescent="0.2">
      <c r="A75" s="165"/>
      <c r="U75" s="1836"/>
      <c r="V75" s="167"/>
    </row>
    <row r="76" spans="1:22" ht="12.75" customHeight="1" x14ac:dyDescent="0.2">
      <c r="A76" s="165"/>
      <c r="U76" s="1836"/>
      <c r="V76" s="167"/>
    </row>
    <row r="77" spans="1:22" ht="12.75" customHeight="1" x14ac:dyDescent="0.2">
      <c r="A77" s="165"/>
      <c r="B77" s="166"/>
      <c r="U77" s="1836"/>
      <c r="V77" s="167"/>
    </row>
    <row r="78" spans="1:22" ht="12.75" customHeight="1" x14ac:dyDescent="0.2">
      <c r="A78" s="165"/>
      <c r="B78" s="166"/>
      <c r="C78" s="166"/>
      <c r="D78" s="166"/>
      <c r="E78" s="166"/>
      <c r="F78" s="166"/>
      <c r="G78" s="200"/>
      <c r="H78" s="200"/>
      <c r="I78" s="200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836"/>
      <c r="V78" s="167"/>
    </row>
    <row r="79" spans="1:22" ht="12.75" customHeight="1" x14ac:dyDescent="0.2">
      <c r="A79" s="165"/>
      <c r="B79" s="166"/>
      <c r="C79" s="175"/>
      <c r="D79" s="175"/>
      <c r="E79" s="175"/>
      <c r="F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836"/>
      <c r="V79" s="167"/>
    </row>
    <row r="80" spans="1:22" ht="12.75" customHeight="1" x14ac:dyDescent="0.2">
      <c r="A80" s="165"/>
      <c r="C80" s="175"/>
      <c r="D80" s="175"/>
      <c r="E80" s="175"/>
      <c r="F80" s="175"/>
      <c r="G80" s="1407"/>
      <c r="H80" s="1407"/>
      <c r="I80" s="1407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836"/>
      <c r="V80" s="167"/>
    </row>
    <row r="81" spans="1:22" ht="13.5" customHeight="1" thickBot="1" x14ac:dyDescent="0.25">
      <c r="A81" s="195"/>
      <c r="B81" s="196"/>
      <c r="C81" s="1878" t="s">
        <v>1245</v>
      </c>
      <c r="D81" s="196"/>
      <c r="E81" s="196"/>
      <c r="F81" s="196"/>
      <c r="G81" s="196"/>
      <c r="H81" s="196"/>
      <c r="I81" s="196"/>
      <c r="J81" s="196"/>
      <c r="K81" s="196"/>
      <c r="L81" s="196"/>
      <c r="M81" s="196"/>
      <c r="N81" s="196"/>
      <c r="O81" s="196"/>
      <c r="P81" s="196"/>
      <c r="Q81" s="196"/>
      <c r="R81" s="196"/>
      <c r="S81" s="196"/>
      <c r="T81" s="196"/>
      <c r="U81" s="196"/>
      <c r="V81" s="197"/>
    </row>
    <row r="82" spans="1:22" ht="13.5" thickTop="1" x14ac:dyDescent="0.2">
      <c r="A82" s="3022" t="s">
        <v>236</v>
      </c>
      <c r="B82" s="3023"/>
      <c r="C82" s="3023"/>
      <c r="D82" s="3023"/>
      <c r="E82" s="3023"/>
      <c r="F82" s="3023"/>
      <c r="G82" s="3023"/>
      <c r="H82" s="3023"/>
      <c r="I82" s="3023"/>
      <c r="J82" s="3023"/>
      <c r="K82" s="3023"/>
      <c r="L82" s="3023"/>
      <c r="M82" s="3023"/>
      <c r="N82" s="3023"/>
      <c r="O82" s="3023"/>
      <c r="P82" s="3023"/>
      <c r="Q82" s="3023"/>
      <c r="R82" s="3023"/>
      <c r="S82" s="3023"/>
      <c r="T82" s="3023"/>
      <c r="U82" s="3023"/>
      <c r="V82" s="3024"/>
    </row>
    <row r="83" spans="1:22" ht="13.5" thickBot="1" x14ac:dyDescent="0.25">
      <c r="A83" s="3025" t="s">
        <v>279</v>
      </c>
      <c r="B83" s="3026"/>
      <c r="C83" s="3026"/>
      <c r="D83" s="3026"/>
      <c r="E83" s="3026"/>
      <c r="F83" s="3026"/>
      <c r="G83" s="3026"/>
      <c r="H83" s="3026"/>
      <c r="I83" s="3026"/>
      <c r="J83" s="3026"/>
      <c r="K83" s="3026"/>
      <c r="L83" s="3026"/>
      <c r="M83" s="3026"/>
      <c r="N83" s="3026"/>
      <c r="O83" s="3026"/>
      <c r="P83" s="3026"/>
      <c r="Q83" s="3026"/>
      <c r="R83" s="3026"/>
      <c r="S83" s="3026"/>
      <c r="T83" s="3026"/>
      <c r="U83" s="3026"/>
      <c r="V83" s="3027"/>
    </row>
    <row r="84" spans="1:22" x14ac:dyDescent="0.2">
      <c r="B84" s="1356" t="s">
        <v>917</v>
      </c>
      <c r="U84" s="1357" t="str">
        <f>U60</f>
        <v>INFORME DE ENSAYO N° 017-2019 ALEPH/GR/LSCD</v>
      </c>
    </row>
  </sheetData>
  <autoFilter ref="A42:V62" xr:uid="{00000000-0009-0000-0000-000026000000}">
    <filterColumn colId="3" showButton="0"/>
    <filterColumn colId="4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</autoFilter>
  <mergeCells count="106">
    <mergeCell ref="A82:V82"/>
    <mergeCell ref="A83:V83"/>
    <mergeCell ref="D66:F66"/>
    <mergeCell ref="D67:F67"/>
    <mergeCell ref="D64:F64"/>
    <mergeCell ref="H64:K64"/>
    <mergeCell ref="L64:O64"/>
    <mergeCell ref="P64:T64"/>
    <mergeCell ref="L66:O66"/>
    <mergeCell ref="P68:T68"/>
    <mergeCell ref="P67:T67"/>
    <mergeCell ref="P66:T66"/>
    <mergeCell ref="D68:F68"/>
    <mergeCell ref="D65:F65"/>
    <mergeCell ref="H65:K65"/>
    <mergeCell ref="L65:O65"/>
    <mergeCell ref="P65:T65"/>
    <mergeCell ref="H68:K68"/>
    <mergeCell ref="H67:K67"/>
    <mergeCell ref="H66:K66"/>
    <mergeCell ref="L68:O68"/>
    <mergeCell ref="L67:O67"/>
    <mergeCell ref="D54:F54"/>
    <mergeCell ref="H54:K54"/>
    <mergeCell ref="L54:O54"/>
    <mergeCell ref="P54:T54"/>
    <mergeCell ref="D55:F55"/>
    <mergeCell ref="H55:K55"/>
    <mergeCell ref="L55:O55"/>
    <mergeCell ref="P55:T55"/>
    <mergeCell ref="A61:V62"/>
    <mergeCell ref="D56:F56"/>
    <mergeCell ref="H56:K56"/>
    <mergeCell ref="L56:O56"/>
    <mergeCell ref="P56:T56"/>
    <mergeCell ref="A58:V58"/>
    <mergeCell ref="A59:V59"/>
    <mergeCell ref="D52:F52"/>
    <mergeCell ref="H52:K52"/>
    <mergeCell ref="L52:O52"/>
    <mergeCell ref="P52:T52"/>
    <mergeCell ref="D53:F53"/>
    <mergeCell ref="H53:K53"/>
    <mergeCell ref="L53:O53"/>
    <mergeCell ref="P53:T53"/>
    <mergeCell ref="D50:F50"/>
    <mergeCell ref="H50:K50"/>
    <mergeCell ref="L50:O50"/>
    <mergeCell ref="P50:T50"/>
    <mergeCell ref="D51:F51"/>
    <mergeCell ref="H51:K51"/>
    <mergeCell ref="L51:O51"/>
    <mergeCell ref="P51:T51"/>
    <mergeCell ref="D48:F48"/>
    <mergeCell ref="H48:K48"/>
    <mergeCell ref="L48:O48"/>
    <mergeCell ref="P48:T48"/>
    <mergeCell ref="D49:F49"/>
    <mergeCell ref="H49:K49"/>
    <mergeCell ref="L49:O49"/>
    <mergeCell ref="P49:T49"/>
    <mergeCell ref="D46:F46"/>
    <mergeCell ref="H46:K46"/>
    <mergeCell ref="L46:O46"/>
    <mergeCell ref="P46:T46"/>
    <mergeCell ref="D47:F47"/>
    <mergeCell ref="H47:K47"/>
    <mergeCell ref="L47:O47"/>
    <mergeCell ref="P47:T47"/>
    <mergeCell ref="D44:F44"/>
    <mergeCell ref="H44:K44"/>
    <mergeCell ref="L44:O44"/>
    <mergeCell ref="P44:T44"/>
    <mergeCell ref="D45:F45"/>
    <mergeCell ref="H45:K45"/>
    <mergeCell ref="L45:O45"/>
    <mergeCell ref="P45:T45"/>
    <mergeCell ref="D42:F42"/>
    <mergeCell ref="H42:K42"/>
    <mergeCell ref="L42:O42"/>
    <mergeCell ref="P42:T42"/>
    <mergeCell ref="D43:F43"/>
    <mergeCell ref="H43:K43"/>
    <mergeCell ref="L43:O43"/>
    <mergeCell ref="P43:T43"/>
    <mergeCell ref="A2:V3"/>
    <mergeCell ref="A4:V4"/>
    <mergeCell ref="A5:V5"/>
    <mergeCell ref="A6:V6"/>
    <mergeCell ref="A7:V7"/>
    <mergeCell ref="E33:O33"/>
    <mergeCell ref="Q33:U33"/>
    <mergeCell ref="E34:O34"/>
    <mergeCell ref="Q34:U39"/>
    <mergeCell ref="E38:I38"/>
    <mergeCell ref="Q8:U16"/>
    <mergeCell ref="E12:O12"/>
    <mergeCell ref="E16:O16"/>
    <mergeCell ref="E21:O22"/>
    <mergeCell ref="Q22:U32"/>
    <mergeCell ref="E29:O29"/>
    <mergeCell ref="E32:O32"/>
    <mergeCell ref="E24:O24"/>
    <mergeCell ref="E30:O30"/>
    <mergeCell ref="E31:O31"/>
    <mergeCell ref="E36:O36"/>
  </mergeCells>
  <conditionalFormatting sqref="E39 K39:P39 E29:E37">
    <cfRule type="cellIs" dxfId="85" priority="7" operator="equal">
      <formula>0</formula>
    </cfRule>
  </conditionalFormatting>
  <conditionalFormatting sqref="E28:P28 F8:P10 K37:P39 P29:P31 E39 P36">
    <cfRule type="cellIs" dxfId="84" priority="6" operator="equal">
      <formula>0</formula>
    </cfRule>
  </conditionalFormatting>
  <conditionalFormatting sqref="E28:P28 F8:P10 K37:P39 P29:P31 E39 E29:E37 P36">
    <cfRule type="containsErrors" dxfId="83" priority="5">
      <formula>ISERROR(E8)</formula>
    </cfRule>
  </conditionalFormatting>
  <conditionalFormatting sqref="E8:E10">
    <cfRule type="cellIs" dxfId="82" priority="4" operator="equal">
      <formula>0</formula>
    </cfRule>
  </conditionalFormatting>
  <conditionalFormatting sqref="E8:E10">
    <cfRule type="containsErrors" dxfId="81" priority="3">
      <formula>ISERROR(E8)</formula>
    </cfRule>
  </conditionalFormatting>
  <conditionalFormatting sqref="E38">
    <cfRule type="cellIs" dxfId="80" priority="2" operator="equal">
      <formula>0</formula>
    </cfRule>
  </conditionalFormatting>
  <conditionalFormatting sqref="E38">
    <cfRule type="containsErrors" dxfId="79" priority="1">
      <formula>ISERROR(E38)</formula>
    </cfRule>
  </conditionalFormatting>
  <pageMargins left="0.27559055118110237" right="3.937007874015748E-2" top="0.23622047244094491" bottom="0" header="0.31496062992125984" footer="0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Y81"/>
  <sheetViews>
    <sheetView view="pageLayout" topLeftCell="A20" zoomScaleNormal="100" workbookViewId="0">
      <selection activeCell="F69" sqref="F69"/>
    </sheetView>
  </sheetViews>
  <sheetFormatPr baseColWidth="10" defaultColWidth="11.42578125" defaultRowHeight="12.75" x14ac:dyDescent="0.2"/>
  <cols>
    <col min="1" max="1" width="1.85546875" style="163" customWidth="1"/>
    <col min="2" max="2" width="2.42578125" style="163" customWidth="1"/>
    <col min="3" max="3" width="23" style="163" customWidth="1"/>
    <col min="4" max="4" width="1.5703125" style="163" customWidth="1"/>
    <col min="5" max="5" width="7.42578125" style="163" customWidth="1"/>
    <col min="6" max="6" width="4.14062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5.85546875" style="163" customWidth="1"/>
    <col min="16" max="16" width="0.7109375" style="163" customWidth="1"/>
    <col min="17" max="18" width="3" style="163" customWidth="1"/>
    <col min="19" max="19" width="2.42578125" style="163" customWidth="1"/>
    <col min="20" max="21" width="6.1406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3004" t="s">
        <v>1238</v>
      </c>
      <c r="B2" s="3005"/>
      <c r="C2" s="3005"/>
      <c r="D2" s="3005"/>
      <c r="E2" s="3005"/>
      <c r="F2" s="3005"/>
      <c r="G2" s="3005"/>
      <c r="H2" s="3005"/>
      <c r="I2" s="3005"/>
      <c r="J2" s="3005"/>
      <c r="K2" s="3005"/>
      <c r="L2" s="3005"/>
      <c r="M2" s="3005"/>
      <c r="N2" s="3005"/>
      <c r="O2" s="3005"/>
      <c r="P2" s="3005"/>
      <c r="Q2" s="3005"/>
      <c r="R2" s="3005"/>
      <c r="S2" s="3005"/>
      <c r="T2" s="3005"/>
      <c r="U2" s="3005"/>
      <c r="V2" s="3006"/>
    </row>
    <row r="3" spans="1:25" ht="27.75" customHeight="1" thickBot="1" x14ac:dyDescent="0.25">
      <c r="A3" s="3166"/>
      <c r="B3" s="3167"/>
      <c r="C3" s="3167"/>
      <c r="D3" s="3167"/>
      <c r="E3" s="3167"/>
      <c r="F3" s="3167"/>
      <c r="G3" s="3167"/>
      <c r="H3" s="3167"/>
      <c r="I3" s="3167"/>
      <c r="J3" s="3167"/>
      <c r="K3" s="3167"/>
      <c r="L3" s="3167"/>
      <c r="M3" s="3167"/>
      <c r="N3" s="3167"/>
      <c r="O3" s="3167"/>
      <c r="P3" s="3167"/>
      <c r="Q3" s="3167"/>
      <c r="R3" s="3167"/>
      <c r="S3" s="3167"/>
      <c r="T3" s="3167"/>
      <c r="U3" s="3167"/>
      <c r="V3" s="3168"/>
    </row>
    <row r="4" spans="1:25" ht="16.5" thickTop="1" x14ac:dyDescent="0.25">
      <c r="A4" s="2953" t="str">
        <f>"INFORME DE ENSAYO "&amp;"N° XXX-20XX "&amp;" ALEPH/GR/LSCD"</f>
        <v>INFORME DE ENSAYO N° XXX-20XX  ALEPH/GR/LSCD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881" t="s">
        <v>253</v>
      </c>
      <c r="B5" s="2980"/>
      <c r="C5" s="2980"/>
      <c r="D5" s="2980"/>
      <c r="E5" s="2980"/>
      <c r="F5" s="2980"/>
      <c r="G5" s="2980"/>
      <c r="H5" s="2980"/>
      <c r="I5" s="2980"/>
      <c r="J5" s="2980"/>
      <c r="K5" s="2980"/>
      <c r="L5" s="2980"/>
      <c r="M5" s="2980"/>
      <c r="N5" s="2980"/>
      <c r="O5" s="2980"/>
      <c r="P5" s="2980"/>
      <c r="Q5" s="2980"/>
      <c r="R5" s="2980"/>
      <c r="S5" s="2980"/>
      <c r="T5" s="2980"/>
      <c r="U5" s="2980"/>
      <c r="V5" s="2981"/>
    </row>
    <row r="6" spans="1:25" ht="15.75" x14ac:dyDescent="0.2">
      <c r="A6" s="2881" t="s">
        <v>1119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x14ac:dyDescent="0.2">
      <c r="A7" s="2982"/>
      <c r="B7" s="2983"/>
      <c r="C7" s="2983"/>
      <c r="D7" s="2983"/>
      <c r="E7" s="2983"/>
      <c r="F7" s="2983"/>
      <c r="G7" s="2983"/>
      <c r="H7" s="2983"/>
      <c r="I7" s="2983"/>
      <c r="J7" s="2983"/>
      <c r="K7" s="2983"/>
      <c r="L7" s="2983"/>
      <c r="M7" s="2983"/>
      <c r="N7" s="2983"/>
      <c r="O7" s="2983"/>
      <c r="P7" s="2983"/>
      <c r="Q7" s="2983"/>
      <c r="R7" s="2983"/>
      <c r="S7" s="2983"/>
      <c r="T7" s="2983"/>
      <c r="U7" s="2983"/>
      <c r="V7" s="2984"/>
    </row>
    <row r="8" spans="1:25" ht="15" customHeight="1" x14ac:dyDescent="0.2">
      <c r="A8" s="165"/>
      <c r="B8" s="166" t="s">
        <v>1105</v>
      </c>
      <c r="D8" s="166" t="s">
        <v>218</v>
      </c>
      <c r="E8" s="1555"/>
      <c r="Q8" s="2904" t="s">
        <v>862</v>
      </c>
      <c r="R8" s="2905"/>
      <c r="S8" s="2905"/>
      <c r="T8" s="2905"/>
      <c r="U8" s="2905"/>
      <c r="V8" s="167"/>
    </row>
    <row r="9" spans="1:25" ht="12.75" customHeight="1" x14ac:dyDescent="0.2">
      <c r="A9" s="165"/>
      <c r="E9" s="1555"/>
      <c r="Q9" s="2904"/>
      <c r="R9" s="2905"/>
      <c r="S9" s="2905"/>
      <c r="T9" s="2905"/>
      <c r="U9" s="2905"/>
      <c r="V9" s="167"/>
      <c r="Y9" s="168"/>
    </row>
    <row r="10" spans="1:25" x14ac:dyDescent="0.2">
      <c r="A10" s="165"/>
      <c r="Q10" s="2904"/>
      <c r="R10" s="2905"/>
      <c r="S10" s="2905"/>
      <c r="T10" s="2905"/>
      <c r="U10" s="2905"/>
      <c r="V10" s="167"/>
      <c r="X10" s="169"/>
      <c r="Y10" s="168"/>
    </row>
    <row r="11" spans="1:25" x14ac:dyDescent="0.2">
      <c r="A11" s="165"/>
      <c r="Q11" s="2904"/>
      <c r="R11" s="2905"/>
      <c r="S11" s="2905"/>
      <c r="T11" s="2905"/>
      <c r="U11" s="2905"/>
      <c r="V11" s="167"/>
    </row>
    <row r="12" spans="1:25" x14ac:dyDescent="0.2">
      <c r="A12" s="165"/>
      <c r="B12" s="170" t="s">
        <v>1106</v>
      </c>
      <c r="C12" s="171"/>
      <c r="D12" s="170" t="s">
        <v>218</v>
      </c>
      <c r="E12" s="2989"/>
      <c r="F12" s="2990"/>
      <c r="G12" s="2990"/>
      <c r="H12" s="2990"/>
      <c r="I12" s="2990"/>
      <c r="J12" s="2990"/>
      <c r="K12" s="2990"/>
      <c r="L12" s="2990"/>
      <c r="M12" s="2990"/>
      <c r="N12" s="2990"/>
      <c r="O12" s="2990"/>
      <c r="P12" s="172"/>
      <c r="Q12" s="2904"/>
      <c r="R12" s="2905"/>
      <c r="S12" s="2905"/>
      <c r="T12" s="2905"/>
      <c r="U12" s="2905"/>
      <c r="V12" s="167"/>
      <c r="W12" s="203"/>
      <c r="Y12" s="168"/>
    </row>
    <row r="13" spans="1:25" x14ac:dyDescent="0.2">
      <c r="A13" s="165"/>
      <c r="Q13" s="2904"/>
      <c r="R13" s="2905"/>
      <c r="S13" s="2905"/>
      <c r="T13" s="2905"/>
      <c r="U13" s="2905"/>
      <c r="V13" s="167"/>
    </row>
    <row r="14" spans="1:25" x14ac:dyDescent="0.2">
      <c r="A14" s="165"/>
      <c r="B14" s="170" t="s">
        <v>1154</v>
      </c>
      <c r="D14" s="175" t="s">
        <v>218</v>
      </c>
      <c r="Q14" s="2904"/>
      <c r="R14" s="2905"/>
      <c r="S14" s="2905"/>
      <c r="T14" s="2905"/>
      <c r="U14" s="2905"/>
      <c r="V14" s="167"/>
    </row>
    <row r="15" spans="1:25" x14ac:dyDescent="0.2">
      <c r="A15" s="165"/>
      <c r="Q15" s="2904"/>
      <c r="R15" s="2905"/>
      <c r="S15" s="2905"/>
      <c r="T15" s="2905"/>
      <c r="U15" s="2905"/>
      <c r="V15" s="167"/>
    </row>
    <row r="16" spans="1:25" x14ac:dyDescent="0.2">
      <c r="A16" s="165"/>
      <c r="B16" s="170" t="s">
        <v>1151</v>
      </c>
      <c r="C16" s="990"/>
      <c r="D16" s="170" t="s">
        <v>218</v>
      </c>
      <c r="E16" s="2991"/>
      <c r="F16" s="2991"/>
      <c r="G16" s="2991"/>
      <c r="H16" s="2991"/>
      <c r="I16" s="2991"/>
      <c r="J16" s="2991"/>
      <c r="K16" s="2991"/>
      <c r="L16" s="2991"/>
      <c r="M16" s="2991"/>
      <c r="N16" s="2991"/>
      <c r="O16" s="2991"/>
      <c r="P16" s="173"/>
      <c r="Q16" s="2904"/>
      <c r="R16" s="2905"/>
      <c r="S16" s="2905"/>
      <c r="T16" s="2905"/>
      <c r="U16" s="2905"/>
      <c r="V16" s="167"/>
      <c r="Y16" s="168"/>
    </row>
    <row r="17" spans="1:25" x14ac:dyDescent="0.2">
      <c r="A17" s="165"/>
      <c r="B17" s="166"/>
      <c r="D17" s="166"/>
      <c r="E17" s="1830"/>
      <c r="F17" s="1830"/>
      <c r="G17" s="1830"/>
      <c r="H17" s="1830"/>
      <c r="I17" s="1830"/>
      <c r="J17" s="1830"/>
      <c r="K17" s="1830"/>
      <c r="L17" s="1830"/>
      <c r="M17" s="1830"/>
      <c r="N17" s="1830"/>
      <c r="O17" s="173"/>
      <c r="P17" s="173"/>
      <c r="Q17" s="174"/>
      <c r="R17" s="173"/>
      <c r="S17" s="173"/>
      <c r="T17" s="1822"/>
      <c r="U17" s="1822"/>
      <c r="V17" s="167"/>
      <c r="Y17" s="168"/>
    </row>
    <row r="18" spans="1:25" x14ac:dyDescent="0.2">
      <c r="A18" s="165"/>
      <c r="B18" s="175" t="s">
        <v>1153</v>
      </c>
      <c r="D18" s="175" t="s">
        <v>218</v>
      </c>
      <c r="E18" s="2992"/>
      <c r="F18" s="2991"/>
      <c r="G18" s="2991"/>
      <c r="H18" s="2991"/>
      <c r="I18" s="2991"/>
      <c r="J18" s="2991"/>
      <c r="K18" s="2991"/>
      <c r="L18" s="2991"/>
      <c r="M18" s="2991"/>
      <c r="N18" s="2991"/>
      <c r="O18" s="2991"/>
      <c r="P18" s="1827"/>
      <c r="Q18" s="1834"/>
      <c r="R18" s="1827"/>
      <c r="S18" s="1827"/>
      <c r="T18" s="1822"/>
      <c r="U18" s="1822"/>
      <c r="V18" s="167"/>
    </row>
    <row r="19" spans="1:25" ht="27" customHeight="1" x14ac:dyDescent="0.2">
      <c r="A19" s="165"/>
      <c r="E19" s="2991"/>
      <c r="F19" s="2991"/>
      <c r="G19" s="2991"/>
      <c r="H19" s="2991"/>
      <c r="I19" s="2991"/>
      <c r="J19" s="2991"/>
      <c r="K19" s="2991"/>
      <c r="L19" s="2991"/>
      <c r="M19" s="2991"/>
      <c r="N19" s="2991"/>
      <c r="O19" s="2991"/>
      <c r="P19" s="1827"/>
      <c r="Q19" s="2904" t="s">
        <v>1024</v>
      </c>
      <c r="R19" s="2905"/>
      <c r="S19" s="2905"/>
      <c r="T19" s="2905"/>
      <c r="U19" s="2905"/>
      <c r="V19" s="167"/>
    </row>
    <row r="20" spans="1:25" ht="6.75" customHeight="1" x14ac:dyDescent="0.2">
      <c r="A20" s="165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2904"/>
      <c r="R20" s="2905"/>
      <c r="S20" s="2905"/>
      <c r="T20" s="2905"/>
      <c r="U20" s="2905"/>
      <c r="V20" s="167"/>
    </row>
    <row r="21" spans="1:25" ht="39" customHeight="1" x14ac:dyDescent="0.2">
      <c r="A21" s="165"/>
      <c r="B21" s="170" t="s">
        <v>1126</v>
      </c>
      <c r="C21" s="990"/>
      <c r="D21" s="1682" t="s">
        <v>218</v>
      </c>
      <c r="E21" s="3172"/>
      <c r="F21" s="3172"/>
      <c r="G21" s="3172"/>
      <c r="H21" s="3172"/>
      <c r="I21" s="3172"/>
      <c r="J21" s="3172"/>
      <c r="K21" s="3172"/>
      <c r="L21" s="3172"/>
      <c r="M21" s="3172"/>
      <c r="N21" s="3172"/>
      <c r="O21" s="3172"/>
      <c r="P21" s="177"/>
      <c r="Q21" s="2904"/>
      <c r="R21" s="2905"/>
      <c r="S21" s="2905"/>
      <c r="T21" s="2905"/>
      <c r="U21" s="2905"/>
      <c r="V21" s="167"/>
    </row>
    <row r="22" spans="1:25" ht="6.75" customHeight="1" x14ac:dyDescent="0.2">
      <c r="A22" s="165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2904"/>
      <c r="R22" s="2905"/>
      <c r="S22" s="2905"/>
      <c r="T22" s="2905"/>
      <c r="U22" s="2905"/>
      <c r="V22" s="167"/>
    </row>
    <row r="23" spans="1:25" x14ac:dyDescent="0.2">
      <c r="A23" s="165"/>
      <c r="B23" s="166" t="s">
        <v>1152</v>
      </c>
      <c r="D23" s="166" t="s">
        <v>218</v>
      </c>
      <c r="Q23" s="2904"/>
      <c r="R23" s="2905"/>
      <c r="S23" s="2905"/>
      <c r="T23" s="2905"/>
      <c r="U23" s="2905"/>
      <c r="V23" s="167"/>
      <c r="Y23" s="168"/>
    </row>
    <row r="24" spans="1:25" ht="6.75" customHeight="1" x14ac:dyDescent="0.2">
      <c r="A24" s="165"/>
      <c r="E24" s="1832"/>
      <c r="F24" s="1832"/>
      <c r="G24" s="1832"/>
      <c r="H24" s="1832"/>
      <c r="I24" s="1832"/>
      <c r="J24" s="1832"/>
      <c r="K24" s="1832"/>
      <c r="L24" s="1832"/>
      <c r="M24" s="1832"/>
      <c r="N24" s="1832"/>
      <c r="Q24" s="2904"/>
      <c r="R24" s="2905"/>
      <c r="S24" s="2905"/>
      <c r="T24" s="2905"/>
      <c r="U24" s="2905"/>
      <c r="V24" s="167"/>
    </row>
    <row r="25" spans="1:25" ht="12" customHeight="1" x14ac:dyDescent="0.2">
      <c r="A25" s="165"/>
      <c r="C25" s="170" t="s">
        <v>203</v>
      </c>
      <c r="D25" s="1835" t="s">
        <v>218</v>
      </c>
      <c r="E25" s="180"/>
      <c r="F25" s="180"/>
      <c r="G25" s="180"/>
      <c r="H25" s="180"/>
      <c r="I25" s="180"/>
      <c r="J25" s="180"/>
      <c r="K25" s="180"/>
      <c r="L25" s="180"/>
      <c r="M25" s="180"/>
      <c r="N25" s="180"/>
      <c r="O25" s="180"/>
      <c r="P25" s="180"/>
      <c r="Q25" s="2904"/>
      <c r="R25" s="2905"/>
      <c r="S25" s="2905"/>
      <c r="T25" s="2905"/>
      <c r="U25" s="2905"/>
      <c r="V25" s="167"/>
    </row>
    <row r="26" spans="1:25" x14ac:dyDescent="0.2">
      <c r="A26" s="165"/>
      <c r="C26" s="170" t="s">
        <v>138</v>
      </c>
      <c r="D26" s="1835" t="s">
        <v>218</v>
      </c>
      <c r="E26" s="3173"/>
      <c r="F26" s="3173"/>
      <c r="G26" s="3173"/>
      <c r="H26" s="3173"/>
      <c r="I26" s="3173"/>
      <c r="J26" s="3173"/>
      <c r="K26" s="3173"/>
      <c r="L26" s="3173"/>
      <c r="M26" s="3173"/>
      <c r="N26" s="3173"/>
      <c r="O26" s="3173"/>
      <c r="P26" s="180"/>
      <c r="Q26" s="2904"/>
      <c r="R26" s="2905"/>
      <c r="S26" s="2905"/>
      <c r="T26" s="2905"/>
      <c r="U26" s="2905"/>
      <c r="V26" s="167"/>
    </row>
    <row r="27" spans="1:25" x14ac:dyDescent="0.2">
      <c r="A27" s="165"/>
      <c r="C27" s="170" t="s">
        <v>1110</v>
      </c>
      <c r="D27" s="1835" t="s">
        <v>218</v>
      </c>
      <c r="E27" s="3173"/>
      <c r="F27" s="3173"/>
      <c r="G27" s="3173"/>
      <c r="H27" s="3173"/>
      <c r="I27" s="3173"/>
      <c r="J27" s="3173"/>
      <c r="K27" s="3173"/>
      <c r="L27" s="3173"/>
      <c r="M27" s="3173"/>
      <c r="N27" s="3173"/>
      <c r="O27" s="3173"/>
      <c r="P27" s="180"/>
      <c r="Q27" s="2904"/>
      <c r="R27" s="2905"/>
      <c r="S27" s="2905"/>
      <c r="T27" s="2905"/>
      <c r="U27" s="2905"/>
      <c r="V27" s="167"/>
    </row>
    <row r="28" spans="1:25" x14ac:dyDescent="0.2">
      <c r="A28" s="165"/>
      <c r="C28" s="170" t="s">
        <v>1108</v>
      </c>
      <c r="D28" s="1835" t="s">
        <v>218</v>
      </c>
      <c r="E28" s="3173"/>
      <c r="F28" s="3173"/>
      <c r="G28" s="3173"/>
      <c r="H28" s="3173"/>
      <c r="I28" s="3173"/>
      <c r="J28" s="3173"/>
      <c r="K28" s="3173"/>
      <c r="L28" s="3173"/>
      <c r="M28" s="3173"/>
      <c r="N28" s="3173"/>
      <c r="O28" s="3173"/>
      <c r="P28" s="180"/>
      <c r="Q28" s="2904"/>
      <c r="R28" s="2905"/>
      <c r="S28" s="2905"/>
      <c r="T28" s="2905"/>
      <c r="U28" s="2905"/>
      <c r="V28" s="167"/>
    </row>
    <row r="29" spans="1:25" x14ac:dyDescent="0.2">
      <c r="A29" s="165"/>
      <c r="C29" s="181" t="s">
        <v>1109</v>
      </c>
      <c r="D29" s="1835" t="s">
        <v>218</v>
      </c>
      <c r="E29" s="2910"/>
      <c r="F29" s="2910"/>
      <c r="G29" s="2910"/>
      <c r="H29" s="2910"/>
      <c r="I29" s="2910"/>
      <c r="J29" s="2910"/>
      <c r="K29" s="2910"/>
      <c r="L29" s="2910"/>
      <c r="M29" s="2910"/>
      <c r="N29" s="2910"/>
      <c r="O29" s="2910"/>
      <c r="P29" s="1823"/>
      <c r="Q29" s="2904"/>
      <c r="R29" s="2905"/>
      <c r="S29" s="2905"/>
      <c r="T29" s="2905"/>
      <c r="U29" s="2905"/>
      <c r="V29" s="167"/>
    </row>
    <row r="30" spans="1:25" ht="39" customHeight="1" x14ac:dyDescent="0.2">
      <c r="A30" s="165"/>
      <c r="C30" s="182" t="s">
        <v>229</v>
      </c>
      <c r="D30" s="1835" t="s">
        <v>218</v>
      </c>
      <c r="E30" s="2985"/>
      <c r="F30" s="2985"/>
      <c r="G30" s="2985"/>
      <c r="H30" s="2985"/>
      <c r="I30" s="2985"/>
      <c r="J30" s="2985"/>
      <c r="K30" s="2985"/>
      <c r="L30" s="2985"/>
      <c r="M30" s="2985"/>
      <c r="N30" s="2985"/>
      <c r="O30" s="2985"/>
      <c r="P30" s="1824"/>
      <c r="Q30" s="2906" t="s">
        <v>230</v>
      </c>
      <c r="R30" s="2907"/>
      <c r="S30" s="2907"/>
      <c r="T30" s="2907"/>
      <c r="U30" s="2907"/>
      <c r="V30" s="167"/>
    </row>
    <row r="31" spans="1:25" ht="27.75" customHeight="1" x14ac:dyDescent="0.2">
      <c r="A31" s="165"/>
      <c r="C31" s="182" t="s">
        <v>231</v>
      </c>
      <c r="D31" s="1835" t="s">
        <v>218</v>
      </c>
      <c r="E31" s="2986"/>
      <c r="F31" s="2986"/>
      <c r="G31" s="2986"/>
      <c r="H31" s="2986"/>
      <c r="I31" s="2986"/>
      <c r="J31" s="2986"/>
      <c r="K31" s="2986"/>
      <c r="L31" s="2986"/>
      <c r="M31" s="2986"/>
      <c r="N31" s="2986"/>
      <c r="O31" s="2986"/>
      <c r="P31" s="1825"/>
      <c r="Q31" s="2949" t="s">
        <v>1240</v>
      </c>
      <c r="R31" s="2987"/>
      <c r="S31" s="2987"/>
      <c r="T31" s="2987"/>
      <c r="U31" s="2987"/>
      <c r="V31" s="167"/>
    </row>
    <row r="32" spans="1:25" ht="6.75" customHeight="1" x14ac:dyDescent="0.2">
      <c r="A32" s="165"/>
      <c r="C32" s="182"/>
      <c r="D32" s="1835"/>
      <c r="E32" s="1825"/>
      <c r="F32" s="1825"/>
      <c r="G32" s="1825"/>
      <c r="H32" s="1825"/>
      <c r="I32" s="1825"/>
      <c r="J32" s="1825"/>
      <c r="K32" s="1825"/>
      <c r="L32" s="1825"/>
      <c r="M32" s="1825"/>
      <c r="N32" s="1825"/>
      <c r="O32" s="1825"/>
      <c r="P32" s="1825"/>
      <c r="Q32" s="2949"/>
      <c r="R32" s="2987"/>
      <c r="S32" s="2987"/>
      <c r="T32" s="2987"/>
      <c r="U32" s="2987"/>
      <c r="V32" s="167"/>
    </row>
    <row r="33" spans="1:22" ht="12.75" customHeight="1" x14ac:dyDescent="0.2">
      <c r="A33" s="165"/>
      <c r="B33" s="175" t="s">
        <v>1156</v>
      </c>
      <c r="C33" s="182"/>
      <c r="D33" s="1835" t="s">
        <v>218</v>
      </c>
      <c r="E33" s="2988"/>
      <c r="F33" s="2988"/>
      <c r="G33" s="2988"/>
      <c r="H33" s="2988"/>
      <c r="I33" s="2988"/>
      <c r="J33" s="2988"/>
      <c r="K33" s="2988"/>
      <c r="L33" s="2988"/>
      <c r="M33" s="2988"/>
      <c r="N33" s="2988"/>
      <c r="O33" s="2988"/>
      <c r="P33" s="180"/>
      <c r="Q33" s="2949"/>
      <c r="R33" s="2987"/>
      <c r="S33" s="2987"/>
      <c r="T33" s="2987"/>
      <c r="U33" s="2987"/>
      <c r="V33" s="167"/>
    </row>
    <row r="34" spans="1:22" ht="6" customHeight="1" x14ac:dyDescent="0.2">
      <c r="A34" s="165"/>
      <c r="C34" s="182"/>
      <c r="D34" s="1835"/>
      <c r="E34" s="1826"/>
      <c r="F34" s="1826"/>
      <c r="G34" s="183"/>
      <c r="H34" s="183"/>
      <c r="I34" s="183"/>
      <c r="J34" s="183"/>
      <c r="K34" s="180"/>
      <c r="L34" s="180"/>
      <c r="M34" s="180"/>
      <c r="N34" s="180"/>
      <c r="O34" s="180"/>
      <c r="P34" s="180"/>
      <c r="Q34" s="2949"/>
      <c r="R34" s="2987"/>
      <c r="S34" s="2987"/>
      <c r="T34" s="2987"/>
      <c r="U34" s="2987"/>
      <c r="V34" s="167"/>
    </row>
    <row r="35" spans="1:22" x14ac:dyDescent="0.2">
      <c r="A35" s="165"/>
      <c r="B35" s="175" t="s">
        <v>1129</v>
      </c>
      <c r="C35" s="170"/>
      <c r="D35" s="1835" t="s">
        <v>218</v>
      </c>
      <c r="E35" s="3170"/>
      <c r="F35" s="3170"/>
      <c r="G35" s="3170"/>
      <c r="H35" s="3170"/>
      <c r="I35" s="3170"/>
      <c r="J35" s="1833"/>
      <c r="K35" s="184"/>
      <c r="L35" s="184"/>
      <c r="M35" s="184"/>
      <c r="N35" s="184"/>
      <c r="O35" s="184"/>
      <c r="P35" s="184"/>
      <c r="Q35" s="2949"/>
      <c r="R35" s="2987"/>
      <c r="S35" s="2987"/>
      <c r="T35" s="2987"/>
      <c r="U35" s="2987"/>
      <c r="V35" s="167"/>
    </row>
    <row r="36" spans="1:22" x14ac:dyDescent="0.2">
      <c r="A36" s="165"/>
      <c r="C36" s="170"/>
      <c r="D36" s="1835"/>
      <c r="E36" s="1828"/>
      <c r="F36" s="1828"/>
      <c r="G36" s="1828"/>
      <c r="H36" s="1828"/>
      <c r="I36" s="1828"/>
      <c r="J36" s="1828"/>
      <c r="K36" s="180"/>
      <c r="L36" s="180"/>
      <c r="M36" s="180"/>
      <c r="N36" s="180"/>
      <c r="O36" s="180"/>
      <c r="P36" s="180"/>
      <c r="Q36" s="2949"/>
      <c r="R36" s="2987"/>
      <c r="S36" s="2987"/>
      <c r="T36" s="2987"/>
      <c r="U36" s="2987"/>
      <c r="V36" s="167"/>
    </row>
    <row r="37" spans="1:22" x14ac:dyDescent="0.2">
      <c r="A37" s="165"/>
      <c r="B37" s="166" t="s">
        <v>1239</v>
      </c>
      <c r="C37" s="166"/>
      <c r="D37" s="186"/>
      <c r="E37" s="186"/>
      <c r="F37" s="166"/>
      <c r="G37" s="166"/>
      <c r="H37" s="166"/>
      <c r="I37" s="166"/>
      <c r="J37" s="166"/>
      <c r="V37" s="167"/>
    </row>
    <row r="38" spans="1:22" ht="5.25" customHeight="1" thickBot="1" x14ac:dyDescent="0.25">
      <c r="A38" s="165"/>
      <c r="D38" s="187"/>
      <c r="E38" s="188"/>
      <c r="V38" s="167"/>
    </row>
    <row r="39" spans="1:22" ht="27" customHeight="1" thickBot="1" x14ac:dyDescent="0.25">
      <c r="A39" s="165"/>
      <c r="C39" s="198" t="s">
        <v>183</v>
      </c>
      <c r="D39" s="3001" t="s">
        <v>235</v>
      </c>
      <c r="E39" s="3002"/>
      <c r="F39" s="3003"/>
      <c r="G39" s="189" t="s">
        <v>204</v>
      </c>
      <c r="H39" s="3004" t="s">
        <v>207</v>
      </c>
      <c r="I39" s="3005"/>
      <c r="J39" s="3005"/>
      <c r="K39" s="3006"/>
      <c r="L39" s="3004" t="s">
        <v>206</v>
      </c>
      <c r="M39" s="3005"/>
      <c r="N39" s="3005"/>
      <c r="O39" s="3006"/>
      <c r="P39" s="3004" t="s">
        <v>208</v>
      </c>
      <c r="Q39" s="3005"/>
      <c r="R39" s="3005"/>
      <c r="S39" s="3005"/>
      <c r="T39" s="3006"/>
      <c r="U39" s="1836"/>
      <c r="V39" s="167"/>
    </row>
    <row r="40" spans="1:22" ht="15" customHeight="1" x14ac:dyDescent="0.2">
      <c r="A40" s="165"/>
      <c r="C40" s="210"/>
      <c r="D40" s="3007"/>
      <c r="E40" s="3008"/>
      <c r="F40" s="3009"/>
      <c r="G40" s="1589"/>
      <c r="H40" s="3010"/>
      <c r="I40" s="3011"/>
      <c r="J40" s="3011"/>
      <c r="K40" s="3012"/>
      <c r="L40" s="3010"/>
      <c r="M40" s="3011"/>
      <c r="N40" s="3011"/>
      <c r="O40" s="3012"/>
      <c r="P40" s="3010"/>
      <c r="Q40" s="3011"/>
      <c r="R40" s="3011"/>
      <c r="S40" s="3011"/>
      <c r="T40" s="3013"/>
      <c r="U40" s="1836"/>
      <c r="V40" s="167"/>
    </row>
    <row r="41" spans="1:22" ht="12.75" customHeight="1" x14ac:dyDescent="0.2">
      <c r="A41" s="165"/>
      <c r="C41" s="211"/>
      <c r="D41" s="2995"/>
      <c r="E41" s="2995"/>
      <c r="F41" s="2996"/>
      <c r="G41" s="1590"/>
      <c r="H41" s="2997"/>
      <c r="I41" s="2998"/>
      <c r="J41" s="2998"/>
      <c r="K41" s="2999"/>
      <c r="L41" s="2997"/>
      <c r="M41" s="2998"/>
      <c r="N41" s="2998"/>
      <c r="O41" s="2999"/>
      <c r="P41" s="2997"/>
      <c r="Q41" s="2998"/>
      <c r="R41" s="2998"/>
      <c r="S41" s="2998"/>
      <c r="T41" s="3000"/>
      <c r="U41" s="1836"/>
      <c r="V41" s="167"/>
    </row>
    <row r="42" spans="1:22" ht="12.75" customHeight="1" x14ac:dyDescent="0.2">
      <c r="A42" s="165"/>
      <c r="C42" s="211"/>
      <c r="D42" s="2995"/>
      <c r="E42" s="2995"/>
      <c r="F42" s="2996"/>
      <c r="G42" s="1590"/>
      <c r="H42" s="2997"/>
      <c r="I42" s="2998"/>
      <c r="J42" s="2998"/>
      <c r="K42" s="2999"/>
      <c r="L42" s="2997"/>
      <c r="M42" s="2998"/>
      <c r="N42" s="2998"/>
      <c r="O42" s="2999"/>
      <c r="P42" s="2997"/>
      <c r="Q42" s="2998"/>
      <c r="R42" s="2998"/>
      <c r="S42" s="2998"/>
      <c r="T42" s="3000"/>
      <c r="U42" s="1836"/>
      <c r="V42" s="167"/>
    </row>
    <row r="43" spans="1:22" ht="12.75" customHeight="1" x14ac:dyDescent="0.2">
      <c r="A43" s="165"/>
      <c r="C43" s="211"/>
      <c r="D43" s="2995"/>
      <c r="E43" s="2995"/>
      <c r="F43" s="2996"/>
      <c r="G43" s="1590"/>
      <c r="H43" s="2997"/>
      <c r="I43" s="2998"/>
      <c r="J43" s="2998"/>
      <c r="K43" s="2999"/>
      <c r="L43" s="2997"/>
      <c r="M43" s="2998"/>
      <c r="N43" s="2998"/>
      <c r="O43" s="2999"/>
      <c r="P43" s="2997"/>
      <c r="Q43" s="2998"/>
      <c r="R43" s="2998"/>
      <c r="S43" s="2998"/>
      <c r="T43" s="3000"/>
      <c r="U43" s="1836"/>
      <c r="V43" s="167"/>
    </row>
    <row r="44" spans="1:22" ht="12.75" customHeight="1" x14ac:dyDescent="0.2">
      <c r="A44" s="165"/>
      <c r="C44" s="211"/>
      <c r="D44" s="2995"/>
      <c r="E44" s="2995"/>
      <c r="F44" s="2996"/>
      <c r="G44" s="1590"/>
      <c r="H44" s="2997"/>
      <c r="I44" s="2998"/>
      <c r="J44" s="2998"/>
      <c r="K44" s="2999"/>
      <c r="L44" s="2997"/>
      <c r="M44" s="2998"/>
      <c r="N44" s="2998"/>
      <c r="O44" s="2999"/>
      <c r="P44" s="2997"/>
      <c r="Q44" s="2998"/>
      <c r="R44" s="2998"/>
      <c r="S44" s="2998"/>
      <c r="T44" s="3000"/>
      <c r="U44" s="1836"/>
      <c r="V44" s="167"/>
    </row>
    <row r="45" spans="1:22" x14ac:dyDescent="0.2">
      <c r="A45" s="165"/>
      <c r="C45" s="1488"/>
      <c r="D45" s="3014"/>
      <c r="E45" s="3014"/>
      <c r="F45" s="3015"/>
      <c r="G45" s="1591"/>
      <c r="H45" s="2997"/>
      <c r="I45" s="2998"/>
      <c r="J45" s="2998"/>
      <c r="K45" s="2999"/>
      <c r="L45" s="2997"/>
      <c r="M45" s="2998"/>
      <c r="N45" s="2998"/>
      <c r="O45" s="2999"/>
      <c r="P45" s="2997"/>
      <c r="Q45" s="2998"/>
      <c r="R45" s="2998"/>
      <c r="S45" s="2998"/>
      <c r="T45" s="3000"/>
      <c r="U45" s="1836"/>
      <c r="V45" s="167"/>
    </row>
    <row r="46" spans="1:22" x14ac:dyDescent="0.2">
      <c r="A46" s="165"/>
      <c r="C46" s="211"/>
      <c r="D46" s="2995"/>
      <c r="E46" s="2995"/>
      <c r="F46" s="2996"/>
      <c r="G46" s="1590"/>
      <c r="H46" s="2997"/>
      <c r="I46" s="2998"/>
      <c r="J46" s="2998"/>
      <c r="K46" s="2999"/>
      <c r="L46" s="2997"/>
      <c r="M46" s="2998"/>
      <c r="N46" s="2998"/>
      <c r="O46" s="2999"/>
      <c r="P46" s="2997"/>
      <c r="Q46" s="2998"/>
      <c r="R46" s="2998"/>
      <c r="S46" s="2998"/>
      <c r="T46" s="3000"/>
      <c r="U46" s="1836"/>
      <c r="V46" s="167"/>
    </row>
    <row r="47" spans="1:22" x14ac:dyDescent="0.2">
      <c r="A47" s="165"/>
      <c r="C47" s="1488"/>
      <c r="D47" s="3014"/>
      <c r="E47" s="3014"/>
      <c r="F47" s="3015"/>
      <c r="G47" s="1591"/>
      <c r="H47" s="2997"/>
      <c r="I47" s="2998"/>
      <c r="J47" s="2998"/>
      <c r="K47" s="2999"/>
      <c r="L47" s="2997"/>
      <c r="M47" s="2998"/>
      <c r="N47" s="2998"/>
      <c r="O47" s="2999"/>
      <c r="P47" s="2997"/>
      <c r="Q47" s="2998"/>
      <c r="R47" s="2998"/>
      <c r="S47" s="2998"/>
      <c r="T47" s="3000"/>
      <c r="U47" s="1836"/>
      <c r="V47" s="167"/>
    </row>
    <row r="48" spans="1:22" x14ac:dyDescent="0.2">
      <c r="A48" s="165"/>
      <c r="C48" s="211"/>
      <c r="D48" s="2995"/>
      <c r="E48" s="2995"/>
      <c r="F48" s="2996"/>
      <c r="G48" s="1590"/>
      <c r="H48" s="2997"/>
      <c r="I48" s="2998"/>
      <c r="J48" s="2998"/>
      <c r="K48" s="2999"/>
      <c r="L48" s="2997"/>
      <c r="M48" s="2998"/>
      <c r="N48" s="2998"/>
      <c r="O48" s="2999"/>
      <c r="P48" s="2997"/>
      <c r="Q48" s="2998"/>
      <c r="R48" s="2998"/>
      <c r="S48" s="2998"/>
      <c r="T48" s="3000"/>
      <c r="U48" s="1836"/>
      <c r="V48" s="167"/>
    </row>
    <row r="49" spans="1:22" ht="12.75" customHeight="1" x14ac:dyDescent="0.2">
      <c r="A49" s="165"/>
      <c r="B49" s="168"/>
      <c r="C49" s="1488"/>
      <c r="D49" s="3014"/>
      <c r="E49" s="3014"/>
      <c r="F49" s="3015"/>
      <c r="G49" s="1591"/>
      <c r="H49" s="2997"/>
      <c r="I49" s="2998"/>
      <c r="J49" s="2998"/>
      <c r="K49" s="2999"/>
      <c r="L49" s="2997"/>
      <c r="M49" s="2998"/>
      <c r="N49" s="2998"/>
      <c r="O49" s="2999"/>
      <c r="P49" s="2997"/>
      <c r="Q49" s="2998"/>
      <c r="R49" s="2998"/>
      <c r="S49" s="2998"/>
      <c r="T49" s="3000"/>
      <c r="U49" s="1836"/>
      <c r="V49" s="167"/>
    </row>
    <row r="50" spans="1:22" ht="12.75" customHeight="1" x14ac:dyDescent="0.2">
      <c r="A50" s="165"/>
      <c r="B50" s="166"/>
      <c r="C50" s="211"/>
      <c r="D50" s="2995"/>
      <c r="E50" s="2995"/>
      <c r="F50" s="2996"/>
      <c r="G50" s="1590"/>
      <c r="H50" s="2997"/>
      <c r="I50" s="2998"/>
      <c r="J50" s="2998"/>
      <c r="K50" s="2999"/>
      <c r="L50" s="2997"/>
      <c r="M50" s="2998"/>
      <c r="N50" s="2998"/>
      <c r="O50" s="2999"/>
      <c r="P50" s="2997"/>
      <c r="Q50" s="2998"/>
      <c r="R50" s="2998"/>
      <c r="S50" s="2998"/>
      <c r="T50" s="3000"/>
      <c r="U50" s="1836"/>
      <c r="V50" s="167"/>
    </row>
    <row r="51" spans="1:22" ht="12.75" customHeight="1" x14ac:dyDescent="0.2">
      <c r="A51" s="165"/>
      <c r="C51" s="211"/>
      <c r="D51" s="2995"/>
      <c r="E51" s="2995"/>
      <c r="F51" s="2996"/>
      <c r="G51" s="1590"/>
      <c r="H51" s="2997"/>
      <c r="I51" s="2998"/>
      <c r="J51" s="2998"/>
      <c r="K51" s="2999"/>
      <c r="L51" s="2997"/>
      <c r="M51" s="2998"/>
      <c r="N51" s="2998"/>
      <c r="O51" s="2999"/>
      <c r="P51" s="2997"/>
      <c r="Q51" s="2998"/>
      <c r="R51" s="2998"/>
      <c r="S51" s="2998"/>
      <c r="T51" s="3000"/>
      <c r="U51" s="1836"/>
      <c r="V51" s="167"/>
    </row>
    <row r="52" spans="1:22" ht="12.75" customHeight="1" x14ac:dyDescent="0.2">
      <c r="A52" s="165"/>
      <c r="C52" s="1488"/>
      <c r="D52" s="3014"/>
      <c r="E52" s="3014"/>
      <c r="F52" s="3015"/>
      <c r="G52" s="1489"/>
      <c r="H52" s="2997"/>
      <c r="I52" s="2998"/>
      <c r="J52" s="2998"/>
      <c r="K52" s="2999"/>
      <c r="L52" s="2997"/>
      <c r="M52" s="2998"/>
      <c r="N52" s="2998"/>
      <c r="O52" s="2999"/>
      <c r="P52" s="2997"/>
      <c r="Q52" s="2998"/>
      <c r="R52" s="2998"/>
      <c r="S52" s="2998"/>
      <c r="T52" s="3000"/>
      <c r="U52" s="1836"/>
      <c r="V52" s="167"/>
    </row>
    <row r="53" spans="1:22" ht="12.75" customHeight="1" thickBot="1" x14ac:dyDescent="0.25">
      <c r="A53" s="165"/>
      <c r="B53" s="166"/>
      <c r="C53" s="212"/>
      <c r="D53" s="3016"/>
      <c r="E53" s="3016"/>
      <c r="F53" s="3017"/>
      <c r="G53" s="194"/>
      <c r="H53" s="3018"/>
      <c r="I53" s="3019"/>
      <c r="J53" s="3019"/>
      <c r="K53" s="3020"/>
      <c r="L53" s="3018"/>
      <c r="M53" s="3019"/>
      <c r="N53" s="3019"/>
      <c r="O53" s="3020"/>
      <c r="P53" s="3018"/>
      <c r="Q53" s="3019"/>
      <c r="R53" s="3019"/>
      <c r="S53" s="3019"/>
      <c r="T53" s="3021"/>
      <c r="U53" s="1836"/>
      <c r="V53" s="167"/>
    </row>
    <row r="54" spans="1:22" ht="12.75" customHeight="1" thickBot="1" x14ac:dyDescent="0.25">
      <c r="A54" s="195"/>
      <c r="B54" s="1867"/>
      <c r="C54" s="1868"/>
      <c r="D54" s="1869"/>
      <c r="E54" s="1869"/>
      <c r="F54" s="1869"/>
      <c r="G54" s="1869"/>
      <c r="H54" s="1870"/>
      <c r="I54" s="1870"/>
      <c r="J54" s="1870"/>
      <c r="K54" s="1870"/>
      <c r="L54" s="1870"/>
      <c r="M54" s="1870"/>
      <c r="N54" s="1870"/>
      <c r="O54" s="1870"/>
      <c r="P54" s="1870"/>
      <c r="Q54" s="1870"/>
      <c r="R54" s="1870"/>
      <c r="S54" s="1870"/>
      <c r="T54" s="1870"/>
      <c r="U54" s="1829"/>
      <c r="V54" s="197"/>
    </row>
    <row r="55" spans="1:22" ht="13.5" thickTop="1" x14ac:dyDescent="0.2">
      <c r="A55" s="3022" t="s">
        <v>236</v>
      </c>
      <c r="B55" s="3023"/>
      <c r="C55" s="3023"/>
      <c r="D55" s="3023"/>
      <c r="E55" s="3023"/>
      <c r="F55" s="3023"/>
      <c r="G55" s="3023"/>
      <c r="H55" s="3023"/>
      <c r="I55" s="3023"/>
      <c r="J55" s="3023"/>
      <c r="K55" s="3023"/>
      <c r="L55" s="3023"/>
      <c r="M55" s="3023"/>
      <c r="N55" s="3023"/>
      <c r="O55" s="3023"/>
      <c r="P55" s="3023"/>
      <c r="Q55" s="3023"/>
      <c r="R55" s="3023"/>
      <c r="S55" s="3023"/>
      <c r="T55" s="3023"/>
      <c r="U55" s="3023"/>
      <c r="V55" s="3024"/>
    </row>
    <row r="56" spans="1:22" ht="13.5" thickBot="1" x14ac:dyDescent="0.25">
      <c r="A56" s="3025" t="s">
        <v>279</v>
      </c>
      <c r="B56" s="3026"/>
      <c r="C56" s="3026"/>
      <c r="D56" s="3026"/>
      <c r="E56" s="3026"/>
      <c r="F56" s="3026"/>
      <c r="G56" s="3026"/>
      <c r="H56" s="3026"/>
      <c r="I56" s="3026"/>
      <c r="J56" s="3026"/>
      <c r="K56" s="3026"/>
      <c r="L56" s="3026"/>
      <c r="M56" s="3026"/>
      <c r="N56" s="3026"/>
      <c r="O56" s="3026"/>
      <c r="P56" s="3026"/>
      <c r="Q56" s="3026"/>
      <c r="R56" s="3026"/>
      <c r="S56" s="3026"/>
      <c r="T56" s="3026"/>
      <c r="U56" s="3026"/>
      <c r="V56" s="3027"/>
    </row>
    <row r="57" spans="1:22" ht="13.5" thickBot="1" x14ac:dyDescent="0.25">
      <c r="A57" s="1490"/>
      <c r="B57" s="1491" t="s">
        <v>907</v>
      </c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  <c r="R57" s="1490"/>
      <c r="S57" s="1490"/>
      <c r="T57" s="1490"/>
      <c r="U57" s="1492" t="str">
        <f>A4</f>
        <v>INFORME DE ENSAYO N° XXX-20XX  ALEPH/GR/LSCD</v>
      </c>
      <c r="V57" s="1490"/>
    </row>
    <row r="58" spans="1:22" ht="51" customHeight="1" x14ac:dyDescent="0.2">
      <c r="A58" s="3004" t="s">
        <v>1238</v>
      </c>
      <c r="B58" s="3005"/>
      <c r="C58" s="3005"/>
      <c r="D58" s="3005"/>
      <c r="E58" s="3005"/>
      <c r="F58" s="3005"/>
      <c r="G58" s="3005"/>
      <c r="H58" s="3005"/>
      <c r="I58" s="3005"/>
      <c r="J58" s="3005"/>
      <c r="K58" s="3005"/>
      <c r="L58" s="3005"/>
      <c r="M58" s="3005"/>
      <c r="N58" s="3005"/>
      <c r="O58" s="3005"/>
      <c r="P58" s="3005"/>
      <c r="Q58" s="3005"/>
      <c r="R58" s="3005"/>
      <c r="S58" s="3005"/>
      <c r="T58" s="3005"/>
      <c r="U58" s="3005"/>
      <c r="V58" s="3006"/>
    </row>
    <row r="59" spans="1:22" ht="30" customHeight="1" thickBot="1" x14ac:dyDescent="0.25">
      <c r="A59" s="3166"/>
      <c r="B59" s="3167"/>
      <c r="C59" s="3167"/>
      <c r="D59" s="3167"/>
      <c r="E59" s="3167"/>
      <c r="F59" s="3167"/>
      <c r="G59" s="3167"/>
      <c r="H59" s="3167"/>
      <c r="I59" s="3167"/>
      <c r="J59" s="3167"/>
      <c r="K59" s="3167"/>
      <c r="L59" s="3167"/>
      <c r="M59" s="3167"/>
      <c r="N59" s="3167"/>
      <c r="O59" s="3167"/>
      <c r="P59" s="3167"/>
      <c r="Q59" s="3167"/>
      <c r="R59" s="3167"/>
      <c r="S59" s="3167"/>
      <c r="T59" s="3167"/>
      <c r="U59" s="3167"/>
      <c r="V59" s="3168"/>
    </row>
    <row r="60" spans="1:22" ht="13.5" thickTop="1" x14ac:dyDescent="0.2">
      <c r="A60" s="165"/>
      <c r="V60" s="167"/>
    </row>
    <row r="61" spans="1:22" ht="27" hidden="1" customHeight="1" thickBot="1" x14ac:dyDescent="0.25">
      <c r="A61" s="165"/>
      <c r="C61" s="198" t="s">
        <v>183</v>
      </c>
      <c r="D61" s="3001" t="s">
        <v>235</v>
      </c>
      <c r="E61" s="3002"/>
      <c r="F61" s="3003"/>
      <c r="G61" s="189" t="s">
        <v>204</v>
      </c>
      <c r="H61" s="3028" t="s">
        <v>207</v>
      </c>
      <c r="I61" s="3029"/>
      <c r="J61" s="3029"/>
      <c r="K61" s="3030"/>
      <c r="L61" s="3028" t="s">
        <v>206</v>
      </c>
      <c r="M61" s="3029"/>
      <c r="N61" s="3029"/>
      <c r="O61" s="3030"/>
      <c r="P61" s="3028" t="s">
        <v>208</v>
      </c>
      <c r="Q61" s="3029"/>
      <c r="R61" s="3029"/>
      <c r="S61" s="3029"/>
      <c r="T61" s="3030"/>
      <c r="U61" s="1836"/>
      <c r="V61" s="167"/>
    </row>
    <row r="62" spans="1:22" ht="15" hidden="1" customHeight="1" x14ac:dyDescent="0.2">
      <c r="A62" s="165"/>
      <c r="C62" s="210" t="e">
        <f>'F-LSCD-008'!#REF!</f>
        <v>#REF!</v>
      </c>
      <c r="D62" s="3007" t="e">
        <f>'F-LSCD-008'!#REF!</f>
        <v>#REF!</v>
      </c>
      <c r="E62" s="3008"/>
      <c r="F62" s="3009"/>
      <c r="G62" s="190" t="e">
        <f>'F-LSCD-008'!#REF!</f>
        <v>#REF!</v>
      </c>
      <c r="H62" s="3031" t="e">
        <f>'F-LSCD-008'!#REF!</f>
        <v>#REF!</v>
      </c>
      <c r="I62" s="3032"/>
      <c r="J62" s="191" t="s">
        <v>78</v>
      </c>
      <c r="K62" s="1476" t="e">
        <f>4.73/100*H62</f>
        <v>#REF!</v>
      </c>
      <c r="L62" s="3031"/>
      <c r="M62" s="3032"/>
      <c r="N62" s="1484" t="s">
        <v>93</v>
      </c>
      <c r="O62" s="1485"/>
      <c r="P62" s="3031"/>
      <c r="Q62" s="3032"/>
      <c r="R62" s="3032"/>
      <c r="S62" s="1484" t="s">
        <v>93</v>
      </c>
      <c r="T62" s="1485"/>
      <c r="U62" s="1836"/>
      <c r="V62" s="167"/>
    </row>
    <row r="63" spans="1:22" hidden="1" x14ac:dyDescent="0.2">
      <c r="A63" s="165"/>
      <c r="C63" s="211" t="e">
        <f>'F-LSCD-008'!#REF!</f>
        <v>#REF!</v>
      </c>
      <c r="D63" s="2995" t="e">
        <f>'F-LSCD-008'!#REF!</f>
        <v>#REF!</v>
      </c>
      <c r="E63" s="2995"/>
      <c r="F63" s="2996"/>
      <c r="G63" s="192" t="e">
        <f>'F-LSCD-008'!#REF!</f>
        <v>#REF!</v>
      </c>
      <c r="H63" s="3035" t="e">
        <f>'F-LSCD-008'!#REF!</f>
        <v>#REF!</v>
      </c>
      <c r="I63" s="3036"/>
      <c r="J63" s="193" t="s">
        <v>78</v>
      </c>
      <c r="K63" s="1474" t="e">
        <f>4.73/100*H63</f>
        <v>#REF!</v>
      </c>
      <c r="L63" s="3035"/>
      <c r="M63" s="3036"/>
      <c r="N63" s="1486" t="s">
        <v>93</v>
      </c>
      <c r="O63" s="1487"/>
      <c r="P63" s="3035"/>
      <c r="Q63" s="3036"/>
      <c r="R63" s="3036"/>
      <c r="S63" s="1486" t="s">
        <v>93</v>
      </c>
      <c r="T63" s="1487"/>
      <c r="U63" s="1836"/>
      <c r="V63" s="167"/>
    </row>
    <row r="64" spans="1:22" hidden="1" x14ac:dyDescent="0.2">
      <c r="A64" s="165"/>
      <c r="C64" s="211" t="e">
        <f>'F-LSCD-008'!#REF!</f>
        <v>#REF!</v>
      </c>
      <c r="D64" s="2995" t="e">
        <f>'F-LSCD-008'!#REF!</f>
        <v>#REF!</v>
      </c>
      <c r="E64" s="2995"/>
      <c r="F64" s="2996"/>
      <c r="G64" s="192" t="e">
        <f>'F-LSCD-008'!#REF!</f>
        <v>#REF!</v>
      </c>
      <c r="H64" s="3035" t="e">
        <f>'F-LSCD-008'!#REF!</f>
        <v>#REF!</v>
      </c>
      <c r="I64" s="3036"/>
      <c r="J64" s="193" t="s">
        <v>78</v>
      </c>
      <c r="K64" s="1474" t="e">
        <f>4.73/100*H64</f>
        <v>#REF!</v>
      </c>
      <c r="L64" s="3035"/>
      <c r="M64" s="3036"/>
      <c r="N64" s="1486" t="s">
        <v>93</v>
      </c>
      <c r="O64" s="1487"/>
      <c r="P64" s="3035"/>
      <c r="Q64" s="3036"/>
      <c r="R64" s="3036"/>
      <c r="S64" s="1486" t="s">
        <v>93</v>
      </c>
      <c r="T64" s="1487"/>
      <c r="U64" s="1836"/>
      <c r="V64" s="167"/>
    </row>
    <row r="65" spans="1:22" ht="13.5" hidden="1" thickBot="1" x14ac:dyDescent="0.25">
      <c r="A65" s="165"/>
      <c r="C65" s="212" t="e">
        <f>'F-LSCD-008'!#REF!</f>
        <v>#REF!</v>
      </c>
      <c r="D65" s="3016" t="e">
        <f>'F-LSCD-008'!#REF!</f>
        <v>#REF!</v>
      </c>
      <c r="E65" s="3016"/>
      <c r="F65" s="3017"/>
      <c r="G65" s="194" t="e">
        <f>'F-LSCD-008'!#REF!</f>
        <v>#REF!</v>
      </c>
      <c r="H65" s="3033" t="e">
        <f>'F-LSCD-008'!#REF!</f>
        <v>#REF!</v>
      </c>
      <c r="I65" s="3034"/>
      <c r="J65" s="216" t="s">
        <v>78</v>
      </c>
      <c r="K65" s="1475" t="e">
        <f>4.73/100*H65</f>
        <v>#REF!</v>
      </c>
      <c r="L65" s="3033"/>
      <c r="M65" s="3034"/>
      <c r="N65" s="1493" t="s">
        <v>93</v>
      </c>
      <c r="O65" s="1494"/>
      <c r="P65" s="3033"/>
      <c r="Q65" s="3034"/>
      <c r="R65" s="3034"/>
      <c r="S65" s="1493" t="s">
        <v>93</v>
      </c>
      <c r="T65" s="1494"/>
      <c r="U65" s="1836"/>
      <c r="V65" s="167"/>
    </row>
    <row r="66" spans="1:22" x14ac:dyDescent="0.2">
      <c r="A66" s="165"/>
      <c r="C66" s="214"/>
      <c r="D66" s="1264"/>
      <c r="E66" s="1264"/>
      <c r="F66" s="1264"/>
      <c r="G66" s="1831"/>
      <c r="H66" s="1495"/>
      <c r="I66" s="1495"/>
      <c r="J66" s="215"/>
      <c r="K66" s="1473"/>
      <c r="L66" s="1495"/>
      <c r="M66" s="1495"/>
      <c r="N66" s="1495"/>
      <c r="O66" s="1495"/>
      <c r="P66" s="1495"/>
      <c r="Q66" s="1495"/>
      <c r="R66" s="1495"/>
      <c r="S66" s="1495"/>
      <c r="T66" s="1495"/>
      <c r="U66" s="1836"/>
      <c r="V66" s="167"/>
    </row>
    <row r="67" spans="1:22" x14ac:dyDescent="0.2">
      <c r="A67" s="165"/>
      <c r="G67" s="213"/>
      <c r="U67" s="1836"/>
      <c r="V67" s="167"/>
    </row>
    <row r="68" spans="1:22" x14ac:dyDescent="0.2">
      <c r="A68" s="165"/>
      <c r="U68" s="1836"/>
      <c r="V68" s="167"/>
    </row>
    <row r="69" spans="1:22" ht="12.75" customHeight="1" x14ac:dyDescent="0.2">
      <c r="A69" s="165"/>
      <c r="B69" s="168"/>
      <c r="U69" s="1836"/>
      <c r="V69" s="167"/>
    </row>
    <row r="70" spans="1:22" ht="12.75" customHeight="1" x14ac:dyDescent="0.2">
      <c r="A70" s="165"/>
      <c r="B70" s="166"/>
      <c r="U70" s="1836"/>
      <c r="V70" s="167"/>
    </row>
    <row r="71" spans="1:22" ht="12.75" customHeight="1" x14ac:dyDescent="0.2">
      <c r="A71" s="165"/>
      <c r="U71" s="1836"/>
      <c r="V71" s="167"/>
    </row>
    <row r="72" spans="1:22" ht="12.75" customHeight="1" x14ac:dyDescent="0.2">
      <c r="A72" s="165"/>
      <c r="U72" s="1836"/>
      <c r="V72" s="167"/>
    </row>
    <row r="73" spans="1:22" ht="12.75" customHeight="1" x14ac:dyDescent="0.2">
      <c r="A73" s="165"/>
      <c r="U73" s="1836"/>
      <c r="V73" s="167"/>
    </row>
    <row r="74" spans="1:22" ht="12.75" customHeight="1" x14ac:dyDescent="0.2">
      <c r="A74" s="165"/>
      <c r="B74" s="166"/>
      <c r="U74" s="1836"/>
      <c r="V74" s="167"/>
    </row>
    <row r="75" spans="1:22" ht="12.75" customHeight="1" x14ac:dyDescent="0.2">
      <c r="A75" s="165"/>
      <c r="B75" s="166"/>
      <c r="C75" s="166"/>
      <c r="D75" s="166"/>
      <c r="E75" s="166"/>
      <c r="F75" s="166"/>
      <c r="G75" s="200"/>
      <c r="H75" s="200"/>
      <c r="I75" s="200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836"/>
      <c r="V75" s="167"/>
    </row>
    <row r="76" spans="1:22" ht="12.75" customHeight="1" x14ac:dyDescent="0.2">
      <c r="A76" s="165"/>
      <c r="B76" s="166"/>
      <c r="C76" s="175"/>
      <c r="D76" s="175"/>
      <c r="E76" s="175"/>
      <c r="F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836"/>
      <c r="V76" s="167"/>
    </row>
    <row r="77" spans="1:22" ht="12.75" customHeight="1" x14ac:dyDescent="0.2">
      <c r="A77" s="165"/>
      <c r="C77" s="175"/>
      <c r="D77" s="175"/>
      <c r="E77" s="175"/>
      <c r="F77" s="175"/>
      <c r="G77" s="1407"/>
      <c r="H77" s="1407"/>
      <c r="I77" s="1407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836"/>
      <c r="V77" s="167"/>
    </row>
    <row r="78" spans="1:22" ht="13.5" customHeight="1" thickBot="1" x14ac:dyDescent="0.25">
      <c r="A78" s="195"/>
      <c r="B78" s="196"/>
      <c r="C78" s="1878" t="s">
        <v>1245</v>
      </c>
      <c r="D78" s="196"/>
      <c r="E78" s="196"/>
      <c r="F78" s="196"/>
      <c r="G78" s="196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7"/>
    </row>
    <row r="79" spans="1:22" ht="13.5" thickTop="1" x14ac:dyDescent="0.2">
      <c r="A79" s="3022" t="s">
        <v>236</v>
      </c>
      <c r="B79" s="3023"/>
      <c r="C79" s="3023"/>
      <c r="D79" s="3023"/>
      <c r="E79" s="3023"/>
      <c r="F79" s="3023"/>
      <c r="G79" s="3023"/>
      <c r="H79" s="3023"/>
      <c r="I79" s="3023"/>
      <c r="J79" s="3023"/>
      <c r="K79" s="3023"/>
      <c r="L79" s="3023"/>
      <c r="M79" s="3023"/>
      <c r="N79" s="3023"/>
      <c r="O79" s="3023"/>
      <c r="P79" s="3023"/>
      <c r="Q79" s="3023"/>
      <c r="R79" s="3023"/>
      <c r="S79" s="3023"/>
      <c r="T79" s="3023"/>
      <c r="U79" s="3023"/>
      <c r="V79" s="3024"/>
    </row>
    <row r="80" spans="1:22" ht="13.5" thickBot="1" x14ac:dyDescent="0.25">
      <c r="A80" s="3025" t="s">
        <v>279</v>
      </c>
      <c r="B80" s="3026"/>
      <c r="C80" s="3026"/>
      <c r="D80" s="3026"/>
      <c r="E80" s="3026"/>
      <c r="F80" s="3026"/>
      <c r="G80" s="3026"/>
      <c r="H80" s="3026"/>
      <c r="I80" s="3026"/>
      <c r="J80" s="3026"/>
      <c r="K80" s="3026"/>
      <c r="L80" s="3026"/>
      <c r="M80" s="3026"/>
      <c r="N80" s="3026"/>
      <c r="O80" s="3026"/>
      <c r="P80" s="3026"/>
      <c r="Q80" s="3026"/>
      <c r="R80" s="3026"/>
      <c r="S80" s="3026"/>
      <c r="T80" s="3026"/>
      <c r="U80" s="3026"/>
      <c r="V80" s="3027"/>
    </row>
    <row r="81" spans="2:21" x14ac:dyDescent="0.2">
      <c r="B81" s="1356" t="s">
        <v>917</v>
      </c>
      <c r="U81" s="1357" t="str">
        <f>U57</f>
        <v>INFORME DE ENSAYO N° XXX-20XX  ALEPH/GR/LSCD</v>
      </c>
    </row>
  </sheetData>
  <autoFilter ref="A39:V59" xr:uid="{00000000-0009-0000-0000-000027000000}">
    <filterColumn colId="3" showButton="0"/>
    <filterColumn colId="4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</autoFilter>
  <mergeCells count="106">
    <mergeCell ref="D65:F65"/>
    <mergeCell ref="H65:I65"/>
    <mergeCell ref="L65:M65"/>
    <mergeCell ref="P65:R65"/>
    <mergeCell ref="A79:V79"/>
    <mergeCell ref="A80:V80"/>
    <mergeCell ref="D63:F63"/>
    <mergeCell ref="H63:I63"/>
    <mergeCell ref="L63:M63"/>
    <mergeCell ref="P63:R63"/>
    <mergeCell ref="D64:F64"/>
    <mergeCell ref="H64:I64"/>
    <mergeCell ref="L64:M64"/>
    <mergeCell ref="P64:R64"/>
    <mergeCell ref="A58:V59"/>
    <mergeCell ref="D61:F61"/>
    <mergeCell ref="H61:K61"/>
    <mergeCell ref="L61:O61"/>
    <mergeCell ref="P61:T61"/>
    <mergeCell ref="D62:F62"/>
    <mergeCell ref="H62:I62"/>
    <mergeCell ref="L62:M62"/>
    <mergeCell ref="P62:R62"/>
    <mergeCell ref="D53:F53"/>
    <mergeCell ref="H53:K53"/>
    <mergeCell ref="L53:O53"/>
    <mergeCell ref="P53:T53"/>
    <mergeCell ref="A55:V55"/>
    <mergeCell ref="A56:V56"/>
    <mergeCell ref="D51:F51"/>
    <mergeCell ref="H51:K51"/>
    <mergeCell ref="L51:O51"/>
    <mergeCell ref="P51:T51"/>
    <mergeCell ref="D52:F52"/>
    <mergeCell ref="H52:K52"/>
    <mergeCell ref="L52:O52"/>
    <mergeCell ref="P52:T52"/>
    <mergeCell ref="D49:F49"/>
    <mergeCell ref="H49:K49"/>
    <mergeCell ref="L49:O49"/>
    <mergeCell ref="P49:T49"/>
    <mergeCell ref="D50:F50"/>
    <mergeCell ref="H50:K50"/>
    <mergeCell ref="L50:O50"/>
    <mergeCell ref="P50:T50"/>
    <mergeCell ref="D47:F47"/>
    <mergeCell ref="H47:K47"/>
    <mergeCell ref="L47:O47"/>
    <mergeCell ref="P47:T47"/>
    <mergeCell ref="D48:F48"/>
    <mergeCell ref="H48:K48"/>
    <mergeCell ref="L48:O48"/>
    <mergeCell ref="P48:T48"/>
    <mergeCell ref="D45:F45"/>
    <mergeCell ref="H45:K45"/>
    <mergeCell ref="L45:O45"/>
    <mergeCell ref="P45:T45"/>
    <mergeCell ref="D46:F46"/>
    <mergeCell ref="H46:K46"/>
    <mergeCell ref="L46:O46"/>
    <mergeCell ref="P46:T46"/>
    <mergeCell ref="D43:F43"/>
    <mergeCell ref="H43:K43"/>
    <mergeCell ref="L43:O43"/>
    <mergeCell ref="P43:T43"/>
    <mergeCell ref="D44:F44"/>
    <mergeCell ref="H44:K44"/>
    <mergeCell ref="L44:O44"/>
    <mergeCell ref="P44:T44"/>
    <mergeCell ref="D41:F41"/>
    <mergeCell ref="H41:K41"/>
    <mergeCell ref="L41:O41"/>
    <mergeCell ref="P41:T41"/>
    <mergeCell ref="D42:F42"/>
    <mergeCell ref="H42:K42"/>
    <mergeCell ref="L42:O42"/>
    <mergeCell ref="P42:T42"/>
    <mergeCell ref="D39:F39"/>
    <mergeCell ref="H39:K39"/>
    <mergeCell ref="L39:O39"/>
    <mergeCell ref="P39:T39"/>
    <mergeCell ref="D40:F40"/>
    <mergeCell ref="H40:K40"/>
    <mergeCell ref="L40:O40"/>
    <mergeCell ref="P40:T40"/>
    <mergeCell ref="E31:O31"/>
    <mergeCell ref="Q31:U36"/>
    <mergeCell ref="E33:O33"/>
    <mergeCell ref="E35:I35"/>
    <mergeCell ref="E18:O19"/>
    <mergeCell ref="Q19:U29"/>
    <mergeCell ref="E21:O21"/>
    <mergeCell ref="E26:O26"/>
    <mergeCell ref="E27:O27"/>
    <mergeCell ref="E28:O28"/>
    <mergeCell ref="E29:O29"/>
    <mergeCell ref="A2:V3"/>
    <mergeCell ref="A4:V4"/>
    <mergeCell ref="A5:V5"/>
    <mergeCell ref="A6:V6"/>
    <mergeCell ref="A7:V7"/>
    <mergeCell ref="Q8:U16"/>
    <mergeCell ref="E12:O12"/>
    <mergeCell ref="E16:O16"/>
    <mergeCell ref="E30:O30"/>
    <mergeCell ref="Q30:U30"/>
  </mergeCells>
  <conditionalFormatting sqref="E36 K36:P36 E26:E34">
    <cfRule type="cellIs" dxfId="78" priority="7" operator="equal">
      <formula>0</formula>
    </cfRule>
  </conditionalFormatting>
  <conditionalFormatting sqref="E25:P25 F8:P10 K34:P36 P26:P28 E36 P33">
    <cfRule type="cellIs" dxfId="77" priority="6" operator="equal">
      <formula>0</formula>
    </cfRule>
  </conditionalFormatting>
  <conditionalFormatting sqref="E25:P25 F8:P10 K34:P36 P26:P28 E36 E26:E34 P33">
    <cfRule type="containsErrors" dxfId="76" priority="5">
      <formula>ISERROR(E8)</formula>
    </cfRule>
  </conditionalFormatting>
  <conditionalFormatting sqref="E8:E10">
    <cfRule type="cellIs" dxfId="75" priority="4" operator="equal">
      <formula>0</formula>
    </cfRule>
  </conditionalFormatting>
  <conditionalFormatting sqref="E8:E10">
    <cfRule type="containsErrors" dxfId="74" priority="3">
      <formula>ISERROR(E8)</formula>
    </cfRule>
  </conditionalFormatting>
  <conditionalFormatting sqref="E35">
    <cfRule type="cellIs" dxfId="73" priority="2" operator="equal">
      <formula>0</formula>
    </cfRule>
  </conditionalFormatting>
  <conditionalFormatting sqref="E35">
    <cfRule type="containsErrors" dxfId="72" priority="1">
      <formula>ISERROR(E35)</formula>
    </cfRule>
  </conditionalFormatting>
  <pageMargins left="0.27559055118110237" right="3.937007874015748E-2" top="0.23622047244094491" bottom="0" header="0.31496062992125984" footer="0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Y78"/>
  <sheetViews>
    <sheetView view="pageLayout" topLeftCell="A2" workbookViewId="0">
      <selection activeCell="W42" sqref="W42"/>
    </sheetView>
  </sheetViews>
  <sheetFormatPr baseColWidth="10" defaultColWidth="11.42578125" defaultRowHeight="12.75" x14ac:dyDescent="0.2"/>
  <cols>
    <col min="1" max="1" width="1.85546875" style="163" customWidth="1"/>
    <col min="2" max="2" width="2.42578125" style="163" customWidth="1"/>
    <col min="3" max="3" width="20.140625" style="163" customWidth="1"/>
    <col min="4" max="4" width="1.5703125" style="163" customWidth="1"/>
    <col min="5" max="5" width="7.42578125" style="163" customWidth="1"/>
    <col min="6" max="6" width="6.8554687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5.85546875" style="163" customWidth="1"/>
    <col min="16" max="16" width="0.7109375" style="163" customWidth="1"/>
    <col min="17" max="18" width="3" style="163" customWidth="1"/>
    <col min="19" max="19" width="2.42578125" style="163" customWidth="1"/>
    <col min="20" max="21" width="6.1406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2969" t="s">
        <v>280</v>
      </c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1"/>
    </row>
    <row r="3" spans="1:25" ht="27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4"/>
    </row>
    <row r="4" spans="1:25" ht="16.5" thickTop="1" x14ac:dyDescent="0.25">
      <c r="A4" s="2953" t="s">
        <v>216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977" t="str">
        <f>"N° "&amp;'F-LSCD-008'!J14&amp;" ALEPH/GR/LSCD"</f>
        <v>N° 017-2019 ALEPH/GR/LSCD</v>
      </c>
      <c r="B5" s="2978"/>
      <c r="C5" s="2978"/>
      <c r="D5" s="2978"/>
      <c r="E5" s="2978"/>
      <c r="F5" s="2978"/>
      <c r="G5" s="2978"/>
      <c r="H5" s="2978"/>
      <c r="I5" s="2978"/>
      <c r="J5" s="2978"/>
      <c r="K5" s="2978"/>
      <c r="L5" s="2978"/>
      <c r="M5" s="2978"/>
      <c r="N5" s="2978"/>
      <c r="O5" s="2978"/>
      <c r="P5" s="2978"/>
      <c r="Q5" s="2978"/>
      <c r="R5" s="2978"/>
      <c r="S5" s="2978"/>
      <c r="T5" s="2978"/>
      <c r="U5" s="2978"/>
      <c r="V5" s="2979"/>
      <c r="X5" s="164"/>
    </row>
    <row r="6" spans="1:25" ht="15.75" x14ac:dyDescent="0.2">
      <c r="A6" s="2881" t="s">
        <v>253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ht="15.75" x14ac:dyDescent="0.2">
      <c r="A7" s="2881" t="s">
        <v>275</v>
      </c>
      <c r="B7" s="2980"/>
      <c r="C7" s="2980"/>
      <c r="D7" s="2980"/>
      <c r="E7" s="2980"/>
      <c r="F7" s="2980"/>
      <c r="G7" s="2980"/>
      <c r="H7" s="2980"/>
      <c r="I7" s="2980"/>
      <c r="J7" s="2980"/>
      <c r="K7" s="2980"/>
      <c r="L7" s="2980"/>
      <c r="M7" s="2980"/>
      <c r="N7" s="2980"/>
      <c r="O7" s="2980"/>
      <c r="P7" s="2980"/>
      <c r="Q7" s="2980"/>
      <c r="R7" s="2980"/>
      <c r="S7" s="2980"/>
      <c r="T7" s="2980"/>
      <c r="U7" s="2980"/>
      <c r="V7" s="2981"/>
    </row>
    <row r="8" spans="1:25" ht="4.9000000000000004" customHeight="1" x14ac:dyDescent="0.2">
      <c r="A8" s="2982"/>
      <c r="B8" s="2983"/>
      <c r="C8" s="2983"/>
      <c r="D8" s="2983"/>
      <c r="E8" s="2983"/>
      <c r="F8" s="2983"/>
      <c r="G8" s="2983"/>
      <c r="H8" s="2983"/>
      <c r="I8" s="2983"/>
      <c r="J8" s="2983"/>
      <c r="K8" s="2983"/>
      <c r="L8" s="2983"/>
      <c r="M8" s="2983"/>
      <c r="N8" s="2983"/>
      <c r="O8" s="2983"/>
      <c r="P8" s="2983"/>
      <c r="Q8" s="2983"/>
      <c r="R8" s="2983"/>
      <c r="S8" s="2983"/>
      <c r="T8" s="2983"/>
      <c r="U8" s="2983"/>
      <c r="V8" s="2984"/>
    </row>
    <row r="9" spans="1:25" x14ac:dyDescent="0.2">
      <c r="A9" s="165"/>
      <c r="B9" s="166" t="s">
        <v>217</v>
      </c>
      <c r="D9" s="166" t="s">
        <v>218</v>
      </c>
      <c r="E9" s="163" t="s">
        <v>1053</v>
      </c>
      <c r="V9" s="167"/>
    </row>
    <row r="10" spans="1:25" x14ac:dyDescent="0.2">
      <c r="A10" s="165"/>
      <c r="C10" s="166"/>
      <c r="D10" s="166"/>
      <c r="E10" s="163" t="s">
        <v>219</v>
      </c>
      <c r="T10" s="1308"/>
      <c r="U10" s="1308"/>
      <c r="V10" s="167"/>
    </row>
    <row r="11" spans="1:25" x14ac:dyDescent="0.2">
      <c r="A11" s="165"/>
      <c r="T11" s="1308"/>
      <c r="U11" s="1308"/>
      <c r="V11" s="167"/>
    </row>
    <row r="12" spans="1:25" ht="15" customHeight="1" x14ac:dyDescent="0.2">
      <c r="A12" s="165"/>
      <c r="B12" s="166" t="s">
        <v>220</v>
      </c>
      <c r="D12" s="166" t="s">
        <v>218</v>
      </c>
      <c r="E12" s="1555" t="str">
        <f>'F-LSCD-008'!H6</f>
        <v>ALEPH GROUP &amp; ASOCIADOS S.A.C.</v>
      </c>
      <c r="Q12" s="2906" t="s">
        <v>862</v>
      </c>
      <c r="R12" s="2907"/>
      <c r="S12" s="2907"/>
      <c r="T12" s="2907"/>
      <c r="U12" s="2907"/>
      <c r="V12" s="167"/>
    </row>
    <row r="13" spans="1:25" ht="12.75" customHeight="1" x14ac:dyDescent="0.2">
      <c r="A13" s="165"/>
      <c r="E13" s="1555" t="str">
        <f>'F-LSCD-008'!C7</f>
        <v>Av. Rafel Escardó, 154</v>
      </c>
      <c r="Q13" s="2906"/>
      <c r="R13" s="2907"/>
      <c r="S13" s="2907"/>
      <c r="T13" s="2907"/>
      <c r="U13" s="2907"/>
      <c r="V13" s="167"/>
      <c r="Y13" s="168"/>
    </row>
    <row r="14" spans="1:25" x14ac:dyDescent="0.2">
      <c r="A14" s="165"/>
      <c r="E14" s="163" t="str">
        <f>'F-LSCD-008'!H7&amp;", "&amp;'F-LSCD-008'!K7&amp;", "&amp;'F-LSCD-008'!O7</f>
        <v>San Miguel, Lima, Lima</v>
      </c>
      <c r="Q14" s="2906"/>
      <c r="R14" s="2907"/>
      <c r="S14" s="2907"/>
      <c r="T14" s="2907"/>
      <c r="U14" s="2907"/>
      <c r="V14" s="167"/>
      <c r="X14" s="169"/>
      <c r="Y14" s="168"/>
    </row>
    <row r="15" spans="1:25" x14ac:dyDescent="0.2">
      <c r="A15" s="165"/>
      <c r="Q15" s="2906"/>
      <c r="R15" s="2907"/>
      <c r="S15" s="2907"/>
      <c r="T15" s="2907"/>
      <c r="U15" s="2907"/>
      <c r="V15" s="167"/>
    </row>
    <row r="16" spans="1:25" x14ac:dyDescent="0.2">
      <c r="A16" s="165"/>
      <c r="B16" s="170" t="s">
        <v>222</v>
      </c>
      <c r="C16" s="171"/>
      <c r="D16" s="170" t="s">
        <v>218</v>
      </c>
      <c r="E16" s="2989" t="str">
        <f>'F-LSCD-008'!C6</f>
        <v>Solicitud N° 017-2019, según F-LD-018</v>
      </c>
      <c r="F16" s="2990"/>
      <c r="G16" s="2990"/>
      <c r="H16" s="2990"/>
      <c r="I16" s="2990"/>
      <c r="J16" s="2990"/>
      <c r="K16" s="2990"/>
      <c r="L16" s="2990"/>
      <c r="M16" s="2990"/>
      <c r="N16" s="2990"/>
      <c r="O16" s="2990"/>
      <c r="P16" s="172"/>
      <c r="Q16" s="2906"/>
      <c r="R16" s="2907"/>
      <c r="S16" s="2907"/>
      <c r="T16" s="2907"/>
      <c r="U16" s="2907"/>
      <c r="V16" s="167"/>
      <c r="W16" s="203"/>
      <c r="Y16" s="168"/>
    </row>
    <row r="17" spans="1:25" x14ac:dyDescent="0.2">
      <c r="A17" s="165"/>
      <c r="Q17" s="2906"/>
      <c r="R17" s="2907"/>
      <c r="S17" s="2907"/>
      <c r="T17" s="2907"/>
      <c r="U17" s="2907"/>
      <c r="V17" s="167"/>
    </row>
    <row r="18" spans="1:25" ht="24" customHeight="1" x14ac:dyDescent="0.2">
      <c r="A18" s="165"/>
      <c r="B18" s="170" t="s">
        <v>223</v>
      </c>
      <c r="C18" s="990"/>
      <c r="D18" s="170" t="s">
        <v>218</v>
      </c>
      <c r="E18" s="2993" t="str">
        <f>'F-LSCD-008'!C9&amp;", Marca: "&amp;'F-LSCD-008'!H9&amp;", Modelo: "&amp;'F-LSCD-008'!N9</f>
        <v>Dosímetros personales, Marca: Panasonic, Modelo: UD 802-AT</v>
      </c>
      <c r="F18" s="2993"/>
      <c r="G18" s="2993"/>
      <c r="H18" s="2993"/>
      <c r="I18" s="2993"/>
      <c r="J18" s="2993"/>
      <c r="K18" s="2993"/>
      <c r="L18" s="2993"/>
      <c r="M18" s="2993"/>
      <c r="N18" s="2993"/>
      <c r="O18" s="2993"/>
      <c r="P18" s="173"/>
      <c r="Q18" s="2906"/>
      <c r="R18" s="2907"/>
      <c r="S18" s="2907"/>
      <c r="T18" s="2907"/>
      <c r="U18" s="2907"/>
      <c r="V18" s="167"/>
      <c r="Y18" s="168"/>
    </row>
    <row r="19" spans="1:25" x14ac:dyDescent="0.2">
      <c r="A19" s="165"/>
      <c r="B19" s="166"/>
      <c r="D19" s="166"/>
      <c r="E19" s="1309"/>
      <c r="F19" s="1309"/>
      <c r="G19" s="1309"/>
      <c r="H19" s="1309"/>
      <c r="I19" s="1309"/>
      <c r="J19" s="1309"/>
      <c r="K19" s="1309"/>
      <c r="L19" s="1309"/>
      <c r="M19" s="1309"/>
      <c r="N19" s="1309"/>
      <c r="O19" s="173"/>
      <c r="P19" s="173"/>
      <c r="Q19" s="174"/>
      <c r="R19" s="173"/>
      <c r="S19" s="173"/>
      <c r="T19" s="1308"/>
      <c r="U19" s="1308"/>
      <c r="V19" s="167"/>
      <c r="Y19" s="168"/>
    </row>
    <row r="20" spans="1:25" x14ac:dyDescent="0.2">
      <c r="A20" s="165"/>
      <c r="B20" s="175" t="s">
        <v>224</v>
      </c>
      <c r="D20" s="175" t="s">
        <v>218</v>
      </c>
      <c r="E20" s="2992" t="str">
        <f>'F-LSCD-008'!C10</f>
        <v xml:space="preserve">Campo de radiación calibrado usando un fantoma, según ISO 4037-3 (2019), aplicado al PROC-LSCD-001 Irradiación controlada de dosímetros personales (versión 05)
</v>
      </c>
      <c r="F20" s="2991"/>
      <c r="G20" s="2991"/>
      <c r="H20" s="2991"/>
      <c r="I20" s="2991"/>
      <c r="J20" s="2991"/>
      <c r="K20" s="2991"/>
      <c r="L20" s="2991"/>
      <c r="M20" s="2991"/>
      <c r="N20" s="2991"/>
      <c r="O20" s="2991"/>
      <c r="P20" s="1479"/>
      <c r="Q20" s="176"/>
      <c r="R20" s="1479"/>
      <c r="S20" s="1479"/>
      <c r="T20" s="1308"/>
      <c r="U20" s="1308"/>
      <c r="V20" s="167"/>
    </row>
    <row r="21" spans="1:25" x14ac:dyDescent="0.2">
      <c r="A21" s="165"/>
      <c r="E21" s="2991"/>
      <c r="F21" s="2991"/>
      <c r="G21" s="2991"/>
      <c r="H21" s="2991"/>
      <c r="I21" s="2991"/>
      <c r="J21" s="2991"/>
      <c r="K21" s="2991"/>
      <c r="L21" s="2991"/>
      <c r="M21" s="2991"/>
      <c r="N21" s="2991"/>
      <c r="O21" s="2991"/>
      <c r="P21" s="1479"/>
      <c r="Q21" s="2904" t="s">
        <v>1024</v>
      </c>
      <c r="R21" s="2905"/>
      <c r="S21" s="2905"/>
      <c r="T21" s="2905"/>
      <c r="U21" s="2905"/>
      <c r="V21" s="167"/>
    </row>
    <row r="22" spans="1:25" x14ac:dyDescent="0.2">
      <c r="A22" s="165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2904"/>
      <c r="R22" s="2905"/>
      <c r="S22" s="2905"/>
      <c r="T22" s="2905"/>
      <c r="U22" s="2905"/>
      <c r="V22" s="167"/>
    </row>
    <row r="23" spans="1:25" x14ac:dyDescent="0.2">
      <c r="A23" s="165"/>
      <c r="B23" s="166" t="s">
        <v>226</v>
      </c>
      <c r="D23" s="166" t="s">
        <v>218</v>
      </c>
      <c r="Q23" s="2904"/>
      <c r="R23" s="2905"/>
      <c r="S23" s="2905"/>
      <c r="T23" s="2905"/>
      <c r="U23" s="2905"/>
      <c r="V23" s="167"/>
      <c r="Y23" s="168"/>
    </row>
    <row r="24" spans="1:25" x14ac:dyDescent="0.2">
      <c r="A24" s="165"/>
      <c r="E24" s="1447"/>
      <c r="F24" s="1447"/>
      <c r="G24" s="1447"/>
      <c r="H24" s="1447"/>
      <c r="I24" s="1447"/>
      <c r="J24" s="1447"/>
      <c r="K24" s="1447"/>
      <c r="L24" s="1447"/>
      <c r="M24" s="1447"/>
      <c r="N24" s="1447"/>
      <c r="Q24" s="2904"/>
      <c r="R24" s="2905"/>
      <c r="S24" s="2905"/>
      <c r="T24" s="2905"/>
      <c r="U24" s="2905"/>
      <c r="V24" s="167"/>
    </row>
    <row r="25" spans="1:25" ht="40.5" customHeight="1" x14ac:dyDescent="0.2">
      <c r="A25" s="165"/>
      <c r="C25" s="170" t="s">
        <v>227</v>
      </c>
      <c r="D25" s="178" t="s">
        <v>218</v>
      </c>
      <c r="E25" s="2993" t="str">
        <f>'F-LSCD-008'!C11</f>
        <v>Cámara de ionización patrón de 1 L , marca: PTW; modelo: TN32002; serie: 000568; Reporte de calibración de Kerma en aire DG: 13580-21 con fecha 2021-04-01 (NIST); trazable al NIST.</v>
      </c>
      <c r="F25" s="2993"/>
      <c r="G25" s="2993"/>
      <c r="H25" s="2993"/>
      <c r="I25" s="2993"/>
      <c r="J25" s="2993"/>
      <c r="K25" s="2993"/>
      <c r="L25" s="2993"/>
      <c r="M25" s="2993"/>
      <c r="N25" s="2993"/>
      <c r="O25" s="2993"/>
      <c r="P25" s="179"/>
      <c r="Q25" s="2904"/>
      <c r="R25" s="2905"/>
      <c r="S25" s="2905"/>
      <c r="T25" s="2905"/>
      <c r="U25" s="2905"/>
      <c r="V25" s="167"/>
      <c r="Y25" s="168"/>
    </row>
    <row r="26" spans="1:25" ht="12" customHeight="1" x14ac:dyDescent="0.2">
      <c r="A26" s="165"/>
      <c r="C26" s="170" t="s">
        <v>203</v>
      </c>
      <c r="D26" s="178" t="s">
        <v>218</v>
      </c>
      <c r="E26" s="180" t="str">
        <f>'F-LSCD-004'!H9</f>
        <v>S-Cs (ISO 4037-3)</v>
      </c>
      <c r="F26" s="180"/>
      <c r="G26" s="180"/>
      <c r="H26" s="180"/>
      <c r="I26" s="180"/>
      <c r="J26" s="180"/>
      <c r="K26" s="180"/>
      <c r="L26" s="180"/>
      <c r="M26" s="180"/>
      <c r="N26" s="180"/>
      <c r="O26" s="180"/>
      <c r="P26" s="180"/>
      <c r="Q26" s="2904"/>
      <c r="R26" s="2905"/>
      <c r="S26" s="2905"/>
      <c r="T26" s="2905"/>
      <c r="U26" s="2905"/>
      <c r="V26" s="167"/>
    </row>
    <row r="27" spans="1:25" ht="28.5" customHeight="1" x14ac:dyDescent="0.2">
      <c r="A27" s="165"/>
      <c r="C27" s="170" t="s">
        <v>138</v>
      </c>
      <c r="D27" s="178" t="s">
        <v>218</v>
      </c>
      <c r="E27" s="2994" t="str">
        <f>'F-LSCD-008'!C14</f>
        <v>Dosis equivalente personal, Hp(10) / Dosis equivalente personal, Hp(0,07)</v>
      </c>
      <c r="F27" s="2994"/>
      <c r="G27" s="2994"/>
      <c r="H27" s="2994"/>
      <c r="I27" s="2994"/>
      <c r="J27" s="2994"/>
      <c r="K27" s="2994"/>
      <c r="L27" s="2994"/>
      <c r="M27" s="2994"/>
      <c r="N27" s="2994"/>
      <c r="O27" s="2994"/>
      <c r="P27" s="180"/>
      <c r="Q27" s="2904"/>
      <c r="R27" s="2905"/>
      <c r="S27" s="2905"/>
      <c r="T27" s="2905"/>
      <c r="U27" s="2905"/>
      <c r="V27" s="167"/>
    </row>
    <row r="28" spans="1:25" ht="25.5" x14ac:dyDescent="0.2">
      <c r="A28" s="165"/>
      <c r="C28" s="181" t="s">
        <v>228</v>
      </c>
      <c r="D28" s="178" t="s">
        <v>218</v>
      </c>
      <c r="E28" s="2910" t="str">
        <f>"Temp (°C): "&amp;'F-LSCD-008'!K19&amp;" ; Presión (hPa): "&amp;'F-LSCD-008'!L19&amp;" ; HR (%): "&amp;'F-LSCD-008'!M19</f>
        <v>Temp (°C): 20.6 ; Presión (hPa): 1008.5 ; HR (%): 54</v>
      </c>
      <c r="F28" s="2910"/>
      <c r="G28" s="2910"/>
      <c r="H28" s="2910"/>
      <c r="I28" s="2910"/>
      <c r="J28" s="2910"/>
      <c r="K28" s="2910"/>
      <c r="L28" s="2910"/>
      <c r="M28" s="2910"/>
      <c r="N28" s="2910"/>
      <c r="O28" s="2910"/>
      <c r="P28" s="1410"/>
      <c r="Q28" s="2904"/>
      <c r="R28" s="2905"/>
      <c r="S28" s="2905"/>
      <c r="T28" s="2905"/>
      <c r="U28" s="2905"/>
      <c r="V28" s="167"/>
    </row>
    <row r="29" spans="1:25" ht="25.5" x14ac:dyDescent="0.2">
      <c r="A29" s="165"/>
      <c r="C29" s="182" t="s">
        <v>229</v>
      </c>
      <c r="D29" s="178" t="s">
        <v>218</v>
      </c>
      <c r="E29" s="2985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29" s="2985"/>
      <c r="G29" s="2985"/>
      <c r="H29" s="2985"/>
      <c r="I29" s="2985"/>
      <c r="J29" s="2985"/>
      <c r="K29" s="2985"/>
      <c r="L29" s="2985"/>
      <c r="M29" s="2985"/>
      <c r="N29" s="2985"/>
      <c r="O29" s="2985"/>
      <c r="P29" s="1477"/>
      <c r="Q29" s="2906" t="s">
        <v>230</v>
      </c>
      <c r="R29" s="2907"/>
      <c r="S29" s="2907"/>
      <c r="T29" s="2907"/>
      <c r="U29" s="2907"/>
      <c r="V29" s="167"/>
    </row>
    <row r="30" spans="1:25" ht="27.75" customHeight="1" x14ac:dyDescent="0.2">
      <c r="A30" s="165"/>
      <c r="C30" s="182" t="s">
        <v>231</v>
      </c>
      <c r="D30" s="178" t="s">
        <v>218</v>
      </c>
      <c r="E30" s="2986" t="str">
        <f>'F-LSCD-008'!C13</f>
        <v>Punto medio de la superfice anterior y punto medio del espesor del dosímetro</v>
      </c>
      <c r="F30" s="2986"/>
      <c r="G30" s="2986"/>
      <c r="H30" s="2986"/>
      <c r="I30" s="2986"/>
      <c r="J30" s="2986"/>
      <c r="K30" s="2986"/>
      <c r="L30" s="2986"/>
      <c r="M30" s="2986"/>
      <c r="N30" s="2986"/>
      <c r="O30" s="2986"/>
      <c r="P30" s="1478"/>
      <c r="Q30" s="2949" t="s">
        <v>1240</v>
      </c>
      <c r="R30" s="2987"/>
      <c r="S30" s="2987"/>
      <c r="T30" s="2987"/>
      <c r="U30" s="2987"/>
      <c r="V30" s="167"/>
    </row>
    <row r="31" spans="1:25" ht="12.75" customHeight="1" x14ac:dyDescent="0.2">
      <c r="A31" s="165"/>
      <c r="C31" s="182" t="s">
        <v>232</v>
      </c>
      <c r="D31" s="178" t="s">
        <v>218</v>
      </c>
      <c r="E31" s="2988">
        <f>'F-LSCD-008'!C8</f>
        <v>43802</v>
      </c>
      <c r="F31" s="2988"/>
      <c r="G31" s="183"/>
      <c r="H31" s="183"/>
      <c r="I31" s="183"/>
      <c r="J31" s="183"/>
      <c r="K31" s="180"/>
      <c r="L31" s="180"/>
      <c r="M31" s="180"/>
      <c r="N31" s="180"/>
      <c r="O31" s="180"/>
      <c r="P31" s="180"/>
      <c r="Q31" s="2949"/>
      <c r="R31" s="2987"/>
      <c r="S31" s="2987"/>
      <c r="T31" s="2987"/>
      <c r="U31" s="2987"/>
      <c r="V31" s="167"/>
    </row>
    <row r="32" spans="1:25" x14ac:dyDescent="0.2">
      <c r="A32" s="165"/>
      <c r="C32" s="170" t="s">
        <v>233</v>
      </c>
      <c r="D32" s="178" t="s">
        <v>218</v>
      </c>
      <c r="E32" s="2988">
        <f>'F-LSCD-008'!L8</f>
        <v>43802</v>
      </c>
      <c r="F32" s="2988"/>
      <c r="G32" s="2988"/>
      <c r="H32" s="2988"/>
      <c r="I32" s="2988"/>
      <c r="J32" s="1310"/>
      <c r="K32" s="184"/>
      <c r="L32" s="184"/>
      <c r="M32" s="184"/>
      <c r="N32" s="184"/>
      <c r="O32" s="184"/>
      <c r="P32" s="184"/>
      <c r="Q32" s="2949"/>
      <c r="R32" s="2987"/>
      <c r="S32" s="2987"/>
      <c r="T32" s="2987"/>
      <c r="U32" s="2987"/>
      <c r="V32" s="167"/>
    </row>
    <row r="33" spans="1:22" x14ac:dyDescent="0.2">
      <c r="A33" s="165"/>
      <c r="C33" s="170"/>
      <c r="D33" s="178"/>
      <c r="E33" s="185"/>
      <c r="F33" s="185"/>
      <c r="G33" s="185"/>
      <c r="H33" s="185"/>
      <c r="I33" s="185"/>
      <c r="J33" s="185"/>
      <c r="K33" s="180"/>
      <c r="L33" s="180"/>
      <c r="M33" s="180"/>
      <c r="N33" s="180"/>
      <c r="O33" s="180"/>
      <c r="P33" s="180"/>
      <c r="Q33" s="2949"/>
      <c r="R33" s="2987"/>
      <c r="S33" s="2987"/>
      <c r="T33" s="2987"/>
      <c r="U33" s="2987"/>
      <c r="V33" s="167"/>
    </row>
    <row r="34" spans="1:22" x14ac:dyDescent="0.2">
      <c r="A34" s="165"/>
      <c r="B34" s="166" t="s">
        <v>234</v>
      </c>
      <c r="C34" s="166"/>
      <c r="D34" s="186"/>
      <c r="E34" s="186"/>
      <c r="F34" s="166"/>
      <c r="G34" s="166"/>
      <c r="H34" s="166"/>
      <c r="I34" s="166"/>
      <c r="J34" s="166"/>
      <c r="V34" s="167"/>
    </row>
    <row r="35" spans="1:22" ht="5.25" customHeight="1" thickBot="1" x14ac:dyDescent="0.25">
      <c r="A35" s="165"/>
      <c r="D35" s="187"/>
      <c r="E35" s="188"/>
      <c r="V35" s="167"/>
    </row>
    <row r="36" spans="1:22" ht="27" customHeight="1" thickBot="1" x14ac:dyDescent="0.25">
      <c r="A36" s="165"/>
      <c r="C36" s="198" t="s">
        <v>183</v>
      </c>
      <c r="D36" s="3001" t="s">
        <v>235</v>
      </c>
      <c r="E36" s="3002"/>
      <c r="F36" s="3003"/>
      <c r="G36" s="189" t="s">
        <v>204</v>
      </c>
      <c r="H36" s="3004" t="s">
        <v>207</v>
      </c>
      <c r="I36" s="3005"/>
      <c r="J36" s="3005"/>
      <c r="K36" s="3006"/>
      <c r="L36" s="3004" t="s">
        <v>206</v>
      </c>
      <c r="M36" s="3005"/>
      <c r="N36" s="3005"/>
      <c r="O36" s="3006"/>
      <c r="P36" s="3004" t="s">
        <v>208</v>
      </c>
      <c r="Q36" s="3005"/>
      <c r="R36" s="3005"/>
      <c r="S36" s="3005"/>
      <c r="T36" s="3006"/>
      <c r="U36" s="1480"/>
      <c r="V36" s="167"/>
    </row>
    <row r="37" spans="1:22" ht="15" customHeight="1" x14ac:dyDescent="0.2">
      <c r="A37" s="165"/>
      <c r="C37" s="210">
        <f>'F-LSCD-008'!B18</f>
        <v>905395</v>
      </c>
      <c r="D37" s="3007" t="str">
        <f>'F-LSCD-008'!C18</f>
        <v>S-Cs (ISO 4037-3)</v>
      </c>
      <c r="E37" s="3008"/>
      <c r="F37" s="3009"/>
      <c r="G37" s="1589" t="str">
        <f>'F-LSCD-008'!D18</f>
        <v>0°</v>
      </c>
      <c r="H37" s="3010" t="str">
        <f>IF('F-LSCD-007'!F16="Hp(10)",TEXT('F-LSCD-008'!G18,"#0,0")&amp;" ± "&amp;TEXT('Incert. Irrad. Dosímetros pers'!$O$34*'F-LSCD-008'!G18,"#0,0"),"-")</f>
        <v>03 ± 00</v>
      </c>
      <c r="I37" s="3011"/>
      <c r="J37" s="3011"/>
      <c r="K37" s="3012"/>
      <c r="L37" s="3010" t="str">
        <f>IF('F-LSCD-007'!F16="Hp(0,07)",TEXT('F-LSCD-008'!F18,"#0,0")&amp;" ± "&amp;TEXT('Incert. Irrad. Dosímetros pers'!$O$34*'F-LSCD-008'!F18,"#0,0"),"-")</f>
        <v>-</v>
      </c>
      <c r="M37" s="3011"/>
      <c r="N37" s="3011"/>
      <c r="O37" s="3012"/>
      <c r="P37" s="3010" t="str">
        <f>IF('F-LSCD-007'!F16="D(10)",TEXT('F-LSCD-008'!H18,"#0,0")&amp;" ± "&amp;TEXT('Incert. Irrad. Dosímetros pers'!$O$34*'F-LSCD-008'!H18,"#0,0"),"-")</f>
        <v>-</v>
      </c>
      <c r="Q37" s="3011"/>
      <c r="R37" s="3011"/>
      <c r="S37" s="3011"/>
      <c r="T37" s="3013"/>
      <c r="U37" s="1480"/>
      <c r="V37" s="167"/>
    </row>
    <row r="38" spans="1:22" ht="12.75" customHeight="1" x14ac:dyDescent="0.2">
      <c r="A38" s="165"/>
      <c r="C38" s="211">
        <f>'F-LSCD-008'!B19</f>
        <v>905309</v>
      </c>
      <c r="D38" s="2995" t="str">
        <f>'F-LSCD-008'!C19</f>
        <v>S-Cs (ISO 4037-3)</v>
      </c>
      <c r="E38" s="2995"/>
      <c r="F38" s="2996"/>
      <c r="G38" s="1590" t="str">
        <f>'F-LSCD-008'!D19</f>
        <v>0°</v>
      </c>
      <c r="H38" s="2997" t="str">
        <f>IF('F-LSCD-007'!F17="Hp(10)",TEXT('F-LSCD-008'!G19,"#0,0")&amp;" ± "&amp;TEXT('Incert. Irrad. Dosímetros pers'!$O$34*'F-LSCD-008'!G19,"#0,0"),"-")</f>
        <v>03 ± 00</v>
      </c>
      <c r="I38" s="2998"/>
      <c r="J38" s="2998"/>
      <c r="K38" s="2999"/>
      <c r="L38" s="2997" t="str">
        <f>IF('F-LSCD-007'!F17="Hp(0,07)",TEXT('F-LSCD-008'!F19,"#0,0")&amp;" ± "&amp;TEXT('Incert. Irrad. Dosímetros pers'!$O$34*'F-LSCD-008'!F19,"#0,0"),"-")</f>
        <v>-</v>
      </c>
      <c r="M38" s="2998"/>
      <c r="N38" s="2998"/>
      <c r="O38" s="2999"/>
      <c r="P38" s="2997" t="str">
        <f>IF('F-LSCD-007'!F17="D(10)",TEXT('F-LSCD-008'!H19,"#0,0")&amp;" ± "&amp;TEXT('Incert. Irrad. Dosímetros pers'!$O$34*'F-LSCD-008'!H19,"#0,0"),"-")</f>
        <v>-</v>
      </c>
      <c r="Q38" s="2998"/>
      <c r="R38" s="2998"/>
      <c r="S38" s="2998"/>
      <c r="T38" s="3000"/>
      <c r="U38" s="1480"/>
      <c r="V38" s="167"/>
    </row>
    <row r="39" spans="1:22" ht="12.75" customHeight="1" x14ac:dyDescent="0.2">
      <c r="A39" s="165"/>
      <c r="C39" s="211">
        <f>'F-LSCD-008'!B20</f>
        <v>905161</v>
      </c>
      <c r="D39" s="2995" t="str">
        <f>'F-LSCD-008'!C20</f>
        <v>S-Cs (ISO 4037-3)</v>
      </c>
      <c r="E39" s="2995"/>
      <c r="F39" s="2996"/>
      <c r="G39" s="1590" t="str">
        <f>'F-LSCD-008'!D20</f>
        <v>0°</v>
      </c>
      <c r="H39" s="2997" t="str">
        <f>IF('F-LSCD-007'!F18="Hp(10)",TEXT('F-LSCD-008'!G20,"#0,0")&amp;" ± "&amp;TEXT('Incert. Irrad. Dosímetros pers'!$O$34*'F-LSCD-008'!G20,"#0,0"),"-")</f>
        <v>03 ± 00</v>
      </c>
      <c r="I39" s="2998"/>
      <c r="J39" s="2998"/>
      <c r="K39" s="2999"/>
      <c r="L39" s="2997" t="str">
        <f>IF('F-LSCD-007'!F18="Hp(0,07)",TEXT('F-LSCD-008'!F20,"#0,0")&amp;" ± "&amp;TEXT('Incert. Irrad. Dosímetros pers'!$O$34*'F-LSCD-008'!F20,"#0,0"),"-")</f>
        <v>-</v>
      </c>
      <c r="M39" s="2998"/>
      <c r="N39" s="2998"/>
      <c r="O39" s="2999"/>
      <c r="P39" s="2997" t="str">
        <f>IF('F-LSCD-007'!F18="D(10)",TEXT('F-LSCD-008'!H20,"#0,0")&amp;" ± "&amp;TEXT('Incert. Irrad. Dosímetros pers'!$O$34*'F-LSCD-008'!H20,"#0,0"),"-")</f>
        <v>-</v>
      </c>
      <c r="Q39" s="2998"/>
      <c r="R39" s="2998"/>
      <c r="S39" s="2998"/>
      <c r="T39" s="3000"/>
      <c r="U39" s="1480"/>
      <c r="V39" s="167"/>
    </row>
    <row r="40" spans="1:22" ht="12.75" customHeight="1" x14ac:dyDescent="0.2">
      <c r="A40" s="165"/>
      <c r="C40" s="211">
        <f>'F-LSCD-008'!B21</f>
        <v>905327</v>
      </c>
      <c r="D40" s="2995" t="str">
        <f>'F-LSCD-008'!C21</f>
        <v>S-Cs (ISO 4037-3)</v>
      </c>
      <c r="E40" s="2995"/>
      <c r="F40" s="2996"/>
      <c r="G40" s="1590" t="str">
        <f>'F-LSCD-008'!D21</f>
        <v>0°</v>
      </c>
      <c r="H40" s="2997" t="str">
        <f>IF('F-LSCD-007'!F19="Hp(10)",TEXT('F-LSCD-008'!G21,"#0,0")&amp;" ± "&amp;TEXT('Incert. Irrad. Dosímetros pers'!$O$34*'F-LSCD-008'!G21,"#0,0"),"-")</f>
        <v>03 ± 00</v>
      </c>
      <c r="I40" s="2998"/>
      <c r="J40" s="2998"/>
      <c r="K40" s="2999"/>
      <c r="L40" s="2997" t="str">
        <f>IF('F-LSCD-007'!F19="Hp(0,07)",TEXT('F-LSCD-008'!F21,"#0,0")&amp;" ± "&amp;TEXT('Incert. Irrad. Dosímetros pers'!$O$34*'F-LSCD-008'!F21,"#0,0"),"-")</f>
        <v>-</v>
      </c>
      <c r="M40" s="2998"/>
      <c r="N40" s="2998"/>
      <c r="O40" s="2999"/>
      <c r="P40" s="2997" t="str">
        <f>IF('F-LSCD-007'!F19="D(10)",TEXT('F-LSCD-008'!H21,"#0,0")&amp;" ± "&amp;TEXT('Incert. Irrad. Dosímetros pers'!$O$34*'F-LSCD-008'!H21,"#0,0"),"-")</f>
        <v>-</v>
      </c>
      <c r="Q40" s="2998"/>
      <c r="R40" s="2998"/>
      <c r="S40" s="2998"/>
      <c r="T40" s="3000"/>
      <c r="U40" s="1480"/>
      <c r="V40" s="167"/>
    </row>
    <row r="41" spans="1:22" ht="12.75" customHeight="1" x14ac:dyDescent="0.2">
      <c r="A41" s="165"/>
      <c r="C41" s="211">
        <f>'F-LSCD-008'!B22</f>
        <v>905125</v>
      </c>
      <c r="D41" s="2995" t="str">
        <f>'F-LSCD-008'!C22</f>
        <v>S-Cs (ISO 4037-3)</v>
      </c>
      <c r="E41" s="2995"/>
      <c r="F41" s="2996"/>
      <c r="G41" s="1590" t="str">
        <f>'F-LSCD-008'!D22</f>
        <v>0°</v>
      </c>
      <c r="H41" s="2997" t="str">
        <f>IF('F-LSCD-007'!F20="Hp(10)",TEXT('F-LSCD-008'!G22,"#0,0")&amp;" ± "&amp;TEXT('Incert. Irrad. Dosímetros pers'!$O$34*'F-LSCD-008'!G22,"#0,0"),"-")</f>
        <v>03 ± 00</v>
      </c>
      <c r="I41" s="2998"/>
      <c r="J41" s="2998"/>
      <c r="K41" s="2999"/>
      <c r="L41" s="2997" t="str">
        <f>IF('F-LSCD-007'!F20="Hp(0,07)",TEXT('F-LSCD-008'!F22,"#0,0")&amp;" ± "&amp;TEXT('Incert. Irrad. Dosímetros pers'!$O$34*'F-LSCD-008'!F22,"#0,0"),"-")</f>
        <v>-</v>
      </c>
      <c r="M41" s="2998"/>
      <c r="N41" s="2998"/>
      <c r="O41" s="2999"/>
      <c r="P41" s="2997" t="str">
        <f>IF('F-LSCD-007'!F20="D(10)",TEXT('F-LSCD-008'!H22,"#0,0")&amp;" ± "&amp;TEXT('Incert. Irrad. Dosímetros pers'!$O$34*'F-LSCD-008'!H22,"#0,0"),"-")</f>
        <v>-</v>
      </c>
      <c r="Q41" s="2998"/>
      <c r="R41" s="2998"/>
      <c r="S41" s="2998"/>
      <c r="T41" s="3000"/>
      <c r="U41" s="1480"/>
      <c r="V41" s="167"/>
    </row>
    <row r="42" spans="1:22" x14ac:dyDescent="0.2">
      <c r="A42" s="165"/>
      <c r="C42" s="1488">
        <f>'F-LSCD-008'!B23</f>
        <v>905066</v>
      </c>
      <c r="D42" s="3014" t="str">
        <f>'F-LSCD-008'!C23</f>
        <v>S-Cs (ISO 4037-3)</v>
      </c>
      <c r="E42" s="3014"/>
      <c r="F42" s="3015"/>
      <c r="G42" s="1591" t="str">
        <f>'F-LSCD-008'!D23</f>
        <v>0°</v>
      </c>
      <c r="H42" s="2997" t="str">
        <f>IF('F-LSCD-007'!F21="Hp(10)",TEXT('F-LSCD-008'!G23,"#0,0")&amp;" ± "&amp;TEXT('Incert. Irrad. Dosímetros pers'!$O$34*'F-LSCD-008'!G23,"#0,0"),"-")</f>
        <v>30 ± 01</v>
      </c>
      <c r="I42" s="2998"/>
      <c r="J42" s="2998"/>
      <c r="K42" s="2999"/>
      <c r="L42" s="2997" t="str">
        <f>IF('F-LSCD-007'!F21="Hp(0,07)",TEXT('F-LSCD-008'!F23,"#0,0")&amp;" ± "&amp;TEXT('Incert. Irrad. Dosímetros pers'!$O$34*'F-LSCD-008'!F23,"#0,0"),"-")</f>
        <v>-</v>
      </c>
      <c r="M42" s="2998"/>
      <c r="N42" s="2998"/>
      <c r="O42" s="2999"/>
      <c r="P42" s="2997" t="str">
        <f>IF('F-LSCD-007'!F21="D(10)",TEXT('F-LSCD-008'!H23,"#0,0")&amp;" ± "&amp;TEXT('Incert. Irrad. Dosímetros pers'!$O$34*'F-LSCD-008'!H23,"#0,0"),"-")</f>
        <v>-</v>
      </c>
      <c r="Q42" s="2998"/>
      <c r="R42" s="2998"/>
      <c r="S42" s="2998"/>
      <c r="T42" s="3000"/>
      <c r="U42" s="1480"/>
      <c r="V42" s="167"/>
    </row>
    <row r="43" spans="1:22" x14ac:dyDescent="0.2">
      <c r="A43" s="165"/>
      <c r="C43" s="211">
        <f>'F-LSCD-008'!B24</f>
        <v>905339</v>
      </c>
      <c r="D43" s="2995" t="str">
        <f>'F-LSCD-008'!C24</f>
        <v>S-Cs (ISO 4037-3)</v>
      </c>
      <c r="E43" s="2995"/>
      <c r="F43" s="2996"/>
      <c r="G43" s="1590" t="str">
        <f>'F-LSCD-008'!D24</f>
        <v>0°</v>
      </c>
      <c r="H43" s="2997" t="str">
        <f>IF('F-LSCD-007'!F22="Hp(10)",TEXT('F-LSCD-008'!G24,"#0,0")&amp;" ± "&amp;TEXT('Incert. Irrad. Dosímetros pers'!$O$34*'F-LSCD-008'!G24,"#0,0"),"-")</f>
        <v>30 ± 01</v>
      </c>
      <c r="I43" s="2998"/>
      <c r="J43" s="2998"/>
      <c r="K43" s="2999"/>
      <c r="L43" s="2997" t="str">
        <f>IF('F-LSCD-007'!F22="Hp(0,07)",TEXT('F-LSCD-008'!F24,"#0,0")&amp;" ± "&amp;TEXT('Incert. Irrad. Dosímetros pers'!$O$34*'F-LSCD-008'!F24,"#0,0"),"-")</f>
        <v>-</v>
      </c>
      <c r="M43" s="2998"/>
      <c r="N43" s="2998"/>
      <c r="O43" s="2999"/>
      <c r="P43" s="2997" t="str">
        <f>IF('F-LSCD-007'!F22="D(10)",TEXT('F-LSCD-008'!H24,"#0,0")&amp;" ± "&amp;TEXT('Incert. Irrad. Dosímetros pers'!$O$34*'F-LSCD-008'!H24,"#0,0"),"-")</f>
        <v>-</v>
      </c>
      <c r="Q43" s="2998"/>
      <c r="R43" s="2998"/>
      <c r="S43" s="2998"/>
      <c r="T43" s="3000"/>
      <c r="U43" s="1480"/>
      <c r="V43" s="167"/>
    </row>
    <row r="44" spans="1:22" x14ac:dyDescent="0.2">
      <c r="A44" s="165"/>
      <c r="C44" s="1488">
        <f>'F-LSCD-008'!B25</f>
        <v>905189</v>
      </c>
      <c r="D44" s="3014" t="str">
        <f>'F-LSCD-008'!C25</f>
        <v>S-Cs (ISO 4037-3)</v>
      </c>
      <c r="E44" s="3014"/>
      <c r="F44" s="3015"/>
      <c r="G44" s="1591" t="str">
        <f>'F-LSCD-008'!D25</f>
        <v>0°</v>
      </c>
      <c r="H44" s="2997" t="str">
        <f>IF('F-LSCD-007'!F23="Hp(10)",TEXT('F-LSCD-008'!G25,"#0,0")&amp;" ± "&amp;TEXT('Incert. Irrad. Dosímetros pers'!$O$34*'F-LSCD-008'!G25,"#0,0"),"-")</f>
        <v>30 ± 01</v>
      </c>
      <c r="I44" s="2998"/>
      <c r="J44" s="2998"/>
      <c r="K44" s="2999"/>
      <c r="L44" s="2997" t="str">
        <f>IF('F-LSCD-007'!F23="Hp(0,07)",TEXT('F-LSCD-008'!F25,"#0,0")&amp;" ± "&amp;TEXT('Incert. Irrad. Dosímetros pers'!$O$34*'F-LSCD-008'!F25,"#0,0"),"-")</f>
        <v>-</v>
      </c>
      <c r="M44" s="2998"/>
      <c r="N44" s="2998"/>
      <c r="O44" s="2999"/>
      <c r="P44" s="2997" t="str">
        <f>IF('F-LSCD-007'!F23="D(10)",TEXT('F-LSCD-008'!H25,"#0,0")&amp;" ± "&amp;TEXT('Incert. Irrad. Dosímetros pers'!$O$34*'F-LSCD-008'!H25,"#0,0"),"-")</f>
        <v>-</v>
      </c>
      <c r="Q44" s="2998"/>
      <c r="R44" s="2998"/>
      <c r="S44" s="2998"/>
      <c r="T44" s="3000"/>
      <c r="U44" s="1480"/>
      <c r="V44" s="167"/>
    </row>
    <row r="45" spans="1:22" x14ac:dyDescent="0.2">
      <c r="A45" s="165"/>
      <c r="C45" s="211">
        <f>'F-LSCD-008'!B26</f>
        <v>905334</v>
      </c>
      <c r="D45" s="2995" t="str">
        <f>'F-LSCD-008'!C26</f>
        <v>S-Cs (ISO 4037-3)</v>
      </c>
      <c r="E45" s="2995"/>
      <c r="F45" s="2996"/>
      <c r="G45" s="1590" t="str">
        <f>'F-LSCD-008'!D26</f>
        <v>0°</v>
      </c>
      <c r="H45" s="2997" t="str">
        <f>IF('F-LSCD-007'!F24="Hp(10)",TEXT('F-LSCD-008'!G26,"#0,0")&amp;" ± "&amp;TEXT('Incert. Irrad. Dosímetros pers'!$O$34*'F-LSCD-008'!G26,"#0,0"),"-")</f>
        <v>30 ± 01</v>
      </c>
      <c r="I45" s="2998"/>
      <c r="J45" s="2998"/>
      <c r="K45" s="2999"/>
      <c r="L45" s="2997" t="str">
        <f>IF('F-LSCD-007'!F24="Hp(0,07)",TEXT('F-LSCD-008'!F26,"#0,0")&amp;" ± "&amp;TEXT('Incert. Irrad. Dosímetros pers'!$O$34*'F-LSCD-008'!F26,"#0,0"),"-")</f>
        <v>-</v>
      </c>
      <c r="M45" s="2998"/>
      <c r="N45" s="2998"/>
      <c r="O45" s="2999"/>
      <c r="P45" s="2997" t="str">
        <f>IF('F-LSCD-007'!F24="D(10)",TEXT('F-LSCD-008'!H26,"#0,0")&amp;" ± "&amp;TEXT('Incert. Irrad. Dosímetros pers'!$O$34*'F-LSCD-008'!H26,"#0,0"),"-")</f>
        <v>-</v>
      </c>
      <c r="Q45" s="2998"/>
      <c r="R45" s="2998"/>
      <c r="S45" s="2998"/>
      <c r="T45" s="3000"/>
      <c r="U45" s="1480"/>
      <c r="V45" s="167"/>
    </row>
    <row r="46" spans="1:22" ht="12.75" customHeight="1" x14ac:dyDescent="0.2">
      <c r="A46" s="165"/>
      <c r="B46" s="168"/>
      <c r="C46" s="1488">
        <f>'F-LSCD-008'!B27</f>
        <v>905153</v>
      </c>
      <c r="D46" s="3014" t="str">
        <f>'F-LSCD-008'!C27</f>
        <v>S-Cs (ISO 4037-3)</v>
      </c>
      <c r="E46" s="3014"/>
      <c r="F46" s="3015"/>
      <c r="G46" s="1591" t="str">
        <f>'F-LSCD-008'!D27</f>
        <v>0°</v>
      </c>
      <c r="H46" s="2997" t="str">
        <f>IF('F-LSCD-007'!F25="Hp(10)",TEXT('F-LSCD-008'!G27,"#0,0")&amp;" ± "&amp;TEXT('Incert. Irrad. Dosímetros pers'!$O$34*'F-LSCD-008'!G27,"#0,0"),"-")</f>
        <v>30 ± 01</v>
      </c>
      <c r="I46" s="2998"/>
      <c r="J46" s="2998"/>
      <c r="K46" s="2999"/>
      <c r="L46" s="2997" t="str">
        <f>IF('F-LSCD-007'!F25="Hp(0,07)",TEXT('F-LSCD-008'!F27,"#0,0")&amp;" ± "&amp;TEXT('Incert. Irrad. Dosímetros pers'!$O$34*'F-LSCD-008'!F27,"#0,0"),"-")</f>
        <v>-</v>
      </c>
      <c r="M46" s="2998"/>
      <c r="N46" s="2998"/>
      <c r="O46" s="2999"/>
      <c r="P46" s="2997" t="str">
        <f>IF('F-LSCD-007'!F25="D(10)",TEXT('F-LSCD-008'!H27,"#0,0")&amp;" ± "&amp;TEXT('Incert. Irrad. Dosímetros pers'!$O$34*'F-LSCD-008'!H27,"#0,0"),"-")</f>
        <v>-</v>
      </c>
      <c r="Q46" s="2998"/>
      <c r="R46" s="2998"/>
      <c r="S46" s="2998"/>
      <c r="T46" s="3000"/>
      <c r="U46" s="1480"/>
      <c r="V46" s="167"/>
    </row>
    <row r="47" spans="1:22" ht="12.75" customHeight="1" x14ac:dyDescent="0.2">
      <c r="A47" s="165"/>
      <c r="B47" s="166"/>
      <c r="C47" s="211">
        <f>'F-LSCD-008'!B28</f>
        <v>3848</v>
      </c>
      <c r="D47" s="2995" t="str">
        <f>'F-LSCD-008'!C28</f>
        <v>S-Cs (ISO 4037-3)</v>
      </c>
      <c r="E47" s="2995"/>
      <c r="F47" s="2996"/>
      <c r="G47" s="1590" t="str">
        <f>'F-LSCD-008'!D28</f>
        <v>0°</v>
      </c>
      <c r="H47" s="2997" t="str">
        <f>IF('F-LSCD-007'!F26="Hp(10)",TEXT('F-LSCD-008'!G28,"#0,0")&amp;" ± "&amp;TEXT('Incert. Irrad. Dosímetros pers'!$O$34*'F-LSCD-008'!G28,"#0,0"),"-")</f>
        <v>-</v>
      </c>
      <c r="I47" s="2998"/>
      <c r="J47" s="2998"/>
      <c r="K47" s="2999"/>
      <c r="L47" s="2997" t="str">
        <f>IF('F-LSCD-007'!F26="Hp(0,07)",TEXT('F-LSCD-008'!F28,"#0,0")&amp;" ± "&amp;TEXT('Incert. Irrad. Dosímetros pers'!$O$34*'F-LSCD-008'!F28,"#0,0"),"-")</f>
        <v>03 ± 00</v>
      </c>
      <c r="M47" s="2998"/>
      <c r="N47" s="2998"/>
      <c r="O47" s="2999"/>
      <c r="P47" s="2997" t="str">
        <f>IF('F-LSCD-007'!F26="D(10)",TEXT('F-LSCD-008'!H28,"#0,0")&amp;" ± "&amp;TEXT('Incert. Irrad. Dosímetros pers'!$O$34*'F-LSCD-008'!H28,"#0,0"),"-")</f>
        <v>-</v>
      </c>
      <c r="Q47" s="2998"/>
      <c r="R47" s="2998"/>
      <c r="S47" s="2998"/>
      <c r="T47" s="3000"/>
      <c r="U47" s="1480"/>
      <c r="V47" s="167"/>
    </row>
    <row r="48" spans="1:22" ht="12.75" customHeight="1" x14ac:dyDescent="0.2">
      <c r="A48" s="165"/>
      <c r="C48" s="211">
        <f>'F-LSCD-008'!B29</f>
        <v>3884</v>
      </c>
      <c r="D48" s="2995" t="str">
        <f>'F-LSCD-008'!C29</f>
        <v>S-Cs (ISO 4037-3)</v>
      </c>
      <c r="E48" s="2995"/>
      <c r="F48" s="2996"/>
      <c r="G48" s="1590" t="str">
        <f>'F-LSCD-008'!D29</f>
        <v>0°</v>
      </c>
      <c r="H48" s="2997" t="str">
        <f>IF('F-LSCD-007'!F27="Hp(10)",TEXT('F-LSCD-008'!G29,"#0,0")&amp;" ± "&amp;TEXT('Incert. Irrad. Dosímetros pers'!$O$34*'F-LSCD-008'!G29,"#0,0"),"-")</f>
        <v>-</v>
      </c>
      <c r="I48" s="2998"/>
      <c r="J48" s="2998"/>
      <c r="K48" s="2999"/>
      <c r="L48" s="2997" t="str">
        <f>IF('F-LSCD-007'!F27="Hp(0,07)",TEXT('F-LSCD-008'!F29,"#0,0")&amp;" ± "&amp;TEXT('Incert. Irrad. Dosímetros pers'!$O$34*'F-LSCD-008'!F29,"#0,0"),"-")</f>
        <v>03 ± 00</v>
      </c>
      <c r="M48" s="2998"/>
      <c r="N48" s="2998"/>
      <c r="O48" s="2999"/>
      <c r="P48" s="2997" t="str">
        <f>IF('F-LSCD-007'!F27="D(10)",TEXT('F-LSCD-008'!H29,"#0,0")&amp;" ± "&amp;TEXT('Incert. Irrad. Dosímetros pers'!$O$34*'F-LSCD-008'!H29,"#0,0"),"-")</f>
        <v>-</v>
      </c>
      <c r="Q48" s="2998"/>
      <c r="R48" s="2998"/>
      <c r="S48" s="2998"/>
      <c r="T48" s="3000"/>
      <c r="U48" s="1480"/>
      <c r="V48" s="167"/>
    </row>
    <row r="49" spans="1:22" ht="12.75" customHeight="1" x14ac:dyDescent="0.2">
      <c r="A49" s="165"/>
      <c r="C49" s="1488">
        <f>'F-LSCD-008'!B30</f>
        <v>9037</v>
      </c>
      <c r="D49" s="3014" t="str">
        <f>'F-LSCD-008'!C30</f>
        <v>S-Cs (ISO 4037-3)</v>
      </c>
      <c r="E49" s="3014"/>
      <c r="F49" s="3015"/>
      <c r="G49" s="1489" t="str">
        <f>'F-LSCD-008'!D30</f>
        <v>0°</v>
      </c>
      <c r="H49" s="2997" t="str">
        <f>IF('F-LSCD-007'!F28="Hp(10)",TEXT('F-LSCD-008'!G30,"#0,0")&amp;" ± "&amp;TEXT('Incert. Irrad. Dosímetros pers'!$O$34*'F-LSCD-008'!G30,"#0,0"),"-")</f>
        <v>-</v>
      </c>
      <c r="I49" s="2998"/>
      <c r="J49" s="2998"/>
      <c r="K49" s="2999"/>
      <c r="L49" s="2997" t="str">
        <f>IF('F-LSCD-007'!F28="Hp(0,07)",TEXT('F-LSCD-008'!F30,"#0,0")&amp;" ± "&amp;TEXT('Incert. Irrad. Dosímetros pers'!$O$34*'F-LSCD-008'!F30,"#0,0"),"-")</f>
        <v>03 ± 00</v>
      </c>
      <c r="M49" s="2998"/>
      <c r="N49" s="2998"/>
      <c r="O49" s="2999"/>
      <c r="P49" s="2997" t="str">
        <f>IF('F-LSCD-007'!F28="D(10)",TEXT('F-LSCD-008'!H30,"#0,0")&amp;" ± "&amp;TEXT('Incert. Irrad. Dosímetros pers'!$O$34*'F-LSCD-008'!H30,"#0,0"),"-")</f>
        <v>-</v>
      </c>
      <c r="Q49" s="2998"/>
      <c r="R49" s="2998"/>
      <c r="S49" s="2998"/>
      <c r="T49" s="3000"/>
      <c r="U49" s="1480"/>
      <c r="V49" s="167"/>
    </row>
    <row r="50" spans="1:22" ht="12.75" customHeight="1" thickBot="1" x14ac:dyDescent="0.25">
      <c r="A50" s="165"/>
      <c r="B50" s="166"/>
      <c r="C50" s="212">
        <f>'F-LSCD-008'!B31</f>
        <v>905136</v>
      </c>
      <c r="D50" s="3016" t="str">
        <f>'F-LSCD-008'!C31</f>
        <v>S-Cs (ISO 4037-3)</v>
      </c>
      <c r="E50" s="3016"/>
      <c r="F50" s="3017"/>
      <c r="G50" s="194" t="str">
        <f>'F-LSCD-008'!D31</f>
        <v>0°</v>
      </c>
      <c r="H50" s="3018" t="str">
        <f>IF('F-LSCD-007'!F29="Hp(10)",TEXT('F-LSCD-008'!G31,"#0,0")&amp;" ± "&amp;TEXT('Incert. Irrad. Dosímetros pers'!$O$34*'F-LSCD-008'!G31,"#0,0"),"-")</f>
        <v>-</v>
      </c>
      <c r="I50" s="3019"/>
      <c r="J50" s="3019"/>
      <c r="K50" s="3020"/>
      <c r="L50" s="3018" t="str">
        <f>IF('F-LSCD-007'!F29="Hp(0,07)",TEXT('F-LSCD-008'!F31,"#0,0")&amp;" ± "&amp;TEXT('Incert. Irrad. Dosímetros pers'!$O$34*'F-LSCD-008'!F31,"#0,0"),"-")</f>
        <v>-</v>
      </c>
      <c r="M50" s="3019"/>
      <c r="N50" s="3019"/>
      <c r="O50" s="3020"/>
      <c r="P50" s="3018" t="str">
        <f>IF('F-LSCD-007'!F29="D(10)",TEXT('F-LSCD-008'!H31,"#0,0")&amp;" ± "&amp;TEXT('Incert. Irrad. Dosímetros pers'!$O$34*'F-LSCD-008'!H31,"#0,0"),"-")</f>
        <v>-</v>
      </c>
      <c r="Q50" s="3019"/>
      <c r="R50" s="3019"/>
      <c r="S50" s="3019"/>
      <c r="T50" s="3021"/>
      <c r="U50" s="1480"/>
      <c r="V50" s="167"/>
    </row>
    <row r="51" spans="1:22" x14ac:dyDescent="0.2">
      <c r="A51" s="3022" t="s">
        <v>236</v>
      </c>
      <c r="B51" s="3023"/>
      <c r="C51" s="3023"/>
      <c r="D51" s="3023"/>
      <c r="E51" s="3023"/>
      <c r="F51" s="3023"/>
      <c r="G51" s="3023"/>
      <c r="H51" s="3023"/>
      <c r="I51" s="3023"/>
      <c r="J51" s="3023"/>
      <c r="K51" s="3023"/>
      <c r="L51" s="3023"/>
      <c r="M51" s="3023"/>
      <c r="N51" s="3023"/>
      <c r="O51" s="3023"/>
      <c r="P51" s="3023"/>
      <c r="Q51" s="3023"/>
      <c r="R51" s="3023"/>
      <c r="S51" s="3023"/>
      <c r="T51" s="3023"/>
      <c r="U51" s="3023"/>
      <c r="V51" s="3024"/>
    </row>
    <row r="52" spans="1:22" ht="13.5" thickBot="1" x14ac:dyDescent="0.25">
      <c r="A52" s="3025" t="s">
        <v>279</v>
      </c>
      <c r="B52" s="3026"/>
      <c r="C52" s="3026"/>
      <c r="D52" s="3026"/>
      <c r="E52" s="3026"/>
      <c r="F52" s="3026"/>
      <c r="G52" s="3026"/>
      <c r="H52" s="3026"/>
      <c r="I52" s="3026"/>
      <c r="J52" s="3026"/>
      <c r="K52" s="3026"/>
      <c r="L52" s="3026"/>
      <c r="M52" s="3026"/>
      <c r="N52" s="3026"/>
      <c r="O52" s="3026"/>
      <c r="P52" s="3026"/>
      <c r="Q52" s="3026"/>
      <c r="R52" s="3026"/>
      <c r="S52" s="3026"/>
      <c r="T52" s="3026"/>
      <c r="U52" s="3026"/>
      <c r="V52" s="3027"/>
    </row>
    <row r="53" spans="1:22" ht="13.5" thickBot="1" x14ac:dyDescent="0.25">
      <c r="A53" s="1490"/>
      <c r="B53" s="1491" t="s">
        <v>916</v>
      </c>
      <c r="C53" s="1490"/>
      <c r="D53" s="1490"/>
      <c r="E53" s="1490"/>
      <c r="F53" s="1490"/>
      <c r="G53" s="1490"/>
      <c r="H53" s="1490"/>
      <c r="I53" s="1490"/>
      <c r="J53" s="1490"/>
      <c r="K53" s="1490"/>
      <c r="L53" s="1490"/>
      <c r="M53" s="1490"/>
      <c r="N53" s="1490"/>
      <c r="O53" s="1490"/>
      <c r="P53" s="1490"/>
      <c r="Q53" s="1490"/>
      <c r="R53" s="1490"/>
      <c r="S53" s="1490"/>
      <c r="T53" s="1490"/>
      <c r="U53" s="1492" t="str">
        <f>A4&amp;" "&amp;A5</f>
        <v>INFORME DE ENSAYO N° 017-2019 ALEPH/GR/LSCD</v>
      </c>
      <c r="V53" s="1490"/>
    </row>
    <row r="54" spans="1:22" ht="51" customHeight="1" x14ac:dyDescent="0.2">
      <c r="A54" s="2969" t="s">
        <v>280</v>
      </c>
      <c r="B54" s="2970"/>
      <c r="C54" s="2970"/>
      <c r="D54" s="2970"/>
      <c r="E54" s="2970"/>
      <c r="F54" s="2970"/>
      <c r="G54" s="2970"/>
      <c r="H54" s="2970"/>
      <c r="I54" s="2970"/>
      <c r="J54" s="2970"/>
      <c r="K54" s="2970"/>
      <c r="L54" s="2970"/>
      <c r="M54" s="2970"/>
      <c r="N54" s="2970"/>
      <c r="O54" s="2970"/>
      <c r="P54" s="2970"/>
      <c r="Q54" s="2970"/>
      <c r="R54" s="2970"/>
      <c r="S54" s="2970"/>
      <c r="T54" s="2970"/>
      <c r="U54" s="2970"/>
      <c r="V54" s="2971"/>
    </row>
    <row r="55" spans="1:22" ht="30" customHeight="1" thickBot="1" x14ac:dyDescent="0.25">
      <c r="A55" s="2972"/>
      <c r="B55" s="2973"/>
      <c r="C55" s="2973"/>
      <c r="D55" s="2973"/>
      <c r="E55" s="2973"/>
      <c r="F55" s="2973"/>
      <c r="G55" s="2973"/>
      <c r="H55" s="2973"/>
      <c r="I55" s="2973"/>
      <c r="J55" s="2973"/>
      <c r="K55" s="2973"/>
      <c r="L55" s="2973"/>
      <c r="M55" s="2973"/>
      <c r="N55" s="2973"/>
      <c r="O55" s="2973"/>
      <c r="P55" s="2973"/>
      <c r="Q55" s="2973"/>
      <c r="R55" s="2973"/>
      <c r="S55" s="2973"/>
      <c r="T55" s="2973"/>
      <c r="U55" s="2973"/>
      <c r="V55" s="2974"/>
    </row>
    <row r="56" spans="1:22" ht="13.5" thickTop="1" x14ac:dyDescent="0.2">
      <c r="A56" s="165"/>
      <c r="V56" s="167"/>
    </row>
    <row r="57" spans="1:22" ht="27" hidden="1" customHeight="1" thickBot="1" x14ac:dyDescent="0.25">
      <c r="A57" s="165"/>
      <c r="C57" s="198" t="s">
        <v>183</v>
      </c>
      <c r="D57" s="3001" t="s">
        <v>235</v>
      </c>
      <c r="E57" s="3002"/>
      <c r="F57" s="3003"/>
      <c r="G57" s="189" t="s">
        <v>204</v>
      </c>
      <c r="H57" s="3028" t="s">
        <v>207</v>
      </c>
      <c r="I57" s="3029"/>
      <c r="J57" s="3029"/>
      <c r="K57" s="3030"/>
      <c r="L57" s="3028" t="s">
        <v>206</v>
      </c>
      <c r="M57" s="3029"/>
      <c r="N57" s="3029"/>
      <c r="O57" s="3030"/>
      <c r="P57" s="3028" t="s">
        <v>208</v>
      </c>
      <c r="Q57" s="3029"/>
      <c r="R57" s="3029"/>
      <c r="S57" s="3029"/>
      <c r="T57" s="3030"/>
      <c r="U57" s="1480"/>
      <c r="V57" s="167"/>
    </row>
    <row r="58" spans="1:22" ht="15" hidden="1" customHeight="1" x14ac:dyDescent="0.2">
      <c r="A58" s="165"/>
      <c r="C58" s="210" t="e">
        <f>'F-LSCD-008'!#REF!</f>
        <v>#REF!</v>
      </c>
      <c r="D58" s="3007" t="e">
        <f>'F-LSCD-008'!#REF!</f>
        <v>#REF!</v>
      </c>
      <c r="E58" s="3008"/>
      <c r="F58" s="3009"/>
      <c r="G58" s="190" t="e">
        <f>'F-LSCD-008'!#REF!</f>
        <v>#REF!</v>
      </c>
      <c r="H58" s="3031" t="e">
        <f>'F-LSCD-008'!#REF!</f>
        <v>#REF!</v>
      </c>
      <c r="I58" s="3032"/>
      <c r="J58" s="191" t="s">
        <v>78</v>
      </c>
      <c r="K58" s="1476" t="e">
        <f>4.73/100*H58</f>
        <v>#REF!</v>
      </c>
      <c r="L58" s="3031"/>
      <c r="M58" s="3032"/>
      <c r="N58" s="1484" t="s">
        <v>93</v>
      </c>
      <c r="O58" s="1485"/>
      <c r="P58" s="3031"/>
      <c r="Q58" s="3032"/>
      <c r="R58" s="3032"/>
      <c r="S58" s="1484" t="s">
        <v>93</v>
      </c>
      <c r="T58" s="1485"/>
      <c r="U58" s="1480"/>
      <c r="V58" s="167"/>
    </row>
    <row r="59" spans="1:22" hidden="1" x14ac:dyDescent="0.2">
      <c r="A59" s="165"/>
      <c r="C59" s="211" t="e">
        <f>'F-LSCD-008'!#REF!</f>
        <v>#REF!</v>
      </c>
      <c r="D59" s="2995" t="e">
        <f>'F-LSCD-008'!#REF!</f>
        <v>#REF!</v>
      </c>
      <c r="E59" s="2995"/>
      <c r="F59" s="2996"/>
      <c r="G59" s="192" t="e">
        <f>'F-LSCD-008'!#REF!</f>
        <v>#REF!</v>
      </c>
      <c r="H59" s="3035" t="e">
        <f>'F-LSCD-008'!#REF!</f>
        <v>#REF!</v>
      </c>
      <c r="I59" s="3036"/>
      <c r="J59" s="193" t="s">
        <v>78</v>
      </c>
      <c r="K59" s="1474" t="e">
        <f>4.73/100*H59</f>
        <v>#REF!</v>
      </c>
      <c r="L59" s="3035"/>
      <c r="M59" s="3036"/>
      <c r="N59" s="1486" t="s">
        <v>93</v>
      </c>
      <c r="O59" s="1487"/>
      <c r="P59" s="3035"/>
      <c r="Q59" s="3036"/>
      <c r="R59" s="3036"/>
      <c r="S59" s="1486" t="s">
        <v>93</v>
      </c>
      <c r="T59" s="1487"/>
      <c r="U59" s="1480"/>
      <c r="V59" s="167"/>
    </row>
    <row r="60" spans="1:22" hidden="1" x14ac:dyDescent="0.2">
      <c r="A60" s="165"/>
      <c r="C60" s="211" t="e">
        <f>'F-LSCD-008'!#REF!</f>
        <v>#REF!</v>
      </c>
      <c r="D60" s="2995" t="e">
        <f>'F-LSCD-008'!#REF!</f>
        <v>#REF!</v>
      </c>
      <c r="E60" s="2995"/>
      <c r="F60" s="2996"/>
      <c r="G60" s="192" t="e">
        <f>'F-LSCD-008'!#REF!</f>
        <v>#REF!</v>
      </c>
      <c r="H60" s="3035" t="e">
        <f>'F-LSCD-008'!#REF!</f>
        <v>#REF!</v>
      </c>
      <c r="I60" s="3036"/>
      <c r="J60" s="193" t="s">
        <v>78</v>
      </c>
      <c r="K60" s="1474" t="e">
        <f>4.73/100*H60</f>
        <v>#REF!</v>
      </c>
      <c r="L60" s="3035"/>
      <c r="M60" s="3036"/>
      <c r="N60" s="1486" t="s">
        <v>93</v>
      </c>
      <c r="O60" s="1487"/>
      <c r="P60" s="3035"/>
      <c r="Q60" s="3036"/>
      <c r="R60" s="3036"/>
      <c r="S60" s="1486" t="s">
        <v>93</v>
      </c>
      <c r="T60" s="1487"/>
      <c r="U60" s="1480"/>
      <c r="V60" s="167"/>
    </row>
    <row r="61" spans="1:22" ht="13.5" hidden="1" thickBot="1" x14ac:dyDescent="0.25">
      <c r="A61" s="165"/>
      <c r="C61" s="212" t="e">
        <f>'F-LSCD-008'!#REF!</f>
        <v>#REF!</v>
      </c>
      <c r="D61" s="3016" t="e">
        <f>'F-LSCD-008'!#REF!</f>
        <v>#REF!</v>
      </c>
      <c r="E61" s="3016"/>
      <c r="F61" s="3017"/>
      <c r="G61" s="194" t="e">
        <f>'F-LSCD-008'!#REF!</f>
        <v>#REF!</v>
      </c>
      <c r="H61" s="3033" t="e">
        <f>'F-LSCD-008'!#REF!</f>
        <v>#REF!</v>
      </c>
      <c r="I61" s="3034"/>
      <c r="J61" s="216" t="s">
        <v>78</v>
      </c>
      <c r="K61" s="1475" t="e">
        <f>4.73/100*H61</f>
        <v>#REF!</v>
      </c>
      <c r="L61" s="3033"/>
      <c r="M61" s="3034"/>
      <c r="N61" s="1493" t="s">
        <v>93</v>
      </c>
      <c r="O61" s="1494"/>
      <c r="P61" s="3033"/>
      <c r="Q61" s="3034"/>
      <c r="R61" s="3034"/>
      <c r="S61" s="1493" t="s">
        <v>93</v>
      </c>
      <c r="T61" s="1494"/>
      <c r="U61" s="1480"/>
      <c r="V61" s="167"/>
    </row>
    <row r="62" spans="1:22" x14ac:dyDescent="0.2">
      <c r="A62" s="165"/>
      <c r="C62" s="214"/>
      <c r="D62" s="1264"/>
      <c r="E62" s="1264"/>
      <c r="F62" s="1264"/>
      <c r="G62" s="1472"/>
      <c r="H62" s="1495"/>
      <c r="I62" s="1495"/>
      <c r="J62" s="215"/>
      <c r="K62" s="1473"/>
      <c r="L62" s="1495"/>
      <c r="M62" s="1495"/>
      <c r="N62" s="1495"/>
      <c r="O62" s="1495"/>
      <c r="P62" s="1495"/>
      <c r="Q62" s="1495"/>
      <c r="R62" s="1495"/>
      <c r="S62" s="1495"/>
      <c r="T62" s="1495"/>
      <c r="U62" s="1480"/>
      <c r="V62" s="167"/>
    </row>
    <row r="63" spans="1:22" x14ac:dyDescent="0.2">
      <c r="A63" s="165"/>
      <c r="C63" s="163">
        <f>'F-LSCD-008'!N14</f>
        <v>43802</v>
      </c>
      <c r="D63" s="1264"/>
      <c r="E63" s="1264"/>
      <c r="F63" s="1264"/>
      <c r="G63" s="1472"/>
      <c r="H63" s="1495"/>
      <c r="I63" s="1495"/>
      <c r="J63" s="215"/>
      <c r="K63" s="1473"/>
      <c r="L63" s="1495"/>
      <c r="M63" s="1495"/>
      <c r="N63" s="1495"/>
      <c r="O63" s="1495"/>
      <c r="P63" s="1495"/>
      <c r="Q63" s="1495"/>
      <c r="R63" s="1495"/>
      <c r="S63" s="1495"/>
      <c r="T63" s="1495"/>
      <c r="U63" s="1480"/>
      <c r="V63" s="167"/>
    </row>
    <row r="64" spans="1:22" x14ac:dyDescent="0.2">
      <c r="A64" s="165"/>
      <c r="G64" s="213"/>
      <c r="U64" s="1480"/>
      <c r="V64" s="167"/>
    </row>
    <row r="65" spans="1:22" x14ac:dyDescent="0.2">
      <c r="A65" s="165"/>
      <c r="U65" s="1480"/>
      <c r="V65" s="167"/>
    </row>
    <row r="66" spans="1:22" ht="12.75" customHeight="1" x14ac:dyDescent="0.2">
      <c r="A66" s="165"/>
      <c r="B66" s="168"/>
      <c r="U66" s="1480"/>
      <c r="V66" s="167"/>
    </row>
    <row r="67" spans="1:22" ht="12.75" customHeight="1" x14ac:dyDescent="0.2">
      <c r="A67" s="165"/>
      <c r="B67" s="166"/>
      <c r="U67" s="1480"/>
      <c r="V67" s="167"/>
    </row>
    <row r="68" spans="1:22" ht="12.75" customHeight="1" x14ac:dyDescent="0.2">
      <c r="A68" s="165"/>
      <c r="U68" s="1480"/>
      <c r="V68" s="167"/>
    </row>
    <row r="69" spans="1:22" ht="12.75" customHeight="1" x14ac:dyDescent="0.2">
      <c r="A69" s="165"/>
      <c r="U69" s="1480"/>
      <c r="V69" s="167"/>
    </row>
    <row r="70" spans="1:22" ht="12.75" customHeight="1" x14ac:dyDescent="0.2">
      <c r="A70" s="165"/>
      <c r="U70" s="1480"/>
      <c r="V70" s="167"/>
    </row>
    <row r="71" spans="1:22" ht="12.75" customHeight="1" x14ac:dyDescent="0.2">
      <c r="A71" s="165"/>
      <c r="B71" s="166"/>
      <c r="U71" s="1480"/>
      <c r="V71" s="167"/>
    </row>
    <row r="72" spans="1:22" ht="12.75" customHeight="1" x14ac:dyDescent="0.2">
      <c r="A72" s="165"/>
      <c r="B72" s="166"/>
      <c r="C72" s="166"/>
      <c r="D72" s="166"/>
      <c r="E72" s="166"/>
      <c r="F72" s="166"/>
      <c r="G72" s="200"/>
      <c r="H72" s="200"/>
      <c r="I72" s="200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480"/>
      <c r="V72" s="167"/>
    </row>
    <row r="73" spans="1:22" ht="12.75" customHeight="1" x14ac:dyDescent="0.2">
      <c r="A73" s="165"/>
      <c r="B73" s="166"/>
      <c r="C73" s="175"/>
      <c r="D73" s="175"/>
      <c r="E73" s="175"/>
      <c r="F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480"/>
      <c r="V73" s="167"/>
    </row>
    <row r="74" spans="1:22" ht="12.75" customHeight="1" x14ac:dyDescent="0.2">
      <c r="A74" s="165"/>
      <c r="C74" s="175"/>
      <c r="D74" s="175"/>
      <c r="E74" s="175"/>
      <c r="F74" s="175"/>
      <c r="G74" s="1407"/>
      <c r="H74" s="1407"/>
      <c r="I74" s="1407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480"/>
      <c r="V74" s="167"/>
    </row>
    <row r="75" spans="1:22" ht="13.5" customHeight="1" thickBot="1" x14ac:dyDescent="0.25">
      <c r="A75" s="195"/>
      <c r="B75" s="196"/>
      <c r="C75" s="1878" t="s">
        <v>1245</v>
      </c>
      <c r="D75" s="196"/>
      <c r="E75" s="196"/>
      <c r="F75" s="196"/>
      <c r="G75" s="196"/>
      <c r="H75" s="196"/>
      <c r="I75" s="196"/>
      <c r="J75" s="196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7"/>
    </row>
    <row r="76" spans="1:22" ht="13.5" thickTop="1" x14ac:dyDescent="0.2">
      <c r="A76" s="3022" t="s">
        <v>236</v>
      </c>
      <c r="B76" s="3023"/>
      <c r="C76" s="3023"/>
      <c r="D76" s="3023"/>
      <c r="E76" s="3023"/>
      <c r="F76" s="3023"/>
      <c r="G76" s="3023"/>
      <c r="H76" s="3023"/>
      <c r="I76" s="3023"/>
      <c r="J76" s="3023"/>
      <c r="K76" s="3023"/>
      <c r="L76" s="3023"/>
      <c r="M76" s="3023"/>
      <c r="N76" s="3023"/>
      <c r="O76" s="3023"/>
      <c r="P76" s="3023"/>
      <c r="Q76" s="3023"/>
      <c r="R76" s="3023"/>
      <c r="S76" s="3023"/>
      <c r="T76" s="3023"/>
      <c r="U76" s="3023"/>
      <c r="V76" s="3024"/>
    </row>
    <row r="77" spans="1:22" ht="13.5" thickBot="1" x14ac:dyDescent="0.25">
      <c r="A77" s="3025" t="s">
        <v>279</v>
      </c>
      <c r="B77" s="3026"/>
      <c r="C77" s="3026"/>
      <c r="D77" s="3026"/>
      <c r="E77" s="3026"/>
      <c r="F77" s="3026"/>
      <c r="G77" s="3026"/>
      <c r="H77" s="3026"/>
      <c r="I77" s="3026"/>
      <c r="J77" s="3026"/>
      <c r="K77" s="3026"/>
      <c r="L77" s="3026"/>
      <c r="M77" s="3026"/>
      <c r="N77" s="3026"/>
      <c r="O77" s="3026"/>
      <c r="P77" s="3026"/>
      <c r="Q77" s="3026"/>
      <c r="R77" s="3026"/>
      <c r="S77" s="3026"/>
      <c r="T77" s="3026"/>
      <c r="U77" s="3026"/>
      <c r="V77" s="3027"/>
    </row>
    <row r="78" spans="1:22" x14ac:dyDescent="0.2">
      <c r="B78" s="1356" t="s">
        <v>917</v>
      </c>
      <c r="U78" s="1357" t="str">
        <f>A4&amp;" "&amp;A5</f>
        <v>INFORME DE ENSAYO N° 017-2019 ALEPH/GR/LSCD</v>
      </c>
    </row>
  </sheetData>
  <autoFilter ref="A36:V55" xr:uid="{00000000-0009-0000-0000-000028000000}">
    <filterColumn colId="3" showButton="0"/>
    <filterColumn colId="4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</autoFilter>
  <mergeCells count="105">
    <mergeCell ref="A2:V3"/>
    <mergeCell ref="A4:V4"/>
    <mergeCell ref="A5:V5"/>
    <mergeCell ref="A6:V6"/>
    <mergeCell ref="A7:V7"/>
    <mergeCell ref="A8:V8"/>
    <mergeCell ref="E29:O29"/>
    <mergeCell ref="Q29:U29"/>
    <mergeCell ref="E30:O30"/>
    <mergeCell ref="Q30:U33"/>
    <mergeCell ref="E31:F31"/>
    <mergeCell ref="E32:I32"/>
    <mergeCell ref="Q12:U18"/>
    <mergeCell ref="E16:O16"/>
    <mergeCell ref="E18:O18"/>
    <mergeCell ref="E20:O21"/>
    <mergeCell ref="Q21:U28"/>
    <mergeCell ref="E25:O25"/>
    <mergeCell ref="E27:O27"/>
    <mergeCell ref="E28:O28"/>
    <mergeCell ref="D38:F38"/>
    <mergeCell ref="H38:K38"/>
    <mergeCell ref="L38:O38"/>
    <mergeCell ref="P38:T38"/>
    <mergeCell ref="D39:F39"/>
    <mergeCell ref="H39:K39"/>
    <mergeCell ref="L39:O39"/>
    <mergeCell ref="P39:T39"/>
    <mergeCell ref="D36:F36"/>
    <mergeCell ref="H36:K36"/>
    <mergeCell ref="L36:O36"/>
    <mergeCell ref="P36:T36"/>
    <mergeCell ref="D37:F37"/>
    <mergeCell ref="H37:K37"/>
    <mergeCell ref="L37:O37"/>
    <mergeCell ref="P37:T37"/>
    <mergeCell ref="D42:F42"/>
    <mergeCell ref="H42:K42"/>
    <mergeCell ref="L42:O42"/>
    <mergeCell ref="P42:T42"/>
    <mergeCell ref="D43:F43"/>
    <mergeCell ref="H43:K43"/>
    <mergeCell ref="L43:O43"/>
    <mergeCell ref="P43:T43"/>
    <mergeCell ref="D40:F40"/>
    <mergeCell ref="H40:K40"/>
    <mergeCell ref="L40:O40"/>
    <mergeCell ref="P40:T40"/>
    <mergeCell ref="D41:F41"/>
    <mergeCell ref="H41:K41"/>
    <mergeCell ref="L41:O41"/>
    <mergeCell ref="P41:T41"/>
    <mergeCell ref="D46:F46"/>
    <mergeCell ref="H46:K46"/>
    <mergeCell ref="L46:O46"/>
    <mergeCell ref="P46:T46"/>
    <mergeCell ref="D47:F47"/>
    <mergeCell ref="H47:K47"/>
    <mergeCell ref="L47:O47"/>
    <mergeCell ref="P47:T47"/>
    <mergeCell ref="D44:F44"/>
    <mergeCell ref="H44:K44"/>
    <mergeCell ref="L44:O44"/>
    <mergeCell ref="P44:T44"/>
    <mergeCell ref="D45:F45"/>
    <mergeCell ref="H45:K45"/>
    <mergeCell ref="L45:O45"/>
    <mergeCell ref="P45:T45"/>
    <mergeCell ref="P58:R58"/>
    <mergeCell ref="D50:F50"/>
    <mergeCell ref="A51:V51"/>
    <mergeCell ref="A52:V52"/>
    <mergeCell ref="H50:K50"/>
    <mergeCell ref="L50:O50"/>
    <mergeCell ref="D48:F48"/>
    <mergeCell ref="H48:K48"/>
    <mergeCell ref="L48:O48"/>
    <mergeCell ref="P48:T48"/>
    <mergeCell ref="D49:F49"/>
    <mergeCell ref="H49:K49"/>
    <mergeCell ref="L49:O49"/>
    <mergeCell ref="P49:T49"/>
    <mergeCell ref="P50:T50"/>
    <mergeCell ref="A54:V55"/>
    <mergeCell ref="D57:F57"/>
    <mergeCell ref="H57:K57"/>
    <mergeCell ref="L57:O57"/>
    <mergeCell ref="P57:T57"/>
    <mergeCell ref="D58:F58"/>
    <mergeCell ref="H58:I58"/>
    <mergeCell ref="L58:M58"/>
    <mergeCell ref="D61:F61"/>
    <mergeCell ref="H61:I61"/>
    <mergeCell ref="L61:M61"/>
    <mergeCell ref="P61:R61"/>
    <mergeCell ref="A76:V76"/>
    <mergeCell ref="A77:V77"/>
    <mergeCell ref="D59:F59"/>
    <mergeCell ref="H59:I59"/>
    <mergeCell ref="L59:M59"/>
    <mergeCell ref="P59:R59"/>
    <mergeCell ref="D60:F60"/>
    <mergeCell ref="H60:I60"/>
    <mergeCell ref="L60:M60"/>
    <mergeCell ref="P60:R60"/>
  </mergeCells>
  <conditionalFormatting sqref="E33 K33:P33">
    <cfRule type="cellIs" dxfId="71" priority="7" operator="equal">
      <formula>0</formula>
    </cfRule>
  </conditionalFormatting>
  <conditionalFormatting sqref="E26:P26 F12:P14 K31:P33 E27:E31 P27 E33">
    <cfRule type="cellIs" dxfId="70" priority="6" operator="equal">
      <formula>0</formula>
    </cfRule>
  </conditionalFormatting>
  <conditionalFormatting sqref="E26:P26 F12:P14 K31:P33 E27:E31 P27 E33">
    <cfRule type="containsErrors" dxfId="69" priority="5">
      <formula>ISERROR(E12)</formula>
    </cfRule>
  </conditionalFormatting>
  <conditionalFormatting sqref="E12:E14">
    <cfRule type="cellIs" dxfId="68" priority="4" operator="equal">
      <formula>0</formula>
    </cfRule>
  </conditionalFormatting>
  <conditionalFormatting sqref="E12:E14">
    <cfRule type="containsErrors" dxfId="67" priority="3">
      <formula>ISERROR(E12)</formula>
    </cfRule>
  </conditionalFormatting>
  <conditionalFormatting sqref="E32">
    <cfRule type="cellIs" dxfId="66" priority="2" operator="equal">
      <formula>0</formula>
    </cfRule>
  </conditionalFormatting>
  <conditionalFormatting sqref="E32">
    <cfRule type="containsErrors" dxfId="65" priority="1">
      <formula>ISERROR(E32)</formula>
    </cfRule>
  </conditionalFormatting>
  <pageMargins left="0.27559055118110237" right="3.937007874015748E-2" top="0.23622047244094491" bottom="0" header="0.31496062992125984" footer="0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32"/>
  <dimension ref="A1:Q167"/>
  <sheetViews>
    <sheetView view="pageBreakPreview" topLeftCell="A25" zoomScaleNormal="100" zoomScaleSheetLayoutView="100" workbookViewId="0">
      <selection activeCell="L90" sqref="L90"/>
    </sheetView>
  </sheetViews>
  <sheetFormatPr baseColWidth="10" defaultColWidth="11.42578125" defaultRowHeight="15" x14ac:dyDescent="0.25"/>
  <cols>
    <col min="1" max="1" width="12.7109375" style="854" customWidth="1"/>
    <col min="2" max="2" width="11.42578125" style="854" customWidth="1"/>
    <col min="3" max="3" width="11.5703125" style="854" customWidth="1"/>
    <col min="4" max="16384" width="11.42578125" style="854"/>
  </cols>
  <sheetData>
    <row r="1" spans="1:15" ht="15" customHeight="1" x14ac:dyDescent="0.25">
      <c r="A1" s="851"/>
      <c r="B1" s="852"/>
      <c r="C1" s="853"/>
      <c r="D1" s="3233" t="s">
        <v>738</v>
      </c>
      <c r="E1" s="3234"/>
      <c r="F1" s="3234"/>
      <c r="G1" s="3234"/>
      <c r="H1" s="3234"/>
      <c r="I1" s="3234"/>
      <c r="J1" s="3234"/>
      <c r="K1" s="3234"/>
      <c r="L1" s="3234"/>
      <c r="M1" s="3234"/>
      <c r="N1" s="3234"/>
      <c r="O1" s="3235"/>
    </row>
    <row r="2" spans="1:15" ht="15" customHeight="1" x14ac:dyDescent="0.25">
      <c r="A2" s="855"/>
      <c r="C2" s="856"/>
      <c r="D2" s="3236"/>
      <c r="E2" s="3237"/>
      <c r="F2" s="3237"/>
      <c r="G2" s="3237"/>
      <c r="H2" s="3237"/>
      <c r="I2" s="3237"/>
      <c r="J2" s="3237"/>
      <c r="K2" s="3237"/>
      <c r="L2" s="3237"/>
      <c r="M2" s="3237"/>
      <c r="N2" s="3237"/>
      <c r="O2" s="3238"/>
    </row>
    <row r="3" spans="1:15" ht="15" customHeight="1" x14ac:dyDescent="0.25">
      <c r="A3" s="855"/>
      <c r="C3" s="856"/>
      <c r="D3" s="3236"/>
      <c r="E3" s="3237"/>
      <c r="F3" s="3237"/>
      <c r="G3" s="3237"/>
      <c r="H3" s="3237"/>
      <c r="I3" s="3237"/>
      <c r="J3" s="3237"/>
      <c r="K3" s="3237"/>
      <c r="L3" s="3237"/>
      <c r="M3" s="3237"/>
      <c r="N3" s="3237"/>
      <c r="O3" s="3238"/>
    </row>
    <row r="4" spans="1:15" ht="15" customHeight="1" x14ac:dyDescent="0.25">
      <c r="A4" s="857"/>
      <c r="B4" s="858"/>
      <c r="C4" s="859"/>
      <c r="D4" s="3239"/>
      <c r="E4" s="3240"/>
      <c r="F4" s="3240"/>
      <c r="G4" s="3240"/>
      <c r="H4" s="3240"/>
      <c r="I4" s="3240"/>
      <c r="J4" s="3240"/>
      <c r="K4" s="3240"/>
      <c r="L4" s="3240"/>
      <c r="M4" s="3240"/>
      <c r="N4" s="3240"/>
      <c r="O4" s="3241"/>
    </row>
    <row r="5" spans="1:15" ht="27" thickBot="1" x14ac:dyDescent="0.3">
      <c r="C5" s="860"/>
      <c r="D5" s="860"/>
      <c r="E5" s="860"/>
      <c r="F5" s="860"/>
      <c r="G5" s="860"/>
      <c r="H5" s="860"/>
      <c r="I5" s="860"/>
      <c r="J5" s="860"/>
      <c r="K5" s="860"/>
      <c r="L5" s="860"/>
      <c r="M5" s="860"/>
      <c r="N5" s="860"/>
    </row>
    <row r="6" spans="1:15" x14ac:dyDescent="0.25">
      <c r="A6" s="3244" t="s">
        <v>468</v>
      </c>
      <c r="B6" s="3245"/>
      <c r="C6" s="891" t="s">
        <v>703</v>
      </c>
      <c r="D6" s="892"/>
      <c r="E6" s="892"/>
      <c r="F6" s="892"/>
      <c r="G6" s="892"/>
      <c r="H6" s="892"/>
      <c r="I6" s="891"/>
      <c r="J6" s="892"/>
      <c r="K6" s="892"/>
      <c r="L6" s="891"/>
      <c r="M6" s="892"/>
      <c r="N6" s="893"/>
      <c r="O6" s="894"/>
    </row>
    <row r="7" spans="1:15" x14ac:dyDescent="0.25">
      <c r="A7" s="3242" t="s">
        <v>315</v>
      </c>
      <c r="B7" s="3243"/>
      <c r="C7" s="895" t="s">
        <v>763</v>
      </c>
      <c r="D7" s="896"/>
      <c r="E7" s="896"/>
      <c r="F7" s="896"/>
      <c r="G7" s="896"/>
      <c r="H7" s="896"/>
      <c r="I7" s="896"/>
      <c r="J7" s="896"/>
      <c r="K7" s="896"/>
      <c r="L7" s="896"/>
      <c r="M7" s="896"/>
      <c r="N7" s="896"/>
      <c r="O7" s="897"/>
    </row>
    <row r="8" spans="1:15" x14ac:dyDescent="0.25">
      <c r="A8" s="3242" t="s">
        <v>311</v>
      </c>
      <c r="B8" s="3243"/>
      <c r="C8" s="895" t="s">
        <v>764</v>
      </c>
      <c r="D8" s="896"/>
      <c r="E8" s="896"/>
      <c r="F8" s="896"/>
      <c r="G8" s="896"/>
      <c r="H8" s="896"/>
      <c r="I8" s="896"/>
      <c r="J8" s="896"/>
      <c r="K8" s="896"/>
      <c r="L8" s="896"/>
      <c r="M8" s="896"/>
      <c r="N8" s="896"/>
      <c r="O8" s="897"/>
    </row>
    <row r="9" spans="1:15" x14ac:dyDescent="0.25">
      <c r="A9" s="3242" t="s">
        <v>312</v>
      </c>
      <c r="B9" s="3243"/>
      <c r="C9" s="898" t="s">
        <v>765</v>
      </c>
      <c r="D9" s="896"/>
      <c r="E9" s="896"/>
      <c r="F9" s="896"/>
      <c r="G9" s="896"/>
      <c r="H9" s="896"/>
      <c r="I9" s="896"/>
      <c r="J9" s="896"/>
      <c r="K9" s="896"/>
      <c r="L9" s="896"/>
      <c r="M9" s="896"/>
      <c r="N9" s="896"/>
      <c r="O9" s="897"/>
    </row>
    <row r="10" spans="1:15" x14ac:dyDescent="0.25">
      <c r="A10" s="3242" t="s">
        <v>316</v>
      </c>
      <c r="B10" s="3243"/>
      <c r="C10" s="895" t="s">
        <v>93</v>
      </c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7"/>
    </row>
    <row r="11" spans="1:15" x14ac:dyDescent="0.25">
      <c r="A11" s="3242" t="s">
        <v>313</v>
      </c>
      <c r="B11" s="3243"/>
      <c r="C11" s="899" t="s">
        <v>93</v>
      </c>
      <c r="D11" s="896"/>
      <c r="E11" s="896"/>
      <c r="F11" s="896"/>
      <c r="G11" s="896"/>
      <c r="H11" s="896"/>
      <c r="I11" s="896"/>
      <c r="J11" s="896"/>
      <c r="K11" s="896"/>
      <c r="L11" s="896"/>
      <c r="M11" s="896"/>
      <c r="N11" s="896"/>
      <c r="O11" s="897"/>
    </row>
    <row r="12" spans="1:15" x14ac:dyDescent="0.25">
      <c r="A12" s="3242" t="s">
        <v>314</v>
      </c>
      <c r="B12" s="3243"/>
      <c r="C12" s="899" t="s">
        <v>93</v>
      </c>
      <c r="D12" s="896"/>
      <c r="E12" s="896"/>
      <c r="F12" s="896"/>
      <c r="G12" s="896"/>
      <c r="H12" s="896"/>
      <c r="I12" s="896"/>
      <c r="J12" s="896"/>
      <c r="K12" s="896"/>
      <c r="L12" s="896"/>
      <c r="M12" s="896"/>
      <c r="N12" s="896"/>
      <c r="O12" s="897"/>
    </row>
    <row r="13" spans="1:15" x14ac:dyDescent="0.25">
      <c r="A13" s="3246" t="s">
        <v>469</v>
      </c>
      <c r="B13" s="3247"/>
      <c r="C13" s="888" t="s">
        <v>467</v>
      </c>
      <c r="D13" s="887"/>
      <c r="E13" s="887"/>
      <c r="F13" s="887"/>
      <c r="G13" s="887"/>
      <c r="H13" s="887"/>
      <c r="I13" s="887"/>
      <c r="J13" s="887"/>
      <c r="K13" s="887"/>
      <c r="L13" s="887"/>
      <c r="M13" s="887"/>
      <c r="N13" s="887"/>
      <c r="O13" s="889"/>
    </row>
    <row r="14" spans="1:15" x14ac:dyDescent="0.25">
      <c r="A14" s="890"/>
      <c r="B14" s="901"/>
      <c r="C14" s="3248" t="s">
        <v>768</v>
      </c>
      <c r="D14" s="3249"/>
      <c r="E14" s="3249"/>
      <c r="F14" s="3249"/>
      <c r="G14" s="3249"/>
      <c r="H14" s="3249"/>
      <c r="I14" s="3249"/>
      <c r="J14" s="3249"/>
      <c r="K14" s="3249"/>
      <c r="L14" s="3249"/>
      <c r="M14" s="3249"/>
      <c r="N14" s="887"/>
      <c r="O14" s="889"/>
    </row>
    <row r="15" spans="1:15" x14ac:dyDescent="0.25">
      <c r="A15" s="890"/>
      <c r="B15" s="901"/>
      <c r="C15" s="3248" t="s">
        <v>767</v>
      </c>
      <c r="D15" s="3249"/>
      <c r="E15" s="3249"/>
      <c r="F15" s="3249"/>
      <c r="G15" s="3249"/>
      <c r="H15" s="3249"/>
      <c r="I15" s="3249"/>
      <c r="J15" s="3249"/>
      <c r="K15" s="3249"/>
      <c r="L15" s="3249"/>
      <c r="M15" s="3249"/>
      <c r="N15" s="887"/>
      <c r="O15" s="889"/>
    </row>
    <row r="16" spans="1:15" x14ac:dyDescent="0.25">
      <c r="A16" s="890"/>
      <c r="B16" s="901"/>
      <c r="C16" s="3248" t="s">
        <v>766</v>
      </c>
      <c r="D16" s="3249"/>
      <c r="E16" s="3249"/>
      <c r="F16" s="3249"/>
      <c r="G16" s="3249"/>
      <c r="H16" s="3249"/>
      <c r="I16" s="3249"/>
      <c r="J16" s="3249"/>
      <c r="K16" s="3249"/>
      <c r="L16" s="3249"/>
      <c r="M16" s="3249"/>
      <c r="N16" s="887"/>
      <c r="O16" s="889"/>
    </row>
    <row r="17" spans="1:15" x14ac:dyDescent="0.25">
      <c r="A17" s="900" t="s">
        <v>466</v>
      </c>
      <c r="B17" s="902"/>
      <c r="C17" s="899" t="s">
        <v>471</v>
      </c>
      <c r="D17" s="896"/>
      <c r="E17" s="896"/>
      <c r="F17" s="896"/>
      <c r="G17" s="896"/>
      <c r="H17" s="896"/>
      <c r="I17" s="896"/>
      <c r="J17" s="896"/>
      <c r="K17" s="896"/>
      <c r="L17" s="896"/>
      <c r="M17" s="896"/>
      <c r="N17" s="896"/>
      <c r="O17" s="897"/>
    </row>
    <row r="18" spans="1:15" x14ac:dyDescent="0.25">
      <c r="A18" s="3242" t="s">
        <v>281</v>
      </c>
      <c r="B18" s="3243"/>
      <c r="C18" s="899" t="s">
        <v>470</v>
      </c>
      <c r="D18" s="896"/>
      <c r="E18" s="896"/>
      <c r="F18" s="896"/>
      <c r="G18" s="896"/>
      <c r="H18" s="896"/>
      <c r="I18" s="896"/>
      <c r="J18" s="896"/>
      <c r="K18" s="896"/>
      <c r="L18" s="896"/>
      <c r="M18" s="896"/>
      <c r="N18" s="896"/>
      <c r="O18" s="897"/>
    </row>
    <row r="19" spans="1:15" ht="15.75" thickBot="1" x14ac:dyDescent="0.3">
      <c r="A19" s="3250" t="s">
        <v>769</v>
      </c>
      <c r="B19" s="3251"/>
      <c r="C19" s="903" t="s">
        <v>770</v>
      </c>
      <c r="D19" s="904"/>
      <c r="E19" s="904"/>
      <c r="F19" s="904"/>
      <c r="G19" s="904"/>
      <c r="H19" s="904"/>
      <c r="I19" s="904"/>
      <c r="J19" s="904"/>
      <c r="K19" s="904"/>
      <c r="L19" s="904"/>
      <c r="M19" s="904"/>
      <c r="N19" s="904"/>
      <c r="O19" s="905"/>
    </row>
    <row r="20" spans="1:15" ht="15.75" thickBot="1" x14ac:dyDescent="0.3">
      <c r="A20" s="3213"/>
      <c r="B20" s="3213"/>
      <c r="C20" s="862"/>
    </row>
    <row r="21" spans="1:15" x14ac:dyDescent="0.25">
      <c r="A21" s="3195" t="s">
        <v>284</v>
      </c>
      <c r="B21" s="3196"/>
      <c r="C21" s="3196"/>
      <c r="D21" s="906" t="s">
        <v>285</v>
      </c>
      <c r="I21" s="861"/>
      <c r="K21" s="863"/>
    </row>
    <row r="22" spans="1:15" x14ac:dyDescent="0.25">
      <c r="A22" s="3193" t="s">
        <v>286</v>
      </c>
      <c r="B22" s="3194"/>
      <c r="C22" s="3194"/>
      <c r="D22" s="907">
        <v>1830</v>
      </c>
      <c r="I22" s="861"/>
      <c r="K22" s="863"/>
    </row>
    <row r="23" spans="1:15" x14ac:dyDescent="0.25">
      <c r="A23" s="3193" t="s">
        <v>287</v>
      </c>
      <c r="B23" s="3194"/>
      <c r="C23" s="3194"/>
      <c r="D23" s="907">
        <v>150</v>
      </c>
      <c r="I23" s="861"/>
      <c r="K23" s="863"/>
    </row>
    <row r="24" spans="1:15" ht="15.75" thickBot="1" x14ac:dyDescent="0.3">
      <c r="A24" s="3222" t="s">
        <v>288</v>
      </c>
      <c r="B24" s="3223"/>
      <c r="C24" s="3223"/>
      <c r="D24" s="908">
        <v>3850</v>
      </c>
      <c r="F24" s="864"/>
      <c r="I24" s="861"/>
      <c r="K24" s="863"/>
    </row>
    <row r="25" spans="1:15" x14ac:dyDescent="0.25">
      <c r="A25" s="3195" t="s">
        <v>284</v>
      </c>
      <c r="B25" s="3196"/>
      <c r="C25" s="3196"/>
      <c r="D25" s="906" t="s">
        <v>290</v>
      </c>
      <c r="I25" s="861"/>
      <c r="K25" s="863"/>
    </row>
    <row r="26" spans="1:15" x14ac:dyDescent="0.25">
      <c r="A26" s="3193" t="s">
        <v>286</v>
      </c>
      <c r="B26" s="3194"/>
      <c r="C26" s="3194"/>
      <c r="D26" s="907">
        <v>1840</v>
      </c>
      <c r="I26" s="861"/>
      <c r="K26" s="863"/>
    </row>
    <row r="27" spans="1:15" x14ac:dyDescent="0.25">
      <c r="A27" s="3193" t="s">
        <v>287</v>
      </c>
      <c r="B27" s="3194"/>
      <c r="C27" s="3194"/>
      <c r="D27" s="907">
        <v>150</v>
      </c>
      <c r="F27" s="865"/>
      <c r="I27" s="861"/>
      <c r="K27" s="863"/>
    </row>
    <row r="28" spans="1:15" ht="15.75" thickBot="1" x14ac:dyDescent="0.3">
      <c r="A28" s="3222" t="s">
        <v>288</v>
      </c>
      <c r="B28" s="3223"/>
      <c r="C28" s="3223"/>
      <c r="D28" s="908">
        <v>2940</v>
      </c>
      <c r="F28" s="864"/>
      <c r="I28" s="861"/>
      <c r="K28" s="863"/>
    </row>
    <row r="29" spans="1:15" x14ac:dyDescent="0.25">
      <c r="A29" s="3195" t="s">
        <v>284</v>
      </c>
      <c r="B29" s="3196"/>
      <c r="C29" s="3196"/>
      <c r="D29" s="906" t="s">
        <v>289</v>
      </c>
      <c r="I29" s="861"/>
      <c r="K29" s="863"/>
    </row>
    <row r="30" spans="1:15" x14ac:dyDescent="0.25">
      <c r="A30" s="3193" t="s">
        <v>286</v>
      </c>
      <c r="B30" s="3194"/>
      <c r="C30" s="3194"/>
      <c r="D30" s="907">
        <v>3700</v>
      </c>
      <c r="E30" s="864"/>
      <c r="I30" s="861"/>
      <c r="K30" s="863"/>
    </row>
    <row r="31" spans="1:15" x14ac:dyDescent="0.25">
      <c r="A31" s="3193" t="s">
        <v>287</v>
      </c>
      <c r="B31" s="3194"/>
      <c r="C31" s="3194"/>
      <c r="D31" s="907">
        <v>150</v>
      </c>
      <c r="F31" s="865"/>
      <c r="I31" s="861"/>
      <c r="K31" s="863"/>
    </row>
    <row r="32" spans="1:15" ht="15.75" thickBot="1" x14ac:dyDescent="0.3">
      <c r="A32" s="3222" t="s">
        <v>288</v>
      </c>
      <c r="B32" s="3223"/>
      <c r="C32" s="3223"/>
      <c r="D32" s="908">
        <v>2880</v>
      </c>
      <c r="E32" s="864"/>
      <c r="F32" s="864"/>
      <c r="I32" s="861"/>
      <c r="K32" s="863"/>
    </row>
    <row r="33" spans="1:15" ht="15.75" thickBot="1" x14ac:dyDescent="0.3"/>
    <row r="34" spans="1:15" ht="18" x14ac:dyDescent="0.25">
      <c r="A34" s="3224" t="s">
        <v>772</v>
      </c>
      <c r="B34" s="3225"/>
      <c r="C34" s="909" t="s">
        <v>241</v>
      </c>
      <c r="D34" s="910">
        <v>21</v>
      </c>
      <c r="E34" s="909" t="s">
        <v>242</v>
      </c>
      <c r="F34" s="910">
        <v>55</v>
      </c>
      <c r="G34" s="911" t="s">
        <v>243</v>
      </c>
      <c r="H34" s="906">
        <v>1011</v>
      </c>
      <c r="I34" s="866"/>
      <c r="J34" s="866"/>
      <c r="L34" s="866"/>
      <c r="M34" s="866"/>
    </row>
    <row r="35" spans="1:15" ht="18.75" thickBot="1" x14ac:dyDescent="0.3">
      <c r="A35" s="3226"/>
      <c r="B35" s="3227"/>
      <c r="C35" s="912" t="s">
        <v>244</v>
      </c>
      <c r="D35" s="913">
        <v>20.6</v>
      </c>
      <c r="E35" s="912" t="s">
        <v>245</v>
      </c>
      <c r="F35" s="913">
        <v>53</v>
      </c>
      <c r="G35" s="914" t="s">
        <v>246</v>
      </c>
      <c r="H35" s="915">
        <v>1011</v>
      </c>
      <c r="I35" s="866"/>
      <c r="J35" s="866"/>
      <c r="L35" s="866"/>
      <c r="M35" s="866"/>
    </row>
    <row r="36" spans="1:15" ht="15.75" thickBot="1" x14ac:dyDescent="0.3">
      <c r="A36" s="867"/>
      <c r="B36" s="867"/>
      <c r="C36" s="868"/>
      <c r="E36" s="868"/>
      <c r="H36" s="869"/>
      <c r="I36" s="866"/>
      <c r="J36" s="866"/>
      <c r="L36" s="866"/>
      <c r="M36" s="866"/>
    </row>
    <row r="37" spans="1:15" ht="15.75" thickBot="1" x14ac:dyDescent="0.3">
      <c r="A37" s="3197" t="s">
        <v>773</v>
      </c>
      <c r="B37" s="3198"/>
      <c r="C37" s="3198"/>
      <c r="D37" s="3198"/>
      <c r="E37" s="3198"/>
      <c r="F37" s="3198"/>
      <c r="G37" s="3198"/>
      <c r="H37" s="3198"/>
      <c r="I37" s="3198"/>
      <c r="J37" s="3198"/>
      <c r="K37" s="3198"/>
      <c r="L37" s="3198"/>
      <c r="M37" s="3198"/>
      <c r="N37" s="3198"/>
      <c r="O37" s="3199"/>
    </row>
    <row r="38" spans="1:15" ht="24" customHeight="1" x14ac:dyDescent="0.25">
      <c r="A38" s="867"/>
      <c r="B38" s="867"/>
      <c r="C38" s="868"/>
      <c r="E38" s="868"/>
      <c r="H38" s="869"/>
      <c r="I38" s="866"/>
      <c r="J38" s="866"/>
      <c r="L38" s="866"/>
      <c r="M38" s="866"/>
    </row>
    <row r="39" spans="1:15" x14ac:dyDescent="0.25">
      <c r="A39" s="3214" t="s">
        <v>728</v>
      </c>
      <c r="B39" s="3214"/>
      <c r="C39" s="3214"/>
      <c r="D39" s="3214"/>
      <c r="E39" s="3214"/>
      <c r="F39" s="3214"/>
      <c r="G39" s="3214"/>
      <c r="H39" s="3214"/>
      <c r="I39" s="3214"/>
      <c r="J39" s="3214"/>
      <c r="K39" s="3214"/>
      <c r="L39" s="3214"/>
      <c r="M39" s="3214"/>
      <c r="N39" s="3214"/>
      <c r="O39" s="3214"/>
    </row>
    <row r="40" spans="1:15" ht="15.75" thickBot="1" x14ac:dyDescent="0.3">
      <c r="A40" s="867"/>
      <c r="B40" s="867"/>
      <c r="C40" s="868"/>
      <c r="E40" s="868"/>
      <c r="H40" s="869"/>
      <c r="I40" s="866"/>
      <c r="J40" s="866"/>
      <c r="L40" s="866"/>
      <c r="M40" s="866"/>
    </row>
    <row r="41" spans="1:15" x14ac:dyDescent="0.25">
      <c r="A41" s="867"/>
      <c r="B41" s="867"/>
      <c r="C41" s="868"/>
      <c r="E41" s="3185" t="s">
        <v>730</v>
      </c>
      <c r="F41" s="3186"/>
      <c r="G41" s="3215" t="s">
        <v>733</v>
      </c>
      <c r="H41" s="3216"/>
      <c r="I41" s="3185" t="s">
        <v>735</v>
      </c>
      <c r="J41" s="3186"/>
    </row>
    <row r="42" spans="1:15" x14ac:dyDescent="0.25">
      <c r="A42" s="867"/>
      <c r="B42" s="867"/>
      <c r="C42" s="868"/>
      <c r="E42" s="3187"/>
      <c r="F42" s="3188"/>
      <c r="G42" s="3217"/>
      <c r="H42" s="3218"/>
      <c r="I42" s="3187"/>
      <c r="J42" s="3188"/>
    </row>
    <row r="43" spans="1:15" x14ac:dyDescent="0.25">
      <c r="A43" s="867"/>
      <c r="B43" s="867"/>
      <c r="C43" s="868"/>
      <c r="E43" s="3200">
        <f>ABS(O60-O62)/O60</f>
        <v>3.0474384586734638E-3</v>
      </c>
      <c r="F43" s="3201"/>
      <c r="G43" s="3252">
        <f>ABS(O60-O64)/O60</f>
        <v>4.4018555514171451E-3</v>
      </c>
      <c r="H43" s="3253"/>
      <c r="I43" s="3200">
        <f>ABS(O60-O66)/O60</f>
        <v>2.7426946128060212E-2</v>
      </c>
      <c r="J43" s="3201"/>
    </row>
    <row r="44" spans="1:15" ht="15.75" thickBot="1" x14ac:dyDescent="0.3">
      <c r="A44" s="867"/>
      <c r="B44" s="867"/>
      <c r="C44" s="868"/>
      <c r="E44" s="3202"/>
      <c r="F44" s="3203"/>
      <c r="G44" s="3254"/>
      <c r="H44" s="3255"/>
      <c r="I44" s="3202"/>
      <c r="J44" s="3203"/>
    </row>
    <row r="45" spans="1:15" x14ac:dyDescent="0.25">
      <c r="A45" s="867"/>
      <c r="B45" s="867"/>
      <c r="C45" s="868"/>
      <c r="E45" s="3185" t="s">
        <v>731</v>
      </c>
      <c r="F45" s="3186"/>
      <c r="G45" s="3208" t="s">
        <v>718</v>
      </c>
      <c r="H45" s="3209"/>
      <c r="I45" s="3185" t="s">
        <v>736</v>
      </c>
      <c r="J45" s="3186"/>
    </row>
    <row r="46" spans="1:15" x14ac:dyDescent="0.25">
      <c r="A46" s="867"/>
      <c r="B46" s="867"/>
      <c r="C46" s="868"/>
      <c r="E46" s="3187"/>
      <c r="F46" s="3188"/>
      <c r="G46" s="3189"/>
      <c r="H46" s="3190"/>
      <c r="I46" s="3187"/>
      <c r="J46" s="3188"/>
    </row>
    <row r="47" spans="1:15" x14ac:dyDescent="0.25">
      <c r="A47" s="867"/>
      <c r="B47" s="867"/>
      <c r="C47" s="868"/>
      <c r="E47" s="3200">
        <f>ABS(O60-O68)/O60</f>
        <v>2.2517184166864036E-2</v>
      </c>
      <c r="F47" s="3201"/>
      <c r="G47" s="3189" t="s">
        <v>752</v>
      </c>
      <c r="H47" s="3190"/>
      <c r="I47" s="3200">
        <f>ABS(O60-O70)/O60</f>
        <v>2.7088341854873989E-2</v>
      </c>
      <c r="J47" s="3201"/>
    </row>
    <row r="48" spans="1:15" ht="15.75" thickBot="1" x14ac:dyDescent="0.3">
      <c r="A48" s="867"/>
      <c r="B48" s="867"/>
      <c r="C48" s="868"/>
      <c r="E48" s="3202"/>
      <c r="F48" s="3203"/>
      <c r="G48" s="3191"/>
      <c r="H48" s="3192"/>
      <c r="I48" s="3202"/>
      <c r="J48" s="3203"/>
    </row>
    <row r="49" spans="1:17" x14ac:dyDescent="0.25">
      <c r="A49" s="867"/>
      <c r="B49" s="867"/>
      <c r="C49" s="868"/>
      <c r="E49" s="3185" t="s">
        <v>732</v>
      </c>
      <c r="F49" s="3186"/>
      <c r="G49" s="3185" t="s">
        <v>734</v>
      </c>
      <c r="H49" s="3186"/>
      <c r="I49" s="3204" t="s">
        <v>737</v>
      </c>
      <c r="J49" s="3205"/>
    </row>
    <row r="50" spans="1:17" x14ac:dyDescent="0.25">
      <c r="A50" s="867"/>
      <c r="B50" s="867"/>
      <c r="C50" s="868"/>
      <c r="E50" s="3187"/>
      <c r="F50" s="3188"/>
      <c r="G50" s="3187"/>
      <c r="H50" s="3188"/>
      <c r="I50" s="3206"/>
      <c r="J50" s="3207"/>
    </row>
    <row r="51" spans="1:17" x14ac:dyDescent="0.25">
      <c r="A51" s="867"/>
      <c r="B51" s="867"/>
      <c r="C51" s="868"/>
      <c r="E51" s="3200">
        <f>ABS(O60-O72)/O60</f>
        <v>3.1151593133105275E-2</v>
      </c>
      <c r="F51" s="3201"/>
      <c r="G51" s="3200">
        <f>ABS(O60-O74)/O60</f>
        <v>1.5237192293366718E-2</v>
      </c>
      <c r="H51" s="3201"/>
      <c r="I51" s="3228">
        <f>ABS(O60-O76)/O60</f>
        <v>4.114041919209032E-2</v>
      </c>
      <c r="J51" s="3229"/>
    </row>
    <row r="52" spans="1:17" ht="15.75" thickBot="1" x14ac:dyDescent="0.3">
      <c r="A52" s="867"/>
      <c r="B52" s="867"/>
      <c r="C52" s="868"/>
      <c r="E52" s="3202"/>
      <c r="F52" s="3203"/>
      <c r="G52" s="3202"/>
      <c r="H52" s="3203"/>
      <c r="I52" s="3230"/>
      <c r="J52" s="3231"/>
    </row>
    <row r="53" spans="1:17" x14ac:dyDescent="0.25">
      <c r="A53" s="867"/>
      <c r="B53" s="867"/>
      <c r="C53" s="868"/>
      <c r="E53" s="868"/>
      <c r="H53" s="869"/>
      <c r="I53" s="866"/>
      <c r="J53" s="866"/>
      <c r="L53" s="866"/>
      <c r="M53" s="866"/>
    </row>
    <row r="54" spans="1:17" x14ac:dyDescent="0.25">
      <c r="A54" s="867"/>
      <c r="B54" s="867"/>
      <c r="C54" s="868"/>
      <c r="E54" s="868"/>
      <c r="G54" s="879"/>
      <c r="H54" s="869"/>
      <c r="I54" s="866"/>
      <c r="J54" s="866"/>
      <c r="L54" s="866"/>
      <c r="M54" s="866"/>
    </row>
    <row r="55" spans="1:17" ht="15.75" thickBot="1" x14ac:dyDescent="0.3">
      <c r="A55" s="867"/>
      <c r="B55" s="867"/>
      <c r="C55" s="868"/>
      <c r="E55" s="868"/>
      <c r="L55" s="866"/>
      <c r="M55" s="866"/>
    </row>
    <row r="56" spans="1:17" ht="15.75" thickBot="1" x14ac:dyDescent="0.3">
      <c r="A56" s="925" t="s">
        <v>247</v>
      </c>
      <c r="B56" s="867"/>
      <c r="C56" s="868"/>
      <c r="E56" s="868"/>
      <c r="L56" s="866"/>
      <c r="M56" s="866"/>
    </row>
    <row r="57" spans="1:17" x14ac:dyDescent="0.25">
      <c r="A57" s="929" t="s">
        <v>291</v>
      </c>
      <c r="B57" s="3210" t="s">
        <v>717</v>
      </c>
      <c r="C57" s="3211"/>
      <c r="D57" s="3211"/>
      <c r="E57" s="3211"/>
      <c r="F57" s="3211"/>
      <c r="G57" s="3211"/>
      <c r="H57" s="3211"/>
      <c r="I57" s="3211"/>
      <c r="J57" s="3211"/>
      <c r="K57" s="3212"/>
      <c r="L57" s="922" t="s">
        <v>248</v>
      </c>
      <c r="M57" s="923" t="s">
        <v>62</v>
      </c>
      <c r="N57" s="924" t="s">
        <v>249</v>
      </c>
      <c r="O57" s="928" t="s">
        <v>729</v>
      </c>
    </row>
    <row r="58" spans="1:17" ht="15.75" thickBot="1" x14ac:dyDescent="0.3">
      <c r="A58" s="930" t="s">
        <v>292</v>
      </c>
      <c r="B58" s="926">
        <v>0.7</v>
      </c>
      <c r="C58" s="932">
        <v>0.73</v>
      </c>
      <c r="D58" s="932">
        <v>0.33</v>
      </c>
      <c r="E58" s="932">
        <v>0.7</v>
      </c>
      <c r="F58" s="932">
        <v>0.53</v>
      </c>
      <c r="G58" s="932">
        <v>0.73</v>
      </c>
      <c r="H58" s="932">
        <v>0.63</v>
      </c>
      <c r="I58" s="932">
        <v>0.53</v>
      </c>
      <c r="J58" s="932">
        <v>0.63</v>
      </c>
      <c r="K58" s="933">
        <v>0.43</v>
      </c>
      <c r="L58" s="940">
        <f>AVERAGE(B58:K58)</f>
        <v>0.59400000000000008</v>
      </c>
      <c r="M58" s="937">
        <f>STDEVA(B58:K58)</f>
        <v>0.13615350813613908</v>
      </c>
      <c r="N58" s="938">
        <f>M58/L58*100</f>
        <v>22.921466016185025</v>
      </c>
      <c r="O58" s="941" t="s">
        <v>93</v>
      </c>
    </row>
    <row r="59" spans="1:17" x14ac:dyDescent="0.25">
      <c r="A59" s="931" t="s">
        <v>285</v>
      </c>
      <c r="B59" s="3219" t="s">
        <v>719</v>
      </c>
      <c r="C59" s="3220"/>
      <c r="D59" s="3220"/>
      <c r="E59" s="3220"/>
      <c r="F59" s="3220"/>
      <c r="G59" s="3220"/>
      <c r="H59" s="3220"/>
      <c r="I59" s="3220"/>
      <c r="J59" s="3220"/>
      <c r="K59" s="3221"/>
      <c r="L59" s="922" t="s">
        <v>248</v>
      </c>
      <c r="M59" s="923" t="s">
        <v>62</v>
      </c>
      <c r="N59" s="924" t="s">
        <v>249</v>
      </c>
      <c r="O59" s="928" t="s">
        <v>729</v>
      </c>
      <c r="P59" s="865"/>
    </row>
    <row r="60" spans="1:17" ht="15.75" thickBot="1" x14ac:dyDescent="0.3">
      <c r="A60" s="930" t="s">
        <v>292</v>
      </c>
      <c r="B60" s="947">
        <v>59.7</v>
      </c>
      <c r="C60" s="948">
        <v>59.2</v>
      </c>
      <c r="D60" s="948">
        <v>61.9</v>
      </c>
      <c r="E60" s="948">
        <v>59.5</v>
      </c>
      <c r="F60" s="948">
        <v>58.8</v>
      </c>
      <c r="G60" s="948">
        <v>59.4</v>
      </c>
      <c r="H60" s="948">
        <v>60.3</v>
      </c>
      <c r="I60" s="948">
        <v>59.9</v>
      </c>
      <c r="J60" s="948">
        <v>59.5</v>
      </c>
      <c r="K60" s="949">
        <v>58.4</v>
      </c>
      <c r="L60" s="950">
        <f>AVERAGE(B60:K60)</f>
        <v>59.660000000000004</v>
      </c>
      <c r="M60" s="937">
        <f>STDEVA(B60:K60)</f>
        <v>0.95125647902597132</v>
      </c>
      <c r="N60" s="938">
        <f>M60/L60*100</f>
        <v>1.5944627539825198</v>
      </c>
      <c r="O60" s="950">
        <f>L60-L58</f>
        <v>59.066000000000003</v>
      </c>
      <c r="P60" s="865"/>
    </row>
    <row r="61" spans="1:17" x14ac:dyDescent="0.25">
      <c r="A61" s="931" t="s">
        <v>285</v>
      </c>
      <c r="B61" s="3210" t="s">
        <v>720</v>
      </c>
      <c r="C61" s="3211"/>
      <c r="D61" s="3211"/>
      <c r="E61" s="3211"/>
      <c r="F61" s="3211"/>
      <c r="G61" s="3211"/>
      <c r="H61" s="3211"/>
      <c r="I61" s="3211"/>
      <c r="J61" s="3211"/>
      <c r="K61" s="3212"/>
      <c r="L61" s="922" t="s">
        <v>248</v>
      </c>
      <c r="M61" s="923" t="s">
        <v>62</v>
      </c>
      <c r="N61" s="924" t="s">
        <v>249</v>
      </c>
      <c r="O61" s="928" t="s">
        <v>729</v>
      </c>
    </row>
    <row r="62" spans="1:17" ht="15.75" thickBot="1" x14ac:dyDescent="0.3">
      <c r="A62" s="930" t="s">
        <v>292</v>
      </c>
      <c r="B62" s="947">
        <v>59.5</v>
      </c>
      <c r="C62" s="948">
        <v>60.1</v>
      </c>
      <c r="D62" s="948">
        <v>59.8</v>
      </c>
      <c r="E62" s="948">
        <v>60.2</v>
      </c>
      <c r="F62" s="948">
        <v>61.6</v>
      </c>
      <c r="G62" s="948">
        <v>61.1</v>
      </c>
      <c r="H62" s="948">
        <v>59.8</v>
      </c>
      <c r="I62" s="948">
        <v>60.6</v>
      </c>
      <c r="J62" s="948">
        <v>57.5</v>
      </c>
      <c r="K62" s="949">
        <v>58.2</v>
      </c>
      <c r="L62" s="950">
        <f>AVERAGE(B62:K62)</f>
        <v>59.840000000000011</v>
      </c>
      <c r="M62" s="937">
        <f>STDEVA(B62:K62)</f>
        <v>1.2357633718115744</v>
      </c>
      <c r="N62" s="938">
        <f>M62/L62*100</f>
        <v>2.0651125865835129</v>
      </c>
      <c r="O62" s="951">
        <f>L62-L58</f>
        <v>59.246000000000009</v>
      </c>
      <c r="P62" s="865"/>
      <c r="Q62" s="865"/>
    </row>
    <row r="63" spans="1:17" x14ac:dyDescent="0.25">
      <c r="A63" s="931" t="s">
        <v>285</v>
      </c>
      <c r="B63" s="3210" t="s">
        <v>721</v>
      </c>
      <c r="C63" s="3211"/>
      <c r="D63" s="3211"/>
      <c r="E63" s="3211"/>
      <c r="F63" s="3211"/>
      <c r="G63" s="3211"/>
      <c r="H63" s="3211"/>
      <c r="I63" s="3211"/>
      <c r="J63" s="3211"/>
      <c r="K63" s="3212"/>
      <c r="L63" s="922" t="s">
        <v>248</v>
      </c>
      <c r="M63" s="923" t="s">
        <v>62</v>
      </c>
      <c r="N63" s="924" t="s">
        <v>249</v>
      </c>
      <c r="O63" s="928" t="s">
        <v>729</v>
      </c>
    </row>
    <row r="64" spans="1:17" ht="15.75" thickBot="1" x14ac:dyDescent="0.3">
      <c r="A64" s="930" t="s">
        <v>292</v>
      </c>
      <c r="B64" s="947">
        <v>59.4</v>
      </c>
      <c r="C64" s="948">
        <v>59.3</v>
      </c>
      <c r="D64" s="948">
        <v>60.6</v>
      </c>
      <c r="E64" s="948">
        <v>59.2</v>
      </c>
      <c r="F64" s="948">
        <v>58.1</v>
      </c>
      <c r="G64" s="948">
        <v>59.9</v>
      </c>
      <c r="H64" s="948">
        <v>59.6</v>
      </c>
      <c r="I64" s="948">
        <v>59</v>
      </c>
      <c r="J64" s="948">
        <v>59.6</v>
      </c>
      <c r="K64" s="949">
        <v>59.3</v>
      </c>
      <c r="L64" s="952">
        <f>AVERAGE(B64:K64)</f>
        <v>59.4</v>
      </c>
      <c r="M64" s="944">
        <f>STDEVA(B64:K64)</f>
        <v>0.63944420310836247</v>
      </c>
      <c r="N64" s="945">
        <f>M64/L64*100</f>
        <v>1.0765053924383208</v>
      </c>
      <c r="O64" s="953">
        <f>L64-L58</f>
        <v>58.805999999999997</v>
      </c>
      <c r="P64" s="865"/>
    </row>
    <row r="65" spans="1:16" x14ac:dyDescent="0.25">
      <c r="A65" s="931" t="s">
        <v>285</v>
      </c>
      <c r="B65" s="3210" t="s">
        <v>722</v>
      </c>
      <c r="C65" s="3211"/>
      <c r="D65" s="3211"/>
      <c r="E65" s="3211"/>
      <c r="F65" s="3211"/>
      <c r="G65" s="3211"/>
      <c r="H65" s="3211"/>
      <c r="I65" s="3211"/>
      <c r="J65" s="3211"/>
      <c r="K65" s="3212"/>
      <c r="L65" s="922" t="s">
        <v>248</v>
      </c>
      <c r="M65" s="923" t="s">
        <v>62</v>
      </c>
      <c r="N65" s="924" t="s">
        <v>249</v>
      </c>
      <c r="O65" s="928" t="s">
        <v>729</v>
      </c>
      <c r="P65" s="865"/>
    </row>
    <row r="66" spans="1:16" ht="15.75" thickBot="1" x14ac:dyDescent="0.3">
      <c r="A66" s="930" t="s">
        <v>292</v>
      </c>
      <c r="B66" s="947">
        <v>56.8</v>
      </c>
      <c r="C66" s="948">
        <v>56.5</v>
      </c>
      <c r="D66" s="948">
        <v>59.4</v>
      </c>
      <c r="E66" s="948">
        <v>56.6</v>
      </c>
      <c r="F66" s="948">
        <v>59</v>
      </c>
      <c r="G66" s="948">
        <v>58.1</v>
      </c>
      <c r="H66" s="948">
        <v>58.8</v>
      </c>
      <c r="I66" s="948">
        <v>59.1</v>
      </c>
      <c r="J66" s="948">
        <v>57.6</v>
      </c>
      <c r="K66" s="949">
        <v>58.5</v>
      </c>
      <c r="L66" s="950">
        <f>AVERAGE(B66:K66)</f>
        <v>58.04</v>
      </c>
      <c r="M66" s="937">
        <f>STDEVA(B66:K66)</f>
        <v>1.0986860839708086</v>
      </c>
      <c r="N66" s="938">
        <f>M66/L66*100</f>
        <v>1.8929808476409522</v>
      </c>
      <c r="O66" s="950">
        <f>L66-L58</f>
        <v>57.445999999999998</v>
      </c>
      <c r="P66" s="865"/>
    </row>
    <row r="67" spans="1:16" x14ac:dyDescent="0.25">
      <c r="A67" s="931" t="s">
        <v>285</v>
      </c>
      <c r="B67" s="3210" t="s">
        <v>723</v>
      </c>
      <c r="C67" s="3211"/>
      <c r="D67" s="3211"/>
      <c r="E67" s="3211"/>
      <c r="F67" s="3211"/>
      <c r="G67" s="3211"/>
      <c r="H67" s="3211"/>
      <c r="I67" s="3211"/>
      <c r="J67" s="3211"/>
      <c r="K67" s="3212"/>
      <c r="L67" s="922" t="s">
        <v>248</v>
      </c>
      <c r="M67" s="923" t="s">
        <v>62</v>
      </c>
      <c r="N67" s="924" t="s">
        <v>249</v>
      </c>
      <c r="O67" s="928" t="s">
        <v>729</v>
      </c>
      <c r="P67" s="865"/>
    </row>
    <row r="68" spans="1:16" ht="15.75" thickBot="1" x14ac:dyDescent="0.3">
      <c r="A68" s="930" t="s">
        <v>292</v>
      </c>
      <c r="B68" s="947">
        <v>62.9</v>
      </c>
      <c r="C68" s="948">
        <v>59.7</v>
      </c>
      <c r="D68" s="948">
        <v>61.2</v>
      </c>
      <c r="E68" s="948">
        <v>61.3</v>
      </c>
      <c r="F68" s="948">
        <v>60.1</v>
      </c>
      <c r="G68" s="948">
        <v>59.8</v>
      </c>
      <c r="H68" s="948">
        <v>61.8</v>
      </c>
      <c r="I68" s="948">
        <v>60.4</v>
      </c>
      <c r="J68" s="948">
        <v>61.8</v>
      </c>
      <c r="K68" s="949">
        <v>60.9</v>
      </c>
      <c r="L68" s="950">
        <f>AVERAGE(B68:K68)</f>
        <v>60.989999999999995</v>
      </c>
      <c r="M68" s="937">
        <f>STDEVA(B68:K68)</f>
        <v>1.0181137242742353</v>
      </c>
      <c r="N68" s="938">
        <f>M68/L68*100</f>
        <v>1.6693125500479349</v>
      </c>
      <c r="O68" s="950">
        <f>L68-L58</f>
        <v>60.395999999999994</v>
      </c>
      <c r="P68" s="865"/>
    </row>
    <row r="69" spans="1:16" x14ac:dyDescent="0.25">
      <c r="A69" s="931" t="s">
        <v>285</v>
      </c>
      <c r="B69" s="3210" t="s">
        <v>724</v>
      </c>
      <c r="C69" s="3211"/>
      <c r="D69" s="3211"/>
      <c r="E69" s="3211"/>
      <c r="F69" s="3211"/>
      <c r="G69" s="3211"/>
      <c r="H69" s="3211"/>
      <c r="I69" s="3211"/>
      <c r="J69" s="3211"/>
      <c r="K69" s="3212"/>
      <c r="L69" s="922" t="s">
        <v>248</v>
      </c>
      <c r="M69" s="923" t="s">
        <v>62</v>
      </c>
      <c r="N69" s="924" t="s">
        <v>249</v>
      </c>
      <c r="O69" s="928" t="s">
        <v>729</v>
      </c>
      <c r="P69" s="865"/>
    </row>
    <row r="70" spans="1:16" ht="15.75" thickBot="1" x14ac:dyDescent="0.3">
      <c r="A70" s="930" t="s">
        <v>292</v>
      </c>
      <c r="B70" s="947">
        <v>58</v>
      </c>
      <c r="C70" s="948">
        <v>56.4</v>
      </c>
      <c r="D70" s="948">
        <v>59.4</v>
      </c>
      <c r="E70" s="948">
        <v>58.3</v>
      </c>
      <c r="F70" s="948">
        <v>57.6</v>
      </c>
      <c r="G70" s="948">
        <v>58.5</v>
      </c>
      <c r="H70" s="948">
        <v>59.1</v>
      </c>
      <c r="I70" s="948">
        <v>57.6</v>
      </c>
      <c r="J70" s="948">
        <v>58.1</v>
      </c>
      <c r="K70" s="949">
        <v>57.6</v>
      </c>
      <c r="L70" s="950">
        <f>AVERAGE(B70:K70)</f>
        <v>58.060000000000016</v>
      </c>
      <c r="M70" s="937">
        <f>STDEVA(B70:K70)</f>
        <v>0.85140406910519806</v>
      </c>
      <c r="N70" s="938">
        <f>M70/L70*100</f>
        <v>1.4664210628749532</v>
      </c>
      <c r="O70" s="950">
        <f>L70-L58</f>
        <v>57.466000000000015</v>
      </c>
      <c r="P70" s="865"/>
    </row>
    <row r="71" spans="1:16" x14ac:dyDescent="0.25">
      <c r="A71" s="931" t="s">
        <v>285</v>
      </c>
      <c r="B71" s="3210" t="s">
        <v>725</v>
      </c>
      <c r="C71" s="3211"/>
      <c r="D71" s="3211"/>
      <c r="E71" s="3211"/>
      <c r="F71" s="3211"/>
      <c r="G71" s="3211"/>
      <c r="H71" s="3211"/>
      <c r="I71" s="3211"/>
      <c r="J71" s="3211"/>
      <c r="K71" s="3212"/>
      <c r="L71" s="922" t="s">
        <v>248</v>
      </c>
      <c r="M71" s="923" t="s">
        <v>62</v>
      </c>
      <c r="N71" s="924" t="s">
        <v>249</v>
      </c>
      <c r="O71" s="928" t="s">
        <v>729</v>
      </c>
      <c r="P71" s="865"/>
    </row>
    <row r="72" spans="1:16" ht="15.75" thickBot="1" x14ac:dyDescent="0.3">
      <c r="A72" s="930" t="s">
        <v>292</v>
      </c>
      <c r="B72" s="947">
        <v>60.1</v>
      </c>
      <c r="C72" s="948">
        <v>61.2</v>
      </c>
      <c r="D72" s="948">
        <v>61.6</v>
      </c>
      <c r="E72" s="948">
        <v>62.5</v>
      </c>
      <c r="F72" s="948">
        <v>61</v>
      </c>
      <c r="G72" s="948">
        <v>63.7</v>
      </c>
      <c r="H72" s="948">
        <v>60.9</v>
      </c>
      <c r="I72" s="948">
        <v>61.5</v>
      </c>
      <c r="J72" s="948">
        <v>62.3</v>
      </c>
      <c r="K72" s="949">
        <v>60.2</v>
      </c>
      <c r="L72" s="950">
        <f>AVERAGE(B72:K72)</f>
        <v>61.5</v>
      </c>
      <c r="M72" s="937">
        <f>STDEVA(B72:K72)</f>
        <v>1.0974718422102883</v>
      </c>
      <c r="N72" s="938">
        <f>M72/L72*100</f>
        <v>1.7845070605045339</v>
      </c>
      <c r="O72" s="950">
        <f>L72-L58</f>
        <v>60.905999999999999</v>
      </c>
      <c r="P72" s="865"/>
    </row>
    <row r="73" spans="1:16" x14ac:dyDescent="0.25">
      <c r="A73" s="931" t="s">
        <v>285</v>
      </c>
      <c r="B73" s="3210" t="s">
        <v>726</v>
      </c>
      <c r="C73" s="3211"/>
      <c r="D73" s="3211"/>
      <c r="E73" s="3211"/>
      <c r="F73" s="3211"/>
      <c r="G73" s="3211"/>
      <c r="H73" s="3211"/>
      <c r="I73" s="3211"/>
      <c r="J73" s="3211"/>
      <c r="K73" s="3212"/>
      <c r="L73" s="922" t="s">
        <v>248</v>
      </c>
      <c r="M73" s="923" t="s">
        <v>62</v>
      </c>
      <c r="N73" s="924" t="s">
        <v>249</v>
      </c>
      <c r="O73" s="928" t="s">
        <v>729</v>
      </c>
      <c r="P73" s="865"/>
    </row>
    <row r="74" spans="1:16" ht="15.75" thickBot="1" x14ac:dyDescent="0.3">
      <c r="A74" s="930" t="s">
        <v>292</v>
      </c>
      <c r="B74" s="947">
        <v>57.8</v>
      </c>
      <c r="C74" s="948">
        <v>59.2</v>
      </c>
      <c r="D74" s="948">
        <v>58.7</v>
      </c>
      <c r="E74" s="948">
        <v>57.6</v>
      </c>
      <c r="F74" s="948">
        <v>58.3</v>
      </c>
      <c r="G74" s="948">
        <v>58.9</v>
      </c>
      <c r="H74" s="948">
        <v>60.1</v>
      </c>
      <c r="I74" s="948">
        <v>59.3</v>
      </c>
      <c r="J74" s="948">
        <v>57.7</v>
      </c>
      <c r="K74" s="949">
        <v>60</v>
      </c>
      <c r="L74" s="950">
        <f>AVERAGE(B74:K74)</f>
        <v>58.760000000000005</v>
      </c>
      <c r="M74" s="937">
        <f>STDEVA(B74:K74)</f>
        <v>0.90945649214853108</v>
      </c>
      <c r="N74" s="938">
        <f>M74/L74*100</f>
        <v>1.5477476040648928</v>
      </c>
      <c r="O74" s="954">
        <f>L74-L58</f>
        <v>58.166000000000004</v>
      </c>
      <c r="P74" s="865"/>
    </row>
    <row r="75" spans="1:16" x14ac:dyDescent="0.25">
      <c r="A75" s="931" t="s">
        <v>285</v>
      </c>
      <c r="B75" s="3210" t="s">
        <v>727</v>
      </c>
      <c r="C75" s="3211"/>
      <c r="D75" s="3211"/>
      <c r="E75" s="3211"/>
      <c r="F75" s="3211"/>
      <c r="G75" s="3211"/>
      <c r="H75" s="3211"/>
      <c r="I75" s="3211"/>
      <c r="J75" s="3211"/>
      <c r="K75" s="3212"/>
      <c r="L75" s="922" t="s">
        <v>248</v>
      </c>
      <c r="M75" s="923" t="s">
        <v>62</v>
      </c>
      <c r="N75" s="924" t="s">
        <v>249</v>
      </c>
      <c r="O75" s="928" t="s">
        <v>729</v>
      </c>
      <c r="P75" s="865"/>
    </row>
    <row r="76" spans="1:16" ht="15.75" thickBot="1" x14ac:dyDescent="0.3">
      <c r="A76" s="930" t="s">
        <v>292</v>
      </c>
      <c r="B76" s="947">
        <v>57.6</v>
      </c>
      <c r="C76" s="948">
        <v>55.1</v>
      </c>
      <c r="D76" s="948">
        <v>58.3</v>
      </c>
      <c r="E76" s="948">
        <v>57.1</v>
      </c>
      <c r="F76" s="948">
        <v>56.3</v>
      </c>
      <c r="G76" s="948">
        <v>55.7</v>
      </c>
      <c r="H76" s="948">
        <v>58.3</v>
      </c>
      <c r="I76" s="948">
        <v>58.4</v>
      </c>
      <c r="J76" s="948">
        <v>58.8</v>
      </c>
      <c r="K76" s="949">
        <v>56.7</v>
      </c>
      <c r="L76" s="950">
        <f>AVERAGE(B76:K76)</f>
        <v>57.23</v>
      </c>
      <c r="M76" s="937">
        <f>STDEVA(B76:K76)</f>
        <v>1.2605554331325519</v>
      </c>
      <c r="N76" s="938">
        <f>M76/L76*100</f>
        <v>2.2026130231217054</v>
      </c>
      <c r="O76" s="950">
        <f>L76-L58</f>
        <v>56.635999999999996</v>
      </c>
      <c r="P76" s="865"/>
    </row>
    <row r="77" spans="1:16" ht="15.75" thickBot="1" x14ac:dyDescent="0.3"/>
    <row r="78" spans="1:16" x14ac:dyDescent="0.25">
      <c r="A78" s="3213" t="s">
        <v>179</v>
      </c>
      <c r="B78" s="3213"/>
      <c r="C78" s="916"/>
      <c r="D78" s="917"/>
      <c r="E78" s="917"/>
      <c r="F78" s="917"/>
      <c r="G78" s="917"/>
      <c r="H78" s="917"/>
      <c r="I78" s="917"/>
      <c r="J78" s="917"/>
      <c r="K78" s="918"/>
    </row>
    <row r="79" spans="1:16" ht="15.75" thickBot="1" x14ac:dyDescent="0.3">
      <c r="B79" s="861"/>
      <c r="C79" s="919"/>
      <c r="D79" s="920"/>
      <c r="E79" s="920"/>
      <c r="F79" s="920"/>
      <c r="G79" s="920"/>
      <c r="H79" s="920"/>
      <c r="I79" s="920"/>
      <c r="J79" s="920"/>
      <c r="K79" s="921"/>
      <c r="M79" s="869"/>
    </row>
    <row r="80" spans="1:16" ht="15.75" thickBot="1" x14ac:dyDescent="0.3"/>
    <row r="81" spans="1:15" ht="15.75" thickBot="1" x14ac:dyDescent="0.3">
      <c r="A81" s="3197" t="s">
        <v>774</v>
      </c>
      <c r="B81" s="3198"/>
      <c r="C81" s="3198"/>
      <c r="D81" s="3198"/>
      <c r="E81" s="3198"/>
      <c r="F81" s="3198"/>
      <c r="G81" s="3198"/>
      <c r="H81" s="3198"/>
      <c r="I81" s="3198"/>
      <c r="J81" s="3198"/>
      <c r="K81" s="3198"/>
      <c r="L81" s="3198"/>
      <c r="M81" s="3198"/>
      <c r="N81" s="3198"/>
      <c r="O81" s="3199"/>
    </row>
    <row r="82" spans="1:15" ht="24" customHeight="1" x14ac:dyDescent="0.25">
      <c r="A82" s="867"/>
      <c r="B82" s="867"/>
      <c r="C82" s="868"/>
      <c r="E82" s="868"/>
      <c r="H82" s="869"/>
      <c r="I82" s="866"/>
      <c r="J82" s="866"/>
      <c r="L82" s="866"/>
      <c r="M82" s="866"/>
    </row>
    <row r="83" spans="1:15" x14ac:dyDescent="0.25">
      <c r="A83" s="3214" t="s">
        <v>728</v>
      </c>
      <c r="B83" s="3214"/>
      <c r="C83" s="3214"/>
      <c r="D83" s="3214"/>
      <c r="E83" s="3214"/>
      <c r="F83" s="3214"/>
      <c r="G83" s="3214"/>
      <c r="H83" s="3214"/>
      <c r="I83" s="3214"/>
      <c r="J83" s="3214"/>
      <c r="K83" s="3214"/>
      <c r="L83" s="3214"/>
      <c r="M83" s="3214"/>
      <c r="N83" s="3214"/>
      <c r="O83" s="3214"/>
    </row>
    <row r="84" spans="1:15" ht="15.75" thickBot="1" x14ac:dyDescent="0.3">
      <c r="A84" s="867"/>
      <c r="B84" s="867"/>
      <c r="C84" s="868"/>
      <c r="E84" s="868"/>
      <c r="H84" s="869"/>
      <c r="I84" s="866"/>
      <c r="J84" s="866"/>
      <c r="L84" s="866"/>
      <c r="M84" s="866"/>
    </row>
    <row r="85" spans="1:15" x14ac:dyDescent="0.25">
      <c r="A85" s="867"/>
      <c r="B85" s="867"/>
      <c r="C85" s="868"/>
      <c r="E85" s="3185" t="s">
        <v>730</v>
      </c>
      <c r="F85" s="3186"/>
      <c r="G85" s="3215" t="s">
        <v>733</v>
      </c>
      <c r="H85" s="3216"/>
      <c r="I85" s="3185" t="s">
        <v>735</v>
      </c>
      <c r="J85" s="3186"/>
    </row>
    <row r="86" spans="1:15" x14ac:dyDescent="0.25">
      <c r="A86" s="867"/>
      <c r="B86" s="867"/>
      <c r="C86" s="868"/>
      <c r="E86" s="3187"/>
      <c r="F86" s="3188"/>
      <c r="G86" s="3217"/>
      <c r="H86" s="3218"/>
      <c r="I86" s="3187"/>
      <c r="J86" s="3188"/>
    </row>
    <row r="87" spans="1:15" x14ac:dyDescent="0.25">
      <c r="A87" s="867"/>
      <c r="B87" s="867"/>
      <c r="C87" s="868"/>
      <c r="E87" s="3200">
        <f>ABS(O104-O106)/O104</f>
        <v>9.6422310239594786E-2</v>
      </c>
      <c r="F87" s="3201"/>
      <c r="G87" s="3252">
        <f>ABS(O104-O108)/O104</f>
        <v>4.7615955673874048E-2</v>
      </c>
      <c r="H87" s="3253"/>
      <c r="I87" s="3200">
        <f>ABS(O104-O110)/O104</f>
        <v>7.5428002510659467E-2</v>
      </c>
      <c r="J87" s="3201"/>
    </row>
    <row r="88" spans="1:15" ht="15.75" thickBot="1" x14ac:dyDescent="0.3">
      <c r="A88" s="867"/>
      <c r="B88" s="867"/>
      <c r="C88" s="868"/>
      <c r="E88" s="3202"/>
      <c r="F88" s="3203"/>
      <c r="G88" s="3254"/>
      <c r="H88" s="3255"/>
      <c r="I88" s="3202"/>
      <c r="J88" s="3203"/>
    </row>
    <row r="89" spans="1:15" x14ac:dyDescent="0.25">
      <c r="A89" s="867"/>
      <c r="B89" s="867"/>
      <c r="C89" s="868"/>
      <c r="E89" s="3185" t="s">
        <v>731</v>
      </c>
      <c r="F89" s="3186"/>
      <c r="G89" s="3208" t="s">
        <v>718</v>
      </c>
      <c r="H89" s="3209"/>
      <c r="I89" s="3185" t="s">
        <v>736</v>
      </c>
      <c r="J89" s="3186"/>
    </row>
    <row r="90" spans="1:15" x14ac:dyDescent="0.25">
      <c r="A90" s="867"/>
      <c r="B90" s="867"/>
      <c r="C90" s="868"/>
      <c r="E90" s="3187"/>
      <c r="F90" s="3188"/>
      <c r="G90" s="3189"/>
      <c r="H90" s="3190"/>
      <c r="I90" s="3187"/>
      <c r="J90" s="3188"/>
    </row>
    <row r="91" spans="1:15" x14ac:dyDescent="0.25">
      <c r="A91" s="867"/>
      <c r="B91" s="867"/>
      <c r="C91" s="868"/>
      <c r="E91" s="3200">
        <f>ABS(O104-O112)/O104</f>
        <v>4.4585849403718264E-2</v>
      </c>
      <c r="F91" s="3201"/>
      <c r="G91" s="3189" t="s">
        <v>752</v>
      </c>
      <c r="H91" s="3190"/>
      <c r="I91" s="3200">
        <f>ABS(O104-O114)/O104</f>
        <v>8.7656645672358868E-2</v>
      </c>
      <c r="J91" s="3201"/>
    </row>
    <row r="92" spans="1:15" ht="15.75" thickBot="1" x14ac:dyDescent="0.3">
      <c r="A92" s="867"/>
      <c r="B92" s="867"/>
      <c r="C92" s="868"/>
      <c r="E92" s="3202"/>
      <c r="F92" s="3203"/>
      <c r="G92" s="3191"/>
      <c r="H92" s="3192"/>
      <c r="I92" s="3202"/>
      <c r="J92" s="3203"/>
    </row>
    <row r="93" spans="1:15" x14ac:dyDescent="0.25">
      <c r="A93" s="867"/>
      <c r="B93" s="867"/>
      <c r="C93" s="868"/>
      <c r="E93" s="3185" t="s">
        <v>732</v>
      </c>
      <c r="F93" s="3186"/>
      <c r="G93" s="3232" t="s">
        <v>734</v>
      </c>
      <c r="H93" s="3186"/>
      <c r="I93" s="3204" t="s">
        <v>737</v>
      </c>
      <c r="J93" s="3205"/>
    </row>
    <row r="94" spans="1:15" x14ac:dyDescent="0.25">
      <c r="A94" s="867"/>
      <c r="B94" s="867"/>
      <c r="C94" s="868"/>
      <c r="E94" s="3187"/>
      <c r="F94" s="3188"/>
      <c r="G94" s="3187"/>
      <c r="H94" s="3188"/>
      <c r="I94" s="3206"/>
      <c r="J94" s="3207"/>
    </row>
    <row r="95" spans="1:15" x14ac:dyDescent="0.25">
      <c r="A95" s="867"/>
      <c r="B95" s="867"/>
      <c r="C95" s="868"/>
      <c r="E95" s="3200">
        <f>ABS(O104-O116)/O104</f>
        <v>1.4825877107547177E-2</v>
      </c>
      <c r="F95" s="3201"/>
      <c r="G95" s="3200">
        <f>ABS(O104-O118)/O104</f>
        <v>7.2506114321581033E-3</v>
      </c>
      <c r="H95" s="3201"/>
      <c r="I95" s="3228">
        <f>ABS(O104-O120)/O104</f>
        <v>0.11308789472545075</v>
      </c>
      <c r="J95" s="3229"/>
    </row>
    <row r="96" spans="1:15" ht="15.75" thickBot="1" x14ac:dyDescent="0.3">
      <c r="A96" s="867"/>
      <c r="B96" s="867"/>
      <c r="C96" s="868"/>
      <c r="E96" s="3202"/>
      <c r="F96" s="3203"/>
      <c r="G96" s="3202"/>
      <c r="H96" s="3203"/>
      <c r="I96" s="3230"/>
      <c r="J96" s="3231"/>
    </row>
    <row r="97" spans="1:17" x14ac:dyDescent="0.25">
      <c r="A97" s="867"/>
      <c r="B97" s="867"/>
      <c r="C97" s="868"/>
      <c r="E97" s="868"/>
      <c r="H97" s="869"/>
      <c r="I97" s="866"/>
      <c r="J97" s="866"/>
      <c r="L97" s="866"/>
      <c r="M97" s="866"/>
    </row>
    <row r="98" spans="1:17" x14ac:dyDescent="0.25">
      <c r="A98" s="867"/>
      <c r="B98" s="867"/>
      <c r="C98" s="868"/>
      <c r="E98" s="868"/>
      <c r="G98" s="879"/>
      <c r="H98" s="869"/>
      <c r="I98" s="866"/>
      <c r="J98" s="866"/>
      <c r="L98" s="866"/>
      <c r="M98" s="866"/>
    </row>
    <row r="99" spans="1:17" ht="15.75" thickBot="1" x14ac:dyDescent="0.3">
      <c r="A99" s="867"/>
      <c r="B99" s="867"/>
      <c r="C99" s="868"/>
      <c r="E99" s="868"/>
      <c r="L99" s="866"/>
      <c r="M99" s="866"/>
    </row>
    <row r="100" spans="1:17" ht="15.75" thickBot="1" x14ac:dyDescent="0.3">
      <c r="A100" s="925" t="s">
        <v>247</v>
      </c>
      <c r="B100" s="867"/>
      <c r="C100" s="868"/>
      <c r="E100" s="868"/>
      <c r="L100" s="866"/>
      <c r="M100" s="866"/>
    </row>
    <row r="101" spans="1:17" x14ac:dyDescent="0.25">
      <c r="A101" s="929" t="s">
        <v>291</v>
      </c>
      <c r="B101" s="3210" t="s">
        <v>717</v>
      </c>
      <c r="C101" s="3211"/>
      <c r="D101" s="3211"/>
      <c r="E101" s="3211"/>
      <c r="F101" s="3211"/>
      <c r="G101" s="3211"/>
      <c r="H101" s="3211"/>
      <c r="I101" s="3211"/>
      <c r="J101" s="3211"/>
      <c r="K101" s="3212"/>
      <c r="L101" s="922" t="s">
        <v>248</v>
      </c>
      <c r="M101" s="923" t="s">
        <v>62</v>
      </c>
      <c r="N101" s="924" t="s">
        <v>249</v>
      </c>
      <c r="O101" s="928" t="s">
        <v>729</v>
      </c>
    </row>
    <row r="102" spans="1:17" ht="15.75" thickBot="1" x14ac:dyDescent="0.3">
      <c r="A102" s="930" t="s">
        <v>292</v>
      </c>
      <c r="B102" s="926">
        <v>0.7</v>
      </c>
      <c r="C102" s="932">
        <v>0.73</v>
      </c>
      <c r="D102" s="932">
        <v>0.33</v>
      </c>
      <c r="E102" s="932">
        <v>0.7</v>
      </c>
      <c r="F102" s="932">
        <v>0.53</v>
      </c>
      <c r="G102" s="932">
        <v>0.73</v>
      </c>
      <c r="H102" s="932">
        <v>0.63</v>
      </c>
      <c r="I102" s="932">
        <v>0.53</v>
      </c>
      <c r="J102" s="932">
        <v>0.63</v>
      </c>
      <c r="K102" s="933">
        <v>0.43</v>
      </c>
      <c r="L102" s="940">
        <f>AVERAGE(B102:K102)</f>
        <v>0.59400000000000008</v>
      </c>
      <c r="M102" s="937">
        <f>STDEVA(B102:K102)</f>
        <v>0.13615350813613908</v>
      </c>
      <c r="N102" s="938">
        <f>M102/L102*100</f>
        <v>22.921466016185025</v>
      </c>
      <c r="O102" s="941" t="s">
        <v>93</v>
      </c>
    </row>
    <row r="103" spans="1:17" x14ac:dyDescent="0.25">
      <c r="A103" s="931" t="s">
        <v>290</v>
      </c>
      <c r="B103" s="3219" t="s">
        <v>719</v>
      </c>
      <c r="C103" s="3220"/>
      <c r="D103" s="3220"/>
      <c r="E103" s="3220"/>
      <c r="F103" s="3220"/>
      <c r="G103" s="3220"/>
      <c r="H103" s="3220"/>
      <c r="I103" s="3220"/>
      <c r="J103" s="3220"/>
      <c r="K103" s="3221"/>
      <c r="L103" s="922" t="s">
        <v>248</v>
      </c>
      <c r="M103" s="923" t="s">
        <v>62</v>
      </c>
      <c r="N103" s="924" t="s">
        <v>249</v>
      </c>
      <c r="O103" s="928" t="s">
        <v>729</v>
      </c>
      <c r="P103" s="865"/>
    </row>
    <row r="104" spans="1:17" ht="15.75" thickBot="1" x14ac:dyDescent="0.3">
      <c r="A104" s="930" t="s">
        <v>292</v>
      </c>
      <c r="B104" s="947">
        <v>91.2</v>
      </c>
      <c r="C104" s="948">
        <v>93.4</v>
      </c>
      <c r="D104" s="948">
        <v>97</v>
      </c>
      <c r="E104" s="948">
        <v>93.7</v>
      </c>
      <c r="F104" s="948">
        <v>90.9</v>
      </c>
      <c r="G104" s="948">
        <v>91.3</v>
      </c>
      <c r="H104" s="948">
        <v>88.4</v>
      </c>
      <c r="I104" s="948">
        <v>93.8</v>
      </c>
      <c r="J104" s="948">
        <v>93.7</v>
      </c>
      <c r="K104" s="949">
        <v>96.6</v>
      </c>
      <c r="L104" s="936">
        <f>AVERAGE(B104:K104)</f>
        <v>93</v>
      </c>
      <c r="M104" s="937">
        <f>STDEVA(B104:K104)</f>
        <v>2.6339661686851188</v>
      </c>
      <c r="N104" s="938">
        <f>M104/L104*100</f>
        <v>2.8322216867581922</v>
      </c>
      <c r="O104" s="936">
        <f>L104-L102</f>
        <v>92.406000000000006</v>
      </c>
      <c r="P104" s="865"/>
    </row>
    <row r="105" spans="1:17" x14ac:dyDescent="0.25">
      <c r="A105" s="931" t="s">
        <v>290</v>
      </c>
      <c r="B105" s="3210" t="s">
        <v>720</v>
      </c>
      <c r="C105" s="3211"/>
      <c r="D105" s="3211"/>
      <c r="E105" s="3211"/>
      <c r="F105" s="3211"/>
      <c r="G105" s="3211"/>
      <c r="H105" s="3211"/>
      <c r="I105" s="3211"/>
      <c r="J105" s="3211"/>
      <c r="K105" s="3212"/>
      <c r="L105" s="922" t="s">
        <v>248</v>
      </c>
      <c r="M105" s="923" t="s">
        <v>62</v>
      </c>
      <c r="N105" s="924" t="s">
        <v>249</v>
      </c>
      <c r="O105" s="928" t="s">
        <v>729</v>
      </c>
    </row>
    <row r="106" spans="1:17" ht="15.75" thickBot="1" x14ac:dyDescent="0.3">
      <c r="A106" s="930" t="s">
        <v>292</v>
      </c>
      <c r="B106" s="947">
        <v>83</v>
      </c>
      <c r="C106" s="948">
        <v>84.5</v>
      </c>
      <c r="D106" s="948">
        <v>83.3</v>
      </c>
      <c r="E106" s="948">
        <v>82.5</v>
      </c>
      <c r="F106" s="948">
        <v>85</v>
      </c>
      <c r="G106" s="948">
        <v>82.5</v>
      </c>
      <c r="H106" s="948">
        <v>84.3</v>
      </c>
      <c r="I106" s="948">
        <v>88.2</v>
      </c>
      <c r="J106" s="948">
        <v>82.8</v>
      </c>
      <c r="K106" s="949">
        <v>84.8</v>
      </c>
      <c r="L106" s="936">
        <f>AVERAGE(B106:K106)</f>
        <v>84.09</v>
      </c>
      <c r="M106" s="937">
        <f>STDEVA(B106:K106)</f>
        <v>1.7310561965330757</v>
      </c>
      <c r="N106" s="938">
        <f>M106/L106*100</f>
        <v>2.0585755696671133</v>
      </c>
      <c r="O106" s="942">
        <f>L106-L102</f>
        <v>83.496000000000009</v>
      </c>
      <c r="P106" s="865"/>
      <c r="Q106" s="865"/>
    </row>
    <row r="107" spans="1:17" x14ac:dyDescent="0.25">
      <c r="A107" s="931" t="s">
        <v>290</v>
      </c>
      <c r="B107" s="3210" t="s">
        <v>721</v>
      </c>
      <c r="C107" s="3211"/>
      <c r="D107" s="3211"/>
      <c r="E107" s="3211"/>
      <c r="F107" s="3211"/>
      <c r="G107" s="3211"/>
      <c r="H107" s="3211"/>
      <c r="I107" s="3211"/>
      <c r="J107" s="3211"/>
      <c r="K107" s="3212"/>
      <c r="L107" s="922" t="s">
        <v>248</v>
      </c>
      <c r="M107" s="923" t="s">
        <v>62</v>
      </c>
      <c r="N107" s="924" t="s">
        <v>249</v>
      </c>
      <c r="O107" s="928" t="s">
        <v>729</v>
      </c>
    </row>
    <row r="108" spans="1:17" ht="15.75" thickBot="1" x14ac:dyDescent="0.3">
      <c r="A108" s="930" t="s">
        <v>292</v>
      </c>
      <c r="B108" s="947">
        <v>87.3</v>
      </c>
      <c r="C108" s="948">
        <v>88.8</v>
      </c>
      <c r="D108" s="948">
        <v>87.5</v>
      </c>
      <c r="E108" s="948">
        <v>85.8</v>
      </c>
      <c r="F108" s="948">
        <v>84.2</v>
      </c>
      <c r="G108" s="948">
        <v>89.9</v>
      </c>
      <c r="H108" s="948">
        <v>90.3</v>
      </c>
      <c r="I108" s="948">
        <v>91.5</v>
      </c>
      <c r="J108" s="948">
        <v>89.6</v>
      </c>
      <c r="K108" s="949">
        <v>91.1</v>
      </c>
      <c r="L108" s="943">
        <f>AVERAGE(B108:K108)</f>
        <v>88.6</v>
      </c>
      <c r="M108" s="944">
        <f>STDEVA(B108:K108)</f>
        <v>2.3659623365087139</v>
      </c>
      <c r="N108" s="945">
        <f>M108/L108*100</f>
        <v>2.6703863843213478</v>
      </c>
      <c r="O108" s="946">
        <f>L108-L102</f>
        <v>88.006</v>
      </c>
      <c r="P108" s="865"/>
    </row>
    <row r="109" spans="1:17" x14ac:dyDescent="0.25">
      <c r="A109" s="931" t="s">
        <v>290</v>
      </c>
      <c r="B109" s="3210" t="s">
        <v>722</v>
      </c>
      <c r="C109" s="3211"/>
      <c r="D109" s="3211"/>
      <c r="E109" s="3211"/>
      <c r="F109" s="3211"/>
      <c r="G109" s="3211"/>
      <c r="H109" s="3211"/>
      <c r="I109" s="3211"/>
      <c r="J109" s="3211"/>
      <c r="K109" s="3212"/>
      <c r="L109" s="922" t="s">
        <v>248</v>
      </c>
      <c r="M109" s="923" t="s">
        <v>62</v>
      </c>
      <c r="N109" s="924" t="s">
        <v>249</v>
      </c>
      <c r="O109" s="928" t="s">
        <v>729</v>
      </c>
      <c r="P109" s="865"/>
    </row>
    <row r="110" spans="1:17" ht="15.75" thickBot="1" x14ac:dyDescent="0.3">
      <c r="A110" s="930" t="s">
        <v>292</v>
      </c>
      <c r="B110" s="947">
        <v>85.1</v>
      </c>
      <c r="C110" s="948">
        <v>88.1</v>
      </c>
      <c r="D110" s="948">
        <v>91.8</v>
      </c>
      <c r="E110" s="948">
        <v>83.4</v>
      </c>
      <c r="F110" s="948">
        <v>86.6</v>
      </c>
      <c r="G110" s="948">
        <v>84.3</v>
      </c>
      <c r="H110" s="948">
        <v>85.2</v>
      </c>
      <c r="I110" s="948">
        <v>86.8</v>
      </c>
      <c r="J110" s="948">
        <v>84.3</v>
      </c>
      <c r="K110" s="949">
        <v>84.7</v>
      </c>
      <c r="L110" s="936">
        <f>AVERAGE(B110:K110)</f>
        <v>86.03</v>
      </c>
      <c r="M110" s="937">
        <f>STDEVA(B110:K110)</f>
        <v>2.4657881318375878</v>
      </c>
      <c r="N110" s="938">
        <f>M110/L110*100</f>
        <v>2.8661956664391348</v>
      </c>
      <c r="O110" s="936">
        <f>L110-L102</f>
        <v>85.436000000000007</v>
      </c>
      <c r="P110" s="865"/>
    </row>
    <row r="111" spans="1:17" x14ac:dyDescent="0.25">
      <c r="A111" s="931" t="s">
        <v>290</v>
      </c>
      <c r="B111" s="3210" t="s">
        <v>723</v>
      </c>
      <c r="C111" s="3211"/>
      <c r="D111" s="3211"/>
      <c r="E111" s="3211"/>
      <c r="F111" s="3211"/>
      <c r="G111" s="3211"/>
      <c r="H111" s="3211"/>
      <c r="I111" s="3211"/>
      <c r="J111" s="3211"/>
      <c r="K111" s="3212"/>
      <c r="L111" s="922" t="s">
        <v>248</v>
      </c>
      <c r="M111" s="923" t="s">
        <v>62</v>
      </c>
      <c r="N111" s="924" t="s">
        <v>249</v>
      </c>
      <c r="O111" s="928" t="s">
        <v>729</v>
      </c>
      <c r="P111" s="865"/>
    </row>
    <row r="112" spans="1:17" ht="15.75" thickBot="1" x14ac:dyDescent="0.3">
      <c r="A112" s="930" t="s">
        <v>292</v>
      </c>
      <c r="B112" s="947">
        <v>84.5</v>
      </c>
      <c r="C112" s="948">
        <v>85.3</v>
      </c>
      <c r="D112" s="948">
        <v>85</v>
      </c>
      <c r="E112" s="948">
        <v>87.1</v>
      </c>
      <c r="F112" s="948">
        <v>92</v>
      </c>
      <c r="G112" s="948">
        <v>90.2</v>
      </c>
      <c r="H112" s="948">
        <v>94.2</v>
      </c>
      <c r="I112" s="948">
        <v>88.8</v>
      </c>
      <c r="J112" s="948">
        <v>91</v>
      </c>
      <c r="K112" s="949">
        <v>90.7</v>
      </c>
      <c r="L112" s="936">
        <f>AVERAGE(B112:K112)</f>
        <v>88.88000000000001</v>
      </c>
      <c r="M112" s="937">
        <f>STDEVA(B112:K112)</f>
        <v>3.2967323889640263</v>
      </c>
      <c r="N112" s="938">
        <f>M112/L112*100</f>
        <v>3.7091948570702362</v>
      </c>
      <c r="O112" s="936">
        <f>L112-L102</f>
        <v>88.286000000000016</v>
      </c>
      <c r="P112" s="865"/>
    </row>
    <row r="113" spans="1:16" x14ac:dyDescent="0.25">
      <c r="A113" s="931" t="s">
        <v>290</v>
      </c>
      <c r="B113" s="3210" t="s">
        <v>724</v>
      </c>
      <c r="C113" s="3211"/>
      <c r="D113" s="3211"/>
      <c r="E113" s="3211"/>
      <c r="F113" s="3211"/>
      <c r="G113" s="3211"/>
      <c r="H113" s="3211"/>
      <c r="I113" s="3211"/>
      <c r="J113" s="3211"/>
      <c r="K113" s="3212"/>
      <c r="L113" s="922" t="s">
        <v>248</v>
      </c>
      <c r="M113" s="923" t="s">
        <v>62</v>
      </c>
      <c r="N113" s="924" t="s">
        <v>249</v>
      </c>
      <c r="O113" s="928" t="s">
        <v>729</v>
      </c>
      <c r="P113" s="865"/>
    </row>
    <row r="114" spans="1:16" ht="15.75" thickBot="1" x14ac:dyDescent="0.3">
      <c r="A114" s="930" t="s">
        <v>292</v>
      </c>
      <c r="B114" s="947">
        <v>84.6</v>
      </c>
      <c r="C114" s="948">
        <v>82.7</v>
      </c>
      <c r="D114" s="948">
        <v>84.8</v>
      </c>
      <c r="E114" s="948">
        <v>86</v>
      </c>
      <c r="F114" s="948">
        <v>89.1</v>
      </c>
      <c r="G114" s="948">
        <v>83.6</v>
      </c>
      <c r="H114" s="948">
        <v>82.4</v>
      </c>
      <c r="I114" s="948">
        <v>86.8</v>
      </c>
      <c r="J114" s="948">
        <v>83</v>
      </c>
      <c r="K114" s="949">
        <v>86</v>
      </c>
      <c r="L114" s="936">
        <f>AVERAGE(B114:K114)</f>
        <v>84.9</v>
      </c>
      <c r="M114" s="937">
        <f>STDEVA(B114:K114)</f>
        <v>2.1123972690339792</v>
      </c>
      <c r="N114" s="938">
        <f>M114/L114*100</f>
        <v>2.4881004346689979</v>
      </c>
      <c r="O114" s="936">
        <f>L114-L102</f>
        <v>84.306000000000012</v>
      </c>
      <c r="P114" s="865"/>
    </row>
    <row r="115" spans="1:16" x14ac:dyDescent="0.25">
      <c r="A115" s="931" t="s">
        <v>290</v>
      </c>
      <c r="B115" s="3210" t="s">
        <v>725</v>
      </c>
      <c r="C115" s="3211"/>
      <c r="D115" s="3211"/>
      <c r="E115" s="3211"/>
      <c r="F115" s="3211"/>
      <c r="G115" s="3211"/>
      <c r="H115" s="3211"/>
      <c r="I115" s="3211"/>
      <c r="J115" s="3211"/>
      <c r="K115" s="3212"/>
      <c r="L115" s="922" t="s">
        <v>248</v>
      </c>
      <c r="M115" s="923" t="s">
        <v>62</v>
      </c>
      <c r="N115" s="924" t="s">
        <v>249</v>
      </c>
      <c r="O115" s="928" t="s">
        <v>729</v>
      </c>
      <c r="P115" s="865"/>
    </row>
    <row r="116" spans="1:16" ht="15.75" thickBot="1" x14ac:dyDescent="0.3">
      <c r="A116" s="930" t="s">
        <v>292</v>
      </c>
      <c r="B116" s="947">
        <v>90.8</v>
      </c>
      <c r="C116" s="948">
        <v>90.2</v>
      </c>
      <c r="D116" s="948">
        <v>93.5</v>
      </c>
      <c r="E116" s="948">
        <v>91.7</v>
      </c>
      <c r="F116" s="948">
        <v>90</v>
      </c>
      <c r="G116" s="948">
        <v>89.1</v>
      </c>
      <c r="H116" s="948">
        <v>93.1</v>
      </c>
      <c r="I116" s="948">
        <v>96</v>
      </c>
      <c r="J116" s="948">
        <v>89.5</v>
      </c>
      <c r="K116" s="949">
        <v>92.4</v>
      </c>
      <c r="L116" s="936">
        <f>AVERAGE(B116:K116)</f>
        <v>91.63</v>
      </c>
      <c r="M116" s="937">
        <f>STDEVA(B116:K116)</f>
        <v>2.1520274678131375</v>
      </c>
      <c r="N116" s="938">
        <f>M116/L116*100</f>
        <v>2.3486057708317554</v>
      </c>
      <c r="O116" s="936">
        <f>L116-L102</f>
        <v>91.036000000000001</v>
      </c>
      <c r="P116" s="865"/>
    </row>
    <row r="117" spans="1:16" x14ac:dyDescent="0.25">
      <c r="A117" s="931" t="s">
        <v>290</v>
      </c>
      <c r="B117" s="3210" t="s">
        <v>726</v>
      </c>
      <c r="C117" s="3211"/>
      <c r="D117" s="3211"/>
      <c r="E117" s="3211"/>
      <c r="F117" s="3211"/>
      <c r="G117" s="3211"/>
      <c r="H117" s="3211"/>
      <c r="I117" s="3211"/>
      <c r="J117" s="3211"/>
      <c r="K117" s="3212"/>
      <c r="L117" s="922" t="s">
        <v>248</v>
      </c>
      <c r="M117" s="923" t="s">
        <v>62</v>
      </c>
      <c r="N117" s="924" t="s">
        <v>249</v>
      </c>
      <c r="O117" s="928" t="s">
        <v>729</v>
      </c>
      <c r="P117" s="865"/>
    </row>
    <row r="118" spans="1:16" ht="15.75" thickBot="1" x14ac:dyDescent="0.3">
      <c r="A118" s="930" t="s">
        <v>292</v>
      </c>
      <c r="B118" s="947">
        <v>91.4</v>
      </c>
      <c r="C118" s="948">
        <v>88.6</v>
      </c>
      <c r="D118" s="948">
        <v>88</v>
      </c>
      <c r="E118" s="948">
        <v>94.4</v>
      </c>
      <c r="F118" s="948">
        <v>91.5</v>
      </c>
      <c r="G118" s="948">
        <v>92.3</v>
      </c>
      <c r="H118" s="948">
        <v>92.6</v>
      </c>
      <c r="I118" s="948">
        <v>91.7</v>
      </c>
      <c r="J118" s="948">
        <v>95.8</v>
      </c>
      <c r="K118" s="949">
        <v>97</v>
      </c>
      <c r="L118" s="936">
        <f>AVERAGE(B118:K118)</f>
        <v>92.33</v>
      </c>
      <c r="M118" s="937">
        <f>STDEVA(B118:K118)</f>
        <v>2.8445073777760226</v>
      </c>
      <c r="N118" s="938">
        <f>M118/L118*100</f>
        <v>3.0808051313506146</v>
      </c>
      <c r="O118" s="939">
        <f>L118-L102</f>
        <v>91.736000000000004</v>
      </c>
      <c r="P118" s="865"/>
    </row>
    <row r="119" spans="1:16" x14ac:dyDescent="0.25">
      <c r="A119" s="931" t="s">
        <v>290</v>
      </c>
      <c r="B119" s="3210" t="s">
        <v>727</v>
      </c>
      <c r="C119" s="3211"/>
      <c r="D119" s="3211"/>
      <c r="E119" s="3211"/>
      <c r="F119" s="3211"/>
      <c r="G119" s="3211"/>
      <c r="H119" s="3211"/>
      <c r="I119" s="3211"/>
      <c r="J119" s="3211"/>
      <c r="K119" s="3212"/>
      <c r="L119" s="922" t="s">
        <v>248</v>
      </c>
      <c r="M119" s="923" t="s">
        <v>62</v>
      </c>
      <c r="N119" s="924" t="s">
        <v>249</v>
      </c>
      <c r="O119" s="928" t="s">
        <v>729</v>
      </c>
      <c r="P119" s="865"/>
    </row>
    <row r="120" spans="1:16" ht="15.75" thickBot="1" x14ac:dyDescent="0.3">
      <c r="A120" s="930" t="s">
        <v>292</v>
      </c>
      <c r="B120" s="947">
        <v>82.5</v>
      </c>
      <c r="C120" s="948">
        <v>81.099999999999994</v>
      </c>
      <c r="D120" s="948">
        <v>81.2</v>
      </c>
      <c r="E120" s="948">
        <v>82.9</v>
      </c>
      <c r="F120" s="948">
        <v>81.8</v>
      </c>
      <c r="G120" s="948">
        <v>80.400000000000006</v>
      </c>
      <c r="H120" s="948">
        <v>81.8</v>
      </c>
      <c r="I120" s="948">
        <v>89.3</v>
      </c>
      <c r="J120" s="948">
        <v>80.7</v>
      </c>
      <c r="K120" s="949">
        <v>83.8</v>
      </c>
      <c r="L120" s="936">
        <f>AVERAGE(B120:K120)</f>
        <v>82.55</v>
      </c>
      <c r="M120" s="937">
        <f>STDEVA(B120:K120)</f>
        <v>2.5894014752448089</v>
      </c>
      <c r="N120" s="938">
        <f>M120/L120*100</f>
        <v>3.1367673837005561</v>
      </c>
      <c r="O120" s="936">
        <f>L120-L102</f>
        <v>81.956000000000003</v>
      </c>
      <c r="P120" s="865"/>
    </row>
    <row r="121" spans="1:16" ht="15.75" thickBot="1" x14ac:dyDescent="0.3"/>
    <row r="122" spans="1:16" x14ac:dyDescent="0.25">
      <c r="A122" s="3213" t="s">
        <v>179</v>
      </c>
      <c r="B122" s="3213"/>
      <c r="C122" s="916"/>
      <c r="D122" s="917"/>
      <c r="E122" s="917"/>
      <c r="F122" s="917"/>
      <c r="G122" s="917"/>
      <c r="H122" s="917"/>
      <c r="I122" s="917"/>
      <c r="J122" s="917"/>
      <c r="K122" s="918"/>
    </row>
    <row r="123" spans="1:16" ht="15.75" thickBot="1" x14ac:dyDescent="0.3">
      <c r="B123" s="861"/>
      <c r="C123" s="919"/>
      <c r="D123" s="920"/>
      <c r="E123" s="920"/>
      <c r="F123" s="920"/>
      <c r="G123" s="920"/>
      <c r="H123" s="920"/>
      <c r="I123" s="920"/>
      <c r="J123" s="920"/>
      <c r="K123" s="921"/>
      <c r="M123" s="869"/>
    </row>
    <row r="124" spans="1:16" ht="15.75" thickBot="1" x14ac:dyDescent="0.3"/>
    <row r="125" spans="1:16" ht="15.75" thickBot="1" x14ac:dyDescent="0.3">
      <c r="A125" s="3197" t="s">
        <v>771</v>
      </c>
      <c r="B125" s="3198"/>
      <c r="C125" s="3198"/>
      <c r="D125" s="3198"/>
      <c r="E125" s="3198"/>
      <c r="F125" s="3198"/>
      <c r="G125" s="3198"/>
      <c r="H125" s="3198"/>
      <c r="I125" s="3198"/>
      <c r="J125" s="3198"/>
      <c r="K125" s="3198"/>
      <c r="L125" s="3198"/>
      <c r="M125" s="3198"/>
      <c r="N125" s="3198"/>
      <c r="O125" s="3199"/>
    </row>
    <row r="126" spans="1:16" ht="24" customHeight="1" x14ac:dyDescent="0.25">
      <c r="A126" s="867"/>
      <c r="B126" s="867"/>
      <c r="C126" s="868"/>
      <c r="E126" s="868"/>
      <c r="H126" s="869"/>
      <c r="I126" s="866"/>
      <c r="J126" s="866"/>
      <c r="L126" s="866"/>
      <c r="M126" s="866"/>
    </row>
    <row r="127" spans="1:16" x14ac:dyDescent="0.25">
      <c r="A127" s="3214" t="s">
        <v>728</v>
      </c>
      <c r="B127" s="3214"/>
      <c r="C127" s="3214"/>
      <c r="D127" s="3214"/>
      <c r="E127" s="3214"/>
      <c r="F127" s="3214"/>
      <c r="G127" s="3214"/>
      <c r="H127" s="3214"/>
      <c r="I127" s="3214"/>
      <c r="J127" s="3214"/>
      <c r="K127" s="3214"/>
      <c r="L127" s="3214"/>
      <c r="M127" s="3214"/>
      <c r="N127" s="3214"/>
      <c r="O127" s="3214"/>
    </row>
    <row r="128" spans="1:16" ht="15.75" thickBot="1" x14ac:dyDescent="0.3">
      <c r="A128" s="867"/>
      <c r="B128" s="867"/>
      <c r="C128" s="868"/>
      <c r="E128" s="868"/>
      <c r="H128" s="869"/>
      <c r="I128" s="866"/>
      <c r="J128" s="866"/>
      <c r="L128" s="866"/>
      <c r="M128" s="866"/>
    </row>
    <row r="129" spans="1:13" x14ac:dyDescent="0.25">
      <c r="A129" s="867"/>
      <c r="B129" s="867"/>
      <c r="C129" s="868"/>
      <c r="E129" s="3185" t="s">
        <v>730</v>
      </c>
      <c r="F129" s="3186"/>
      <c r="G129" s="3204" t="s">
        <v>733</v>
      </c>
      <c r="H129" s="3205"/>
      <c r="I129" s="3185" t="s">
        <v>735</v>
      </c>
      <c r="J129" s="3186"/>
    </row>
    <row r="130" spans="1:13" x14ac:dyDescent="0.25">
      <c r="A130" s="867"/>
      <c r="B130" s="867"/>
      <c r="C130" s="868"/>
      <c r="E130" s="3187"/>
      <c r="F130" s="3188"/>
      <c r="G130" s="3206"/>
      <c r="H130" s="3207"/>
      <c r="I130" s="3187"/>
      <c r="J130" s="3188"/>
    </row>
    <row r="131" spans="1:13" x14ac:dyDescent="0.25">
      <c r="A131" s="867"/>
      <c r="B131" s="867"/>
      <c r="C131" s="868"/>
      <c r="E131" s="3200">
        <f>ABS(O148-O150)/O148</f>
        <v>2.5897698804477686E-2</v>
      </c>
      <c r="F131" s="3201"/>
      <c r="G131" s="3228">
        <f>ABS(O148-O152)/O148</f>
        <v>4.7038677420377817E-2</v>
      </c>
      <c r="H131" s="3229"/>
      <c r="I131" s="3200">
        <f>ABS(O148-O154)/O148</f>
        <v>2.6426223269875159E-2</v>
      </c>
      <c r="J131" s="3201"/>
    </row>
    <row r="132" spans="1:13" ht="15.75" thickBot="1" x14ac:dyDescent="0.3">
      <c r="A132" s="867"/>
      <c r="B132" s="867"/>
      <c r="C132" s="868"/>
      <c r="E132" s="3202"/>
      <c r="F132" s="3203"/>
      <c r="G132" s="3230"/>
      <c r="H132" s="3231"/>
      <c r="I132" s="3202"/>
      <c r="J132" s="3203"/>
    </row>
    <row r="133" spans="1:13" x14ac:dyDescent="0.25">
      <c r="A133" s="867"/>
      <c r="B133" s="867"/>
      <c r="C133" s="868"/>
      <c r="E133" s="3185" t="s">
        <v>731</v>
      </c>
      <c r="F133" s="3186"/>
      <c r="G133" s="3208" t="s">
        <v>718</v>
      </c>
      <c r="H133" s="3209"/>
      <c r="I133" s="3185" t="s">
        <v>736</v>
      </c>
      <c r="J133" s="3186"/>
    </row>
    <row r="134" spans="1:13" x14ac:dyDescent="0.25">
      <c r="A134" s="867"/>
      <c r="B134" s="867"/>
      <c r="C134" s="868"/>
      <c r="E134" s="3187"/>
      <c r="F134" s="3188"/>
      <c r="G134" s="3189"/>
      <c r="H134" s="3190"/>
      <c r="I134" s="3187"/>
      <c r="J134" s="3188"/>
    </row>
    <row r="135" spans="1:13" x14ac:dyDescent="0.25">
      <c r="A135" s="867"/>
      <c r="B135" s="867"/>
      <c r="C135" s="868"/>
      <c r="E135" s="3200">
        <f>ABS(O148-O156)/O148</f>
        <v>9.5134403771551176E-3</v>
      </c>
      <c r="F135" s="3201"/>
      <c r="G135" s="3189" t="s">
        <v>752</v>
      </c>
      <c r="H135" s="3190"/>
      <c r="I135" s="3200">
        <f>ABS(O148-O158)/O148</f>
        <v>1.9026880754310086E-2</v>
      </c>
      <c r="J135" s="3201"/>
    </row>
    <row r="136" spans="1:13" ht="15.75" thickBot="1" x14ac:dyDescent="0.3">
      <c r="A136" s="867"/>
      <c r="B136" s="867"/>
      <c r="C136" s="868"/>
      <c r="E136" s="3202"/>
      <c r="F136" s="3203"/>
      <c r="G136" s="3191"/>
      <c r="H136" s="3192"/>
      <c r="I136" s="3202"/>
      <c r="J136" s="3203"/>
    </row>
    <row r="137" spans="1:13" x14ac:dyDescent="0.25">
      <c r="A137" s="867"/>
      <c r="B137" s="867"/>
      <c r="C137" s="868"/>
      <c r="E137" s="3185" t="s">
        <v>732</v>
      </c>
      <c r="F137" s="3186"/>
      <c r="G137" s="3185" t="s">
        <v>734</v>
      </c>
      <c r="H137" s="3186"/>
      <c r="I137" s="3185" t="s">
        <v>737</v>
      </c>
      <c r="J137" s="3186"/>
    </row>
    <row r="138" spans="1:13" x14ac:dyDescent="0.25">
      <c r="A138" s="867"/>
      <c r="B138" s="867"/>
      <c r="C138" s="868"/>
      <c r="E138" s="3187"/>
      <c r="F138" s="3188"/>
      <c r="G138" s="3187"/>
      <c r="H138" s="3188"/>
      <c r="I138" s="3187"/>
      <c r="J138" s="3188"/>
    </row>
    <row r="139" spans="1:13" x14ac:dyDescent="0.25">
      <c r="A139" s="867"/>
      <c r="B139" s="867"/>
      <c r="C139" s="868"/>
      <c r="E139" s="3200">
        <f>ABS(O148-O160)/O148</f>
        <v>1.4270160565732676E-2</v>
      </c>
      <c r="F139" s="3201"/>
      <c r="G139" s="3200">
        <f>ABS(O148-O162)/O148</f>
        <v>6.3422935847699787E-3</v>
      </c>
      <c r="H139" s="3201"/>
      <c r="I139" s="3200">
        <f>ABS(O148-O164)/O148</f>
        <v>1.1099013773347537E-2</v>
      </c>
      <c r="J139" s="3201"/>
    </row>
    <row r="140" spans="1:13" ht="15.75" thickBot="1" x14ac:dyDescent="0.3">
      <c r="A140" s="867"/>
      <c r="B140" s="867"/>
      <c r="C140" s="868"/>
      <c r="E140" s="3202"/>
      <c r="F140" s="3203"/>
      <c r="G140" s="3202"/>
      <c r="H140" s="3203"/>
      <c r="I140" s="3202"/>
      <c r="J140" s="3203"/>
    </row>
    <row r="141" spans="1:13" x14ac:dyDescent="0.25">
      <c r="A141" s="867"/>
      <c r="B141" s="867"/>
      <c r="C141" s="868"/>
      <c r="E141" s="868"/>
      <c r="H141" s="869"/>
      <c r="I141" s="866"/>
      <c r="J141" s="866"/>
      <c r="L141" s="866"/>
      <c r="M141" s="866"/>
    </row>
    <row r="142" spans="1:13" x14ac:dyDescent="0.25">
      <c r="A142" s="867"/>
      <c r="B142" s="867"/>
      <c r="C142" s="868"/>
      <c r="E142" s="868"/>
      <c r="G142" s="879"/>
      <c r="H142" s="869"/>
      <c r="I142" s="866"/>
      <c r="J142" s="866"/>
      <c r="L142" s="866"/>
      <c r="M142" s="866"/>
    </row>
    <row r="143" spans="1:13" ht="15.75" thickBot="1" x14ac:dyDescent="0.3">
      <c r="A143" s="867"/>
      <c r="B143" s="867"/>
      <c r="C143" s="868"/>
      <c r="E143" s="868"/>
      <c r="L143" s="866"/>
      <c r="M143" s="866"/>
    </row>
    <row r="144" spans="1:13" ht="15.75" thickBot="1" x14ac:dyDescent="0.3">
      <c r="A144" s="925" t="s">
        <v>247</v>
      </c>
      <c r="B144" s="867"/>
      <c r="C144" s="868"/>
      <c r="E144" s="868"/>
      <c r="L144" s="866"/>
      <c r="M144" s="866"/>
    </row>
    <row r="145" spans="1:17" x14ac:dyDescent="0.25">
      <c r="A145" s="929" t="s">
        <v>291</v>
      </c>
      <c r="B145" s="3210" t="s">
        <v>717</v>
      </c>
      <c r="C145" s="3211"/>
      <c r="D145" s="3211"/>
      <c r="E145" s="3211"/>
      <c r="F145" s="3211"/>
      <c r="G145" s="3211"/>
      <c r="H145" s="3211"/>
      <c r="I145" s="3211"/>
      <c r="J145" s="3211"/>
      <c r="K145" s="3212"/>
      <c r="L145" s="922" t="s">
        <v>248</v>
      </c>
      <c r="M145" s="923" t="s">
        <v>62</v>
      </c>
      <c r="N145" s="924" t="s">
        <v>249</v>
      </c>
      <c r="O145" s="928" t="s">
        <v>729</v>
      </c>
    </row>
    <row r="146" spans="1:17" ht="15.75" thickBot="1" x14ac:dyDescent="0.3">
      <c r="A146" s="930" t="s">
        <v>292</v>
      </c>
      <c r="B146" s="926">
        <v>0.7</v>
      </c>
      <c r="C146" s="932">
        <v>0.73</v>
      </c>
      <c r="D146" s="932">
        <v>0.33</v>
      </c>
      <c r="E146" s="932">
        <v>0.7</v>
      </c>
      <c r="F146" s="932">
        <v>0.53</v>
      </c>
      <c r="G146" s="932">
        <v>0.73</v>
      </c>
      <c r="H146" s="932">
        <v>0.63</v>
      </c>
      <c r="I146" s="932">
        <v>0.53</v>
      </c>
      <c r="J146" s="932">
        <v>0.63</v>
      </c>
      <c r="K146" s="933">
        <v>0.43</v>
      </c>
      <c r="L146" s="940">
        <f>AVERAGE(B146:K146)</f>
        <v>0.59400000000000008</v>
      </c>
      <c r="M146" s="937">
        <f>STDEVA(B146:K146)</f>
        <v>0.13615350813613908</v>
      </c>
      <c r="N146" s="938">
        <f>M146/L146*100</f>
        <v>22.921466016185025</v>
      </c>
      <c r="O146" s="941" t="s">
        <v>93</v>
      </c>
    </row>
    <row r="147" spans="1:17" x14ac:dyDescent="0.25">
      <c r="A147" s="931" t="s">
        <v>289</v>
      </c>
      <c r="B147" s="3219" t="s">
        <v>719</v>
      </c>
      <c r="C147" s="3220"/>
      <c r="D147" s="3220"/>
      <c r="E147" s="3220"/>
      <c r="F147" s="3220"/>
      <c r="G147" s="3220"/>
      <c r="H147" s="3220"/>
      <c r="I147" s="3220"/>
      <c r="J147" s="3220"/>
      <c r="K147" s="3221"/>
      <c r="L147" s="922" t="s">
        <v>248</v>
      </c>
      <c r="M147" s="923" t="s">
        <v>62</v>
      </c>
      <c r="N147" s="924" t="s">
        <v>249</v>
      </c>
      <c r="O147" s="928" t="s">
        <v>729</v>
      </c>
      <c r="P147" s="865"/>
    </row>
    <row r="148" spans="1:17" ht="15.75" thickBot="1" x14ac:dyDescent="0.3">
      <c r="A148" s="930" t="s">
        <v>292</v>
      </c>
      <c r="B148" s="927">
        <v>189</v>
      </c>
      <c r="C148" s="934">
        <v>192</v>
      </c>
      <c r="D148" s="934">
        <v>192</v>
      </c>
      <c r="E148" s="934">
        <v>186</v>
      </c>
      <c r="F148" s="934">
        <v>189</v>
      </c>
      <c r="G148" s="934">
        <v>194</v>
      </c>
      <c r="H148" s="934">
        <v>191</v>
      </c>
      <c r="I148" s="934">
        <v>184</v>
      </c>
      <c r="J148" s="934">
        <v>193</v>
      </c>
      <c r="K148" s="935">
        <v>188</v>
      </c>
      <c r="L148" s="936">
        <f>AVERAGE(B148:K148)</f>
        <v>189.8</v>
      </c>
      <c r="M148" s="937">
        <f>STDEVA(B148:K148)</f>
        <v>3.190262963734773</v>
      </c>
      <c r="N148" s="938">
        <f>M148/L148*100</f>
        <v>1.6808550915357072</v>
      </c>
      <c r="O148" s="936">
        <f>L148-L146</f>
        <v>189.20600000000002</v>
      </c>
      <c r="P148" s="865"/>
    </row>
    <row r="149" spans="1:17" x14ac:dyDescent="0.25">
      <c r="A149" s="931" t="s">
        <v>289</v>
      </c>
      <c r="B149" s="3210" t="s">
        <v>720</v>
      </c>
      <c r="C149" s="3211"/>
      <c r="D149" s="3211"/>
      <c r="E149" s="3211"/>
      <c r="F149" s="3211"/>
      <c r="G149" s="3211"/>
      <c r="H149" s="3211"/>
      <c r="I149" s="3211"/>
      <c r="J149" s="3211"/>
      <c r="K149" s="3212"/>
      <c r="L149" s="922" t="s">
        <v>248</v>
      </c>
      <c r="M149" s="923" t="s">
        <v>62</v>
      </c>
      <c r="N149" s="924" t="s">
        <v>249</v>
      </c>
      <c r="O149" s="928" t="s">
        <v>729</v>
      </c>
    </row>
    <row r="150" spans="1:17" ht="15.75" thickBot="1" x14ac:dyDescent="0.3">
      <c r="A150" s="930" t="s">
        <v>292</v>
      </c>
      <c r="B150" s="927">
        <v>184</v>
      </c>
      <c r="C150" s="934">
        <v>180</v>
      </c>
      <c r="D150" s="934">
        <v>194</v>
      </c>
      <c r="E150" s="934">
        <v>184</v>
      </c>
      <c r="F150" s="934">
        <v>180</v>
      </c>
      <c r="G150" s="934">
        <v>181</v>
      </c>
      <c r="H150" s="934">
        <v>190</v>
      </c>
      <c r="I150" s="934">
        <v>180</v>
      </c>
      <c r="J150" s="934">
        <v>190</v>
      </c>
      <c r="K150" s="935">
        <v>186</v>
      </c>
      <c r="L150" s="936">
        <f>AVERAGE(B150:K150)</f>
        <v>184.9</v>
      </c>
      <c r="M150" s="937">
        <f>STDEVA(B150:K150)</f>
        <v>4.9988887654046561</v>
      </c>
      <c r="N150" s="938">
        <f>M150/L150*100</f>
        <v>2.7035634209868342</v>
      </c>
      <c r="O150" s="942">
        <f>L150-L146</f>
        <v>184.30600000000001</v>
      </c>
      <c r="P150" s="865"/>
      <c r="Q150" s="865"/>
    </row>
    <row r="151" spans="1:17" x14ac:dyDescent="0.25">
      <c r="A151" s="931" t="s">
        <v>289</v>
      </c>
      <c r="B151" s="3210" t="s">
        <v>721</v>
      </c>
      <c r="C151" s="3211"/>
      <c r="D151" s="3211"/>
      <c r="E151" s="3211"/>
      <c r="F151" s="3211"/>
      <c r="G151" s="3211"/>
      <c r="H151" s="3211"/>
      <c r="I151" s="3211"/>
      <c r="J151" s="3211"/>
      <c r="K151" s="3212"/>
      <c r="L151" s="922" t="s">
        <v>248</v>
      </c>
      <c r="M151" s="923" t="s">
        <v>62</v>
      </c>
      <c r="N151" s="924" t="s">
        <v>249</v>
      </c>
      <c r="O151" s="928" t="s">
        <v>729</v>
      </c>
    </row>
    <row r="152" spans="1:17" ht="15.75" thickBot="1" x14ac:dyDescent="0.3">
      <c r="A152" s="930" t="s">
        <v>292</v>
      </c>
      <c r="B152" s="927">
        <v>179</v>
      </c>
      <c r="C152" s="934">
        <v>171</v>
      </c>
      <c r="D152" s="934">
        <v>180</v>
      </c>
      <c r="E152" s="934">
        <v>179</v>
      </c>
      <c r="F152" s="934">
        <v>183</v>
      </c>
      <c r="G152" s="934">
        <v>185</v>
      </c>
      <c r="H152" s="934">
        <v>190</v>
      </c>
      <c r="I152" s="934">
        <v>173</v>
      </c>
      <c r="J152" s="934">
        <v>185</v>
      </c>
      <c r="K152" s="935">
        <v>184</v>
      </c>
      <c r="L152" s="943">
        <f>AVERAGE(B152:K152)</f>
        <v>180.9</v>
      </c>
      <c r="M152" s="944">
        <f>STDEVA(B152:K152)</f>
        <v>5.7629082164399525</v>
      </c>
      <c r="N152" s="945">
        <f>M152/L152*100</f>
        <v>3.1856872396019633</v>
      </c>
      <c r="O152" s="946">
        <f>L152-L146</f>
        <v>180.30600000000001</v>
      </c>
      <c r="P152" s="865"/>
    </row>
    <row r="153" spans="1:17" x14ac:dyDescent="0.25">
      <c r="A153" s="931" t="s">
        <v>289</v>
      </c>
      <c r="B153" s="3210" t="s">
        <v>722</v>
      </c>
      <c r="C153" s="3211"/>
      <c r="D153" s="3211"/>
      <c r="E153" s="3211"/>
      <c r="F153" s="3211"/>
      <c r="G153" s="3211"/>
      <c r="H153" s="3211"/>
      <c r="I153" s="3211"/>
      <c r="J153" s="3211"/>
      <c r="K153" s="3212"/>
      <c r="L153" s="922" t="s">
        <v>248</v>
      </c>
      <c r="M153" s="923" t="s">
        <v>62</v>
      </c>
      <c r="N153" s="924" t="s">
        <v>249</v>
      </c>
      <c r="O153" s="928" t="s">
        <v>729</v>
      </c>
      <c r="P153" s="865"/>
    </row>
    <row r="154" spans="1:17" ht="15.75" thickBot="1" x14ac:dyDescent="0.3">
      <c r="A154" s="930" t="s">
        <v>292</v>
      </c>
      <c r="B154" s="927">
        <v>188</v>
      </c>
      <c r="C154" s="934">
        <v>184</v>
      </c>
      <c r="D154" s="934">
        <v>196</v>
      </c>
      <c r="E154" s="934">
        <v>192</v>
      </c>
      <c r="F154" s="934">
        <v>182</v>
      </c>
      <c r="G154" s="934">
        <v>180</v>
      </c>
      <c r="H154" s="934">
        <v>179</v>
      </c>
      <c r="I154" s="934">
        <v>180</v>
      </c>
      <c r="J154" s="934">
        <v>183</v>
      </c>
      <c r="K154" s="935">
        <v>184</v>
      </c>
      <c r="L154" s="936">
        <f>AVERAGE(B154:K154)</f>
        <v>184.8</v>
      </c>
      <c r="M154" s="937">
        <f>STDEVA(B154:K154)</f>
        <v>5.5737479909542618</v>
      </c>
      <c r="N154" s="938">
        <f>M154/L154*100</f>
        <v>3.0160973977025227</v>
      </c>
      <c r="O154" s="936">
        <f>L154-L146</f>
        <v>184.20600000000002</v>
      </c>
      <c r="P154" s="865"/>
    </row>
    <row r="155" spans="1:17" x14ac:dyDescent="0.25">
      <c r="A155" s="931" t="s">
        <v>289</v>
      </c>
      <c r="B155" s="3210" t="s">
        <v>723</v>
      </c>
      <c r="C155" s="3211"/>
      <c r="D155" s="3211"/>
      <c r="E155" s="3211"/>
      <c r="F155" s="3211"/>
      <c r="G155" s="3211"/>
      <c r="H155" s="3211"/>
      <c r="I155" s="3211"/>
      <c r="J155" s="3211"/>
      <c r="K155" s="3212"/>
      <c r="L155" s="922" t="s">
        <v>248</v>
      </c>
      <c r="M155" s="923" t="s">
        <v>62</v>
      </c>
      <c r="N155" s="924" t="s">
        <v>249</v>
      </c>
      <c r="O155" s="928" t="s">
        <v>729</v>
      </c>
      <c r="P155" s="865"/>
    </row>
    <row r="156" spans="1:17" ht="15.75" thickBot="1" x14ac:dyDescent="0.3">
      <c r="A156" s="930" t="s">
        <v>292</v>
      </c>
      <c r="B156" s="927">
        <v>189</v>
      </c>
      <c r="C156" s="934">
        <v>181</v>
      </c>
      <c r="D156" s="934">
        <v>188</v>
      </c>
      <c r="E156" s="934">
        <v>192</v>
      </c>
      <c r="F156" s="934">
        <v>187</v>
      </c>
      <c r="G156" s="934">
        <v>196</v>
      </c>
      <c r="H156" s="934">
        <v>186</v>
      </c>
      <c r="I156" s="934">
        <v>185</v>
      </c>
      <c r="J156" s="934">
        <v>187</v>
      </c>
      <c r="K156" s="935">
        <v>189</v>
      </c>
      <c r="L156" s="936">
        <f>AVERAGE(B156:K156)</f>
        <v>188</v>
      </c>
      <c r="M156" s="937">
        <f>STDEVA(B156:K156)</f>
        <v>4.0276819911981905</v>
      </c>
      <c r="N156" s="938">
        <f>M156/L156*100</f>
        <v>2.1423840378713779</v>
      </c>
      <c r="O156" s="936">
        <f>L156-L146</f>
        <v>187.40600000000001</v>
      </c>
      <c r="P156" s="865"/>
    </row>
    <row r="157" spans="1:17" x14ac:dyDescent="0.25">
      <c r="A157" s="931" t="s">
        <v>289</v>
      </c>
      <c r="B157" s="3210" t="s">
        <v>724</v>
      </c>
      <c r="C157" s="3211"/>
      <c r="D157" s="3211"/>
      <c r="E157" s="3211"/>
      <c r="F157" s="3211"/>
      <c r="G157" s="3211"/>
      <c r="H157" s="3211"/>
      <c r="I157" s="3211"/>
      <c r="J157" s="3211"/>
      <c r="K157" s="3212"/>
      <c r="L157" s="922" t="s">
        <v>248</v>
      </c>
      <c r="M157" s="923" t="s">
        <v>62</v>
      </c>
      <c r="N157" s="924" t="s">
        <v>249</v>
      </c>
      <c r="O157" s="928" t="s">
        <v>729</v>
      </c>
      <c r="P157" s="865"/>
    </row>
    <row r="158" spans="1:17" ht="15.75" thickBot="1" x14ac:dyDescent="0.3">
      <c r="A158" s="930" t="s">
        <v>292</v>
      </c>
      <c r="B158" s="927">
        <v>185</v>
      </c>
      <c r="C158" s="934">
        <v>197</v>
      </c>
      <c r="D158" s="934">
        <v>191</v>
      </c>
      <c r="E158" s="934">
        <v>193</v>
      </c>
      <c r="F158" s="934">
        <v>203</v>
      </c>
      <c r="G158" s="934">
        <v>191</v>
      </c>
      <c r="H158" s="934">
        <v>197</v>
      </c>
      <c r="I158" s="934">
        <v>194</v>
      </c>
      <c r="J158" s="934">
        <v>196</v>
      </c>
      <c r="K158" s="935">
        <v>187</v>
      </c>
      <c r="L158" s="936">
        <f>AVERAGE(B158:K158)</f>
        <v>193.4</v>
      </c>
      <c r="M158" s="937">
        <f>STDEVA(B158:K158)</f>
        <v>5.253570214625479</v>
      </c>
      <c r="N158" s="938">
        <f>M158/L158*100</f>
        <v>2.7164272050803921</v>
      </c>
      <c r="O158" s="936">
        <f>L158-L146</f>
        <v>192.80600000000001</v>
      </c>
      <c r="P158" s="865"/>
    </row>
    <row r="159" spans="1:17" x14ac:dyDescent="0.25">
      <c r="A159" s="931" t="s">
        <v>289</v>
      </c>
      <c r="B159" s="3210" t="s">
        <v>725</v>
      </c>
      <c r="C159" s="3211"/>
      <c r="D159" s="3211"/>
      <c r="E159" s="3211"/>
      <c r="F159" s="3211"/>
      <c r="G159" s="3211"/>
      <c r="H159" s="3211"/>
      <c r="I159" s="3211"/>
      <c r="J159" s="3211"/>
      <c r="K159" s="3212"/>
      <c r="L159" s="922" t="s">
        <v>248</v>
      </c>
      <c r="M159" s="923" t="s">
        <v>62</v>
      </c>
      <c r="N159" s="924" t="s">
        <v>249</v>
      </c>
      <c r="O159" s="928" t="s">
        <v>729</v>
      </c>
      <c r="P159" s="865"/>
    </row>
    <row r="160" spans="1:17" ht="15.75" thickBot="1" x14ac:dyDescent="0.3">
      <c r="A160" s="930" t="s">
        <v>292</v>
      </c>
      <c r="B160" s="927">
        <v>184</v>
      </c>
      <c r="C160" s="934">
        <v>187</v>
      </c>
      <c r="D160" s="934">
        <v>184</v>
      </c>
      <c r="E160" s="934">
        <v>191</v>
      </c>
      <c r="F160" s="934">
        <v>189</v>
      </c>
      <c r="G160" s="934">
        <v>190</v>
      </c>
      <c r="H160" s="934">
        <v>185</v>
      </c>
      <c r="I160" s="934">
        <v>181</v>
      </c>
      <c r="J160" s="934">
        <v>188</v>
      </c>
      <c r="K160" s="935">
        <v>192</v>
      </c>
      <c r="L160" s="936">
        <f>AVERAGE(B160:K160)</f>
        <v>187.1</v>
      </c>
      <c r="M160" s="937">
        <f>STDEVA(B160:K160)</f>
        <v>3.5418137224371984</v>
      </c>
      <c r="N160" s="938">
        <f>M160/L160*100</f>
        <v>1.8930057308590049</v>
      </c>
      <c r="O160" s="936">
        <f>L160-L146</f>
        <v>186.506</v>
      </c>
      <c r="P160" s="865"/>
    </row>
    <row r="161" spans="1:16" x14ac:dyDescent="0.25">
      <c r="A161" s="931" t="s">
        <v>289</v>
      </c>
      <c r="B161" s="3210" t="s">
        <v>726</v>
      </c>
      <c r="C161" s="3211"/>
      <c r="D161" s="3211"/>
      <c r="E161" s="3211"/>
      <c r="F161" s="3211"/>
      <c r="G161" s="3211"/>
      <c r="H161" s="3211"/>
      <c r="I161" s="3211"/>
      <c r="J161" s="3211"/>
      <c r="K161" s="3212"/>
      <c r="L161" s="922" t="s">
        <v>248</v>
      </c>
      <c r="M161" s="923" t="s">
        <v>62</v>
      </c>
      <c r="N161" s="924" t="s">
        <v>249</v>
      </c>
      <c r="O161" s="928" t="s">
        <v>729</v>
      </c>
      <c r="P161" s="865"/>
    </row>
    <row r="162" spans="1:16" ht="15.75" thickBot="1" x14ac:dyDescent="0.3">
      <c r="A162" s="930" t="s">
        <v>292</v>
      </c>
      <c r="B162" s="927">
        <v>183</v>
      </c>
      <c r="C162" s="934">
        <v>193</v>
      </c>
      <c r="D162" s="934">
        <v>191</v>
      </c>
      <c r="E162" s="934">
        <v>194</v>
      </c>
      <c r="F162" s="934">
        <v>190</v>
      </c>
      <c r="G162" s="934">
        <v>195</v>
      </c>
      <c r="H162" s="934">
        <v>192</v>
      </c>
      <c r="I162" s="934">
        <v>182</v>
      </c>
      <c r="J162" s="934">
        <v>196</v>
      </c>
      <c r="K162" s="935">
        <v>194</v>
      </c>
      <c r="L162" s="936">
        <f>AVERAGE(B162:K162)</f>
        <v>191</v>
      </c>
      <c r="M162" s="937">
        <f>STDEVA(B162:K162)</f>
        <v>4.8304589153964796</v>
      </c>
      <c r="N162" s="938">
        <f>M162/L162*100</f>
        <v>2.5290360813594135</v>
      </c>
      <c r="O162" s="939">
        <f>L162-L146</f>
        <v>190.40600000000001</v>
      </c>
      <c r="P162" s="865"/>
    </row>
    <row r="163" spans="1:16" x14ac:dyDescent="0.25">
      <c r="A163" s="931" t="s">
        <v>289</v>
      </c>
      <c r="B163" s="3210" t="s">
        <v>727</v>
      </c>
      <c r="C163" s="3211"/>
      <c r="D163" s="3211"/>
      <c r="E163" s="3211"/>
      <c r="F163" s="3211"/>
      <c r="G163" s="3211"/>
      <c r="H163" s="3211"/>
      <c r="I163" s="3211"/>
      <c r="J163" s="3211"/>
      <c r="K163" s="3212"/>
      <c r="L163" s="922" t="s">
        <v>248</v>
      </c>
      <c r="M163" s="923" t="s">
        <v>62</v>
      </c>
      <c r="N163" s="924" t="s">
        <v>249</v>
      </c>
      <c r="O163" s="928" t="s">
        <v>729</v>
      </c>
      <c r="P163" s="865"/>
    </row>
    <row r="164" spans="1:16" ht="15.75" thickBot="1" x14ac:dyDescent="0.3">
      <c r="A164" s="930" t="s">
        <v>292</v>
      </c>
      <c r="B164" s="927">
        <v>191</v>
      </c>
      <c r="C164" s="934">
        <v>195</v>
      </c>
      <c r="D164" s="934">
        <v>189</v>
      </c>
      <c r="E164" s="934">
        <v>200</v>
      </c>
      <c r="F164" s="934">
        <v>187</v>
      </c>
      <c r="G164" s="934">
        <v>179</v>
      </c>
      <c r="H164" s="934">
        <v>193</v>
      </c>
      <c r="I164" s="934">
        <v>198</v>
      </c>
      <c r="J164" s="934">
        <v>197</v>
      </c>
      <c r="K164" s="935">
        <v>190</v>
      </c>
      <c r="L164" s="936">
        <f>AVERAGE(B164:K164)</f>
        <v>191.9</v>
      </c>
      <c r="M164" s="937">
        <f>STDEVA(B164:K164)</f>
        <v>6.1725197448043856</v>
      </c>
      <c r="N164" s="938">
        <f>M164/L164*100</f>
        <v>3.2165293094342808</v>
      </c>
      <c r="O164" s="936">
        <f>L164-L146</f>
        <v>191.30600000000001</v>
      </c>
      <c r="P164" s="865"/>
    </row>
    <row r="165" spans="1:16" ht="15.75" thickBot="1" x14ac:dyDescent="0.3"/>
    <row r="166" spans="1:16" x14ac:dyDescent="0.25">
      <c r="A166" s="3213" t="s">
        <v>179</v>
      </c>
      <c r="B166" s="3213"/>
      <c r="C166" s="916"/>
      <c r="D166" s="917"/>
      <c r="E166" s="917"/>
      <c r="F166" s="917"/>
      <c r="G166" s="917"/>
      <c r="H166" s="917"/>
      <c r="I166" s="917"/>
      <c r="J166" s="917"/>
      <c r="K166" s="918"/>
    </row>
    <row r="167" spans="1:16" ht="15.75" thickBot="1" x14ac:dyDescent="0.3">
      <c r="B167" s="861"/>
      <c r="C167" s="919"/>
      <c r="D167" s="920"/>
      <c r="E167" s="920"/>
      <c r="F167" s="920"/>
      <c r="G167" s="920"/>
      <c r="H167" s="920"/>
      <c r="I167" s="920"/>
      <c r="J167" s="920"/>
      <c r="K167" s="921"/>
      <c r="M167" s="869"/>
    </row>
  </sheetData>
  <sheetProtection password="D8A8"/>
  <mergeCells count="121">
    <mergeCell ref="E47:F48"/>
    <mergeCell ref="B105:K105"/>
    <mergeCell ref="B107:K107"/>
    <mergeCell ref="B109:K109"/>
    <mergeCell ref="B111:K111"/>
    <mergeCell ref="G47:H48"/>
    <mergeCell ref="I47:J48"/>
    <mergeCell ref="E49:F50"/>
    <mergeCell ref="G49:H50"/>
    <mergeCell ref="I49:J50"/>
    <mergeCell ref="B113:K113"/>
    <mergeCell ref="E95:F96"/>
    <mergeCell ref="G95:H96"/>
    <mergeCell ref="I95:J96"/>
    <mergeCell ref="E51:F52"/>
    <mergeCell ref="G51:H52"/>
    <mergeCell ref="I51:J52"/>
    <mergeCell ref="B57:K57"/>
    <mergeCell ref="B59:K59"/>
    <mergeCell ref="B71:K71"/>
    <mergeCell ref="B73:K73"/>
    <mergeCell ref="B75:K75"/>
    <mergeCell ref="A78:B78"/>
    <mergeCell ref="B61:K61"/>
    <mergeCell ref="G87:H88"/>
    <mergeCell ref="I87:J88"/>
    <mergeCell ref="E89:F90"/>
    <mergeCell ref="G89:H90"/>
    <mergeCell ref="I89:J90"/>
    <mergeCell ref="B63:K63"/>
    <mergeCell ref="B65:K65"/>
    <mergeCell ref="B67:K67"/>
    <mergeCell ref="B69:K69"/>
    <mergeCell ref="E41:F42"/>
    <mergeCell ref="G41:H42"/>
    <mergeCell ref="I41:J42"/>
    <mergeCell ref="E43:F44"/>
    <mergeCell ref="G43:H44"/>
    <mergeCell ref="I43:J44"/>
    <mergeCell ref="E45:F46"/>
    <mergeCell ref="G45:H46"/>
    <mergeCell ref="I45:J46"/>
    <mergeCell ref="D1:O4"/>
    <mergeCell ref="A7:B7"/>
    <mergeCell ref="A8:B8"/>
    <mergeCell ref="A6:B6"/>
    <mergeCell ref="A13:B13"/>
    <mergeCell ref="A18:B18"/>
    <mergeCell ref="A21:C21"/>
    <mergeCell ref="C16:M16"/>
    <mergeCell ref="C15:M15"/>
    <mergeCell ref="C14:M14"/>
    <mergeCell ref="A9:B9"/>
    <mergeCell ref="A10:B10"/>
    <mergeCell ref="A11:B11"/>
    <mergeCell ref="A12:B12"/>
    <mergeCell ref="A19:B19"/>
    <mergeCell ref="A20:B20"/>
    <mergeCell ref="A24:C24"/>
    <mergeCell ref="A23:C23"/>
    <mergeCell ref="A22:C22"/>
    <mergeCell ref="A34:B35"/>
    <mergeCell ref="E131:F132"/>
    <mergeCell ref="G131:H132"/>
    <mergeCell ref="I131:J132"/>
    <mergeCell ref="B101:K101"/>
    <mergeCell ref="B103:K103"/>
    <mergeCell ref="E91:F92"/>
    <mergeCell ref="G91:H92"/>
    <mergeCell ref="I91:J92"/>
    <mergeCell ref="E93:F94"/>
    <mergeCell ref="G93:H94"/>
    <mergeCell ref="I93:J94"/>
    <mergeCell ref="E87:F88"/>
    <mergeCell ref="A125:O125"/>
    <mergeCell ref="A127:O127"/>
    <mergeCell ref="A32:C32"/>
    <mergeCell ref="A31:C31"/>
    <mergeCell ref="A30:C30"/>
    <mergeCell ref="A29:C29"/>
    <mergeCell ref="A28:C28"/>
    <mergeCell ref="B115:K115"/>
    <mergeCell ref="A166:B166"/>
    <mergeCell ref="B149:K149"/>
    <mergeCell ref="B145:K145"/>
    <mergeCell ref="B147:K147"/>
    <mergeCell ref="I137:J138"/>
    <mergeCell ref="B161:K161"/>
    <mergeCell ref="B163:K163"/>
    <mergeCell ref="B159:K159"/>
    <mergeCell ref="B155:K155"/>
    <mergeCell ref="B157:K157"/>
    <mergeCell ref="B151:K151"/>
    <mergeCell ref="B153:K153"/>
    <mergeCell ref="E139:F140"/>
    <mergeCell ref="G139:H140"/>
    <mergeCell ref="I139:J140"/>
    <mergeCell ref="E133:F134"/>
    <mergeCell ref="I133:J134"/>
    <mergeCell ref="E137:F138"/>
    <mergeCell ref="G137:H138"/>
    <mergeCell ref="G135:H136"/>
    <mergeCell ref="A27:C27"/>
    <mergeCell ref="A26:C26"/>
    <mergeCell ref="A25:C25"/>
    <mergeCell ref="A81:O81"/>
    <mergeCell ref="I135:J136"/>
    <mergeCell ref="E135:F136"/>
    <mergeCell ref="E129:F130"/>
    <mergeCell ref="G129:H130"/>
    <mergeCell ref="I129:J130"/>
    <mergeCell ref="G133:H134"/>
    <mergeCell ref="B117:K117"/>
    <mergeCell ref="B119:K119"/>
    <mergeCell ref="A122:B122"/>
    <mergeCell ref="A83:O83"/>
    <mergeCell ref="E85:F86"/>
    <mergeCell ref="G85:H86"/>
    <mergeCell ref="I85:J86"/>
    <mergeCell ref="A37:O37"/>
    <mergeCell ref="A39:O39"/>
  </mergeCells>
  <pageMargins left="0.23622047244094491" right="0.23622047244094491" top="0.74803149606299213" bottom="0.74803149606299213" header="0.31496062992125984" footer="0.31496062992125984"/>
  <pageSetup paperSize="9" scale="51" orientation="landscape" r:id="rId1"/>
  <headerFooter>
    <oddFooter>&amp;R&amp;P de &amp;N</oddFoot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33"/>
  <dimension ref="A1:Q115"/>
  <sheetViews>
    <sheetView view="pageBreakPreview" zoomScaleNormal="100" zoomScaleSheetLayoutView="100" workbookViewId="0">
      <selection activeCell="D5" sqref="D5"/>
    </sheetView>
  </sheetViews>
  <sheetFormatPr baseColWidth="10" defaultColWidth="11.42578125" defaultRowHeight="15" x14ac:dyDescent="0.25"/>
  <cols>
    <col min="1" max="1" width="12.7109375" style="854" customWidth="1"/>
    <col min="2" max="2" width="11.42578125" style="854" customWidth="1"/>
    <col min="3" max="3" width="11.5703125" style="854" customWidth="1"/>
    <col min="4" max="16384" width="11.42578125" style="854"/>
  </cols>
  <sheetData>
    <row r="1" spans="1:15" ht="15" customHeight="1" x14ac:dyDescent="0.25">
      <c r="A1" s="851"/>
      <c r="B1" s="852"/>
      <c r="C1" s="853"/>
      <c r="D1" s="3233" t="s">
        <v>785</v>
      </c>
      <c r="E1" s="3234"/>
      <c r="F1" s="3234"/>
      <c r="G1" s="3234"/>
      <c r="H1" s="3234"/>
      <c r="I1" s="3234"/>
      <c r="J1" s="3234"/>
      <c r="K1" s="3234"/>
      <c r="L1" s="3234"/>
      <c r="M1" s="3234"/>
      <c r="N1" s="3234"/>
      <c r="O1" s="3235"/>
    </row>
    <row r="2" spans="1:15" ht="15" customHeight="1" x14ac:dyDescent="0.25">
      <c r="A2" s="855"/>
      <c r="C2" s="856"/>
      <c r="D2" s="3236"/>
      <c r="E2" s="3237"/>
      <c r="F2" s="3237"/>
      <c r="G2" s="3237"/>
      <c r="H2" s="3237"/>
      <c r="I2" s="3237"/>
      <c r="J2" s="3237"/>
      <c r="K2" s="3237"/>
      <c r="L2" s="3237"/>
      <c r="M2" s="3237"/>
      <c r="N2" s="3237"/>
      <c r="O2" s="3238"/>
    </row>
    <row r="3" spans="1:15" ht="15" customHeight="1" x14ac:dyDescent="0.25">
      <c r="A3" s="855"/>
      <c r="C3" s="856"/>
      <c r="D3" s="3236"/>
      <c r="E3" s="3237"/>
      <c r="F3" s="3237"/>
      <c r="G3" s="3237"/>
      <c r="H3" s="3237"/>
      <c r="I3" s="3237"/>
      <c r="J3" s="3237"/>
      <c r="K3" s="3237"/>
      <c r="L3" s="3237"/>
      <c r="M3" s="3237"/>
      <c r="N3" s="3237"/>
      <c r="O3" s="3238"/>
    </row>
    <row r="4" spans="1:15" ht="15" customHeight="1" x14ac:dyDescent="0.25">
      <c r="A4" s="857"/>
      <c r="B4" s="858"/>
      <c r="C4" s="859"/>
      <c r="D4" s="3239"/>
      <c r="E4" s="3240"/>
      <c r="F4" s="3240"/>
      <c r="G4" s="3240"/>
      <c r="H4" s="3240"/>
      <c r="I4" s="3240"/>
      <c r="J4" s="3240"/>
      <c r="K4" s="3240"/>
      <c r="L4" s="3240"/>
      <c r="M4" s="3240"/>
      <c r="N4" s="3240"/>
      <c r="O4" s="3241"/>
    </row>
    <row r="5" spans="1:15" ht="27" thickBot="1" x14ac:dyDescent="0.3">
      <c r="C5" s="860"/>
      <c r="D5" s="860"/>
      <c r="E5" s="860"/>
      <c r="F5" s="860"/>
      <c r="G5" s="860"/>
      <c r="H5" s="860"/>
      <c r="I5" s="860"/>
      <c r="J5" s="860"/>
      <c r="K5" s="860"/>
      <c r="L5" s="860"/>
      <c r="M5" s="860"/>
      <c r="N5" s="860"/>
    </row>
    <row r="6" spans="1:15" x14ac:dyDescent="0.25">
      <c r="A6" s="3244" t="s">
        <v>468</v>
      </c>
      <c r="B6" s="3245"/>
      <c r="C6" s="891" t="s">
        <v>703</v>
      </c>
      <c r="D6" s="892"/>
      <c r="E6" s="892"/>
      <c r="F6" s="892"/>
      <c r="G6" s="892"/>
      <c r="H6" s="892"/>
      <c r="I6" s="891"/>
      <c r="J6" s="892"/>
      <c r="K6" s="892"/>
      <c r="L6" s="891"/>
      <c r="M6" s="892"/>
      <c r="N6" s="893"/>
      <c r="O6" s="894"/>
    </row>
    <row r="7" spans="1:15" x14ac:dyDescent="0.25">
      <c r="A7" s="3242" t="s">
        <v>315</v>
      </c>
      <c r="B7" s="3243"/>
      <c r="C7" s="895" t="s">
        <v>763</v>
      </c>
      <c r="D7" s="896"/>
      <c r="E7" s="896"/>
      <c r="F7" s="896"/>
      <c r="G7" s="896"/>
      <c r="H7" s="896"/>
      <c r="I7" s="896"/>
      <c r="J7" s="896"/>
      <c r="K7" s="896"/>
      <c r="L7" s="896"/>
      <c r="M7" s="896"/>
      <c r="N7" s="896"/>
      <c r="O7" s="897"/>
    </row>
    <row r="8" spans="1:15" x14ac:dyDescent="0.25">
      <c r="A8" s="3242" t="s">
        <v>311</v>
      </c>
      <c r="B8" s="3243"/>
      <c r="C8" s="895" t="s">
        <v>764</v>
      </c>
      <c r="D8" s="896"/>
      <c r="E8" s="896"/>
      <c r="F8" s="896"/>
      <c r="G8" s="896"/>
      <c r="H8" s="896"/>
      <c r="I8" s="896"/>
      <c r="J8" s="896"/>
      <c r="K8" s="896"/>
      <c r="L8" s="896"/>
      <c r="M8" s="896"/>
      <c r="N8" s="896"/>
      <c r="O8" s="897"/>
    </row>
    <row r="9" spans="1:15" x14ac:dyDescent="0.25">
      <c r="A9" s="3242" t="s">
        <v>312</v>
      </c>
      <c r="B9" s="3243"/>
      <c r="C9" s="898" t="s">
        <v>765</v>
      </c>
      <c r="D9" s="896"/>
      <c r="E9" s="896"/>
      <c r="F9" s="896"/>
      <c r="G9" s="896"/>
      <c r="H9" s="896"/>
      <c r="I9" s="896"/>
      <c r="J9" s="896"/>
      <c r="K9" s="896"/>
      <c r="L9" s="896"/>
      <c r="M9" s="896"/>
      <c r="N9" s="896"/>
      <c r="O9" s="897"/>
    </row>
    <row r="10" spans="1:15" x14ac:dyDescent="0.25">
      <c r="A10" s="3242" t="s">
        <v>316</v>
      </c>
      <c r="B10" s="3243"/>
      <c r="C10" s="895" t="s">
        <v>93</v>
      </c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7"/>
    </row>
    <row r="11" spans="1:15" x14ac:dyDescent="0.25">
      <c r="A11" s="3242" t="s">
        <v>313</v>
      </c>
      <c r="B11" s="3243"/>
      <c r="C11" s="899" t="s">
        <v>93</v>
      </c>
      <c r="D11" s="896"/>
      <c r="E11" s="896"/>
      <c r="F11" s="896"/>
      <c r="G11" s="896"/>
      <c r="H11" s="896"/>
      <c r="I11" s="896"/>
      <c r="J11" s="896"/>
      <c r="K11" s="896"/>
      <c r="L11" s="896"/>
      <c r="M11" s="896"/>
      <c r="N11" s="896"/>
      <c r="O11" s="897"/>
    </row>
    <row r="12" spans="1:15" x14ac:dyDescent="0.25">
      <c r="A12" s="3242" t="s">
        <v>314</v>
      </c>
      <c r="B12" s="3243"/>
      <c r="C12" s="899" t="s">
        <v>93</v>
      </c>
      <c r="D12" s="896"/>
      <c r="E12" s="896"/>
      <c r="F12" s="896"/>
      <c r="G12" s="896"/>
      <c r="H12" s="896"/>
      <c r="I12" s="896"/>
      <c r="J12" s="896"/>
      <c r="K12" s="896"/>
      <c r="L12" s="896"/>
      <c r="M12" s="896"/>
      <c r="N12" s="896"/>
      <c r="O12" s="897"/>
    </row>
    <row r="13" spans="1:15" x14ac:dyDescent="0.25">
      <c r="A13" s="3246" t="s">
        <v>469</v>
      </c>
      <c r="B13" s="3247"/>
      <c r="C13" s="888" t="s">
        <v>467</v>
      </c>
      <c r="D13" s="887"/>
      <c r="E13" s="887"/>
      <c r="F13" s="887"/>
      <c r="G13" s="887"/>
      <c r="H13" s="887"/>
      <c r="I13" s="887"/>
      <c r="J13" s="887"/>
      <c r="K13" s="887"/>
      <c r="L13" s="887"/>
      <c r="M13" s="887"/>
      <c r="N13" s="887"/>
      <c r="O13" s="889"/>
    </row>
    <row r="14" spans="1:15" x14ac:dyDescent="0.25">
      <c r="A14" s="890"/>
      <c r="B14" s="901"/>
      <c r="C14" s="3248" t="s">
        <v>768</v>
      </c>
      <c r="D14" s="3249"/>
      <c r="E14" s="3249"/>
      <c r="F14" s="3249"/>
      <c r="G14" s="3249"/>
      <c r="H14" s="3249"/>
      <c r="I14" s="3249"/>
      <c r="J14" s="3249"/>
      <c r="K14" s="3249"/>
      <c r="L14" s="3249"/>
      <c r="M14" s="3249"/>
      <c r="N14" s="887"/>
      <c r="O14" s="889"/>
    </row>
    <row r="15" spans="1:15" x14ac:dyDescent="0.25">
      <c r="A15" s="890"/>
      <c r="B15" s="901"/>
      <c r="C15" s="3248" t="s">
        <v>767</v>
      </c>
      <c r="D15" s="3249"/>
      <c r="E15" s="3249"/>
      <c r="F15" s="3249"/>
      <c r="G15" s="3249"/>
      <c r="H15" s="3249"/>
      <c r="I15" s="3249"/>
      <c r="J15" s="3249"/>
      <c r="K15" s="3249"/>
      <c r="L15" s="3249"/>
      <c r="M15" s="3249"/>
      <c r="N15" s="887"/>
      <c r="O15" s="889"/>
    </row>
    <row r="16" spans="1:15" x14ac:dyDescent="0.25">
      <c r="A16" s="890"/>
      <c r="B16" s="901"/>
      <c r="C16" s="3248" t="s">
        <v>766</v>
      </c>
      <c r="D16" s="3249"/>
      <c r="E16" s="3249"/>
      <c r="F16" s="3249"/>
      <c r="G16" s="3249"/>
      <c r="H16" s="3249"/>
      <c r="I16" s="3249"/>
      <c r="J16" s="3249"/>
      <c r="K16" s="3249"/>
      <c r="L16" s="3249"/>
      <c r="M16" s="3249"/>
      <c r="N16" s="887"/>
      <c r="O16" s="889"/>
    </row>
    <row r="17" spans="1:15" x14ac:dyDescent="0.25">
      <c r="A17" s="900" t="s">
        <v>466</v>
      </c>
      <c r="B17" s="902"/>
      <c r="C17" s="899" t="s">
        <v>471</v>
      </c>
      <c r="D17" s="896"/>
      <c r="E17" s="896"/>
      <c r="F17" s="896"/>
      <c r="G17" s="896"/>
      <c r="H17" s="896"/>
      <c r="I17" s="896"/>
      <c r="J17" s="896"/>
      <c r="K17" s="896"/>
      <c r="L17" s="896"/>
      <c r="M17" s="896"/>
      <c r="N17" s="896"/>
      <c r="O17" s="897"/>
    </row>
    <row r="18" spans="1:15" x14ac:dyDescent="0.25">
      <c r="A18" s="3242" t="s">
        <v>281</v>
      </c>
      <c r="B18" s="3243"/>
      <c r="C18" s="899" t="s">
        <v>470</v>
      </c>
      <c r="D18" s="896"/>
      <c r="E18" s="896"/>
      <c r="F18" s="896"/>
      <c r="G18" s="896"/>
      <c r="H18" s="896"/>
      <c r="I18" s="896"/>
      <c r="J18" s="896"/>
      <c r="K18" s="896"/>
      <c r="L18" s="896"/>
      <c r="M18" s="896"/>
      <c r="N18" s="896"/>
      <c r="O18" s="897"/>
    </row>
    <row r="19" spans="1:15" ht="15.75" thickBot="1" x14ac:dyDescent="0.3">
      <c r="A19" s="3250" t="s">
        <v>769</v>
      </c>
      <c r="B19" s="3251"/>
      <c r="C19" s="903" t="s">
        <v>775</v>
      </c>
      <c r="D19" s="904"/>
      <c r="E19" s="904"/>
      <c r="F19" s="904"/>
      <c r="G19" s="904"/>
      <c r="H19" s="904"/>
      <c r="I19" s="904"/>
      <c r="J19" s="904"/>
      <c r="K19" s="904"/>
      <c r="L19" s="904"/>
      <c r="M19" s="904"/>
      <c r="N19" s="904"/>
      <c r="O19" s="905"/>
    </row>
    <row r="20" spans="1:15" ht="15.75" thickBot="1" x14ac:dyDescent="0.3">
      <c r="A20" s="3213"/>
      <c r="B20" s="3213"/>
      <c r="C20" s="862"/>
    </row>
    <row r="21" spans="1:15" x14ac:dyDescent="0.25">
      <c r="A21" s="3195" t="s">
        <v>284</v>
      </c>
      <c r="B21" s="3196"/>
      <c r="C21" s="3196"/>
      <c r="D21" s="906" t="s">
        <v>285</v>
      </c>
      <c r="I21" s="861"/>
      <c r="K21" s="863"/>
    </row>
    <row r="22" spans="1:15" x14ac:dyDescent="0.25">
      <c r="A22" s="3193" t="s">
        <v>286</v>
      </c>
      <c r="B22" s="3194"/>
      <c r="C22" s="3194"/>
      <c r="D22" s="907">
        <v>1830</v>
      </c>
      <c r="I22" s="861"/>
      <c r="K22" s="863"/>
    </row>
    <row r="23" spans="1:15" x14ac:dyDescent="0.25">
      <c r="A23" s="3193" t="s">
        <v>287</v>
      </c>
      <c r="B23" s="3194"/>
      <c r="C23" s="3194"/>
      <c r="D23" s="907">
        <v>150</v>
      </c>
      <c r="I23" s="861"/>
      <c r="K23" s="863"/>
    </row>
    <row r="24" spans="1:15" ht="15.75" thickBot="1" x14ac:dyDescent="0.3">
      <c r="A24" s="3222" t="s">
        <v>288</v>
      </c>
      <c r="B24" s="3223"/>
      <c r="C24" s="3223"/>
      <c r="D24" s="908">
        <v>3850</v>
      </c>
      <c r="F24" s="864"/>
      <c r="I24" s="861"/>
      <c r="K24" s="863"/>
    </row>
    <row r="25" spans="1:15" x14ac:dyDescent="0.25">
      <c r="A25" s="3195" t="s">
        <v>284</v>
      </c>
      <c r="B25" s="3196"/>
      <c r="C25" s="3196"/>
      <c r="D25" s="906" t="s">
        <v>290</v>
      </c>
      <c r="I25" s="861"/>
      <c r="K25" s="863"/>
    </row>
    <row r="26" spans="1:15" x14ac:dyDescent="0.25">
      <c r="A26" s="3193" t="s">
        <v>286</v>
      </c>
      <c r="B26" s="3194"/>
      <c r="C26" s="3194"/>
      <c r="D26" s="907">
        <v>1840</v>
      </c>
      <c r="I26" s="861"/>
      <c r="K26" s="863"/>
    </row>
    <row r="27" spans="1:15" x14ac:dyDescent="0.25">
      <c r="A27" s="3193" t="s">
        <v>287</v>
      </c>
      <c r="B27" s="3194"/>
      <c r="C27" s="3194"/>
      <c r="D27" s="907">
        <v>150</v>
      </c>
      <c r="F27" s="865"/>
      <c r="I27" s="861"/>
      <c r="K27" s="863"/>
    </row>
    <row r="28" spans="1:15" ht="15.75" thickBot="1" x14ac:dyDescent="0.3">
      <c r="A28" s="3222" t="s">
        <v>288</v>
      </c>
      <c r="B28" s="3223"/>
      <c r="C28" s="3223"/>
      <c r="D28" s="908">
        <v>2940</v>
      </c>
      <c r="F28" s="864"/>
      <c r="I28" s="861"/>
      <c r="K28" s="863"/>
    </row>
    <row r="29" spans="1:15" x14ac:dyDescent="0.25">
      <c r="A29" s="3195" t="s">
        <v>284</v>
      </c>
      <c r="B29" s="3196"/>
      <c r="C29" s="3196"/>
      <c r="D29" s="906" t="s">
        <v>289</v>
      </c>
      <c r="I29" s="861"/>
      <c r="K29" s="863"/>
    </row>
    <row r="30" spans="1:15" x14ac:dyDescent="0.25">
      <c r="A30" s="3193" t="s">
        <v>286</v>
      </c>
      <c r="B30" s="3194"/>
      <c r="C30" s="3194"/>
      <c r="D30" s="907">
        <v>3700</v>
      </c>
      <c r="E30" s="864"/>
      <c r="I30" s="861"/>
      <c r="K30" s="863"/>
    </row>
    <row r="31" spans="1:15" x14ac:dyDescent="0.25">
      <c r="A31" s="3193" t="s">
        <v>287</v>
      </c>
      <c r="B31" s="3194"/>
      <c r="C31" s="3194"/>
      <c r="D31" s="907">
        <v>150</v>
      </c>
      <c r="F31" s="865"/>
      <c r="I31" s="861"/>
      <c r="K31" s="863"/>
    </row>
    <row r="32" spans="1:15" ht="15.75" thickBot="1" x14ac:dyDescent="0.3">
      <c r="A32" s="3222" t="s">
        <v>288</v>
      </c>
      <c r="B32" s="3223"/>
      <c r="C32" s="3223"/>
      <c r="D32" s="908">
        <v>2880</v>
      </c>
      <c r="E32" s="864"/>
      <c r="F32" s="864"/>
      <c r="I32" s="861"/>
      <c r="K32" s="863"/>
    </row>
    <row r="33" spans="1:15" ht="15.75" thickBot="1" x14ac:dyDescent="0.3"/>
    <row r="34" spans="1:15" ht="18" x14ac:dyDescent="0.25">
      <c r="A34" s="3224" t="s">
        <v>772</v>
      </c>
      <c r="B34" s="3225"/>
      <c r="C34" s="909" t="s">
        <v>241</v>
      </c>
      <c r="D34" s="910">
        <v>20.8</v>
      </c>
      <c r="E34" s="909" t="s">
        <v>242</v>
      </c>
      <c r="F34" s="910">
        <v>55</v>
      </c>
      <c r="G34" s="911" t="s">
        <v>243</v>
      </c>
      <c r="H34" s="906">
        <v>1006</v>
      </c>
      <c r="I34" s="866"/>
      <c r="J34" s="866"/>
      <c r="L34" s="866"/>
      <c r="M34" s="866"/>
    </row>
    <row r="35" spans="1:15" ht="18.75" thickBot="1" x14ac:dyDescent="0.3">
      <c r="A35" s="3226"/>
      <c r="B35" s="3227"/>
      <c r="C35" s="912" t="s">
        <v>244</v>
      </c>
      <c r="D35" s="913">
        <v>20.6</v>
      </c>
      <c r="E35" s="912" t="s">
        <v>245</v>
      </c>
      <c r="F35" s="913">
        <v>52</v>
      </c>
      <c r="G35" s="914" t="s">
        <v>246</v>
      </c>
      <c r="H35" s="915">
        <v>1006</v>
      </c>
      <c r="I35" s="866"/>
      <c r="J35" s="866"/>
      <c r="L35" s="866"/>
      <c r="M35" s="866"/>
    </row>
    <row r="36" spans="1:15" ht="15.75" thickBot="1" x14ac:dyDescent="0.3">
      <c r="A36" s="867"/>
      <c r="B36" s="867"/>
      <c r="C36" s="868"/>
      <c r="E36" s="868"/>
      <c r="H36" s="869"/>
      <c r="I36" s="866"/>
      <c r="J36" s="866"/>
      <c r="L36" s="866"/>
      <c r="M36" s="866"/>
    </row>
    <row r="37" spans="1:15" ht="15.75" thickBot="1" x14ac:dyDescent="0.3">
      <c r="A37" s="3197" t="s">
        <v>776</v>
      </c>
      <c r="B37" s="3198"/>
      <c r="C37" s="3198"/>
      <c r="D37" s="3198"/>
      <c r="E37" s="3198"/>
      <c r="F37" s="3198"/>
      <c r="G37" s="3198"/>
      <c r="H37" s="3198"/>
      <c r="I37" s="3198"/>
      <c r="J37" s="3198"/>
      <c r="K37" s="3198"/>
      <c r="L37" s="3198"/>
      <c r="M37" s="3198"/>
      <c r="N37" s="3198"/>
      <c r="O37" s="3199"/>
    </row>
    <row r="38" spans="1:15" x14ac:dyDescent="0.25">
      <c r="A38" s="867"/>
      <c r="B38" s="867"/>
      <c r="C38" s="868"/>
      <c r="E38" s="868"/>
      <c r="H38" s="869"/>
      <c r="I38" s="866"/>
      <c r="J38" s="866"/>
      <c r="L38" s="866"/>
      <c r="M38" s="866"/>
    </row>
    <row r="39" spans="1:15" x14ac:dyDescent="0.25">
      <c r="A39" s="867"/>
      <c r="B39" s="867"/>
      <c r="C39" s="868"/>
      <c r="E39" s="866"/>
      <c r="F39" s="866"/>
      <c r="G39" s="866"/>
      <c r="H39" s="866"/>
      <c r="I39" s="866"/>
      <c r="J39" s="866"/>
      <c r="K39" s="866"/>
    </row>
    <row r="40" spans="1:15" x14ac:dyDescent="0.25">
      <c r="A40" s="867"/>
      <c r="B40" s="867"/>
      <c r="C40" s="868"/>
      <c r="E40" s="866"/>
      <c r="F40" s="866"/>
      <c r="G40" s="866"/>
      <c r="H40" s="866"/>
      <c r="I40" s="866"/>
      <c r="J40" s="866"/>
      <c r="K40" s="866"/>
    </row>
    <row r="41" spans="1:15" x14ac:dyDescent="0.25">
      <c r="A41" s="867"/>
      <c r="B41" s="867"/>
      <c r="C41" s="868"/>
      <c r="E41" s="866"/>
      <c r="F41" s="866"/>
      <c r="G41" s="866"/>
      <c r="H41" s="866"/>
      <c r="I41" s="866"/>
      <c r="J41" s="866"/>
      <c r="K41" s="866"/>
    </row>
    <row r="42" spans="1:15" x14ac:dyDescent="0.25">
      <c r="A42" s="867"/>
      <c r="B42" s="867"/>
      <c r="C42" s="868"/>
      <c r="E42" s="866"/>
      <c r="F42" s="866"/>
      <c r="G42" s="866"/>
      <c r="H42" s="866"/>
      <c r="I42" s="866"/>
      <c r="J42" s="866"/>
      <c r="K42" s="866"/>
    </row>
    <row r="43" spans="1:15" x14ac:dyDescent="0.25">
      <c r="A43" s="867"/>
      <c r="B43" s="867"/>
      <c r="C43" s="868"/>
      <c r="E43" s="866"/>
      <c r="F43" s="866"/>
      <c r="G43" s="866"/>
      <c r="H43" s="866"/>
      <c r="I43" s="866"/>
      <c r="J43" s="866"/>
      <c r="K43" s="866"/>
    </row>
    <row r="44" spans="1:15" x14ac:dyDescent="0.25">
      <c r="A44" s="867"/>
      <c r="B44" s="867"/>
      <c r="C44" s="868"/>
      <c r="E44" s="866"/>
      <c r="F44" s="866"/>
      <c r="G44" s="866"/>
      <c r="H44" s="866"/>
      <c r="I44" s="866"/>
      <c r="J44" s="866"/>
      <c r="K44" s="866"/>
    </row>
    <row r="45" spans="1:15" x14ac:dyDescent="0.25">
      <c r="A45" s="867"/>
      <c r="B45" s="867"/>
      <c r="C45" s="868"/>
      <c r="E45" s="866"/>
      <c r="F45" s="866"/>
      <c r="G45" s="866"/>
      <c r="H45" s="866"/>
      <c r="I45" s="866"/>
      <c r="J45" s="866"/>
      <c r="K45" s="866"/>
    </row>
    <row r="46" spans="1:15" x14ac:dyDescent="0.25">
      <c r="A46" s="867"/>
      <c r="B46" s="867"/>
      <c r="C46" s="868"/>
      <c r="E46" s="866"/>
      <c r="F46" s="866"/>
      <c r="G46" s="866"/>
      <c r="H46" s="866"/>
      <c r="I46" s="866"/>
      <c r="J46" s="866"/>
      <c r="K46" s="866"/>
    </row>
    <row r="47" spans="1:15" x14ac:dyDescent="0.25">
      <c r="A47" s="867"/>
      <c r="B47" s="867"/>
      <c r="C47" s="868"/>
      <c r="E47" s="866"/>
      <c r="F47" s="866"/>
      <c r="G47" s="866"/>
      <c r="H47" s="866"/>
      <c r="I47" s="866"/>
      <c r="J47" s="866"/>
      <c r="K47" s="866"/>
    </row>
    <row r="48" spans="1:15" x14ac:dyDescent="0.25">
      <c r="A48" s="867"/>
      <c r="B48" s="867"/>
      <c r="C48" s="868"/>
      <c r="E48" s="866"/>
      <c r="F48" s="866"/>
      <c r="G48" s="866"/>
      <c r="H48" s="866"/>
      <c r="I48" s="866"/>
      <c r="J48" s="866"/>
      <c r="K48" s="866"/>
    </row>
    <row r="49" spans="1:17" x14ac:dyDescent="0.25">
      <c r="A49" s="867"/>
      <c r="B49" s="867"/>
      <c r="C49" s="868"/>
      <c r="E49" s="866"/>
      <c r="F49" s="866"/>
      <c r="G49" s="866"/>
      <c r="H49" s="866"/>
      <c r="I49" s="866"/>
      <c r="J49" s="866"/>
      <c r="K49" s="866"/>
    </row>
    <row r="50" spans="1:17" ht="15.75" thickBot="1" x14ac:dyDescent="0.3">
      <c r="A50" s="867"/>
      <c r="B50" s="867"/>
      <c r="C50" s="868"/>
      <c r="E50" s="868"/>
      <c r="L50" s="866"/>
      <c r="M50" s="866"/>
    </row>
    <row r="51" spans="1:17" ht="15.75" thickBot="1" x14ac:dyDescent="0.3">
      <c r="A51" s="925" t="s">
        <v>247</v>
      </c>
      <c r="B51" s="867"/>
      <c r="C51" s="868"/>
      <c r="E51" s="868"/>
      <c r="L51" s="866"/>
      <c r="M51" s="866"/>
    </row>
    <row r="52" spans="1:17" x14ac:dyDescent="0.25">
      <c r="A52" s="929" t="s">
        <v>291</v>
      </c>
      <c r="B52" s="3210" t="s">
        <v>717</v>
      </c>
      <c r="C52" s="3211"/>
      <c r="D52" s="3211"/>
      <c r="E52" s="3211"/>
      <c r="F52" s="3211"/>
      <c r="G52" s="3211"/>
      <c r="H52" s="3211"/>
      <c r="I52" s="3211"/>
      <c r="J52" s="3211"/>
      <c r="K52" s="3212"/>
      <c r="L52" s="922" t="s">
        <v>248</v>
      </c>
      <c r="M52" s="923" t="s">
        <v>62</v>
      </c>
      <c r="N52" s="924" t="s">
        <v>249</v>
      </c>
      <c r="O52" s="928" t="s">
        <v>729</v>
      </c>
    </row>
    <row r="53" spans="1:17" ht="15.75" thickBot="1" x14ac:dyDescent="0.3">
      <c r="A53" s="930" t="s">
        <v>292</v>
      </c>
      <c r="B53" s="926">
        <v>0.56000000000000005</v>
      </c>
      <c r="C53" s="932">
        <v>0.63</v>
      </c>
      <c r="D53" s="932">
        <v>0.66</v>
      </c>
      <c r="E53" s="932">
        <v>0.43</v>
      </c>
      <c r="F53" s="932">
        <v>0.53</v>
      </c>
      <c r="G53" s="932">
        <v>0.63</v>
      </c>
      <c r="H53" s="932">
        <v>0.56000000000000005</v>
      </c>
      <c r="I53" s="932">
        <v>0.63</v>
      </c>
      <c r="J53" s="932">
        <v>0.73</v>
      </c>
      <c r="K53" s="933">
        <v>0.8</v>
      </c>
      <c r="L53" s="940">
        <f>AVERAGE(B53:K53)</f>
        <v>0.61599999999999988</v>
      </c>
      <c r="M53" s="937">
        <f>STDEVA(B53:K53)</f>
        <v>0.10415799963943723</v>
      </c>
      <c r="N53" s="938">
        <f>M53/L53*100</f>
        <v>16.908766175233321</v>
      </c>
      <c r="O53" s="941" t="s">
        <v>93</v>
      </c>
    </row>
    <row r="54" spans="1:17" x14ac:dyDescent="0.25">
      <c r="A54" s="931" t="s">
        <v>285</v>
      </c>
      <c r="B54" s="3219" t="s">
        <v>779</v>
      </c>
      <c r="C54" s="3220"/>
      <c r="D54" s="3220"/>
      <c r="E54" s="3220"/>
      <c r="F54" s="3220"/>
      <c r="G54" s="3220"/>
      <c r="H54" s="3220"/>
      <c r="I54" s="3220"/>
      <c r="J54" s="3220"/>
      <c r="K54" s="3221"/>
      <c r="L54" s="922" t="s">
        <v>248</v>
      </c>
      <c r="M54" s="923" t="s">
        <v>62</v>
      </c>
      <c r="N54" s="924" t="s">
        <v>249</v>
      </c>
      <c r="O54" s="928" t="s">
        <v>729</v>
      </c>
      <c r="P54" s="865"/>
    </row>
    <row r="55" spans="1:17" ht="15.75" thickBot="1" x14ac:dyDescent="0.3">
      <c r="A55" s="930" t="s">
        <v>292</v>
      </c>
      <c r="B55" s="947">
        <v>60</v>
      </c>
      <c r="C55" s="948">
        <v>60.7</v>
      </c>
      <c r="D55" s="948">
        <v>59.6</v>
      </c>
      <c r="E55" s="948">
        <v>59.5</v>
      </c>
      <c r="F55" s="948">
        <v>59.5</v>
      </c>
      <c r="G55" s="948">
        <v>55.7</v>
      </c>
      <c r="H55" s="948">
        <v>57.5</v>
      </c>
      <c r="I55" s="948">
        <v>58.6</v>
      </c>
      <c r="J55" s="948">
        <v>61</v>
      </c>
      <c r="K55" s="949">
        <v>57.8</v>
      </c>
      <c r="L55" s="950">
        <f>AVERAGE(B55:K55)</f>
        <v>58.989999999999995</v>
      </c>
      <c r="M55" s="937">
        <f>STDEVA(B55:K55)</f>
        <v>1.615515053748769</v>
      </c>
      <c r="N55" s="938">
        <f>M55/L55*100</f>
        <v>2.738625281825342</v>
      </c>
      <c r="O55" s="950">
        <f>L55-L53</f>
        <v>58.373999999999995</v>
      </c>
      <c r="P55" s="865"/>
    </row>
    <row r="56" spans="1:17" x14ac:dyDescent="0.25">
      <c r="A56" s="931" t="s">
        <v>290</v>
      </c>
      <c r="B56" s="3219" t="s">
        <v>779</v>
      </c>
      <c r="C56" s="3220"/>
      <c r="D56" s="3220"/>
      <c r="E56" s="3220"/>
      <c r="F56" s="3220"/>
      <c r="G56" s="3220"/>
      <c r="H56" s="3220"/>
      <c r="I56" s="3220"/>
      <c r="J56" s="3220"/>
      <c r="K56" s="3221"/>
      <c r="L56" s="922" t="s">
        <v>248</v>
      </c>
      <c r="M56" s="923" t="s">
        <v>62</v>
      </c>
      <c r="N56" s="924" t="s">
        <v>249</v>
      </c>
      <c r="O56" s="928" t="s">
        <v>729</v>
      </c>
    </row>
    <row r="57" spans="1:17" ht="15.75" thickBot="1" x14ac:dyDescent="0.3">
      <c r="A57" s="930" t="s">
        <v>292</v>
      </c>
      <c r="B57" s="947">
        <v>92.1</v>
      </c>
      <c r="C57" s="948">
        <v>88.6</v>
      </c>
      <c r="D57" s="948">
        <v>87.3</v>
      </c>
      <c r="E57" s="948">
        <v>90.9</v>
      </c>
      <c r="F57" s="948">
        <v>90.2</v>
      </c>
      <c r="G57" s="948">
        <v>90.1</v>
      </c>
      <c r="H57" s="948">
        <v>93.6</v>
      </c>
      <c r="I57" s="948">
        <v>90.9</v>
      </c>
      <c r="J57" s="948">
        <v>92.5</v>
      </c>
      <c r="K57" s="949">
        <v>90.7</v>
      </c>
      <c r="L57" s="950">
        <f>AVERAGE(B57:K57)</f>
        <v>90.69</v>
      </c>
      <c r="M57" s="937">
        <f>STDEVA(B57:K57)</f>
        <v>1.833909000529258</v>
      </c>
      <c r="N57" s="938">
        <f>M57/L57*100</f>
        <v>2.0221733383275531</v>
      </c>
      <c r="O57" s="951">
        <f>L57-L53</f>
        <v>90.073999999999998</v>
      </c>
      <c r="P57" s="865"/>
      <c r="Q57" s="865"/>
    </row>
    <row r="58" spans="1:17" x14ac:dyDescent="0.25">
      <c r="A58" s="931" t="s">
        <v>289</v>
      </c>
      <c r="B58" s="3219" t="s">
        <v>779</v>
      </c>
      <c r="C58" s="3220"/>
      <c r="D58" s="3220"/>
      <c r="E58" s="3220"/>
      <c r="F58" s="3220"/>
      <c r="G58" s="3220"/>
      <c r="H58" s="3220"/>
      <c r="I58" s="3220"/>
      <c r="J58" s="3220"/>
      <c r="K58" s="3221"/>
      <c r="L58" s="922" t="s">
        <v>248</v>
      </c>
      <c r="M58" s="923" t="s">
        <v>62</v>
      </c>
      <c r="N58" s="924" t="s">
        <v>249</v>
      </c>
      <c r="O58" s="928" t="s">
        <v>729</v>
      </c>
    </row>
    <row r="59" spans="1:17" ht="15.75" thickBot="1" x14ac:dyDescent="0.3">
      <c r="A59" s="930" t="s">
        <v>292</v>
      </c>
      <c r="B59" s="927">
        <v>189</v>
      </c>
      <c r="C59" s="934">
        <v>184</v>
      </c>
      <c r="D59" s="934">
        <v>185</v>
      </c>
      <c r="E59" s="934">
        <v>180</v>
      </c>
      <c r="F59" s="934">
        <v>191</v>
      </c>
      <c r="G59" s="934">
        <v>174</v>
      </c>
      <c r="H59" s="934">
        <v>195</v>
      </c>
      <c r="I59" s="934">
        <v>175</v>
      </c>
      <c r="J59" s="934">
        <v>185</v>
      </c>
      <c r="K59" s="935">
        <v>192</v>
      </c>
      <c r="L59" s="952">
        <f>AVERAGE(B59:K59)</f>
        <v>185</v>
      </c>
      <c r="M59" s="944">
        <f>STDEVA(B59:K59)</f>
        <v>7.0553368295055749</v>
      </c>
      <c r="N59" s="945">
        <f>M59/L59*100</f>
        <v>3.8136955835165272</v>
      </c>
      <c r="O59" s="953">
        <f>L59-L53</f>
        <v>184.38399999999999</v>
      </c>
      <c r="P59" s="865"/>
    </row>
    <row r="60" spans="1:17" ht="15.75" thickBot="1" x14ac:dyDescent="0.3"/>
    <row r="61" spans="1:17" x14ac:dyDescent="0.25">
      <c r="A61" s="3213" t="s">
        <v>179</v>
      </c>
      <c r="B61" s="3213"/>
      <c r="C61" s="916"/>
      <c r="D61" s="917"/>
      <c r="E61" s="917"/>
      <c r="F61" s="917"/>
      <c r="G61" s="917"/>
      <c r="H61" s="917"/>
      <c r="I61" s="917"/>
      <c r="J61" s="917"/>
      <c r="K61" s="918"/>
    </row>
    <row r="62" spans="1:17" ht="15.75" thickBot="1" x14ac:dyDescent="0.3">
      <c r="B62" s="861"/>
      <c r="C62" s="919"/>
      <c r="D62" s="920"/>
      <c r="E62" s="920"/>
      <c r="F62" s="920"/>
      <c r="G62" s="920"/>
      <c r="H62" s="920"/>
      <c r="I62" s="920"/>
      <c r="J62" s="920"/>
      <c r="K62" s="921"/>
      <c r="M62" s="869"/>
    </row>
    <row r="63" spans="1:17" ht="15.75" thickBot="1" x14ac:dyDescent="0.3"/>
    <row r="64" spans="1:17" ht="15.75" thickBot="1" x14ac:dyDescent="0.3">
      <c r="A64" s="3197" t="s">
        <v>777</v>
      </c>
      <c r="B64" s="3198"/>
      <c r="C64" s="3198"/>
      <c r="D64" s="3198"/>
      <c r="E64" s="3198"/>
      <c r="F64" s="3198"/>
      <c r="G64" s="3198"/>
      <c r="H64" s="3198"/>
      <c r="I64" s="3198"/>
      <c r="J64" s="3198"/>
      <c r="K64" s="3198"/>
      <c r="L64" s="3198"/>
      <c r="M64" s="3198"/>
      <c r="N64" s="3198"/>
      <c r="O64" s="3199"/>
    </row>
    <row r="65" spans="1:15" x14ac:dyDescent="0.25">
      <c r="A65" s="867"/>
      <c r="B65" s="867"/>
      <c r="C65" s="868"/>
      <c r="E65" s="868"/>
      <c r="H65" s="869"/>
      <c r="I65" s="866"/>
      <c r="J65" s="866"/>
      <c r="L65" s="866"/>
      <c r="M65" s="866"/>
    </row>
    <row r="66" spans="1:15" x14ac:dyDescent="0.25">
      <c r="A66" s="867"/>
      <c r="B66" s="867"/>
      <c r="C66" s="868"/>
      <c r="E66" s="866"/>
      <c r="F66" s="866"/>
      <c r="G66" s="866"/>
      <c r="H66" s="866"/>
      <c r="I66" s="866"/>
      <c r="J66" s="866"/>
    </row>
    <row r="67" spans="1:15" x14ac:dyDescent="0.25">
      <c r="A67" s="867"/>
      <c r="B67" s="867"/>
      <c r="C67" s="868"/>
      <c r="E67" s="866"/>
      <c r="F67" s="866"/>
      <c r="G67" s="866"/>
      <c r="H67" s="866"/>
      <c r="I67" s="866"/>
      <c r="J67" s="866"/>
    </row>
    <row r="68" spans="1:15" x14ac:dyDescent="0.25">
      <c r="A68" s="867"/>
      <c r="B68" s="867"/>
      <c r="C68" s="868"/>
      <c r="E68" s="866"/>
      <c r="F68" s="866"/>
      <c r="G68" s="866"/>
      <c r="H68" s="866"/>
      <c r="I68" s="866"/>
      <c r="J68" s="866"/>
    </row>
    <row r="69" spans="1:15" x14ac:dyDescent="0.25">
      <c r="A69" s="867"/>
      <c r="B69" s="867"/>
      <c r="C69" s="868"/>
      <c r="E69" s="866"/>
      <c r="F69" s="866"/>
      <c r="G69" s="866"/>
      <c r="H69" s="866"/>
      <c r="I69" s="866"/>
      <c r="J69" s="866"/>
    </row>
    <row r="70" spans="1:15" x14ac:dyDescent="0.25">
      <c r="A70" s="867"/>
      <c r="B70" s="867"/>
      <c r="C70" s="868"/>
      <c r="E70" s="866"/>
      <c r="F70" s="866"/>
      <c r="G70" s="866"/>
      <c r="H70" s="866"/>
      <c r="I70" s="866"/>
      <c r="J70" s="866"/>
    </row>
    <row r="71" spans="1:15" x14ac:dyDescent="0.25">
      <c r="A71" s="867"/>
      <c r="B71" s="867"/>
      <c r="C71" s="868"/>
      <c r="E71" s="866"/>
      <c r="F71" s="866"/>
      <c r="G71" s="866"/>
      <c r="H71" s="866"/>
      <c r="I71" s="866"/>
      <c r="J71" s="866"/>
    </row>
    <row r="72" spans="1:15" x14ac:dyDescent="0.25">
      <c r="A72" s="867"/>
      <c r="B72" s="867"/>
      <c r="C72" s="868"/>
      <c r="E72" s="866"/>
      <c r="F72" s="866"/>
      <c r="G72" s="866"/>
      <c r="H72" s="866"/>
      <c r="I72" s="866"/>
      <c r="J72" s="866"/>
    </row>
    <row r="73" spans="1:15" x14ac:dyDescent="0.25">
      <c r="A73" s="867"/>
      <c r="B73" s="867"/>
      <c r="C73" s="868"/>
      <c r="E73" s="866"/>
      <c r="F73" s="866"/>
      <c r="G73" s="866"/>
      <c r="H73" s="866"/>
      <c r="I73" s="866"/>
      <c r="J73" s="866"/>
    </row>
    <row r="74" spans="1:15" x14ac:dyDescent="0.25">
      <c r="A74" s="867"/>
      <c r="B74" s="867"/>
      <c r="C74" s="868"/>
      <c r="E74" s="866"/>
      <c r="F74" s="866"/>
      <c r="G74" s="866"/>
      <c r="H74" s="866"/>
      <c r="I74" s="866"/>
      <c r="J74" s="866"/>
    </row>
    <row r="75" spans="1:15" x14ac:dyDescent="0.25">
      <c r="A75" s="867"/>
      <c r="B75" s="867"/>
      <c r="C75" s="868"/>
      <c r="E75" s="866"/>
      <c r="F75" s="866"/>
      <c r="G75" s="866"/>
      <c r="H75" s="866"/>
      <c r="I75" s="866"/>
      <c r="J75" s="866"/>
    </row>
    <row r="76" spans="1:15" x14ac:dyDescent="0.25">
      <c r="A76" s="867"/>
      <c r="B76" s="867"/>
      <c r="C76" s="868"/>
      <c r="E76" s="866"/>
      <c r="F76" s="866"/>
      <c r="G76" s="866"/>
      <c r="H76" s="866"/>
      <c r="I76" s="866"/>
      <c r="J76" s="866"/>
    </row>
    <row r="77" spans="1:15" ht="15.75" thickBot="1" x14ac:dyDescent="0.3">
      <c r="A77" s="867"/>
      <c r="B77" s="867"/>
      <c r="C77" s="868"/>
      <c r="E77" s="868"/>
      <c r="L77" s="866"/>
      <c r="M77" s="866"/>
    </row>
    <row r="78" spans="1:15" ht="15.75" thickBot="1" x14ac:dyDescent="0.3">
      <c r="A78" s="925" t="s">
        <v>247</v>
      </c>
      <c r="B78" s="867"/>
      <c r="C78" s="868"/>
      <c r="E78" s="868"/>
      <c r="L78" s="866"/>
      <c r="M78" s="866"/>
    </row>
    <row r="79" spans="1:15" x14ac:dyDescent="0.25">
      <c r="A79" s="929" t="s">
        <v>291</v>
      </c>
      <c r="B79" s="3210" t="s">
        <v>717</v>
      </c>
      <c r="C79" s="3211"/>
      <c r="D79" s="3211"/>
      <c r="E79" s="3211"/>
      <c r="F79" s="3211"/>
      <c r="G79" s="3211"/>
      <c r="H79" s="3211"/>
      <c r="I79" s="3211"/>
      <c r="J79" s="3211"/>
      <c r="K79" s="3212"/>
      <c r="L79" s="922" t="s">
        <v>248</v>
      </c>
      <c r="M79" s="923" t="s">
        <v>62</v>
      </c>
      <c r="N79" s="924" t="s">
        <v>249</v>
      </c>
      <c r="O79" s="960" t="s">
        <v>729</v>
      </c>
    </row>
    <row r="80" spans="1:15" ht="15.75" thickBot="1" x14ac:dyDescent="0.3">
      <c r="A80" s="930" t="s">
        <v>292</v>
      </c>
      <c r="B80" s="926">
        <v>0.56000000000000005</v>
      </c>
      <c r="C80" s="932">
        <v>0.63</v>
      </c>
      <c r="D80" s="932">
        <v>0.66</v>
      </c>
      <c r="E80" s="932">
        <v>0.43</v>
      </c>
      <c r="F80" s="932">
        <v>0.53</v>
      </c>
      <c r="G80" s="932">
        <v>0.63</v>
      </c>
      <c r="H80" s="932">
        <v>0.56000000000000005</v>
      </c>
      <c r="I80" s="932">
        <v>0.63</v>
      </c>
      <c r="J80" s="932">
        <v>0.73</v>
      </c>
      <c r="K80" s="933">
        <v>0.8</v>
      </c>
      <c r="L80" s="940">
        <f>AVERAGE(B80:K80)</f>
        <v>0.61599999999999988</v>
      </c>
      <c r="M80" s="937">
        <f>STDEVA(B80:K80)</f>
        <v>0.10415799963943723</v>
      </c>
      <c r="N80" s="938">
        <f>M80/L80*100</f>
        <v>16.908766175233321</v>
      </c>
      <c r="O80" s="961" t="s">
        <v>93</v>
      </c>
    </row>
    <row r="81" spans="1:17" x14ac:dyDescent="0.25">
      <c r="A81" s="931" t="s">
        <v>285</v>
      </c>
      <c r="B81" s="3219" t="s">
        <v>719</v>
      </c>
      <c r="C81" s="3220"/>
      <c r="D81" s="3220"/>
      <c r="E81" s="3220"/>
      <c r="F81" s="3220"/>
      <c r="G81" s="3220"/>
      <c r="H81" s="3220"/>
      <c r="I81" s="3220"/>
      <c r="J81" s="3220"/>
      <c r="K81" s="3221"/>
      <c r="L81" s="922" t="s">
        <v>248</v>
      </c>
      <c r="M81" s="923" t="s">
        <v>62</v>
      </c>
      <c r="N81" s="924" t="s">
        <v>249</v>
      </c>
      <c r="O81" s="960" t="s">
        <v>729</v>
      </c>
      <c r="P81" s="865"/>
    </row>
    <row r="82" spans="1:17" ht="15.75" thickBot="1" x14ac:dyDescent="0.3">
      <c r="A82" s="930" t="s">
        <v>292</v>
      </c>
      <c r="B82" s="947">
        <v>51.6</v>
      </c>
      <c r="C82" s="948">
        <v>50.6</v>
      </c>
      <c r="D82" s="948">
        <v>49.6</v>
      </c>
      <c r="E82" s="948">
        <v>51.3</v>
      </c>
      <c r="F82" s="948">
        <v>50.8</v>
      </c>
      <c r="G82" s="948">
        <v>50.4</v>
      </c>
      <c r="H82" s="948">
        <v>51</v>
      </c>
      <c r="I82" s="948">
        <v>51.3</v>
      </c>
      <c r="J82" s="948">
        <v>52.4</v>
      </c>
      <c r="K82" s="949">
        <v>48.9</v>
      </c>
      <c r="L82" s="950">
        <f>AVERAGE(B82:K82)</f>
        <v>50.79</v>
      </c>
      <c r="M82" s="937">
        <f>STDEVA(B82:K82)</f>
        <v>0.99938870204629449</v>
      </c>
      <c r="N82" s="938">
        <f>M82/L82*100</f>
        <v>1.9676879347239506</v>
      </c>
      <c r="O82" s="963">
        <f>L82-L80</f>
        <v>50.173999999999999</v>
      </c>
      <c r="P82" s="865"/>
    </row>
    <row r="83" spans="1:17" x14ac:dyDescent="0.25">
      <c r="A83" s="931" t="s">
        <v>290</v>
      </c>
      <c r="B83" s="3210" t="s">
        <v>720</v>
      </c>
      <c r="C83" s="3211"/>
      <c r="D83" s="3211"/>
      <c r="E83" s="3211"/>
      <c r="F83" s="3211"/>
      <c r="G83" s="3211"/>
      <c r="H83" s="3211"/>
      <c r="I83" s="3211"/>
      <c r="J83" s="3211"/>
      <c r="K83" s="3212"/>
      <c r="L83" s="922" t="s">
        <v>248</v>
      </c>
      <c r="M83" s="923" t="s">
        <v>62</v>
      </c>
      <c r="N83" s="924" t="s">
        <v>249</v>
      </c>
      <c r="O83" s="960" t="s">
        <v>729</v>
      </c>
    </row>
    <row r="84" spans="1:17" ht="15.75" thickBot="1" x14ac:dyDescent="0.3">
      <c r="A84" s="930" t="s">
        <v>292</v>
      </c>
      <c r="B84" s="947">
        <v>83.4</v>
      </c>
      <c r="C84" s="948">
        <v>88.1</v>
      </c>
      <c r="D84" s="948">
        <v>86.5</v>
      </c>
      <c r="E84" s="948">
        <v>82.6</v>
      </c>
      <c r="F84" s="948">
        <v>86.7</v>
      </c>
      <c r="G84" s="948">
        <v>85.8</v>
      </c>
      <c r="H84" s="948">
        <v>85.2</v>
      </c>
      <c r="I84" s="948">
        <v>82.9</v>
      </c>
      <c r="J84" s="948">
        <v>86.8</v>
      </c>
      <c r="K84" s="949">
        <v>87.5</v>
      </c>
      <c r="L84" s="950">
        <f>AVERAGE(B84:K84)</f>
        <v>85.55</v>
      </c>
      <c r="M84" s="937">
        <f>STDEVA(B84:K84)</f>
        <v>1.9614337159899684</v>
      </c>
      <c r="N84" s="938">
        <f>M84/L84*100</f>
        <v>2.2927337416598115</v>
      </c>
      <c r="O84" s="964">
        <f>L84-L80</f>
        <v>84.933999999999997</v>
      </c>
      <c r="P84" s="865"/>
      <c r="Q84" s="865"/>
    </row>
    <row r="85" spans="1:17" x14ac:dyDescent="0.25">
      <c r="A85" s="931" t="s">
        <v>289</v>
      </c>
      <c r="B85" s="3210" t="s">
        <v>721</v>
      </c>
      <c r="C85" s="3211"/>
      <c r="D85" s="3211"/>
      <c r="E85" s="3211"/>
      <c r="F85" s="3211"/>
      <c r="G85" s="3211"/>
      <c r="H85" s="3211"/>
      <c r="I85" s="3211"/>
      <c r="J85" s="3211"/>
      <c r="K85" s="3212"/>
      <c r="L85" s="922" t="s">
        <v>248</v>
      </c>
      <c r="M85" s="923" t="s">
        <v>62</v>
      </c>
      <c r="N85" s="924" t="s">
        <v>249</v>
      </c>
      <c r="O85" s="960" t="s">
        <v>729</v>
      </c>
    </row>
    <row r="86" spans="1:17" ht="15.75" thickBot="1" x14ac:dyDescent="0.3">
      <c r="A86" s="930" t="s">
        <v>292</v>
      </c>
      <c r="B86" s="927">
        <v>178</v>
      </c>
      <c r="C86" s="934">
        <v>176</v>
      </c>
      <c r="D86" s="934">
        <v>169</v>
      </c>
      <c r="E86" s="934">
        <v>179</v>
      </c>
      <c r="F86" s="934">
        <v>163</v>
      </c>
      <c r="G86" s="934">
        <v>174</v>
      </c>
      <c r="H86" s="934">
        <v>175</v>
      </c>
      <c r="I86" s="934">
        <v>172</v>
      </c>
      <c r="J86" s="934">
        <v>169</v>
      </c>
      <c r="K86" s="935">
        <v>174</v>
      </c>
      <c r="L86" s="936">
        <f>AVERAGE(B86:K86)</f>
        <v>172.9</v>
      </c>
      <c r="M86" s="937">
        <f>STDEVA(B86:K86)</f>
        <v>4.8177911028926017</v>
      </c>
      <c r="N86" s="938">
        <f>M86/L86*100</f>
        <v>2.78646101960243</v>
      </c>
      <c r="O86" s="962">
        <f>L86-L80</f>
        <v>172.28399999999999</v>
      </c>
      <c r="P86" s="865"/>
    </row>
    <row r="87" spans="1:17" ht="15.75" thickBot="1" x14ac:dyDescent="0.3"/>
    <row r="88" spans="1:17" x14ac:dyDescent="0.25">
      <c r="A88" s="3213" t="s">
        <v>179</v>
      </c>
      <c r="B88" s="3213"/>
      <c r="C88" s="916"/>
      <c r="D88" s="917"/>
      <c r="E88" s="917"/>
      <c r="F88" s="917"/>
      <c r="G88" s="917"/>
      <c r="H88" s="917"/>
      <c r="I88" s="917"/>
      <c r="J88" s="917"/>
      <c r="K88" s="918"/>
    </row>
    <row r="89" spans="1:17" ht="15.75" thickBot="1" x14ac:dyDescent="0.3">
      <c r="B89" s="861"/>
      <c r="C89" s="919"/>
      <c r="D89" s="920"/>
      <c r="E89" s="920"/>
      <c r="F89" s="920"/>
      <c r="G89" s="920"/>
      <c r="H89" s="920"/>
      <c r="I89" s="920"/>
      <c r="J89" s="920"/>
      <c r="K89" s="921"/>
      <c r="M89" s="869"/>
    </row>
    <row r="90" spans="1:17" ht="15.75" thickBot="1" x14ac:dyDescent="0.3"/>
    <row r="91" spans="1:17" ht="15.75" thickBot="1" x14ac:dyDescent="0.3">
      <c r="A91" s="3197" t="s">
        <v>778</v>
      </c>
      <c r="B91" s="3198"/>
      <c r="C91" s="3198"/>
      <c r="D91" s="3198"/>
      <c r="E91" s="3198"/>
      <c r="F91" s="3198"/>
      <c r="G91" s="3198"/>
      <c r="H91" s="3198"/>
      <c r="I91" s="3198"/>
      <c r="J91" s="3198"/>
      <c r="K91" s="3198"/>
      <c r="L91" s="3198"/>
      <c r="M91" s="3198"/>
      <c r="N91" s="3198"/>
      <c r="O91" s="3199"/>
    </row>
    <row r="92" spans="1:17" x14ac:dyDescent="0.25">
      <c r="A92" s="867"/>
      <c r="B92" s="867"/>
      <c r="C92" s="868"/>
      <c r="E92" s="868"/>
      <c r="H92" s="869"/>
      <c r="I92" s="866"/>
      <c r="J92" s="866"/>
      <c r="L92" s="866"/>
      <c r="M92" s="866"/>
    </row>
    <row r="93" spans="1:17" x14ac:dyDescent="0.25">
      <c r="A93" s="867"/>
      <c r="B93" s="867"/>
      <c r="C93" s="868"/>
      <c r="E93" s="866"/>
      <c r="F93" s="866"/>
      <c r="G93" s="866"/>
      <c r="H93" s="866"/>
      <c r="I93" s="866"/>
      <c r="J93" s="866"/>
    </row>
    <row r="94" spans="1:17" x14ac:dyDescent="0.25">
      <c r="A94" s="867"/>
      <c r="B94" s="867"/>
      <c r="C94" s="868"/>
      <c r="E94" s="866"/>
      <c r="F94" s="866"/>
      <c r="G94" s="866"/>
      <c r="H94" s="866"/>
      <c r="I94" s="866"/>
      <c r="J94" s="866"/>
    </row>
    <row r="95" spans="1:17" x14ac:dyDescent="0.25">
      <c r="A95" s="867"/>
      <c r="B95" s="867"/>
      <c r="C95" s="868"/>
      <c r="E95" s="959"/>
      <c r="F95" s="959"/>
      <c r="G95" s="959"/>
      <c r="H95" s="959"/>
      <c r="I95" s="959"/>
      <c r="J95" s="959"/>
    </row>
    <row r="96" spans="1:17" x14ac:dyDescent="0.25">
      <c r="A96" s="867"/>
      <c r="B96" s="867"/>
      <c r="C96" s="868"/>
      <c r="E96" s="959"/>
      <c r="F96" s="959"/>
      <c r="G96" s="959"/>
      <c r="H96" s="959"/>
      <c r="I96" s="959"/>
      <c r="J96" s="959"/>
    </row>
    <row r="97" spans="1:17" x14ac:dyDescent="0.25">
      <c r="A97" s="867"/>
      <c r="B97" s="867"/>
      <c r="C97" s="868"/>
      <c r="E97" s="866"/>
      <c r="F97" s="866"/>
      <c r="G97" s="866"/>
      <c r="H97" s="866"/>
      <c r="I97" s="866"/>
      <c r="J97" s="866"/>
    </row>
    <row r="98" spans="1:17" x14ac:dyDescent="0.25">
      <c r="A98" s="867"/>
      <c r="B98" s="867"/>
      <c r="C98" s="868"/>
      <c r="E98" s="866"/>
      <c r="F98" s="866"/>
      <c r="G98" s="866"/>
      <c r="H98" s="866"/>
      <c r="I98" s="866"/>
      <c r="J98" s="866"/>
    </row>
    <row r="99" spans="1:17" x14ac:dyDescent="0.25">
      <c r="A99" s="867"/>
      <c r="B99" s="867"/>
      <c r="C99" s="868"/>
      <c r="E99" s="959"/>
      <c r="F99" s="959"/>
      <c r="G99" s="866"/>
      <c r="H99" s="866"/>
      <c r="I99" s="959"/>
      <c r="J99" s="959"/>
    </row>
    <row r="100" spans="1:17" x14ac:dyDescent="0.25">
      <c r="A100" s="867"/>
      <c r="B100" s="867"/>
      <c r="C100" s="868"/>
      <c r="E100" s="959"/>
      <c r="F100" s="959"/>
      <c r="G100" s="866"/>
      <c r="H100" s="866"/>
      <c r="I100" s="959"/>
      <c r="J100" s="959"/>
    </row>
    <row r="101" spans="1:17" x14ac:dyDescent="0.25">
      <c r="A101" s="867"/>
      <c r="B101" s="867"/>
      <c r="C101" s="868"/>
      <c r="E101" s="866"/>
      <c r="F101" s="866"/>
      <c r="G101" s="866"/>
      <c r="H101" s="866"/>
      <c r="I101" s="866"/>
      <c r="J101" s="866"/>
    </row>
    <row r="102" spans="1:17" x14ac:dyDescent="0.25">
      <c r="A102" s="867"/>
      <c r="B102" s="867"/>
      <c r="C102" s="868"/>
      <c r="E102" s="866"/>
      <c r="F102" s="866"/>
      <c r="G102" s="866"/>
      <c r="H102" s="866"/>
      <c r="I102" s="866"/>
      <c r="J102" s="866"/>
    </row>
    <row r="103" spans="1:17" ht="15.75" thickBot="1" x14ac:dyDescent="0.3">
      <c r="A103" s="867"/>
      <c r="B103" s="867"/>
      <c r="C103" s="868"/>
      <c r="E103" s="868"/>
      <c r="L103" s="866"/>
      <c r="M103" s="866"/>
    </row>
    <row r="104" spans="1:17" ht="15.75" thickBot="1" x14ac:dyDescent="0.3">
      <c r="A104" s="925" t="s">
        <v>247</v>
      </c>
      <c r="B104" s="867"/>
      <c r="C104" s="868"/>
      <c r="E104" s="868"/>
      <c r="L104" s="866"/>
      <c r="M104" s="866"/>
    </row>
    <row r="105" spans="1:17" x14ac:dyDescent="0.25">
      <c r="A105" s="929" t="s">
        <v>291</v>
      </c>
      <c r="B105" s="3210" t="s">
        <v>717</v>
      </c>
      <c r="C105" s="3211"/>
      <c r="D105" s="3211"/>
      <c r="E105" s="3211"/>
      <c r="F105" s="3211"/>
      <c r="G105" s="3211"/>
      <c r="H105" s="3211"/>
      <c r="I105" s="3211"/>
      <c r="J105" s="3211"/>
      <c r="K105" s="3212"/>
      <c r="L105" s="922" t="s">
        <v>248</v>
      </c>
      <c r="M105" s="923" t="s">
        <v>62</v>
      </c>
      <c r="N105" s="924" t="s">
        <v>249</v>
      </c>
      <c r="O105" s="960" t="s">
        <v>729</v>
      </c>
    </row>
    <row r="106" spans="1:17" ht="15.75" thickBot="1" x14ac:dyDescent="0.3">
      <c r="A106" s="930" t="s">
        <v>292</v>
      </c>
      <c r="B106" s="926">
        <v>0.56000000000000005</v>
      </c>
      <c r="C106" s="932">
        <v>0.63</v>
      </c>
      <c r="D106" s="932">
        <v>0.66</v>
      </c>
      <c r="E106" s="932">
        <v>0.43</v>
      </c>
      <c r="F106" s="932">
        <v>0.53</v>
      </c>
      <c r="G106" s="932">
        <v>0.63</v>
      </c>
      <c r="H106" s="932">
        <v>0.56000000000000005</v>
      </c>
      <c r="I106" s="932">
        <v>0.63</v>
      </c>
      <c r="J106" s="932">
        <v>0.73</v>
      </c>
      <c r="K106" s="933">
        <v>0.8</v>
      </c>
      <c r="L106" s="940">
        <f>AVERAGE(B106:K106)</f>
        <v>0.61599999999999988</v>
      </c>
      <c r="M106" s="937">
        <f>STDEVA(B106:K106)</f>
        <v>0.10415799963943723</v>
      </c>
      <c r="N106" s="938">
        <f>M106/L106*100</f>
        <v>16.908766175233321</v>
      </c>
      <c r="O106" s="961" t="s">
        <v>93</v>
      </c>
    </row>
    <row r="107" spans="1:17" x14ac:dyDescent="0.25">
      <c r="A107" s="931" t="s">
        <v>285</v>
      </c>
      <c r="B107" s="3219" t="s">
        <v>719</v>
      </c>
      <c r="C107" s="3220"/>
      <c r="D107" s="3220"/>
      <c r="E107" s="3220"/>
      <c r="F107" s="3220"/>
      <c r="G107" s="3220"/>
      <c r="H107" s="3220"/>
      <c r="I107" s="3220"/>
      <c r="J107" s="3220"/>
      <c r="K107" s="3221"/>
      <c r="L107" s="922" t="s">
        <v>248</v>
      </c>
      <c r="M107" s="923" t="s">
        <v>62</v>
      </c>
      <c r="N107" s="924" t="s">
        <v>249</v>
      </c>
      <c r="O107" s="960" t="s">
        <v>729</v>
      </c>
      <c r="P107" s="865"/>
    </row>
    <row r="108" spans="1:17" ht="15.75" thickBot="1" x14ac:dyDescent="0.3">
      <c r="A108" s="930" t="s">
        <v>292</v>
      </c>
      <c r="B108" s="947">
        <v>55.1</v>
      </c>
      <c r="C108" s="948">
        <v>54.3</v>
      </c>
      <c r="D108" s="948">
        <v>55.3</v>
      </c>
      <c r="E108" s="948">
        <v>54.6</v>
      </c>
      <c r="F108" s="948">
        <v>53.3</v>
      </c>
      <c r="G108" s="948">
        <v>54</v>
      </c>
      <c r="H108" s="948">
        <v>56.7</v>
      </c>
      <c r="I108" s="948">
        <v>56.5</v>
      </c>
      <c r="J108" s="948">
        <v>57.5</v>
      </c>
      <c r="K108" s="949">
        <v>56.1</v>
      </c>
      <c r="L108" s="950">
        <f>AVERAGE(B108:K108)</f>
        <v>55.339999999999996</v>
      </c>
      <c r="M108" s="937">
        <f>STDEVA(B108:K108)</f>
        <v>1.3368287516025057</v>
      </c>
      <c r="N108" s="938">
        <f>M108/L108*100</f>
        <v>2.415664531265822</v>
      </c>
      <c r="O108" s="963">
        <f>L108-L106</f>
        <v>54.723999999999997</v>
      </c>
      <c r="P108" s="865"/>
    </row>
    <row r="109" spans="1:17" x14ac:dyDescent="0.25">
      <c r="A109" s="931" t="s">
        <v>290</v>
      </c>
      <c r="B109" s="3210" t="s">
        <v>720</v>
      </c>
      <c r="C109" s="3211"/>
      <c r="D109" s="3211"/>
      <c r="E109" s="3211"/>
      <c r="F109" s="3211"/>
      <c r="G109" s="3211"/>
      <c r="H109" s="3211"/>
      <c r="I109" s="3211"/>
      <c r="J109" s="3211"/>
      <c r="K109" s="3212"/>
      <c r="L109" s="922" t="s">
        <v>248</v>
      </c>
      <c r="M109" s="923" t="s">
        <v>62</v>
      </c>
      <c r="N109" s="924" t="s">
        <v>249</v>
      </c>
      <c r="O109" s="960" t="s">
        <v>729</v>
      </c>
    </row>
    <row r="110" spans="1:17" ht="15.75" thickBot="1" x14ac:dyDescent="0.3">
      <c r="A110" s="930" t="s">
        <v>292</v>
      </c>
      <c r="B110" s="947">
        <v>87.6</v>
      </c>
      <c r="C110" s="948">
        <v>87.3</v>
      </c>
      <c r="D110" s="948">
        <v>86.5</v>
      </c>
      <c r="E110" s="948">
        <v>87</v>
      </c>
      <c r="F110" s="948">
        <v>89.4</v>
      </c>
      <c r="G110" s="948">
        <v>86</v>
      </c>
      <c r="H110" s="948">
        <v>87.5</v>
      </c>
      <c r="I110" s="948">
        <v>85.5</v>
      </c>
      <c r="J110" s="948">
        <v>88.2</v>
      </c>
      <c r="K110" s="949">
        <v>87.2</v>
      </c>
      <c r="L110" s="950">
        <f>AVERAGE(B110:K110)</f>
        <v>87.22</v>
      </c>
      <c r="M110" s="937">
        <f>STDEVA(B110:K110)</f>
        <v>1.1033282980751178</v>
      </c>
      <c r="N110" s="938">
        <f>M110/L110*100</f>
        <v>1.2649946091207496</v>
      </c>
      <c r="O110" s="964">
        <f>L110-L106</f>
        <v>86.603999999999999</v>
      </c>
      <c r="P110" s="865"/>
      <c r="Q110" s="865"/>
    </row>
    <row r="111" spans="1:17" x14ac:dyDescent="0.25">
      <c r="A111" s="931" t="s">
        <v>289</v>
      </c>
      <c r="B111" s="3210" t="s">
        <v>721</v>
      </c>
      <c r="C111" s="3211"/>
      <c r="D111" s="3211"/>
      <c r="E111" s="3211"/>
      <c r="F111" s="3211"/>
      <c r="G111" s="3211"/>
      <c r="H111" s="3211"/>
      <c r="I111" s="3211"/>
      <c r="J111" s="3211"/>
      <c r="K111" s="3212"/>
      <c r="L111" s="922" t="s">
        <v>248</v>
      </c>
      <c r="M111" s="923" t="s">
        <v>62</v>
      </c>
      <c r="N111" s="924" t="s">
        <v>249</v>
      </c>
      <c r="O111" s="960" t="s">
        <v>729</v>
      </c>
    </row>
    <row r="112" spans="1:17" ht="15.75" thickBot="1" x14ac:dyDescent="0.3">
      <c r="A112" s="930" t="s">
        <v>292</v>
      </c>
      <c r="B112" s="927">
        <v>182</v>
      </c>
      <c r="C112" s="934">
        <v>181</v>
      </c>
      <c r="D112" s="934">
        <v>171</v>
      </c>
      <c r="E112" s="934">
        <v>184</v>
      </c>
      <c r="F112" s="934">
        <v>169</v>
      </c>
      <c r="G112" s="934">
        <v>178</v>
      </c>
      <c r="H112" s="934">
        <v>182</v>
      </c>
      <c r="I112" s="934">
        <v>183</v>
      </c>
      <c r="J112" s="934">
        <v>179</v>
      </c>
      <c r="K112" s="935">
        <v>175</v>
      </c>
      <c r="L112" s="936">
        <f>AVERAGE(B112:K112)</f>
        <v>178.4</v>
      </c>
      <c r="M112" s="937">
        <f>STDEVA(B112:K112)</f>
        <v>5.1682793182171478</v>
      </c>
      <c r="N112" s="938">
        <f>M112/L112*100</f>
        <v>2.8970175550544548</v>
      </c>
      <c r="O112" s="962">
        <f>L112-L106</f>
        <v>177.78399999999999</v>
      </c>
      <c r="P112" s="865"/>
    </row>
    <row r="113" spans="1:13" ht="15.75" thickBot="1" x14ac:dyDescent="0.3"/>
    <row r="114" spans="1:13" x14ac:dyDescent="0.25">
      <c r="A114" s="3213" t="s">
        <v>179</v>
      </c>
      <c r="B114" s="3213"/>
      <c r="C114" s="916"/>
      <c r="D114" s="917"/>
      <c r="E114" s="917"/>
      <c r="F114" s="917"/>
      <c r="G114" s="917"/>
      <c r="H114" s="917"/>
      <c r="I114" s="917"/>
      <c r="J114" s="917"/>
      <c r="K114" s="918"/>
    </row>
    <row r="115" spans="1:13" ht="15.75" thickBot="1" x14ac:dyDescent="0.3">
      <c r="B115" s="861"/>
      <c r="C115" s="919"/>
      <c r="D115" s="920"/>
      <c r="E115" s="920"/>
      <c r="F115" s="920"/>
      <c r="G115" s="920"/>
      <c r="H115" s="920"/>
      <c r="I115" s="920"/>
      <c r="J115" s="920"/>
      <c r="K115" s="921"/>
      <c r="M115" s="869"/>
    </row>
  </sheetData>
  <sheetProtection password="D8A8"/>
  <mergeCells count="46">
    <mergeCell ref="A114:B114"/>
    <mergeCell ref="B105:K105"/>
    <mergeCell ref="B107:K107"/>
    <mergeCell ref="B109:K109"/>
    <mergeCell ref="B111:K111"/>
    <mergeCell ref="A88:B88"/>
    <mergeCell ref="A91:O91"/>
    <mergeCell ref="B79:K79"/>
    <mergeCell ref="B81:K81"/>
    <mergeCell ref="B83:K83"/>
    <mergeCell ref="B85:K85"/>
    <mergeCell ref="A61:B61"/>
    <mergeCell ref="A64:O64"/>
    <mergeCell ref="B52:K52"/>
    <mergeCell ref="B54:K54"/>
    <mergeCell ref="B56:K56"/>
    <mergeCell ref="B58:K58"/>
    <mergeCell ref="A30:C30"/>
    <mergeCell ref="A31:C31"/>
    <mergeCell ref="A32:C32"/>
    <mergeCell ref="A34:B35"/>
    <mergeCell ref="A37:O37"/>
    <mergeCell ref="A29:C29"/>
    <mergeCell ref="A18:B18"/>
    <mergeCell ref="A19:B19"/>
    <mergeCell ref="A20:B20"/>
    <mergeCell ref="A21:C21"/>
    <mergeCell ref="A22:C22"/>
    <mergeCell ref="A23:C23"/>
    <mergeCell ref="A24:C24"/>
    <mergeCell ref="A25:C25"/>
    <mergeCell ref="A26:C26"/>
    <mergeCell ref="A27:C27"/>
    <mergeCell ref="A28:C28"/>
    <mergeCell ref="C16:M16"/>
    <mergeCell ref="D1:O4"/>
    <mergeCell ref="A6:B6"/>
    <mergeCell ref="A7:B7"/>
    <mergeCell ref="A8:B8"/>
    <mergeCell ref="A9:B9"/>
    <mergeCell ref="A10:B10"/>
    <mergeCell ref="A11:B11"/>
    <mergeCell ref="A12:B12"/>
    <mergeCell ref="A13:B13"/>
    <mergeCell ref="C14:M14"/>
    <mergeCell ref="C15:M15"/>
  </mergeCells>
  <pageMargins left="0.23622047244094491" right="0.23622047244094491" top="0.74803149606299213" bottom="0.74803149606299213" header="0.31496062992125984" footer="0.31496062992125984"/>
  <pageSetup paperSize="9" scale="51" orientation="landscape" r:id="rId1"/>
  <headerFooter>
    <oddFooter>&amp;R&amp;P de &amp;N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36"/>
  <dimension ref="A1:S64"/>
  <sheetViews>
    <sheetView view="pageLayout" topLeftCell="A32" zoomScaleNormal="100" workbookViewId="0">
      <selection activeCell="E10" sqref="E10"/>
    </sheetView>
  </sheetViews>
  <sheetFormatPr baseColWidth="10" defaultColWidth="11.42578125" defaultRowHeight="12.75" x14ac:dyDescent="0.2"/>
  <cols>
    <col min="1" max="1" width="2.7109375" style="1008" customWidth="1"/>
    <col min="2" max="2" width="2.42578125" style="1008" customWidth="1"/>
    <col min="3" max="3" width="20.140625" style="1008" customWidth="1"/>
    <col min="4" max="4" width="1.5703125" style="1008" customWidth="1"/>
    <col min="5" max="5" width="7.42578125" style="1008" customWidth="1"/>
    <col min="6" max="6" width="1.85546875" style="1008" customWidth="1"/>
    <col min="7" max="7" width="6.140625" style="1008" customWidth="1"/>
    <col min="8" max="8" width="4.28515625" style="1008" customWidth="1"/>
    <col min="9" max="9" width="3.5703125" style="1008" customWidth="1"/>
    <col min="10" max="10" width="5.5703125" style="1008" customWidth="1"/>
    <col min="11" max="11" width="3.28515625" style="1008" customWidth="1"/>
    <col min="12" max="12" width="7.7109375" style="1008" customWidth="1"/>
    <col min="13" max="13" width="3.140625" style="1008" customWidth="1"/>
    <col min="14" max="14" width="7" style="1008" customWidth="1"/>
    <col min="15" max="15" width="1" style="1008" customWidth="1"/>
    <col min="16" max="16" width="7.5703125" style="1008" customWidth="1"/>
    <col min="17" max="17" width="12.5703125" style="1008" customWidth="1"/>
    <col min="18" max="18" width="1.140625" style="1008" customWidth="1"/>
    <col min="19" max="237" width="11.42578125" style="1008"/>
    <col min="238" max="238" width="2.28515625" style="1008" customWidth="1"/>
    <col min="239" max="239" width="2.7109375" style="1008" customWidth="1"/>
    <col min="240" max="240" width="2.42578125" style="1008" customWidth="1"/>
    <col min="241" max="241" width="17.7109375" style="1008" customWidth="1"/>
    <col min="242" max="242" width="1.5703125" style="1008" customWidth="1"/>
    <col min="243" max="243" width="6.42578125" style="1008" customWidth="1"/>
    <col min="244" max="244" width="13.140625" style="1008" customWidth="1"/>
    <col min="245" max="245" width="1" style="1008" customWidth="1"/>
    <col min="246" max="246" width="19.5703125" style="1008" customWidth="1"/>
    <col min="247" max="247" width="0.85546875" style="1008" customWidth="1"/>
    <col min="248" max="248" width="14.42578125" style="1008" customWidth="1"/>
    <col min="249" max="249" width="12.85546875" style="1008" customWidth="1"/>
    <col min="250" max="250" width="6.140625" style="1008" customWidth="1"/>
    <col min="251" max="252" width="11.42578125" style="1008"/>
    <col min="253" max="253" width="15.42578125" style="1008" customWidth="1"/>
    <col min="254" max="493" width="11.42578125" style="1008"/>
    <col min="494" max="494" width="2.28515625" style="1008" customWidth="1"/>
    <col min="495" max="495" width="2.7109375" style="1008" customWidth="1"/>
    <col min="496" max="496" width="2.42578125" style="1008" customWidth="1"/>
    <col min="497" max="497" width="17.7109375" style="1008" customWidth="1"/>
    <col min="498" max="498" width="1.5703125" style="1008" customWidth="1"/>
    <col min="499" max="499" width="6.42578125" style="1008" customWidth="1"/>
    <col min="500" max="500" width="13.140625" style="1008" customWidth="1"/>
    <col min="501" max="501" width="1" style="1008" customWidth="1"/>
    <col min="502" max="502" width="19.5703125" style="1008" customWidth="1"/>
    <col min="503" max="503" width="0.85546875" style="1008" customWidth="1"/>
    <col min="504" max="504" width="14.42578125" style="1008" customWidth="1"/>
    <col min="505" max="505" width="12.85546875" style="1008" customWidth="1"/>
    <col min="506" max="506" width="6.140625" style="1008" customWidth="1"/>
    <col min="507" max="508" width="11.42578125" style="1008"/>
    <col min="509" max="509" width="15.42578125" style="1008" customWidth="1"/>
    <col min="510" max="749" width="11.42578125" style="1008"/>
    <col min="750" max="750" width="2.28515625" style="1008" customWidth="1"/>
    <col min="751" max="751" width="2.7109375" style="1008" customWidth="1"/>
    <col min="752" max="752" width="2.42578125" style="1008" customWidth="1"/>
    <col min="753" max="753" width="17.7109375" style="1008" customWidth="1"/>
    <col min="754" max="754" width="1.5703125" style="1008" customWidth="1"/>
    <col min="755" max="755" width="6.42578125" style="1008" customWidth="1"/>
    <col min="756" max="756" width="13.140625" style="1008" customWidth="1"/>
    <col min="757" max="757" width="1" style="1008" customWidth="1"/>
    <col min="758" max="758" width="19.5703125" style="1008" customWidth="1"/>
    <col min="759" max="759" width="0.85546875" style="1008" customWidth="1"/>
    <col min="760" max="760" width="14.42578125" style="1008" customWidth="1"/>
    <col min="761" max="761" width="12.85546875" style="1008" customWidth="1"/>
    <col min="762" max="762" width="6.140625" style="1008" customWidth="1"/>
    <col min="763" max="764" width="11.42578125" style="1008"/>
    <col min="765" max="765" width="15.42578125" style="1008" customWidth="1"/>
    <col min="766" max="1005" width="11.42578125" style="1008"/>
    <col min="1006" max="1006" width="2.28515625" style="1008" customWidth="1"/>
    <col min="1007" max="1007" width="2.7109375" style="1008" customWidth="1"/>
    <col min="1008" max="1008" width="2.42578125" style="1008" customWidth="1"/>
    <col min="1009" max="1009" width="17.7109375" style="1008" customWidth="1"/>
    <col min="1010" max="1010" width="1.5703125" style="1008" customWidth="1"/>
    <col min="1011" max="1011" width="6.42578125" style="1008" customWidth="1"/>
    <col min="1012" max="1012" width="13.140625" style="1008" customWidth="1"/>
    <col min="1013" max="1013" width="1" style="1008" customWidth="1"/>
    <col min="1014" max="1014" width="19.5703125" style="1008" customWidth="1"/>
    <col min="1015" max="1015" width="0.85546875" style="1008" customWidth="1"/>
    <col min="1016" max="1016" width="14.42578125" style="1008" customWidth="1"/>
    <col min="1017" max="1017" width="12.85546875" style="1008" customWidth="1"/>
    <col min="1018" max="1018" width="6.140625" style="1008" customWidth="1"/>
    <col min="1019" max="1020" width="11.42578125" style="1008"/>
    <col min="1021" max="1021" width="15.42578125" style="1008" customWidth="1"/>
    <col min="1022" max="1261" width="11.42578125" style="1008"/>
    <col min="1262" max="1262" width="2.28515625" style="1008" customWidth="1"/>
    <col min="1263" max="1263" width="2.7109375" style="1008" customWidth="1"/>
    <col min="1264" max="1264" width="2.42578125" style="1008" customWidth="1"/>
    <col min="1265" max="1265" width="17.7109375" style="1008" customWidth="1"/>
    <col min="1266" max="1266" width="1.5703125" style="1008" customWidth="1"/>
    <col min="1267" max="1267" width="6.42578125" style="1008" customWidth="1"/>
    <col min="1268" max="1268" width="13.140625" style="1008" customWidth="1"/>
    <col min="1269" max="1269" width="1" style="1008" customWidth="1"/>
    <col min="1270" max="1270" width="19.5703125" style="1008" customWidth="1"/>
    <col min="1271" max="1271" width="0.85546875" style="1008" customWidth="1"/>
    <col min="1272" max="1272" width="14.42578125" style="1008" customWidth="1"/>
    <col min="1273" max="1273" width="12.85546875" style="1008" customWidth="1"/>
    <col min="1274" max="1274" width="6.140625" style="1008" customWidth="1"/>
    <col min="1275" max="1276" width="11.42578125" style="1008"/>
    <col min="1277" max="1277" width="15.42578125" style="1008" customWidth="1"/>
    <col min="1278" max="1517" width="11.42578125" style="1008"/>
    <col min="1518" max="1518" width="2.28515625" style="1008" customWidth="1"/>
    <col min="1519" max="1519" width="2.7109375" style="1008" customWidth="1"/>
    <col min="1520" max="1520" width="2.42578125" style="1008" customWidth="1"/>
    <col min="1521" max="1521" width="17.7109375" style="1008" customWidth="1"/>
    <col min="1522" max="1522" width="1.5703125" style="1008" customWidth="1"/>
    <col min="1523" max="1523" width="6.42578125" style="1008" customWidth="1"/>
    <col min="1524" max="1524" width="13.140625" style="1008" customWidth="1"/>
    <col min="1525" max="1525" width="1" style="1008" customWidth="1"/>
    <col min="1526" max="1526" width="19.5703125" style="1008" customWidth="1"/>
    <col min="1527" max="1527" width="0.85546875" style="1008" customWidth="1"/>
    <col min="1528" max="1528" width="14.42578125" style="1008" customWidth="1"/>
    <col min="1529" max="1529" width="12.85546875" style="1008" customWidth="1"/>
    <col min="1530" max="1530" width="6.140625" style="1008" customWidth="1"/>
    <col min="1531" max="1532" width="11.42578125" style="1008"/>
    <col min="1533" max="1533" width="15.42578125" style="1008" customWidth="1"/>
    <col min="1534" max="1773" width="11.42578125" style="1008"/>
    <col min="1774" max="1774" width="2.28515625" style="1008" customWidth="1"/>
    <col min="1775" max="1775" width="2.7109375" style="1008" customWidth="1"/>
    <col min="1776" max="1776" width="2.42578125" style="1008" customWidth="1"/>
    <col min="1777" max="1777" width="17.7109375" style="1008" customWidth="1"/>
    <col min="1778" max="1778" width="1.5703125" style="1008" customWidth="1"/>
    <col min="1779" max="1779" width="6.42578125" style="1008" customWidth="1"/>
    <col min="1780" max="1780" width="13.140625" style="1008" customWidth="1"/>
    <col min="1781" max="1781" width="1" style="1008" customWidth="1"/>
    <col min="1782" max="1782" width="19.5703125" style="1008" customWidth="1"/>
    <col min="1783" max="1783" width="0.85546875" style="1008" customWidth="1"/>
    <col min="1784" max="1784" width="14.42578125" style="1008" customWidth="1"/>
    <col min="1785" max="1785" width="12.85546875" style="1008" customWidth="1"/>
    <col min="1786" max="1786" width="6.140625" style="1008" customWidth="1"/>
    <col min="1787" max="1788" width="11.42578125" style="1008"/>
    <col min="1789" max="1789" width="15.42578125" style="1008" customWidth="1"/>
    <col min="1790" max="2029" width="11.42578125" style="1008"/>
    <col min="2030" max="2030" width="2.28515625" style="1008" customWidth="1"/>
    <col min="2031" max="2031" width="2.7109375" style="1008" customWidth="1"/>
    <col min="2032" max="2032" width="2.42578125" style="1008" customWidth="1"/>
    <col min="2033" max="2033" width="17.7109375" style="1008" customWidth="1"/>
    <col min="2034" max="2034" width="1.5703125" style="1008" customWidth="1"/>
    <col min="2035" max="2035" width="6.42578125" style="1008" customWidth="1"/>
    <col min="2036" max="2036" width="13.140625" style="1008" customWidth="1"/>
    <col min="2037" max="2037" width="1" style="1008" customWidth="1"/>
    <col min="2038" max="2038" width="19.5703125" style="1008" customWidth="1"/>
    <col min="2039" max="2039" width="0.85546875" style="1008" customWidth="1"/>
    <col min="2040" max="2040" width="14.42578125" style="1008" customWidth="1"/>
    <col min="2041" max="2041" width="12.85546875" style="1008" customWidth="1"/>
    <col min="2042" max="2042" width="6.140625" style="1008" customWidth="1"/>
    <col min="2043" max="2044" width="11.42578125" style="1008"/>
    <col min="2045" max="2045" width="15.42578125" style="1008" customWidth="1"/>
    <col min="2046" max="2285" width="11.42578125" style="1008"/>
    <col min="2286" max="2286" width="2.28515625" style="1008" customWidth="1"/>
    <col min="2287" max="2287" width="2.7109375" style="1008" customWidth="1"/>
    <col min="2288" max="2288" width="2.42578125" style="1008" customWidth="1"/>
    <col min="2289" max="2289" width="17.7109375" style="1008" customWidth="1"/>
    <col min="2290" max="2290" width="1.5703125" style="1008" customWidth="1"/>
    <col min="2291" max="2291" width="6.42578125" style="1008" customWidth="1"/>
    <col min="2292" max="2292" width="13.140625" style="1008" customWidth="1"/>
    <col min="2293" max="2293" width="1" style="1008" customWidth="1"/>
    <col min="2294" max="2294" width="19.5703125" style="1008" customWidth="1"/>
    <col min="2295" max="2295" width="0.85546875" style="1008" customWidth="1"/>
    <col min="2296" max="2296" width="14.42578125" style="1008" customWidth="1"/>
    <col min="2297" max="2297" width="12.85546875" style="1008" customWidth="1"/>
    <col min="2298" max="2298" width="6.140625" style="1008" customWidth="1"/>
    <col min="2299" max="2300" width="11.42578125" style="1008"/>
    <col min="2301" max="2301" width="15.42578125" style="1008" customWidth="1"/>
    <col min="2302" max="2541" width="11.42578125" style="1008"/>
    <col min="2542" max="2542" width="2.28515625" style="1008" customWidth="1"/>
    <col min="2543" max="2543" width="2.7109375" style="1008" customWidth="1"/>
    <col min="2544" max="2544" width="2.42578125" style="1008" customWidth="1"/>
    <col min="2545" max="2545" width="17.7109375" style="1008" customWidth="1"/>
    <col min="2546" max="2546" width="1.5703125" style="1008" customWidth="1"/>
    <col min="2547" max="2547" width="6.42578125" style="1008" customWidth="1"/>
    <col min="2548" max="2548" width="13.140625" style="1008" customWidth="1"/>
    <col min="2549" max="2549" width="1" style="1008" customWidth="1"/>
    <col min="2550" max="2550" width="19.5703125" style="1008" customWidth="1"/>
    <col min="2551" max="2551" width="0.85546875" style="1008" customWidth="1"/>
    <col min="2552" max="2552" width="14.42578125" style="1008" customWidth="1"/>
    <col min="2553" max="2553" width="12.85546875" style="1008" customWidth="1"/>
    <col min="2554" max="2554" width="6.140625" style="1008" customWidth="1"/>
    <col min="2555" max="2556" width="11.42578125" style="1008"/>
    <col min="2557" max="2557" width="15.42578125" style="1008" customWidth="1"/>
    <col min="2558" max="2797" width="11.42578125" style="1008"/>
    <col min="2798" max="2798" width="2.28515625" style="1008" customWidth="1"/>
    <col min="2799" max="2799" width="2.7109375" style="1008" customWidth="1"/>
    <col min="2800" max="2800" width="2.42578125" style="1008" customWidth="1"/>
    <col min="2801" max="2801" width="17.7109375" style="1008" customWidth="1"/>
    <col min="2802" max="2802" width="1.5703125" style="1008" customWidth="1"/>
    <col min="2803" max="2803" width="6.42578125" style="1008" customWidth="1"/>
    <col min="2804" max="2804" width="13.140625" style="1008" customWidth="1"/>
    <col min="2805" max="2805" width="1" style="1008" customWidth="1"/>
    <col min="2806" max="2806" width="19.5703125" style="1008" customWidth="1"/>
    <col min="2807" max="2807" width="0.85546875" style="1008" customWidth="1"/>
    <col min="2808" max="2808" width="14.42578125" style="1008" customWidth="1"/>
    <col min="2809" max="2809" width="12.85546875" style="1008" customWidth="1"/>
    <col min="2810" max="2810" width="6.140625" style="1008" customWidth="1"/>
    <col min="2811" max="2812" width="11.42578125" style="1008"/>
    <col min="2813" max="2813" width="15.42578125" style="1008" customWidth="1"/>
    <col min="2814" max="3053" width="11.42578125" style="1008"/>
    <col min="3054" max="3054" width="2.28515625" style="1008" customWidth="1"/>
    <col min="3055" max="3055" width="2.7109375" style="1008" customWidth="1"/>
    <col min="3056" max="3056" width="2.42578125" style="1008" customWidth="1"/>
    <col min="3057" max="3057" width="17.7109375" style="1008" customWidth="1"/>
    <col min="3058" max="3058" width="1.5703125" style="1008" customWidth="1"/>
    <col min="3059" max="3059" width="6.42578125" style="1008" customWidth="1"/>
    <col min="3060" max="3060" width="13.140625" style="1008" customWidth="1"/>
    <col min="3061" max="3061" width="1" style="1008" customWidth="1"/>
    <col min="3062" max="3062" width="19.5703125" style="1008" customWidth="1"/>
    <col min="3063" max="3063" width="0.85546875" style="1008" customWidth="1"/>
    <col min="3064" max="3064" width="14.42578125" style="1008" customWidth="1"/>
    <col min="3065" max="3065" width="12.85546875" style="1008" customWidth="1"/>
    <col min="3066" max="3066" width="6.140625" style="1008" customWidth="1"/>
    <col min="3067" max="3068" width="11.42578125" style="1008"/>
    <col min="3069" max="3069" width="15.42578125" style="1008" customWidth="1"/>
    <col min="3070" max="3309" width="11.42578125" style="1008"/>
    <col min="3310" max="3310" width="2.28515625" style="1008" customWidth="1"/>
    <col min="3311" max="3311" width="2.7109375" style="1008" customWidth="1"/>
    <col min="3312" max="3312" width="2.42578125" style="1008" customWidth="1"/>
    <col min="3313" max="3313" width="17.7109375" style="1008" customWidth="1"/>
    <col min="3314" max="3314" width="1.5703125" style="1008" customWidth="1"/>
    <col min="3315" max="3315" width="6.42578125" style="1008" customWidth="1"/>
    <col min="3316" max="3316" width="13.140625" style="1008" customWidth="1"/>
    <col min="3317" max="3317" width="1" style="1008" customWidth="1"/>
    <col min="3318" max="3318" width="19.5703125" style="1008" customWidth="1"/>
    <col min="3319" max="3319" width="0.85546875" style="1008" customWidth="1"/>
    <col min="3320" max="3320" width="14.42578125" style="1008" customWidth="1"/>
    <col min="3321" max="3321" width="12.85546875" style="1008" customWidth="1"/>
    <col min="3322" max="3322" width="6.140625" style="1008" customWidth="1"/>
    <col min="3323" max="3324" width="11.42578125" style="1008"/>
    <col min="3325" max="3325" width="15.42578125" style="1008" customWidth="1"/>
    <col min="3326" max="3565" width="11.42578125" style="1008"/>
    <col min="3566" max="3566" width="2.28515625" style="1008" customWidth="1"/>
    <col min="3567" max="3567" width="2.7109375" style="1008" customWidth="1"/>
    <col min="3568" max="3568" width="2.42578125" style="1008" customWidth="1"/>
    <col min="3569" max="3569" width="17.7109375" style="1008" customWidth="1"/>
    <col min="3570" max="3570" width="1.5703125" style="1008" customWidth="1"/>
    <col min="3571" max="3571" width="6.42578125" style="1008" customWidth="1"/>
    <col min="3572" max="3572" width="13.140625" style="1008" customWidth="1"/>
    <col min="3573" max="3573" width="1" style="1008" customWidth="1"/>
    <col min="3574" max="3574" width="19.5703125" style="1008" customWidth="1"/>
    <col min="3575" max="3575" width="0.85546875" style="1008" customWidth="1"/>
    <col min="3576" max="3576" width="14.42578125" style="1008" customWidth="1"/>
    <col min="3577" max="3577" width="12.85546875" style="1008" customWidth="1"/>
    <col min="3578" max="3578" width="6.140625" style="1008" customWidth="1"/>
    <col min="3579" max="3580" width="11.42578125" style="1008"/>
    <col min="3581" max="3581" width="15.42578125" style="1008" customWidth="1"/>
    <col min="3582" max="3821" width="11.42578125" style="1008"/>
    <col min="3822" max="3822" width="2.28515625" style="1008" customWidth="1"/>
    <col min="3823" max="3823" width="2.7109375" style="1008" customWidth="1"/>
    <col min="3824" max="3824" width="2.42578125" style="1008" customWidth="1"/>
    <col min="3825" max="3825" width="17.7109375" style="1008" customWidth="1"/>
    <col min="3826" max="3826" width="1.5703125" style="1008" customWidth="1"/>
    <col min="3827" max="3827" width="6.42578125" style="1008" customWidth="1"/>
    <col min="3828" max="3828" width="13.140625" style="1008" customWidth="1"/>
    <col min="3829" max="3829" width="1" style="1008" customWidth="1"/>
    <col min="3830" max="3830" width="19.5703125" style="1008" customWidth="1"/>
    <col min="3831" max="3831" width="0.85546875" style="1008" customWidth="1"/>
    <col min="3832" max="3832" width="14.42578125" style="1008" customWidth="1"/>
    <col min="3833" max="3833" width="12.85546875" style="1008" customWidth="1"/>
    <col min="3834" max="3834" width="6.140625" style="1008" customWidth="1"/>
    <col min="3835" max="3836" width="11.42578125" style="1008"/>
    <col min="3837" max="3837" width="15.42578125" style="1008" customWidth="1"/>
    <col min="3838" max="4077" width="11.42578125" style="1008"/>
    <col min="4078" max="4078" width="2.28515625" style="1008" customWidth="1"/>
    <col min="4079" max="4079" width="2.7109375" style="1008" customWidth="1"/>
    <col min="4080" max="4080" width="2.42578125" style="1008" customWidth="1"/>
    <col min="4081" max="4081" width="17.7109375" style="1008" customWidth="1"/>
    <col min="4082" max="4082" width="1.5703125" style="1008" customWidth="1"/>
    <col min="4083" max="4083" width="6.42578125" style="1008" customWidth="1"/>
    <col min="4084" max="4084" width="13.140625" style="1008" customWidth="1"/>
    <col min="4085" max="4085" width="1" style="1008" customWidth="1"/>
    <col min="4086" max="4086" width="19.5703125" style="1008" customWidth="1"/>
    <col min="4087" max="4087" width="0.85546875" style="1008" customWidth="1"/>
    <col min="4088" max="4088" width="14.42578125" style="1008" customWidth="1"/>
    <col min="4089" max="4089" width="12.85546875" style="1008" customWidth="1"/>
    <col min="4090" max="4090" width="6.140625" style="1008" customWidth="1"/>
    <col min="4091" max="4092" width="11.42578125" style="1008"/>
    <col min="4093" max="4093" width="15.42578125" style="1008" customWidth="1"/>
    <col min="4094" max="4333" width="11.42578125" style="1008"/>
    <col min="4334" max="4334" width="2.28515625" style="1008" customWidth="1"/>
    <col min="4335" max="4335" width="2.7109375" style="1008" customWidth="1"/>
    <col min="4336" max="4336" width="2.42578125" style="1008" customWidth="1"/>
    <col min="4337" max="4337" width="17.7109375" style="1008" customWidth="1"/>
    <col min="4338" max="4338" width="1.5703125" style="1008" customWidth="1"/>
    <col min="4339" max="4339" width="6.42578125" style="1008" customWidth="1"/>
    <col min="4340" max="4340" width="13.140625" style="1008" customWidth="1"/>
    <col min="4341" max="4341" width="1" style="1008" customWidth="1"/>
    <col min="4342" max="4342" width="19.5703125" style="1008" customWidth="1"/>
    <col min="4343" max="4343" width="0.85546875" style="1008" customWidth="1"/>
    <col min="4344" max="4344" width="14.42578125" style="1008" customWidth="1"/>
    <col min="4345" max="4345" width="12.85546875" style="1008" customWidth="1"/>
    <col min="4346" max="4346" width="6.140625" style="1008" customWidth="1"/>
    <col min="4347" max="4348" width="11.42578125" style="1008"/>
    <col min="4349" max="4349" width="15.42578125" style="1008" customWidth="1"/>
    <col min="4350" max="4589" width="11.42578125" style="1008"/>
    <col min="4590" max="4590" width="2.28515625" style="1008" customWidth="1"/>
    <col min="4591" max="4591" width="2.7109375" style="1008" customWidth="1"/>
    <col min="4592" max="4592" width="2.42578125" style="1008" customWidth="1"/>
    <col min="4593" max="4593" width="17.7109375" style="1008" customWidth="1"/>
    <col min="4594" max="4594" width="1.5703125" style="1008" customWidth="1"/>
    <col min="4595" max="4595" width="6.42578125" style="1008" customWidth="1"/>
    <col min="4596" max="4596" width="13.140625" style="1008" customWidth="1"/>
    <col min="4597" max="4597" width="1" style="1008" customWidth="1"/>
    <col min="4598" max="4598" width="19.5703125" style="1008" customWidth="1"/>
    <col min="4599" max="4599" width="0.85546875" style="1008" customWidth="1"/>
    <col min="4600" max="4600" width="14.42578125" style="1008" customWidth="1"/>
    <col min="4601" max="4601" width="12.85546875" style="1008" customWidth="1"/>
    <col min="4602" max="4602" width="6.140625" style="1008" customWidth="1"/>
    <col min="4603" max="4604" width="11.42578125" style="1008"/>
    <col min="4605" max="4605" width="15.42578125" style="1008" customWidth="1"/>
    <col min="4606" max="4845" width="11.42578125" style="1008"/>
    <col min="4846" max="4846" width="2.28515625" style="1008" customWidth="1"/>
    <col min="4847" max="4847" width="2.7109375" style="1008" customWidth="1"/>
    <col min="4848" max="4848" width="2.42578125" style="1008" customWidth="1"/>
    <col min="4849" max="4849" width="17.7109375" style="1008" customWidth="1"/>
    <col min="4850" max="4850" width="1.5703125" style="1008" customWidth="1"/>
    <col min="4851" max="4851" width="6.42578125" style="1008" customWidth="1"/>
    <col min="4852" max="4852" width="13.140625" style="1008" customWidth="1"/>
    <col min="4853" max="4853" width="1" style="1008" customWidth="1"/>
    <col min="4854" max="4854" width="19.5703125" style="1008" customWidth="1"/>
    <col min="4855" max="4855" width="0.85546875" style="1008" customWidth="1"/>
    <col min="4856" max="4856" width="14.42578125" style="1008" customWidth="1"/>
    <col min="4857" max="4857" width="12.85546875" style="1008" customWidth="1"/>
    <col min="4858" max="4858" width="6.140625" style="1008" customWidth="1"/>
    <col min="4859" max="4860" width="11.42578125" style="1008"/>
    <col min="4861" max="4861" width="15.42578125" style="1008" customWidth="1"/>
    <col min="4862" max="5101" width="11.42578125" style="1008"/>
    <col min="5102" max="5102" width="2.28515625" style="1008" customWidth="1"/>
    <col min="5103" max="5103" width="2.7109375" style="1008" customWidth="1"/>
    <col min="5104" max="5104" width="2.42578125" style="1008" customWidth="1"/>
    <col min="5105" max="5105" width="17.7109375" style="1008" customWidth="1"/>
    <col min="5106" max="5106" width="1.5703125" style="1008" customWidth="1"/>
    <col min="5107" max="5107" width="6.42578125" style="1008" customWidth="1"/>
    <col min="5108" max="5108" width="13.140625" style="1008" customWidth="1"/>
    <col min="5109" max="5109" width="1" style="1008" customWidth="1"/>
    <col min="5110" max="5110" width="19.5703125" style="1008" customWidth="1"/>
    <col min="5111" max="5111" width="0.85546875" style="1008" customWidth="1"/>
    <col min="5112" max="5112" width="14.42578125" style="1008" customWidth="1"/>
    <col min="5113" max="5113" width="12.85546875" style="1008" customWidth="1"/>
    <col min="5114" max="5114" width="6.140625" style="1008" customWidth="1"/>
    <col min="5115" max="5116" width="11.42578125" style="1008"/>
    <col min="5117" max="5117" width="15.42578125" style="1008" customWidth="1"/>
    <col min="5118" max="5357" width="11.42578125" style="1008"/>
    <col min="5358" max="5358" width="2.28515625" style="1008" customWidth="1"/>
    <col min="5359" max="5359" width="2.7109375" style="1008" customWidth="1"/>
    <col min="5360" max="5360" width="2.42578125" style="1008" customWidth="1"/>
    <col min="5361" max="5361" width="17.7109375" style="1008" customWidth="1"/>
    <col min="5362" max="5362" width="1.5703125" style="1008" customWidth="1"/>
    <col min="5363" max="5363" width="6.42578125" style="1008" customWidth="1"/>
    <col min="5364" max="5364" width="13.140625" style="1008" customWidth="1"/>
    <col min="5365" max="5365" width="1" style="1008" customWidth="1"/>
    <col min="5366" max="5366" width="19.5703125" style="1008" customWidth="1"/>
    <col min="5367" max="5367" width="0.85546875" style="1008" customWidth="1"/>
    <col min="5368" max="5368" width="14.42578125" style="1008" customWidth="1"/>
    <col min="5369" max="5369" width="12.85546875" style="1008" customWidth="1"/>
    <col min="5370" max="5370" width="6.140625" style="1008" customWidth="1"/>
    <col min="5371" max="5372" width="11.42578125" style="1008"/>
    <col min="5373" max="5373" width="15.42578125" style="1008" customWidth="1"/>
    <col min="5374" max="5613" width="11.42578125" style="1008"/>
    <col min="5614" max="5614" width="2.28515625" style="1008" customWidth="1"/>
    <col min="5615" max="5615" width="2.7109375" style="1008" customWidth="1"/>
    <col min="5616" max="5616" width="2.42578125" style="1008" customWidth="1"/>
    <col min="5617" max="5617" width="17.7109375" style="1008" customWidth="1"/>
    <col min="5618" max="5618" width="1.5703125" style="1008" customWidth="1"/>
    <col min="5619" max="5619" width="6.42578125" style="1008" customWidth="1"/>
    <col min="5620" max="5620" width="13.140625" style="1008" customWidth="1"/>
    <col min="5621" max="5621" width="1" style="1008" customWidth="1"/>
    <col min="5622" max="5622" width="19.5703125" style="1008" customWidth="1"/>
    <col min="5623" max="5623" width="0.85546875" style="1008" customWidth="1"/>
    <col min="5624" max="5624" width="14.42578125" style="1008" customWidth="1"/>
    <col min="5625" max="5625" width="12.85546875" style="1008" customWidth="1"/>
    <col min="5626" max="5626" width="6.140625" style="1008" customWidth="1"/>
    <col min="5627" max="5628" width="11.42578125" style="1008"/>
    <col min="5629" max="5629" width="15.42578125" style="1008" customWidth="1"/>
    <col min="5630" max="5869" width="11.42578125" style="1008"/>
    <col min="5870" max="5870" width="2.28515625" style="1008" customWidth="1"/>
    <col min="5871" max="5871" width="2.7109375" style="1008" customWidth="1"/>
    <col min="5872" max="5872" width="2.42578125" style="1008" customWidth="1"/>
    <col min="5873" max="5873" width="17.7109375" style="1008" customWidth="1"/>
    <col min="5874" max="5874" width="1.5703125" style="1008" customWidth="1"/>
    <col min="5875" max="5875" width="6.42578125" style="1008" customWidth="1"/>
    <col min="5876" max="5876" width="13.140625" style="1008" customWidth="1"/>
    <col min="5877" max="5877" width="1" style="1008" customWidth="1"/>
    <col min="5878" max="5878" width="19.5703125" style="1008" customWidth="1"/>
    <col min="5879" max="5879" width="0.85546875" style="1008" customWidth="1"/>
    <col min="5880" max="5880" width="14.42578125" style="1008" customWidth="1"/>
    <col min="5881" max="5881" width="12.85546875" style="1008" customWidth="1"/>
    <col min="5882" max="5882" width="6.140625" style="1008" customWidth="1"/>
    <col min="5883" max="5884" width="11.42578125" style="1008"/>
    <col min="5885" max="5885" width="15.42578125" style="1008" customWidth="1"/>
    <col min="5886" max="6125" width="11.42578125" style="1008"/>
    <col min="6126" max="6126" width="2.28515625" style="1008" customWidth="1"/>
    <col min="6127" max="6127" width="2.7109375" style="1008" customWidth="1"/>
    <col min="6128" max="6128" width="2.42578125" style="1008" customWidth="1"/>
    <col min="6129" max="6129" width="17.7109375" style="1008" customWidth="1"/>
    <col min="6130" max="6130" width="1.5703125" style="1008" customWidth="1"/>
    <col min="6131" max="6131" width="6.42578125" style="1008" customWidth="1"/>
    <col min="6132" max="6132" width="13.140625" style="1008" customWidth="1"/>
    <col min="6133" max="6133" width="1" style="1008" customWidth="1"/>
    <col min="6134" max="6134" width="19.5703125" style="1008" customWidth="1"/>
    <col min="6135" max="6135" width="0.85546875" style="1008" customWidth="1"/>
    <col min="6136" max="6136" width="14.42578125" style="1008" customWidth="1"/>
    <col min="6137" max="6137" width="12.85546875" style="1008" customWidth="1"/>
    <col min="6138" max="6138" width="6.140625" style="1008" customWidth="1"/>
    <col min="6139" max="6140" width="11.42578125" style="1008"/>
    <col min="6141" max="6141" width="15.42578125" style="1008" customWidth="1"/>
    <col min="6142" max="6381" width="11.42578125" style="1008"/>
    <col min="6382" max="6382" width="2.28515625" style="1008" customWidth="1"/>
    <col min="6383" max="6383" width="2.7109375" style="1008" customWidth="1"/>
    <col min="6384" max="6384" width="2.42578125" style="1008" customWidth="1"/>
    <col min="6385" max="6385" width="17.7109375" style="1008" customWidth="1"/>
    <col min="6386" max="6386" width="1.5703125" style="1008" customWidth="1"/>
    <col min="6387" max="6387" width="6.42578125" style="1008" customWidth="1"/>
    <col min="6388" max="6388" width="13.140625" style="1008" customWidth="1"/>
    <col min="6389" max="6389" width="1" style="1008" customWidth="1"/>
    <col min="6390" max="6390" width="19.5703125" style="1008" customWidth="1"/>
    <col min="6391" max="6391" width="0.85546875" style="1008" customWidth="1"/>
    <col min="6392" max="6392" width="14.42578125" style="1008" customWidth="1"/>
    <col min="6393" max="6393" width="12.85546875" style="1008" customWidth="1"/>
    <col min="6394" max="6394" width="6.140625" style="1008" customWidth="1"/>
    <col min="6395" max="6396" width="11.42578125" style="1008"/>
    <col min="6397" max="6397" width="15.42578125" style="1008" customWidth="1"/>
    <col min="6398" max="6637" width="11.42578125" style="1008"/>
    <col min="6638" max="6638" width="2.28515625" style="1008" customWidth="1"/>
    <col min="6639" max="6639" width="2.7109375" style="1008" customWidth="1"/>
    <col min="6640" max="6640" width="2.42578125" style="1008" customWidth="1"/>
    <col min="6641" max="6641" width="17.7109375" style="1008" customWidth="1"/>
    <col min="6642" max="6642" width="1.5703125" style="1008" customWidth="1"/>
    <col min="6643" max="6643" width="6.42578125" style="1008" customWidth="1"/>
    <col min="6644" max="6644" width="13.140625" style="1008" customWidth="1"/>
    <col min="6645" max="6645" width="1" style="1008" customWidth="1"/>
    <col min="6646" max="6646" width="19.5703125" style="1008" customWidth="1"/>
    <col min="6647" max="6647" width="0.85546875" style="1008" customWidth="1"/>
    <col min="6648" max="6648" width="14.42578125" style="1008" customWidth="1"/>
    <col min="6649" max="6649" width="12.85546875" style="1008" customWidth="1"/>
    <col min="6650" max="6650" width="6.140625" style="1008" customWidth="1"/>
    <col min="6651" max="6652" width="11.42578125" style="1008"/>
    <col min="6653" max="6653" width="15.42578125" style="1008" customWidth="1"/>
    <col min="6654" max="6893" width="11.42578125" style="1008"/>
    <col min="6894" max="6894" width="2.28515625" style="1008" customWidth="1"/>
    <col min="6895" max="6895" width="2.7109375" style="1008" customWidth="1"/>
    <col min="6896" max="6896" width="2.42578125" style="1008" customWidth="1"/>
    <col min="6897" max="6897" width="17.7109375" style="1008" customWidth="1"/>
    <col min="6898" max="6898" width="1.5703125" style="1008" customWidth="1"/>
    <col min="6899" max="6899" width="6.42578125" style="1008" customWidth="1"/>
    <col min="6900" max="6900" width="13.140625" style="1008" customWidth="1"/>
    <col min="6901" max="6901" width="1" style="1008" customWidth="1"/>
    <col min="6902" max="6902" width="19.5703125" style="1008" customWidth="1"/>
    <col min="6903" max="6903" width="0.85546875" style="1008" customWidth="1"/>
    <col min="6904" max="6904" width="14.42578125" style="1008" customWidth="1"/>
    <col min="6905" max="6905" width="12.85546875" style="1008" customWidth="1"/>
    <col min="6906" max="6906" width="6.140625" style="1008" customWidth="1"/>
    <col min="6907" max="6908" width="11.42578125" style="1008"/>
    <col min="6909" max="6909" width="15.42578125" style="1008" customWidth="1"/>
    <col min="6910" max="7149" width="11.42578125" style="1008"/>
    <col min="7150" max="7150" width="2.28515625" style="1008" customWidth="1"/>
    <col min="7151" max="7151" width="2.7109375" style="1008" customWidth="1"/>
    <col min="7152" max="7152" width="2.42578125" style="1008" customWidth="1"/>
    <col min="7153" max="7153" width="17.7109375" style="1008" customWidth="1"/>
    <col min="7154" max="7154" width="1.5703125" style="1008" customWidth="1"/>
    <col min="7155" max="7155" width="6.42578125" style="1008" customWidth="1"/>
    <col min="7156" max="7156" width="13.140625" style="1008" customWidth="1"/>
    <col min="7157" max="7157" width="1" style="1008" customWidth="1"/>
    <col min="7158" max="7158" width="19.5703125" style="1008" customWidth="1"/>
    <col min="7159" max="7159" width="0.85546875" style="1008" customWidth="1"/>
    <col min="7160" max="7160" width="14.42578125" style="1008" customWidth="1"/>
    <col min="7161" max="7161" width="12.85546875" style="1008" customWidth="1"/>
    <col min="7162" max="7162" width="6.140625" style="1008" customWidth="1"/>
    <col min="7163" max="7164" width="11.42578125" style="1008"/>
    <col min="7165" max="7165" width="15.42578125" style="1008" customWidth="1"/>
    <col min="7166" max="7405" width="11.42578125" style="1008"/>
    <col min="7406" max="7406" width="2.28515625" style="1008" customWidth="1"/>
    <col min="7407" max="7407" width="2.7109375" style="1008" customWidth="1"/>
    <col min="7408" max="7408" width="2.42578125" style="1008" customWidth="1"/>
    <col min="7409" max="7409" width="17.7109375" style="1008" customWidth="1"/>
    <col min="7410" max="7410" width="1.5703125" style="1008" customWidth="1"/>
    <col min="7411" max="7411" width="6.42578125" style="1008" customWidth="1"/>
    <col min="7412" max="7412" width="13.140625" style="1008" customWidth="1"/>
    <col min="7413" max="7413" width="1" style="1008" customWidth="1"/>
    <col min="7414" max="7414" width="19.5703125" style="1008" customWidth="1"/>
    <col min="7415" max="7415" width="0.85546875" style="1008" customWidth="1"/>
    <col min="7416" max="7416" width="14.42578125" style="1008" customWidth="1"/>
    <col min="7417" max="7417" width="12.85546875" style="1008" customWidth="1"/>
    <col min="7418" max="7418" width="6.140625" style="1008" customWidth="1"/>
    <col min="7419" max="7420" width="11.42578125" style="1008"/>
    <col min="7421" max="7421" width="15.42578125" style="1008" customWidth="1"/>
    <col min="7422" max="7661" width="11.42578125" style="1008"/>
    <col min="7662" max="7662" width="2.28515625" style="1008" customWidth="1"/>
    <col min="7663" max="7663" width="2.7109375" style="1008" customWidth="1"/>
    <col min="7664" max="7664" width="2.42578125" style="1008" customWidth="1"/>
    <col min="7665" max="7665" width="17.7109375" style="1008" customWidth="1"/>
    <col min="7666" max="7666" width="1.5703125" style="1008" customWidth="1"/>
    <col min="7667" max="7667" width="6.42578125" style="1008" customWidth="1"/>
    <col min="7668" max="7668" width="13.140625" style="1008" customWidth="1"/>
    <col min="7669" max="7669" width="1" style="1008" customWidth="1"/>
    <col min="7670" max="7670" width="19.5703125" style="1008" customWidth="1"/>
    <col min="7671" max="7671" width="0.85546875" style="1008" customWidth="1"/>
    <col min="7672" max="7672" width="14.42578125" style="1008" customWidth="1"/>
    <col min="7673" max="7673" width="12.85546875" style="1008" customWidth="1"/>
    <col min="7674" max="7674" width="6.140625" style="1008" customWidth="1"/>
    <col min="7675" max="7676" width="11.42578125" style="1008"/>
    <col min="7677" max="7677" width="15.42578125" style="1008" customWidth="1"/>
    <col min="7678" max="7917" width="11.42578125" style="1008"/>
    <col min="7918" max="7918" width="2.28515625" style="1008" customWidth="1"/>
    <col min="7919" max="7919" width="2.7109375" style="1008" customWidth="1"/>
    <col min="7920" max="7920" width="2.42578125" style="1008" customWidth="1"/>
    <col min="7921" max="7921" width="17.7109375" style="1008" customWidth="1"/>
    <col min="7922" max="7922" width="1.5703125" style="1008" customWidth="1"/>
    <col min="7923" max="7923" width="6.42578125" style="1008" customWidth="1"/>
    <col min="7924" max="7924" width="13.140625" style="1008" customWidth="1"/>
    <col min="7925" max="7925" width="1" style="1008" customWidth="1"/>
    <col min="7926" max="7926" width="19.5703125" style="1008" customWidth="1"/>
    <col min="7927" max="7927" width="0.85546875" style="1008" customWidth="1"/>
    <col min="7928" max="7928" width="14.42578125" style="1008" customWidth="1"/>
    <col min="7929" max="7929" width="12.85546875" style="1008" customWidth="1"/>
    <col min="7930" max="7930" width="6.140625" style="1008" customWidth="1"/>
    <col min="7931" max="7932" width="11.42578125" style="1008"/>
    <col min="7933" max="7933" width="15.42578125" style="1008" customWidth="1"/>
    <col min="7934" max="8173" width="11.42578125" style="1008"/>
    <col min="8174" max="8174" width="2.28515625" style="1008" customWidth="1"/>
    <col min="8175" max="8175" width="2.7109375" style="1008" customWidth="1"/>
    <col min="8176" max="8176" width="2.42578125" style="1008" customWidth="1"/>
    <col min="8177" max="8177" width="17.7109375" style="1008" customWidth="1"/>
    <col min="8178" max="8178" width="1.5703125" style="1008" customWidth="1"/>
    <col min="8179" max="8179" width="6.42578125" style="1008" customWidth="1"/>
    <col min="8180" max="8180" width="13.140625" style="1008" customWidth="1"/>
    <col min="8181" max="8181" width="1" style="1008" customWidth="1"/>
    <col min="8182" max="8182" width="19.5703125" style="1008" customWidth="1"/>
    <col min="8183" max="8183" width="0.85546875" style="1008" customWidth="1"/>
    <col min="8184" max="8184" width="14.42578125" style="1008" customWidth="1"/>
    <col min="8185" max="8185" width="12.85546875" style="1008" customWidth="1"/>
    <col min="8186" max="8186" width="6.140625" style="1008" customWidth="1"/>
    <col min="8187" max="8188" width="11.42578125" style="1008"/>
    <col min="8189" max="8189" width="15.42578125" style="1008" customWidth="1"/>
    <col min="8190" max="8429" width="11.42578125" style="1008"/>
    <col min="8430" max="8430" width="2.28515625" style="1008" customWidth="1"/>
    <col min="8431" max="8431" width="2.7109375" style="1008" customWidth="1"/>
    <col min="8432" max="8432" width="2.42578125" style="1008" customWidth="1"/>
    <col min="8433" max="8433" width="17.7109375" style="1008" customWidth="1"/>
    <col min="8434" max="8434" width="1.5703125" style="1008" customWidth="1"/>
    <col min="8435" max="8435" width="6.42578125" style="1008" customWidth="1"/>
    <col min="8436" max="8436" width="13.140625" style="1008" customWidth="1"/>
    <col min="8437" max="8437" width="1" style="1008" customWidth="1"/>
    <col min="8438" max="8438" width="19.5703125" style="1008" customWidth="1"/>
    <col min="8439" max="8439" width="0.85546875" style="1008" customWidth="1"/>
    <col min="8440" max="8440" width="14.42578125" style="1008" customWidth="1"/>
    <col min="8441" max="8441" width="12.85546875" style="1008" customWidth="1"/>
    <col min="8442" max="8442" width="6.140625" style="1008" customWidth="1"/>
    <col min="8443" max="8444" width="11.42578125" style="1008"/>
    <col min="8445" max="8445" width="15.42578125" style="1008" customWidth="1"/>
    <col min="8446" max="8685" width="11.42578125" style="1008"/>
    <col min="8686" max="8686" width="2.28515625" style="1008" customWidth="1"/>
    <col min="8687" max="8687" width="2.7109375" style="1008" customWidth="1"/>
    <col min="8688" max="8688" width="2.42578125" style="1008" customWidth="1"/>
    <col min="8689" max="8689" width="17.7109375" style="1008" customWidth="1"/>
    <col min="8690" max="8690" width="1.5703125" style="1008" customWidth="1"/>
    <col min="8691" max="8691" width="6.42578125" style="1008" customWidth="1"/>
    <col min="8692" max="8692" width="13.140625" style="1008" customWidth="1"/>
    <col min="8693" max="8693" width="1" style="1008" customWidth="1"/>
    <col min="8694" max="8694" width="19.5703125" style="1008" customWidth="1"/>
    <col min="8695" max="8695" width="0.85546875" style="1008" customWidth="1"/>
    <col min="8696" max="8696" width="14.42578125" style="1008" customWidth="1"/>
    <col min="8697" max="8697" width="12.85546875" style="1008" customWidth="1"/>
    <col min="8698" max="8698" width="6.140625" style="1008" customWidth="1"/>
    <col min="8699" max="8700" width="11.42578125" style="1008"/>
    <col min="8701" max="8701" width="15.42578125" style="1008" customWidth="1"/>
    <col min="8702" max="8941" width="11.42578125" style="1008"/>
    <col min="8942" max="8942" width="2.28515625" style="1008" customWidth="1"/>
    <col min="8943" max="8943" width="2.7109375" style="1008" customWidth="1"/>
    <col min="8944" max="8944" width="2.42578125" style="1008" customWidth="1"/>
    <col min="8945" max="8945" width="17.7109375" style="1008" customWidth="1"/>
    <col min="8946" max="8946" width="1.5703125" style="1008" customWidth="1"/>
    <col min="8947" max="8947" width="6.42578125" style="1008" customWidth="1"/>
    <col min="8948" max="8948" width="13.140625" style="1008" customWidth="1"/>
    <col min="8949" max="8949" width="1" style="1008" customWidth="1"/>
    <col min="8950" max="8950" width="19.5703125" style="1008" customWidth="1"/>
    <col min="8951" max="8951" width="0.85546875" style="1008" customWidth="1"/>
    <col min="8952" max="8952" width="14.42578125" style="1008" customWidth="1"/>
    <col min="8953" max="8953" width="12.85546875" style="1008" customWidth="1"/>
    <col min="8954" max="8954" width="6.140625" style="1008" customWidth="1"/>
    <col min="8955" max="8956" width="11.42578125" style="1008"/>
    <col min="8957" max="8957" width="15.42578125" style="1008" customWidth="1"/>
    <col min="8958" max="9197" width="11.42578125" style="1008"/>
    <col min="9198" max="9198" width="2.28515625" style="1008" customWidth="1"/>
    <col min="9199" max="9199" width="2.7109375" style="1008" customWidth="1"/>
    <col min="9200" max="9200" width="2.42578125" style="1008" customWidth="1"/>
    <col min="9201" max="9201" width="17.7109375" style="1008" customWidth="1"/>
    <col min="9202" max="9202" width="1.5703125" style="1008" customWidth="1"/>
    <col min="9203" max="9203" width="6.42578125" style="1008" customWidth="1"/>
    <col min="9204" max="9204" width="13.140625" style="1008" customWidth="1"/>
    <col min="9205" max="9205" width="1" style="1008" customWidth="1"/>
    <col min="9206" max="9206" width="19.5703125" style="1008" customWidth="1"/>
    <col min="9207" max="9207" width="0.85546875" style="1008" customWidth="1"/>
    <col min="9208" max="9208" width="14.42578125" style="1008" customWidth="1"/>
    <col min="9209" max="9209" width="12.85546875" style="1008" customWidth="1"/>
    <col min="9210" max="9210" width="6.140625" style="1008" customWidth="1"/>
    <col min="9211" max="9212" width="11.42578125" style="1008"/>
    <col min="9213" max="9213" width="15.42578125" style="1008" customWidth="1"/>
    <col min="9214" max="9453" width="11.42578125" style="1008"/>
    <col min="9454" max="9454" width="2.28515625" style="1008" customWidth="1"/>
    <col min="9455" max="9455" width="2.7109375" style="1008" customWidth="1"/>
    <col min="9456" max="9456" width="2.42578125" style="1008" customWidth="1"/>
    <col min="9457" max="9457" width="17.7109375" style="1008" customWidth="1"/>
    <col min="9458" max="9458" width="1.5703125" style="1008" customWidth="1"/>
    <col min="9459" max="9459" width="6.42578125" style="1008" customWidth="1"/>
    <col min="9460" max="9460" width="13.140625" style="1008" customWidth="1"/>
    <col min="9461" max="9461" width="1" style="1008" customWidth="1"/>
    <col min="9462" max="9462" width="19.5703125" style="1008" customWidth="1"/>
    <col min="9463" max="9463" width="0.85546875" style="1008" customWidth="1"/>
    <col min="9464" max="9464" width="14.42578125" style="1008" customWidth="1"/>
    <col min="9465" max="9465" width="12.85546875" style="1008" customWidth="1"/>
    <col min="9466" max="9466" width="6.140625" style="1008" customWidth="1"/>
    <col min="9467" max="9468" width="11.42578125" style="1008"/>
    <col min="9469" max="9469" width="15.42578125" style="1008" customWidth="1"/>
    <col min="9470" max="9709" width="11.42578125" style="1008"/>
    <col min="9710" max="9710" width="2.28515625" style="1008" customWidth="1"/>
    <col min="9711" max="9711" width="2.7109375" style="1008" customWidth="1"/>
    <col min="9712" max="9712" width="2.42578125" style="1008" customWidth="1"/>
    <col min="9713" max="9713" width="17.7109375" style="1008" customWidth="1"/>
    <col min="9714" max="9714" width="1.5703125" style="1008" customWidth="1"/>
    <col min="9715" max="9715" width="6.42578125" style="1008" customWidth="1"/>
    <col min="9716" max="9716" width="13.140625" style="1008" customWidth="1"/>
    <col min="9717" max="9717" width="1" style="1008" customWidth="1"/>
    <col min="9718" max="9718" width="19.5703125" style="1008" customWidth="1"/>
    <col min="9719" max="9719" width="0.85546875" style="1008" customWidth="1"/>
    <col min="9720" max="9720" width="14.42578125" style="1008" customWidth="1"/>
    <col min="9721" max="9721" width="12.85546875" style="1008" customWidth="1"/>
    <col min="9722" max="9722" width="6.140625" style="1008" customWidth="1"/>
    <col min="9723" max="9724" width="11.42578125" style="1008"/>
    <col min="9725" max="9725" width="15.42578125" style="1008" customWidth="1"/>
    <col min="9726" max="9965" width="11.42578125" style="1008"/>
    <col min="9966" max="9966" width="2.28515625" style="1008" customWidth="1"/>
    <col min="9967" max="9967" width="2.7109375" style="1008" customWidth="1"/>
    <col min="9968" max="9968" width="2.42578125" style="1008" customWidth="1"/>
    <col min="9969" max="9969" width="17.7109375" style="1008" customWidth="1"/>
    <col min="9970" max="9970" width="1.5703125" style="1008" customWidth="1"/>
    <col min="9971" max="9971" width="6.42578125" style="1008" customWidth="1"/>
    <col min="9972" max="9972" width="13.140625" style="1008" customWidth="1"/>
    <col min="9973" max="9973" width="1" style="1008" customWidth="1"/>
    <col min="9974" max="9974" width="19.5703125" style="1008" customWidth="1"/>
    <col min="9975" max="9975" width="0.85546875" style="1008" customWidth="1"/>
    <col min="9976" max="9976" width="14.42578125" style="1008" customWidth="1"/>
    <col min="9977" max="9977" width="12.85546875" style="1008" customWidth="1"/>
    <col min="9978" max="9978" width="6.140625" style="1008" customWidth="1"/>
    <col min="9979" max="9980" width="11.42578125" style="1008"/>
    <col min="9981" max="9981" width="15.42578125" style="1008" customWidth="1"/>
    <col min="9982" max="10221" width="11.42578125" style="1008"/>
    <col min="10222" max="10222" width="2.28515625" style="1008" customWidth="1"/>
    <col min="10223" max="10223" width="2.7109375" style="1008" customWidth="1"/>
    <col min="10224" max="10224" width="2.42578125" style="1008" customWidth="1"/>
    <col min="10225" max="10225" width="17.7109375" style="1008" customWidth="1"/>
    <col min="10226" max="10226" width="1.5703125" style="1008" customWidth="1"/>
    <col min="10227" max="10227" width="6.42578125" style="1008" customWidth="1"/>
    <col min="10228" max="10228" width="13.140625" style="1008" customWidth="1"/>
    <col min="10229" max="10229" width="1" style="1008" customWidth="1"/>
    <col min="10230" max="10230" width="19.5703125" style="1008" customWidth="1"/>
    <col min="10231" max="10231" width="0.85546875" style="1008" customWidth="1"/>
    <col min="10232" max="10232" width="14.42578125" style="1008" customWidth="1"/>
    <col min="10233" max="10233" width="12.85546875" style="1008" customWidth="1"/>
    <col min="10234" max="10234" width="6.140625" style="1008" customWidth="1"/>
    <col min="10235" max="10236" width="11.42578125" style="1008"/>
    <col min="10237" max="10237" width="15.42578125" style="1008" customWidth="1"/>
    <col min="10238" max="10477" width="11.42578125" style="1008"/>
    <col min="10478" max="10478" width="2.28515625" style="1008" customWidth="1"/>
    <col min="10479" max="10479" width="2.7109375" style="1008" customWidth="1"/>
    <col min="10480" max="10480" width="2.42578125" style="1008" customWidth="1"/>
    <col min="10481" max="10481" width="17.7109375" style="1008" customWidth="1"/>
    <col min="10482" max="10482" width="1.5703125" style="1008" customWidth="1"/>
    <col min="10483" max="10483" width="6.42578125" style="1008" customWidth="1"/>
    <col min="10484" max="10484" width="13.140625" style="1008" customWidth="1"/>
    <col min="10485" max="10485" width="1" style="1008" customWidth="1"/>
    <col min="10486" max="10486" width="19.5703125" style="1008" customWidth="1"/>
    <col min="10487" max="10487" width="0.85546875" style="1008" customWidth="1"/>
    <col min="10488" max="10488" width="14.42578125" style="1008" customWidth="1"/>
    <col min="10489" max="10489" width="12.85546875" style="1008" customWidth="1"/>
    <col min="10490" max="10490" width="6.140625" style="1008" customWidth="1"/>
    <col min="10491" max="10492" width="11.42578125" style="1008"/>
    <col min="10493" max="10493" width="15.42578125" style="1008" customWidth="1"/>
    <col min="10494" max="10733" width="11.42578125" style="1008"/>
    <col min="10734" max="10734" width="2.28515625" style="1008" customWidth="1"/>
    <col min="10735" max="10735" width="2.7109375" style="1008" customWidth="1"/>
    <col min="10736" max="10736" width="2.42578125" style="1008" customWidth="1"/>
    <col min="10737" max="10737" width="17.7109375" style="1008" customWidth="1"/>
    <col min="10738" max="10738" width="1.5703125" style="1008" customWidth="1"/>
    <col min="10739" max="10739" width="6.42578125" style="1008" customWidth="1"/>
    <col min="10740" max="10740" width="13.140625" style="1008" customWidth="1"/>
    <col min="10741" max="10741" width="1" style="1008" customWidth="1"/>
    <col min="10742" max="10742" width="19.5703125" style="1008" customWidth="1"/>
    <col min="10743" max="10743" width="0.85546875" style="1008" customWidth="1"/>
    <col min="10744" max="10744" width="14.42578125" style="1008" customWidth="1"/>
    <col min="10745" max="10745" width="12.85546875" style="1008" customWidth="1"/>
    <col min="10746" max="10746" width="6.140625" style="1008" customWidth="1"/>
    <col min="10747" max="10748" width="11.42578125" style="1008"/>
    <col min="10749" max="10749" width="15.42578125" style="1008" customWidth="1"/>
    <col min="10750" max="10989" width="11.42578125" style="1008"/>
    <col min="10990" max="10990" width="2.28515625" style="1008" customWidth="1"/>
    <col min="10991" max="10991" width="2.7109375" style="1008" customWidth="1"/>
    <col min="10992" max="10992" width="2.42578125" style="1008" customWidth="1"/>
    <col min="10993" max="10993" width="17.7109375" style="1008" customWidth="1"/>
    <col min="10994" max="10994" width="1.5703125" style="1008" customWidth="1"/>
    <col min="10995" max="10995" width="6.42578125" style="1008" customWidth="1"/>
    <col min="10996" max="10996" width="13.140625" style="1008" customWidth="1"/>
    <col min="10997" max="10997" width="1" style="1008" customWidth="1"/>
    <col min="10998" max="10998" width="19.5703125" style="1008" customWidth="1"/>
    <col min="10999" max="10999" width="0.85546875" style="1008" customWidth="1"/>
    <col min="11000" max="11000" width="14.42578125" style="1008" customWidth="1"/>
    <col min="11001" max="11001" width="12.85546875" style="1008" customWidth="1"/>
    <col min="11002" max="11002" width="6.140625" style="1008" customWidth="1"/>
    <col min="11003" max="11004" width="11.42578125" style="1008"/>
    <col min="11005" max="11005" width="15.42578125" style="1008" customWidth="1"/>
    <col min="11006" max="11245" width="11.42578125" style="1008"/>
    <col min="11246" max="11246" width="2.28515625" style="1008" customWidth="1"/>
    <col min="11247" max="11247" width="2.7109375" style="1008" customWidth="1"/>
    <col min="11248" max="11248" width="2.42578125" style="1008" customWidth="1"/>
    <col min="11249" max="11249" width="17.7109375" style="1008" customWidth="1"/>
    <col min="11250" max="11250" width="1.5703125" style="1008" customWidth="1"/>
    <col min="11251" max="11251" width="6.42578125" style="1008" customWidth="1"/>
    <col min="11252" max="11252" width="13.140625" style="1008" customWidth="1"/>
    <col min="11253" max="11253" width="1" style="1008" customWidth="1"/>
    <col min="11254" max="11254" width="19.5703125" style="1008" customWidth="1"/>
    <col min="11255" max="11255" width="0.85546875" style="1008" customWidth="1"/>
    <col min="11256" max="11256" width="14.42578125" style="1008" customWidth="1"/>
    <col min="11257" max="11257" width="12.85546875" style="1008" customWidth="1"/>
    <col min="11258" max="11258" width="6.140625" style="1008" customWidth="1"/>
    <col min="11259" max="11260" width="11.42578125" style="1008"/>
    <col min="11261" max="11261" width="15.42578125" style="1008" customWidth="1"/>
    <col min="11262" max="11501" width="11.42578125" style="1008"/>
    <col min="11502" max="11502" width="2.28515625" style="1008" customWidth="1"/>
    <col min="11503" max="11503" width="2.7109375" style="1008" customWidth="1"/>
    <col min="11504" max="11504" width="2.42578125" style="1008" customWidth="1"/>
    <col min="11505" max="11505" width="17.7109375" style="1008" customWidth="1"/>
    <col min="11506" max="11506" width="1.5703125" style="1008" customWidth="1"/>
    <col min="11507" max="11507" width="6.42578125" style="1008" customWidth="1"/>
    <col min="11508" max="11508" width="13.140625" style="1008" customWidth="1"/>
    <col min="11509" max="11509" width="1" style="1008" customWidth="1"/>
    <col min="11510" max="11510" width="19.5703125" style="1008" customWidth="1"/>
    <col min="11511" max="11511" width="0.85546875" style="1008" customWidth="1"/>
    <col min="11512" max="11512" width="14.42578125" style="1008" customWidth="1"/>
    <col min="11513" max="11513" width="12.85546875" style="1008" customWidth="1"/>
    <col min="11514" max="11514" width="6.140625" style="1008" customWidth="1"/>
    <col min="11515" max="11516" width="11.42578125" style="1008"/>
    <col min="11517" max="11517" width="15.42578125" style="1008" customWidth="1"/>
    <col min="11518" max="11757" width="11.42578125" style="1008"/>
    <col min="11758" max="11758" width="2.28515625" style="1008" customWidth="1"/>
    <col min="11759" max="11759" width="2.7109375" style="1008" customWidth="1"/>
    <col min="11760" max="11760" width="2.42578125" style="1008" customWidth="1"/>
    <col min="11761" max="11761" width="17.7109375" style="1008" customWidth="1"/>
    <col min="11762" max="11762" width="1.5703125" style="1008" customWidth="1"/>
    <col min="11763" max="11763" width="6.42578125" style="1008" customWidth="1"/>
    <col min="11764" max="11764" width="13.140625" style="1008" customWidth="1"/>
    <col min="11765" max="11765" width="1" style="1008" customWidth="1"/>
    <col min="11766" max="11766" width="19.5703125" style="1008" customWidth="1"/>
    <col min="11767" max="11767" width="0.85546875" style="1008" customWidth="1"/>
    <col min="11768" max="11768" width="14.42578125" style="1008" customWidth="1"/>
    <col min="11769" max="11769" width="12.85546875" style="1008" customWidth="1"/>
    <col min="11770" max="11770" width="6.140625" style="1008" customWidth="1"/>
    <col min="11771" max="11772" width="11.42578125" style="1008"/>
    <col min="11773" max="11773" width="15.42578125" style="1008" customWidth="1"/>
    <col min="11774" max="12013" width="11.42578125" style="1008"/>
    <col min="12014" max="12014" width="2.28515625" style="1008" customWidth="1"/>
    <col min="12015" max="12015" width="2.7109375" style="1008" customWidth="1"/>
    <col min="12016" max="12016" width="2.42578125" style="1008" customWidth="1"/>
    <col min="12017" max="12017" width="17.7109375" style="1008" customWidth="1"/>
    <col min="12018" max="12018" width="1.5703125" style="1008" customWidth="1"/>
    <col min="12019" max="12019" width="6.42578125" style="1008" customWidth="1"/>
    <col min="12020" max="12020" width="13.140625" style="1008" customWidth="1"/>
    <col min="12021" max="12021" width="1" style="1008" customWidth="1"/>
    <col min="12022" max="12022" width="19.5703125" style="1008" customWidth="1"/>
    <col min="12023" max="12023" width="0.85546875" style="1008" customWidth="1"/>
    <col min="12024" max="12024" width="14.42578125" style="1008" customWidth="1"/>
    <col min="12025" max="12025" width="12.85546875" style="1008" customWidth="1"/>
    <col min="12026" max="12026" width="6.140625" style="1008" customWidth="1"/>
    <col min="12027" max="12028" width="11.42578125" style="1008"/>
    <col min="12029" max="12029" width="15.42578125" style="1008" customWidth="1"/>
    <col min="12030" max="12269" width="11.42578125" style="1008"/>
    <col min="12270" max="12270" width="2.28515625" style="1008" customWidth="1"/>
    <col min="12271" max="12271" width="2.7109375" style="1008" customWidth="1"/>
    <col min="12272" max="12272" width="2.42578125" style="1008" customWidth="1"/>
    <col min="12273" max="12273" width="17.7109375" style="1008" customWidth="1"/>
    <col min="12274" max="12274" width="1.5703125" style="1008" customWidth="1"/>
    <col min="12275" max="12275" width="6.42578125" style="1008" customWidth="1"/>
    <col min="12276" max="12276" width="13.140625" style="1008" customWidth="1"/>
    <col min="12277" max="12277" width="1" style="1008" customWidth="1"/>
    <col min="12278" max="12278" width="19.5703125" style="1008" customWidth="1"/>
    <col min="12279" max="12279" width="0.85546875" style="1008" customWidth="1"/>
    <col min="12280" max="12280" width="14.42578125" style="1008" customWidth="1"/>
    <col min="12281" max="12281" width="12.85546875" style="1008" customWidth="1"/>
    <col min="12282" max="12282" width="6.140625" style="1008" customWidth="1"/>
    <col min="12283" max="12284" width="11.42578125" style="1008"/>
    <col min="12285" max="12285" width="15.42578125" style="1008" customWidth="1"/>
    <col min="12286" max="12525" width="11.42578125" style="1008"/>
    <col min="12526" max="12526" width="2.28515625" style="1008" customWidth="1"/>
    <col min="12527" max="12527" width="2.7109375" style="1008" customWidth="1"/>
    <col min="12528" max="12528" width="2.42578125" style="1008" customWidth="1"/>
    <col min="12529" max="12529" width="17.7109375" style="1008" customWidth="1"/>
    <col min="12530" max="12530" width="1.5703125" style="1008" customWidth="1"/>
    <col min="12531" max="12531" width="6.42578125" style="1008" customWidth="1"/>
    <col min="12532" max="12532" width="13.140625" style="1008" customWidth="1"/>
    <col min="12533" max="12533" width="1" style="1008" customWidth="1"/>
    <col min="12534" max="12534" width="19.5703125" style="1008" customWidth="1"/>
    <col min="12535" max="12535" width="0.85546875" style="1008" customWidth="1"/>
    <col min="12536" max="12536" width="14.42578125" style="1008" customWidth="1"/>
    <col min="12537" max="12537" width="12.85546875" style="1008" customWidth="1"/>
    <col min="12538" max="12538" width="6.140625" style="1008" customWidth="1"/>
    <col min="12539" max="12540" width="11.42578125" style="1008"/>
    <col min="12541" max="12541" width="15.42578125" style="1008" customWidth="1"/>
    <col min="12542" max="12781" width="11.42578125" style="1008"/>
    <col min="12782" max="12782" width="2.28515625" style="1008" customWidth="1"/>
    <col min="12783" max="12783" width="2.7109375" style="1008" customWidth="1"/>
    <col min="12784" max="12784" width="2.42578125" style="1008" customWidth="1"/>
    <col min="12785" max="12785" width="17.7109375" style="1008" customWidth="1"/>
    <col min="12786" max="12786" width="1.5703125" style="1008" customWidth="1"/>
    <col min="12787" max="12787" width="6.42578125" style="1008" customWidth="1"/>
    <col min="12788" max="12788" width="13.140625" style="1008" customWidth="1"/>
    <col min="12789" max="12789" width="1" style="1008" customWidth="1"/>
    <col min="12790" max="12790" width="19.5703125" style="1008" customWidth="1"/>
    <col min="12791" max="12791" width="0.85546875" style="1008" customWidth="1"/>
    <col min="12792" max="12792" width="14.42578125" style="1008" customWidth="1"/>
    <col min="12793" max="12793" width="12.85546875" style="1008" customWidth="1"/>
    <col min="12794" max="12794" width="6.140625" style="1008" customWidth="1"/>
    <col min="12795" max="12796" width="11.42578125" style="1008"/>
    <col min="12797" max="12797" width="15.42578125" style="1008" customWidth="1"/>
    <col min="12798" max="13037" width="11.42578125" style="1008"/>
    <col min="13038" max="13038" width="2.28515625" style="1008" customWidth="1"/>
    <col min="13039" max="13039" width="2.7109375" style="1008" customWidth="1"/>
    <col min="13040" max="13040" width="2.42578125" style="1008" customWidth="1"/>
    <col min="13041" max="13041" width="17.7109375" style="1008" customWidth="1"/>
    <col min="13042" max="13042" width="1.5703125" style="1008" customWidth="1"/>
    <col min="13043" max="13043" width="6.42578125" style="1008" customWidth="1"/>
    <col min="13044" max="13044" width="13.140625" style="1008" customWidth="1"/>
    <col min="13045" max="13045" width="1" style="1008" customWidth="1"/>
    <col min="13046" max="13046" width="19.5703125" style="1008" customWidth="1"/>
    <col min="13047" max="13047" width="0.85546875" style="1008" customWidth="1"/>
    <col min="13048" max="13048" width="14.42578125" style="1008" customWidth="1"/>
    <col min="13049" max="13049" width="12.85546875" style="1008" customWidth="1"/>
    <col min="13050" max="13050" width="6.140625" style="1008" customWidth="1"/>
    <col min="13051" max="13052" width="11.42578125" style="1008"/>
    <col min="13053" max="13053" width="15.42578125" style="1008" customWidth="1"/>
    <col min="13054" max="13293" width="11.42578125" style="1008"/>
    <col min="13294" max="13294" width="2.28515625" style="1008" customWidth="1"/>
    <col min="13295" max="13295" width="2.7109375" style="1008" customWidth="1"/>
    <col min="13296" max="13296" width="2.42578125" style="1008" customWidth="1"/>
    <col min="13297" max="13297" width="17.7109375" style="1008" customWidth="1"/>
    <col min="13298" max="13298" width="1.5703125" style="1008" customWidth="1"/>
    <col min="13299" max="13299" width="6.42578125" style="1008" customWidth="1"/>
    <col min="13300" max="13300" width="13.140625" style="1008" customWidth="1"/>
    <col min="13301" max="13301" width="1" style="1008" customWidth="1"/>
    <col min="13302" max="13302" width="19.5703125" style="1008" customWidth="1"/>
    <col min="13303" max="13303" width="0.85546875" style="1008" customWidth="1"/>
    <col min="13304" max="13304" width="14.42578125" style="1008" customWidth="1"/>
    <col min="13305" max="13305" width="12.85546875" style="1008" customWidth="1"/>
    <col min="13306" max="13306" width="6.140625" style="1008" customWidth="1"/>
    <col min="13307" max="13308" width="11.42578125" style="1008"/>
    <col min="13309" max="13309" width="15.42578125" style="1008" customWidth="1"/>
    <col min="13310" max="13549" width="11.42578125" style="1008"/>
    <col min="13550" max="13550" width="2.28515625" style="1008" customWidth="1"/>
    <col min="13551" max="13551" width="2.7109375" style="1008" customWidth="1"/>
    <col min="13552" max="13552" width="2.42578125" style="1008" customWidth="1"/>
    <col min="13553" max="13553" width="17.7109375" style="1008" customWidth="1"/>
    <col min="13554" max="13554" width="1.5703125" style="1008" customWidth="1"/>
    <col min="13555" max="13555" width="6.42578125" style="1008" customWidth="1"/>
    <col min="13556" max="13556" width="13.140625" style="1008" customWidth="1"/>
    <col min="13557" max="13557" width="1" style="1008" customWidth="1"/>
    <col min="13558" max="13558" width="19.5703125" style="1008" customWidth="1"/>
    <col min="13559" max="13559" width="0.85546875" style="1008" customWidth="1"/>
    <col min="13560" max="13560" width="14.42578125" style="1008" customWidth="1"/>
    <col min="13561" max="13561" width="12.85546875" style="1008" customWidth="1"/>
    <col min="13562" max="13562" width="6.140625" style="1008" customWidth="1"/>
    <col min="13563" max="13564" width="11.42578125" style="1008"/>
    <col min="13565" max="13565" width="15.42578125" style="1008" customWidth="1"/>
    <col min="13566" max="13805" width="11.42578125" style="1008"/>
    <col min="13806" max="13806" width="2.28515625" style="1008" customWidth="1"/>
    <col min="13807" max="13807" width="2.7109375" style="1008" customWidth="1"/>
    <col min="13808" max="13808" width="2.42578125" style="1008" customWidth="1"/>
    <col min="13809" max="13809" width="17.7109375" style="1008" customWidth="1"/>
    <col min="13810" max="13810" width="1.5703125" style="1008" customWidth="1"/>
    <col min="13811" max="13811" width="6.42578125" style="1008" customWidth="1"/>
    <col min="13812" max="13812" width="13.140625" style="1008" customWidth="1"/>
    <col min="13813" max="13813" width="1" style="1008" customWidth="1"/>
    <col min="13814" max="13814" width="19.5703125" style="1008" customWidth="1"/>
    <col min="13815" max="13815" width="0.85546875" style="1008" customWidth="1"/>
    <col min="13816" max="13816" width="14.42578125" style="1008" customWidth="1"/>
    <col min="13817" max="13817" width="12.85546875" style="1008" customWidth="1"/>
    <col min="13818" max="13818" width="6.140625" style="1008" customWidth="1"/>
    <col min="13819" max="13820" width="11.42578125" style="1008"/>
    <col min="13821" max="13821" width="15.42578125" style="1008" customWidth="1"/>
    <col min="13822" max="14061" width="11.42578125" style="1008"/>
    <col min="14062" max="14062" width="2.28515625" style="1008" customWidth="1"/>
    <col min="14063" max="14063" width="2.7109375" style="1008" customWidth="1"/>
    <col min="14064" max="14064" width="2.42578125" style="1008" customWidth="1"/>
    <col min="14065" max="14065" width="17.7109375" style="1008" customWidth="1"/>
    <col min="14066" max="14066" width="1.5703125" style="1008" customWidth="1"/>
    <col min="14067" max="14067" width="6.42578125" style="1008" customWidth="1"/>
    <col min="14068" max="14068" width="13.140625" style="1008" customWidth="1"/>
    <col min="14069" max="14069" width="1" style="1008" customWidth="1"/>
    <col min="14070" max="14070" width="19.5703125" style="1008" customWidth="1"/>
    <col min="14071" max="14071" width="0.85546875" style="1008" customWidth="1"/>
    <col min="14072" max="14072" width="14.42578125" style="1008" customWidth="1"/>
    <col min="14073" max="14073" width="12.85546875" style="1008" customWidth="1"/>
    <col min="14074" max="14074" width="6.140625" style="1008" customWidth="1"/>
    <col min="14075" max="14076" width="11.42578125" style="1008"/>
    <col min="14077" max="14077" width="15.42578125" style="1008" customWidth="1"/>
    <col min="14078" max="14317" width="11.42578125" style="1008"/>
    <col min="14318" max="14318" width="2.28515625" style="1008" customWidth="1"/>
    <col min="14319" max="14319" width="2.7109375" style="1008" customWidth="1"/>
    <col min="14320" max="14320" width="2.42578125" style="1008" customWidth="1"/>
    <col min="14321" max="14321" width="17.7109375" style="1008" customWidth="1"/>
    <col min="14322" max="14322" width="1.5703125" style="1008" customWidth="1"/>
    <col min="14323" max="14323" width="6.42578125" style="1008" customWidth="1"/>
    <col min="14324" max="14324" width="13.140625" style="1008" customWidth="1"/>
    <col min="14325" max="14325" width="1" style="1008" customWidth="1"/>
    <col min="14326" max="14326" width="19.5703125" style="1008" customWidth="1"/>
    <col min="14327" max="14327" width="0.85546875" style="1008" customWidth="1"/>
    <col min="14328" max="14328" width="14.42578125" style="1008" customWidth="1"/>
    <col min="14329" max="14329" width="12.85546875" style="1008" customWidth="1"/>
    <col min="14330" max="14330" width="6.140625" style="1008" customWidth="1"/>
    <col min="14331" max="14332" width="11.42578125" style="1008"/>
    <col min="14333" max="14333" width="15.42578125" style="1008" customWidth="1"/>
    <col min="14334" max="14573" width="11.42578125" style="1008"/>
    <col min="14574" max="14574" width="2.28515625" style="1008" customWidth="1"/>
    <col min="14575" max="14575" width="2.7109375" style="1008" customWidth="1"/>
    <col min="14576" max="14576" width="2.42578125" style="1008" customWidth="1"/>
    <col min="14577" max="14577" width="17.7109375" style="1008" customWidth="1"/>
    <col min="14578" max="14578" width="1.5703125" style="1008" customWidth="1"/>
    <col min="14579" max="14579" width="6.42578125" style="1008" customWidth="1"/>
    <col min="14580" max="14580" width="13.140625" style="1008" customWidth="1"/>
    <col min="14581" max="14581" width="1" style="1008" customWidth="1"/>
    <col min="14582" max="14582" width="19.5703125" style="1008" customWidth="1"/>
    <col min="14583" max="14583" width="0.85546875" style="1008" customWidth="1"/>
    <col min="14584" max="14584" width="14.42578125" style="1008" customWidth="1"/>
    <col min="14585" max="14585" width="12.85546875" style="1008" customWidth="1"/>
    <col min="14586" max="14586" width="6.140625" style="1008" customWidth="1"/>
    <col min="14587" max="14588" width="11.42578125" style="1008"/>
    <col min="14589" max="14589" width="15.42578125" style="1008" customWidth="1"/>
    <col min="14590" max="14829" width="11.42578125" style="1008"/>
    <col min="14830" max="14830" width="2.28515625" style="1008" customWidth="1"/>
    <col min="14831" max="14831" width="2.7109375" style="1008" customWidth="1"/>
    <col min="14832" max="14832" width="2.42578125" style="1008" customWidth="1"/>
    <col min="14833" max="14833" width="17.7109375" style="1008" customWidth="1"/>
    <col min="14834" max="14834" width="1.5703125" style="1008" customWidth="1"/>
    <col min="14835" max="14835" width="6.42578125" style="1008" customWidth="1"/>
    <col min="14836" max="14836" width="13.140625" style="1008" customWidth="1"/>
    <col min="14837" max="14837" width="1" style="1008" customWidth="1"/>
    <col min="14838" max="14838" width="19.5703125" style="1008" customWidth="1"/>
    <col min="14839" max="14839" width="0.85546875" style="1008" customWidth="1"/>
    <col min="14840" max="14840" width="14.42578125" style="1008" customWidth="1"/>
    <col min="14841" max="14841" width="12.85546875" style="1008" customWidth="1"/>
    <col min="14842" max="14842" width="6.140625" style="1008" customWidth="1"/>
    <col min="14843" max="14844" width="11.42578125" style="1008"/>
    <col min="14845" max="14845" width="15.42578125" style="1008" customWidth="1"/>
    <col min="14846" max="15085" width="11.42578125" style="1008"/>
    <col min="15086" max="15086" width="2.28515625" style="1008" customWidth="1"/>
    <col min="15087" max="15087" width="2.7109375" style="1008" customWidth="1"/>
    <col min="15088" max="15088" width="2.42578125" style="1008" customWidth="1"/>
    <col min="15089" max="15089" width="17.7109375" style="1008" customWidth="1"/>
    <col min="15090" max="15090" width="1.5703125" style="1008" customWidth="1"/>
    <col min="15091" max="15091" width="6.42578125" style="1008" customWidth="1"/>
    <col min="15092" max="15092" width="13.140625" style="1008" customWidth="1"/>
    <col min="15093" max="15093" width="1" style="1008" customWidth="1"/>
    <col min="15094" max="15094" width="19.5703125" style="1008" customWidth="1"/>
    <col min="15095" max="15095" width="0.85546875" style="1008" customWidth="1"/>
    <col min="15096" max="15096" width="14.42578125" style="1008" customWidth="1"/>
    <col min="15097" max="15097" width="12.85546875" style="1008" customWidth="1"/>
    <col min="15098" max="15098" width="6.140625" style="1008" customWidth="1"/>
    <col min="15099" max="15100" width="11.42578125" style="1008"/>
    <col min="15101" max="15101" width="15.42578125" style="1008" customWidth="1"/>
    <col min="15102" max="15341" width="11.42578125" style="1008"/>
    <col min="15342" max="15342" width="2.28515625" style="1008" customWidth="1"/>
    <col min="15343" max="15343" width="2.7109375" style="1008" customWidth="1"/>
    <col min="15344" max="15344" width="2.42578125" style="1008" customWidth="1"/>
    <col min="15345" max="15345" width="17.7109375" style="1008" customWidth="1"/>
    <col min="15346" max="15346" width="1.5703125" style="1008" customWidth="1"/>
    <col min="15347" max="15347" width="6.42578125" style="1008" customWidth="1"/>
    <col min="15348" max="15348" width="13.140625" style="1008" customWidth="1"/>
    <col min="15349" max="15349" width="1" style="1008" customWidth="1"/>
    <col min="15350" max="15350" width="19.5703125" style="1008" customWidth="1"/>
    <col min="15351" max="15351" width="0.85546875" style="1008" customWidth="1"/>
    <col min="15352" max="15352" width="14.42578125" style="1008" customWidth="1"/>
    <col min="15353" max="15353" width="12.85546875" style="1008" customWidth="1"/>
    <col min="15354" max="15354" width="6.140625" style="1008" customWidth="1"/>
    <col min="15355" max="15356" width="11.42578125" style="1008"/>
    <col min="15357" max="15357" width="15.42578125" style="1008" customWidth="1"/>
    <col min="15358" max="15597" width="11.42578125" style="1008"/>
    <col min="15598" max="15598" width="2.28515625" style="1008" customWidth="1"/>
    <col min="15599" max="15599" width="2.7109375" style="1008" customWidth="1"/>
    <col min="15600" max="15600" width="2.42578125" style="1008" customWidth="1"/>
    <col min="15601" max="15601" width="17.7109375" style="1008" customWidth="1"/>
    <col min="15602" max="15602" width="1.5703125" style="1008" customWidth="1"/>
    <col min="15603" max="15603" width="6.42578125" style="1008" customWidth="1"/>
    <col min="15604" max="15604" width="13.140625" style="1008" customWidth="1"/>
    <col min="15605" max="15605" width="1" style="1008" customWidth="1"/>
    <col min="15606" max="15606" width="19.5703125" style="1008" customWidth="1"/>
    <col min="15607" max="15607" width="0.85546875" style="1008" customWidth="1"/>
    <col min="15608" max="15608" width="14.42578125" style="1008" customWidth="1"/>
    <col min="15609" max="15609" width="12.85546875" style="1008" customWidth="1"/>
    <col min="15610" max="15610" width="6.140625" style="1008" customWidth="1"/>
    <col min="15611" max="15612" width="11.42578125" style="1008"/>
    <col min="15613" max="15613" width="15.42578125" style="1008" customWidth="1"/>
    <col min="15614" max="15853" width="11.42578125" style="1008"/>
    <col min="15854" max="15854" width="2.28515625" style="1008" customWidth="1"/>
    <col min="15855" max="15855" width="2.7109375" style="1008" customWidth="1"/>
    <col min="15856" max="15856" width="2.42578125" style="1008" customWidth="1"/>
    <col min="15857" max="15857" width="17.7109375" style="1008" customWidth="1"/>
    <col min="15858" max="15858" width="1.5703125" style="1008" customWidth="1"/>
    <col min="15859" max="15859" width="6.42578125" style="1008" customWidth="1"/>
    <col min="15860" max="15860" width="13.140625" style="1008" customWidth="1"/>
    <col min="15861" max="15861" width="1" style="1008" customWidth="1"/>
    <col min="15862" max="15862" width="19.5703125" style="1008" customWidth="1"/>
    <col min="15863" max="15863" width="0.85546875" style="1008" customWidth="1"/>
    <col min="15864" max="15864" width="14.42578125" style="1008" customWidth="1"/>
    <col min="15865" max="15865" width="12.85546875" style="1008" customWidth="1"/>
    <col min="15866" max="15866" width="6.140625" style="1008" customWidth="1"/>
    <col min="15867" max="15868" width="11.42578125" style="1008"/>
    <col min="15869" max="15869" width="15.42578125" style="1008" customWidth="1"/>
    <col min="15870" max="16109" width="11.42578125" style="1008"/>
    <col min="16110" max="16110" width="2.28515625" style="1008" customWidth="1"/>
    <col min="16111" max="16111" width="2.7109375" style="1008" customWidth="1"/>
    <col min="16112" max="16112" width="2.42578125" style="1008" customWidth="1"/>
    <col min="16113" max="16113" width="17.7109375" style="1008" customWidth="1"/>
    <col min="16114" max="16114" width="1.5703125" style="1008" customWidth="1"/>
    <col min="16115" max="16115" width="6.42578125" style="1008" customWidth="1"/>
    <col min="16116" max="16116" width="13.140625" style="1008" customWidth="1"/>
    <col min="16117" max="16117" width="1" style="1008" customWidth="1"/>
    <col min="16118" max="16118" width="19.5703125" style="1008" customWidth="1"/>
    <col min="16119" max="16119" width="0.85546875" style="1008" customWidth="1"/>
    <col min="16120" max="16120" width="14.42578125" style="1008" customWidth="1"/>
    <col min="16121" max="16121" width="12.85546875" style="1008" customWidth="1"/>
    <col min="16122" max="16122" width="6.140625" style="1008" customWidth="1"/>
    <col min="16123" max="16124" width="11.42578125" style="1008"/>
    <col min="16125" max="16125" width="15.42578125" style="1008" customWidth="1"/>
    <col min="16126" max="16384" width="11.42578125" style="1008"/>
  </cols>
  <sheetData>
    <row r="1" spans="1:18" ht="9" hidden="1" customHeight="1" x14ac:dyDescent="0.2"/>
    <row r="2" spans="1:18" ht="51" customHeight="1" x14ac:dyDescent="0.2">
      <c r="A2" s="2869" t="s">
        <v>280</v>
      </c>
      <c r="B2" s="2870"/>
      <c r="C2" s="2870"/>
      <c r="D2" s="2870"/>
      <c r="E2" s="2870"/>
      <c r="F2" s="2870"/>
      <c r="G2" s="2870"/>
      <c r="H2" s="2870"/>
      <c r="I2" s="2870"/>
      <c r="J2" s="2870"/>
      <c r="K2" s="2870"/>
      <c r="L2" s="2870"/>
      <c r="M2" s="2870"/>
      <c r="N2" s="2870"/>
      <c r="O2" s="2870"/>
      <c r="P2" s="2870"/>
      <c r="Q2" s="2870"/>
      <c r="R2" s="2871"/>
    </row>
    <row r="3" spans="1:18" ht="27" customHeight="1" thickBot="1" x14ac:dyDescent="0.25">
      <c r="A3" s="2872"/>
      <c r="B3" s="2873"/>
      <c r="C3" s="2873"/>
      <c r="D3" s="2873"/>
      <c r="E3" s="2873"/>
      <c r="F3" s="2873"/>
      <c r="G3" s="2873"/>
      <c r="H3" s="2873"/>
      <c r="I3" s="2873"/>
      <c r="J3" s="2873"/>
      <c r="K3" s="2873"/>
      <c r="L3" s="2873"/>
      <c r="M3" s="2873"/>
      <c r="N3" s="2873"/>
      <c r="O3" s="2873"/>
      <c r="P3" s="2873"/>
      <c r="Q3" s="2873"/>
      <c r="R3" s="2874"/>
    </row>
    <row r="4" spans="1:18" ht="16.5" thickTop="1" x14ac:dyDescent="0.25">
      <c r="A4" s="2875" t="s">
        <v>252</v>
      </c>
      <c r="B4" s="2876"/>
      <c r="C4" s="2876"/>
      <c r="D4" s="2876"/>
      <c r="E4" s="2876"/>
      <c r="F4" s="2876"/>
      <c r="G4" s="2876"/>
      <c r="H4" s="2876"/>
      <c r="I4" s="2876"/>
      <c r="J4" s="2876"/>
      <c r="K4" s="2876"/>
      <c r="L4" s="2876"/>
      <c r="M4" s="2876"/>
      <c r="N4" s="2876"/>
      <c r="O4" s="2876"/>
      <c r="P4" s="2876"/>
      <c r="Q4" s="2876"/>
      <c r="R4" s="2877"/>
    </row>
    <row r="5" spans="1:18" ht="15.75" x14ac:dyDescent="0.2">
      <c r="A5" s="2954" t="str">
        <f>"N° "&amp;'F-LSCD-012 (Pers. Hp(10))'!C25&amp;" ALEPH/GR/LSCD"</f>
        <v>N° 021-2018 ALEPH/GR/LSCD</v>
      </c>
      <c r="B5" s="2955"/>
      <c r="C5" s="2955"/>
      <c r="D5" s="2955"/>
      <c r="E5" s="2955"/>
      <c r="F5" s="2955"/>
      <c r="G5" s="2955"/>
      <c r="H5" s="2955"/>
      <c r="I5" s="2955"/>
      <c r="J5" s="2955"/>
      <c r="K5" s="2955"/>
      <c r="L5" s="2955"/>
      <c r="M5" s="2955"/>
      <c r="N5" s="2955"/>
      <c r="O5" s="2955"/>
      <c r="P5" s="2955"/>
      <c r="Q5" s="2955"/>
      <c r="R5" s="2956"/>
    </row>
    <row r="6" spans="1:18" ht="15.75" x14ac:dyDescent="0.2">
      <c r="A6" s="2878" t="s">
        <v>253</v>
      </c>
      <c r="B6" s="2879"/>
      <c r="C6" s="2879"/>
      <c r="D6" s="2879"/>
      <c r="E6" s="2879"/>
      <c r="F6" s="2879"/>
      <c r="G6" s="2879"/>
      <c r="H6" s="2879"/>
      <c r="I6" s="2879"/>
      <c r="J6" s="2879"/>
      <c r="K6" s="2879"/>
      <c r="L6" s="2879"/>
      <c r="M6" s="2879"/>
      <c r="N6" s="2879"/>
      <c r="O6" s="2879"/>
      <c r="P6" s="2879"/>
      <c r="Q6" s="2879"/>
      <c r="R6" s="2880"/>
    </row>
    <row r="7" spans="1:18" ht="15.75" x14ac:dyDescent="0.2">
      <c r="A7" s="2878" t="s">
        <v>275</v>
      </c>
      <c r="B7" s="2879"/>
      <c r="C7" s="2879"/>
      <c r="D7" s="2879"/>
      <c r="E7" s="2879"/>
      <c r="F7" s="2879"/>
      <c r="G7" s="2879"/>
      <c r="H7" s="2879"/>
      <c r="I7" s="2879"/>
      <c r="J7" s="2879"/>
      <c r="K7" s="2879"/>
      <c r="L7" s="2879"/>
      <c r="M7" s="2879"/>
      <c r="N7" s="2879"/>
      <c r="O7" s="2879"/>
      <c r="P7" s="2879"/>
      <c r="Q7" s="2879"/>
      <c r="R7" s="2880"/>
    </row>
    <row r="8" spans="1:18" ht="4.9000000000000004" customHeight="1" x14ac:dyDescent="0.2">
      <c r="A8" s="2885"/>
      <c r="B8" s="2886"/>
      <c r="C8" s="2886"/>
      <c r="D8" s="2886"/>
      <c r="E8" s="2886"/>
      <c r="F8" s="2886"/>
      <c r="G8" s="2886"/>
      <c r="H8" s="2886"/>
      <c r="I8" s="2886"/>
      <c r="J8" s="2886"/>
      <c r="K8" s="2886"/>
      <c r="L8" s="2886"/>
      <c r="M8" s="2886"/>
      <c r="N8" s="2886"/>
      <c r="O8" s="2886"/>
      <c r="P8" s="2886"/>
      <c r="Q8" s="2886"/>
      <c r="R8" s="2887"/>
    </row>
    <row r="9" spans="1:18" ht="15" customHeight="1" x14ac:dyDescent="0.2">
      <c r="A9" s="1009"/>
      <c r="B9" s="1010" t="s">
        <v>217</v>
      </c>
      <c r="D9" s="1010" t="s">
        <v>218</v>
      </c>
      <c r="E9" s="163" t="s">
        <v>1053</v>
      </c>
      <c r="R9" s="1011"/>
    </row>
    <row r="10" spans="1:18" ht="12.75" customHeight="1" x14ac:dyDescent="0.2">
      <c r="A10" s="1009"/>
      <c r="C10" s="1010"/>
      <c r="D10" s="1010"/>
      <c r="E10" s="1008" t="s">
        <v>219</v>
      </c>
      <c r="P10" s="1428"/>
      <c r="Q10" s="1428"/>
      <c r="R10" s="1011"/>
    </row>
    <row r="11" spans="1:18" ht="6.75" customHeight="1" x14ac:dyDescent="0.2">
      <c r="A11" s="1009"/>
      <c r="P11" s="1428"/>
      <c r="Q11" s="1428"/>
      <c r="R11" s="1011"/>
    </row>
    <row r="12" spans="1:18" ht="13.5" customHeight="1" x14ac:dyDescent="0.2">
      <c r="A12" s="1009"/>
      <c r="B12" s="1010" t="s">
        <v>220</v>
      </c>
      <c r="D12" s="1010" t="s">
        <v>218</v>
      </c>
      <c r="E12" s="1008" t="str">
        <f>'F-LSCD-012 (Pers. Hp(10))'!C7</f>
        <v>INSPECCIONES C &amp; N S.A.C.</v>
      </c>
      <c r="P12" s="2902" t="s">
        <v>221</v>
      </c>
      <c r="Q12" s="2930"/>
      <c r="R12" s="1011"/>
    </row>
    <row r="13" spans="1:18" x14ac:dyDescent="0.2">
      <c r="A13" s="1009"/>
      <c r="E13" s="2882" t="str">
        <f>'F-LSCD-012 (Pers. Hp(10))'!C8</f>
        <v>Cal. 6 Mza. B Lote 3 y Asoc - Ex Fun Oquendo (Lote 3 y 4-Km 7,5 N Gambetta</v>
      </c>
      <c r="F13" s="2882"/>
      <c r="G13" s="2882"/>
      <c r="H13" s="2882"/>
      <c r="I13" s="2882"/>
      <c r="J13" s="2882"/>
      <c r="K13" s="2882"/>
      <c r="L13" s="2882"/>
      <c r="M13" s="2882"/>
      <c r="N13" s="2882"/>
      <c r="P13" s="2902"/>
      <c r="Q13" s="2930"/>
      <c r="R13" s="1011"/>
    </row>
    <row r="14" spans="1:18" ht="15" customHeight="1" x14ac:dyDescent="0.2">
      <c r="A14" s="1009"/>
      <c r="E14" s="1008" t="str">
        <f>'F-LSCD-012 (Pers. Hp(10))'!I8&amp;", "&amp;'F-LSCD-012 (Pers. Hp(10))'!L8&amp;", "&amp;'F-LSCD-012 (Pers. Hp(10))'!P8&amp;", "&amp;'F-LSCD-012 (Pers. Hp(10))'!T8</f>
        <v>Callao, Callao, Callao, Perú</v>
      </c>
      <c r="P14" s="2902"/>
      <c r="Q14" s="2930"/>
      <c r="R14" s="1011"/>
    </row>
    <row r="15" spans="1:18" ht="8.25" customHeight="1" x14ac:dyDescent="0.2">
      <c r="A15" s="1009"/>
      <c r="P15" s="2902"/>
      <c r="Q15" s="2930"/>
      <c r="R15" s="1011"/>
    </row>
    <row r="16" spans="1:18" x14ac:dyDescent="0.2">
      <c r="A16" s="1009"/>
      <c r="B16" s="1010" t="s">
        <v>222</v>
      </c>
      <c r="D16" s="1010" t="s">
        <v>218</v>
      </c>
      <c r="E16" s="1012" t="str">
        <f>'F-LSCD-012 (Pers. Hp(10))'!C6</f>
        <v>O. Pedido N° 111-3727</v>
      </c>
      <c r="F16" s="1013"/>
      <c r="G16" s="1013"/>
      <c r="H16" s="1013"/>
      <c r="I16" s="1013"/>
      <c r="J16" s="1013"/>
      <c r="K16" s="1014"/>
      <c r="L16" s="1014"/>
      <c r="M16" s="1014"/>
      <c r="N16" s="1015"/>
      <c r="O16" s="1016"/>
      <c r="P16" s="2902"/>
      <c r="Q16" s="2930"/>
      <c r="R16" s="1011"/>
    </row>
    <row r="17" spans="1:18" ht="5.25" customHeight="1" x14ac:dyDescent="0.2">
      <c r="A17" s="1009"/>
      <c r="P17" s="2902"/>
      <c r="Q17" s="2930"/>
      <c r="R17" s="1011"/>
    </row>
    <row r="18" spans="1:18" x14ac:dyDescent="0.2">
      <c r="A18" s="1009"/>
      <c r="B18" s="1010" t="s">
        <v>255</v>
      </c>
      <c r="D18" s="1010" t="s">
        <v>218</v>
      </c>
      <c r="E18" s="2883" t="str">
        <f>'F-LSCD-012 (Pers. Hp(10))'!C9</f>
        <v>Monitor de radiación personal con alarma</v>
      </c>
      <c r="F18" s="2883"/>
      <c r="G18" s="2883"/>
      <c r="H18" s="2883"/>
      <c r="I18" s="2883"/>
      <c r="J18" s="2883"/>
      <c r="K18" s="2883"/>
      <c r="L18" s="2883"/>
      <c r="M18" s="2883"/>
      <c r="N18" s="2883"/>
      <c r="O18" s="1017"/>
      <c r="P18" s="1018"/>
      <c r="Q18" s="1019"/>
      <c r="R18" s="1011"/>
    </row>
    <row r="19" spans="1:18" x14ac:dyDescent="0.2">
      <c r="A19" s="1009"/>
      <c r="B19" s="1010"/>
      <c r="D19" s="1010"/>
      <c r="E19" s="2883" t="str">
        <f>IF('F-LSCD-012 (Pers. Hp(10))'!C13="-","Marca: "&amp;'F-LSCD-012 (Pers. Hp(10))'!C10,"Marca: "&amp;'F-LSCD-012 (Pers. Hp(10))'!C10&amp;" / Marca sonda: "&amp;'F-LSCD-012 (Pers. Hp(10))'!C13)</f>
        <v>Marca: NDS PRODUCTS, INC.</v>
      </c>
      <c r="F19" s="2883"/>
      <c r="G19" s="2883"/>
      <c r="H19" s="2883"/>
      <c r="I19" s="2883"/>
      <c r="J19" s="2883"/>
      <c r="K19" s="2883"/>
      <c r="L19" s="2883"/>
      <c r="M19" s="2883"/>
      <c r="N19" s="2883"/>
      <c r="O19" s="1017"/>
      <c r="P19" s="1429"/>
      <c r="Q19" s="1428"/>
      <c r="R19" s="1011"/>
    </row>
    <row r="20" spans="1:18" ht="12" customHeight="1" x14ac:dyDescent="0.2">
      <c r="A20" s="1009"/>
      <c r="B20" s="1010"/>
      <c r="D20" s="1010"/>
      <c r="E20" s="2883" t="str">
        <f>IF('F-LSCD-012 (Pers. Hp(10))'!C13="-","Modelo: "&amp;'F-LSCD-012 (Pers. Hp(10))'!C11,"Modelo monitor: "&amp;'F-LSCD-012 (Pers. Hp(10))'!C11&amp;" / Modelo sonda: "&amp;'F-LSCD-012 (Pers. Hp(10))'!C14)</f>
        <v>Modelo: ND-15</v>
      </c>
      <c r="F20" s="2883"/>
      <c r="G20" s="2883"/>
      <c r="H20" s="2883"/>
      <c r="I20" s="2883"/>
      <c r="J20" s="2883"/>
      <c r="K20" s="2883"/>
      <c r="L20" s="2883"/>
      <c r="M20" s="2883"/>
      <c r="N20" s="2883"/>
      <c r="O20" s="1017"/>
      <c r="P20" s="2948" t="s">
        <v>225</v>
      </c>
      <c r="Q20" s="2947"/>
      <c r="R20" s="1011"/>
    </row>
    <row r="21" spans="1:18" ht="12" customHeight="1" x14ac:dyDescent="0.2">
      <c r="A21" s="1009"/>
      <c r="B21" s="1010"/>
      <c r="D21" s="1010"/>
      <c r="E21" s="2883" t="str">
        <f>IF('F-LSCD-012 (Pers. Hp(10))'!C13="-","Serie: "&amp;'F-LSCD-012 (Pers. Hp(10))'!C12,"Serie monitor: "&amp;'F-LSCD-012 (Pers. Hp(10))'!C12&amp;" / Serie sonda: "&amp;'F-LSCD-012 (Pers. Hp(10))'!C15)</f>
        <v>Serie: 89364</v>
      </c>
      <c r="F21" s="2883"/>
      <c r="G21" s="2883"/>
      <c r="H21" s="2883"/>
      <c r="I21" s="2883"/>
      <c r="J21" s="2883"/>
      <c r="K21" s="2883"/>
      <c r="L21" s="2883"/>
      <c r="M21" s="2883"/>
      <c r="N21" s="2883"/>
      <c r="O21" s="1017"/>
      <c r="P21" s="2948"/>
      <c r="Q21" s="2947"/>
      <c r="R21" s="1011"/>
    </row>
    <row r="22" spans="1:18" ht="8.25" customHeight="1" x14ac:dyDescent="0.2">
      <c r="A22" s="1009"/>
      <c r="B22" s="1010"/>
      <c r="D22" s="1010"/>
      <c r="E22" s="2883"/>
      <c r="F22" s="2883"/>
      <c r="G22" s="2883"/>
      <c r="H22" s="2883"/>
      <c r="I22" s="2883"/>
      <c r="J22" s="2883"/>
      <c r="K22" s="2883"/>
      <c r="L22" s="2883"/>
      <c r="M22" s="2883"/>
      <c r="N22" s="2883"/>
      <c r="O22" s="1017"/>
      <c r="P22" s="2948"/>
      <c r="Q22" s="2947"/>
      <c r="R22" s="1011"/>
    </row>
    <row r="23" spans="1:18" x14ac:dyDescent="0.2">
      <c r="A23" s="1009"/>
      <c r="B23" s="1020" t="s">
        <v>224</v>
      </c>
      <c r="D23" s="175" t="s">
        <v>218</v>
      </c>
      <c r="E23" s="2908" t="str">
        <f>'F-LSCD-012 (Pers. Hp(10))'!C19</f>
        <v>ISO 4037, aplicado al PROC-LSCD-001 "Calibración de dosímetros personales"</v>
      </c>
      <c r="F23" s="2908"/>
      <c r="G23" s="2908"/>
      <c r="H23" s="2908"/>
      <c r="I23" s="2908"/>
      <c r="J23" s="2908"/>
      <c r="K23" s="2908"/>
      <c r="L23" s="2908"/>
      <c r="M23" s="2908"/>
      <c r="N23" s="2908"/>
      <c r="O23" s="1021"/>
      <c r="P23" s="2948"/>
      <c r="Q23" s="2947"/>
      <c r="R23" s="1011"/>
    </row>
    <row r="24" spans="1:18" x14ac:dyDescent="0.2">
      <c r="A24" s="1009"/>
      <c r="E24" s="2908"/>
      <c r="F24" s="2908"/>
      <c r="G24" s="2908"/>
      <c r="H24" s="2908"/>
      <c r="I24" s="2908"/>
      <c r="J24" s="2908"/>
      <c r="K24" s="2908"/>
      <c r="L24" s="2908"/>
      <c r="M24" s="2908"/>
      <c r="N24" s="2908"/>
      <c r="O24" s="1021"/>
      <c r="P24" s="2948"/>
      <c r="Q24" s="2947"/>
      <c r="R24" s="1011"/>
    </row>
    <row r="25" spans="1:18" ht="6.75" customHeight="1" x14ac:dyDescent="0.2">
      <c r="A25" s="1009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  <c r="O25" s="1021"/>
      <c r="P25" s="2948"/>
      <c r="Q25" s="2947"/>
      <c r="R25" s="1011"/>
    </row>
    <row r="26" spans="1:18" ht="14.25" customHeight="1" x14ac:dyDescent="0.2">
      <c r="A26" s="1009"/>
      <c r="B26" s="1010" t="s">
        <v>226</v>
      </c>
      <c r="D26" s="1010" t="s">
        <v>218</v>
      </c>
      <c r="P26" s="2948"/>
      <c r="Q26" s="2947"/>
      <c r="R26" s="1011"/>
    </row>
    <row r="27" spans="1:18" ht="8.25" customHeight="1" x14ac:dyDescent="0.2">
      <c r="A27" s="1009"/>
      <c r="E27" s="2909"/>
      <c r="F27" s="2909"/>
      <c r="G27" s="2909"/>
      <c r="H27" s="2909"/>
      <c r="I27" s="2909"/>
      <c r="J27" s="2909"/>
      <c r="K27" s="2909"/>
      <c r="L27" s="2909"/>
      <c r="M27" s="2909"/>
      <c r="N27" s="2909"/>
      <c r="P27" s="2948"/>
      <c r="Q27" s="2947"/>
      <c r="R27" s="1011"/>
    </row>
    <row r="28" spans="1:18" ht="42" customHeight="1" x14ac:dyDescent="0.2">
      <c r="A28" s="1009"/>
      <c r="C28" s="1272" t="s">
        <v>227</v>
      </c>
      <c r="D28" s="1280" t="s">
        <v>218</v>
      </c>
      <c r="E28" s="2908" t="str">
        <f>'F-LSCD-012 (Pers. Hp(10))'!C20</f>
        <v>Cámara de ionización, Marca: PTW; Modelo: TN32002; Serie: 000568; Certificado de calibración N°: T163053, con fecha 09-Dec-16 (K&amp;S Associates, Inc.); Trazable al NIST.</v>
      </c>
      <c r="F28" s="2908"/>
      <c r="G28" s="2908"/>
      <c r="H28" s="2908"/>
      <c r="I28" s="2908"/>
      <c r="J28" s="2908"/>
      <c r="K28" s="2908"/>
      <c r="L28" s="2908"/>
      <c r="M28" s="2908"/>
      <c r="N28" s="2908"/>
      <c r="O28" s="1023"/>
      <c r="P28" s="2948"/>
      <c r="Q28" s="2947"/>
      <c r="R28" s="1011"/>
    </row>
    <row r="29" spans="1:18" ht="12" customHeight="1" x14ac:dyDescent="0.2">
      <c r="A29" s="1009"/>
      <c r="C29" s="1272" t="s">
        <v>203</v>
      </c>
      <c r="D29" s="1022" t="s">
        <v>218</v>
      </c>
      <c r="E29" s="1275" t="str">
        <f>'F-LSCD-012 (Pers. Hp(10))'!C21</f>
        <v>S-Cs (ISO 4037)</v>
      </c>
      <c r="F29" s="1275"/>
      <c r="G29" s="1275"/>
      <c r="H29" s="1275"/>
      <c r="I29" s="1275"/>
      <c r="J29" s="1275"/>
      <c r="K29" s="1275"/>
      <c r="L29" s="1275"/>
      <c r="M29" s="1275"/>
      <c r="N29" s="1275"/>
      <c r="O29" s="1014"/>
      <c r="P29" s="2951" t="s">
        <v>702</v>
      </c>
      <c r="Q29" s="2950"/>
      <c r="R29" s="1011"/>
    </row>
    <row r="30" spans="1:18" ht="25.5" x14ac:dyDescent="0.2">
      <c r="A30" s="1009"/>
      <c r="C30" s="1274" t="s">
        <v>228</v>
      </c>
      <c r="D30" s="1022" t="s">
        <v>218</v>
      </c>
      <c r="E30" s="2952" t="str">
        <f>IF('F-LSCD-012 (Pers. Hp(10))'!D30="-","Temp (°C): "&amp;'F-LSCD-012 (Pers. Hp(10))'!D28&amp;"; Presión (hPa): "&amp;'F-LSCD-012 (Pers. Hp(10))'!H28&amp;"; HR(%): "&amp;'F-LSCD-012 (Pers. Hp(10))'!F28,"Temp (°C): "&amp;'F-LSCD-012 (Pers. Hp(10))'!D30&amp;"; Presión (hPa): "&amp;'F-LSCD-012 (Pers. Hp(10))'!H30&amp;"; HR(%): "&amp;'F-LSCD-012 (Pers. Hp(10))'!F30)</f>
        <v>Temp (°C): 19.9; Presión (hPa): 1010; HR(%): 52</v>
      </c>
      <c r="F30" s="2952"/>
      <c r="G30" s="2952"/>
      <c r="H30" s="2952"/>
      <c r="I30" s="2952"/>
      <c r="J30" s="2952"/>
      <c r="K30" s="2952"/>
      <c r="L30" s="2952"/>
      <c r="M30" s="2952"/>
      <c r="N30" s="2952"/>
      <c r="O30" s="1014"/>
      <c r="P30" s="2951"/>
      <c r="Q30" s="2950"/>
      <c r="R30" s="1011"/>
    </row>
    <row r="31" spans="1:18" ht="25.5" x14ac:dyDescent="0.2">
      <c r="A31" s="1009"/>
      <c r="C31" s="1273" t="s">
        <v>277</v>
      </c>
      <c r="D31" s="1280" t="s">
        <v>218</v>
      </c>
      <c r="E31" s="2912" t="str">
        <f>'F-LSCD-012 (Pers. Hp(10))'!C22</f>
        <v xml:space="preserve">Sobre la superficie del fantoma (ISO) con el eje longitudinal del detector transversal al eje central del haz de radiación
</v>
      </c>
      <c r="F31" s="2912"/>
      <c r="G31" s="2912"/>
      <c r="H31" s="2912"/>
      <c r="I31" s="2912"/>
      <c r="J31" s="2912"/>
      <c r="K31" s="2912"/>
      <c r="L31" s="2912"/>
      <c r="M31" s="2912"/>
      <c r="N31" s="2912"/>
      <c r="O31" s="1014"/>
      <c r="P31" s="1024"/>
      <c r="Q31" s="1025"/>
      <c r="R31" s="1011"/>
    </row>
    <row r="32" spans="1:18" x14ac:dyDescent="0.2">
      <c r="A32" s="1009"/>
      <c r="C32" s="1273" t="s">
        <v>231</v>
      </c>
      <c r="D32" s="1280" t="s">
        <v>218</v>
      </c>
      <c r="E32" s="2913" t="str">
        <f>'F-LSCD-012 (Pers. Hp(10))'!C23</f>
        <v>Centro geométrico del volumen sensible del detector</v>
      </c>
      <c r="F32" s="2913"/>
      <c r="G32" s="2913"/>
      <c r="H32" s="2913"/>
      <c r="I32" s="2913"/>
      <c r="J32" s="2913"/>
      <c r="K32" s="2913"/>
      <c r="L32" s="2913"/>
      <c r="M32" s="2913"/>
      <c r="N32" s="2913"/>
      <c r="O32" s="1014"/>
      <c r="P32" s="2906" t="s">
        <v>813</v>
      </c>
      <c r="Q32" s="2930"/>
      <c r="R32" s="1011"/>
    </row>
    <row r="33" spans="1:18" ht="12.75" customHeight="1" x14ac:dyDescent="0.2">
      <c r="A33" s="1009"/>
      <c r="C33" s="1273" t="s">
        <v>232</v>
      </c>
      <c r="D33" s="1022" t="s">
        <v>218</v>
      </c>
      <c r="E33" s="2931">
        <f>'F-LSCD-012 (Pers. Hp(10))'!C16</f>
        <v>43145</v>
      </c>
      <c r="F33" s="2931"/>
      <c r="G33" s="2931"/>
      <c r="H33" s="1276"/>
      <c r="I33" s="1276"/>
      <c r="J33" s="1276"/>
      <c r="K33" s="1277"/>
      <c r="L33" s="1275"/>
      <c r="M33" s="1275"/>
      <c r="N33" s="1275"/>
      <c r="O33" s="1014"/>
      <c r="P33" s="2902"/>
      <c r="Q33" s="2930"/>
      <c r="R33" s="1011"/>
    </row>
    <row r="34" spans="1:18" ht="15" customHeight="1" x14ac:dyDescent="0.2">
      <c r="A34" s="1009"/>
      <c r="C34" s="1272" t="s">
        <v>257</v>
      </c>
      <c r="D34" s="1022" t="s">
        <v>218</v>
      </c>
      <c r="E34" s="2931">
        <f>'F-LSCD-012 (Pers. Hp(10))'!C18</f>
        <v>43146</v>
      </c>
      <c r="F34" s="2931"/>
      <c r="G34" s="2931"/>
      <c r="H34" s="1278"/>
      <c r="I34" s="1278"/>
      <c r="J34" s="1278"/>
      <c r="K34" s="1279"/>
      <c r="L34" s="1279"/>
      <c r="M34" s="1279"/>
      <c r="N34" s="1279"/>
      <c r="O34" s="1027"/>
      <c r="P34" s="2902"/>
      <c r="Q34" s="2930"/>
      <c r="R34" s="1011"/>
    </row>
    <row r="35" spans="1:18" ht="9" customHeight="1" x14ac:dyDescent="0.25">
      <c r="A35" s="1009"/>
      <c r="B35" s="1010"/>
      <c r="D35" s="1028"/>
      <c r="E35" s="1028"/>
      <c r="H35" s="1026"/>
      <c r="R35" s="1011"/>
    </row>
    <row r="36" spans="1:18" ht="15" customHeight="1" x14ac:dyDescent="0.2">
      <c r="A36" s="1009"/>
      <c r="B36" s="1010" t="s">
        <v>258</v>
      </c>
      <c r="C36" s="1010"/>
      <c r="D36" s="1029"/>
      <c r="E36" s="1029"/>
      <c r="F36" s="1010"/>
      <c r="G36" s="1010"/>
      <c r="H36" s="1010"/>
      <c r="I36" s="1010"/>
      <c r="J36" s="1010"/>
      <c r="R36" s="1011"/>
    </row>
    <row r="37" spans="1:18" ht="3.75" customHeight="1" x14ac:dyDescent="0.2">
      <c r="A37" s="1009"/>
      <c r="D37" s="1028"/>
      <c r="E37" s="1030"/>
      <c r="R37" s="1011"/>
    </row>
    <row r="38" spans="1:18" ht="15" customHeight="1" x14ac:dyDescent="0.2">
      <c r="A38" s="1009"/>
      <c r="C38" s="3138" t="s">
        <v>936</v>
      </c>
      <c r="D38" s="2890"/>
      <c r="E38" s="3256" t="s">
        <v>934</v>
      </c>
      <c r="F38" s="2894"/>
      <c r="G38" s="2894"/>
      <c r="H38" s="2894"/>
      <c r="I38" s="2894"/>
      <c r="J38" s="2895"/>
      <c r="K38" s="2866" t="s">
        <v>801</v>
      </c>
      <c r="L38" s="2868"/>
      <c r="M38" s="2940" t="s">
        <v>259</v>
      </c>
      <c r="N38" s="2941"/>
      <c r="O38" s="2942"/>
      <c r="P38" s="2967" t="s">
        <v>6</v>
      </c>
      <c r="R38" s="1011"/>
    </row>
    <row r="39" spans="1:18" ht="22.5" customHeight="1" x14ac:dyDescent="0.2">
      <c r="A39" s="1009"/>
      <c r="C39" s="2936"/>
      <c r="D39" s="2937"/>
      <c r="E39" s="2893" t="str">
        <f>'F-LSCD-012 (Pers. Hp(10))'!B34</f>
        <v>Según fabricante</v>
      </c>
      <c r="F39" s="2895"/>
      <c r="G39" s="2893" t="str">
        <f>'F-LSCD-012 (Pers. Hp(10))'!B35</f>
        <v>Sonidos registrados</v>
      </c>
      <c r="H39" s="2895"/>
      <c r="I39" s="2946" t="s">
        <v>117</v>
      </c>
      <c r="J39" s="2939"/>
      <c r="K39" s="2938"/>
      <c r="L39" s="2939"/>
      <c r="M39" s="2943"/>
      <c r="N39" s="2944"/>
      <c r="O39" s="2945"/>
      <c r="P39" s="2968"/>
      <c r="Q39" s="1031"/>
      <c r="R39" s="1011"/>
    </row>
    <row r="40" spans="1:18" x14ac:dyDescent="0.2">
      <c r="A40" s="1009"/>
      <c r="C40" s="2851">
        <f>'F-LSCD-012 (Pers. Hp(10))'!A34</f>
        <v>25000</v>
      </c>
      <c r="D40" s="2851"/>
      <c r="E40" s="2923">
        <f>'F-LSCD-012 (Pers. Hp(10))'!O34</f>
        <v>60</v>
      </c>
      <c r="F40" s="2924"/>
      <c r="G40" s="2962">
        <f>'F-LSCD-012 (Pers. Hp(10))'!O35</f>
        <v>85.3</v>
      </c>
      <c r="H40" s="2962"/>
      <c r="I40" s="3137" t="s">
        <v>935</v>
      </c>
      <c r="J40" s="2920"/>
      <c r="K40" s="2934">
        <f>IF('F-LSCD-012 (Pers. Hp(10))'!R35="-",'F-LSCD-012 (Pers. Hp(10))'!R34,'F-LSCD-012 (Pers. Hp(10))'!R35)</f>
        <v>0.70339976553341155</v>
      </c>
      <c r="L40" s="2935"/>
      <c r="M40" s="2848">
        <v>0.1</v>
      </c>
      <c r="N40" s="2848"/>
      <c r="O40" s="2848"/>
      <c r="P40" s="1433" t="s">
        <v>268</v>
      </c>
      <c r="Q40" s="1032"/>
      <c r="R40" s="1011"/>
    </row>
    <row r="41" spans="1:18" x14ac:dyDescent="0.2">
      <c r="A41" s="1009"/>
      <c r="C41" s="2851" t="str">
        <f>'F-LSCD-012 (Pers. Hp(10))'!A36</f>
        <v>-</v>
      </c>
      <c r="D41" s="2851"/>
      <c r="E41" s="2923">
        <f>'F-LSCD-012 (Pers. Hp(10))'!O36</f>
        <v>60</v>
      </c>
      <c r="F41" s="2924"/>
      <c r="G41" s="2962">
        <f>'F-LSCD-012 (Pers. Hp(10))'!O37</f>
        <v>45.7</v>
      </c>
      <c r="H41" s="2962"/>
      <c r="I41" s="3136" t="s">
        <v>935</v>
      </c>
      <c r="J41" s="2920"/>
      <c r="K41" s="2850">
        <f>IF('F-LSCD-012 (Pers. Hp(10))'!R37="-",'F-LSCD-012 (Pers. Hp(10))'!R36,'F-LSCD-012 (Pers. Hp(10))'!R37)</f>
        <v>1.3129102844638949</v>
      </c>
      <c r="L41" s="2850"/>
      <c r="M41" s="2848">
        <v>0.1</v>
      </c>
      <c r="N41" s="2848"/>
      <c r="O41" s="2848"/>
      <c r="P41" s="1433" t="s">
        <v>269</v>
      </c>
      <c r="Q41" s="1032"/>
      <c r="R41" s="1011"/>
    </row>
    <row r="42" spans="1:18" hidden="1" x14ac:dyDescent="0.2">
      <c r="A42" s="1009"/>
      <c r="C42" s="2851" t="str">
        <f>'F-LSCD-012 (Pers. Hp(10))'!A38</f>
        <v>-</v>
      </c>
      <c r="D42" s="2851"/>
      <c r="E42" s="2960" t="str">
        <f>'F-LSCD-012 (Pers. Hp(10))'!O38</f>
        <v>-</v>
      </c>
      <c r="F42" s="2961"/>
      <c r="G42" s="2850" t="str">
        <f>'F-LSCD-012 (Pers. Hp(10))'!O39</f>
        <v>-</v>
      </c>
      <c r="H42" s="2850"/>
      <c r="I42" s="2920" t="str">
        <f>IF('F-LSCD-012 (Pers. Hp(10))'!N39="-",'F-LSCD-012 (Pers. Hp(10))'!N38,'F-LSCD-012 (Pers. Hp(10))'!N39)</f>
        <v>-</v>
      </c>
      <c r="J42" s="2920"/>
      <c r="K42" s="2850" t="str">
        <f>IF('F-LSCD-012 (Pers. Hp(10))'!R39="-",'F-LSCD-012 (Pers. Hp(10))'!R38,'F-LSCD-012 (Pers. Hp(10))'!R39)</f>
        <v>-</v>
      </c>
      <c r="L42" s="2850"/>
      <c r="M42" s="2847" t="str">
        <f>IF('F-LSCD-012 (Pers. Hp(10))'!O39="-",'F-LSCD-012 (Pers. Hp(10))'!T38,'F-LSCD-012 (Pers. Hp(10))'!T39)</f>
        <v>-</v>
      </c>
      <c r="N42" s="2847"/>
      <c r="O42" s="2847"/>
      <c r="P42" s="199"/>
      <c r="Q42" s="1032"/>
      <c r="R42" s="1011"/>
    </row>
    <row r="43" spans="1:18" hidden="1" x14ac:dyDescent="0.2">
      <c r="A43" s="1009"/>
      <c r="C43" s="2851" t="str">
        <f>'F-LSCD-012 (Pers. Hp(10))'!A40</f>
        <v>-</v>
      </c>
      <c r="D43" s="2851"/>
      <c r="E43" s="2921" t="str">
        <f>'F-LSCD-012 (Pers. Hp(10))'!O40</f>
        <v>-</v>
      </c>
      <c r="F43" s="2922"/>
      <c r="G43" s="2850" t="str">
        <f>'F-LSCD-012 (Pers. Hp(10))'!O41</f>
        <v>-</v>
      </c>
      <c r="H43" s="2850"/>
      <c r="I43" s="2920" t="str">
        <f>IF('F-LSCD-012 (Pers. Hp(10))'!N41="-",'F-LSCD-012 (Pers. Hp(10))'!N40,'F-LSCD-012 (Pers. Hp(10))'!N41)</f>
        <v>-</v>
      </c>
      <c r="J43" s="2920"/>
      <c r="K43" s="2850" t="str">
        <f>IF('F-LSCD-012 (Pers. Hp(10))'!R41="-",'F-LSCD-012 (Pers. Hp(10))'!R40,'F-LSCD-012 (Pers. Hp(10))'!R41)</f>
        <v>-</v>
      </c>
      <c r="L43" s="2850"/>
      <c r="M43" s="2847" t="str">
        <f>IF('F-LSCD-012 (Pers. Hp(10))'!O41="-",'F-LSCD-012 (Pers. Hp(10))'!T40,'F-LSCD-012 (Pers. Hp(10))'!T41)</f>
        <v>-</v>
      </c>
      <c r="N43" s="2847"/>
      <c r="O43" s="2847"/>
      <c r="P43" s="1032"/>
      <c r="Q43" s="1032"/>
      <c r="R43" s="1011"/>
    </row>
    <row r="44" spans="1:18" hidden="1" x14ac:dyDescent="0.2">
      <c r="A44" s="1009"/>
      <c r="C44" s="2851" t="str">
        <f>'F-LSCD-012 (Pers. Hp(10))'!A42</f>
        <v>-</v>
      </c>
      <c r="D44" s="2851"/>
      <c r="E44" s="2960" t="str">
        <f>'F-LSCD-012 (Pers. Hp(10))'!O42</f>
        <v>-</v>
      </c>
      <c r="F44" s="2961"/>
      <c r="G44" s="2850" t="str">
        <f>'F-LSCD-012 (Pers. Hp(10))'!O43</f>
        <v>-</v>
      </c>
      <c r="H44" s="2850"/>
      <c r="I44" s="2920" t="str">
        <f>IF('F-LSCD-012 (Pers. Hp(10))'!N43="-",'F-LSCD-012 (Pers. Hp(10))'!N42,'F-LSCD-012 (Pers. Hp(10))'!N43)</f>
        <v>-</v>
      </c>
      <c r="J44" s="2920"/>
      <c r="K44" s="2850" t="str">
        <f>IF('F-LSCD-012 (Pers. Hp(10))'!R43="-",'F-LSCD-012 (Pers. Hp(10))'!R42,'F-LSCD-012 (Pers. Hp(10))'!R43)</f>
        <v>-</v>
      </c>
      <c r="L44" s="2850"/>
      <c r="M44" s="2847" t="str">
        <f>IF('F-LSCD-012 (Pers. Hp(10))'!O43="-",'F-LSCD-012 (Pers. Hp(10))'!T42,'F-LSCD-012 (Pers. Hp(10))'!T43)</f>
        <v>-</v>
      </c>
      <c r="N44" s="2847"/>
      <c r="O44" s="2847"/>
      <c r="P44" s="1032"/>
      <c r="Q44" s="1032"/>
      <c r="R44" s="1011"/>
    </row>
    <row r="45" spans="1:18" hidden="1" x14ac:dyDescent="0.2">
      <c r="A45" s="1009"/>
      <c r="C45" s="2851" t="str">
        <f>'F-LSCD-012 (Pers. Hp(10))'!A44</f>
        <v>-</v>
      </c>
      <c r="D45" s="2851"/>
      <c r="E45" s="2965" t="str">
        <f>'F-LSCD-012 (Pers. Hp(10))'!O44</f>
        <v>-</v>
      </c>
      <c r="F45" s="2966"/>
      <c r="G45" s="2850" t="str">
        <f>'F-LSCD-012 (Pers. Hp(10))'!O45</f>
        <v>-</v>
      </c>
      <c r="H45" s="2850"/>
      <c r="I45" s="2920" t="str">
        <f>IF('F-LSCD-012 (Pers. Hp(10))'!N45="-",'F-LSCD-012 (Pers. Hp(10))'!N44,'F-LSCD-012 (Pers. Hp(10))'!N45)</f>
        <v>-</v>
      </c>
      <c r="J45" s="2920"/>
      <c r="K45" s="2850" t="str">
        <f>IF('F-LSCD-012 (Pers. Hp(10))'!R45="-",'F-LSCD-012 (Pers. Hp(10))'!R44,'F-LSCD-012 (Pers. Hp(10))'!R45)</f>
        <v>-</v>
      </c>
      <c r="L45" s="2850"/>
      <c r="M45" s="2847" t="str">
        <f>IF('F-LSCD-012 (Pers. Hp(10))'!O45="-",'F-LSCD-012 (Pers. Hp(10))'!T44,'F-LSCD-012 (Pers. Hp(10))'!T45)</f>
        <v>-</v>
      </c>
      <c r="N45" s="2847"/>
      <c r="O45" s="2847"/>
      <c r="P45" s="1032"/>
      <c r="Q45" s="1032"/>
      <c r="R45" s="1011"/>
    </row>
    <row r="46" spans="1:18" hidden="1" x14ac:dyDescent="0.2">
      <c r="A46" s="1009"/>
      <c r="C46" s="2851" t="str">
        <f>'F-LSCD-012 (Pers. Hp(10))'!A46</f>
        <v>-</v>
      </c>
      <c r="D46" s="2851"/>
      <c r="E46" s="2965" t="str">
        <f>'F-LSCD-012 (Pers. Hp(10))'!O46</f>
        <v>-</v>
      </c>
      <c r="F46" s="2966"/>
      <c r="G46" s="2850" t="str">
        <f>'F-LSCD-012 (Pers. Hp(10))'!O47</f>
        <v>-</v>
      </c>
      <c r="H46" s="2850"/>
      <c r="I46" s="2920" t="str">
        <f>IF('F-LSCD-012 (Pers. Hp(10))'!N47="-",'F-LSCD-012 (Pers. Hp(10))'!N46,'F-LSCD-012 (Pers. Hp(10))'!N47)</f>
        <v>-</v>
      </c>
      <c r="J46" s="2920"/>
      <c r="K46" s="2850" t="str">
        <f>IF('F-LSCD-012 (Pers. Hp(10))'!R47="-",'F-LSCD-012 (Pers. Hp(10))'!R46,'F-LSCD-012 (Pers. Hp(10))'!R47)</f>
        <v>-</v>
      </c>
      <c r="L46" s="2850"/>
      <c r="M46" s="2847" t="str">
        <f>IF('F-LSCD-012 (Pers. Hp(10))'!O47="-",'F-LSCD-012 (Pers. Hp(10))'!T46,'F-LSCD-012 (Pers. Hp(10))'!T47)</f>
        <v>-</v>
      </c>
      <c r="N46" s="2847"/>
      <c r="O46" s="2847"/>
      <c r="P46" s="1385"/>
      <c r="Q46" s="1032"/>
      <c r="R46" s="1011"/>
    </row>
    <row r="47" spans="1:18" hidden="1" x14ac:dyDescent="0.2">
      <c r="A47" s="1009"/>
      <c r="C47" s="2851" t="str">
        <f>'F-LSCD-012 (Pers. Hp(10))'!A48</f>
        <v>-</v>
      </c>
      <c r="D47" s="2851"/>
      <c r="E47" s="2934" t="str">
        <f>'F-LSCD-012 (Pers. Hp(10))'!O48</f>
        <v>-</v>
      </c>
      <c r="F47" s="2935"/>
      <c r="G47" s="2850" t="str">
        <f>'F-LSCD-012 (Pers. Hp(10))'!O49</f>
        <v>-</v>
      </c>
      <c r="H47" s="2850"/>
      <c r="I47" s="2920" t="str">
        <f>IF('F-LSCD-012 (Pers. Hp(10))'!N49="-",'F-LSCD-012 (Pers. Hp(10))'!N48,'F-LSCD-012 (Pers. Hp(10))'!N49)</f>
        <v>-</v>
      </c>
      <c r="J47" s="2920"/>
      <c r="K47" s="2850" t="str">
        <f>IF('F-LSCD-012 (Pers. Hp(10))'!R49="-",'F-LSCD-012 (Pers. Hp(10))'!R48,'F-LSCD-012 (Pers. Hp(10))'!R49)</f>
        <v>-</v>
      </c>
      <c r="L47" s="2850"/>
      <c r="M47" s="2847" t="str">
        <f>IF('F-LSCD-012 (Pers. Hp(10))'!O49="-",'F-LSCD-012 (Pers. Hp(10))'!T48,'F-LSCD-012 (Pers. Hp(10))'!T49)</f>
        <v>-</v>
      </c>
      <c r="N47" s="2847"/>
      <c r="O47" s="2847"/>
      <c r="P47" s="1032"/>
      <c r="Q47" s="1032"/>
      <c r="R47" s="1011"/>
    </row>
    <row r="48" spans="1:18" hidden="1" x14ac:dyDescent="0.2">
      <c r="A48" s="1009"/>
      <c r="C48" s="2851" t="str">
        <f>'F-LSCD-012 (Pers. Hp(10))'!A50</f>
        <v>-</v>
      </c>
      <c r="D48" s="2851"/>
      <c r="E48" s="2934" t="str">
        <f>'F-LSCD-012 (Pers. Hp(10))'!O50</f>
        <v>-</v>
      </c>
      <c r="F48" s="2935"/>
      <c r="G48" s="2850" t="str">
        <f>'F-LSCD-012 (Pers. Hp(10))'!O51</f>
        <v>-</v>
      </c>
      <c r="H48" s="2850"/>
      <c r="I48" s="2920" t="str">
        <f>IF('F-LSCD-012 (Pers. Hp(10))'!N51="-",'F-LSCD-012 (Pers. Hp(10))'!N50,'F-LSCD-012 (Pers. Hp(10))'!N51)</f>
        <v>-</v>
      </c>
      <c r="J48" s="2920"/>
      <c r="K48" s="2850" t="str">
        <f>IF('F-LSCD-012 (Pers. Hp(10))'!R51="-",'F-LSCD-012 (Pers. Hp(10))'!R50,'F-LSCD-012 (Pers. Hp(10))'!R51)</f>
        <v>-</v>
      </c>
      <c r="L48" s="2850"/>
      <c r="M48" s="2847" t="str">
        <f>IF('F-LSCD-012 (Pers. Hp(10))'!O51="-",'F-LSCD-012 (Pers. Hp(10))'!T50,'F-LSCD-012 (Pers. Hp(10))'!T51)</f>
        <v>-</v>
      </c>
      <c r="N48" s="2847"/>
      <c r="O48" s="2847"/>
      <c r="P48" s="1032"/>
      <c r="Q48" s="1032"/>
      <c r="R48" s="1011"/>
    </row>
    <row r="49" spans="1:19" hidden="1" x14ac:dyDescent="0.2">
      <c r="A49" s="1009"/>
      <c r="C49" s="2851" t="str">
        <f>'F-LSCD-012 (Pers. Hp(10))'!A52</f>
        <v>-</v>
      </c>
      <c r="D49" s="2851"/>
      <c r="E49" s="2934" t="str">
        <f>'F-LSCD-012 (Pers. Hp(10))'!O52</f>
        <v>-</v>
      </c>
      <c r="F49" s="2935"/>
      <c r="G49" s="2850" t="str">
        <f>'F-LSCD-012 (Pers. Hp(10))'!O53</f>
        <v>-</v>
      </c>
      <c r="H49" s="2850"/>
      <c r="I49" s="2920" t="str">
        <f>IF('F-LSCD-012 (Pers. Hp(10))'!N53="-",'F-LSCD-012 (Pers. Hp(10))'!N52,'F-LSCD-012 (Pers. Hp(10))'!N53)</f>
        <v>-</v>
      </c>
      <c r="J49" s="2920"/>
      <c r="K49" s="2850" t="str">
        <f>IF('F-LSCD-012 (Pers. Hp(10))'!R53="-",'F-LSCD-012 (Pers. Hp(10))'!R52,'F-LSCD-012 (Pers. Hp(10))'!R53)</f>
        <v>-</v>
      </c>
      <c r="L49" s="2850"/>
      <c r="M49" s="2847" t="str">
        <f>IF('F-LSCD-012 (Pers. Hp(10))'!O53="-",'F-LSCD-012 (Pers. Hp(10))'!T52,'F-LSCD-012 (Pers. Hp(10))'!T53)</f>
        <v>-</v>
      </c>
      <c r="N49" s="2847"/>
      <c r="O49" s="2847"/>
      <c r="P49" s="1032"/>
      <c r="Q49" s="1032"/>
      <c r="R49" s="1011"/>
    </row>
    <row r="50" spans="1:19" hidden="1" x14ac:dyDescent="0.2">
      <c r="A50" s="1009"/>
      <c r="C50" s="2851" t="str">
        <f>'F-LSCD-012 (Pers. Hp(10))'!A54</f>
        <v>-</v>
      </c>
      <c r="D50" s="2851"/>
      <c r="E50" s="2934" t="str">
        <f>'F-LSCD-012 (Pers. Hp(10))'!O54</f>
        <v>-</v>
      </c>
      <c r="F50" s="2935"/>
      <c r="G50" s="2850" t="str">
        <f>'F-LSCD-012 (Pers. Hp(10))'!O55</f>
        <v>-</v>
      </c>
      <c r="H50" s="2850"/>
      <c r="I50" s="2920" t="str">
        <f>IF('F-LSCD-012 (Pers. Hp(10))'!N55="-",'F-LSCD-012 (Pers. Hp(10))'!N54,'F-LSCD-012 (Pers. Hp(10))'!N55)</f>
        <v>-</v>
      </c>
      <c r="J50" s="2920"/>
      <c r="K50" s="2850" t="str">
        <f>IF('F-LSCD-012 (Pers. Hp(10))'!R55="-",'F-LSCD-012 (Pers. Hp(10))'!R54,'F-LSCD-012 (Pers. Hp(10))'!R55)</f>
        <v>-</v>
      </c>
      <c r="L50" s="2850"/>
      <c r="M50" s="2847" t="str">
        <f>IF('F-LSCD-012 (Pers. Hp(10))'!O55="-",'F-LSCD-012 (Pers. Hp(10))'!T54,'F-LSCD-012 (Pers. Hp(10))'!T55)</f>
        <v>-</v>
      </c>
      <c r="N50" s="2847"/>
      <c r="O50" s="2847"/>
      <c r="P50" s="1032"/>
      <c r="Q50" s="1032"/>
      <c r="R50" s="1011"/>
    </row>
    <row r="51" spans="1:19" hidden="1" x14ac:dyDescent="0.2">
      <c r="A51" s="1009"/>
      <c r="C51" s="2851" t="str">
        <f>'F-LSCD-012 (Pers. Hp(10))'!A56</f>
        <v>-</v>
      </c>
      <c r="D51" s="2851"/>
      <c r="E51" s="2934" t="str">
        <f>'F-LSCD-012 (Pers. Hp(10))'!O56</f>
        <v>-</v>
      </c>
      <c r="F51" s="2935"/>
      <c r="G51" s="2850" t="str">
        <f>'F-LSCD-012 (Pers. Hp(10))'!O57</f>
        <v>-</v>
      </c>
      <c r="H51" s="2850"/>
      <c r="I51" s="2920" t="str">
        <f>IF('F-LSCD-012 (Pers. Hp(10))'!N57="-",'F-LSCD-012 (Pers. Hp(10))'!N56,'F-LSCD-012 (Pers. Hp(10))'!N57)</f>
        <v>-</v>
      </c>
      <c r="J51" s="2920"/>
      <c r="K51" s="2850" t="str">
        <f>IF('F-LSCD-012 (Pers. Hp(10))'!R57="-",'F-LSCD-012 (Pers. Hp(10))'!R56,'F-LSCD-012 (Pers. Hp(10))'!R57)</f>
        <v>-</v>
      </c>
      <c r="L51" s="2850"/>
      <c r="M51" s="2847" t="str">
        <f>IF('F-LSCD-012 (Pers. Hp(10))'!O57="-",'F-LSCD-012 (Pers. Hp(10))'!T56,'F-LSCD-012 (Pers. Hp(10))'!T57)</f>
        <v>-</v>
      </c>
      <c r="N51" s="2847"/>
      <c r="O51" s="2847"/>
      <c r="P51" s="1032"/>
      <c r="Q51" s="1032"/>
      <c r="R51" s="1011"/>
    </row>
    <row r="52" spans="1:19" x14ac:dyDescent="0.2">
      <c r="A52" s="1009"/>
      <c r="C52" s="1033" t="str">
        <f>IF(K40="-","","VCV = Valor convencionalmente verdadero")</f>
        <v>VCV = Valor convencionalmente verdadero</v>
      </c>
      <c r="D52" s="1033"/>
      <c r="E52" s="1033"/>
      <c r="F52" s="1033"/>
      <c r="G52" s="1034"/>
      <c r="H52" s="1034"/>
      <c r="I52" s="1034"/>
      <c r="J52" s="1034"/>
      <c r="N52" s="1010"/>
      <c r="O52" s="1010"/>
      <c r="P52" s="1010"/>
      <c r="Q52" s="1010"/>
      <c r="R52" s="1011"/>
    </row>
    <row r="53" spans="1:19" x14ac:dyDescent="0.2">
      <c r="A53" s="1009"/>
      <c r="C53" s="168" t="s">
        <v>942</v>
      </c>
      <c r="D53" s="1033"/>
      <c r="E53" s="1033"/>
      <c r="F53" s="1033"/>
      <c r="G53" s="1034"/>
      <c r="H53" s="1034"/>
      <c r="I53" s="1034"/>
      <c r="J53" s="1034"/>
      <c r="N53" s="1010"/>
      <c r="O53" s="1010"/>
      <c r="P53" s="1010"/>
      <c r="Q53" s="1010"/>
      <c r="R53" s="1011"/>
    </row>
    <row r="54" spans="1:19" x14ac:dyDescent="0.2">
      <c r="A54" s="1009"/>
      <c r="C54" s="1014" t="str">
        <f>IF(K40="-","","Promedio FC = "&amp;TEXT(AVERAGE(K40:L51),"#0,##"))</f>
        <v>Promedio FC = 01</v>
      </c>
      <c r="D54" s="1262"/>
      <c r="E54" s="1262"/>
      <c r="F54" s="1262"/>
      <c r="G54" s="1262"/>
      <c r="H54" s="1262"/>
      <c r="I54" s="1262"/>
      <c r="J54" s="1262"/>
      <c r="K54" s="1262"/>
      <c r="L54" s="1262"/>
      <c r="M54" s="1262"/>
      <c r="N54" s="1262"/>
      <c r="O54" s="1262"/>
      <c r="P54" s="1262"/>
      <c r="Q54" s="1262"/>
      <c r="R54" s="1011"/>
    </row>
    <row r="55" spans="1:19" x14ac:dyDescent="0.2">
      <c r="A55" s="1009"/>
      <c r="C55" s="1014" t="str">
        <f>IF(OR(I40="mR/h",I41="mR/h",I42="mR/h",I43="mR/h",I44="mR/h",I40="Chirps/min"),"Monitor calibrado asumiendo que: "&amp;'Datos varios'!B120&amp;" "&amp;'Datos varios'!C120&amp;" es equivalente a "&amp;'Datos varios'!E120&amp;" "&amp;'Datos varios'!F120,IF(OR(I40="mrem/h",I41="mrem/h",I42="mrem/h",I43="mrem/h",I44="mrem/h"),"Monitor calibrado asumiendo que: "&amp;'Datos varios'!B123&amp;" "&amp;'Datos varios'!C123&amp;" es equivalente a "&amp;'Datos varios'!E123&amp;" "&amp;'Datos varios'!F123,""))</f>
        <v>Monitor calibrado asumiendo que: 1 mR/h es equivalente a 10 µSv/h</v>
      </c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011"/>
    </row>
    <row r="56" spans="1:19" x14ac:dyDescent="0.2">
      <c r="A56" s="1009"/>
      <c r="C56" s="180" t="s">
        <v>939</v>
      </c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011"/>
    </row>
    <row r="57" spans="1:19" x14ac:dyDescent="0.2">
      <c r="A57" s="1009"/>
      <c r="C57" s="1014"/>
      <c r="D57" s="1262"/>
      <c r="E57" s="1262"/>
      <c r="F57" s="1262"/>
      <c r="G57" s="1262"/>
      <c r="H57" s="1262"/>
      <c r="I57" s="1262"/>
      <c r="J57" s="1262"/>
      <c r="K57" s="1262"/>
      <c r="L57" s="1262"/>
      <c r="M57" s="1262"/>
      <c r="N57" s="1262"/>
      <c r="O57" s="1262"/>
      <c r="P57" s="1262"/>
      <c r="Q57" s="1262"/>
      <c r="R57" s="1011"/>
    </row>
    <row r="58" spans="1:19" ht="60.75" customHeight="1" x14ac:dyDescent="0.2">
      <c r="A58" s="1009"/>
      <c r="C58" s="1411" t="str">
        <f>'F-LSCD-012 (Pers. Hp(10))'!C26</f>
        <v>Lima, 16 de febrero del 2018</v>
      </c>
      <c r="G58" s="1430"/>
      <c r="H58" s="1430"/>
      <c r="I58" s="1430"/>
      <c r="J58" s="2917"/>
      <c r="K58" s="2917"/>
      <c r="L58" s="2917"/>
      <c r="M58" s="2917"/>
      <c r="N58" s="2917"/>
      <c r="O58" s="2917"/>
      <c r="P58" s="2917"/>
      <c r="Q58" s="1010"/>
      <c r="R58" s="1011"/>
    </row>
    <row r="59" spans="1:19" ht="48" customHeight="1" x14ac:dyDescent="0.2">
      <c r="A59" s="1009"/>
      <c r="G59" s="1035"/>
      <c r="H59" s="1035"/>
      <c r="I59" s="1035"/>
      <c r="J59" s="2886"/>
      <c r="K59" s="2886"/>
      <c r="L59" s="2886"/>
      <c r="M59" s="2886"/>
      <c r="N59" s="2886"/>
      <c r="O59" s="2886"/>
      <c r="P59" s="2886"/>
      <c r="Q59" s="1020"/>
      <c r="R59" s="1011"/>
    </row>
    <row r="60" spans="1:19" ht="15" customHeight="1" x14ac:dyDescent="0.2">
      <c r="A60" s="1009"/>
      <c r="B60" s="1033"/>
      <c r="G60" s="1035"/>
      <c r="H60" s="1035"/>
      <c r="I60" s="1035"/>
      <c r="J60" s="2862"/>
      <c r="K60" s="2862"/>
      <c r="L60" s="2862"/>
      <c r="M60" s="2862"/>
      <c r="N60" s="2862"/>
      <c r="O60" s="2862"/>
      <c r="P60" s="2862"/>
      <c r="Q60" s="1020"/>
      <c r="R60" s="1011"/>
    </row>
    <row r="61" spans="1:19" ht="3" customHeight="1" thickBot="1" x14ac:dyDescent="0.25">
      <c r="A61" s="1036"/>
      <c r="B61" s="1037"/>
      <c r="C61" s="1037"/>
      <c r="D61" s="1037"/>
      <c r="E61" s="1037"/>
      <c r="F61" s="1037"/>
      <c r="G61" s="1037"/>
      <c r="H61" s="1037"/>
      <c r="I61" s="1037"/>
      <c r="J61" s="1037"/>
      <c r="K61" s="1037"/>
      <c r="L61" s="1037"/>
      <c r="M61" s="1037"/>
      <c r="N61" s="1037"/>
      <c r="O61" s="1037"/>
      <c r="P61" s="1037"/>
      <c r="Q61" s="1037"/>
      <c r="R61" s="1038"/>
    </row>
    <row r="62" spans="1:19" ht="15.75" thickTop="1" x14ac:dyDescent="0.25">
      <c r="A62" s="2863" t="s">
        <v>260</v>
      </c>
      <c r="B62" s="2864"/>
      <c r="C62" s="2864"/>
      <c r="D62" s="2864"/>
      <c r="E62" s="2864"/>
      <c r="F62" s="2864"/>
      <c r="G62" s="2864"/>
      <c r="H62" s="2864"/>
      <c r="I62" s="2864"/>
      <c r="J62" s="2864"/>
      <c r="K62" s="2864"/>
      <c r="L62" s="2864"/>
      <c r="M62" s="2864"/>
      <c r="N62" s="2864"/>
      <c r="O62" s="2864"/>
      <c r="P62" s="2864"/>
      <c r="Q62" s="2864"/>
      <c r="R62" s="2865"/>
    </row>
    <row r="63" spans="1:19" ht="11.25" customHeight="1" thickBot="1" x14ac:dyDescent="0.25">
      <c r="A63" s="2859" t="s">
        <v>810</v>
      </c>
      <c r="B63" s="2860"/>
      <c r="C63" s="2860"/>
      <c r="D63" s="2860"/>
      <c r="E63" s="2860"/>
      <c r="F63" s="2860"/>
      <c r="G63" s="2860"/>
      <c r="H63" s="2860"/>
      <c r="I63" s="2860"/>
      <c r="J63" s="2860"/>
      <c r="K63" s="2860"/>
      <c r="L63" s="2860"/>
      <c r="M63" s="2860"/>
      <c r="N63" s="2860"/>
      <c r="O63" s="2860"/>
      <c r="P63" s="2860"/>
      <c r="Q63" s="2860"/>
      <c r="R63" s="2861"/>
      <c r="S63" s="1039"/>
    </row>
    <row r="64" spans="1:19" x14ac:dyDescent="0.2">
      <c r="A64" s="1356" t="s">
        <v>907</v>
      </c>
      <c r="B64" s="163"/>
      <c r="Q64" s="1357" t="str">
        <f>A4&amp;" "&amp;A5</f>
        <v>CERTIFICADO DE CALIBRACIÓN N° 021-2018 ALEPH/GR/LSCD</v>
      </c>
    </row>
  </sheetData>
  <mergeCells count="109">
    <mergeCell ref="J58:P58"/>
    <mergeCell ref="J59:P59"/>
    <mergeCell ref="J60:P60"/>
    <mergeCell ref="A62:R62"/>
    <mergeCell ref="A63:R63"/>
    <mergeCell ref="P38:P39"/>
    <mergeCell ref="C51:D51"/>
    <mergeCell ref="E51:F51"/>
    <mergeCell ref="G51:H51"/>
    <mergeCell ref="I51:J51"/>
    <mergeCell ref="K51:L51"/>
    <mergeCell ref="M51:O51"/>
    <mergeCell ref="C50:D50"/>
    <mergeCell ref="E50:F50"/>
    <mergeCell ref="G50:H50"/>
    <mergeCell ref="I50:J50"/>
    <mergeCell ref="K50:L50"/>
    <mergeCell ref="M50:O50"/>
    <mergeCell ref="C49:D49"/>
    <mergeCell ref="E49:F49"/>
    <mergeCell ref="G49:H49"/>
    <mergeCell ref="I49:J49"/>
    <mergeCell ref="K49:L49"/>
    <mergeCell ref="M49:O49"/>
    <mergeCell ref="C48:D48"/>
    <mergeCell ref="E48:F48"/>
    <mergeCell ref="G48:H48"/>
    <mergeCell ref="I48:J48"/>
    <mergeCell ref="K48:L48"/>
    <mergeCell ref="M48:O48"/>
    <mergeCell ref="C47:D47"/>
    <mergeCell ref="E47:F47"/>
    <mergeCell ref="G47:H47"/>
    <mergeCell ref="I47:J47"/>
    <mergeCell ref="K47:L47"/>
    <mergeCell ref="M47:O47"/>
    <mergeCell ref="C46:D46"/>
    <mergeCell ref="E46:F46"/>
    <mergeCell ref="G46:H46"/>
    <mergeCell ref="I46:J46"/>
    <mergeCell ref="K46:L46"/>
    <mergeCell ref="M46:O46"/>
    <mergeCell ref="C45:D45"/>
    <mergeCell ref="E45:F45"/>
    <mergeCell ref="G45:H45"/>
    <mergeCell ref="I45:J45"/>
    <mergeCell ref="K45:L45"/>
    <mergeCell ref="M45:O45"/>
    <mergeCell ref="C44:D44"/>
    <mergeCell ref="E44:F44"/>
    <mergeCell ref="G44:H44"/>
    <mergeCell ref="I44:J44"/>
    <mergeCell ref="K44:L44"/>
    <mergeCell ref="M44:O44"/>
    <mergeCell ref="C43:D43"/>
    <mergeCell ref="E43:F43"/>
    <mergeCell ref="G43:H43"/>
    <mergeCell ref="I43:J43"/>
    <mergeCell ref="K43:L43"/>
    <mergeCell ref="M43:O43"/>
    <mergeCell ref="C42:D42"/>
    <mergeCell ref="E42:F42"/>
    <mergeCell ref="G42:H42"/>
    <mergeCell ref="I42:J42"/>
    <mergeCell ref="K42:L42"/>
    <mergeCell ref="M42:O42"/>
    <mergeCell ref="C41:D41"/>
    <mergeCell ref="E41:F41"/>
    <mergeCell ref="G41:H41"/>
    <mergeCell ref="I41:J41"/>
    <mergeCell ref="K41:L41"/>
    <mergeCell ref="M41:O41"/>
    <mergeCell ref="C40:D40"/>
    <mergeCell ref="E40:F40"/>
    <mergeCell ref="G40:H40"/>
    <mergeCell ref="I40:J40"/>
    <mergeCell ref="K40:L40"/>
    <mergeCell ref="M40:O40"/>
    <mergeCell ref="C38:D39"/>
    <mergeCell ref="E38:J38"/>
    <mergeCell ref="K38:L39"/>
    <mergeCell ref="M38:O39"/>
    <mergeCell ref="E39:F39"/>
    <mergeCell ref="G39:H39"/>
    <mergeCell ref="I39:J39"/>
    <mergeCell ref="E31:N31"/>
    <mergeCell ref="E32:N32"/>
    <mergeCell ref="P32:Q34"/>
    <mergeCell ref="E33:G33"/>
    <mergeCell ref="E34:G34"/>
    <mergeCell ref="P12:Q17"/>
    <mergeCell ref="E13:N13"/>
    <mergeCell ref="E18:N18"/>
    <mergeCell ref="E19:N19"/>
    <mergeCell ref="E20:N20"/>
    <mergeCell ref="P20:Q28"/>
    <mergeCell ref="E21:N21"/>
    <mergeCell ref="E22:N22"/>
    <mergeCell ref="E23:N24"/>
    <mergeCell ref="E27:N27"/>
    <mergeCell ref="A2:R3"/>
    <mergeCell ref="A4:R4"/>
    <mergeCell ref="A5:R5"/>
    <mergeCell ref="A6:R6"/>
    <mergeCell ref="A7:R7"/>
    <mergeCell ref="A8:R8"/>
    <mergeCell ref="E28:N28"/>
    <mergeCell ref="P29:Q30"/>
    <mergeCell ref="E30:N30"/>
  </mergeCells>
  <conditionalFormatting sqref="E29:O29 K34:O34 E34 E30:E32 O30:O32 L33:O33 E12:O12 E14:O14 E13 O13">
    <cfRule type="cellIs" dxfId="64" priority="6" operator="equal">
      <formula>0</formula>
    </cfRule>
  </conditionalFormatting>
  <conditionalFormatting sqref="E29:O29 K34:O34 E34 E30:E32 O30:O32 L33:O33 E12:O12 E14:O14 E13 O13">
    <cfRule type="containsErrors" dxfId="63" priority="5">
      <formula>ISERROR(E12)</formula>
    </cfRule>
  </conditionalFormatting>
  <conditionalFormatting sqref="P19">
    <cfRule type="cellIs" dxfId="62" priority="4" operator="equal">
      <formula>0</formula>
    </cfRule>
  </conditionalFormatting>
  <conditionalFormatting sqref="P19">
    <cfRule type="containsErrors" dxfId="61" priority="3">
      <formula>ISERROR(P19)</formula>
    </cfRule>
  </conditionalFormatting>
  <conditionalFormatting sqref="E33">
    <cfRule type="cellIs" dxfId="60" priority="2" operator="equal">
      <formula>0</formula>
    </cfRule>
  </conditionalFormatting>
  <conditionalFormatting sqref="E33">
    <cfRule type="containsErrors" dxfId="59" priority="1">
      <formula>ISERROR(E33)</formula>
    </cfRule>
  </conditionalFormatting>
  <pageMargins left="0.27559055118110237" right="7.874015748031496E-2" top="0.23622047244094491" bottom="0" header="0.31496062992125984" footer="0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Y95"/>
  <sheetViews>
    <sheetView view="pageLayout" topLeftCell="A31" zoomScaleNormal="100" workbookViewId="0">
      <selection activeCell="E87" sqref="E87"/>
    </sheetView>
  </sheetViews>
  <sheetFormatPr baseColWidth="10" defaultColWidth="11.42578125" defaultRowHeight="12.75" x14ac:dyDescent="0.2"/>
  <cols>
    <col min="1" max="1" width="0.7109375" style="163" customWidth="1"/>
    <col min="2" max="2" width="2.42578125" style="163" customWidth="1"/>
    <col min="3" max="3" width="23.42578125" style="163" customWidth="1"/>
    <col min="4" max="4" width="1.28515625" style="163" customWidth="1"/>
    <col min="5" max="5" width="7.42578125" style="163" customWidth="1"/>
    <col min="6" max="6" width="6.710937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6.28515625" style="163" customWidth="1"/>
    <col min="16" max="16" width="0.7109375" style="163" customWidth="1"/>
    <col min="17" max="18" width="3" style="163" customWidth="1"/>
    <col min="19" max="19" width="2.42578125" style="163" customWidth="1"/>
    <col min="20" max="20" width="4.85546875" style="163" customWidth="1"/>
    <col min="21" max="21" width="5.57031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2969" t="s">
        <v>280</v>
      </c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1"/>
    </row>
    <row r="3" spans="1:25" ht="27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4"/>
    </row>
    <row r="4" spans="1:25" ht="16.5" thickTop="1" x14ac:dyDescent="0.25">
      <c r="A4" s="2953" t="str">
        <f>"INFORME DE ENSAYO "&amp;"N° "&amp;'F-LSCD-008'!J14&amp;" ALEPH/GR/LSCD"</f>
        <v>INFORME DE ENSAYO N° 017-2019 ALEPH/GR/LSCD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881" t="s">
        <v>253</v>
      </c>
      <c r="B5" s="2980"/>
      <c r="C5" s="2980"/>
      <c r="D5" s="2980"/>
      <c r="E5" s="2980"/>
      <c r="F5" s="2980"/>
      <c r="G5" s="2980"/>
      <c r="H5" s="2980"/>
      <c r="I5" s="2980"/>
      <c r="J5" s="2980"/>
      <c r="K5" s="2980"/>
      <c r="L5" s="2980"/>
      <c r="M5" s="2980"/>
      <c r="N5" s="2980"/>
      <c r="O5" s="2980"/>
      <c r="P5" s="2980"/>
      <c r="Q5" s="2980"/>
      <c r="R5" s="2980"/>
      <c r="S5" s="2980"/>
      <c r="T5" s="2980"/>
      <c r="U5" s="2980"/>
      <c r="V5" s="2981"/>
    </row>
    <row r="6" spans="1:25" ht="15.75" x14ac:dyDescent="0.2">
      <c r="A6" s="2881" t="s">
        <v>1119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x14ac:dyDescent="0.2">
      <c r="A7" s="2982"/>
      <c r="B7" s="2983"/>
      <c r="C7" s="2983"/>
      <c r="D7" s="2983"/>
      <c r="E7" s="2983"/>
      <c r="F7" s="2983"/>
      <c r="G7" s="2983"/>
      <c r="H7" s="2983"/>
      <c r="I7" s="2983"/>
      <c r="J7" s="2983"/>
      <c r="K7" s="2983"/>
      <c r="L7" s="2983"/>
      <c r="M7" s="2983"/>
      <c r="N7" s="2983"/>
      <c r="O7" s="2983"/>
      <c r="P7" s="2983"/>
      <c r="Q7" s="2983"/>
      <c r="R7" s="2983"/>
      <c r="S7" s="2983"/>
      <c r="T7" s="2983"/>
      <c r="U7" s="2983"/>
      <c r="V7" s="2984"/>
    </row>
    <row r="8" spans="1:25" ht="15" customHeight="1" x14ac:dyDescent="0.2">
      <c r="A8" s="165"/>
      <c r="B8" s="166" t="s">
        <v>1105</v>
      </c>
      <c r="D8" s="166" t="s">
        <v>218</v>
      </c>
      <c r="E8" s="1555" t="str">
        <f>'F-LSCD-008'!H6</f>
        <v>ALEPH GROUP &amp; ASOCIADOS S.A.C.</v>
      </c>
      <c r="Q8" s="2904" t="s">
        <v>862</v>
      </c>
      <c r="R8" s="2905"/>
      <c r="S8" s="2905"/>
      <c r="T8" s="2905"/>
      <c r="U8" s="2905"/>
      <c r="V8" s="167"/>
    </row>
    <row r="9" spans="1:25" ht="12.75" customHeight="1" x14ac:dyDescent="0.2">
      <c r="A9" s="165"/>
      <c r="E9" s="1555" t="str">
        <f>'F-LSCD-008'!C7</f>
        <v>Av. Rafel Escardó, 154</v>
      </c>
      <c r="Q9" s="2904"/>
      <c r="R9" s="2905"/>
      <c r="S9" s="2905"/>
      <c r="T9" s="2905"/>
      <c r="U9" s="2905"/>
      <c r="V9" s="167"/>
      <c r="Y9" s="168"/>
    </row>
    <row r="10" spans="1:25" x14ac:dyDescent="0.2">
      <c r="A10" s="165"/>
      <c r="E10" s="163" t="str">
        <f>'F-LSCD-008'!H7&amp;", "&amp;'F-LSCD-008'!K7&amp;", "&amp;'F-LSCD-008'!O7</f>
        <v>San Miguel, Lima, Lima</v>
      </c>
      <c r="Q10" s="2904"/>
      <c r="R10" s="2905"/>
      <c r="S10" s="2905"/>
      <c r="T10" s="2905"/>
      <c r="U10" s="2905"/>
      <c r="V10" s="167"/>
      <c r="X10" s="169"/>
      <c r="Y10" s="168"/>
    </row>
    <row r="11" spans="1:25" ht="6.75" customHeight="1" x14ac:dyDescent="0.2">
      <c r="A11" s="165"/>
      <c r="Q11" s="2904"/>
      <c r="R11" s="2905"/>
      <c r="S11" s="2905"/>
      <c r="T11" s="2905"/>
      <c r="U11" s="2905"/>
      <c r="V11" s="167"/>
    </row>
    <row r="12" spans="1:25" x14ac:dyDescent="0.2">
      <c r="A12" s="165"/>
      <c r="B12" s="170" t="s">
        <v>1106</v>
      </c>
      <c r="C12" s="171"/>
      <c r="D12" s="170" t="s">
        <v>218</v>
      </c>
      <c r="E12" s="2989" t="str">
        <f>'F-LSCD-008'!C6</f>
        <v>Solicitud N° 017-2019, según F-LD-018</v>
      </c>
      <c r="F12" s="2990"/>
      <c r="G12" s="2990"/>
      <c r="H12" s="2990"/>
      <c r="I12" s="2990"/>
      <c r="J12" s="2990"/>
      <c r="K12" s="2990"/>
      <c r="L12" s="2990"/>
      <c r="M12" s="2990"/>
      <c r="N12" s="2990"/>
      <c r="O12" s="2990"/>
      <c r="P12" s="172"/>
      <c r="Q12" s="2904"/>
      <c r="R12" s="2905"/>
      <c r="S12" s="2905"/>
      <c r="T12" s="2905"/>
      <c r="U12" s="2905"/>
      <c r="V12" s="167"/>
      <c r="W12" s="203"/>
      <c r="Y12" s="168"/>
    </row>
    <row r="13" spans="1:25" ht="6" customHeight="1" x14ac:dyDescent="0.2">
      <c r="A13" s="165"/>
      <c r="Q13" s="2904"/>
      <c r="R13" s="2905"/>
      <c r="S13" s="2905"/>
      <c r="T13" s="2905"/>
      <c r="U13" s="2905"/>
      <c r="V13" s="167"/>
    </row>
    <row r="14" spans="1:25" x14ac:dyDescent="0.2">
      <c r="A14" s="165"/>
      <c r="B14" s="170" t="s">
        <v>1154</v>
      </c>
      <c r="D14" s="175" t="s">
        <v>218</v>
      </c>
      <c r="E14" s="163" t="s">
        <v>1134</v>
      </c>
      <c r="Q14" s="2904"/>
      <c r="R14" s="2905"/>
      <c r="S14" s="2905"/>
      <c r="T14" s="2905"/>
      <c r="U14" s="2905"/>
      <c r="V14" s="167"/>
    </row>
    <row r="15" spans="1:25" ht="6" customHeight="1" x14ac:dyDescent="0.2">
      <c r="A15" s="165"/>
      <c r="Q15" s="2904"/>
      <c r="R15" s="2905"/>
      <c r="S15" s="2905"/>
      <c r="T15" s="2905"/>
      <c r="U15" s="2905"/>
      <c r="V15" s="167"/>
    </row>
    <row r="16" spans="1:25" x14ac:dyDescent="0.2">
      <c r="A16" s="165"/>
      <c r="B16" s="170" t="s">
        <v>1151</v>
      </c>
      <c r="C16" s="990"/>
      <c r="D16" s="170" t="s">
        <v>218</v>
      </c>
      <c r="E16" s="2991" t="str">
        <f>'F-LSCD-008'!C9&amp;", Marca: "&amp;'F-LSCD-008'!H9&amp;", Modelo: "&amp;'F-LSCD-008'!N9</f>
        <v>Dosímetros personales, Marca: Panasonic, Modelo: UD 802-AT</v>
      </c>
      <c r="F16" s="2991"/>
      <c r="G16" s="2991"/>
      <c r="H16" s="2991"/>
      <c r="I16" s="2991"/>
      <c r="J16" s="2991"/>
      <c r="K16" s="2991"/>
      <c r="L16" s="2991"/>
      <c r="M16" s="2991"/>
      <c r="N16" s="2991"/>
      <c r="O16" s="2991"/>
      <c r="P16" s="173"/>
      <c r="Q16" s="2904"/>
      <c r="R16" s="2905"/>
      <c r="S16" s="2905"/>
      <c r="T16" s="2905"/>
      <c r="U16" s="2905"/>
      <c r="V16" s="167"/>
      <c r="Y16" s="168"/>
    </row>
    <row r="17" spans="1:25" ht="6.75" customHeight="1" x14ac:dyDescent="0.2">
      <c r="A17" s="165"/>
      <c r="B17" s="170"/>
      <c r="C17" s="990"/>
      <c r="D17" s="170"/>
      <c r="E17" s="1916"/>
      <c r="F17" s="1916"/>
      <c r="G17" s="1916"/>
      <c r="H17" s="1916"/>
      <c r="I17" s="1916"/>
      <c r="J17" s="1916"/>
      <c r="K17" s="1916"/>
      <c r="L17" s="1916"/>
      <c r="M17" s="1916"/>
      <c r="N17" s="1916"/>
      <c r="O17" s="1916"/>
      <c r="P17" s="173"/>
      <c r="Q17" s="1914"/>
      <c r="R17" s="1915"/>
      <c r="S17" s="1915"/>
      <c r="T17" s="1915"/>
      <c r="U17" s="1915"/>
      <c r="V17" s="167"/>
      <c r="Y17" s="168"/>
    </row>
    <row r="18" spans="1:25" x14ac:dyDescent="0.2">
      <c r="A18" s="165"/>
      <c r="B18" s="170"/>
      <c r="C18" s="1682" t="s">
        <v>1282</v>
      </c>
      <c r="D18" s="170" t="s">
        <v>218</v>
      </c>
      <c r="E18" s="1916">
        <f>'F-LSCD-008'!Q13</f>
        <v>7</v>
      </c>
      <c r="F18" s="1916"/>
      <c r="G18" s="1916"/>
      <c r="H18" s="1916"/>
      <c r="I18" s="1916"/>
      <c r="J18" s="1916"/>
      <c r="K18" s="1916"/>
      <c r="L18" s="1916"/>
      <c r="M18" s="1916"/>
      <c r="N18" s="1916"/>
      <c r="O18" s="1916"/>
      <c r="P18" s="173"/>
      <c r="Q18" s="1914"/>
      <c r="R18" s="1915"/>
      <c r="S18" s="1915"/>
      <c r="T18" s="1915"/>
      <c r="U18" s="1915"/>
      <c r="V18" s="167"/>
      <c r="Y18" s="168"/>
    </row>
    <row r="19" spans="1:25" x14ac:dyDescent="0.2">
      <c r="A19" s="165"/>
      <c r="B19" s="170"/>
      <c r="C19" s="1682" t="s">
        <v>1283</v>
      </c>
      <c r="D19" s="170" t="s">
        <v>218</v>
      </c>
      <c r="E19" s="1916">
        <f>'F-LSCD-008'!M13</f>
        <v>13</v>
      </c>
      <c r="F19" s="1916"/>
      <c r="G19" s="1916"/>
      <c r="H19" s="1916"/>
      <c r="I19" s="1916"/>
      <c r="J19" s="1916"/>
      <c r="K19" s="1916"/>
      <c r="L19" s="1916"/>
      <c r="M19" s="1916"/>
      <c r="N19" s="1916"/>
      <c r="O19" s="1916"/>
      <c r="P19" s="173"/>
      <c r="Q19" s="1914"/>
      <c r="R19" s="1915"/>
      <c r="S19" s="1915"/>
      <c r="T19" s="1915"/>
      <c r="U19" s="1915"/>
      <c r="V19" s="167"/>
      <c r="Y19" s="168"/>
    </row>
    <row r="20" spans="1:25" ht="7.5" customHeight="1" x14ac:dyDescent="0.2">
      <c r="A20" s="165"/>
      <c r="B20" s="166"/>
      <c r="D20" s="166"/>
      <c r="E20" s="1830"/>
      <c r="F20" s="1830"/>
      <c r="G20" s="1830"/>
      <c r="H20" s="1830"/>
      <c r="I20" s="1830"/>
      <c r="J20" s="1830"/>
      <c r="K20" s="1830"/>
      <c r="L20" s="1830"/>
      <c r="M20" s="1830"/>
      <c r="N20" s="1830"/>
      <c r="O20" s="173"/>
      <c r="P20" s="173"/>
      <c r="Q20" s="174"/>
      <c r="R20" s="173"/>
      <c r="S20" s="173"/>
      <c r="T20" s="1822"/>
      <c r="U20" s="1822"/>
      <c r="V20" s="167"/>
      <c r="Y20" s="168"/>
    </row>
    <row r="21" spans="1:25" x14ac:dyDescent="0.2">
      <c r="A21" s="165"/>
      <c r="B21" s="175" t="s">
        <v>1153</v>
      </c>
      <c r="D21" s="175" t="s">
        <v>218</v>
      </c>
      <c r="E21" s="2992" t="str">
        <f>'F-LSCD-008'!C10</f>
        <v xml:space="preserve">Campo de radiación calibrado usando un fantoma, según ISO 4037-3 (2019), aplicado al PROC-LSCD-001 Irradiación controlada de dosímetros personales (versión 05)
</v>
      </c>
      <c r="F21" s="2991"/>
      <c r="G21" s="2991"/>
      <c r="H21" s="2991"/>
      <c r="I21" s="2991"/>
      <c r="J21" s="2991"/>
      <c r="K21" s="2991"/>
      <c r="L21" s="2991"/>
      <c r="M21" s="2991"/>
      <c r="N21" s="2991"/>
      <c r="O21" s="2991"/>
      <c r="P21" s="1827"/>
      <c r="Q21" s="1834"/>
      <c r="R21" s="1827"/>
      <c r="S21" s="1827"/>
      <c r="T21" s="1822"/>
      <c r="U21" s="1822"/>
      <c r="V21" s="167"/>
    </row>
    <row r="22" spans="1:25" ht="27" customHeight="1" x14ac:dyDescent="0.2">
      <c r="A22" s="165"/>
      <c r="E22" s="2991"/>
      <c r="F22" s="2991"/>
      <c r="G22" s="2991"/>
      <c r="H22" s="2991"/>
      <c r="I22" s="2991"/>
      <c r="J22" s="2991"/>
      <c r="K22" s="2991"/>
      <c r="L22" s="2991"/>
      <c r="M22" s="2991"/>
      <c r="N22" s="2991"/>
      <c r="O22" s="2991"/>
      <c r="P22" s="1827"/>
      <c r="Q22" s="2904" t="s">
        <v>1024</v>
      </c>
      <c r="R22" s="2905"/>
      <c r="S22" s="2905"/>
      <c r="T22" s="2905"/>
      <c r="U22" s="2905"/>
      <c r="V22" s="167"/>
    </row>
    <row r="23" spans="1:25" ht="7.5" customHeight="1" x14ac:dyDescent="0.2">
      <c r="A23" s="165"/>
      <c r="E23" s="177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2904"/>
      <c r="R23" s="2905"/>
      <c r="S23" s="2905"/>
      <c r="T23" s="2905"/>
      <c r="U23" s="2905"/>
      <c r="V23" s="167"/>
    </row>
    <row r="24" spans="1:25" ht="41.25" customHeight="1" x14ac:dyDescent="0.2">
      <c r="A24" s="165"/>
      <c r="B24" s="170" t="s">
        <v>1126</v>
      </c>
      <c r="C24" s="990"/>
      <c r="D24" s="1682" t="s">
        <v>218</v>
      </c>
      <c r="E24" s="3172" t="str">
        <f>'F-LSCD-008'!C11</f>
        <v>Cámara de ionización patrón de 1 L , marca: PTW; modelo: TN32002; serie: 000568; Reporte de calibración de Kerma en aire DG: 13580-21 con fecha 2021-04-01 (NIST); trazable al NIST.</v>
      </c>
      <c r="F24" s="3172"/>
      <c r="G24" s="3172"/>
      <c r="H24" s="3172"/>
      <c r="I24" s="3172"/>
      <c r="J24" s="3172"/>
      <c r="K24" s="3172"/>
      <c r="L24" s="3172"/>
      <c r="M24" s="3172"/>
      <c r="N24" s="3172"/>
      <c r="O24" s="3172"/>
      <c r="P24" s="177"/>
      <c r="Q24" s="2904"/>
      <c r="R24" s="2905"/>
      <c r="S24" s="2905"/>
      <c r="T24" s="2905"/>
      <c r="U24" s="2905"/>
      <c r="V24" s="167"/>
    </row>
    <row r="25" spans="1:25" ht="6.75" customHeight="1" x14ac:dyDescent="0.2">
      <c r="A25" s="165"/>
      <c r="B25" s="170"/>
      <c r="C25" s="990"/>
      <c r="D25" s="1682"/>
      <c r="E25" s="1919"/>
      <c r="F25" s="1919"/>
      <c r="G25" s="1919"/>
      <c r="H25" s="1919"/>
      <c r="I25" s="1919"/>
      <c r="J25" s="1919"/>
      <c r="K25" s="1919"/>
      <c r="L25" s="1919"/>
      <c r="M25" s="1919"/>
      <c r="N25" s="1919"/>
      <c r="O25" s="1919"/>
      <c r="P25" s="177"/>
      <c r="Q25" s="2904"/>
      <c r="R25" s="2905"/>
      <c r="S25" s="2905"/>
      <c r="T25" s="2905"/>
      <c r="U25" s="2905"/>
      <c r="V25" s="167"/>
    </row>
    <row r="26" spans="1:25" x14ac:dyDescent="0.2">
      <c r="A26" s="165"/>
      <c r="B26" s="166" t="s">
        <v>1152</v>
      </c>
      <c r="D26" s="166" t="s">
        <v>218</v>
      </c>
      <c r="Q26" s="2904"/>
      <c r="R26" s="2905"/>
      <c r="S26" s="2905"/>
      <c r="T26" s="2905"/>
      <c r="U26" s="2905"/>
      <c r="V26" s="167"/>
      <c r="Y26" s="168"/>
    </row>
    <row r="27" spans="1:25" ht="6.75" customHeight="1" x14ac:dyDescent="0.2">
      <c r="A27" s="165"/>
      <c r="E27" s="1832"/>
      <c r="F27" s="1832"/>
      <c r="G27" s="1832"/>
      <c r="H27" s="1832"/>
      <c r="I27" s="1832"/>
      <c r="J27" s="1832"/>
      <c r="K27" s="1832"/>
      <c r="L27" s="1832"/>
      <c r="M27" s="1832"/>
      <c r="N27" s="1832"/>
      <c r="Q27" s="2904"/>
      <c r="R27" s="2905"/>
      <c r="S27" s="2905"/>
      <c r="T27" s="2905"/>
      <c r="U27" s="2905"/>
      <c r="V27" s="167"/>
    </row>
    <row r="28" spans="1:25" ht="12" customHeight="1" x14ac:dyDescent="0.2">
      <c r="A28" s="165"/>
      <c r="C28" s="170" t="s">
        <v>203</v>
      </c>
      <c r="D28" s="1835" t="s">
        <v>218</v>
      </c>
      <c r="E28" s="180" t="str">
        <f>'F-LSCD-004'!H9</f>
        <v>S-Cs (ISO 4037-3)</v>
      </c>
      <c r="F28" s="180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2904"/>
      <c r="R28" s="2905"/>
      <c r="S28" s="2905"/>
      <c r="T28" s="2905"/>
      <c r="U28" s="2905"/>
      <c r="V28" s="167"/>
    </row>
    <row r="29" spans="1:25" ht="28.5" customHeight="1" x14ac:dyDescent="0.2">
      <c r="A29" s="165"/>
      <c r="C29" s="170" t="s">
        <v>138</v>
      </c>
      <c r="D29" s="1835" t="s">
        <v>218</v>
      </c>
      <c r="E29" s="3171" t="str">
        <f>'F-LSCD-008'!C14</f>
        <v>Dosis equivalente personal, Hp(10) / Dosis equivalente personal, Hp(0,07)</v>
      </c>
      <c r="F29" s="3171"/>
      <c r="G29" s="3171"/>
      <c r="H29" s="3171"/>
      <c r="I29" s="3171"/>
      <c r="J29" s="3171"/>
      <c r="K29" s="3171"/>
      <c r="L29" s="3171"/>
      <c r="M29" s="3171"/>
      <c r="N29" s="3171"/>
      <c r="O29" s="3171"/>
      <c r="P29" s="180"/>
      <c r="Q29" s="2904"/>
      <c r="R29" s="2905"/>
      <c r="S29" s="2905"/>
      <c r="T29" s="2905"/>
      <c r="U29" s="2905"/>
      <c r="V29" s="167"/>
    </row>
    <row r="30" spans="1:25" x14ac:dyDescent="0.2">
      <c r="A30" s="165"/>
      <c r="C30" s="170" t="s">
        <v>1110</v>
      </c>
      <c r="D30" s="1835" t="s">
        <v>218</v>
      </c>
      <c r="E30" s="3173" t="str">
        <f>"Inicio: "&amp;FIXED('F-LSCD-008'!K18,1)&amp;" °C ; "&amp;"Final: "&amp;FIXED('F-LSCD-008'!O18,1)&amp;" °C"</f>
        <v>Inicio: 20.6 °C ; Final: 20.7 °C</v>
      </c>
      <c r="F30" s="3173"/>
      <c r="G30" s="3173"/>
      <c r="H30" s="3173"/>
      <c r="I30" s="3173"/>
      <c r="J30" s="3173"/>
      <c r="K30" s="3173"/>
      <c r="L30" s="3173"/>
      <c r="M30" s="3173"/>
      <c r="N30" s="3173"/>
      <c r="O30" s="3173"/>
      <c r="P30" s="180"/>
      <c r="Q30" s="2904"/>
      <c r="R30" s="2905"/>
      <c r="S30" s="2905"/>
      <c r="T30" s="2905"/>
      <c r="U30" s="2905"/>
      <c r="V30" s="167"/>
    </row>
    <row r="31" spans="1:25" x14ac:dyDescent="0.2">
      <c r="A31" s="165"/>
      <c r="C31" s="170" t="s">
        <v>1108</v>
      </c>
      <c r="D31" s="1835" t="s">
        <v>218</v>
      </c>
      <c r="E31" s="3173" t="str">
        <f>"Inicio: "&amp;FIXED('F-LSCD-008'!L18,1)&amp;" hPa ; "&amp;"Final: "&amp;FIXED('F-LSCD-008'!P18,1)&amp;" hPa"</f>
        <v>Inicio: 1,008.5 hPa ; Final: 1,008.3 hPa</v>
      </c>
      <c r="F31" s="3173"/>
      <c r="G31" s="3173"/>
      <c r="H31" s="3173"/>
      <c r="I31" s="3173"/>
      <c r="J31" s="3173"/>
      <c r="K31" s="3173"/>
      <c r="L31" s="3173"/>
      <c r="M31" s="3173"/>
      <c r="N31" s="3173"/>
      <c r="O31" s="3173"/>
      <c r="P31" s="180"/>
      <c r="Q31" s="2904"/>
      <c r="R31" s="2905"/>
      <c r="S31" s="2905"/>
      <c r="T31" s="2905"/>
      <c r="U31" s="2905"/>
      <c r="V31" s="167"/>
    </row>
    <row r="32" spans="1:25" x14ac:dyDescent="0.2">
      <c r="A32" s="165"/>
      <c r="C32" s="181" t="s">
        <v>1109</v>
      </c>
      <c r="D32" s="1835" t="s">
        <v>218</v>
      </c>
      <c r="E32" s="2910" t="str">
        <f>"Inicio: "&amp;'F-LSCD-008'!M18&amp;" % ; "&amp;"Final: "&amp;'F-LSCD-008'!Q18&amp;" %"</f>
        <v>Inicio: 54 % ; Final: 54 %</v>
      </c>
      <c r="F32" s="2910"/>
      <c r="G32" s="2910"/>
      <c r="H32" s="2910"/>
      <c r="I32" s="2910"/>
      <c r="J32" s="2910"/>
      <c r="K32" s="2910"/>
      <c r="L32" s="2910"/>
      <c r="M32" s="2910"/>
      <c r="N32" s="2910"/>
      <c r="O32" s="2910"/>
      <c r="P32" s="1823"/>
      <c r="Q32" s="2904"/>
      <c r="R32" s="2905"/>
      <c r="S32" s="2905"/>
      <c r="T32" s="2905"/>
      <c r="U32" s="2905"/>
      <c r="V32" s="167"/>
    </row>
    <row r="33" spans="1:22" ht="90.75" customHeight="1" x14ac:dyDescent="0.2">
      <c r="A33" s="165"/>
      <c r="C33" s="182" t="s">
        <v>229</v>
      </c>
      <c r="D33" s="1835" t="s">
        <v>218</v>
      </c>
      <c r="E33" s="2985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33" s="2985"/>
      <c r="G33" s="2985"/>
      <c r="H33" s="2985"/>
      <c r="I33" s="2985"/>
      <c r="J33" s="2985"/>
      <c r="K33" s="2985"/>
      <c r="L33" s="2985"/>
      <c r="M33" s="2985"/>
      <c r="N33" s="2985"/>
      <c r="O33" s="2985"/>
      <c r="P33" s="1824"/>
      <c r="Q33" s="2906" t="s">
        <v>230</v>
      </c>
      <c r="R33" s="2907"/>
      <c r="S33" s="2907"/>
      <c r="T33" s="2907"/>
      <c r="U33" s="2907"/>
      <c r="V33" s="167"/>
    </row>
    <row r="34" spans="1:22" ht="27.75" customHeight="1" x14ac:dyDescent="0.2">
      <c r="A34" s="165"/>
      <c r="C34" s="182" t="s">
        <v>231</v>
      </c>
      <c r="D34" s="1835" t="s">
        <v>218</v>
      </c>
      <c r="E34" s="2986" t="str">
        <f>'F-LSCD-008'!C13</f>
        <v>Punto medio de la superfice anterior y punto medio del espesor del dosímetro</v>
      </c>
      <c r="F34" s="2986"/>
      <c r="G34" s="2986"/>
      <c r="H34" s="2986"/>
      <c r="I34" s="2986"/>
      <c r="J34" s="2986"/>
      <c r="K34" s="2986"/>
      <c r="L34" s="2986"/>
      <c r="M34" s="2986"/>
      <c r="N34" s="2986"/>
      <c r="O34" s="2986"/>
      <c r="P34" s="1825"/>
      <c r="Q34" s="2949" t="s">
        <v>1240</v>
      </c>
      <c r="R34" s="3123"/>
      <c r="S34" s="3123"/>
      <c r="T34" s="3123"/>
      <c r="U34" s="3123"/>
      <c r="V34" s="167"/>
    </row>
    <row r="35" spans="1:22" ht="6" customHeight="1" x14ac:dyDescent="0.2">
      <c r="A35" s="165"/>
      <c r="C35" s="182"/>
      <c r="D35" s="1835"/>
      <c r="E35" s="1825"/>
      <c r="F35" s="1825"/>
      <c r="G35" s="1825"/>
      <c r="H35" s="1825"/>
      <c r="I35" s="1825"/>
      <c r="J35" s="1825"/>
      <c r="K35" s="1825"/>
      <c r="L35" s="1825"/>
      <c r="M35" s="1825"/>
      <c r="N35" s="1825"/>
      <c r="O35" s="1825"/>
      <c r="P35" s="1825"/>
      <c r="Q35" s="2949"/>
      <c r="R35" s="3123"/>
      <c r="S35" s="3123"/>
      <c r="T35" s="3123"/>
      <c r="U35" s="3123"/>
      <c r="V35" s="167"/>
    </row>
    <row r="36" spans="1:22" ht="12.75" customHeight="1" x14ac:dyDescent="0.2">
      <c r="A36" s="165"/>
      <c r="B36" s="175" t="s">
        <v>1156</v>
      </c>
      <c r="C36" s="182"/>
      <c r="D36" s="1835" t="s">
        <v>218</v>
      </c>
      <c r="E36" s="3170">
        <f>'F-LSCD-008'!L8</f>
        <v>43802</v>
      </c>
      <c r="F36" s="3170"/>
      <c r="G36" s="3170"/>
      <c r="H36" s="3170"/>
      <c r="I36" s="3170"/>
      <c r="J36" s="3170"/>
      <c r="K36" s="3170"/>
      <c r="L36" s="3170"/>
      <c r="M36" s="3170"/>
      <c r="N36" s="3170"/>
      <c r="O36" s="1896"/>
      <c r="P36" s="180"/>
      <c r="Q36" s="2949"/>
      <c r="R36" s="3123"/>
      <c r="S36" s="3123"/>
      <c r="T36" s="3123"/>
      <c r="U36" s="3123"/>
      <c r="V36" s="167"/>
    </row>
    <row r="37" spans="1:22" ht="6.75" customHeight="1" x14ac:dyDescent="0.2">
      <c r="A37" s="165"/>
      <c r="C37" s="182"/>
      <c r="D37" s="1835"/>
      <c r="E37" s="1826"/>
      <c r="F37" s="1826"/>
      <c r="G37" s="183"/>
      <c r="H37" s="183"/>
      <c r="I37" s="183"/>
      <c r="J37" s="183"/>
      <c r="K37" s="180"/>
      <c r="L37" s="180"/>
      <c r="M37" s="180"/>
      <c r="N37" s="180"/>
      <c r="O37" s="180"/>
      <c r="P37" s="180"/>
      <c r="Q37" s="2949"/>
      <c r="R37" s="3123"/>
      <c r="S37" s="3123"/>
      <c r="T37" s="3123"/>
      <c r="U37" s="3123"/>
      <c r="V37" s="167"/>
    </row>
    <row r="38" spans="1:22" x14ac:dyDescent="0.2">
      <c r="A38" s="165"/>
      <c r="B38" s="175" t="s">
        <v>1129</v>
      </c>
      <c r="C38" s="170"/>
      <c r="D38" s="1835" t="s">
        <v>218</v>
      </c>
      <c r="E38" s="3170">
        <f>'F-LSCD-008'!N14</f>
        <v>43802</v>
      </c>
      <c r="F38" s="3170"/>
      <c r="G38" s="3170"/>
      <c r="H38" s="3170"/>
      <c r="I38" s="3170"/>
      <c r="J38" s="1833"/>
      <c r="K38" s="184"/>
      <c r="L38" s="184"/>
      <c r="M38" s="184"/>
      <c r="N38" s="184"/>
      <c r="O38" s="184"/>
      <c r="P38" s="184"/>
      <c r="Q38" s="2949"/>
      <c r="R38" s="3123"/>
      <c r="S38" s="3123"/>
      <c r="T38" s="3123"/>
      <c r="U38" s="3123"/>
      <c r="V38" s="167"/>
    </row>
    <row r="39" spans="1:22" ht="6.75" customHeight="1" x14ac:dyDescent="0.2">
      <c r="A39" s="165"/>
      <c r="B39" s="175"/>
      <c r="C39" s="170"/>
      <c r="D39" s="1923"/>
      <c r="E39" s="1918"/>
      <c r="F39" s="1918"/>
      <c r="G39" s="1918"/>
      <c r="H39" s="1918"/>
      <c r="I39" s="1918"/>
      <c r="J39" s="1922"/>
      <c r="K39" s="184"/>
      <c r="L39" s="184"/>
      <c r="M39" s="184"/>
      <c r="N39" s="184"/>
      <c r="O39" s="184"/>
      <c r="P39" s="184"/>
      <c r="Q39" s="1953"/>
      <c r="R39" s="1952"/>
      <c r="S39" s="1952"/>
      <c r="T39" s="1952"/>
      <c r="U39" s="1952"/>
      <c r="V39" s="167"/>
    </row>
    <row r="40" spans="1:22" x14ac:dyDescent="0.2">
      <c r="A40" s="165"/>
      <c r="B40" s="166" t="s">
        <v>1281</v>
      </c>
      <c r="C40" s="170"/>
      <c r="D40" s="1835"/>
      <c r="E40" s="1828"/>
      <c r="F40" s="1828"/>
      <c r="G40" s="1828"/>
      <c r="H40" s="1828"/>
      <c r="I40" s="1828"/>
      <c r="J40" s="1828"/>
      <c r="K40" s="180"/>
      <c r="L40" s="180"/>
      <c r="M40" s="180"/>
      <c r="N40" s="180"/>
      <c r="O40" s="180"/>
      <c r="P40" s="180"/>
      <c r="Q40" s="1953"/>
      <c r="R40" s="1952"/>
      <c r="S40" s="1952"/>
      <c r="T40" s="1952"/>
      <c r="U40" s="1952"/>
      <c r="V40" s="167"/>
    </row>
    <row r="41" spans="1:22" ht="13.5" thickBot="1" x14ac:dyDescent="0.25">
      <c r="A41" s="165"/>
      <c r="C41" s="170"/>
      <c r="D41" s="1923"/>
      <c r="E41" s="1917"/>
      <c r="F41" s="1917"/>
      <c r="G41" s="1917"/>
      <c r="H41" s="1917"/>
      <c r="I41" s="1917"/>
      <c r="J41" s="1917"/>
      <c r="K41" s="180"/>
      <c r="L41" s="180"/>
      <c r="M41" s="180"/>
      <c r="N41" s="180"/>
      <c r="O41" s="180"/>
      <c r="P41" s="180"/>
      <c r="Q41" s="1953"/>
      <c r="R41" s="1952"/>
      <c r="S41" s="1952"/>
      <c r="T41" s="1952"/>
      <c r="U41" s="1952"/>
      <c r="V41" s="167"/>
    </row>
    <row r="42" spans="1:22" ht="13.5" thickBot="1" x14ac:dyDescent="0.25">
      <c r="A42" s="165"/>
      <c r="C42" s="198" t="s">
        <v>183</v>
      </c>
      <c r="D42" s="1923"/>
      <c r="E42" s="1917"/>
      <c r="F42" s="1917"/>
      <c r="G42" s="1917"/>
      <c r="H42" s="1917"/>
      <c r="I42" s="1917"/>
      <c r="J42" s="1917"/>
      <c r="K42" s="180"/>
      <c r="L42" s="180"/>
      <c r="M42" s="180"/>
      <c r="N42" s="180"/>
      <c r="O42" s="180"/>
      <c r="P42" s="180"/>
      <c r="Q42" s="1953"/>
      <c r="R42" s="1952"/>
      <c r="S42" s="1952"/>
      <c r="T42" s="1952"/>
      <c r="U42" s="1952"/>
      <c r="V42" s="167"/>
    </row>
    <row r="43" spans="1:22" x14ac:dyDescent="0.2">
      <c r="A43" s="165"/>
      <c r="C43" s="210">
        <f>'F-LSCD-008'!B31</f>
        <v>905136</v>
      </c>
      <c r="D43" s="1923"/>
      <c r="E43" s="1917"/>
      <c r="F43" s="1917"/>
      <c r="G43" s="1917"/>
      <c r="H43" s="1917"/>
      <c r="I43" s="1917"/>
      <c r="J43" s="1917"/>
      <c r="K43" s="180"/>
      <c r="L43" s="180"/>
      <c r="M43" s="180"/>
      <c r="N43" s="180"/>
      <c r="O43" s="180"/>
      <c r="P43" s="180"/>
      <c r="Q43" s="1953"/>
      <c r="R43" s="1952"/>
      <c r="S43" s="1952"/>
      <c r="T43" s="1952"/>
      <c r="U43" s="1952"/>
      <c r="V43" s="167"/>
    </row>
    <row r="44" spans="1:22" x14ac:dyDescent="0.2">
      <c r="A44" s="165"/>
      <c r="C44" s="211">
        <f>'F-LSCD-008'!B32</f>
        <v>905390</v>
      </c>
      <c r="D44" s="1923"/>
      <c r="E44" s="1917"/>
      <c r="F44" s="1917"/>
      <c r="G44" s="1917"/>
      <c r="H44" s="1917"/>
      <c r="I44" s="1917"/>
      <c r="J44" s="1917"/>
      <c r="K44" s="180"/>
      <c r="L44" s="180"/>
      <c r="M44" s="180"/>
      <c r="N44" s="180"/>
      <c r="O44" s="180"/>
      <c r="P44" s="180"/>
      <c r="Q44" s="1953"/>
      <c r="R44" s="1952"/>
      <c r="S44" s="1952"/>
      <c r="T44" s="1952"/>
      <c r="U44" s="1952"/>
      <c r="V44" s="167"/>
    </row>
    <row r="45" spans="1:22" x14ac:dyDescent="0.2">
      <c r="A45" s="165"/>
      <c r="C45" s="211">
        <f>'F-LSCD-008'!B44</f>
        <v>905100</v>
      </c>
      <c r="D45" s="1923"/>
      <c r="E45" s="1917"/>
      <c r="F45" s="1917"/>
      <c r="G45" s="1917"/>
      <c r="H45" s="1917"/>
      <c r="I45" s="1917"/>
      <c r="J45" s="1917"/>
      <c r="K45" s="180"/>
      <c r="L45" s="180"/>
      <c r="M45" s="180"/>
      <c r="N45" s="180"/>
      <c r="O45" s="180"/>
      <c r="P45" s="180"/>
      <c r="Q45" s="1953"/>
      <c r="R45" s="1952"/>
      <c r="S45" s="1952"/>
      <c r="T45" s="1952"/>
      <c r="U45" s="1952"/>
      <c r="V45" s="167"/>
    </row>
    <row r="46" spans="1:22" x14ac:dyDescent="0.2">
      <c r="A46" s="165"/>
      <c r="C46" s="211">
        <f>'F-LSCD-008'!B45</f>
        <v>905350</v>
      </c>
      <c r="D46" s="1923"/>
      <c r="E46" s="1917"/>
      <c r="F46" s="1917"/>
      <c r="G46" s="1917"/>
      <c r="H46" s="1917"/>
      <c r="I46" s="1917"/>
      <c r="J46" s="1917"/>
      <c r="K46" s="180"/>
      <c r="L46" s="180"/>
      <c r="M46" s="180"/>
      <c r="N46" s="180"/>
      <c r="O46" s="180"/>
      <c r="P46" s="180"/>
      <c r="Q46" s="1953"/>
      <c r="R46" s="1952"/>
      <c r="S46" s="1952"/>
      <c r="T46" s="1952"/>
      <c r="U46" s="1952"/>
      <c r="V46" s="167"/>
    </row>
    <row r="47" spans="1:22" x14ac:dyDescent="0.2">
      <c r="A47" s="165"/>
      <c r="C47" s="211">
        <f>'F-LSCD-008'!B46</f>
        <v>905328</v>
      </c>
      <c r="D47" s="1923"/>
      <c r="E47" s="1917"/>
      <c r="F47" s="1917"/>
      <c r="G47" s="1917"/>
      <c r="H47" s="1917"/>
      <c r="I47" s="1917"/>
      <c r="J47" s="1917"/>
      <c r="K47" s="180"/>
      <c r="L47" s="180"/>
      <c r="M47" s="180"/>
      <c r="N47" s="180"/>
      <c r="O47" s="180"/>
      <c r="P47" s="180"/>
      <c r="Q47" s="1953"/>
      <c r="R47" s="1952"/>
      <c r="S47" s="1952"/>
      <c r="T47" s="1952"/>
      <c r="U47" s="1952"/>
      <c r="V47" s="167"/>
    </row>
    <row r="48" spans="1:22" x14ac:dyDescent="0.2">
      <c r="A48" s="165"/>
      <c r="C48" s="211">
        <f>'F-LSCD-008'!B47</f>
        <v>904779</v>
      </c>
      <c r="D48" s="1923"/>
      <c r="E48" s="1917"/>
      <c r="F48" s="1917"/>
      <c r="G48" s="1917"/>
      <c r="H48" s="1917"/>
      <c r="I48" s="1917"/>
      <c r="J48" s="1917"/>
      <c r="K48" s="180"/>
      <c r="L48" s="180"/>
      <c r="M48" s="180"/>
      <c r="N48" s="180"/>
      <c r="O48" s="180"/>
      <c r="P48" s="180"/>
      <c r="Q48" s="1953"/>
      <c r="R48" s="1952"/>
      <c r="S48" s="1952"/>
      <c r="T48" s="1952"/>
      <c r="U48" s="1952"/>
      <c r="V48" s="167"/>
    </row>
    <row r="49" spans="1:22" ht="13.5" thickBot="1" x14ac:dyDescent="0.25">
      <c r="A49" s="165"/>
      <c r="C49" s="212">
        <f>'F-LSCD-008'!B48</f>
        <v>95005</v>
      </c>
      <c r="D49" s="1923"/>
      <c r="E49" s="1917"/>
      <c r="F49" s="1917"/>
      <c r="G49" s="1917"/>
      <c r="H49" s="1917"/>
      <c r="I49" s="1917"/>
      <c r="J49" s="1917"/>
      <c r="K49" s="180"/>
      <c r="L49" s="180"/>
      <c r="M49" s="180"/>
      <c r="N49" s="180"/>
      <c r="O49" s="180"/>
      <c r="P49" s="180"/>
      <c r="Q49" s="1953"/>
      <c r="R49" s="1952"/>
      <c r="S49" s="1952"/>
      <c r="T49" s="1952"/>
      <c r="U49" s="1952"/>
      <c r="V49" s="167"/>
    </row>
    <row r="50" spans="1:22" hidden="1" x14ac:dyDescent="0.2">
      <c r="A50" s="165"/>
      <c r="C50" s="1488" t="str">
        <f>'F-LSCD-008'!B49</f>
        <v>-</v>
      </c>
      <c r="D50" s="1923"/>
      <c r="E50" s="1917"/>
      <c r="F50" s="1917"/>
      <c r="G50" s="1917"/>
      <c r="H50" s="1917"/>
      <c r="I50" s="1917"/>
      <c r="J50" s="1917"/>
      <c r="K50" s="180"/>
      <c r="L50" s="180"/>
      <c r="M50" s="180"/>
      <c r="N50" s="180"/>
      <c r="O50" s="180"/>
      <c r="P50" s="180"/>
      <c r="Q50" s="1953"/>
      <c r="R50" s="1952"/>
      <c r="S50" s="1952"/>
      <c r="T50" s="1952"/>
      <c r="U50" s="1952"/>
      <c r="V50" s="167"/>
    </row>
    <row r="51" spans="1:22" ht="13.5" hidden="1" thickBot="1" x14ac:dyDescent="0.25">
      <c r="A51" s="165"/>
      <c r="C51" s="212" t="str">
        <f>'F-LSCD-008'!B50</f>
        <v>-</v>
      </c>
      <c r="D51" s="1923"/>
      <c r="E51" s="1917"/>
      <c r="F51" s="1917"/>
      <c r="G51" s="1917"/>
      <c r="H51" s="1917"/>
      <c r="I51" s="1917"/>
      <c r="J51" s="1917"/>
      <c r="K51" s="180"/>
      <c r="L51" s="180"/>
      <c r="M51" s="180"/>
      <c r="N51" s="180"/>
      <c r="O51" s="180"/>
      <c r="P51" s="180"/>
      <c r="Q51" s="1953"/>
      <c r="R51" s="1952"/>
      <c r="S51" s="1952"/>
      <c r="T51" s="1952"/>
      <c r="U51" s="1952"/>
      <c r="V51" s="167"/>
    </row>
    <row r="52" spans="1:22" ht="42.75" customHeight="1" thickBot="1" x14ac:dyDescent="0.25">
      <c r="A52" s="195"/>
      <c r="B52" s="1867"/>
      <c r="C52" s="1868"/>
      <c r="D52" s="1869"/>
      <c r="E52" s="1869"/>
      <c r="F52" s="1869"/>
      <c r="G52" s="1869"/>
      <c r="H52" s="1870"/>
      <c r="I52" s="1870"/>
      <c r="J52" s="1870"/>
      <c r="K52" s="1870"/>
      <c r="L52" s="1870"/>
      <c r="M52" s="1870"/>
      <c r="N52" s="1870"/>
      <c r="O52" s="1870"/>
      <c r="P52" s="1870"/>
      <c r="Q52" s="1870"/>
      <c r="R52" s="1870"/>
      <c r="S52" s="1870"/>
      <c r="T52" s="1870"/>
      <c r="U52" s="1829"/>
      <c r="V52" s="197"/>
    </row>
    <row r="53" spans="1:22" ht="13.5" thickTop="1" x14ac:dyDescent="0.2">
      <c r="A53" s="3022" t="s">
        <v>236</v>
      </c>
      <c r="B53" s="3023"/>
      <c r="C53" s="3023"/>
      <c r="D53" s="3023"/>
      <c r="E53" s="3023"/>
      <c r="F53" s="3023"/>
      <c r="G53" s="3023"/>
      <c r="H53" s="3023"/>
      <c r="I53" s="3023"/>
      <c r="J53" s="3023"/>
      <c r="K53" s="3023"/>
      <c r="L53" s="3023"/>
      <c r="M53" s="3023"/>
      <c r="N53" s="3023"/>
      <c r="O53" s="3023"/>
      <c r="P53" s="3023"/>
      <c r="Q53" s="3023"/>
      <c r="R53" s="3023"/>
      <c r="S53" s="3023"/>
      <c r="T53" s="3023"/>
      <c r="U53" s="3023"/>
      <c r="V53" s="3024"/>
    </row>
    <row r="54" spans="1:22" ht="13.5" thickBot="1" x14ac:dyDescent="0.25">
      <c r="A54" s="3025" t="s">
        <v>279</v>
      </c>
      <c r="B54" s="3026"/>
      <c r="C54" s="3026"/>
      <c r="D54" s="3026"/>
      <c r="E54" s="3026"/>
      <c r="F54" s="3026"/>
      <c r="G54" s="3026"/>
      <c r="H54" s="3026"/>
      <c r="I54" s="3026"/>
      <c r="J54" s="3026"/>
      <c r="K54" s="3026"/>
      <c r="L54" s="3026"/>
      <c r="M54" s="3026"/>
      <c r="N54" s="3026"/>
      <c r="O54" s="3026"/>
      <c r="P54" s="3026"/>
      <c r="Q54" s="3026"/>
      <c r="R54" s="3026"/>
      <c r="S54" s="3026"/>
      <c r="T54" s="3026"/>
      <c r="U54" s="3026"/>
      <c r="V54" s="3027"/>
    </row>
    <row r="55" spans="1:22" ht="13.5" thickBot="1" x14ac:dyDescent="0.25">
      <c r="A55" s="1490"/>
      <c r="B55" s="1491" t="s">
        <v>916</v>
      </c>
      <c r="C55" s="1490"/>
      <c r="D55" s="1490"/>
      <c r="E55" s="1490"/>
      <c r="F55" s="1490"/>
      <c r="G55" s="1490"/>
      <c r="H55" s="1490"/>
      <c r="I55" s="1490"/>
      <c r="J55" s="1490"/>
      <c r="K55" s="1490"/>
      <c r="L55" s="1490"/>
      <c r="M55" s="1490"/>
      <c r="N55" s="1490"/>
      <c r="O55" s="1490"/>
      <c r="P55" s="1490"/>
      <c r="Q55" s="1490"/>
      <c r="R55" s="1490"/>
      <c r="S55" s="1490"/>
      <c r="T55" s="1490"/>
      <c r="U55" s="1492" t="str">
        <f>A4</f>
        <v>INFORME DE ENSAYO N° 017-2019 ALEPH/GR/LSCD</v>
      </c>
      <c r="V55" s="1490"/>
    </row>
    <row r="56" spans="1:22" ht="51" customHeight="1" x14ac:dyDescent="0.2">
      <c r="A56" s="2969" t="s">
        <v>280</v>
      </c>
      <c r="B56" s="2970"/>
      <c r="C56" s="2970"/>
      <c r="D56" s="2970"/>
      <c r="E56" s="2970"/>
      <c r="F56" s="2970"/>
      <c r="G56" s="2970"/>
      <c r="H56" s="2970"/>
      <c r="I56" s="2970"/>
      <c r="J56" s="2970"/>
      <c r="K56" s="2970"/>
      <c r="L56" s="2970"/>
      <c r="M56" s="2970"/>
      <c r="N56" s="2970"/>
      <c r="O56" s="2970"/>
      <c r="P56" s="2970"/>
      <c r="Q56" s="2970"/>
      <c r="R56" s="2970"/>
      <c r="S56" s="2970"/>
      <c r="T56" s="2970"/>
      <c r="U56" s="2970"/>
      <c r="V56" s="2971"/>
    </row>
    <row r="57" spans="1:22" ht="30" customHeight="1" thickBot="1" x14ac:dyDescent="0.25">
      <c r="A57" s="2972"/>
      <c r="B57" s="2973"/>
      <c r="C57" s="2973"/>
      <c r="D57" s="2973"/>
      <c r="E57" s="2973"/>
      <c r="F57" s="2973"/>
      <c r="G57" s="2973"/>
      <c r="H57" s="2973"/>
      <c r="I57" s="2973"/>
      <c r="J57" s="2973"/>
      <c r="K57" s="2973"/>
      <c r="L57" s="2973"/>
      <c r="M57" s="2973"/>
      <c r="N57" s="2973"/>
      <c r="O57" s="2973"/>
      <c r="P57" s="2973"/>
      <c r="Q57" s="2973"/>
      <c r="R57" s="2973"/>
      <c r="S57" s="2973"/>
      <c r="T57" s="2973"/>
      <c r="U57" s="2973"/>
      <c r="V57" s="2974"/>
    </row>
    <row r="58" spans="1:22" ht="13.5" thickTop="1" x14ac:dyDescent="0.2">
      <c r="A58" s="165"/>
      <c r="V58" s="167"/>
    </row>
    <row r="59" spans="1:22" x14ac:dyDescent="0.2">
      <c r="A59" s="165"/>
      <c r="B59" s="166" t="s">
        <v>1284</v>
      </c>
      <c r="C59" s="166"/>
      <c r="D59" s="186"/>
      <c r="E59" s="186"/>
      <c r="F59" s="166"/>
      <c r="G59" s="166"/>
      <c r="H59" s="166"/>
      <c r="I59" s="166"/>
      <c r="J59" s="166"/>
      <c r="V59" s="167"/>
    </row>
    <row r="60" spans="1:22" ht="5.25" customHeight="1" thickBot="1" x14ac:dyDescent="0.25">
      <c r="A60" s="165"/>
      <c r="D60" s="187"/>
      <c r="E60" s="188"/>
      <c r="V60" s="167"/>
    </row>
    <row r="61" spans="1:22" ht="27" customHeight="1" thickBot="1" x14ac:dyDescent="0.25">
      <c r="A61" s="165"/>
      <c r="C61" s="198" t="s">
        <v>183</v>
      </c>
      <c r="D61" s="3001" t="s">
        <v>235</v>
      </c>
      <c r="E61" s="3002"/>
      <c r="F61" s="3003"/>
      <c r="G61" s="189" t="s">
        <v>204</v>
      </c>
      <c r="H61" s="3004" t="s">
        <v>207</v>
      </c>
      <c r="I61" s="3005"/>
      <c r="J61" s="3005"/>
      <c r="K61" s="3006"/>
      <c r="L61" s="3004" t="s">
        <v>206</v>
      </c>
      <c r="M61" s="3005"/>
      <c r="N61" s="3005"/>
      <c r="O61" s="3006"/>
      <c r="P61" s="3004" t="s">
        <v>208</v>
      </c>
      <c r="Q61" s="3005"/>
      <c r="R61" s="3005"/>
      <c r="S61" s="3005"/>
      <c r="T61" s="3006"/>
      <c r="U61" s="1836"/>
      <c r="V61" s="167"/>
    </row>
    <row r="62" spans="1:22" ht="15" customHeight="1" x14ac:dyDescent="0.2">
      <c r="A62" s="165"/>
      <c r="C62" s="210">
        <f>'F-LSCD-008'!B18</f>
        <v>905395</v>
      </c>
      <c r="D62" s="3007" t="str">
        <f>'F-LSCD-008'!C18</f>
        <v>S-Cs (ISO 4037-3)</v>
      </c>
      <c r="E62" s="3008"/>
      <c r="F62" s="3009"/>
      <c r="G62" s="1921" t="str">
        <f>'F-LSCD-008'!D18</f>
        <v>0°</v>
      </c>
      <c r="H62" s="3260" t="str">
        <f>IF('F-LSCD-007'!F16="Hp(10)",TEXT('F-LSCD-008'!G18,"#0,0")&amp;" ± "&amp;TEXT('Incert. Irrad. Dosímetros pers'!$O$34*'F-LSCD-008'!G18,"#0,0"),"-")</f>
        <v>03 ± 00</v>
      </c>
      <c r="I62" s="3261"/>
      <c r="J62" s="3261"/>
      <c r="K62" s="3262"/>
      <c r="L62" s="3010" t="str">
        <f>IF('F-LSCD-007'!F16="Hp(0,07)",TEXT('F-LSCD-008'!F18,"#0,0")&amp;" ± "&amp;TEXT('Incert. Irrad. Dosímetros pers'!$O$34*'F-LSCD-008'!F18,"#0,0"),"-")</f>
        <v>-</v>
      </c>
      <c r="M62" s="3011"/>
      <c r="N62" s="3011"/>
      <c r="O62" s="3012"/>
      <c r="P62" s="3010" t="str">
        <f>IF('F-LSCD-007'!F16="D(10)",TEXT('F-LSCD-008'!H18,"#0,0")&amp;" ± "&amp;TEXT('Incert. Irrad. Dosímetros pers'!$O$34*'F-LSCD-008'!H18,"#0,0"),"-")</f>
        <v>-</v>
      </c>
      <c r="Q62" s="3011"/>
      <c r="R62" s="3011"/>
      <c r="S62" s="3011"/>
      <c r="T62" s="3013"/>
      <c r="U62" s="1836"/>
      <c r="V62" s="167"/>
    </row>
    <row r="63" spans="1:22" ht="12.75" customHeight="1" x14ac:dyDescent="0.2">
      <c r="A63" s="165"/>
      <c r="C63" s="211">
        <f>'F-LSCD-008'!B19</f>
        <v>905309</v>
      </c>
      <c r="D63" s="2995" t="str">
        <f>'F-LSCD-008'!C19</f>
        <v>S-Cs (ISO 4037-3)</v>
      </c>
      <c r="E63" s="2995"/>
      <c r="F63" s="2996"/>
      <c r="G63" s="1920" t="str">
        <f>'F-LSCD-008'!D19</f>
        <v>0°</v>
      </c>
      <c r="H63" s="3257" t="str">
        <f>IF('F-LSCD-007'!F17="Hp(10)",TEXT('F-LSCD-008'!G19,"#0,0")&amp;" ± "&amp;TEXT('Incert. Irrad. Dosímetros pers'!$O$34*'F-LSCD-008'!G19,"#0,0"),"-")</f>
        <v>03 ± 00</v>
      </c>
      <c r="I63" s="3258"/>
      <c r="J63" s="3258"/>
      <c r="K63" s="3259"/>
      <c r="L63" s="2997" t="str">
        <f>IF('F-LSCD-007'!F17="Hp(0,07)",TEXT('F-LSCD-008'!F19,"#0,0")&amp;" ± "&amp;TEXT('Incert. Irrad. Dosímetros pers'!$O$34*'F-LSCD-008'!F19,"#0,0"),"-")</f>
        <v>-</v>
      </c>
      <c r="M63" s="2998"/>
      <c r="N63" s="2998"/>
      <c r="O63" s="2999"/>
      <c r="P63" s="2997" t="str">
        <f>IF('F-LSCD-007'!F17="D(10)",TEXT('F-LSCD-008'!H19,"#0,0")&amp;" ± "&amp;TEXT('Incert. Irrad. Dosímetros pers'!$O$34*'F-LSCD-008'!H19,"#0,0"),"-")</f>
        <v>-</v>
      </c>
      <c r="Q63" s="2998"/>
      <c r="R63" s="2998"/>
      <c r="S63" s="2998"/>
      <c r="T63" s="3000"/>
      <c r="U63" s="1836"/>
      <c r="V63" s="167"/>
    </row>
    <row r="64" spans="1:22" ht="12.75" customHeight="1" x14ac:dyDescent="0.2">
      <c r="A64" s="165"/>
      <c r="C64" s="211">
        <f>'F-LSCD-008'!B20</f>
        <v>905161</v>
      </c>
      <c r="D64" s="2995" t="str">
        <f>'F-LSCD-008'!C20</f>
        <v>S-Cs (ISO 4037-3)</v>
      </c>
      <c r="E64" s="2995"/>
      <c r="F64" s="2996"/>
      <c r="G64" s="1920" t="str">
        <f>'F-LSCD-008'!D20</f>
        <v>0°</v>
      </c>
      <c r="H64" s="3257" t="str">
        <f>IF('F-LSCD-007'!F18="Hp(10)",TEXT('F-LSCD-008'!G20,"#0,0")&amp;" ± "&amp;TEXT('Incert. Irrad. Dosímetros pers'!$O$34*'F-LSCD-008'!G20,"#0,0"),"-")</f>
        <v>03 ± 00</v>
      </c>
      <c r="I64" s="3258"/>
      <c r="J64" s="3258"/>
      <c r="K64" s="3259"/>
      <c r="L64" s="2997" t="str">
        <f>IF('F-LSCD-007'!F18="Hp(0,07)",TEXT('F-LSCD-008'!F20,"#0,0")&amp;" ± "&amp;TEXT('Incert. Irrad. Dosímetros pers'!$O$34*'F-LSCD-008'!F20,"#0,0"),"-")</f>
        <v>-</v>
      </c>
      <c r="M64" s="2998"/>
      <c r="N64" s="2998"/>
      <c r="O64" s="2999"/>
      <c r="P64" s="2997" t="str">
        <f>IF('F-LSCD-007'!F18="D(10)",TEXT('F-LSCD-008'!H20,"#0,0")&amp;" ± "&amp;TEXT('Incert. Irrad. Dosímetros pers'!$O$34*'F-LSCD-008'!H20,"#0,0"),"-")</f>
        <v>-</v>
      </c>
      <c r="Q64" s="2998"/>
      <c r="R64" s="2998"/>
      <c r="S64" s="2998"/>
      <c r="T64" s="3000"/>
      <c r="U64" s="1836"/>
      <c r="V64" s="167"/>
    </row>
    <row r="65" spans="1:22" ht="12.75" customHeight="1" x14ac:dyDescent="0.2">
      <c r="A65" s="165"/>
      <c r="C65" s="211">
        <f>'F-LSCD-008'!B21</f>
        <v>905327</v>
      </c>
      <c r="D65" s="2995" t="str">
        <f>'F-LSCD-008'!C21</f>
        <v>S-Cs (ISO 4037-3)</v>
      </c>
      <c r="E65" s="2995"/>
      <c r="F65" s="2996"/>
      <c r="G65" s="1920" t="str">
        <f>'F-LSCD-008'!D21</f>
        <v>0°</v>
      </c>
      <c r="H65" s="3257" t="str">
        <f>IF('F-LSCD-007'!F19="Hp(10)",TEXT('F-LSCD-008'!G21,"#0,0")&amp;" ± "&amp;TEXT('Incert. Irrad. Dosímetros pers'!$O$34*'F-LSCD-008'!G21,"#0,0"),"-")</f>
        <v>03 ± 00</v>
      </c>
      <c r="I65" s="3258"/>
      <c r="J65" s="3258"/>
      <c r="K65" s="3259"/>
      <c r="L65" s="2997" t="str">
        <f>IF('F-LSCD-007'!F19="Hp(0,07)",TEXT('F-LSCD-008'!F21,"#0,0")&amp;" ± "&amp;TEXT('Incert. Irrad. Dosímetros pers'!$O$34*'F-LSCD-008'!F21,"#0,0"),"-")</f>
        <v>-</v>
      </c>
      <c r="M65" s="2998"/>
      <c r="N65" s="2998"/>
      <c r="O65" s="2999"/>
      <c r="P65" s="2997" t="str">
        <f>IF('F-LSCD-007'!F19="D(10)",TEXT('F-LSCD-008'!H21,"#0,0")&amp;" ± "&amp;TEXT('Incert. Irrad. Dosímetros pers'!$O$34*'F-LSCD-008'!H21,"#0,0"),"-")</f>
        <v>-</v>
      </c>
      <c r="Q65" s="2998"/>
      <c r="R65" s="2998"/>
      <c r="S65" s="2998"/>
      <c r="T65" s="3000"/>
      <c r="U65" s="1836"/>
      <c r="V65" s="167"/>
    </row>
    <row r="66" spans="1:22" ht="12.75" customHeight="1" x14ac:dyDescent="0.2">
      <c r="A66" s="165"/>
      <c r="C66" s="211">
        <f>'F-LSCD-008'!B22</f>
        <v>905125</v>
      </c>
      <c r="D66" s="2995" t="str">
        <f>'F-LSCD-008'!C22</f>
        <v>S-Cs (ISO 4037-3)</v>
      </c>
      <c r="E66" s="2995"/>
      <c r="F66" s="2996"/>
      <c r="G66" s="1920" t="str">
        <f>'F-LSCD-008'!D22</f>
        <v>0°</v>
      </c>
      <c r="H66" s="3257" t="str">
        <f>IF('F-LSCD-007'!F20="Hp(10)",TEXT('F-LSCD-008'!G22,"#0,0")&amp;" ± "&amp;TEXT('Incert. Irrad. Dosímetros pers'!$O$34*'F-LSCD-008'!G22,"#0,0"),"-")</f>
        <v>03 ± 00</v>
      </c>
      <c r="I66" s="3258"/>
      <c r="J66" s="3258"/>
      <c r="K66" s="3259"/>
      <c r="L66" s="2997" t="str">
        <f>IF('F-LSCD-007'!F20="Hp(0,07)",TEXT('F-LSCD-008'!F22,"#0,0")&amp;" ± "&amp;TEXT('Incert. Irrad. Dosímetros pers'!$O$34*'F-LSCD-008'!F22,"#0,0"),"-")</f>
        <v>-</v>
      </c>
      <c r="M66" s="2998"/>
      <c r="N66" s="2998"/>
      <c r="O66" s="2999"/>
      <c r="P66" s="2997" t="str">
        <f>IF('F-LSCD-007'!F20="D(10)",TEXT('F-LSCD-008'!H22,"#0,0")&amp;" ± "&amp;TEXT('Incert. Irrad. Dosímetros pers'!$O$34*'F-LSCD-008'!H22,"#0,0"),"-")</f>
        <v>-</v>
      </c>
      <c r="Q66" s="2998"/>
      <c r="R66" s="2998"/>
      <c r="S66" s="2998"/>
      <c r="T66" s="3000"/>
      <c r="U66" s="1836"/>
      <c r="V66" s="167"/>
    </row>
    <row r="67" spans="1:22" ht="12.75" customHeight="1" x14ac:dyDescent="0.2">
      <c r="A67" s="165"/>
      <c r="C67" s="1488">
        <f>'F-LSCD-008'!B23</f>
        <v>905066</v>
      </c>
      <c r="D67" s="3014" t="str">
        <f>'F-LSCD-008'!C23</f>
        <v>S-Cs (ISO 4037-3)</v>
      </c>
      <c r="E67" s="3014"/>
      <c r="F67" s="3015"/>
      <c r="G67" s="1591" t="str">
        <f>'F-LSCD-008'!D23</f>
        <v>0°</v>
      </c>
      <c r="H67" s="3257" t="str">
        <f>IF('F-LSCD-007'!F21="Hp(10)",TEXT('F-LSCD-008'!G23,"#0,0")&amp;" ± "&amp;TEXT('Incert. Irrad. Dosímetros pers'!$O$34*'F-LSCD-008'!G23,"#0,0"),"-")</f>
        <v>30 ± 01</v>
      </c>
      <c r="I67" s="3258"/>
      <c r="J67" s="3258"/>
      <c r="K67" s="3259"/>
      <c r="L67" s="2997" t="str">
        <f>IF('F-LSCD-007'!F21="Hp(0,07)",TEXT('F-LSCD-008'!F23,"#0,0")&amp;" ± "&amp;TEXT('Incert. Irrad. Dosímetros pers'!$O$34*'F-LSCD-008'!F23,"#0,0"),"-")</f>
        <v>-</v>
      </c>
      <c r="M67" s="2998"/>
      <c r="N67" s="2998"/>
      <c r="O67" s="2999"/>
      <c r="P67" s="2997" t="str">
        <f>IF('F-LSCD-007'!F21="D(10)",TEXT('F-LSCD-008'!H23,"#0,0")&amp;" ± "&amp;TEXT('Incert. Irrad. Dosímetros pers'!$O$34*'F-LSCD-008'!H23,"#0,0"),"-")</f>
        <v>-</v>
      </c>
      <c r="Q67" s="2998"/>
      <c r="R67" s="2998"/>
      <c r="S67" s="2998"/>
      <c r="T67" s="3000"/>
      <c r="U67" s="1836"/>
      <c r="V67" s="167"/>
    </row>
    <row r="68" spans="1:22" ht="12.75" customHeight="1" x14ac:dyDescent="0.2">
      <c r="A68" s="165"/>
      <c r="C68" s="211">
        <f>'F-LSCD-008'!B24</f>
        <v>905339</v>
      </c>
      <c r="D68" s="2995" t="str">
        <f>'F-LSCD-008'!C24</f>
        <v>S-Cs (ISO 4037-3)</v>
      </c>
      <c r="E68" s="2995"/>
      <c r="F68" s="2996"/>
      <c r="G68" s="1920" t="str">
        <f>'F-LSCD-008'!D24</f>
        <v>0°</v>
      </c>
      <c r="H68" s="3257" t="str">
        <f>IF('F-LSCD-007'!F22="Hp(10)",TEXT('F-LSCD-008'!G24,"#0,0")&amp;" ± "&amp;TEXT('Incert. Irrad. Dosímetros pers'!$O$34*'F-LSCD-008'!G24,"#0,0"),"-")</f>
        <v>30 ± 01</v>
      </c>
      <c r="I68" s="3258"/>
      <c r="J68" s="3258"/>
      <c r="K68" s="3259"/>
      <c r="L68" s="2997" t="str">
        <f>IF('F-LSCD-007'!F22="Hp(0,07)",TEXT('F-LSCD-008'!F24,"#0,0")&amp;" ± "&amp;TEXT('Incert. Irrad. Dosímetros pers'!$O$34*'F-LSCD-008'!F24,"#0,0"),"-")</f>
        <v>-</v>
      </c>
      <c r="M68" s="2998"/>
      <c r="N68" s="2998"/>
      <c r="O68" s="2999"/>
      <c r="P68" s="2997" t="str">
        <f>IF('F-LSCD-007'!F22="D(10)",TEXT('F-LSCD-008'!H24,"#0,0")&amp;" ± "&amp;TEXT('Incert. Irrad. Dosímetros pers'!$O$34*'F-LSCD-008'!H24,"#0,0"),"-")</f>
        <v>-</v>
      </c>
      <c r="Q68" s="2998"/>
      <c r="R68" s="2998"/>
      <c r="S68" s="2998"/>
      <c r="T68" s="3000"/>
      <c r="U68" s="1836"/>
      <c r="V68" s="167"/>
    </row>
    <row r="69" spans="1:22" ht="12.75" customHeight="1" x14ac:dyDescent="0.2">
      <c r="A69" s="165"/>
      <c r="C69" s="1488">
        <f>'F-LSCD-008'!B25</f>
        <v>905189</v>
      </c>
      <c r="D69" s="3014" t="str">
        <f>'F-LSCD-008'!C25</f>
        <v>S-Cs (ISO 4037-3)</v>
      </c>
      <c r="E69" s="3014"/>
      <c r="F69" s="3015"/>
      <c r="G69" s="1591" t="str">
        <f>'F-LSCD-008'!D25</f>
        <v>0°</v>
      </c>
      <c r="H69" s="3257" t="str">
        <f>IF('F-LSCD-007'!F23="Hp(10)",TEXT('F-LSCD-008'!G25,"#0,0")&amp;" ± "&amp;TEXT('Incert. Irrad. Dosímetros pers'!$O$34*'F-LSCD-008'!G25,"#0,0"),"-")</f>
        <v>30 ± 01</v>
      </c>
      <c r="I69" s="3258"/>
      <c r="J69" s="3258"/>
      <c r="K69" s="3259"/>
      <c r="L69" s="2997" t="str">
        <f>IF('F-LSCD-007'!F23="Hp(0,07)",TEXT('F-LSCD-008'!F25,"#0,0")&amp;" ± "&amp;TEXT('Incert. Irrad. Dosímetros pers'!$O$34*'F-LSCD-008'!F25,"#0,0"),"-")</f>
        <v>-</v>
      </c>
      <c r="M69" s="2998"/>
      <c r="N69" s="2998"/>
      <c r="O69" s="2999"/>
      <c r="P69" s="2997" t="str">
        <f>IF('F-LSCD-007'!F23="D(10)",TEXT('F-LSCD-008'!H25,"#0,0")&amp;" ± "&amp;TEXT('Incert. Irrad. Dosímetros pers'!$O$34*'F-LSCD-008'!H25,"#0,0"),"-")</f>
        <v>-</v>
      </c>
      <c r="Q69" s="2998"/>
      <c r="R69" s="2998"/>
      <c r="S69" s="2998"/>
      <c r="T69" s="3000"/>
      <c r="U69" s="1836"/>
      <c r="V69" s="167"/>
    </row>
    <row r="70" spans="1:22" ht="12.75" customHeight="1" x14ac:dyDescent="0.2">
      <c r="A70" s="165"/>
      <c r="C70" s="211">
        <f>'F-LSCD-008'!B26</f>
        <v>905334</v>
      </c>
      <c r="D70" s="2995" t="str">
        <f>'F-LSCD-008'!C26</f>
        <v>S-Cs (ISO 4037-3)</v>
      </c>
      <c r="E70" s="2995"/>
      <c r="F70" s="2996"/>
      <c r="G70" s="1920" t="str">
        <f>'F-LSCD-008'!D26</f>
        <v>0°</v>
      </c>
      <c r="H70" s="3257" t="str">
        <f>IF('F-LSCD-007'!F24="Hp(10)",TEXT('F-LSCD-008'!G26,"#0,0")&amp;" ± "&amp;TEXT('Incert. Irrad. Dosímetros pers'!$O$34*'F-LSCD-008'!G26,"#0,0"),"-")</f>
        <v>30 ± 01</v>
      </c>
      <c r="I70" s="3258"/>
      <c r="J70" s="3258"/>
      <c r="K70" s="3259"/>
      <c r="L70" s="2997" t="str">
        <f>IF('F-LSCD-007'!F24="Hp(0,07)",TEXT('F-LSCD-008'!F26,"#0,0")&amp;" ± "&amp;TEXT('Incert. Irrad. Dosímetros pers'!$O$34*'F-LSCD-008'!F26,"#0,0"),"-")</f>
        <v>-</v>
      </c>
      <c r="M70" s="2998"/>
      <c r="N70" s="2998"/>
      <c r="O70" s="2999"/>
      <c r="P70" s="2997" t="str">
        <f>IF('F-LSCD-007'!F24="D(10)",TEXT('F-LSCD-008'!H26,"#0,0")&amp;" ± "&amp;TEXT('Incert. Irrad. Dosímetros pers'!$O$34*'F-LSCD-008'!H26,"#0,0"),"-")</f>
        <v>-</v>
      </c>
      <c r="Q70" s="2998"/>
      <c r="R70" s="2998"/>
      <c r="S70" s="2998"/>
      <c r="T70" s="3000"/>
      <c r="U70" s="1836"/>
      <c r="V70" s="167"/>
    </row>
    <row r="71" spans="1:22" ht="12.75" customHeight="1" x14ac:dyDescent="0.2">
      <c r="A71" s="165"/>
      <c r="B71" s="168"/>
      <c r="C71" s="1488">
        <f>'F-LSCD-008'!B27</f>
        <v>905153</v>
      </c>
      <c r="D71" s="3014" t="str">
        <f>'F-LSCD-008'!C27</f>
        <v>S-Cs (ISO 4037-3)</v>
      </c>
      <c r="E71" s="3014"/>
      <c r="F71" s="3015"/>
      <c r="G71" s="1591" t="str">
        <f>'F-LSCD-008'!D27</f>
        <v>0°</v>
      </c>
      <c r="H71" s="3257" t="str">
        <f>IF('F-LSCD-007'!F25="Hp(10)",TEXT('F-LSCD-008'!G27,"#0,0")&amp;" ± "&amp;TEXT('Incert. Irrad. Dosímetros pers'!$O$34*'F-LSCD-008'!G27,"#0,0"),"-")</f>
        <v>30 ± 01</v>
      </c>
      <c r="I71" s="3258"/>
      <c r="J71" s="3258"/>
      <c r="K71" s="3259"/>
      <c r="L71" s="2997" t="str">
        <f>IF('F-LSCD-007'!F25="Hp(0,07)",TEXT('F-LSCD-008'!F27,"#0,0")&amp;" ± "&amp;TEXT('Incert. Irrad. Dosímetros pers'!$O$34*'F-LSCD-008'!F27,"#0,0"),"-")</f>
        <v>-</v>
      </c>
      <c r="M71" s="2998"/>
      <c r="N71" s="2998"/>
      <c r="O71" s="2999"/>
      <c r="P71" s="2997" t="str">
        <f>IF('F-LSCD-007'!F25="D(10)",TEXT('F-LSCD-008'!H27,"#0,0")&amp;" ± "&amp;TEXT('Incert. Irrad. Dosímetros pers'!$O$34*'F-LSCD-008'!H27,"#0,0"),"-")</f>
        <v>-</v>
      </c>
      <c r="Q71" s="2998"/>
      <c r="R71" s="2998"/>
      <c r="S71" s="2998"/>
      <c r="T71" s="3000"/>
      <c r="U71" s="1836"/>
      <c r="V71" s="167"/>
    </row>
    <row r="72" spans="1:22" ht="12.75" customHeight="1" x14ac:dyDescent="0.2">
      <c r="A72" s="165"/>
      <c r="B72" s="166"/>
      <c r="C72" s="211">
        <f>'F-LSCD-008'!B28</f>
        <v>3848</v>
      </c>
      <c r="D72" s="2995" t="str">
        <f>'F-LSCD-008'!C28</f>
        <v>S-Cs (ISO 4037-3)</v>
      </c>
      <c r="E72" s="2995"/>
      <c r="F72" s="2996"/>
      <c r="G72" s="1920" t="str">
        <f>'F-LSCD-008'!D28</f>
        <v>0°</v>
      </c>
      <c r="H72" s="3257" t="str">
        <f>IF('F-LSCD-007'!F26="Hp(10)",TEXT('F-LSCD-008'!G28,"#0,0")&amp;" ± "&amp;TEXT('Incert. Irrad. Dosímetros pers'!$O$34*'F-LSCD-008'!G28,"#0,0"),"-")</f>
        <v>-</v>
      </c>
      <c r="I72" s="3258"/>
      <c r="J72" s="3258"/>
      <c r="K72" s="3259"/>
      <c r="L72" s="2997" t="str">
        <f>IF('F-LSCD-007'!F26="Hp(0,07)",TEXT('F-LSCD-008'!F28,"#0,0")&amp;" ± "&amp;TEXT('Incert. Irrad. Dosímetros pers'!$O$34*'F-LSCD-008'!F28,"#0,0"),"-")</f>
        <v>03 ± 00</v>
      </c>
      <c r="M72" s="2998"/>
      <c r="N72" s="2998"/>
      <c r="O72" s="2999"/>
      <c r="P72" s="2997" t="str">
        <f>IF('F-LSCD-007'!F26="D(10)",TEXT('F-LSCD-008'!H28,"#0,0")&amp;" ± "&amp;TEXT('Incert. Irrad. Dosímetros pers'!$O$34*'F-LSCD-008'!H28,"#0,0"),"-")</f>
        <v>-</v>
      </c>
      <c r="Q72" s="2998"/>
      <c r="R72" s="2998"/>
      <c r="S72" s="2998"/>
      <c r="T72" s="3000"/>
      <c r="U72" s="1836"/>
      <c r="V72" s="167"/>
    </row>
    <row r="73" spans="1:22" ht="12.75" customHeight="1" x14ac:dyDescent="0.2">
      <c r="A73" s="165"/>
      <c r="C73" s="211">
        <f>'F-LSCD-008'!B29</f>
        <v>3884</v>
      </c>
      <c r="D73" s="2995" t="str">
        <f>'F-LSCD-008'!C29</f>
        <v>S-Cs (ISO 4037-3)</v>
      </c>
      <c r="E73" s="2995"/>
      <c r="F73" s="2996"/>
      <c r="G73" s="1920" t="str">
        <f>'F-LSCD-008'!D29</f>
        <v>0°</v>
      </c>
      <c r="H73" s="3257" t="str">
        <f>IF('F-LSCD-007'!F27="Hp(10)",TEXT('F-LSCD-008'!G29,"#0,0")&amp;" ± "&amp;TEXT('Incert. Irrad. Dosímetros pers'!$O$34*'F-LSCD-008'!G29,"#0,0"),"-")</f>
        <v>-</v>
      </c>
      <c r="I73" s="3258"/>
      <c r="J73" s="3258"/>
      <c r="K73" s="3259"/>
      <c r="L73" s="2997" t="str">
        <f>IF('F-LSCD-007'!F27="Hp(0,07)",TEXT('F-LSCD-008'!F29,"#0,0")&amp;" ± "&amp;TEXT('Incert. Irrad. Dosímetros pers'!$O$34*'F-LSCD-008'!F29,"#0,0"),"-")</f>
        <v>03 ± 00</v>
      </c>
      <c r="M73" s="2998"/>
      <c r="N73" s="2998"/>
      <c r="O73" s="2999"/>
      <c r="P73" s="2997" t="str">
        <f>IF('F-LSCD-007'!F27="D(10)",TEXT('F-LSCD-008'!H29,"#0,0")&amp;" ± "&amp;TEXT('Incert. Irrad. Dosímetros pers'!$O$34*'F-LSCD-008'!H29,"#0,0"),"-")</f>
        <v>-</v>
      </c>
      <c r="Q73" s="2998"/>
      <c r="R73" s="2998"/>
      <c r="S73" s="2998"/>
      <c r="T73" s="3000"/>
      <c r="U73" s="1836"/>
      <c r="V73" s="167"/>
    </row>
    <row r="74" spans="1:22" ht="12.75" customHeight="1" thickBot="1" x14ac:dyDescent="0.25">
      <c r="A74" s="165"/>
      <c r="C74" s="1897">
        <f>'F-LSCD-008'!B30</f>
        <v>9037</v>
      </c>
      <c r="D74" s="3271" t="str">
        <f>'F-LSCD-008'!C30</f>
        <v>S-Cs (ISO 4037-3)</v>
      </c>
      <c r="E74" s="3271"/>
      <c r="F74" s="3272"/>
      <c r="G74" s="1955" t="str">
        <f>'F-LSCD-008'!D30</f>
        <v>0°</v>
      </c>
      <c r="H74" s="3273" t="str">
        <f>IF('F-LSCD-007'!F28="Hp(10)",TEXT('F-LSCD-008'!G30,"#0,0")&amp;" ± "&amp;TEXT('Incert. Irrad. Dosímetros pers'!$O$34*'F-LSCD-008'!G30,"#0,0"),"-")</f>
        <v>-</v>
      </c>
      <c r="I74" s="3274"/>
      <c r="J74" s="3274"/>
      <c r="K74" s="3275"/>
      <c r="L74" s="3018" t="str">
        <f>IF('F-LSCD-007'!F28="Hp(0,07)",TEXT('F-LSCD-008'!F30,"#0,0")&amp;" ± "&amp;TEXT('Incert. Irrad. Dosímetros pers'!$O$34*'F-LSCD-008'!F30,"#0,0"),"-")</f>
        <v>03 ± 00</v>
      </c>
      <c r="M74" s="3019"/>
      <c r="N74" s="3019"/>
      <c r="O74" s="3020"/>
      <c r="P74" s="3018" t="str">
        <f>IF('F-LSCD-007'!F28="D(10)",TEXT('F-LSCD-008'!H30,"#0,0")&amp;" ± "&amp;TEXT('Incert. Irrad. Dosímetros pers'!$O$34*'F-LSCD-008'!H30,"#0,0"),"-")</f>
        <v>-</v>
      </c>
      <c r="Q74" s="3019"/>
      <c r="R74" s="3019"/>
      <c r="S74" s="3019"/>
      <c r="T74" s="3021"/>
      <c r="U74" s="1836"/>
      <c r="V74" s="167"/>
    </row>
    <row r="75" spans="1:22" ht="12.75" hidden="1" customHeight="1" x14ac:dyDescent="0.2">
      <c r="A75" s="165"/>
      <c r="B75" s="166"/>
      <c r="C75" s="1488">
        <f>'F-LSCD-008'!B31</f>
        <v>905136</v>
      </c>
      <c r="D75" s="3014" t="str">
        <f>'F-LSCD-008'!C31</f>
        <v>S-Cs (ISO 4037-3)</v>
      </c>
      <c r="E75" s="3014"/>
      <c r="F75" s="3015"/>
      <c r="G75" s="1489" t="str">
        <f>'F-LSCD-008'!D31</f>
        <v>0°</v>
      </c>
      <c r="H75" s="3264" t="str">
        <f>IF('F-LSCD-007'!F29="Hp(10)",TEXT('F-LSCD-008'!G31,"#0,0")&amp;" ± "&amp;TEXT('Incert. Irrad. Dosímetros pers'!$O$34*'F-LSCD-008'!G31,"#0,0"),"-")</f>
        <v>-</v>
      </c>
      <c r="I75" s="3265"/>
      <c r="J75" s="3265"/>
      <c r="K75" s="3266"/>
      <c r="L75" s="3267" t="str">
        <f>IF('F-LSCD-007'!F29="Hp(0,07)",TEXT('F-LSCD-008'!F31,"#0,0")&amp;" ± "&amp;TEXT('Incert. Irrad. Dosímetros pers'!$O$34*'F-LSCD-008'!F31,"#0,0"),"-")</f>
        <v>-</v>
      </c>
      <c r="M75" s="3268"/>
      <c r="N75" s="3268"/>
      <c r="O75" s="3269"/>
      <c r="P75" s="3267" t="str">
        <f>IF('F-LSCD-007'!F29="D(10)",TEXT('F-LSCD-008'!H31,"#0,0")&amp;" ± "&amp;TEXT('Incert. Irrad. Dosímetros pers'!$O$34*'F-LSCD-008'!H31,"#0,0"),"-")</f>
        <v>-</v>
      </c>
      <c r="Q75" s="3268"/>
      <c r="R75" s="3268"/>
      <c r="S75" s="3268"/>
      <c r="T75" s="3270"/>
      <c r="U75" s="1836"/>
      <c r="V75" s="167"/>
    </row>
    <row r="76" spans="1:22" ht="15" hidden="1" customHeight="1" x14ac:dyDescent="0.2">
      <c r="A76" s="165"/>
      <c r="C76" s="1488">
        <f>'F-LSCD-008'!B32</f>
        <v>905390</v>
      </c>
      <c r="D76" s="3263" t="str">
        <f>'F-LSCD-008'!C32</f>
        <v>S-Cs (ISO 4037-3)</v>
      </c>
      <c r="E76" s="3014"/>
      <c r="F76" s="3015"/>
      <c r="G76" s="1489" t="str">
        <f>'F-LSCD-008'!D32</f>
        <v>0°</v>
      </c>
      <c r="H76" s="3174" t="str">
        <f>IF('F-LSCD-007'!F30="Hp(10)",TEXT('F-LSCD-008'!G32,"#0,0")&amp;" ± "&amp;TEXT('Incert. Irrad. Dosímetros pers'!$O$34*'F-LSCD-008'!G32,"#0,0"),"-")</f>
        <v>-</v>
      </c>
      <c r="I76" s="3175"/>
      <c r="J76" s="3175"/>
      <c r="K76" s="3176"/>
      <c r="L76" s="2997" t="str">
        <f>IF('F-LSCD-007'!F30="Hp(0,07)",TEXT('F-LSCD-008'!F32,"#0,0")&amp;" ± "&amp;TEXT('Incert. Irrad. Dosímetros pers'!$O$34*'F-LSCD-008'!F32,"#0,0"),"-")</f>
        <v>-</v>
      </c>
      <c r="M76" s="2998"/>
      <c r="N76" s="2998"/>
      <c r="O76" s="2999"/>
      <c r="P76" s="2997" t="str">
        <f>IF('F-LSCD-007'!F30="D(10)",TEXT('F-LSCD-008'!H32,"#0,0")&amp;" ± "&amp;TEXT('Incert. Irrad. Dosímetros pers'!$O$34*'F-LSCD-008'!H32,"#0,0"),"-")</f>
        <v>-</v>
      </c>
      <c r="Q76" s="2998"/>
      <c r="R76" s="2998"/>
      <c r="S76" s="2998"/>
      <c r="T76" s="3000"/>
      <c r="U76" s="1836"/>
      <c r="V76" s="167"/>
    </row>
    <row r="77" spans="1:22" ht="15" hidden="1" customHeight="1" x14ac:dyDescent="0.2">
      <c r="A77" s="165"/>
      <c r="C77" s="211">
        <f>'F-LSCD-008'!B44</f>
        <v>905100</v>
      </c>
      <c r="D77" s="3276" t="str">
        <f>'F-LSCD-008'!C44</f>
        <v>S-Cs (ISO 4037-3)</v>
      </c>
      <c r="E77" s="2995"/>
      <c r="F77" s="2996"/>
      <c r="G77" s="192" t="str">
        <f>'F-LSCD-008'!D44</f>
        <v>0°</v>
      </c>
      <c r="H77" s="3035" t="str">
        <f>IF('F-LSCD-007'!F31="Hp(10)",TEXT('F-LSCD-008'!#REF!,"#0,0")&amp;" ± "&amp;TEXT('Incert. Irrad. Dosímetros pers'!$O$34*'F-LSCD-008'!#REF!,"#0,0"),"-")</f>
        <v>-</v>
      </c>
      <c r="I77" s="3036"/>
      <c r="J77" s="3036"/>
      <c r="K77" s="3178"/>
      <c r="L77" s="2997" t="str">
        <f>IF('F-LSCD-007'!F31="Hp(0,07)",TEXT('F-LSCD-008'!F33,"#0,0")&amp;" ± "&amp;TEXT('Incert. Irrad. Dosímetros pers'!$O$34*'F-LSCD-008'!F33,"#0,0"),"-")</f>
        <v>-</v>
      </c>
      <c r="M77" s="2998"/>
      <c r="N77" s="2998"/>
      <c r="O77" s="2999"/>
      <c r="P77" s="2997" t="str">
        <f>IF('F-LSCD-007'!F31="D(10)",TEXT('F-LSCD-008'!H33,"#0,0")&amp;" ± "&amp;TEXT('Incert. Irrad. Dosímetros pers'!$O$34*'F-LSCD-008'!H33,"#0,0"),"-")</f>
        <v>-</v>
      </c>
      <c r="Q77" s="2998"/>
      <c r="R77" s="2998"/>
      <c r="S77" s="2998"/>
      <c r="T77" s="3000"/>
      <c r="U77" s="1836"/>
      <c r="V77" s="167"/>
    </row>
    <row r="78" spans="1:22" ht="12.75" hidden="1" customHeight="1" x14ac:dyDescent="0.2">
      <c r="A78" s="165"/>
      <c r="C78" s="211">
        <f>'F-LSCD-008'!B45</f>
        <v>905350</v>
      </c>
      <c r="D78" s="3276" t="str">
        <f>'F-LSCD-008'!C45</f>
        <v>S-Cs (ISO 4037-3)</v>
      </c>
      <c r="E78" s="2995"/>
      <c r="F78" s="2996"/>
      <c r="G78" s="192" t="str">
        <f>'F-LSCD-008'!D45</f>
        <v>0°</v>
      </c>
      <c r="H78" s="3035" t="str">
        <f>IF('F-LSCD-007'!F32="Hp(10)",TEXT('F-LSCD-008'!#REF!,"#0,0")&amp;" ± "&amp;TEXT('Incert. Irrad. Dosímetros pers'!$O$34*'F-LSCD-008'!#REF!,"#0,0"),"-")</f>
        <v>-</v>
      </c>
      <c r="I78" s="3036"/>
      <c r="J78" s="3036"/>
      <c r="K78" s="3178"/>
      <c r="L78" s="2997" t="str">
        <f>IF('F-LSCD-007'!F32="Hp(0,07)",TEXT('F-LSCD-008'!F34,"#0,0")&amp;" ± "&amp;TEXT('Incert. Irrad. Dosímetros pers'!$O$34*'F-LSCD-008'!F34,"#0,0"),"-")</f>
        <v>-</v>
      </c>
      <c r="M78" s="2998"/>
      <c r="N78" s="2998"/>
      <c r="O78" s="2999"/>
      <c r="P78" s="2997" t="str">
        <f>IF('F-LSCD-007'!F32="D(10)",TEXT('F-LSCD-008'!H34,"#0,0")&amp;" ± "&amp;TEXT('Incert. Irrad. Dosímetros pers'!$O$34*'F-LSCD-008'!H34,"#0,0"),"-")</f>
        <v>-</v>
      </c>
      <c r="Q78" s="2998"/>
      <c r="R78" s="2998"/>
      <c r="S78" s="2998"/>
      <c r="T78" s="3000"/>
      <c r="U78" s="1836"/>
      <c r="V78" s="167"/>
    </row>
    <row r="79" spans="1:22" ht="13.5" hidden="1" customHeight="1" x14ac:dyDescent="0.2">
      <c r="A79" s="165"/>
      <c r="C79" s="211">
        <f>'F-LSCD-008'!B46</f>
        <v>905328</v>
      </c>
      <c r="D79" s="3276" t="str">
        <f>'F-LSCD-008'!C46</f>
        <v>S-Cs (ISO 4037-3)</v>
      </c>
      <c r="E79" s="2995"/>
      <c r="F79" s="2996"/>
      <c r="G79" s="192" t="str">
        <f>'F-LSCD-008'!D46</f>
        <v>0°</v>
      </c>
      <c r="H79" s="3035" t="str">
        <f>IF('F-LSCD-007'!F33="Hp(10)",TEXT('F-LSCD-008'!#REF!,"#0,0")&amp;" ± "&amp;TEXT('Incert. Irrad. Dosímetros pers'!$O$34*'F-LSCD-008'!#REF!,"#0,0"),"-")</f>
        <v>-</v>
      </c>
      <c r="I79" s="3036"/>
      <c r="J79" s="3036"/>
      <c r="K79" s="3178"/>
      <c r="L79" s="2997" t="str">
        <f>IF('F-LSCD-007'!F33="Hp(0,07)",TEXT('F-LSCD-008'!F35,"#0,0")&amp;" ± "&amp;TEXT('Incert. Irrad. Dosímetros pers'!$O$34*'F-LSCD-008'!F35,"#0,0"),"-")</f>
        <v>-</v>
      </c>
      <c r="M79" s="2998"/>
      <c r="N79" s="2998"/>
      <c r="O79" s="2999"/>
      <c r="P79" s="2997" t="str">
        <f>IF('F-LSCD-007'!F33="D(10)",TEXT('F-LSCD-008'!H35,"#0,0")&amp;" ± "&amp;TEXT('Incert. Irrad. Dosímetros pers'!$O$34*'F-LSCD-008'!H35,"#0,0"),"-")</f>
        <v>-</v>
      </c>
      <c r="Q79" s="2998"/>
      <c r="R79" s="2998"/>
      <c r="S79" s="2998"/>
      <c r="T79" s="3000"/>
      <c r="U79" s="1836"/>
      <c r="V79" s="167"/>
    </row>
    <row r="80" spans="1:22" ht="13.5" hidden="1" customHeight="1" x14ac:dyDescent="0.2">
      <c r="A80" s="165"/>
      <c r="C80" s="211">
        <f>'F-LSCD-008'!B47</f>
        <v>904779</v>
      </c>
      <c r="D80" s="3276" t="str">
        <f>'F-LSCD-008'!C47</f>
        <v>S-Cs (ISO 4037-3)</v>
      </c>
      <c r="E80" s="2995"/>
      <c r="F80" s="2996"/>
      <c r="G80" s="192" t="str">
        <f>'F-LSCD-008'!D47</f>
        <v>0°</v>
      </c>
      <c r="H80" s="3035" t="str">
        <f>IF('F-LSCD-007'!F34="Hp(10)",TEXT('F-LSCD-008'!#REF!,"#0,0")&amp;" ± "&amp;TEXT('Incert. Irrad. Dosímetros pers'!$O$34*'F-LSCD-008'!#REF!,"#0,0"),"-")</f>
        <v>-</v>
      </c>
      <c r="I80" s="3036"/>
      <c r="J80" s="3036"/>
      <c r="K80" s="3178"/>
      <c r="L80" s="2997" t="str">
        <f>IF('F-LSCD-007'!F34="Hp(0,07)",TEXT('F-LSCD-008'!F36,"#0,0")&amp;" ± "&amp;TEXT('Incert. Irrad. Dosímetros pers'!$O$34*'F-LSCD-008'!F36,"#0,0"),"-")</f>
        <v>-</v>
      </c>
      <c r="M80" s="2998"/>
      <c r="N80" s="2998"/>
      <c r="O80" s="2999"/>
      <c r="P80" s="2997" t="str">
        <f>IF('F-LSCD-007'!F34="D(10)",TEXT('F-LSCD-008'!H36,"#0,0")&amp;" ± "&amp;TEXT('Incert. Irrad. Dosímetros pers'!$O$34*'F-LSCD-008'!H36,"#0,0"),"-")</f>
        <v>-</v>
      </c>
      <c r="Q80" s="2998"/>
      <c r="R80" s="2998"/>
      <c r="S80" s="2998"/>
      <c r="T80" s="3000"/>
      <c r="U80" s="1836"/>
      <c r="V80" s="167"/>
    </row>
    <row r="81" spans="1:22" ht="12.75" hidden="1" customHeight="1" thickBot="1" x14ac:dyDescent="0.25">
      <c r="A81" s="165"/>
      <c r="C81" s="1897">
        <f>'F-LSCD-008'!B48</f>
        <v>95005</v>
      </c>
      <c r="D81" s="3277" t="str">
        <f>'F-LSCD-008'!C48</f>
        <v>S-Cs (ISO 4037-3)</v>
      </c>
      <c r="E81" s="3016"/>
      <c r="F81" s="3017"/>
      <c r="G81" s="194" t="str">
        <f>'F-LSCD-008'!D48</f>
        <v>0°</v>
      </c>
      <c r="H81" s="3278" t="str">
        <f>IF('F-LSCD-007'!F35="Hp(10)",TEXT('F-LSCD-008'!#REF!,"#0,0")&amp;" ± "&amp;TEXT('Incert. Irrad. Dosímetros pers'!$O$34*'F-LSCD-008'!#REF!,"#0,0"),"-")</f>
        <v>-</v>
      </c>
      <c r="I81" s="3279"/>
      <c r="J81" s="3279"/>
      <c r="K81" s="3280"/>
      <c r="L81" s="3018" t="str">
        <f>IF('F-LSCD-007'!F35="Hp(0,07)",TEXT('F-LSCD-008'!F37,"#0,0")&amp;" ± "&amp;TEXT('Incert. Irrad. Dosímetros pers'!$O$34*'F-LSCD-008'!F37,"#0,0"),"-")</f>
        <v>-</v>
      </c>
      <c r="M81" s="3019"/>
      <c r="N81" s="3019"/>
      <c r="O81" s="3020"/>
      <c r="P81" s="3018" t="str">
        <f>IF('F-LSCD-007'!F35="D(10)",TEXT('F-LSCD-008'!H37,"#0,0")&amp;" ± "&amp;TEXT('Incert. Irrad. Dosímetros pers'!$O$34*'F-LSCD-008'!H37,"#0,0"),"-")</f>
        <v>-</v>
      </c>
      <c r="Q81" s="3019"/>
      <c r="R81" s="3019"/>
      <c r="S81" s="3019"/>
      <c r="T81" s="3021"/>
      <c r="U81" s="1836"/>
      <c r="V81" s="167"/>
    </row>
    <row r="82" spans="1:22" ht="12.75" customHeight="1" x14ac:dyDescent="0.2">
      <c r="A82" s="165"/>
      <c r="C82" s="1951" t="s">
        <v>1280</v>
      </c>
      <c r="U82" s="1836"/>
      <c r="V82" s="167"/>
    </row>
    <row r="83" spans="1:22" ht="12.75" customHeight="1" x14ac:dyDescent="0.2">
      <c r="A83" s="165"/>
      <c r="B83" s="168"/>
      <c r="C83" s="1839"/>
      <c r="U83" s="1836"/>
      <c r="V83" s="167"/>
    </row>
    <row r="84" spans="1:22" ht="12.75" customHeight="1" x14ac:dyDescent="0.2">
      <c r="A84" s="165"/>
      <c r="B84" s="166"/>
      <c r="U84" s="1836"/>
      <c r="V84" s="167"/>
    </row>
    <row r="85" spans="1:22" ht="12.75" customHeight="1" x14ac:dyDescent="0.2">
      <c r="A85" s="165"/>
      <c r="U85" s="1836"/>
      <c r="V85" s="167"/>
    </row>
    <row r="86" spans="1:22" ht="12.75" customHeight="1" x14ac:dyDescent="0.2">
      <c r="A86" s="165"/>
      <c r="U86" s="1836"/>
      <c r="V86" s="167"/>
    </row>
    <row r="87" spans="1:22" ht="12.75" customHeight="1" x14ac:dyDescent="0.2">
      <c r="A87" s="165"/>
      <c r="U87" s="1836"/>
      <c r="V87" s="167"/>
    </row>
    <row r="88" spans="1:22" ht="12.75" customHeight="1" x14ac:dyDescent="0.2">
      <c r="A88" s="165"/>
      <c r="B88" s="166"/>
      <c r="U88" s="1836"/>
      <c r="V88" s="167"/>
    </row>
    <row r="89" spans="1:22" ht="12.75" customHeight="1" x14ac:dyDescent="0.2">
      <c r="A89" s="165"/>
      <c r="B89" s="166"/>
      <c r="C89" s="166"/>
      <c r="D89" s="166"/>
      <c r="E89" s="166"/>
      <c r="F89" s="166"/>
      <c r="G89" s="200"/>
      <c r="H89" s="200"/>
      <c r="I89" s="200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836"/>
      <c r="V89" s="167"/>
    </row>
    <row r="90" spans="1:22" ht="12.75" customHeight="1" x14ac:dyDescent="0.2">
      <c r="A90" s="165"/>
      <c r="B90" s="166"/>
      <c r="C90" s="175"/>
      <c r="D90" s="175"/>
      <c r="E90" s="175"/>
      <c r="F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836"/>
      <c r="V90" s="167"/>
    </row>
    <row r="91" spans="1:22" ht="12.75" customHeight="1" x14ac:dyDescent="0.2">
      <c r="A91" s="165"/>
      <c r="C91" s="175"/>
      <c r="D91" s="175"/>
      <c r="E91" s="175"/>
      <c r="F91" s="175"/>
      <c r="G91" s="1407"/>
      <c r="H91" s="1407"/>
      <c r="I91" s="1407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836"/>
      <c r="V91" s="167"/>
    </row>
    <row r="92" spans="1:22" ht="13.5" customHeight="1" thickBot="1" x14ac:dyDescent="0.25">
      <c r="A92" s="195"/>
      <c r="B92" s="196"/>
      <c r="C92" s="1878" t="s">
        <v>1245</v>
      </c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7"/>
    </row>
    <row r="93" spans="1:22" ht="13.5" thickTop="1" x14ac:dyDescent="0.2">
      <c r="A93" s="3022" t="s">
        <v>236</v>
      </c>
      <c r="B93" s="3023"/>
      <c r="C93" s="3023"/>
      <c r="D93" s="3023"/>
      <c r="E93" s="3023"/>
      <c r="F93" s="3023"/>
      <c r="G93" s="3023"/>
      <c r="H93" s="3023"/>
      <c r="I93" s="3023"/>
      <c r="J93" s="3023"/>
      <c r="K93" s="3023"/>
      <c r="L93" s="3023"/>
      <c r="M93" s="3023"/>
      <c r="N93" s="3023"/>
      <c r="O93" s="3023"/>
      <c r="P93" s="3023"/>
      <c r="Q93" s="3023"/>
      <c r="R93" s="3023"/>
      <c r="S93" s="3023"/>
      <c r="T93" s="3023"/>
      <c r="U93" s="3023"/>
      <c r="V93" s="3024"/>
    </row>
    <row r="94" spans="1:22" ht="13.5" thickBot="1" x14ac:dyDescent="0.25">
      <c r="A94" s="3025" t="s">
        <v>279</v>
      </c>
      <c r="B94" s="3026"/>
      <c r="C94" s="3026"/>
      <c r="D94" s="3026"/>
      <c r="E94" s="3026"/>
      <c r="F94" s="3026"/>
      <c r="G94" s="3026"/>
      <c r="H94" s="3026"/>
      <c r="I94" s="3026"/>
      <c r="J94" s="3026"/>
      <c r="K94" s="3026"/>
      <c r="L94" s="3026"/>
      <c r="M94" s="3026"/>
      <c r="N94" s="3026"/>
      <c r="O94" s="3026"/>
      <c r="P94" s="3026"/>
      <c r="Q94" s="3026"/>
      <c r="R94" s="3026"/>
      <c r="S94" s="3026"/>
      <c r="T94" s="3026"/>
      <c r="U94" s="3026"/>
      <c r="V94" s="3027"/>
    </row>
    <row r="95" spans="1:22" x14ac:dyDescent="0.2">
      <c r="B95" s="1356" t="s">
        <v>917</v>
      </c>
      <c r="U95" s="1357" t="str">
        <f>U55</f>
        <v>INFORME DE ENSAYO N° 017-2019 ALEPH/GR/LSCD</v>
      </c>
    </row>
  </sheetData>
  <mergeCells count="111">
    <mergeCell ref="P76:T76"/>
    <mergeCell ref="P77:T77"/>
    <mergeCell ref="P78:T78"/>
    <mergeCell ref="P79:T79"/>
    <mergeCell ref="P80:T80"/>
    <mergeCell ref="P81:T81"/>
    <mergeCell ref="D79:F79"/>
    <mergeCell ref="A93:V93"/>
    <mergeCell ref="A94:V94"/>
    <mergeCell ref="D77:F77"/>
    <mergeCell ref="D78:F78"/>
    <mergeCell ref="D80:F80"/>
    <mergeCell ref="D81:F81"/>
    <mergeCell ref="H80:K80"/>
    <mergeCell ref="H81:K81"/>
    <mergeCell ref="H77:K77"/>
    <mergeCell ref="H78:K78"/>
    <mergeCell ref="H79:K79"/>
    <mergeCell ref="L77:O77"/>
    <mergeCell ref="L78:O78"/>
    <mergeCell ref="L79:O79"/>
    <mergeCell ref="L80:O80"/>
    <mergeCell ref="L81:O81"/>
    <mergeCell ref="A56:V57"/>
    <mergeCell ref="D76:F76"/>
    <mergeCell ref="H76:K76"/>
    <mergeCell ref="L76:O76"/>
    <mergeCell ref="D75:F75"/>
    <mergeCell ref="H75:K75"/>
    <mergeCell ref="L75:O75"/>
    <mergeCell ref="P75:T75"/>
    <mergeCell ref="A53:V53"/>
    <mergeCell ref="A54:V54"/>
    <mergeCell ref="D73:F73"/>
    <mergeCell ref="H73:K73"/>
    <mergeCell ref="L73:O73"/>
    <mergeCell ref="P73:T73"/>
    <mergeCell ref="D74:F74"/>
    <mergeCell ref="H74:K74"/>
    <mergeCell ref="L74:O74"/>
    <mergeCell ref="P74:T74"/>
    <mergeCell ref="D71:F71"/>
    <mergeCell ref="H71:K71"/>
    <mergeCell ref="L71:O71"/>
    <mergeCell ref="P71:T71"/>
    <mergeCell ref="D72:F72"/>
    <mergeCell ref="H72:K72"/>
    <mergeCell ref="L72:O72"/>
    <mergeCell ref="P72:T72"/>
    <mergeCell ref="D69:F69"/>
    <mergeCell ref="H69:K69"/>
    <mergeCell ref="L69:O69"/>
    <mergeCell ref="P69:T69"/>
    <mergeCell ref="D70:F70"/>
    <mergeCell ref="H70:K70"/>
    <mergeCell ref="L70:O70"/>
    <mergeCell ref="P70:T70"/>
    <mergeCell ref="D67:F67"/>
    <mergeCell ref="H67:K67"/>
    <mergeCell ref="L67:O67"/>
    <mergeCell ref="P67:T67"/>
    <mergeCell ref="D68:F68"/>
    <mergeCell ref="H68:K68"/>
    <mergeCell ref="L68:O68"/>
    <mergeCell ref="P68:T68"/>
    <mergeCell ref="D65:F65"/>
    <mergeCell ref="H65:K65"/>
    <mergeCell ref="L65:O65"/>
    <mergeCell ref="P65:T65"/>
    <mergeCell ref="D66:F66"/>
    <mergeCell ref="H66:K66"/>
    <mergeCell ref="L66:O66"/>
    <mergeCell ref="P66:T66"/>
    <mergeCell ref="D63:F63"/>
    <mergeCell ref="H63:K63"/>
    <mergeCell ref="L63:O63"/>
    <mergeCell ref="P63:T63"/>
    <mergeCell ref="D64:F64"/>
    <mergeCell ref="H64:K64"/>
    <mergeCell ref="L64:O64"/>
    <mergeCell ref="P64:T64"/>
    <mergeCell ref="D61:F61"/>
    <mergeCell ref="H61:K61"/>
    <mergeCell ref="L61:O61"/>
    <mergeCell ref="P61:T61"/>
    <mergeCell ref="D62:F62"/>
    <mergeCell ref="H62:K62"/>
    <mergeCell ref="L62:O62"/>
    <mergeCell ref="P62:T62"/>
    <mergeCell ref="E34:O34"/>
    <mergeCell ref="E38:I38"/>
    <mergeCell ref="E21:O22"/>
    <mergeCell ref="Q22:U32"/>
    <mergeCell ref="E24:O24"/>
    <mergeCell ref="E29:O29"/>
    <mergeCell ref="E30:O30"/>
    <mergeCell ref="E31:O31"/>
    <mergeCell ref="E32:O32"/>
    <mergeCell ref="E36:I36"/>
    <mergeCell ref="J36:N36"/>
    <mergeCell ref="Q34:U38"/>
    <mergeCell ref="A2:V3"/>
    <mergeCell ref="A4:V4"/>
    <mergeCell ref="A5:V5"/>
    <mergeCell ref="A6:V6"/>
    <mergeCell ref="A7:V7"/>
    <mergeCell ref="Q8:U16"/>
    <mergeCell ref="E12:O12"/>
    <mergeCell ref="E16:O16"/>
    <mergeCell ref="E33:O33"/>
    <mergeCell ref="Q33:U33"/>
  </mergeCells>
  <conditionalFormatting sqref="E29:E35 E37 K37:P51 E40:E51">
    <cfRule type="cellIs" dxfId="58" priority="9" operator="equal">
      <formula>0</formula>
    </cfRule>
  </conditionalFormatting>
  <conditionalFormatting sqref="E28:P28 F8:P10 P29:P31 P36">
    <cfRule type="cellIs" dxfId="57" priority="8" operator="equal">
      <formula>0</formula>
    </cfRule>
  </conditionalFormatting>
  <conditionalFormatting sqref="E28:P28 F8:P10 P29:P31 E29:E35 P36 E37 K37:P51 E40:E51">
    <cfRule type="containsErrors" dxfId="56" priority="7">
      <formula>ISERROR(E8)</formula>
    </cfRule>
  </conditionalFormatting>
  <conditionalFormatting sqref="E8:E10">
    <cfRule type="cellIs" dxfId="55" priority="6" operator="equal">
      <formula>0</formula>
    </cfRule>
  </conditionalFormatting>
  <conditionalFormatting sqref="E8:E10">
    <cfRule type="containsErrors" dxfId="54" priority="5">
      <formula>ISERROR(E8)</formula>
    </cfRule>
  </conditionalFormatting>
  <conditionalFormatting sqref="E38:E39">
    <cfRule type="cellIs" dxfId="53" priority="4" operator="equal">
      <formula>0</formula>
    </cfRule>
  </conditionalFormatting>
  <conditionalFormatting sqref="E38:E39">
    <cfRule type="containsErrors" dxfId="52" priority="3">
      <formula>ISERROR(E38)</formula>
    </cfRule>
  </conditionalFormatting>
  <conditionalFormatting sqref="E36 J36 O36">
    <cfRule type="cellIs" dxfId="51" priority="2" operator="equal">
      <formula>0</formula>
    </cfRule>
  </conditionalFormatting>
  <conditionalFormatting sqref="E36 J36 O36">
    <cfRule type="containsErrors" dxfId="50" priority="1">
      <formula>ISERROR(E36)</formula>
    </cfRule>
  </conditionalFormatting>
  <pageMargins left="0.27559055118110237" right="3.937007874015748E-2" top="0.11458333333333333" bottom="0" header="0.31496062992125984" footer="0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Y95"/>
  <sheetViews>
    <sheetView view="pageLayout" topLeftCell="A2" zoomScaleNormal="100" workbookViewId="0">
      <selection activeCell="A56" sqref="A56:V57"/>
    </sheetView>
  </sheetViews>
  <sheetFormatPr baseColWidth="10" defaultColWidth="11.42578125" defaultRowHeight="12.75" x14ac:dyDescent="0.2"/>
  <cols>
    <col min="1" max="1" width="0.7109375" style="163" customWidth="1"/>
    <col min="2" max="2" width="2.42578125" style="163" customWidth="1"/>
    <col min="3" max="3" width="23.42578125" style="163" customWidth="1"/>
    <col min="4" max="4" width="1.28515625" style="163" customWidth="1"/>
    <col min="5" max="5" width="7.42578125" style="163" customWidth="1"/>
    <col min="6" max="6" width="6.710937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6.28515625" style="163" customWidth="1"/>
    <col min="16" max="16" width="0.7109375" style="163" customWidth="1"/>
    <col min="17" max="18" width="3" style="163" customWidth="1"/>
    <col min="19" max="19" width="2.42578125" style="163" customWidth="1"/>
    <col min="20" max="20" width="4.85546875" style="163" customWidth="1"/>
    <col min="21" max="21" width="5.57031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2969"/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1"/>
    </row>
    <row r="3" spans="1:25" ht="27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4"/>
    </row>
    <row r="4" spans="1:25" ht="16.5" thickTop="1" x14ac:dyDescent="0.25">
      <c r="A4" s="2953" t="str">
        <f>"INFORME DE ENSAYO "&amp;"N° "&amp;'F-LSCD-008'!J14&amp;" ALEPH/GR/LSCD"</f>
        <v>INFORME DE ENSAYO N° 017-2019 ALEPH/GR/LSCD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881" t="s">
        <v>253</v>
      </c>
      <c r="B5" s="2980"/>
      <c r="C5" s="2980"/>
      <c r="D5" s="2980"/>
      <c r="E5" s="2980"/>
      <c r="F5" s="2980"/>
      <c r="G5" s="2980"/>
      <c r="H5" s="2980"/>
      <c r="I5" s="2980"/>
      <c r="J5" s="2980"/>
      <c r="K5" s="2980"/>
      <c r="L5" s="2980"/>
      <c r="M5" s="2980"/>
      <c r="N5" s="2980"/>
      <c r="O5" s="2980"/>
      <c r="P5" s="2980"/>
      <c r="Q5" s="2980"/>
      <c r="R5" s="2980"/>
      <c r="S5" s="2980"/>
      <c r="T5" s="2980"/>
      <c r="U5" s="2980"/>
      <c r="V5" s="2981"/>
    </row>
    <row r="6" spans="1:25" ht="15.75" x14ac:dyDescent="0.2">
      <c r="A6" s="2881" t="s">
        <v>1119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x14ac:dyDescent="0.2">
      <c r="A7" s="2982"/>
      <c r="B7" s="2983"/>
      <c r="C7" s="2983"/>
      <c r="D7" s="2983"/>
      <c r="E7" s="2983"/>
      <c r="F7" s="2983"/>
      <c r="G7" s="2983"/>
      <c r="H7" s="2983"/>
      <c r="I7" s="2983"/>
      <c r="J7" s="2983"/>
      <c r="K7" s="2983"/>
      <c r="L7" s="2983"/>
      <c r="M7" s="2983"/>
      <c r="N7" s="2983"/>
      <c r="O7" s="2983"/>
      <c r="P7" s="2983"/>
      <c r="Q7" s="2983"/>
      <c r="R7" s="2983"/>
      <c r="S7" s="2983"/>
      <c r="T7" s="2983"/>
      <c r="U7" s="2983"/>
      <c r="V7" s="2984"/>
    </row>
    <row r="8" spans="1:25" ht="15" customHeight="1" x14ac:dyDescent="0.2">
      <c r="A8" s="165"/>
      <c r="B8" s="166" t="s">
        <v>1105</v>
      </c>
      <c r="D8" s="166" t="s">
        <v>218</v>
      </c>
      <c r="E8" s="1555" t="str">
        <f>'F-LSCD-008'!H6</f>
        <v>ALEPH GROUP &amp; ASOCIADOS S.A.C.</v>
      </c>
      <c r="Q8" s="2904" t="s">
        <v>862</v>
      </c>
      <c r="R8" s="2905"/>
      <c r="S8" s="2905"/>
      <c r="T8" s="2905"/>
      <c r="U8" s="2905"/>
      <c r="V8" s="167"/>
    </row>
    <row r="9" spans="1:25" ht="12.75" customHeight="1" x14ac:dyDescent="0.2">
      <c r="A9" s="165"/>
      <c r="E9" s="1555" t="str">
        <f>'F-LSCD-008'!C7</f>
        <v>Av. Rafel Escardó, 154</v>
      </c>
      <c r="Q9" s="2904"/>
      <c r="R9" s="2905"/>
      <c r="S9" s="2905"/>
      <c r="T9" s="2905"/>
      <c r="U9" s="2905"/>
      <c r="V9" s="167"/>
      <c r="Y9" s="168"/>
    </row>
    <row r="10" spans="1:25" x14ac:dyDescent="0.2">
      <c r="A10" s="165"/>
      <c r="E10" s="163" t="str">
        <f>'F-LSCD-008'!H7&amp;", "&amp;'F-LSCD-008'!K7&amp;", "&amp;'F-LSCD-008'!O7</f>
        <v>San Miguel, Lima, Lima</v>
      </c>
      <c r="Q10" s="2904"/>
      <c r="R10" s="2905"/>
      <c r="S10" s="2905"/>
      <c r="T10" s="2905"/>
      <c r="U10" s="2905"/>
      <c r="V10" s="167"/>
      <c r="X10" s="169"/>
      <c r="Y10" s="168"/>
    </row>
    <row r="11" spans="1:25" ht="6.75" customHeight="1" x14ac:dyDescent="0.2">
      <c r="A11" s="165"/>
      <c r="Q11" s="2904"/>
      <c r="R11" s="2905"/>
      <c r="S11" s="2905"/>
      <c r="T11" s="2905"/>
      <c r="U11" s="2905"/>
      <c r="V11" s="167"/>
    </row>
    <row r="12" spans="1:25" x14ac:dyDescent="0.2">
      <c r="A12" s="165"/>
      <c r="B12" s="170" t="s">
        <v>1106</v>
      </c>
      <c r="C12" s="171"/>
      <c r="D12" s="170" t="s">
        <v>218</v>
      </c>
      <c r="E12" s="2989" t="str">
        <f>'F-LSCD-008'!C6</f>
        <v>Solicitud N° 017-2019, según F-LD-018</v>
      </c>
      <c r="F12" s="2990"/>
      <c r="G12" s="2990"/>
      <c r="H12" s="2990"/>
      <c r="I12" s="2990"/>
      <c r="J12" s="2990"/>
      <c r="K12" s="2990"/>
      <c r="L12" s="2990"/>
      <c r="M12" s="2990"/>
      <c r="N12" s="2990"/>
      <c r="O12" s="2990"/>
      <c r="P12" s="172"/>
      <c r="Q12" s="2904"/>
      <c r="R12" s="2905"/>
      <c r="S12" s="2905"/>
      <c r="T12" s="2905"/>
      <c r="U12" s="2905"/>
      <c r="V12" s="167"/>
      <c r="W12" s="203"/>
      <c r="Y12" s="168"/>
    </row>
    <row r="13" spans="1:25" ht="6" customHeight="1" x14ac:dyDescent="0.2">
      <c r="A13" s="165"/>
      <c r="Q13" s="2904"/>
      <c r="R13" s="2905"/>
      <c r="S13" s="2905"/>
      <c r="T13" s="2905"/>
      <c r="U13" s="2905"/>
      <c r="V13" s="167"/>
    </row>
    <row r="14" spans="1:25" x14ac:dyDescent="0.2">
      <c r="A14" s="165"/>
      <c r="B14" s="170" t="s">
        <v>1154</v>
      </c>
      <c r="D14" s="175" t="s">
        <v>218</v>
      </c>
      <c r="E14" s="163" t="s">
        <v>1134</v>
      </c>
      <c r="Q14" s="2904"/>
      <c r="R14" s="2905"/>
      <c r="S14" s="2905"/>
      <c r="T14" s="2905"/>
      <c r="U14" s="2905"/>
      <c r="V14" s="167"/>
    </row>
    <row r="15" spans="1:25" ht="6" customHeight="1" x14ac:dyDescent="0.2">
      <c r="A15" s="165"/>
      <c r="Q15" s="2904"/>
      <c r="R15" s="2905"/>
      <c r="S15" s="2905"/>
      <c r="T15" s="2905"/>
      <c r="U15" s="2905"/>
      <c r="V15" s="167"/>
    </row>
    <row r="16" spans="1:25" x14ac:dyDescent="0.2">
      <c r="A16" s="165"/>
      <c r="B16" s="170" t="s">
        <v>1151</v>
      </c>
      <c r="C16" s="990"/>
      <c r="D16" s="170" t="s">
        <v>218</v>
      </c>
      <c r="E16" s="2991" t="str">
        <f>'F-LSCD-008'!C9&amp;", Marca: "&amp;'F-LSCD-008'!H9&amp;", Modelo: "&amp;'F-LSCD-008'!N9</f>
        <v>Dosímetros personales, Marca: Panasonic, Modelo: UD 802-AT</v>
      </c>
      <c r="F16" s="2991"/>
      <c r="G16" s="2991"/>
      <c r="H16" s="2991"/>
      <c r="I16" s="2991"/>
      <c r="J16" s="2991"/>
      <c r="K16" s="2991"/>
      <c r="L16" s="2991"/>
      <c r="M16" s="2991"/>
      <c r="N16" s="2991"/>
      <c r="O16" s="2991"/>
      <c r="P16" s="173"/>
      <c r="Q16" s="2904"/>
      <c r="R16" s="2905"/>
      <c r="S16" s="2905"/>
      <c r="T16" s="2905"/>
      <c r="U16" s="2905"/>
      <c r="V16" s="167"/>
      <c r="Y16" s="168"/>
    </row>
    <row r="17" spans="1:25" ht="6.75" customHeight="1" x14ac:dyDescent="0.2">
      <c r="A17" s="165"/>
      <c r="B17" s="170"/>
      <c r="C17" s="990"/>
      <c r="D17" s="170"/>
      <c r="E17" s="1938"/>
      <c r="F17" s="1938"/>
      <c r="G17" s="1938"/>
      <c r="H17" s="1938"/>
      <c r="I17" s="1938"/>
      <c r="J17" s="1938"/>
      <c r="K17" s="1938"/>
      <c r="L17" s="1938"/>
      <c r="M17" s="1938"/>
      <c r="N17" s="1938"/>
      <c r="O17" s="1938"/>
      <c r="P17" s="173"/>
      <c r="Q17" s="1931"/>
      <c r="R17" s="1932"/>
      <c r="S17" s="1932"/>
      <c r="T17" s="1932"/>
      <c r="U17" s="1932"/>
      <c r="V17" s="167"/>
      <c r="Y17" s="168"/>
    </row>
    <row r="18" spans="1:25" x14ac:dyDescent="0.2">
      <c r="A18" s="165"/>
      <c r="B18" s="170"/>
      <c r="C18" s="1682" t="s">
        <v>1282</v>
      </c>
      <c r="D18" s="170" t="s">
        <v>218</v>
      </c>
      <c r="E18" s="1938">
        <f>'F-LSCD-008'!Q13</f>
        <v>7</v>
      </c>
      <c r="F18" s="1938"/>
      <c r="G18" s="1938"/>
      <c r="H18" s="1938"/>
      <c r="I18" s="1938"/>
      <c r="J18" s="1938"/>
      <c r="K18" s="1938"/>
      <c r="L18" s="1938"/>
      <c r="M18" s="1938"/>
      <c r="N18" s="1938"/>
      <c r="O18" s="1938"/>
      <c r="P18" s="173"/>
      <c r="Q18" s="1931"/>
      <c r="R18" s="1932"/>
      <c r="S18" s="1932"/>
      <c r="T18" s="1932"/>
      <c r="U18" s="1932"/>
      <c r="V18" s="167"/>
      <c r="Y18" s="168"/>
    </row>
    <row r="19" spans="1:25" x14ac:dyDescent="0.2">
      <c r="A19" s="165"/>
      <c r="B19" s="170"/>
      <c r="C19" s="1682" t="s">
        <v>1283</v>
      </c>
      <c r="D19" s="170" t="s">
        <v>218</v>
      </c>
      <c r="E19" s="1938">
        <f>'F-LSCD-008'!M13</f>
        <v>13</v>
      </c>
      <c r="F19" s="1938"/>
      <c r="G19" s="1938"/>
      <c r="H19" s="1938"/>
      <c r="I19" s="1938"/>
      <c r="J19" s="1938"/>
      <c r="K19" s="1938"/>
      <c r="L19" s="1938"/>
      <c r="M19" s="1938"/>
      <c r="N19" s="1938"/>
      <c r="O19" s="1938"/>
      <c r="P19" s="173"/>
      <c r="Q19" s="1931"/>
      <c r="R19" s="1932"/>
      <c r="S19" s="1932"/>
      <c r="T19" s="1932"/>
      <c r="U19" s="1932"/>
      <c r="V19" s="167"/>
      <c r="Y19" s="168"/>
    </row>
    <row r="20" spans="1:25" ht="7.5" customHeight="1" x14ac:dyDescent="0.2">
      <c r="A20" s="165"/>
      <c r="B20" s="166"/>
      <c r="D20" s="166"/>
      <c r="E20" s="1945"/>
      <c r="F20" s="1945"/>
      <c r="G20" s="1945"/>
      <c r="H20" s="1945"/>
      <c r="I20" s="1945"/>
      <c r="J20" s="1945"/>
      <c r="K20" s="1945"/>
      <c r="L20" s="1945"/>
      <c r="M20" s="1945"/>
      <c r="N20" s="1945"/>
      <c r="O20" s="173"/>
      <c r="P20" s="173"/>
      <c r="Q20" s="174"/>
      <c r="R20" s="173"/>
      <c r="S20" s="173"/>
      <c r="T20" s="1933"/>
      <c r="U20" s="1933"/>
      <c r="V20" s="167"/>
      <c r="Y20" s="168"/>
    </row>
    <row r="21" spans="1:25" x14ac:dyDescent="0.2">
      <c r="A21" s="165"/>
      <c r="B21" s="175" t="s">
        <v>1153</v>
      </c>
      <c r="D21" s="175" t="s">
        <v>218</v>
      </c>
      <c r="E21" s="2992" t="str">
        <f>'F-LSCD-008'!C10</f>
        <v xml:space="preserve">Campo de radiación calibrado usando un fantoma, según ISO 4037-3 (2019), aplicado al PROC-LSCD-001 Irradiación controlada de dosímetros personales (versión 05)
</v>
      </c>
      <c r="F21" s="2991"/>
      <c r="G21" s="2991"/>
      <c r="H21" s="2991"/>
      <c r="I21" s="2991"/>
      <c r="J21" s="2991"/>
      <c r="K21" s="2991"/>
      <c r="L21" s="2991"/>
      <c r="M21" s="2991"/>
      <c r="N21" s="2991"/>
      <c r="O21" s="2991"/>
      <c r="P21" s="1938"/>
      <c r="Q21" s="1950"/>
      <c r="R21" s="1938"/>
      <c r="S21" s="1938"/>
      <c r="T21" s="1933"/>
      <c r="U21" s="1933"/>
      <c r="V21" s="167"/>
    </row>
    <row r="22" spans="1:25" ht="27" customHeight="1" x14ac:dyDescent="0.2">
      <c r="A22" s="165"/>
      <c r="E22" s="2991"/>
      <c r="F22" s="2991"/>
      <c r="G22" s="2991"/>
      <c r="H22" s="2991"/>
      <c r="I22" s="2991"/>
      <c r="J22" s="2991"/>
      <c r="K22" s="2991"/>
      <c r="L22" s="2991"/>
      <c r="M22" s="2991"/>
      <c r="N22" s="2991"/>
      <c r="O22" s="2991"/>
      <c r="P22" s="1938"/>
      <c r="Q22" s="2904" t="s">
        <v>1024</v>
      </c>
      <c r="R22" s="2905"/>
      <c r="S22" s="2905"/>
      <c r="T22" s="2905"/>
      <c r="U22" s="2905"/>
      <c r="V22" s="167"/>
    </row>
    <row r="23" spans="1:25" ht="7.5" customHeight="1" x14ac:dyDescent="0.2">
      <c r="A23" s="165"/>
      <c r="E23" s="177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2904"/>
      <c r="R23" s="2905"/>
      <c r="S23" s="2905"/>
      <c r="T23" s="2905"/>
      <c r="U23" s="2905"/>
      <c r="V23" s="167"/>
    </row>
    <row r="24" spans="1:25" ht="41.25" customHeight="1" x14ac:dyDescent="0.2">
      <c r="A24" s="165"/>
      <c r="B24" s="170" t="s">
        <v>1126</v>
      </c>
      <c r="C24" s="990"/>
      <c r="D24" s="1682" t="s">
        <v>218</v>
      </c>
      <c r="E24" s="3172" t="str">
        <f>'F-LSCD-008'!C11</f>
        <v>Cámara de ionización patrón de 1 L , marca: PTW; modelo: TN32002; serie: 000568; Reporte de calibración de Kerma en aire DG: 13580-21 con fecha 2021-04-01 (NIST); trazable al NIST.</v>
      </c>
      <c r="F24" s="3172"/>
      <c r="G24" s="3172"/>
      <c r="H24" s="3172"/>
      <c r="I24" s="3172"/>
      <c r="J24" s="3172"/>
      <c r="K24" s="3172"/>
      <c r="L24" s="3172"/>
      <c r="M24" s="3172"/>
      <c r="N24" s="3172"/>
      <c r="O24" s="3172"/>
      <c r="P24" s="177"/>
      <c r="Q24" s="2904"/>
      <c r="R24" s="2905"/>
      <c r="S24" s="2905"/>
      <c r="T24" s="2905"/>
      <c r="U24" s="2905"/>
      <c r="V24" s="167"/>
    </row>
    <row r="25" spans="1:25" ht="6.75" customHeight="1" x14ac:dyDescent="0.2">
      <c r="A25" s="165"/>
      <c r="B25" s="170"/>
      <c r="C25" s="990"/>
      <c r="D25" s="1682"/>
      <c r="E25" s="1942"/>
      <c r="F25" s="1942"/>
      <c r="G25" s="1942"/>
      <c r="H25" s="1942"/>
      <c r="I25" s="1942"/>
      <c r="J25" s="1942"/>
      <c r="K25" s="1942"/>
      <c r="L25" s="1942"/>
      <c r="M25" s="1942"/>
      <c r="N25" s="1942"/>
      <c r="O25" s="1942"/>
      <c r="P25" s="177"/>
      <c r="Q25" s="2904"/>
      <c r="R25" s="2905"/>
      <c r="S25" s="2905"/>
      <c r="T25" s="2905"/>
      <c r="U25" s="2905"/>
      <c r="V25" s="167"/>
    </row>
    <row r="26" spans="1:25" x14ac:dyDescent="0.2">
      <c r="A26" s="165"/>
      <c r="B26" s="166" t="s">
        <v>1152</v>
      </c>
      <c r="D26" s="166" t="s">
        <v>218</v>
      </c>
      <c r="Q26" s="2904"/>
      <c r="R26" s="2905"/>
      <c r="S26" s="2905"/>
      <c r="T26" s="2905"/>
      <c r="U26" s="2905"/>
      <c r="V26" s="167"/>
      <c r="Y26" s="168"/>
    </row>
    <row r="27" spans="1:25" ht="6.75" customHeight="1" x14ac:dyDescent="0.2">
      <c r="A27" s="165"/>
      <c r="E27" s="1947"/>
      <c r="F27" s="1947"/>
      <c r="G27" s="1947"/>
      <c r="H27" s="1947"/>
      <c r="I27" s="1947"/>
      <c r="J27" s="1947"/>
      <c r="K27" s="1947"/>
      <c r="L27" s="1947"/>
      <c r="M27" s="1947"/>
      <c r="N27" s="1947"/>
      <c r="Q27" s="2904"/>
      <c r="R27" s="2905"/>
      <c r="S27" s="2905"/>
      <c r="T27" s="2905"/>
      <c r="U27" s="2905"/>
      <c r="V27" s="167"/>
    </row>
    <row r="28" spans="1:25" ht="12" customHeight="1" x14ac:dyDescent="0.2">
      <c r="A28" s="165"/>
      <c r="C28" s="170" t="s">
        <v>203</v>
      </c>
      <c r="D28" s="1949" t="s">
        <v>218</v>
      </c>
      <c r="E28" s="180" t="str">
        <f>'F-LSCD-004'!H9</f>
        <v>S-Cs (ISO 4037-3)</v>
      </c>
      <c r="F28" s="180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2904"/>
      <c r="R28" s="2905"/>
      <c r="S28" s="2905"/>
      <c r="T28" s="2905"/>
      <c r="U28" s="2905"/>
      <c r="V28" s="167"/>
    </row>
    <row r="29" spans="1:25" ht="28.5" customHeight="1" x14ac:dyDescent="0.2">
      <c r="A29" s="165"/>
      <c r="C29" s="170" t="s">
        <v>138</v>
      </c>
      <c r="D29" s="1949" t="s">
        <v>218</v>
      </c>
      <c r="E29" s="3171" t="str">
        <f>'F-LSCD-008'!C14</f>
        <v>Dosis equivalente personal, Hp(10) / Dosis equivalente personal, Hp(0,07)</v>
      </c>
      <c r="F29" s="3171"/>
      <c r="G29" s="3171"/>
      <c r="H29" s="3171"/>
      <c r="I29" s="3171"/>
      <c r="J29" s="3171"/>
      <c r="K29" s="3171"/>
      <c r="L29" s="3171"/>
      <c r="M29" s="3171"/>
      <c r="N29" s="3171"/>
      <c r="O29" s="3171"/>
      <c r="P29" s="180"/>
      <c r="Q29" s="2904"/>
      <c r="R29" s="2905"/>
      <c r="S29" s="2905"/>
      <c r="T29" s="2905"/>
      <c r="U29" s="2905"/>
      <c r="V29" s="167"/>
    </row>
    <row r="30" spans="1:25" x14ac:dyDescent="0.2">
      <c r="A30" s="165"/>
      <c r="C30" s="170" t="s">
        <v>1110</v>
      </c>
      <c r="D30" s="1949" t="s">
        <v>218</v>
      </c>
      <c r="E30" s="3173" t="str">
        <f>"Inicio: "&amp;FIXED('F-LSCD-008'!K18,1)&amp;" °C ; "&amp;"Final: "&amp;FIXED('F-LSCD-008'!O18,1)&amp;" °C"</f>
        <v>Inicio: 20.6 °C ; Final: 20.7 °C</v>
      </c>
      <c r="F30" s="3173"/>
      <c r="G30" s="3173"/>
      <c r="H30" s="3173"/>
      <c r="I30" s="3173"/>
      <c r="J30" s="3173"/>
      <c r="K30" s="3173"/>
      <c r="L30" s="3173"/>
      <c r="M30" s="3173"/>
      <c r="N30" s="3173"/>
      <c r="O30" s="3173"/>
      <c r="P30" s="180"/>
      <c r="Q30" s="2904"/>
      <c r="R30" s="2905"/>
      <c r="S30" s="2905"/>
      <c r="T30" s="2905"/>
      <c r="U30" s="2905"/>
      <c r="V30" s="167"/>
    </row>
    <row r="31" spans="1:25" x14ac:dyDescent="0.2">
      <c r="A31" s="165"/>
      <c r="C31" s="170" t="s">
        <v>1108</v>
      </c>
      <c r="D31" s="1949" t="s">
        <v>218</v>
      </c>
      <c r="E31" s="3173" t="str">
        <f>"Inicio: "&amp;FIXED('F-LSCD-008'!L18,1)&amp;" hPa ; "&amp;"Final: "&amp;FIXED('F-LSCD-008'!P18,1)&amp;" hPa"</f>
        <v>Inicio: 1,008.5 hPa ; Final: 1,008.3 hPa</v>
      </c>
      <c r="F31" s="3173"/>
      <c r="G31" s="3173"/>
      <c r="H31" s="3173"/>
      <c r="I31" s="3173"/>
      <c r="J31" s="3173"/>
      <c r="K31" s="3173"/>
      <c r="L31" s="3173"/>
      <c r="M31" s="3173"/>
      <c r="N31" s="3173"/>
      <c r="O31" s="3173"/>
      <c r="P31" s="180"/>
      <c r="Q31" s="2904"/>
      <c r="R31" s="2905"/>
      <c r="S31" s="2905"/>
      <c r="T31" s="2905"/>
      <c r="U31" s="2905"/>
      <c r="V31" s="167"/>
    </row>
    <row r="32" spans="1:25" x14ac:dyDescent="0.2">
      <c r="A32" s="165"/>
      <c r="C32" s="181" t="s">
        <v>1109</v>
      </c>
      <c r="D32" s="1949" t="s">
        <v>218</v>
      </c>
      <c r="E32" s="2910" t="str">
        <f>"Inicio: "&amp;'F-LSCD-008'!M18&amp;" % ; "&amp;"Final: "&amp;'F-LSCD-008'!Q18&amp;" %"</f>
        <v>Inicio: 54 % ; Final: 54 %</v>
      </c>
      <c r="F32" s="2910"/>
      <c r="G32" s="2910"/>
      <c r="H32" s="2910"/>
      <c r="I32" s="2910"/>
      <c r="J32" s="2910"/>
      <c r="K32" s="2910"/>
      <c r="L32" s="2910"/>
      <c r="M32" s="2910"/>
      <c r="N32" s="2910"/>
      <c r="O32" s="2910"/>
      <c r="P32" s="1934"/>
      <c r="Q32" s="2904"/>
      <c r="R32" s="2905"/>
      <c r="S32" s="2905"/>
      <c r="T32" s="2905"/>
      <c r="U32" s="2905"/>
      <c r="V32" s="167"/>
    </row>
    <row r="33" spans="1:22" ht="90.75" customHeight="1" x14ac:dyDescent="0.2">
      <c r="A33" s="165"/>
      <c r="C33" s="182" t="s">
        <v>229</v>
      </c>
      <c r="D33" s="1949" t="s">
        <v>218</v>
      </c>
      <c r="E33" s="2985" t="str">
        <f>'F-LSCD-008'!C12</f>
        <v>Para Hp(10): Irradiación sobre la superficie del fantoma "ISO water slab phantom" (30 cm x 30 cm x 15 cm), con su eje longitudinal paralelo al eje central del haz de radiación / Para Hp(0,07): Irradiación sobre la superficie del fantoma "ISO rod phantom" (cilindro de 19 mm de diámetro y 300 mm de longitud), con su eje longitudinal perpendicular al eje central del haz de radiación.</v>
      </c>
      <c r="F33" s="2985"/>
      <c r="G33" s="2985"/>
      <c r="H33" s="2985"/>
      <c r="I33" s="2985"/>
      <c r="J33" s="2985"/>
      <c r="K33" s="2985"/>
      <c r="L33" s="2985"/>
      <c r="M33" s="2985"/>
      <c r="N33" s="2985"/>
      <c r="O33" s="2985"/>
      <c r="P33" s="1935"/>
      <c r="Q33" s="2906" t="s">
        <v>230</v>
      </c>
      <c r="R33" s="2907"/>
      <c r="S33" s="2907"/>
      <c r="T33" s="2907"/>
      <c r="U33" s="2907"/>
      <c r="V33" s="167"/>
    </row>
    <row r="34" spans="1:22" ht="27.75" customHeight="1" x14ac:dyDescent="0.2">
      <c r="A34" s="165"/>
      <c r="C34" s="182" t="s">
        <v>231</v>
      </c>
      <c r="D34" s="1949" t="s">
        <v>218</v>
      </c>
      <c r="E34" s="2986" t="str">
        <f>'F-LSCD-008'!C13</f>
        <v>Punto medio de la superfice anterior y punto medio del espesor del dosímetro</v>
      </c>
      <c r="F34" s="2986"/>
      <c r="G34" s="2986"/>
      <c r="H34" s="2986"/>
      <c r="I34" s="2986"/>
      <c r="J34" s="2986"/>
      <c r="K34" s="2986"/>
      <c r="L34" s="2986"/>
      <c r="M34" s="2986"/>
      <c r="N34" s="2986"/>
      <c r="O34" s="2986"/>
      <c r="P34" s="1936"/>
      <c r="Q34" s="2949" t="s">
        <v>1240</v>
      </c>
      <c r="R34" s="3123"/>
      <c r="S34" s="3123"/>
      <c r="T34" s="3123"/>
      <c r="U34" s="3123"/>
      <c r="V34" s="167"/>
    </row>
    <row r="35" spans="1:22" ht="6" customHeight="1" x14ac:dyDescent="0.2">
      <c r="A35" s="165"/>
      <c r="C35" s="182"/>
      <c r="D35" s="1949"/>
      <c r="E35" s="1936"/>
      <c r="F35" s="1936"/>
      <c r="G35" s="1936"/>
      <c r="H35" s="1936"/>
      <c r="I35" s="1936"/>
      <c r="J35" s="1936"/>
      <c r="K35" s="1936"/>
      <c r="L35" s="1936"/>
      <c r="M35" s="1936"/>
      <c r="N35" s="1936"/>
      <c r="O35" s="1936"/>
      <c r="P35" s="1936"/>
      <c r="Q35" s="2949"/>
      <c r="R35" s="3123"/>
      <c r="S35" s="3123"/>
      <c r="T35" s="3123"/>
      <c r="U35" s="3123"/>
      <c r="V35" s="167"/>
    </row>
    <row r="36" spans="1:22" ht="12.75" customHeight="1" x14ac:dyDescent="0.2">
      <c r="A36" s="165"/>
      <c r="B36" s="175" t="s">
        <v>1156</v>
      </c>
      <c r="C36" s="182"/>
      <c r="D36" s="1949" t="s">
        <v>218</v>
      </c>
      <c r="E36" s="3170">
        <f>'F-LSCD-008'!L8</f>
        <v>43802</v>
      </c>
      <c r="F36" s="3170"/>
      <c r="G36" s="3170"/>
      <c r="H36" s="3170"/>
      <c r="I36" s="3170"/>
      <c r="J36" s="3170"/>
      <c r="K36" s="3170"/>
      <c r="L36" s="3170"/>
      <c r="M36" s="3170"/>
      <c r="N36" s="3170"/>
      <c r="O36" s="1941"/>
      <c r="P36" s="180"/>
      <c r="Q36" s="2949"/>
      <c r="R36" s="3123"/>
      <c r="S36" s="3123"/>
      <c r="T36" s="3123"/>
      <c r="U36" s="3123"/>
      <c r="V36" s="167"/>
    </row>
    <row r="37" spans="1:22" ht="6.75" customHeight="1" x14ac:dyDescent="0.2">
      <c r="A37" s="165"/>
      <c r="C37" s="182"/>
      <c r="D37" s="1949"/>
      <c r="E37" s="1937"/>
      <c r="F37" s="1937"/>
      <c r="G37" s="183"/>
      <c r="H37" s="183"/>
      <c r="I37" s="183"/>
      <c r="J37" s="183"/>
      <c r="K37" s="180"/>
      <c r="L37" s="180"/>
      <c r="M37" s="180"/>
      <c r="N37" s="180"/>
      <c r="O37" s="180"/>
      <c r="P37" s="180"/>
      <c r="Q37" s="2949"/>
      <c r="R37" s="3123"/>
      <c r="S37" s="3123"/>
      <c r="T37" s="3123"/>
      <c r="U37" s="3123"/>
      <c r="V37" s="167"/>
    </row>
    <row r="38" spans="1:22" x14ac:dyDescent="0.2">
      <c r="A38" s="165"/>
      <c r="B38" s="175" t="s">
        <v>1129</v>
      </c>
      <c r="C38" s="170"/>
      <c r="D38" s="1949" t="s">
        <v>218</v>
      </c>
      <c r="E38" s="3170">
        <f>'F-LSCD-008'!N14</f>
        <v>43802</v>
      </c>
      <c r="F38" s="3170"/>
      <c r="G38" s="3170"/>
      <c r="H38" s="3170"/>
      <c r="I38" s="3170"/>
      <c r="J38" s="1946"/>
      <c r="K38" s="184"/>
      <c r="L38" s="184"/>
      <c r="M38" s="184"/>
      <c r="N38" s="184"/>
      <c r="O38" s="184"/>
      <c r="P38" s="184"/>
      <c r="Q38" s="2949"/>
      <c r="R38" s="3123"/>
      <c r="S38" s="3123"/>
      <c r="T38" s="3123"/>
      <c r="U38" s="3123"/>
      <c r="V38" s="167"/>
    </row>
    <row r="39" spans="1:22" ht="6.75" customHeight="1" x14ac:dyDescent="0.2">
      <c r="A39" s="165"/>
      <c r="B39" s="175"/>
      <c r="C39" s="170"/>
      <c r="D39" s="1949"/>
      <c r="E39" s="1941"/>
      <c r="F39" s="1941"/>
      <c r="G39" s="1941"/>
      <c r="H39" s="1941"/>
      <c r="I39" s="1941"/>
      <c r="J39" s="1946"/>
      <c r="K39" s="184"/>
      <c r="L39" s="184"/>
      <c r="M39" s="184"/>
      <c r="N39" s="184"/>
      <c r="O39" s="184"/>
      <c r="P39" s="184"/>
      <c r="Q39" s="1953"/>
      <c r="R39" s="1952"/>
      <c r="S39" s="1952"/>
      <c r="T39" s="1952"/>
      <c r="U39" s="1952"/>
      <c r="V39" s="167"/>
    </row>
    <row r="40" spans="1:22" x14ac:dyDescent="0.2">
      <c r="A40" s="165"/>
      <c r="B40" s="166" t="s">
        <v>1281</v>
      </c>
      <c r="C40" s="170"/>
      <c r="D40" s="1949"/>
      <c r="E40" s="1939"/>
      <c r="F40" s="1939"/>
      <c r="G40" s="1939"/>
      <c r="H40" s="1939"/>
      <c r="I40" s="1939"/>
      <c r="J40" s="1939"/>
      <c r="K40" s="180"/>
      <c r="L40" s="180"/>
      <c r="M40" s="180"/>
      <c r="N40" s="180"/>
      <c r="O40" s="180"/>
      <c r="P40" s="180"/>
      <c r="Q40" s="1953"/>
      <c r="R40" s="1952"/>
      <c r="S40" s="1952"/>
      <c r="T40" s="1952"/>
      <c r="U40" s="1952"/>
      <c r="V40" s="167"/>
    </row>
    <row r="41" spans="1:22" ht="13.5" thickBot="1" x14ac:dyDescent="0.25">
      <c r="A41" s="165"/>
      <c r="C41" s="170"/>
      <c r="D41" s="1949"/>
      <c r="E41" s="1939"/>
      <c r="F41" s="1939"/>
      <c r="G41" s="1939"/>
      <c r="H41" s="1939"/>
      <c r="I41" s="1939"/>
      <c r="J41" s="1939"/>
      <c r="K41" s="180"/>
      <c r="L41" s="180"/>
      <c r="M41" s="180"/>
      <c r="N41" s="180"/>
      <c r="O41" s="180"/>
      <c r="P41" s="180"/>
      <c r="Q41" s="1953"/>
      <c r="R41" s="1952"/>
      <c r="S41" s="1952"/>
      <c r="T41" s="1952"/>
      <c r="U41" s="1952"/>
      <c r="V41" s="167"/>
    </row>
    <row r="42" spans="1:22" ht="13.5" thickBot="1" x14ac:dyDescent="0.25">
      <c r="A42" s="165"/>
      <c r="C42" s="198" t="s">
        <v>183</v>
      </c>
      <c r="D42" s="1949"/>
      <c r="E42" s="1939"/>
      <c r="F42" s="1939"/>
      <c r="G42" s="1939"/>
      <c r="H42" s="1939"/>
      <c r="I42" s="1939"/>
      <c r="J42" s="1939"/>
      <c r="K42" s="180"/>
      <c r="L42" s="180"/>
      <c r="M42" s="180"/>
      <c r="N42" s="180"/>
      <c r="O42" s="180"/>
      <c r="P42" s="180"/>
      <c r="Q42" s="1953"/>
      <c r="R42" s="1952"/>
      <c r="S42" s="1952"/>
      <c r="T42" s="1952"/>
      <c r="U42" s="1952"/>
      <c r="V42" s="167"/>
    </row>
    <row r="43" spans="1:22" x14ac:dyDescent="0.2">
      <c r="A43" s="165"/>
      <c r="C43" s="210">
        <f>'F-LSCD-008'!B31</f>
        <v>905136</v>
      </c>
      <c r="D43" s="1949"/>
      <c r="E43" s="1939"/>
      <c r="F43" s="1939"/>
      <c r="G43" s="1939"/>
      <c r="H43" s="1939"/>
      <c r="I43" s="1939"/>
      <c r="J43" s="1939"/>
      <c r="K43" s="180"/>
      <c r="L43" s="180"/>
      <c r="M43" s="180"/>
      <c r="N43" s="180"/>
      <c r="O43" s="180"/>
      <c r="P43" s="180"/>
      <c r="Q43" s="1953"/>
      <c r="R43" s="1952"/>
      <c r="S43" s="1952"/>
      <c r="T43" s="1952"/>
      <c r="U43" s="1952"/>
      <c r="V43" s="167"/>
    </row>
    <row r="44" spans="1:22" x14ac:dyDescent="0.2">
      <c r="A44" s="165"/>
      <c r="C44" s="211">
        <f>'F-LSCD-008'!B32</f>
        <v>905390</v>
      </c>
      <c r="D44" s="1949"/>
      <c r="E44" s="1939"/>
      <c r="F44" s="1939"/>
      <c r="G44" s="1939"/>
      <c r="H44" s="1939"/>
      <c r="I44" s="1939"/>
      <c r="J44" s="1939"/>
      <c r="K44" s="180"/>
      <c r="L44" s="180"/>
      <c r="M44" s="180"/>
      <c r="N44" s="180"/>
      <c r="O44" s="180"/>
      <c r="P44" s="180"/>
      <c r="Q44" s="1953"/>
      <c r="R44" s="1952"/>
      <c r="S44" s="1952"/>
      <c r="T44" s="1952"/>
      <c r="U44" s="1952"/>
      <c r="V44" s="167"/>
    </row>
    <row r="45" spans="1:22" x14ac:dyDescent="0.2">
      <c r="A45" s="165"/>
      <c r="C45" s="211">
        <f>'F-LSCD-008'!B44</f>
        <v>905100</v>
      </c>
      <c r="D45" s="1949"/>
      <c r="E45" s="1939"/>
      <c r="F45" s="1939"/>
      <c r="G45" s="1939"/>
      <c r="H45" s="1939"/>
      <c r="I45" s="1939"/>
      <c r="J45" s="1939"/>
      <c r="K45" s="180"/>
      <c r="L45" s="180"/>
      <c r="M45" s="180"/>
      <c r="N45" s="180"/>
      <c r="O45" s="180"/>
      <c r="P45" s="180"/>
      <c r="Q45" s="1953"/>
      <c r="R45" s="1952"/>
      <c r="S45" s="1952"/>
      <c r="T45" s="1952"/>
      <c r="U45" s="1952"/>
      <c r="V45" s="167"/>
    </row>
    <row r="46" spans="1:22" x14ac:dyDescent="0.2">
      <c r="A46" s="165"/>
      <c r="C46" s="211">
        <f>'F-LSCD-008'!B45</f>
        <v>905350</v>
      </c>
      <c r="D46" s="1949"/>
      <c r="E46" s="1939"/>
      <c r="F46" s="1939"/>
      <c r="G46" s="1939"/>
      <c r="H46" s="1939"/>
      <c r="I46" s="1939"/>
      <c r="J46" s="1939"/>
      <c r="K46" s="180"/>
      <c r="L46" s="180"/>
      <c r="M46" s="180"/>
      <c r="N46" s="180"/>
      <c r="O46" s="180"/>
      <c r="P46" s="180"/>
      <c r="Q46" s="1953"/>
      <c r="R46" s="1952"/>
      <c r="S46" s="1952"/>
      <c r="T46" s="1952"/>
      <c r="U46" s="1952"/>
      <c r="V46" s="167"/>
    </row>
    <row r="47" spans="1:22" x14ac:dyDescent="0.2">
      <c r="A47" s="165"/>
      <c r="C47" s="211">
        <f>'F-LSCD-008'!B46</f>
        <v>905328</v>
      </c>
      <c r="D47" s="1949"/>
      <c r="E47" s="1939"/>
      <c r="F47" s="1939"/>
      <c r="G47" s="1939"/>
      <c r="H47" s="1939"/>
      <c r="I47" s="1939"/>
      <c r="J47" s="1939"/>
      <c r="K47" s="180"/>
      <c r="L47" s="180"/>
      <c r="M47" s="180"/>
      <c r="N47" s="180"/>
      <c r="O47" s="180"/>
      <c r="P47" s="180"/>
      <c r="Q47" s="1953"/>
      <c r="R47" s="1952"/>
      <c r="S47" s="1952"/>
      <c r="T47" s="1952"/>
      <c r="U47" s="1952"/>
      <c r="V47" s="167"/>
    </row>
    <row r="48" spans="1:22" x14ac:dyDescent="0.2">
      <c r="A48" s="165"/>
      <c r="C48" s="211">
        <f>'F-LSCD-008'!B47</f>
        <v>904779</v>
      </c>
      <c r="D48" s="1949"/>
      <c r="E48" s="1939"/>
      <c r="F48" s="1939"/>
      <c r="G48" s="1939"/>
      <c r="H48" s="1939"/>
      <c r="I48" s="1939"/>
      <c r="J48" s="1939"/>
      <c r="K48" s="180"/>
      <c r="L48" s="180"/>
      <c r="M48" s="180"/>
      <c r="N48" s="180"/>
      <c r="O48" s="180"/>
      <c r="P48" s="180"/>
      <c r="Q48" s="1953"/>
      <c r="R48" s="1952"/>
      <c r="S48" s="1952"/>
      <c r="T48" s="1952"/>
      <c r="U48" s="1952"/>
      <c r="V48" s="167"/>
    </row>
    <row r="49" spans="1:22" ht="13.5" thickBot="1" x14ac:dyDescent="0.25">
      <c r="A49" s="165"/>
      <c r="C49" s="212">
        <f>'F-LSCD-008'!B48</f>
        <v>95005</v>
      </c>
      <c r="D49" s="1949"/>
      <c r="E49" s="1939"/>
      <c r="F49" s="1939"/>
      <c r="G49" s="1939"/>
      <c r="H49" s="1939"/>
      <c r="I49" s="1939"/>
      <c r="J49" s="1939"/>
      <c r="K49" s="180"/>
      <c r="L49" s="180"/>
      <c r="M49" s="180"/>
      <c r="N49" s="180"/>
      <c r="O49" s="180"/>
      <c r="P49" s="180"/>
      <c r="Q49" s="1953"/>
      <c r="R49" s="1952"/>
      <c r="S49" s="1952"/>
      <c r="T49" s="1952"/>
      <c r="U49" s="1952"/>
      <c r="V49" s="167"/>
    </row>
    <row r="50" spans="1:22" hidden="1" x14ac:dyDescent="0.2">
      <c r="A50" s="165"/>
      <c r="C50" s="1488" t="str">
        <f>'F-LSCD-008'!B49</f>
        <v>-</v>
      </c>
      <c r="D50" s="1949"/>
      <c r="E50" s="1939"/>
      <c r="F50" s="1939"/>
      <c r="G50" s="1939"/>
      <c r="H50" s="1939"/>
      <c r="I50" s="1939"/>
      <c r="J50" s="1939"/>
      <c r="K50" s="180"/>
      <c r="L50" s="180"/>
      <c r="M50" s="180"/>
      <c r="N50" s="180"/>
      <c r="O50" s="180"/>
      <c r="P50" s="180"/>
      <c r="Q50" s="1953"/>
      <c r="R50" s="1952"/>
      <c r="S50" s="1952"/>
      <c r="T50" s="1952"/>
      <c r="U50" s="1952"/>
      <c r="V50" s="167"/>
    </row>
    <row r="51" spans="1:22" ht="13.5" hidden="1" thickBot="1" x14ac:dyDescent="0.25">
      <c r="A51" s="165"/>
      <c r="C51" s="212" t="str">
        <f>'F-LSCD-008'!B50</f>
        <v>-</v>
      </c>
      <c r="D51" s="1949"/>
      <c r="E51" s="1939"/>
      <c r="F51" s="1939"/>
      <c r="G51" s="1939"/>
      <c r="H51" s="1939"/>
      <c r="I51" s="1939"/>
      <c r="J51" s="1939"/>
      <c r="K51" s="180"/>
      <c r="L51" s="180"/>
      <c r="M51" s="180"/>
      <c r="N51" s="180"/>
      <c r="O51" s="180"/>
      <c r="P51" s="180"/>
      <c r="Q51" s="1953"/>
      <c r="R51" s="1952"/>
      <c r="S51" s="1952"/>
      <c r="T51" s="1952"/>
      <c r="U51" s="1952"/>
      <c r="V51" s="167"/>
    </row>
    <row r="52" spans="1:22" ht="42.75" customHeight="1" thickBot="1" x14ac:dyDescent="0.25">
      <c r="A52" s="195"/>
      <c r="B52" s="1867"/>
      <c r="C52" s="1868"/>
      <c r="D52" s="1869"/>
      <c r="E52" s="1869"/>
      <c r="F52" s="1869"/>
      <c r="G52" s="1869"/>
      <c r="H52" s="1870"/>
      <c r="I52" s="1870"/>
      <c r="J52" s="1870"/>
      <c r="K52" s="1870"/>
      <c r="L52" s="1870"/>
      <c r="M52" s="1870"/>
      <c r="N52" s="1870"/>
      <c r="O52" s="1870"/>
      <c r="P52" s="1870"/>
      <c r="Q52" s="1870"/>
      <c r="R52" s="1870"/>
      <c r="S52" s="1870"/>
      <c r="T52" s="1870"/>
      <c r="U52" s="1940"/>
      <c r="V52" s="197"/>
    </row>
    <row r="53" spans="1:22" ht="13.5" thickTop="1" x14ac:dyDescent="0.2">
      <c r="A53" s="3022" t="s">
        <v>236</v>
      </c>
      <c r="B53" s="3023"/>
      <c r="C53" s="3023"/>
      <c r="D53" s="3023"/>
      <c r="E53" s="3023"/>
      <c r="F53" s="3023"/>
      <c r="G53" s="3023"/>
      <c r="H53" s="3023"/>
      <c r="I53" s="3023"/>
      <c r="J53" s="3023"/>
      <c r="K53" s="3023"/>
      <c r="L53" s="3023"/>
      <c r="M53" s="3023"/>
      <c r="N53" s="3023"/>
      <c r="O53" s="3023"/>
      <c r="P53" s="3023"/>
      <c r="Q53" s="3023"/>
      <c r="R53" s="3023"/>
      <c r="S53" s="3023"/>
      <c r="T53" s="3023"/>
      <c r="U53" s="3023"/>
      <c r="V53" s="3024"/>
    </row>
    <row r="54" spans="1:22" ht="13.5" thickBot="1" x14ac:dyDescent="0.25">
      <c r="A54" s="3025" t="s">
        <v>279</v>
      </c>
      <c r="B54" s="3026"/>
      <c r="C54" s="3026"/>
      <c r="D54" s="3026"/>
      <c r="E54" s="3026"/>
      <c r="F54" s="3026"/>
      <c r="G54" s="3026"/>
      <c r="H54" s="3026"/>
      <c r="I54" s="3026"/>
      <c r="J54" s="3026"/>
      <c r="K54" s="3026"/>
      <c r="L54" s="3026"/>
      <c r="M54" s="3026"/>
      <c r="N54" s="3026"/>
      <c r="O54" s="3026"/>
      <c r="P54" s="3026"/>
      <c r="Q54" s="3026"/>
      <c r="R54" s="3026"/>
      <c r="S54" s="3026"/>
      <c r="T54" s="3026"/>
      <c r="U54" s="3026"/>
      <c r="V54" s="3027"/>
    </row>
    <row r="55" spans="1:22" ht="13.5" thickBot="1" x14ac:dyDescent="0.25">
      <c r="A55" s="1490"/>
      <c r="B55" s="1491" t="s">
        <v>916</v>
      </c>
      <c r="C55" s="1490"/>
      <c r="D55" s="1490"/>
      <c r="E55" s="1490"/>
      <c r="F55" s="1490"/>
      <c r="G55" s="1490"/>
      <c r="H55" s="1490"/>
      <c r="I55" s="1490"/>
      <c r="J55" s="1490"/>
      <c r="K55" s="1490"/>
      <c r="L55" s="1490"/>
      <c r="M55" s="1490"/>
      <c r="N55" s="1490"/>
      <c r="O55" s="1490"/>
      <c r="P55" s="1490"/>
      <c r="Q55" s="1490"/>
      <c r="R55" s="1490"/>
      <c r="S55" s="1490"/>
      <c r="T55" s="1490"/>
      <c r="U55" s="1492" t="str">
        <f>A4</f>
        <v>INFORME DE ENSAYO N° 017-2019 ALEPH/GR/LSCD</v>
      </c>
      <c r="V55" s="1490"/>
    </row>
    <row r="56" spans="1:22" ht="51" customHeight="1" x14ac:dyDescent="0.2">
      <c r="A56" s="2969"/>
      <c r="B56" s="2970"/>
      <c r="C56" s="2970"/>
      <c r="D56" s="2970"/>
      <c r="E56" s="2970"/>
      <c r="F56" s="2970"/>
      <c r="G56" s="2970"/>
      <c r="H56" s="2970"/>
      <c r="I56" s="2970"/>
      <c r="J56" s="2970"/>
      <c r="K56" s="2970"/>
      <c r="L56" s="2970"/>
      <c r="M56" s="2970"/>
      <c r="N56" s="2970"/>
      <c r="O56" s="2970"/>
      <c r="P56" s="2970"/>
      <c r="Q56" s="2970"/>
      <c r="R56" s="2970"/>
      <c r="S56" s="2970"/>
      <c r="T56" s="2970"/>
      <c r="U56" s="2970"/>
      <c r="V56" s="2971"/>
    </row>
    <row r="57" spans="1:22" ht="30" customHeight="1" thickBot="1" x14ac:dyDescent="0.25">
      <c r="A57" s="2972"/>
      <c r="B57" s="2973"/>
      <c r="C57" s="2973"/>
      <c r="D57" s="2973"/>
      <c r="E57" s="2973"/>
      <c r="F57" s="2973"/>
      <c r="G57" s="2973"/>
      <c r="H57" s="2973"/>
      <c r="I57" s="2973"/>
      <c r="J57" s="2973"/>
      <c r="K57" s="2973"/>
      <c r="L57" s="2973"/>
      <c r="M57" s="2973"/>
      <c r="N57" s="2973"/>
      <c r="O57" s="2973"/>
      <c r="P57" s="2973"/>
      <c r="Q57" s="2973"/>
      <c r="R57" s="2973"/>
      <c r="S57" s="2973"/>
      <c r="T57" s="2973"/>
      <c r="U57" s="2973"/>
      <c r="V57" s="2974"/>
    </row>
    <row r="58" spans="1:22" ht="13.5" thickTop="1" x14ac:dyDescent="0.2">
      <c r="A58" s="165"/>
      <c r="V58" s="167"/>
    </row>
    <row r="59" spans="1:22" x14ac:dyDescent="0.2">
      <c r="A59" s="165"/>
      <c r="B59" s="166" t="s">
        <v>1284</v>
      </c>
      <c r="C59" s="166"/>
      <c r="D59" s="186"/>
      <c r="E59" s="186"/>
      <c r="F59" s="166"/>
      <c r="G59" s="166"/>
      <c r="H59" s="166"/>
      <c r="I59" s="166"/>
      <c r="J59" s="166"/>
      <c r="V59" s="167"/>
    </row>
    <row r="60" spans="1:22" ht="5.25" customHeight="1" thickBot="1" x14ac:dyDescent="0.25">
      <c r="A60" s="165"/>
      <c r="D60" s="187"/>
      <c r="E60" s="188"/>
      <c r="V60" s="167"/>
    </row>
    <row r="61" spans="1:22" ht="27" customHeight="1" thickBot="1" x14ac:dyDescent="0.25">
      <c r="A61" s="165"/>
      <c r="C61" s="198" t="s">
        <v>183</v>
      </c>
      <c r="D61" s="3001" t="s">
        <v>235</v>
      </c>
      <c r="E61" s="3002"/>
      <c r="F61" s="3003"/>
      <c r="G61" s="189" t="s">
        <v>204</v>
      </c>
      <c r="H61" s="3004" t="s">
        <v>207</v>
      </c>
      <c r="I61" s="3005"/>
      <c r="J61" s="3005"/>
      <c r="K61" s="3006"/>
      <c r="L61" s="3004" t="s">
        <v>206</v>
      </c>
      <c r="M61" s="3005"/>
      <c r="N61" s="3005"/>
      <c r="O61" s="3006"/>
      <c r="P61" s="3004" t="s">
        <v>208</v>
      </c>
      <c r="Q61" s="3005"/>
      <c r="R61" s="3005"/>
      <c r="S61" s="3005"/>
      <c r="T61" s="3006"/>
      <c r="U61" s="1948"/>
      <c r="V61" s="167"/>
    </row>
    <row r="62" spans="1:22" ht="15" customHeight="1" x14ac:dyDescent="0.2">
      <c r="A62" s="165"/>
      <c r="C62" s="210">
        <f>'F-LSCD-008'!B18</f>
        <v>905395</v>
      </c>
      <c r="D62" s="3007" t="str">
        <f>'F-LSCD-008'!C18</f>
        <v>S-Cs (ISO 4037-3)</v>
      </c>
      <c r="E62" s="3008"/>
      <c r="F62" s="3009"/>
      <c r="G62" s="1921" t="str">
        <f>'F-LSCD-008'!D18</f>
        <v>0°</v>
      </c>
      <c r="H62" s="3260" t="str">
        <f>IF('F-LSCD-007'!F16="Hp(10)",TEXT('F-LSCD-008'!G18,"#0,0")&amp;" ± "&amp;TEXT('Incert. Irrad. Dosímetros pers'!$O$34*'F-LSCD-008'!G18,"#0,0"),"-")</f>
        <v>03 ± 00</v>
      </c>
      <c r="I62" s="3261"/>
      <c r="J62" s="3261"/>
      <c r="K62" s="3262"/>
      <c r="L62" s="3010" t="str">
        <f>IF('F-LSCD-007'!F16="Hp(0,07)",TEXT('F-LSCD-008'!F18,"#0,0")&amp;" ± "&amp;TEXT('Incert. Irrad. Dosímetros pers'!$O$34*'F-LSCD-008'!F18,"#0,0"),"-")</f>
        <v>-</v>
      </c>
      <c r="M62" s="3011"/>
      <c r="N62" s="3011"/>
      <c r="O62" s="3012"/>
      <c r="P62" s="3010" t="str">
        <f>IF('F-LSCD-007'!F16="D(10)",TEXT('F-LSCD-008'!H18,"#0,0")&amp;" ± "&amp;TEXT('Incert. Irrad. Dosímetros pers'!$O$34*'F-LSCD-008'!H18,"#0,0"),"-")</f>
        <v>-</v>
      </c>
      <c r="Q62" s="3011"/>
      <c r="R62" s="3011"/>
      <c r="S62" s="3011"/>
      <c r="T62" s="3013"/>
      <c r="U62" s="1948"/>
      <c r="V62" s="167"/>
    </row>
    <row r="63" spans="1:22" ht="12.75" customHeight="1" x14ac:dyDescent="0.2">
      <c r="A63" s="165"/>
      <c r="C63" s="211">
        <f>'F-LSCD-008'!B19</f>
        <v>905309</v>
      </c>
      <c r="D63" s="2995" t="str">
        <f>'F-LSCD-008'!C19</f>
        <v>S-Cs (ISO 4037-3)</v>
      </c>
      <c r="E63" s="2995"/>
      <c r="F63" s="2996"/>
      <c r="G63" s="1944" t="str">
        <f>'F-LSCD-008'!D19</f>
        <v>0°</v>
      </c>
      <c r="H63" s="3257" t="str">
        <f>IF('F-LSCD-007'!F17="Hp(10)",TEXT('F-LSCD-008'!G19,"#0,0")&amp;" ± "&amp;TEXT('Incert. Irrad. Dosímetros pers'!$O$34*'F-LSCD-008'!G19,"#0,0"),"-")</f>
        <v>03 ± 00</v>
      </c>
      <c r="I63" s="3258"/>
      <c r="J63" s="3258"/>
      <c r="K63" s="3259"/>
      <c r="L63" s="2997" t="str">
        <f>IF('F-LSCD-007'!F17="Hp(0,07)",TEXT('F-LSCD-008'!F19,"#0,0")&amp;" ± "&amp;TEXT('Incert. Irrad. Dosímetros pers'!$O$34*'F-LSCD-008'!F19,"#0,0"),"-")</f>
        <v>-</v>
      </c>
      <c r="M63" s="2998"/>
      <c r="N63" s="2998"/>
      <c r="O63" s="2999"/>
      <c r="P63" s="2997" t="str">
        <f>IF('F-LSCD-007'!F17="D(10)",TEXT('F-LSCD-008'!H19,"#0,0")&amp;" ± "&amp;TEXT('Incert. Irrad. Dosímetros pers'!$O$34*'F-LSCD-008'!H19,"#0,0"),"-")</f>
        <v>-</v>
      </c>
      <c r="Q63" s="2998"/>
      <c r="R63" s="2998"/>
      <c r="S63" s="2998"/>
      <c r="T63" s="3000"/>
      <c r="U63" s="1948"/>
      <c r="V63" s="167"/>
    </row>
    <row r="64" spans="1:22" ht="12.75" customHeight="1" x14ac:dyDescent="0.2">
      <c r="A64" s="165"/>
      <c r="C64" s="211">
        <f>'F-LSCD-008'!B20</f>
        <v>905161</v>
      </c>
      <c r="D64" s="2995" t="str">
        <f>'F-LSCD-008'!C20</f>
        <v>S-Cs (ISO 4037-3)</v>
      </c>
      <c r="E64" s="2995"/>
      <c r="F64" s="2996"/>
      <c r="G64" s="1944" t="str">
        <f>'F-LSCD-008'!D20</f>
        <v>0°</v>
      </c>
      <c r="H64" s="3257" t="str">
        <f>IF('F-LSCD-007'!F18="Hp(10)",TEXT('F-LSCD-008'!G20,"#0,0")&amp;" ± "&amp;TEXT('Incert. Irrad. Dosímetros pers'!$O$34*'F-LSCD-008'!G20,"#0,0"),"-")</f>
        <v>03 ± 00</v>
      </c>
      <c r="I64" s="3258"/>
      <c r="J64" s="3258"/>
      <c r="K64" s="3259"/>
      <c r="L64" s="2997" t="str">
        <f>IF('F-LSCD-007'!F18="Hp(0,07)",TEXT('F-LSCD-008'!F20,"#0,0")&amp;" ± "&amp;TEXT('Incert. Irrad. Dosímetros pers'!$O$34*'F-LSCD-008'!F20,"#0,0"),"-")</f>
        <v>-</v>
      </c>
      <c r="M64" s="2998"/>
      <c r="N64" s="2998"/>
      <c r="O64" s="2999"/>
      <c r="P64" s="2997" t="str">
        <f>IF('F-LSCD-007'!F18="D(10)",TEXT('F-LSCD-008'!H20,"#0,0")&amp;" ± "&amp;TEXT('Incert. Irrad. Dosímetros pers'!$O$34*'F-LSCD-008'!H20,"#0,0"),"-")</f>
        <v>-</v>
      </c>
      <c r="Q64" s="2998"/>
      <c r="R64" s="2998"/>
      <c r="S64" s="2998"/>
      <c r="T64" s="3000"/>
      <c r="U64" s="1948"/>
      <c r="V64" s="167"/>
    </row>
    <row r="65" spans="1:22" ht="12.75" customHeight="1" x14ac:dyDescent="0.2">
      <c r="A65" s="165"/>
      <c r="C65" s="211">
        <f>'F-LSCD-008'!B21</f>
        <v>905327</v>
      </c>
      <c r="D65" s="2995" t="str">
        <f>'F-LSCD-008'!C21</f>
        <v>S-Cs (ISO 4037-3)</v>
      </c>
      <c r="E65" s="2995"/>
      <c r="F65" s="2996"/>
      <c r="G65" s="1944" t="str">
        <f>'F-LSCD-008'!D21</f>
        <v>0°</v>
      </c>
      <c r="H65" s="3257" t="str">
        <f>IF('F-LSCD-007'!F19="Hp(10)",TEXT('F-LSCD-008'!G21,"#0,0")&amp;" ± "&amp;TEXT('Incert. Irrad. Dosímetros pers'!$O$34*'F-LSCD-008'!G21,"#0,0"),"-")</f>
        <v>03 ± 00</v>
      </c>
      <c r="I65" s="3258"/>
      <c r="J65" s="3258"/>
      <c r="K65" s="3259"/>
      <c r="L65" s="2997" t="str">
        <f>IF('F-LSCD-007'!F19="Hp(0,07)",TEXT('F-LSCD-008'!F21,"#0,0")&amp;" ± "&amp;TEXT('Incert. Irrad. Dosímetros pers'!$O$34*'F-LSCD-008'!F21,"#0,0"),"-")</f>
        <v>-</v>
      </c>
      <c r="M65" s="2998"/>
      <c r="N65" s="2998"/>
      <c r="O65" s="2999"/>
      <c r="P65" s="2997" t="str">
        <f>IF('F-LSCD-007'!F19="D(10)",TEXT('F-LSCD-008'!H21,"#0,0")&amp;" ± "&amp;TEXT('Incert. Irrad. Dosímetros pers'!$O$34*'F-LSCD-008'!H21,"#0,0"),"-")</f>
        <v>-</v>
      </c>
      <c r="Q65" s="2998"/>
      <c r="R65" s="2998"/>
      <c r="S65" s="2998"/>
      <c r="T65" s="3000"/>
      <c r="U65" s="1948"/>
      <c r="V65" s="167"/>
    </row>
    <row r="66" spans="1:22" ht="12.75" customHeight="1" x14ac:dyDescent="0.2">
      <c r="A66" s="165"/>
      <c r="C66" s="211">
        <f>'F-LSCD-008'!B22</f>
        <v>905125</v>
      </c>
      <c r="D66" s="2995" t="str">
        <f>'F-LSCD-008'!C22</f>
        <v>S-Cs (ISO 4037-3)</v>
      </c>
      <c r="E66" s="2995"/>
      <c r="F66" s="2996"/>
      <c r="G66" s="1944" t="str">
        <f>'F-LSCD-008'!D22</f>
        <v>0°</v>
      </c>
      <c r="H66" s="3257" t="str">
        <f>IF('F-LSCD-007'!F20="Hp(10)",TEXT('F-LSCD-008'!G22,"#0,0")&amp;" ± "&amp;TEXT('Incert. Irrad. Dosímetros pers'!$O$34*'F-LSCD-008'!G22,"#0,0"),"-")</f>
        <v>03 ± 00</v>
      </c>
      <c r="I66" s="3258"/>
      <c r="J66" s="3258"/>
      <c r="K66" s="3259"/>
      <c r="L66" s="2997" t="str">
        <f>IF('F-LSCD-007'!F20="Hp(0,07)",TEXT('F-LSCD-008'!F22,"#0,0")&amp;" ± "&amp;TEXT('Incert. Irrad. Dosímetros pers'!$O$34*'F-LSCD-008'!F22,"#0,0"),"-")</f>
        <v>-</v>
      </c>
      <c r="M66" s="2998"/>
      <c r="N66" s="2998"/>
      <c r="O66" s="2999"/>
      <c r="P66" s="2997" t="str">
        <f>IF('F-LSCD-007'!F20="D(10)",TEXT('F-LSCD-008'!H22,"#0,0")&amp;" ± "&amp;TEXT('Incert. Irrad. Dosímetros pers'!$O$34*'F-LSCD-008'!H22,"#0,0"),"-")</f>
        <v>-</v>
      </c>
      <c r="Q66" s="2998"/>
      <c r="R66" s="2998"/>
      <c r="S66" s="2998"/>
      <c r="T66" s="3000"/>
      <c r="U66" s="1948"/>
      <c r="V66" s="167"/>
    </row>
    <row r="67" spans="1:22" ht="12.75" customHeight="1" x14ac:dyDescent="0.2">
      <c r="A67" s="165"/>
      <c r="C67" s="1488">
        <f>'F-LSCD-008'!B23</f>
        <v>905066</v>
      </c>
      <c r="D67" s="3014" t="str">
        <f>'F-LSCD-008'!C23</f>
        <v>S-Cs (ISO 4037-3)</v>
      </c>
      <c r="E67" s="3014"/>
      <c r="F67" s="3015"/>
      <c r="G67" s="1954" t="str">
        <f>'F-LSCD-008'!D23</f>
        <v>0°</v>
      </c>
      <c r="H67" s="3257" t="str">
        <f>IF('F-LSCD-007'!F21="Hp(10)",TEXT('F-LSCD-008'!G23,"#0,0")&amp;" ± "&amp;TEXT('Incert. Irrad. Dosímetros pers'!$O$34*'F-LSCD-008'!G23,"#0,0"),"-")</f>
        <v>30 ± 01</v>
      </c>
      <c r="I67" s="3258"/>
      <c r="J67" s="3258"/>
      <c r="K67" s="3259"/>
      <c r="L67" s="2997" t="str">
        <f>IF('F-LSCD-007'!F21="Hp(0,07)",TEXT('F-LSCD-008'!F23,"#0,0")&amp;" ± "&amp;TEXT('Incert. Irrad. Dosímetros pers'!$O$34*'F-LSCD-008'!F23,"#0,0"),"-")</f>
        <v>-</v>
      </c>
      <c r="M67" s="2998"/>
      <c r="N67" s="2998"/>
      <c r="O67" s="2999"/>
      <c r="P67" s="2997" t="str">
        <f>IF('F-LSCD-007'!F21="D(10)",TEXT('F-LSCD-008'!H23,"#0,0")&amp;" ± "&amp;TEXT('Incert. Irrad. Dosímetros pers'!$O$34*'F-LSCD-008'!H23,"#0,0"),"-")</f>
        <v>-</v>
      </c>
      <c r="Q67" s="2998"/>
      <c r="R67" s="2998"/>
      <c r="S67" s="2998"/>
      <c r="T67" s="3000"/>
      <c r="U67" s="1948"/>
      <c r="V67" s="167"/>
    </row>
    <row r="68" spans="1:22" ht="12.75" customHeight="1" x14ac:dyDescent="0.2">
      <c r="A68" s="165"/>
      <c r="C68" s="211">
        <f>'F-LSCD-008'!B24</f>
        <v>905339</v>
      </c>
      <c r="D68" s="2995" t="str">
        <f>'F-LSCD-008'!C24</f>
        <v>S-Cs (ISO 4037-3)</v>
      </c>
      <c r="E68" s="2995"/>
      <c r="F68" s="2996"/>
      <c r="G68" s="1944" t="str">
        <f>'F-LSCD-008'!D24</f>
        <v>0°</v>
      </c>
      <c r="H68" s="3257" t="str">
        <f>IF('F-LSCD-007'!F22="Hp(10)",TEXT('F-LSCD-008'!G24,"#0,0")&amp;" ± "&amp;TEXT('Incert. Irrad. Dosímetros pers'!$O$34*'F-LSCD-008'!G24,"#0,0"),"-")</f>
        <v>30 ± 01</v>
      </c>
      <c r="I68" s="3258"/>
      <c r="J68" s="3258"/>
      <c r="K68" s="3259"/>
      <c r="L68" s="2997" t="str">
        <f>IF('F-LSCD-007'!F22="Hp(0,07)",TEXT('F-LSCD-008'!F24,"#0,0")&amp;" ± "&amp;TEXT('Incert. Irrad. Dosímetros pers'!$O$34*'F-LSCD-008'!F24,"#0,0"),"-")</f>
        <v>-</v>
      </c>
      <c r="M68" s="2998"/>
      <c r="N68" s="2998"/>
      <c r="O68" s="2999"/>
      <c r="P68" s="2997" t="str">
        <f>IF('F-LSCD-007'!F22="D(10)",TEXT('F-LSCD-008'!H24,"#0,0")&amp;" ± "&amp;TEXT('Incert. Irrad. Dosímetros pers'!$O$34*'F-LSCD-008'!H24,"#0,0"),"-")</f>
        <v>-</v>
      </c>
      <c r="Q68" s="2998"/>
      <c r="R68" s="2998"/>
      <c r="S68" s="2998"/>
      <c r="T68" s="3000"/>
      <c r="U68" s="1948"/>
      <c r="V68" s="167"/>
    </row>
    <row r="69" spans="1:22" ht="12.75" customHeight="1" x14ac:dyDescent="0.2">
      <c r="A69" s="165"/>
      <c r="C69" s="1488">
        <f>'F-LSCD-008'!B25</f>
        <v>905189</v>
      </c>
      <c r="D69" s="3014" t="str">
        <f>'F-LSCD-008'!C25</f>
        <v>S-Cs (ISO 4037-3)</v>
      </c>
      <c r="E69" s="3014"/>
      <c r="F69" s="3015"/>
      <c r="G69" s="1954" t="str">
        <f>'F-LSCD-008'!D25</f>
        <v>0°</v>
      </c>
      <c r="H69" s="3257" t="str">
        <f>IF('F-LSCD-007'!F23="Hp(10)",TEXT('F-LSCD-008'!G25,"#0,0")&amp;" ± "&amp;TEXT('Incert. Irrad. Dosímetros pers'!$O$34*'F-LSCD-008'!G25,"#0,0"),"-")</f>
        <v>30 ± 01</v>
      </c>
      <c r="I69" s="3258"/>
      <c r="J69" s="3258"/>
      <c r="K69" s="3259"/>
      <c r="L69" s="2997" t="str">
        <f>IF('F-LSCD-007'!F23="Hp(0,07)",TEXT('F-LSCD-008'!F25,"#0,0")&amp;" ± "&amp;TEXT('Incert. Irrad. Dosímetros pers'!$O$34*'F-LSCD-008'!F25,"#0,0"),"-")</f>
        <v>-</v>
      </c>
      <c r="M69" s="2998"/>
      <c r="N69" s="2998"/>
      <c r="O69" s="2999"/>
      <c r="P69" s="2997" t="str">
        <f>IF('F-LSCD-007'!F23="D(10)",TEXT('F-LSCD-008'!H25,"#0,0")&amp;" ± "&amp;TEXT('Incert. Irrad. Dosímetros pers'!$O$34*'F-LSCD-008'!H25,"#0,0"),"-")</f>
        <v>-</v>
      </c>
      <c r="Q69" s="2998"/>
      <c r="R69" s="2998"/>
      <c r="S69" s="2998"/>
      <c r="T69" s="3000"/>
      <c r="U69" s="1948"/>
      <c r="V69" s="167"/>
    </row>
    <row r="70" spans="1:22" ht="12.75" customHeight="1" x14ac:dyDescent="0.2">
      <c r="A70" s="165"/>
      <c r="C70" s="211">
        <f>'F-LSCD-008'!B26</f>
        <v>905334</v>
      </c>
      <c r="D70" s="2995" t="str">
        <f>'F-LSCD-008'!C26</f>
        <v>S-Cs (ISO 4037-3)</v>
      </c>
      <c r="E70" s="2995"/>
      <c r="F70" s="2996"/>
      <c r="G70" s="1944" t="str">
        <f>'F-LSCD-008'!D26</f>
        <v>0°</v>
      </c>
      <c r="H70" s="3257" t="str">
        <f>IF('F-LSCD-007'!F24="Hp(10)",TEXT('F-LSCD-008'!G26,"#0,0")&amp;" ± "&amp;TEXT('Incert. Irrad. Dosímetros pers'!$O$34*'F-LSCD-008'!G26,"#0,0"),"-")</f>
        <v>30 ± 01</v>
      </c>
      <c r="I70" s="3258"/>
      <c r="J70" s="3258"/>
      <c r="K70" s="3259"/>
      <c r="L70" s="2997" t="str">
        <f>IF('F-LSCD-007'!F24="Hp(0,07)",TEXT('F-LSCD-008'!F26,"#0,0")&amp;" ± "&amp;TEXT('Incert. Irrad. Dosímetros pers'!$O$34*'F-LSCD-008'!F26,"#0,0"),"-")</f>
        <v>-</v>
      </c>
      <c r="M70" s="2998"/>
      <c r="N70" s="2998"/>
      <c r="O70" s="2999"/>
      <c r="P70" s="2997" t="str">
        <f>IF('F-LSCD-007'!F24="D(10)",TEXT('F-LSCD-008'!H26,"#0,0")&amp;" ± "&amp;TEXT('Incert. Irrad. Dosímetros pers'!$O$34*'F-LSCD-008'!H26,"#0,0"),"-")</f>
        <v>-</v>
      </c>
      <c r="Q70" s="2998"/>
      <c r="R70" s="2998"/>
      <c r="S70" s="2998"/>
      <c r="T70" s="3000"/>
      <c r="U70" s="1948"/>
      <c r="V70" s="167"/>
    </row>
    <row r="71" spans="1:22" ht="12.75" customHeight="1" x14ac:dyDescent="0.2">
      <c r="A71" s="165"/>
      <c r="B71" s="168"/>
      <c r="C71" s="1488">
        <f>'F-LSCD-008'!B27</f>
        <v>905153</v>
      </c>
      <c r="D71" s="3014" t="str">
        <f>'F-LSCD-008'!C27</f>
        <v>S-Cs (ISO 4037-3)</v>
      </c>
      <c r="E71" s="3014"/>
      <c r="F71" s="3015"/>
      <c r="G71" s="1954" t="str">
        <f>'F-LSCD-008'!D27</f>
        <v>0°</v>
      </c>
      <c r="H71" s="3257" t="str">
        <f>IF('F-LSCD-007'!F25="Hp(10)",TEXT('F-LSCD-008'!G27,"#0,0")&amp;" ± "&amp;TEXT('Incert. Irrad. Dosímetros pers'!$O$34*'F-LSCD-008'!G27,"#0,0"),"-")</f>
        <v>30 ± 01</v>
      </c>
      <c r="I71" s="3258"/>
      <c r="J71" s="3258"/>
      <c r="K71" s="3259"/>
      <c r="L71" s="2997" t="str">
        <f>IF('F-LSCD-007'!F25="Hp(0,07)",TEXT('F-LSCD-008'!F27,"#0,0")&amp;" ± "&amp;TEXT('Incert. Irrad. Dosímetros pers'!$O$34*'F-LSCD-008'!F27,"#0,0"),"-")</f>
        <v>-</v>
      </c>
      <c r="M71" s="2998"/>
      <c r="N71" s="2998"/>
      <c r="O71" s="2999"/>
      <c r="P71" s="2997" t="str">
        <f>IF('F-LSCD-007'!F25="D(10)",TEXT('F-LSCD-008'!H27,"#0,0")&amp;" ± "&amp;TEXT('Incert. Irrad. Dosímetros pers'!$O$34*'F-LSCD-008'!H27,"#0,0"),"-")</f>
        <v>-</v>
      </c>
      <c r="Q71" s="2998"/>
      <c r="R71" s="2998"/>
      <c r="S71" s="2998"/>
      <c r="T71" s="3000"/>
      <c r="U71" s="1948"/>
      <c r="V71" s="167"/>
    </row>
    <row r="72" spans="1:22" ht="12.75" customHeight="1" x14ac:dyDescent="0.2">
      <c r="A72" s="165"/>
      <c r="B72" s="166"/>
      <c r="C72" s="211">
        <f>'F-LSCD-008'!B28</f>
        <v>3848</v>
      </c>
      <c r="D72" s="2995" t="str">
        <f>'F-LSCD-008'!C28</f>
        <v>S-Cs (ISO 4037-3)</v>
      </c>
      <c r="E72" s="2995"/>
      <c r="F72" s="2996"/>
      <c r="G72" s="1944" t="str">
        <f>'F-LSCD-008'!D28</f>
        <v>0°</v>
      </c>
      <c r="H72" s="3257" t="str">
        <f>IF('F-LSCD-007'!F26="Hp(10)",TEXT('F-LSCD-008'!G28,"#0,0")&amp;" ± "&amp;TEXT('Incert. Irrad. Dosímetros pers'!$O$34*'F-LSCD-008'!G28,"#0,0"),"-")</f>
        <v>-</v>
      </c>
      <c r="I72" s="3258"/>
      <c r="J72" s="3258"/>
      <c r="K72" s="3259"/>
      <c r="L72" s="2997" t="str">
        <f>IF('F-LSCD-007'!F26="Hp(0,07)",TEXT('F-LSCD-008'!F28,"#0,0")&amp;" ± "&amp;TEXT('Incert. Irrad. Dosímetros pers'!$O$34*'F-LSCD-008'!F28,"#0,0"),"-")</f>
        <v>03 ± 00</v>
      </c>
      <c r="M72" s="2998"/>
      <c r="N72" s="2998"/>
      <c r="O72" s="2999"/>
      <c r="P72" s="2997" t="str">
        <f>IF('F-LSCD-007'!F26="D(10)",TEXT('F-LSCD-008'!H28,"#0,0")&amp;" ± "&amp;TEXT('Incert. Irrad. Dosímetros pers'!$O$34*'F-LSCD-008'!H28,"#0,0"),"-")</f>
        <v>-</v>
      </c>
      <c r="Q72" s="2998"/>
      <c r="R72" s="2998"/>
      <c r="S72" s="2998"/>
      <c r="T72" s="3000"/>
      <c r="U72" s="1948"/>
      <c r="V72" s="167"/>
    </row>
    <row r="73" spans="1:22" ht="12.75" customHeight="1" x14ac:dyDescent="0.2">
      <c r="A73" s="165"/>
      <c r="C73" s="211">
        <f>'F-LSCD-008'!B29</f>
        <v>3884</v>
      </c>
      <c r="D73" s="2995" t="str">
        <f>'F-LSCD-008'!C29</f>
        <v>S-Cs (ISO 4037-3)</v>
      </c>
      <c r="E73" s="2995"/>
      <c r="F73" s="2996"/>
      <c r="G73" s="1944" t="str">
        <f>'F-LSCD-008'!D29</f>
        <v>0°</v>
      </c>
      <c r="H73" s="3257" t="str">
        <f>IF('F-LSCD-007'!F27="Hp(10)",TEXT('F-LSCD-008'!G29,"#0,0")&amp;" ± "&amp;TEXT('Incert. Irrad. Dosímetros pers'!$O$34*'F-LSCD-008'!G29,"#0,0"),"-")</f>
        <v>-</v>
      </c>
      <c r="I73" s="3258"/>
      <c r="J73" s="3258"/>
      <c r="K73" s="3259"/>
      <c r="L73" s="2997" t="str">
        <f>IF('F-LSCD-007'!F27="Hp(0,07)",TEXT('F-LSCD-008'!F29,"#0,0")&amp;" ± "&amp;TEXT('Incert. Irrad. Dosímetros pers'!$O$34*'F-LSCD-008'!F29,"#0,0"),"-")</f>
        <v>03 ± 00</v>
      </c>
      <c r="M73" s="2998"/>
      <c r="N73" s="2998"/>
      <c r="O73" s="2999"/>
      <c r="P73" s="2997" t="str">
        <f>IF('F-LSCD-007'!F27="D(10)",TEXT('F-LSCD-008'!H29,"#0,0")&amp;" ± "&amp;TEXT('Incert. Irrad. Dosímetros pers'!$O$34*'F-LSCD-008'!H29,"#0,0"),"-")</f>
        <v>-</v>
      </c>
      <c r="Q73" s="2998"/>
      <c r="R73" s="2998"/>
      <c r="S73" s="2998"/>
      <c r="T73" s="3000"/>
      <c r="U73" s="1948"/>
      <c r="V73" s="167"/>
    </row>
    <row r="74" spans="1:22" ht="12.75" customHeight="1" thickBot="1" x14ac:dyDescent="0.25">
      <c r="A74" s="165"/>
      <c r="C74" s="1897">
        <f>'F-LSCD-008'!B30</f>
        <v>9037</v>
      </c>
      <c r="D74" s="3271" t="str">
        <f>'F-LSCD-008'!C30</f>
        <v>S-Cs (ISO 4037-3)</v>
      </c>
      <c r="E74" s="3271"/>
      <c r="F74" s="3272"/>
      <c r="G74" s="1955" t="str">
        <f>'F-LSCD-008'!D30</f>
        <v>0°</v>
      </c>
      <c r="H74" s="3273" t="str">
        <f>IF('F-LSCD-007'!F28="Hp(10)",TEXT('F-LSCD-008'!G30,"#0,0")&amp;" ± "&amp;TEXT('Incert. Irrad. Dosímetros pers'!$O$34*'F-LSCD-008'!G30,"#0,0"),"-")</f>
        <v>-</v>
      </c>
      <c r="I74" s="3274"/>
      <c r="J74" s="3274"/>
      <c r="K74" s="3275"/>
      <c r="L74" s="3018" t="str">
        <f>IF('F-LSCD-007'!F28="Hp(0,07)",TEXT('F-LSCD-008'!F30,"#0,0")&amp;" ± "&amp;TEXT('Incert. Irrad. Dosímetros pers'!$O$34*'F-LSCD-008'!F30,"#0,0"),"-")</f>
        <v>03 ± 00</v>
      </c>
      <c r="M74" s="3019"/>
      <c r="N74" s="3019"/>
      <c r="O74" s="3020"/>
      <c r="P74" s="3018" t="str">
        <f>IF('F-LSCD-007'!F28="D(10)",TEXT('F-LSCD-008'!H30,"#0,0")&amp;" ± "&amp;TEXT('Incert. Irrad. Dosímetros pers'!$O$34*'F-LSCD-008'!H30,"#0,0"),"-")</f>
        <v>-</v>
      </c>
      <c r="Q74" s="3019"/>
      <c r="R74" s="3019"/>
      <c r="S74" s="3019"/>
      <c r="T74" s="3021"/>
      <c r="U74" s="1948"/>
      <c r="V74" s="167"/>
    </row>
    <row r="75" spans="1:22" ht="12.75" hidden="1" customHeight="1" x14ac:dyDescent="0.2">
      <c r="A75" s="165"/>
      <c r="B75" s="166"/>
      <c r="C75" s="1488">
        <f>'F-LSCD-008'!B31</f>
        <v>905136</v>
      </c>
      <c r="D75" s="3014" t="str">
        <f>'F-LSCD-008'!C31</f>
        <v>S-Cs (ISO 4037-3)</v>
      </c>
      <c r="E75" s="3014"/>
      <c r="F75" s="3015"/>
      <c r="G75" s="1489" t="str">
        <f>'F-LSCD-008'!D31</f>
        <v>0°</v>
      </c>
      <c r="H75" s="3264" t="str">
        <f>IF('F-LSCD-007'!F29="Hp(10)",TEXT('F-LSCD-008'!G31,"#0,0")&amp;" ± "&amp;TEXT('Incert. Irrad. Dosímetros pers'!$O$34*'F-LSCD-008'!G31,"#0,0"),"-")</f>
        <v>-</v>
      </c>
      <c r="I75" s="3265"/>
      <c r="J75" s="3265"/>
      <c r="K75" s="3266"/>
      <c r="L75" s="3267" t="str">
        <f>IF('F-LSCD-007'!F29="Hp(0,07)",TEXT('F-LSCD-008'!F31,"#0,0")&amp;" ± "&amp;TEXT('Incert. Irrad. Dosímetros pers'!$O$34*'F-LSCD-008'!F31,"#0,0"),"-")</f>
        <v>-</v>
      </c>
      <c r="M75" s="3268"/>
      <c r="N75" s="3268"/>
      <c r="O75" s="3269"/>
      <c r="P75" s="3267" t="str">
        <f>IF('F-LSCD-007'!F29="D(10)",TEXT('F-LSCD-008'!H31,"#0,0")&amp;" ± "&amp;TEXT('Incert. Irrad. Dosímetros pers'!$O$34*'F-LSCD-008'!H31,"#0,0"),"-")</f>
        <v>-</v>
      </c>
      <c r="Q75" s="3268"/>
      <c r="R75" s="3268"/>
      <c r="S75" s="3268"/>
      <c r="T75" s="3270"/>
      <c r="U75" s="1948"/>
      <c r="V75" s="167"/>
    </row>
    <row r="76" spans="1:22" ht="15" hidden="1" customHeight="1" x14ac:dyDescent="0.2">
      <c r="A76" s="165"/>
      <c r="C76" s="1488">
        <f>'F-LSCD-008'!B32</f>
        <v>905390</v>
      </c>
      <c r="D76" s="3263" t="str">
        <f>'F-LSCD-008'!C32</f>
        <v>S-Cs (ISO 4037-3)</v>
      </c>
      <c r="E76" s="3014"/>
      <c r="F76" s="3015"/>
      <c r="G76" s="1489" t="str">
        <f>'F-LSCD-008'!D32</f>
        <v>0°</v>
      </c>
      <c r="H76" s="3174" t="str">
        <f>IF('F-LSCD-007'!F30="Hp(10)",TEXT('F-LSCD-008'!G32,"#0,0")&amp;" ± "&amp;TEXT('Incert. Irrad. Dosímetros pers'!$O$34*'F-LSCD-008'!G32,"#0,0"),"-")</f>
        <v>-</v>
      </c>
      <c r="I76" s="3175"/>
      <c r="J76" s="3175"/>
      <c r="K76" s="3176"/>
      <c r="L76" s="2997" t="str">
        <f>IF('F-LSCD-007'!F30="Hp(0,07)",TEXT('F-LSCD-008'!F32,"#0,0")&amp;" ± "&amp;TEXT('Incert. Irrad. Dosímetros pers'!$O$34*'F-LSCD-008'!F32,"#0,0"),"-")</f>
        <v>-</v>
      </c>
      <c r="M76" s="2998"/>
      <c r="N76" s="2998"/>
      <c r="O76" s="2999"/>
      <c r="P76" s="2997" t="str">
        <f>IF('F-LSCD-007'!F30="D(10)",TEXT('F-LSCD-008'!H32,"#0,0")&amp;" ± "&amp;TEXT('Incert. Irrad. Dosímetros pers'!$O$34*'F-LSCD-008'!H32,"#0,0"),"-")</f>
        <v>-</v>
      </c>
      <c r="Q76" s="2998"/>
      <c r="R76" s="2998"/>
      <c r="S76" s="2998"/>
      <c r="T76" s="3000"/>
      <c r="U76" s="1948"/>
      <c r="V76" s="167"/>
    </row>
    <row r="77" spans="1:22" ht="15" hidden="1" customHeight="1" x14ac:dyDescent="0.2">
      <c r="A77" s="165"/>
      <c r="C77" s="211">
        <f>'F-LSCD-008'!B44</f>
        <v>905100</v>
      </c>
      <c r="D77" s="3276" t="str">
        <f>'F-LSCD-008'!C44</f>
        <v>S-Cs (ISO 4037-3)</v>
      </c>
      <c r="E77" s="2995"/>
      <c r="F77" s="2996"/>
      <c r="G77" s="192" t="str">
        <f>'F-LSCD-008'!D44</f>
        <v>0°</v>
      </c>
      <c r="H77" s="3035" t="str">
        <f>IF('F-LSCD-007'!F31="Hp(10)",TEXT('F-LSCD-008'!#REF!,"#0,0")&amp;" ± "&amp;TEXT('Incert. Irrad. Dosímetros pers'!$O$34*'F-LSCD-008'!#REF!,"#0,0"),"-")</f>
        <v>-</v>
      </c>
      <c r="I77" s="3036"/>
      <c r="J77" s="3036"/>
      <c r="K77" s="3178"/>
      <c r="L77" s="2997" t="str">
        <f>IF('F-LSCD-007'!F31="Hp(0,07)",TEXT('F-LSCD-008'!F33,"#0,0")&amp;" ± "&amp;TEXT('Incert. Irrad. Dosímetros pers'!$O$34*'F-LSCD-008'!F33,"#0,0"),"-")</f>
        <v>-</v>
      </c>
      <c r="M77" s="2998"/>
      <c r="N77" s="2998"/>
      <c r="O77" s="2999"/>
      <c r="P77" s="2997" t="str">
        <f>IF('F-LSCD-007'!F31="D(10)",TEXT('F-LSCD-008'!H33,"#0,0")&amp;" ± "&amp;TEXT('Incert. Irrad. Dosímetros pers'!$O$34*'F-LSCD-008'!H33,"#0,0"),"-")</f>
        <v>-</v>
      </c>
      <c r="Q77" s="2998"/>
      <c r="R77" s="2998"/>
      <c r="S77" s="2998"/>
      <c r="T77" s="3000"/>
      <c r="U77" s="1948"/>
      <c r="V77" s="167"/>
    </row>
    <row r="78" spans="1:22" ht="12.75" hidden="1" customHeight="1" x14ac:dyDescent="0.2">
      <c r="A78" s="165"/>
      <c r="C78" s="211">
        <f>'F-LSCD-008'!B45</f>
        <v>905350</v>
      </c>
      <c r="D78" s="3276" t="str">
        <f>'F-LSCD-008'!C45</f>
        <v>S-Cs (ISO 4037-3)</v>
      </c>
      <c r="E78" s="2995"/>
      <c r="F78" s="2996"/>
      <c r="G78" s="192" t="str">
        <f>'F-LSCD-008'!D45</f>
        <v>0°</v>
      </c>
      <c r="H78" s="3035" t="str">
        <f>IF('F-LSCD-007'!F32="Hp(10)",TEXT('F-LSCD-008'!#REF!,"#0,0")&amp;" ± "&amp;TEXT('Incert. Irrad. Dosímetros pers'!$O$34*'F-LSCD-008'!#REF!,"#0,0"),"-")</f>
        <v>-</v>
      </c>
      <c r="I78" s="3036"/>
      <c r="J78" s="3036"/>
      <c r="K78" s="3178"/>
      <c r="L78" s="2997" t="str">
        <f>IF('F-LSCD-007'!F32="Hp(0,07)",TEXT('F-LSCD-008'!F34,"#0,0")&amp;" ± "&amp;TEXT('Incert. Irrad. Dosímetros pers'!$O$34*'F-LSCD-008'!F34,"#0,0"),"-")</f>
        <v>-</v>
      </c>
      <c r="M78" s="2998"/>
      <c r="N78" s="2998"/>
      <c r="O78" s="2999"/>
      <c r="P78" s="2997" t="str">
        <f>IF('F-LSCD-007'!F32="D(10)",TEXT('F-LSCD-008'!H34,"#0,0")&amp;" ± "&amp;TEXT('Incert. Irrad. Dosímetros pers'!$O$34*'F-LSCD-008'!H34,"#0,0"),"-")</f>
        <v>-</v>
      </c>
      <c r="Q78" s="2998"/>
      <c r="R78" s="2998"/>
      <c r="S78" s="2998"/>
      <c r="T78" s="3000"/>
      <c r="U78" s="1948"/>
      <c r="V78" s="167"/>
    </row>
    <row r="79" spans="1:22" ht="13.5" hidden="1" customHeight="1" x14ac:dyDescent="0.2">
      <c r="A79" s="165"/>
      <c r="C79" s="211">
        <f>'F-LSCD-008'!B46</f>
        <v>905328</v>
      </c>
      <c r="D79" s="3276" t="str">
        <f>'F-LSCD-008'!C46</f>
        <v>S-Cs (ISO 4037-3)</v>
      </c>
      <c r="E79" s="2995"/>
      <c r="F79" s="2996"/>
      <c r="G79" s="192" t="str">
        <f>'F-LSCD-008'!D46</f>
        <v>0°</v>
      </c>
      <c r="H79" s="3035" t="str">
        <f>IF('F-LSCD-007'!F33="Hp(10)",TEXT('F-LSCD-008'!#REF!,"#0,0")&amp;" ± "&amp;TEXT('Incert. Irrad. Dosímetros pers'!$O$34*'F-LSCD-008'!#REF!,"#0,0"),"-")</f>
        <v>-</v>
      </c>
      <c r="I79" s="3036"/>
      <c r="J79" s="3036"/>
      <c r="K79" s="3178"/>
      <c r="L79" s="2997" t="str">
        <f>IF('F-LSCD-007'!F33="Hp(0,07)",TEXT('F-LSCD-008'!F35,"#0,0")&amp;" ± "&amp;TEXT('Incert. Irrad. Dosímetros pers'!$O$34*'F-LSCD-008'!F35,"#0,0"),"-")</f>
        <v>-</v>
      </c>
      <c r="M79" s="2998"/>
      <c r="N79" s="2998"/>
      <c r="O79" s="2999"/>
      <c r="P79" s="2997" t="str">
        <f>IF('F-LSCD-007'!F33="D(10)",TEXT('F-LSCD-008'!H35,"#0,0")&amp;" ± "&amp;TEXT('Incert. Irrad. Dosímetros pers'!$O$34*'F-LSCD-008'!H35,"#0,0"),"-")</f>
        <v>-</v>
      </c>
      <c r="Q79" s="2998"/>
      <c r="R79" s="2998"/>
      <c r="S79" s="2998"/>
      <c r="T79" s="3000"/>
      <c r="U79" s="1948"/>
      <c r="V79" s="167"/>
    </row>
    <row r="80" spans="1:22" ht="13.5" hidden="1" customHeight="1" x14ac:dyDescent="0.2">
      <c r="A80" s="165"/>
      <c r="C80" s="211">
        <f>'F-LSCD-008'!B47</f>
        <v>904779</v>
      </c>
      <c r="D80" s="3276" t="str">
        <f>'F-LSCD-008'!C47</f>
        <v>S-Cs (ISO 4037-3)</v>
      </c>
      <c r="E80" s="2995"/>
      <c r="F80" s="2996"/>
      <c r="G80" s="192" t="str">
        <f>'F-LSCD-008'!D47</f>
        <v>0°</v>
      </c>
      <c r="H80" s="3035" t="str">
        <f>IF('F-LSCD-007'!F34="Hp(10)",TEXT('F-LSCD-008'!#REF!,"#0,0")&amp;" ± "&amp;TEXT('Incert. Irrad. Dosímetros pers'!$O$34*'F-LSCD-008'!#REF!,"#0,0"),"-")</f>
        <v>-</v>
      </c>
      <c r="I80" s="3036"/>
      <c r="J80" s="3036"/>
      <c r="K80" s="3178"/>
      <c r="L80" s="2997" t="str">
        <f>IF('F-LSCD-007'!F34="Hp(0,07)",TEXT('F-LSCD-008'!F36,"#0,0")&amp;" ± "&amp;TEXT('Incert. Irrad. Dosímetros pers'!$O$34*'F-LSCD-008'!F36,"#0,0"),"-")</f>
        <v>-</v>
      </c>
      <c r="M80" s="2998"/>
      <c r="N80" s="2998"/>
      <c r="O80" s="2999"/>
      <c r="P80" s="2997" t="str">
        <f>IF('F-LSCD-007'!F34="D(10)",TEXT('F-LSCD-008'!H36,"#0,0")&amp;" ± "&amp;TEXT('Incert. Irrad. Dosímetros pers'!$O$34*'F-LSCD-008'!H36,"#0,0"),"-")</f>
        <v>-</v>
      </c>
      <c r="Q80" s="2998"/>
      <c r="R80" s="2998"/>
      <c r="S80" s="2998"/>
      <c r="T80" s="3000"/>
      <c r="U80" s="1948"/>
      <c r="V80" s="167"/>
    </row>
    <row r="81" spans="1:22" ht="12.75" hidden="1" customHeight="1" thickBot="1" x14ac:dyDescent="0.25">
      <c r="A81" s="165"/>
      <c r="C81" s="1897">
        <f>'F-LSCD-008'!B48</f>
        <v>95005</v>
      </c>
      <c r="D81" s="3277" t="str">
        <f>'F-LSCD-008'!C48</f>
        <v>S-Cs (ISO 4037-3)</v>
      </c>
      <c r="E81" s="3016"/>
      <c r="F81" s="3017"/>
      <c r="G81" s="194" t="str">
        <f>'F-LSCD-008'!D48</f>
        <v>0°</v>
      </c>
      <c r="H81" s="3278" t="str">
        <f>IF('F-LSCD-007'!F35="Hp(10)",TEXT('F-LSCD-008'!#REF!,"#0,0")&amp;" ± "&amp;TEXT('Incert. Irrad. Dosímetros pers'!$O$34*'F-LSCD-008'!#REF!,"#0,0"),"-")</f>
        <v>-</v>
      </c>
      <c r="I81" s="3279"/>
      <c r="J81" s="3279"/>
      <c r="K81" s="3280"/>
      <c r="L81" s="3018" t="str">
        <f>IF('F-LSCD-007'!F35="Hp(0,07)",TEXT('F-LSCD-008'!F37,"#0,0")&amp;" ± "&amp;TEXT('Incert. Irrad. Dosímetros pers'!$O$34*'F-LSCD-008'!F37,"#0,0"),"-")</f>
        <v>-</v>
      </c>
      <c r="M81" s="3019"/>
      <c r="N81" s="3019"/>
      <c r="O81" s="3020"/>
      <c r="P81" s="3018" t="str">
        <f>IF('F-LSCD-007'!F35="D(10)",TEXT('F-LSCD-008'!H37,"#0,0")&amp;" ± "&amp;TEXT('Incert. Irrad. Dosímetros pers'!$O$34*'F-LSCD-008'!H37,"#0,0"),"-")</f>
        <v>-</v>
      </c>
      <c r="Q81" s="3019"/>
      <c r="R81" s="3019"/>
      <c r="S81" s="3019"/>
      <c r="T81" s="3021"/>
      <c r="U81" s="1948"/>
      <c r="V81" s="167"/>
    </row>
    <row r="82" spans="1:22" ht="12.75" customHeight="1" x14ac:dyDescent="0.2">
      <c r="A82" s="165"/>
      <c r="C82" s="1951" t="s">
        <v>1280</v>
      </c>
      <c r="U82" s="1948"/>
      <c r="V82" s="167"/>
    </row>
    <row r="83" spans="1:22" ht="12.75" customHeight="1" x14ac:dyDescent="0.2">
      <c r="A83" s="165"/>
      <c r="B83" s="168"/>
      <c r="C83" s="1839"/>
      <c r="U83" s="1948"/>
      <c r="V83" s="167"/>
    </row>
    <row r="84" spans="1:22" ht="12.75" customHeight="1" x14ac:dyDescent="0.2">
      <c r="A84" s="165"/>
      <c r="B84" s="166"/>
      <c r="U84" s="1948"/>
      <c r="V84" s="167"/>
    </row>
    <row r="85" spans="1:22" ht="12.75" customHeight="1" x14ac:dyDescent="0.2">
      <c r="A85" s="165"/>
      <c r="U85" s="1948"/>
      <c r="V85" s="167"/>
    </row>
    <row r="86" spans="1:22" ht="12.75" customHeight="1" x14ac:dyDescent="0.2">
      <c r="A86" s="165"/>
      <c r="U86" s="1948"/>
      <c r="V86" s="167"/>
    </row>
    <row r="87" spans="1:22" ht="12.75" customHeight="1" x14ac:dyDescent="0.2">
      <c r="A87" s="165"/>
      <c r="U87" s="1948"/>
      <c r="V87" s="167"/>
    </row>
    <row r="88" spans="1:22" ht="12.75" customHeight="1" x14ac:dyDescent="0.2">
      <c r="A88" s="165"/>
      <c r="B88" s="166"/>
      <c r="U88" s="1948"/>
      <c r="V88" s="167"/>
    </row>
    <row r="89" spans="1:22" ht="12.75" customHeight="1" x14ac:dyDescent="0.2">
      <c r="A89" s="165"/>
      <c r="B89" s="166"/>
      <c r="C89" s="166"/>
      <c r="D89" s="166"/>
      <c r="E89" s="166"/>
      <c r="F89" s="166"/>
      <c r="G89" s="200"/>
      <c r="H89" s="200"/>
      <c r="I89" s="200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948"/>
      <c r="V89" s="167"/>
    </row>
    <row r="90" spans="1:22" ht="12.75" customHeight="1" x14ac:dyDescent="0.2">
      <c r="A90" s="165"/>
      <c r="B90" s="166"/>
      <c r="C90" s="175"/>
      <c r="D90" s="175"/>
      <c r="E90" s="175"/>
      <c r="F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948"/>
      <c r="V90" s="167"/>
    </row>
    <row r="91" spans="1:22" ht="12.75" customHeight="1" x14ac:dyDescent="0.2">
      <c r="A91" s="165"/>
      <c r="C91" s="175"/>
      <c r="D91" s="175"/>
      <c r="E91" s="175"/>
      <c r="F91" s="175"/>
      <c r="G91" s="1943"/>
      <c r="H91" s="1943"/>
      <c r="I91" s="1943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948"/>
      <c r="V91" s="167"/>
    </row>
    <row r="92" spans="1:22" ht="13.5" customHeight="1" thickBot="1" x14ac:dyDescent="0.25">
      <c r="A92" s="195"/>
      <c r="B92" s="196"/>
      <c r="C92" s="1878" t="s">
        <v>1245</v>
      </c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7"/>
    </row>
    <row r="93" spans="1:22" ht="13.5" thickTop="1" x14ac:dyDescent="0.2">
      <c r="A93" s="3022" t="s">
        <v>236</v>
      </c>
      <c r="B93" s="3023"/>
      <c r="C93" s="3023"/>
      <c r="D93" s="3023"/>
      <c r="E93" s="3023"/>
      <c r="F93" s="3023"/>
      <c r="G93" s="3023"/>
      <c r="H93" s="3023"/>
      <c r="I93" s="3023"/>
      <c r="J93" s="3023"/>
      <c r="K93" s="3023"/>
      <c r="L93" s="3023"/>
      <c r="M93" s="3023"/>
      <c r="N93" s="3023"/>
      <c r="O93" s="3023"/>
      <c r="P93" s="3023"/>
      <c r="Q93" s="3023"/>
      <c r="R93" s="3023"/>
      <c r="S93" s="3023"/>
      <c r="T93" s="3023"/>
      <c r="U93" s="3023"/>
      <c r="V93" s="3024"/>
    </row>
    <row r="94" spans="1:22" ht="13.5" thickBot="1" x14ac:dyDescent="0.25">
      <c r="A94" s="3025" t="s">
        <v>279</v>
      </c>
      <c r="B94" s="3026"/>
      <c r="C94" s="3026"/>
      <c r="D94" s="3026"/>
      <c r="E94" s="3026"/>
      <c r="F94" s="3026"/>
      <c r="G94" s="3026"/>
      <c r="H94" s="3026"/>
      <c r="I94" s="3026"/>
      <c r="J94" s="3026"/>
      <c r="K94" s="3026"/>
      <c r="L94" s="3026"/>
      <c r="M94" s="3026"/>
      <c r="N94" s="3026"/>
      <c r="O94" s="3026"/>
      <c r="P94" s="3026"/>
      <c r="Q94" s="3026"/>
      <c r="R94" s="3026"/>
      <c r="S94" s="3026"/>
      <c r="T94" s="3026"/>
      <c r="U94" s="3026"/>
      <c r="V94" s="3027"/>
    </row>
    <row r="95" spans="1:22" x14ac:dyDescent="0.2">
      <c r="B95" s="1356" t="s">
        <v>917</v>
      </c>
      <c r="U95" s="1357" t="str">
        <f>U55</f>
        <v>INFORME DE ENSAYO N° 017-2019 ALEPH/GR/LSCD</v>
      </c>
    </row>
  </sheetData>
  <mergeCells count="111">
    <mergeCell ref="A2:V3"/>
    <mergeCell ref="A4:V4"/>
    <mergeCell ref="A5:V5"/>
    <mergeCell ref="A6:V6"/>
    <mergeCell ref="A7:V7"/>
    <mergeCell ref="Q8:U16"/>
    <mergeCell ref="E12:O12"/>
    <mergeCell ref="E16:O16"/>
    <mergeCell ref="E33:O33"/>
    <mergeCell ref="Q33:U33"/>
    <mergeCell ref="E34:O34"/>
    <mergeCell ref="Q34:U38"/>
    <mergeCell ref="E36:I36"/>
    <mergeCell ref="J36:N36"/>
    <mergeCell ref="E38:I38"/>
    <mergeCell ref="E21:O22"/>
    <mergeCell ref="Q22:U32"/>
    <mergeCell ref="E24:O24"/>
    <mergeCell ref="E29:O29"/>
    <mergeCell ref="E30:O30"/>
    <mergeCell ref="E31:O31"/>
    <mergeCell ref="E32:O32"/>
    <mergeCell ref="D62:F62"/>
    <mergeCell ref="H62:K62"/>
    <mergeCell ref="L62:O62"/>
    <mergeCell ref="P62:T62"/>
    <mergeCell ref="D63:F63"/>
    <mergeCell ref="H63:K63"/>
    <mergeCell ref="L63:O63"/>
    <mergeCell ref="P63:T63"/>
    <mergeCell ref="A53:V53"/>
    <mergeCell ref="A54:V54"/>
    <mergeCell ref="A56:V57"/>
    <mergeCell ref="D61:F61"/>
    <mergeCell ref="H61:K61"/>
    <mergeCell ref="L61:O61"/>
    <mergeCell ref="P61:T61"/>
    <mergeCell ref="D66:F66"/>
    <mergeCell ref="H66:K66"/>
    <mergeCell ref="L66:O66"/>
    <mergeCell ref="P66:T66"/>
    <mergeCell ref="D67:F67"/>
    <mergeCell ref="H67:K67"/>
    <mergeCell ref="L67:O67"/>
    <mergeCell ref="P67:T67"/>
    <mergeCell ref="D64:F64"/>
    <mergeCell ref="H64:K64"/>
    <mergeCell ref="L64:O64"/>
    <mergeCell ref="P64:T64"/>
    <mergeCell ref="D65:F65"/>
    <mergeCell ref="H65:K65"/>
    <mergeCell ref="L65:O65"/>
    <mergeCell ref="P65:T65"/>
    <mergeCell ref="D70:F70"/>
    <mergeCell ref="H70:K70"/>
    <mergeCell ref="L70:O70"/>
    <mergeCell ref="P70:T70"/>
    <mergeCell ref="D71:F71"/>
    <mergeCell ref="H71:K71"/>
    <mergeCell ref="L71:O71"/>
    <mergeCell ref="P71:T71"/>
    <mergeCell ref="D68:F68"/>
    <mergeCell ref="H68:K68"/>
    <mergeCell ref="L68:O68"/>
    <mergeCell ref="P68:T68"/>
    <mergeCell ref="D69:F69"/>
    <mergeCell ref="H69:K69"/>
    <mergeCell ref="L69:O69"/>
    <mergeCell ref="P69:T69"/>
    <mergeCell ref="D74:F74"/>
    <mergeCell ref="H74:K74"/>
    <mergeCell ref="L74:O74"/>
    <mergeCell ref="P74:T74"/>
    <mergeCell ref="D75:F75"/>
    <mergeCell ref="H75:K75"/>
    <mergeCell ref="L75:O75"/>
    <mergeCell ref="P75:T75"/>
    <mergeCell ref="D72:F72"/>
    <mergeCell ref="H72:K72"/>
    <mergeCell ref="L72:O72"/>
    <mergeCell ref="P72:T72"/>
    <mergeCell ref="D73:F73"/>
    <mergeCell ref="H73:K73"/>
    <mergeCell ref="L73:O73"/>
    <mergeCell ref="P73:T73"/>
    <mergeCell ref="D78:F78"/>
    <mergeCell ref="H78:K78"/>
    <mergeCell ref="L78:O78"/>
    <mergeCell ref="P78:T78"/>
    <mergeCell ref="D79:F79"/>
    <mergeCell ref="H79:K79"/>
    <mergeCell ref="L79:O79"/>
    <mergeCell ref="P79:T79"/>
    <mergeCell ref="D76:F76"/>
    <mergeCell ref="H76:K76"/>
    <mergeCell ref="L76:O76"/>
    <mergeCell ref="P76:T76"/>
    <mergeCell ref="D77:F77"/>
    <mergeCell ref="H77:K77"/>
    <mergeCell ref="L77:O77"/>
    <mergeCell ref="P77:T77"/>
    <mergeCell ref="A93:V93"/>
    <mergeCell ref="A94:V94"/>
    <mergeCell ref="D80:F80"/>
    <mergeCell ref="H80:K80"/>
    <mergeCell ref="L80:O80"/>
    <mergeCell ref="P80:T80"/>
    <mergeCell ref="D81:F81"/>
    <mergeCell ref="H81:K81"/>
    <mergeCell ref="L81:O81"/>
    <mergeCell ref="P81:T81"/>
  </mergeCells>
  <conditionalFormatting sqref="E29:E35 E37 K37:P51 E40:E51">
    <cfRule type="cellIs" dxfId="49" priority="9" operator="equal">
      <formula>0</formula>
    </cfRule>
  </conditionalFormatting>
  <conditionalFormatting sqref="E28:P28 F8:P10 P29:P31 P36">
    <cfRule type="cellIs" dxfId="48" priority="8" operator="equal">
      <formula>0</formula>
    </cfRule>
  </conditionalFormatting>
  <conditionalFormatting sqref="E28:P28 F8:P10 P29:P31 E29:E35 P36 E37 K37:P51 E40:E51">
    <cfRule type="containsErrors" dxfId="47" priority="7">
      <formula>ISERROR(E8)</formula>
    </cfRule>
  </conditionalFormatting>
  <conditionalFormatting sqref="E8:E10">
    <cfRule type="cellIs" dxfId="46" priority="6" operator="equal">
      <formula>0</formula>
    </cfRule>
  </conditionalFormatting>
  <conditionalFormatting sqref="E8:E10">
    <cfRule type="containsErrors" dxfId="45" priority="5">
      <formula>ISERROR(E8)</formula>
    </cfRule>
  </conditionalFormatting>
  <conditionalFormatting sqref="E38:E39">
    <cfRule type="cellIs" dxfId="44" priority="4" operator="equal">
      <formula>0</formula>
    </cfRule>
  </conditionalFormatting>
  <conditionalFormatting sqref="E38:E39">
    <cfRule type="containsErrors" dxfId="43" priority="3">
      <formula>ISERROR(E38)</formula>
    </cfRule>
  </conditionalFormatting>
  <conditionalFormatting sqref="E36 J36 O36">
    <cfRule type="cellIs" dxfId="42" priority="2" operator="equal">
      <formula>0</formula>
    </cfRule>
  </conditionalFormatting>
  <conditionalFormatting sqref="E36 J36 O36">
    <cfRule type="containsErrors" dxfId="41" priority="1">
      <formula>ISERROR(E36)</formula>
    </cfRule>
  </conditionalFormatting>
  <pageMargins left="0.27559055118110237" right="3.937007874015748E-2" top="0.11458333333333333" bottom="0" header="0.31496062992125984" footer="0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95"/>
  <sheetViews>
    <sheetView view="pageLayout" topLeftCell="A2" zoomScaleNormal="100" workbookViewId="0">
      <selection activeCell="U66" sqref="U66"/>
    </sheetView>
  </sheetViews>
  <sheetFormatPr baseColWidth="10" defaultColWidth="11.42578125" defaultRowHeight="12.75" x14ac:dyDescent="0.2"/>
  <cols>
    <col min="1" max="1" width="0.7109375" style="163" customWidth="1"/>
    <col min="2" max="2" width="2.42578125" style="163" customWidth="1"/>
    <col min="3" max="3" width="23.42578125" style="163" customWidth="1"/>
    <col min="4" max="4" width="1.28515625" style="163" customWidth="1"/>
    <col min="5" max="5" width="7.42578125" style="163" customWidth="1"/>
    <col min="6" max="6" width="6.710937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6.28515625" style="163" customWidth="1"/>
    <col min="16" max="16" width="0.7109375" style="163" customWidth="1"/>
    <col min="17" max="18" width="3" style="163" customWidth="1"/>
    <col min="19" max="19" width="2.42578125" style="163" customWidth="1"/>
    <col min="20" max="20" width="4.85546875" style="163" customWidth="1"/>
    <col min="21" max="21" width="5.57031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2969"/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1"/>
    </row>
    <row r="3" spans="1:25" ht="27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4"/>
    </row>
    <row r="4" spans="1:25" ht="16.5" thickTop="1" x14ac:dyDescent="0.25">
      <c r="A4" s="2953" t="s">
        <v>1285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881" t="s">
        <v>253</v>
      </c>
      <c r="B5" s="2980"/>
      <c r="C5" s="2980"/>
      <c r="D5" s="2980"/>
      <c r="E5" s="2980"/>
      <c r="F5" s="2980"/>
      <c r="G5" s="2980"/>
      <c r="H5" s="2980"/>
      <c r="I5" s="2980"/>
      <c r="J5" s="2980"/>
      <c r="K5" s="2980"/>
      <c r="L5" s="2980"/>
      <c r="M5" s="2980"/>
      <c r="N5" s="2980"/>
      <c r="O5" s="2980"/>
      <c r="P5" s="2980"/>
      <c r="Q5" s="2980"/>
      <c r="R5" s="2980"/>
      <c r="S5" s="2980"/>
      <c r="T5" s="2980"/>
      <c r="U5" s="2980"/>
      <c r="V5" s="2981"/>
    </row>
    <row r="6" spans="1:25" ht="15.75" x14ac:dyDescent="0.2">
      <c r="A6" s="2881" t="s">
        <v>1119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x14ac:dyDescent="0.2">
      <c r="A7" s="2982"/>
      <c r="B7" s="2983"/>
      <c r="C7" s="2983"/>
      <c r="D7" s="2983"/>
      <c r="E7" s="2983"/>
      <c r="F7" s="2983"/>
      <c r="G7" s="2983"/>
      <c r="H7" s="2983"/>
      <c r="I7" s="2983"/>
      <c r="J7" s="2983"/>
      <c r="K7" s="2983"/>
      <c r="L7" s="2983"/>
      <c r="M7" s="2983"/>
      <c r="N7" s="2983"/>
      <c r="O7" s="2983"/>
      <c r="P7" s="2983"/>
      <c r="Q7" s="2983"/>
      <c r="R7" s="2983"/>
      <c r="S7" s="2983"/>
      <c r="T7" s="2983"/>
      <c r="U7" s="2983"/>
      <c r="V7" s="2984"/>
    </row>
    <row r="8" spans="1:25" ht="15" customHeight="1" x14ac:dyDescent="0.2">
      <c r="A8" s="165"/>
      <c r="B8" s="166" t="s">
        <v>1105</v>
      </c>
      <c r="D8" s="166" t="s">
        <v>218</v>
      </c>
      <c r="E8" s="1555"/>
      <c r="Q8" s="2904" t="s">
        <v>862</v>
      </c>
      <c r="R8" s="2905"/>
      <c r="S8" s="2905"/>
      <c r="T8" s="2905"/>
      <c r="U8" s="2905"/>
      <c r="V8" s="167"/>
    </row>
    <row r="9" spans="1:25" ht="12.75" customHeight="1" x14ac:dyDescent="0.2">
      <c r="A9" s="165"/>
      <c r="E9" s="1555"/>
      <c r="Q9" s="2904"/>
      <c r="R9" s="2905"/>
      <c r="S9" s="2905"/>
      <c r="T9" s="2905"/>
      <c r="U9" s="2905"/>
      <c r="V9" s="167"/>
      <c r="Y9" s="168"/>
    </row>
    <row r="10" spans="1:25" x14ac:dyDescent="0.2">
      <c r="A10" s="165"/>
      <c r="Q10" s="2904"/>
      <c r="R10" s="2905"/>
      <c r="S10" s="2905"/>
      <c r="T10" s="2905"/>
      <c r="U10" s="2905"/>
      <c r="V10" s="167"/>
      <c r="X10" s="169"/>
      <c r="Y10" s="168"/>
    </row>
    <row r="11" spans="1:25" ht="6.75" customHeight="1" x14ac:dyDescent="0.2">
      <c r="A11" s="165"/>
      <c r="Q11" s="2904"/>
      <c r="R11" s="2905"/>
      <c r="S11" s="2905"/>
      <c r="T11" s="2905"/>
      <c r="U11" s="2905"/>
      <c r="V11" s="167"/>
    </row>
    <row r="12" spans="1:25" x14ac:dyDescent="0.2">
      <c r="A12" s="165"/>
      <c r="B12" s="170" t="s">
        <v>1106</v>
      </c>
      <c r="C12" s="171"/>
      <c r="D12" s="170" t="s">
        <v>218</v>
      </c>
      <c r="E12" s="2989"/>
      <c r="F12" s="2990"/>
      <c r="G12" s="2990"/>
      <c r="H12" s="2990"/>
      <c r="I12" s="2990"/>
      <c r="J12" s="2990"/>
      <c r="K12" s="2990"/>
      <c r="L12" s="2990"/>
      <c r="M12" s="2990"/>
      <c r="N12" s="2990"/>
      <c r="O12" s="2990"/>
      <c r="P12" s="172"/>
      <c r="Q12" s="2904"/>
      <c r="R12" s="2905"/>
      <c r="S12" s="2905"/>
      <c r="T12" s="2905"/>
      <c r="U12" s="2905"/>
      <c r="V12" s="167"/>
      <c r="W12" s="203"/>
      <c r="Y12" s="168"/>
    </row>
    <row r="13" spans="1:25" ht="6" customHeight="1" x14ac:dyDescent="0.2">
      <c r="A13" s="165"/>
      <c r="Q13" s="2904"/>
      <c r="R13" s="2905"/>
      <c r="S13" s="2905"/>
      <c r="T13" s="2905"/>
      <c r="U13" s="2905"/>
      <c r="V13" s="167"/>
    </row>
    <row r="14" spans="1:25" x14ac:dyDescent="0.2">
      <c r="A14" s="165"/>
      <c r="B14" s="170" t="s">
        <v>1154</v>
      </c>
      <c r="D14" s="175" t="s">
        <v>218</v>
      </c>
      <c r="Q14" s="2904"/>
      <c r="R14" s="2905"/>
      <c r="S14" s="2905"/>
      <c r="T14" s="2905"/>
      <c r="U14" s="2905"/>
      <c r="V14" s="167"/>
    </row>
    <row r="15" spans="1:25" ht="6" customHeight="1" x14ac:dyDescent="0.2">
      <c r="A15" s="165"/>
      <c r="Q15" s="2904"/>
      <c r="R15" s="2905"/>
      <c r="S15" s="2905"/>
      <c r="T15" s="2905"/>
      <c r="U15" s="2905"/>
      <c r="V15" s="167"/>
    </row>
    <row r="16" spans="1:25" x14ac:dyDescent="0.2">
      <c r="A16" s="165"/>
      <c r="B16" s="170" t="s">
        <v>1151</v>
      </c>
      <c r="C16" s="990"/>
      <c r="D16" s="170" t="s">
        <v>218</v>
      </c>
      <c r="E16" s="2991"/>
      <c r="F16" s="2991"/>
      <c r="G16" s="2991"/>
      <c r="H16" s="2991"/>
      <c r="I16" s="2991"/>
      <c r="J16" s="2991"/>
      <c r="K16" s="2991"/>
      <c r="L16" s="2991"/>
      <c r="M16" s="2991"/>
      <c r="N16" s="2991"/>
      <c r="O16" s="2991"/>
      <c r="P16" s="173"/>
      <c r="Q16" s="2904"/>
      <c r="R16" s="2905"/>
      <c r="S16" s="2905"/>
      <c r="T16" s="2905"/>
      <c r="U16" s="2905"/>
      <c r="V16" s="167"/>
      <c r="Y16" s="168"/>
    </row>
    <row r="17" spans="1:25" ht="6.75" customHeight="1" x14ac:dyDescent="0.2">
      <c r="A17" s="165"/>
      <c r="B17" s="170"/>
      <c r="C17" s="990"/>
      <c r="D17" s="170"/>
      <c r="E17" s="1938"/>
      <c r="F17" s="1938"/>
      <c r="G17" s="1938"/>
      <c r="H17" s="1938"/>
      <c r="I17" s="1938"/>
      <c r="J17" s="1938"/>
      <c r="K17" s="1938"/>
      <c r="L17" s="1938"/>
      <c r="M17" s="1938"/>
      <c r="N17" s="1938"/>
      <c r="O17" s="1938"/>
      <c r="P17" s="173"/>
      <c r="Q17" s="1931"/>
      <c r="R17" s="1932"/>
      <c r="S17" s="1932"/>
      <c r="T17" s="1932"/>
      <c r="U17" s="1932"/>
      <c r="V17" s="167"/>
      <c r="Y17" s="168"/>
    </row>
    <row r="18" spans="1:25" x14ac:dyDescent="0.2">
      <c r="A18" s="165"/>
      <c r="B18" s="170"/>
      <c r="C18" s="1682" t="s">
        <v>1282</v>
      </c>
      <c r="D18" s="170" t="s">
        <v>218</v>
      </c>
      <c r="E18" s="1938"/>
      <c r="F18" s="1938"/>
      <c r="G18" s="1938"/>
      <c r="H18" s="1938"/>
      <c r="I18" s="1938"/>
      <c r="J18" s="1938"/>
      <c r="K18" s="1938"/>
      <c r="L18" s="1938"/>
      <c r="M18" s="1938"/>
      <c r="N18" s="1938"/>
      <c r="O18" s="1938"/>
      <c r="P18" s="173"/>
      <c r="Q18" s="1931"/>
      <c r="R18" s="1932"/>
      <c r="S18" s="1932"/>
      <c r="T18" s="1932"/>
      <c r="U18" s="1932"/>
      <c r="V18" s="167"/>
      <c r="Y18" s="168"/>
    </row>
    <row r="19" spans="1:25" x14ac:dyDescent="0.2">
      <c r="A19" s="165"/>
      <c r="B19" s="170"/>
      <c r="C19" s="1682" t="s">
        <v>1283</v>
      </c>
      <c r="D19" s="170" t="s">
        <v>218</v>
      </c>
      <c r="E19" s="1938"/>
      <c r="F19" s="1938"/>
      <c r="G19" s="1938"/>
      <c r="H19" s="1938"/>
      <c r="I19" s="1938"/>
      <c r="J19" s="1938"/>
      <c r="K19" s="1938"/>
      <c r="L19" s="1938"/>
      <c r="M19" s="1938"/>
      <c r="N19" s="1938"/>
      <c r="O19" s="1938"/>
      <c r="P19" s="173"/>
      <c r="Q19" s="1931"/>
      <c r="R19" s="1932"/>
      <c r="S19" s="1932"/>
      <c r="T19" s="1932"/>
      <c r="U19" s="1932"/>
      <c r="V19" s="167"/>
      <c r="Y19" s="168"/>
    </row>
    <row r="20" spans="1:25" ht="7.5" customHeight="1" x14ac:dyDescent="0.2">
      <c r="A20" s="165"/>
      <c r="B20" s="166"/>
      <c r="D20" s="166"/>
      <c r="E20" s="1945"/>
      <c r="F20" s="1945"/>
      <c r="G20" s="1945"/>
      <c r="H20" s="1945"/>
      <c r="I20" s="1945"/>
      <c r="J20" s="1945"/>
      <c r="K20" s="1945"/>
      <c r="L20" s="1945"/>
      <c r="M20" s="1945"/>
      <c r="N20" s="1945"/>
      <c r="O20" s="173"/>
      <c r="P20" s="173"/>
      <c r="Q20" s="174"/>
      <c r="R20" s="173"/>
      <c r="S20" s="173"/>
      <c r="T20" s="1933"/>
      <c r="U20" s="1933"/>
      <c r="V20" s="167"/>
      <c r="Y20" s="168"/>
    </row>
    <row r="21" spans="1:25" x14ac:dyDescent="0.2">
      <c r="A21" s="165"/>
      <c r="B21" s="175" t="s">
        <v>1153</v>
      </c>
      <c r="D21" s="175" t="s">
        <v>218</v>
      </c>
      <c r="E21" s="2992"/>
      <c r="F21" s="2991"/>
      <c r="G21" s="2991"/>
      <c r="H21" s="2991"/>
      <c r="I21" s="2991"/>
      <c r="J21" s="2991"/>
      <c r="K21" s="2991"/>
      <c r="L21" s="2991"/>
      <c r="M21" s="2991"/>
      <c r="N21" s="2991"/>
      <c r="O21" s="2991"/>
      <c r="P21" s="1938"/>
      <c r="Q21" s="1950"/>
      <c r="R21" s="1938"/>
      <c r="S21" s="1938"/>
      <c r="T21" s="1933"/>
      <c r="U21" s="1933"/>
      <c r="V21" s="167"/>
    </row>
    <row r="22" spans="1:25" ht="27" customHeight="1" x14ac:dyDescent="0.2">
      <c r="A22" s="165"/>
      <c r="E22" s="2991"/>
      <c r="F22" s="2991"/>
      <c r="G22" s="2991"/>
      <c r="H22" s="2991"/>
      <c r="I22" s="2991"/>
      <c r="J22" s="2991"/>
      <c r="K22" s="2991"/>
      <c r="L22" s="2991"/>
      <c r="M22" s="2991"/>
      <c r="N22" s="2991"/>
      <c r="O22" s="2991"/>
      <c r="P22" s="1938"/>
      <c r="Q22" s="2904" t="s">
        <v>1024</v>
      </c>
      <c r="R22" s="2905"/>
      <c r="S22" s="2905"/>
      <c r="T22" s="2905"/>
      <c r="U22" s="2905"/>
      <c r="V22" s="167"/>
    </row>
    <row r="23" spans="1:25" ht="7.5" customHeight="1" x14ac:dyDescent="0.2">
      <c r="A23" s="165"/>
      <c r="E23" s="177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2904"/>
      <c r="R23" s="2905"/>
      <c r="S23" s="2905"/>
      <c r="T23" s="2905"/>
      <c r="U23" s="2905"/>
      <c r="V23" s="167"/>
    </row>
    <row r="24" spans="1:25" ht="41.25" customHeight="1" x14ac:dyDescent="0.2">
      <c r="A24" s="165"/>
      <c r="B24" s="170" t="s">
        <v>1126</v>
      </c>
      <c r="C24" s="990"/>
      <c r="D24" s="1682" t="s">
        <v>218</v>
      </c>
      <c r="E24" s="3172"/>
      <c r="F24" s="3172"/>
      <c r="G24" s="3172"/>
      <c r="H24" s="3172"/>
      <c r="I24" s="3172"/>
      <c r="J24" s="3172"/>
      <c r="K24" s="3172"/>
      <c r="L24" s="3172"/>
      <c r="M24" s="3172"/>
      <c r="N24" s="3172"/>
      <c r="O24" s="3172"/>
      <c r="P24" s="177"/>
      <c r="Q24" s="2904"/>
      <c r="R24" s="2905"/>
      <c r="S24" s="2905"/>
      <c r="T24" s="2905"/>
      <c r="U24" s="2905"/>
      <c r="V24" s="167"/>
    </row>
    <row r="25" spans="1:25" ht="6.75" customHeight="1" x14ac:dyDescent="0.2">
      <c r="A25" s="165"/>
      <c r="B25" s="170"/>
      <c r="C25" s="990"/>
      <c r="D25" s="1682"/>
      <c r="E25" s="1942"/>
      <c r="F25" s="1942"/>
      <c r="G25" s="1942"/>
      <c r="H25" s="1942"/>
      <c r="I25" s="1942"/>
      <c r="J25" s="1942"/>
      <c r="K25" s="1942"/>
      <c r="L25" s="1942"/>
      <c r="M25" s="1942"/>
      <c r="N25" s="1942"/>
      <c r="O25" s="1942"/>
      <c r="P25" s="177"/>
      <c r="Q25" s="2904"/>
      <c r="R25" s="2905"/>
      <c r="S25" s="2905"/>
      <c r="T25" s="2905"/>
      <c r="U25" s="2905"/>
      <c r="V25" s="167"/>
    </row>
    <row r="26" spans="1:25" x14ac:dyDescent="0.2">
      <c r="A26" s="165"/>
      <c r="B26" s="166" t="s">
        <v>1152</v>
      </c>
      <c r="D26" s="166" t="s">
        <v>218</v>
      </c>
      <c r="Q26" s="2904"/>
      <c r="R26" s="2905"/>
      <c r="S26" s="2905"/>
      <c r="T26" s="2905"/>
      <c r="U26" s="2905"/>
      <c r="V26" s="167"/>
      <c r="Y26" s="168"/>
    </row>
    <row r="27" spans="1:25" ht="6.75" customHeight="1" x14ac:dyDescent="0.2">
      <c r="A27" s="165"/>
      <c r="E27" s="1947"/>
      <c r="F27" s="1947"/>
      <c r="G27" s="1947"/>
      <c r="H27" s="1947"/>
      <c r="I27" s="1947"/>
      <c r="J27" s="1947"/>
      <c r="K27" s="1947"/>
      <c r="L27" s="1947"/>
      <c r="M27" s="1947"/>
      <c r="N27" s="1947"/>
      <c r="Q27" s="2904"/>
      <c r="R27" s="2905"/>
      <c r="S27" s="2905"/>
      <c r="T27" s="2905"/>
      <c r="U27" s="2905"/>
      <c r="V27" s="167"/>
    </row>
    <row r="28" spans="1:25" ht="12" customHeight="1" x14ac:dyDescent="0.2">
      <c r="A28" s="165"/>
      <c r="C28" s="170" t="s">
        <v>203</v>
      </c>
      <c r="D28" s="1949" t="s">
        <v>218</v>
      </c>
      <c r="E28" s="180"/>
      <c r="F28" s="180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2904"/>
      <c r="R28" s="2905"/>
      <c r="S28" s="2905"/>
      <c r="T28" s="2905"/>
      <c r="U28" s="2905"/>
      <c r="V28" s="167"/>
    </row>
    <row r="29" spans="1:25" ht="28.5" customHeight="1" x14ac:dyDescent="0.2">
      <c r="A29" s="165"/>
      <c r="C29" s="170" t="s">
        <v>138</v>
      </c>
      <c r="D29" s="1949" t="s">
        <v>218</v>
      </c>
      <c r="E29" s="3171"/>
      <c r="F29" s="3171"/>
      <c r="G29" s="3171"/>
      <c r="H29" s="3171"/>
      <c r="I29" s="3171"/>
      <c r="J29" s="3171"/>
      <c r="K29" s="3171"/>
      <c r="L29" s="3171"/>
      <c r="M29" s="3171"/>
      <c r="N29" s="3171"/>
      <c r="O29" s="3171"/>
      <c r="P29" s="180"/>
      <c r="Q29" s="2904"/>
      <c r="R29" s="2905"/>
      <c r="S29" s="2905"/>
      <c r="T29" s="2905"/>
      <c r="U29" s="2905"/>
      <c r="V29" s="167"/>
    </row>
    <row r="30" spans="1:25" x14ac:dyDescent="0.2">
      <c r="A30" s="165"/>
      <c r="C30" s="170" t="s">
        <v>1110</v>
      </c>
      <c r="D30" s="1949" t="s">
        <v>218</v>
      </c>
      <c r="E30" s="3173"/>
      <c r="F30" s="3173"/>
      <c r="G30" s="3173"/>
      <c r="H30" s="3173"/>
      <c r="I30" s="3173"/>
      <c r="J30" s="3173"/>
      <c r="K30" s="3173"/>
      <c r="L30" s="3173"/>
      <c r="M30" s="3173"/>
      <c r="N30" s="3173"/>
      <c r="O30" s="3173"/>
      <c r="P30" s="180"/>
      <c r="Q30" s="2904"/>
      <c r="R30" s="2905"/>
      <c r="S30" s="2905"/>
      <c r="T30" s="2905"/>
      <c r="U30" s="2905"/>
      <c r="V30" s="167"/>
    </row>
    <row r="31" spans="1:25" x14ac:dyDescent="0.2">
      <c r="A31" s="165"/>
      <c r="C31" s="170" t="s">
        <v>1108</v>
      </c>
      <c r="D31" s="1949" t="s">
        <v>218</v>
      </c>
      <c r="E31" s="3173"/>
      <c r="F31" s="3173"/>
      <c r="G31" s="3173"/>
      <c r="H31" s="3173"/>
      <c r="I31" s="3173"/>
      <c r="J31" s="3173"/>
      <c r="K31" s="3173"/>
      <c r="L31" s="3173"/>
      <c r="M31" s="3173"/>
      <c r="N31" s="3173"/>
      <c r="O31" s="3173"/>
      <c r="P31" s="180"/>
      <c r="Q31" s="2904"/>
      <c r="R31" s="2905"/>
      <c r="S31" s="2905"/>
      <c r="T31" s="2905"/>
      <c r="U31" s="2905"/>
      <c r="V31" s="167"/>
    </row>
    <row r="32" spans="1:25" x14ac:dyDescent="0.2">
      <c r="A32" s="165"/>
      <c r="C32" s="181" t="s">
        <v>1109</v>
      </c>
      <c r="D32" s="1949" t="s">
        <v>218</v>
      </c>
      <c r="E32" s="2910"/>
      <c r="F32" s="2910"/>
      <c r="G32" s="2910"/>
      <c r="H32" s="2910"/>
      <c r="I32" s="2910"/>
      <c r="J32" s="2910"/>
      <c r="K32" s="2910"/>
      <c r="L32" s="2910"/>
      <c r="M32" s="2910"/>
      <c r="N32" s="2910"/>
      <c r="O32" s="2910"/>
      <c r="P32" s="1934"/>
      <c r="Q32" s="2904"/>
      <c r="R32" s="2905"/>
      <c r="S32" s="2905"/>
      <c r="T32" s="2905"/>
      <c r="U32" s="2905"/>
      <c r="V32" s="167"/>
    </row>
    <row r="33" spans="1:22" ht="90.75" customHeight="1" x14ac:dyDescent="0.2">
      <c r="A33" s="165"/>
      <c r="C33" s="182" t="s">
        <v>229</v>
      </c>
      <c r="D33" s="1949" t="s">
        <v>218</v>
      </c>
      <c r="E33" s="2985"/>
      <c r="F33" s="2985"/>
      <c r="G33" s="2985"/>
      <c r="H33" s="2985"/>
      <c r="I33" s="2985"/>
      <c r="J33" s="2985"/>
      <c r="K33" s="2985"/>
      <c r="L33" s="2985"/>
      <c r="M33" s="2985"/>
      <c r="N33" s="2985"/>
      <c r="O33" s="2985"/>
      <c r="P33" s="1935"/>
      <c r="Q33" s="2906" t="s">
        <v>230</v>
      </c>
      <c r="R33" s="2907"/>
      <c r="S33" s="2907"/>
      <c r="T33" s="2907"/>
      <c r="U33" s="2907"/>
      <c r="V33" s="167"/>
    </row>
    <row r="34" spans="1:22" ht="27.75" customHeight="1" x14ac:dyDescent="0.2">
      <c r="A34" s="165"/>
      <c r="C34" s="182" t="s">
        <v>231</v>
      </c>
      <c r="D34" s="1949" t="s">
        <v>218</v>
      </c>
      <c r="E34" s="2986"/>
      <c r="F34" s="2986"/>
      <c r="G34" s="2986"/>
      <c r="H34" s="2986"/>
      <c r="I34" s="2986"/>
      <c r="J34" s="2986"/>
      <c r="K34" s="2986"/>
      <c r="L34" s="2986"/>
      <c r="M34" s="2986"/>
      <c r="N34" s="2986"/>
      <c r="O34" s="2986"/>
      <c r="P34" s="1936"/>
      <c r="Q34" s="2949" t="s">
        <v>1240</v>
      </c>
      <c r="R34" s="3123"/>
      <c r="S34" s="3123"/>
      <c r="T34" s="3123"/>
      <c r="U34" s="3123"/>
      <c r="V34" s="167"/>
    </row>
    <row r="35" spans="1:22" ht="6" customHeight="1" x14ac:dyDescent="0.2">
      <c r="A35" s="165"/>
      <c r="C35" s="182"/>
      <c r="D35" s="1949"/>
      <c r="E35" s="1936"/>
      <c r="F35" s="1936"/>
      <c r="G35" s="1936"/>
      <c r="H35" s="1936"/>
      <c r="I35" s="1936"/>
      <c r="J35" s="1936"/>
      <c r="K35" s="1936"/>
      <c r="L35" s="1936"/>
      <c r="M35" s="1936"/>
      <c r="N35" s="1936"/>
      <c r="O35" s="1936"/>
      <c r="P35" s="1936"/>
      <c r="Q35" s="2949"/>
      <c r="R35" s="3123"/>
      <c r="S35" s="3123"/>
      <c r="T35" s="3123"/>
      <c r="U35" s="3123"/>
      <c r="V35" s="167"/>
    </row>
    <row r="36" spans="1:22" ht="12.75" customHeight="1" x14ac:dyDescent="0.2">
      <c r="A36" s="165"/>
      <c r="B36" s="175" t="s">
        <v>1156</v>
      </c>
      <c r="C36" s="182"/>
      <c r="D36" s="1949" t="s">
        <v>218</v>
      </c>
      <c r="E36" s="3170"/>
      <c r="F36" s="3170"/>
      <c r="G36" s="3170"/>
      <c r="H36" s="3170"/>
      <c r="I36" s="3170"/>
      <c r="J36" s="3170"/>
      <c r="K36" s="3170"/>
      <c r="L36" s="3170"/>
      <c r="M36" s="3170"/>
      <c r="N36" s="3170"/>
      <c r="O36" s="1941"/>
      <c r="P36" s="180"/>
      <c r="Q36" s="2949"/>
      <c r="R36" s="3123"/>
      <c r="S36" s="3123"/>
      <c r="T36" s="3123"/>
      <c r="U36" s="3123"/>
      <c r="V36" s="167"/>
    </row>
    <row r="37" spans="1:22" ht="6.75" customHeight="1" x14ac:dyDescent="0.2">
      <c r="A37" s="165"/>
      <c r="C37" s="182"/>
      <c r="D37" s="1949"/>
      <c r="E37" s="1937"/>
      <c r="F37" s="1937"/>
      <c r="G37" s="183"/>
      <c r="H37" s="183"/>
      <c r="I37" s="183"/>
      <c r="J37" s="183"/>
      <c r="K37" s="180"/>
      <c r="L37" s="180"/>
      <c r="M37" s="180"/>
      <c r="N37" s="180"/>
      <c r="O37" s="180"/>
      <c r="P37" s="180"/>
      <c r="Q37" s="2949"/>
      <c r="R37" s="3123"/>
      <c r="S37" s="3123"/>
      <c r="T37" s="3123"/>
      <c r="U37" s="3123"/>
      <c r="V37" s="167"/>
    </row>
    <row r="38" spans="1:22" x14ac:dyDescent="0.2">
      <c r="A38" s="165"/>
      <c r="B38" s="175" t="s">
        <v>1129</v>
      </c>
      <c r="C38" s="170"/>
      <c r="D38" s="1949" t="s">
        <v>218</v>
      </c>
      <c r="E38" s="3170"/>
      <c r="F38" s="3170"/>
      <c r="G38" s="3170"/>
      <c r="H38" s="3170"/>
      <c r="I38" s="3170"/>
      <c r="J38" s="1946"/>
      <c r="K38" s="184"/>
      <c r="L38" s="184"/>
      <c r="M38" s="184"/>
      <c r="N38" s="184"/>
      <c r="O38" s="184"/>
      <c r="P38" s="184"/>
      <c r="Q38" s="2949"/>
      <c r="R38" s="3123"/>
      <c r="S38" s="3123"/>
      <c r="T38" s="3123"/>
      <c r="U38" s="3123"/>
      <c r="V38" s="167"/>
    </row>
    <row r="39" spans="1:22" ht="6.75" customHeight="1" x14ac:dyDescent="0.2">
      <c r="A39" s="165"/>
      <c r="B39" s="175"/>
      <c r="C39" s="170"/>
      <c r="D39" s="1949"/>
      <c r="E39" s="1941"/>
      <c r="F39" s="1941"/>
      <c r="G39" s="1941"/>
      <c r="H39" s="1941"/>
      <c r="I39" s="1941"/>
      <c r="J39" s="1946"/>
      <c r="K39" s="184"/>
      <c r="L39" s="184"/>
      <c r="M39" s="184"/>
      <c r="N39" s="184"/>
      <c r="O39" s="184"/>
      <c r="P39" s="184"/>
      <c r="Q39" s="1953"/>
      <c r="R39" s="1952"/>
      <c r="S39" s="1952"/>
      <c r="T39" s="1952"/>
      <c r="U39" s="1952"/>
      <c r="V39" s="167"/>
    </row>
    <row r="40" spans="1:22" x14ac:dyDescent="0.2">
      <c r="A40" s="165"/>
      <c r="B40" s="166" t="s">
        <v>1281</v>
      </c>
      <c r="C40" s="170"/>
      <c r="D40" s="1949"/>
      <c r="E40" s="1939"/>
      <c r="F40" s="1939"/>
      <c r="G40" s="1939"/>
      <c r="H40" s="1939"/>
      <c r="I40" s="1939"/>
      <c r="J40" s="1939"/>
      <c r="K40" s="180"/>
      <c r="L40" s="180"/>
      <c r="M40" s="180"/>
      <c r="N40" s="180"/>
      <c r="O40" s="180"/>
      <c r="P40" s="180"/>
      <c r="Q40" s="1953"/>
      <c r="R40" s="1952"/>
      <c r="S40" s="1952"/>
      <c r="T40" s="1952"/>
      <c r="U40" s="1952"/>
      <c r="V40" s="167"/>
    </row>
    <row r="41" spans="1:22" ht="13.5" thickBot="1" x14ac:dyDescent="0.25">
      <c r="A41" s="165"/>
      <c r="C41" s="170"/>
      <c r="D41" s="1949"/>
      <c r="E41" s="1939"/>
      <c r="F41" s="1939"/>
      <c r="G41" s="1939"/>
      <c r="H41" s="1939"/>
      <c r="I41" s="1939"/>
      <c r="J41" s="1939"/>
      <c r="K41" s="180"/>
      <c r="L41" s="180"/>
      <c r="M41" s="180"/>
      <c r="N41" s="180"/>
      <c r="O41" s="180"/>
      <c r="P41" s="180"/>
      <c r="Q41" s="1953"/>
      <c r="R41" s="1952"/>
      <c r="S41" s="1952"/>
      <c r="T41" s="1952"/>
      <c r="U41" s="1952"/>
      <c r="V41" s="167"/>
    </row>
    <row r="42" spans="1:22" ht="13.5" thickBot="1" x14ac:dyDescent="0.25">
      <c r="A42" s="165"/>
      <c r="C42" s="198" t="s">
        <v>183</v>
      </c>
      <c r="D42" s="1949"/>
      <c r="E42" s="1939"/>
      <c r="F42" s="1939"/>
      <c r="G42" s="1939"/>
      <c r="H42" s="1939"/>
      <c r="I42" s="1939"/>
      <c r="J42" s="1939"/>
      <c r="K42" s="180"/>
      <c r="L42" s="180"/>
      <c r="M42" s="180"/>
      <c r="N42" s="180"/>
      <c r="O42" s="180"/>
      <c r="P42" s="180"/>
      <c r="Q42" s="1953"/>
      <c r="R42" s="1952"/>
      <c r="S42" s="1952"/>
      <c r="T42" s="1952"/>
      <c r="U42" s="1952"/>
      <c r="V42" s="167"/>
    </row>
    <row r="43" spans="1:22" x14ac:dyDescent="0.2">
      <c r="A43" s="165"/>
      <c r="C43" s="210"/>
      <c r="D43" s="1949"/>
      <c r="E43" s="1939"/>
      <c r="F43" s="1939"/>
      <c r="G43" s="1939"/>
      <c r="H43" s="1939"/>
      <c r="I43" s="1939"/>
      <c r="J43" s="1939"/>
      <c r="K43" s="180"/>
      <c r="L43" s="180"/>
      <c r="M43" s="180"/>
      <c r="N43" s="180"/>
      <c r="O43" s="180"/>
      <c r="P43" s="180"/>
      <c r="Q43" s="1953"/>
      <c r="R43" s="1952"/>
      <c r="S43" s="1952"/>
      <c r="T43" s="1952"/>
      <c r="U43" s="1952"/>
      <c r="V43" s="167"/>
    </row>
    <row r="44" spans="1:22" x14ac:dyDescent="0.2">
      <c r="A44" s="165"/>
      <c r="C44" s="211"/>
      <c r="D44" s="1949"/>
      <c r="E44" s="1939"/>
      <c r="F44" s="1939"/>
      <c r="G44" s="1939"/>
      <c r="H44" s="1939"/>
      <c r="I44" s="1939"/>
      <c r="J44" s="1939"/>
      <c r="K44" s="180"/>
      <c r="L44" s="180"/>
      <c r="M44" s="180"/>
      <c r="N44" s="180"/>
      <c r="O44" s="180"/>
      <c r="P44" s="180"/>
      <c r="Q44" s="1953"/>
      <c r="R44" s="1952"/>
      <c r="S44" s="1952"/>
      <c r="T44" s="1952"/>
      <c r="U44" s="1952"/>
      <c r="V44" s="167"/>
    </row>
    <row r="45" spans="1:22" x14ac:dyDescent="0.2">
      <c r="A45" s="165"/>
      <c r="C45" s="211"/>
      <c r="D45" s="1949"/>
      <c r="E45" s="1939"/>
      <c r="F45" s="1939"/>
      <c r="G45" s="1939"/>
      <c r="H45" s="1939"/>
      <c r="I45" s="1939"/>
      <c r="J45" s="1939"/>
      <c r="K45" s="180"/>
      <c r="L45" s="180"/>
      <c r="M45" s="180"/>
      <c r="N45" s="180"/>
      <c r="O45" s="180"/>
      <c r="P45" s="180"/>
      <c r="Q45" s="1953"/>
      <c r="R45" s="1952"/>
      <c r="S45" s="1952"/>
      <c r="T45" s="1952"/>
      <c r="U45" s="1952"/>
      <c r="V45" s="167"/>
    </row>
    <row r="46" spans="1:22" x14ac:dyDescent="0.2">
      <c r="A46" s="165"/>
      <c r="C46" s="211"/>
      <c r="D46" s="1949"/>
      <c r="E46" s="1939"/>
      <c r="F46" s="1939"/>
      <c r="G46" s="1939"/>
      <c r="H46" s="1939"/>
      <c r="I46" s="1939"/>
      <c r="J46" s="1939"/>
      <c r="K46" s="180"/>
      <c r="L46" s="180"/>
      <c r="M46" s="180"/>
      <c r="N46" s="180"/>
      <c r="O46" s="180"/>
      <c r="P46" s="180"/>
      <c r="Q46" s="1953"/>
      <c r="R46" s="1952"/>
      <c r="S46" s="1952"/>
      <c r="T46" s="1952"/>
      <c r="U46" s="1952"/>
      <c r="V46" s="167"/>
    </row>
    <row r="47" spans="1:22" x14ac:dyDescent="0.2">
      <c r="A47" s="165"/>
      <c r="C47" s="211"/>
      <c r="D47" s="1949"/>
      <c r="E47" s="1939"/>
      <c r="F47" s="1939"/>
      <c r="G47" s="1939"/>
      <c r="H47" s="1939"/>
      <c r="I47" s="1939"/>
      <c r="J47" s="1939"/>
      <c r="K47" s="180"/>
      <c r="L47" s="180"/>
      <c r="M47" s="180"/>
      <c r="N47" s="180"/>
      <c r="O47" s="180"/>
      <c r="P47" s="180"/>
      <c r="Q47" s="1953"/>
      <c r="R47" s="1952"/>
      <c r="S47" s="1952"/>
      <c r="T47" s="1952"/>
      <c r="U47" s="1952"/>
      <c r="V47" s="167"/>
    </row>
    <row r="48" spans="1:22" x14ac:dyDescent="0.2">
      <c r="A48" s="165"/>
      <c r="C48" s="211"/>
      <c r="D48" s="1949"/>
      <c r="E48" s="1939"/>
      <c r="F48" s="1939"/>
      <c r="G48" s="1939"/>
      <c r="H48" s="1939"/>
      <c r="I48" s="1939"/>
      <c r="J48" s="1939"/>
      <c r="K48" s="180"/>
      <c r="L48" s="180"/>
      <c r="M48" s="180"/>
      <c r="N48" s="180"/>
      <c r="O48" s="180"/>
      <c r="P48" s="180"/>
      <c r="Q48" s="1953"/>
      <c r="R48" s="1952"/>
      <c r="S48" s="1952"/>
      <c r="T48" s="1952"/>
      <c r="U48" s="1952"/>
      <c r="V48" s="167"/>
    </row>
    <row r="49" spans="1:22" ht="13.5" thickBot="1" x14ac:dyDescent="0.25">
      <c r="A49" s="165"/>
      <c r="C49" s="212"/>
      <c r="D49" s="1949"/>
      <c r="E49" s="1939"/>
      <c r="F49" s="1939"/>
      <c r="G49" s="1939"/>
      <c r="H49" s="1939"/>
      <c r="I49" s="1939"/>
      <c r="J49" s="1939"/>
      <c r="K49" s="180"/>
      <c r="L49" s="180"/>
      <c r="M49" s="180"/>
      <c r="N49" s="180"/>
      <c r="O49" s="180"/>
      <c r="P49" s="180"/>
      <c r="Q49" s="1953"/>
      <c r="R49" s="1952"/>
      <c r="S49" s="1952"/>
      <c r="T49" s="1952"/>
      <c r="U49" s="1952"/>
      <c r="V49" s="167"/>
    </row>
    <row r="50" spans="1:22" hidden="1" x14ac:dyDescent="0.2">
      <c r="A50" s="165"/>
      <c r="C50" s="1488" t="str">
        <f>'F-LSCD-008'!B49</f>
        <v>-</v>
      </c>
      <c r="D50" s="1949"/>
      <c r="E50" s="1939"/>
      <c r="F50" s="1939"/>
      <c r="G50" s="1939"/>
      <c r="H50" s="1939"/>
      <c r="I50" s="1939"/>
      <c r="J50" s="1939"/>
      <c r="K50" s="180"/>
      <c r="L50" s="180"/>
      <c r="M50" s="180"/>
      <c r="N50" s="180"/>
      <c r="O50" s="180"/>
      <c r="P50" s="180"/>
      <c r="Q50" s="1953"/>
      <c r="R50" s="1952"/>
      <c r="S50" s="1952"/>
      <c r="T50" s="1952"/>
      <c r="U50" s="1952"/>
      <c r="V50" s="167"/>
    </row>
    <row r="51" spans="1:22" ht="13.5" hidden="1" thickBot="1" x14ac:dyDescent="0.25">
      <c r="A51" s="165"/>
      <c r="C51" s="212" t="str">
        <f>'F-LSCD-008'!B50</f>
        <v>-</v>
      </c>
      <c r="D51" s="1949"/>
      <c r="E51" s="1939"/>
      <c r="F51" s="1939"/>
      <c r="G51" s="1939"/>
      <c r="H51" s="1939"/>
      <c r="I51" s="1939"/>
      <c r="J51" s="1939"/>
      <c r="K51" s="180"/>
      <c r="L51" s="180"/>
      <c r="M51" s="180"/>
      <c r="N51" s="180"/>
      <c r="O51" s="180"/>
      <c r="P51" s="180"/>
      <c r="Q51" s="1953"/>
      <c r="R51" s="1952"/>
      <c r="S51" s="1952"/>
      <c r="T51" s="1952"/>
      <c r="U51" s="1952"/>
      <c r="V51" s="167"/>
    </row>
    <row r="52" spans="1:22" ht="42.75" customHeight="1" thickBot="1" x14ac:dyDescent="0.25">
      <c r="A52" s="195"/>
      <c r="B52" s="1867"/>
      <c r="C52" s="1868"/>
      <c r="D52" s="1869"/>
      <c r="E52" s="1869"/>
      <c r="F52" s="1869"/>
      <c r="G52" s="1869"/>
      <c r="H52" s="1870"/>
      <c r="I52" s="1870"/>
      <c r="J52" s="1870"/>
      <c r="K52" s="1870"/>
      <c r="L52" s="1870"/>
      <c r="M52" s="1870"/>
      <c r="N52" s="1870"/>
      <c r="O52" s="1870"/>
      <c r="P52" s="1870"/>
      <c r="Q52" s="1870"/>
      <c r="R52" s="1870"/>
      <c r="S52" s="1870"/>
      <c r="T52" s="1870"/>
      <c r="U52" s="1940"/>
      <c r="V52" s="197"/>
    </row>
    <row r="53" spans="1:22" ht="13.5" thickTop="1" x14ac:dyDescent="0.2">
      <c r="A53" s="3022" t="s">
        <v>236</v>
      </c>
      <c r="B53" s="3023"/>
      <c r="C53" s="3023"/>
      <c r="D53" s="3023"/>
      <c r="E53" s="3023"/>
      <c r="F53" s="3023"/>
      <c r="G53" s="3023"/>
      <c r="H53" s="3023"/>
      <c r="I53" s="3023"/>
      <c r="J53" s="3023"/>
      <c r="K53" s="3023"/>
      <c r="L53" s="3023"/>
      <c r="M53" s="3023"/>
      <c r="N53" s="3023"/>
      <c r="O53" s="3023"/>
      <c r="P53" s="3023"/>
      <c r="Q53" s="3023"/>
      <c r="R53" s="3023"/>
      <c r="S53" s="3023"/>
      <c r="T53" s="3023"/>
      <c r="U53" s="3023"/>
      <c r="V53" s="3024"/>
    </row>
    <row r="54" spans="1:22" ht="13.5" thickBot="1" x14ac:dyDescent="0.25">
      <c r="A54" s="3025" t="s">
        <v>279</v>
      </c>
      <c r="B54" s="3026"/>
      <c r="C54" s="3026"/>
      <c r="D54" s="3026"/>
      <c r="E54" s="3026"/>
      <c r="F54" s="3026"/>
      <c r="G54" s="3026"/>
      <c r="H54" s="3026"/>
      <c r="I54" s="3026"/>
      <c r="J54" s="3026"/>
      <c r="K54" s="3026"/>
      <c r="L54" s="3026"/>
      <c r="M54" s="3026"/>
      <c r="N54" s="3026"/>
      <c r="O54" s="3026"/>
      <c r="P54" s="3026"/>
      <c r="Q54" s="3026"/>
      <c r="R54" s="3026"/>
      <c r="S54" s="3026"/>
      <c r="T54" s="3026"/>
      <c r="U54" s="3026"/>
      <c r="V54" s="3027"/>
    </row>
    <row r="55" spans="1:22" ht="13.5" thickBot="1" x14ac:dyDescent="0.25">
      <c r="A55" s="1490"/>
      <c r="B55" s="1491" t="s">
        <v>916</v>
      </c>
      <c r="C55" s="1490"/>
      <c r="D55" s="1490"/>
      <c r="E55" s="1490"/>
      <c r="F55" s="1490"/>
      <c r="G55" s="1490"/>
      <c r="H55" s="1490"/>
      <c r="I55" s="1490"/>
      <c r="J55" s="1490"/>
      <c r="K55" s="1490"/>
      <c r="L55" s="1490"/>
      <c r="M55" s="1490"/>
      <c r="N55" s="1490"/>
      <c r="O55" s="1490"/>
      <c r="P55" s="1490"/>
      <c r="Q55" s="1490"/>
      <c r="R55" s="1490"/>
      <c r="S55" s="1490"/>
      <c r="T55" s="1490"/>
      <c r="U55" s="1492" t="str">
        <f>A4</f>
        <v>INFORME DE ENSAYO N° XXX-20XX ALEPH/GR/LSCD</v>
      </c>
      <c r="V55" s="1490"/>
    </row>
    <row r="56" spans="1:22" ht="51" customHeight="1" x14ac:dyDescent="0.2">
      <c r="A56" s="2969"/>
      <c r="B56" s="2970"/>
      <c r="C56" s="2970"/>
      <c r="D56" s="2970"/>
      <c r="E56" s="2970"/>
      <c r="F56" s="2970"/>
      <c r="G56" s="2970"/>
      <c r="H56" s="2970"/>
      <c r="I56" s="2970"/>
      <c r="J56" s="2970"/>
      <c r="K56" s="2970"/>
      <c r="L56" s="2970"/>
      <c r="M56" s="2970"/>
      <c r="N56" s="2970"/>
      <c r="O56" s="2970"/>
      <c r="P56" s="2970"/>
      <c r="Q56" s="2970"/>
      <c r="R56" s="2970"/>
      <c r="S56" s="2970"/>
      <c r="T56" s="2970"/>
      <c r="U56" s="2970"/>
      <c r="V56" s="2971"/>
    </row>
    <row r="57" spans="1:22" ht="30" customHeight="1" thickBot="1" x14ac:dyDescent="0.25">
      <c r="A57" s="2972"/>
      <c r="B57" s="2973"/>
      <c r="C57" s="2973"/>
      <c r="D57" s="2973"/>
      <c r="E57" s="2973"/>
      <c r="F57" s="2973"/>
      <c r="G57" s="2973"/>
      <c r="H57" s="2973"/>
      <c r="I57" s="2973"/>
      <c r="J57" s="2973"/>
      <c r="K57" s="2973"/>
      <c r="L57" s="2973"/>
      <c r="M57" s="2973"/>
      <c r="N57" s="2973"/>
      <c r="O57" s="2973"/>
      <c r="P57" s="2973"/>
      <c r="Q57" s="2973"/>
      <c r="R57" s="2973"/>
      <c r="S57" s="2973"/>
      <c r="T57" s="2973"/>
      <c r="U57" s="2973"/>
      <c r="V57" s="2974"/>
    </row>
    <row r="58" spans="1:22" ht="13.5" thickTop="1" x14ac:dyDescent="0.2">
      <c r="A58" s="165"/>
      <c r="V58" s="167"/>
    </row>
    <row r="59" spans="1:22" x14ac:dyDescent="0.2">
      <c r="A59" s="165"/>
      <c r="B59" s="166" t="s">
        <v>1284</v>
      </c>
      <c r="C59" s="166"/>
      <c r="D59" s="186"/>
      <c r="E59" s="186"/>
      <c r="F59" s="166"/>
      <c r="G59" s="166"/>
      <c r="H59" s="166"/>
      <c r="I59" s="166"/>
      <c r="J59" s="166"/>
      <c r="V59" s="167"/>
    </row>
    <row r="60" spans="1:22" ht="5.25" customHeight="1" thickBot="1" x14ac:dyDescent="0.25">
      <c r="A60" s="165"/>
      <c r="D60" s="187"/>
      <c r="E60" s="188"/>
      <c r="V60" s="167"/>
    </row>
    <row r="61" spans="1:22" ht="27" customHeight="1" thickBot="1" x14ac:dyDescent="0.25">
      <c r="A61" s="165"/>
      <c r="C61" s="198" t="s">
        <v>183</v>
      </c>
      <c r="D61" s="3001" t="s">
        <v>235</v>
      </c>
      <c r="E61" s="3002"/>
      <c r="F61" s="3003"/>
      <c r="G61" s="189" t="s">
        <v>204</v>
      </c>
      <c r="H61" s="3004" t="s">
        <v>207</v>
      </c>
      <c r="I61" s="3005"/>
      <c r="J61" s="3005"/>
      <c r="K61" s="3006"/>
      <c r="L61" s="3004" t="s">
        <v>206</v>
      </c>
      <c r="M61" s="3005"/>
      <c r="N61" s="3005"/>
      <c r="O61" s="3006"/>
      <c r="P61" s="3004" t="s">
        <v>208</v>
      </c>
      <c r="Q61" s="3005"/>
      <c r="R61" s="3005"/>
      <c r="S61" s="3005"/>
      <c r="T61" s="3006"/>
      <c r="U61" s="1948"/>
      <c r="V61" s="167"/>
    </row>
    <row r="62" spans="1:22" ht="15" customHeight="1" x14ac:dyDescent="0.2">
      <c r="A62" s="165"/>
      <c r="C62" s="210"/>
      <c r="D62" s="3007"/>
      <c r="E62" s="3008"/>
      <c r="F62" s="3009"/>
      <c r="G62" s="1921"/>
      <c r="H62" s="3260"/>
      <c r="I62" s="3261"/>
      <c r="J62" s="3261"/>
      <c r="K62" s="3262"/>
      <c r="L62" s="3010"/>
      <c r="M62" s="3011"/>
      <c r="N62" s="3011"/>
      <c r="O62" s="3012"/>
      <c r="P62" s="3010"/>
      <c r="Q62" s="3011"/>
      <c r="R62" s="3011"/>
      <c r="S62" s="3011"/>
      <c r="T62" s="3013"/>
      <c r="U62" s="1948"/>
      <c r="V62" s="167"/>
    </row>
    <row r="63" spans="1:22" ht="12.75" customHeight="1" x14ac:dyDescent="0.2">
      <c r="A63" s="165"/>
      <c r="C63" s="211"/>
      <c r="D63" s="2995"/>
      <c r="E63" s="2995"/>
      <c r="F63" s="2996"/>
      <c r="G63" s="1944"/>
      <c r="H63" s="3257"/>
      <c r="I63" s="3258"/>
      <c r="J63" s="3258"/>
      <c r="K63" s="3259"/>
      <c r="L63" s="2997"/>
      <c r="M63" s="2998"/>
      <c r="N63" s="2998"/>
      <c r="O63" s="2999"/>
      <c r="P63" s="2997"/>
      <c r="Q63" s="2998"/>
      <c r="R63" s="2998"/>
      <c r="S63" s="2998"/>
      <c r="T63" s="3000"/>
      <c r="U63" s="1948"/>
      <c r="V63" s="167"/>
    </row>
    <row r="64" spans="1:22" ht="12.75" customHeight="1" x14ac:dyDescent="0.2">
      <c r="A64" s="165"/>
      <c r="C64" s="211"/>
      <c r="D64" s="2995"/>
      <c r="E64" s="2995"/>
      <c r="F64" s="2996"/>
      <c r="G64" s="1944"/>
      <c r="H64" s="3257"/>
      <c r="I64" s="3258"/>
      <c r="J64" s="3258"/>
      <c r="K64" s="3259"/>
      <c r="L64" s="2997"/>
      <c r="M64" s="2998"/>
      <c r="N64" s="2998"/>
      <c r="O64" s="2999"/>
      <c r="P64" s="2997"/>
      <c r="Q64" s="2998"/>
      <c r="R64" s="2998"/>
      <c r="S64" s="2998"/>
      <c r="T64" s="3000"/>
      <c r="U64" s="1948"/>
      <c r="V64" s="167"/>
    </row>
    <row r="65" spans="1:22" ht="12.75" customHeight="1" x14ac:dyDescent="0.2">
      <c r="A65" s="165"/>
      <c r="C65" s="211"/>
      <c r="D65" s="2995"/>
      <c r="E65" s="2995"/>
      <c r="F65" s="2996"/>
      <c r="G65" s="1944"/>
      <c r="H65" s="3257"/>
      <c r="I65" s="3258"/>
      <c r="J65" s="3258"/>
      <c r="K65" s="3259"/>
      <c r="L65" s="2997"/>
      <c r="M65" s="2998"/>
      <c r="N65" s="2998"/>
      <c r="O65" s="2999"/>
      <c r="P65" s="2997"/>
      <c r="Q65" s="2998"/>
      <c r="R65" s="2998"/>
      <c r="S65" s="2998"/>
      <c r="T65" s="3000"/>
      <c r="U65" s="1948"/>
      <c r="V65" s="167"/>
    </row>
    <row r="66" spans="1:22" ht="12.75" customHeight="1" x14ac:dyDescent="0.2">
      <c r="A66" s="165"/>
      <c r="C66" s="211"/>
      <c r="D66" s="2995"/>
      <c r="E66" s="2995"/>
      <c r="F66" s="2996"/>
      <c r="G66" s="1944"/>
      <c r="H66" s="3257"/>
      <c r="I66" s="3258"/>
      <c r="J66" s="3258"/>
      <c r="K66" s="3259"/>
      <c r="L66" s="2997"/>
      <c r="M66" s="2998"/>
      <c r="N66" s="2998"/>
      <c r="O66" s="2999"/>
      <c r="P66" s="2997"/>
      <c r="Q66" s="2998"/>
      <c r="R66" s="2998"/>
      <c r="S66" s="2998"/>
      <c r="T66" s="3000"/>
      <c r="U66" s="1948"/>
      <c r="V66" s="167"/>
    </row>
    <row r="67" spans="1:22" ht="12.75" customHeight="1" x14ac:dyDescent="0.2">
      <c r="A67" s="165"/>
      <c r="C67" s="1488"/>
      <c r="D67" s="3014"/>
      <c r="E67" s="3014"/>
      <c r="F67" s="3015"/>
      <c r="G67" s="1954"/>
      <c r="H67" s="3257"/>
      <c r="I67" s="3258"/>
      <c r="J67" s="3258"/>
      <c r="K67" s="3259"/>
      <c r="L67" s="2997"/>
      <c r="M67" s="2998"/>
      <c r="N67" s="2998"/>
      <c r="O67" s="2999"/>
      <c r="P67" s="2997"/>
      <c r="Q67" s="2998"/>
      <c r="R67" s="2998"/>
      <c r="S67" s="2998"/>
      <c r="T67" s="3000"/>
      <c r="U67" s="1948"/>
      <c r="V67" s="167"/>
    </row>
    <row r="68" spans="1:22" ht="12.75" customHeight="1" x14ac:dyDescent="0.2">
      <c r="A68" s="165"/>
      <c r="C68" s="211"/>
      <c r="D68" s="2995"/>
      <c r="E68" s="2995"/>
      <c r="F68" s="2996"/>
      <c r="G68" s="1944"/>
      <c r="H68" s="3257"/>
      <c r="I68" s="3258"/>
      <c r="J68" s="3258"/>
      <c r="K68" s="3259"/>
      <c r="L68" s="2997"/>
      <c r="M68" s="2998"/>
      <c r="N68" s="2998"/>
      <c r="O68" s="2999"/>
      <c r="P68" s="2997"/>
      <c r="Q68" s="2998"/>
      <c r="R68" s="2998"/>
      <c r="S68" s="2998"/>
      <c r="T68" s="3000"/>
      <c r="U68" s="1948"/>
      <c r="V68" s="167"/>
    </row>
    <row r="69" spans="1:22" ht="12.75" customHeight="1" x14ac:dyDescent="0.2">
      <c r="A69" s="165"/>
      <c r="C69" s="1488"/>
      <c r="D69" s="3014"/>
      <c r="E69" s="3014"/>
      <c r="F69" s="3015"/>
      <c r="G69" s="1954"/>
      <c r="H69" s="3257"/>
      <c r="I69" s="3258"/>
      <c r="J69" s="3258"/>
      <c r="K69" s="3259"/>
      <c r="L69" s="2997"/>
      <c r="M69" s="2998"/>
      <c r="N69" s="2998"/>
      <c r="O69" s="2999"/>
      <c r="P69" s="2997"/>
      <c r="Q69" s="2998"/>
      <c r="R69" s="2998"/>
      <c r="S69" s="2998"/>
      <c r="T69" s="3000"/>
      <c r="U69" s="1948"/>
      <c r="V69" s="167"/>
    </row>
    <row r="70" spans="1:22" ht="12.75" customHeight="1" x14ac:dyDescent="0.2">
      <c r="A70" s="165"/>
      <c r="C70" s="211"/>
      <c r="D70" s="2995"/>
      <c r="E70" s="2995"/>
      <c r="F70" s="2996"/>
      <c r="G70" s="1944"/>
      <c r="H70" s="3257"/>
      <c r="I70" s="3258"/>
      <c r="J70" s="3258"/>
      <c r="K70" s="3259"/>
      <c r="L70" s="2997"/>
      <c r="M70" s="2998"/>
      <c r="N70" s="2998"/>
      <c r="O70" s="2999"/>
      <c r="P70" s="2997"/>
      <c r="Q70" s="2998"/>
      <c r="R70" s="2998"/>
      <c r="S70" s="2998"/>
      <c r="T70" s="3000"/>
      <c r="U70" s="1948"/>
      <c r="V70" s="167"/>
    </row>
    <row r="71" spans="1:22" ht="12.75" customHeight="1" x14ac:dyDescent="0.2">
      <c r="A71" s="165"/>
      <c r="B71" s="168"/>
      <c r="C71" s="1488"/>
      <c r="D71" s="3014"/>
      <c r="E71" s="3014"/>
      <c r="F71" s="3015"/>
      <c r="G71" s="1954"/>
      <c r="H71" s="3257"/>
      <c r="I71" s="3258"/>
      <c r="J71" s="3258"/>
      <c r="K71" s="3259"/>
      <c r="L71" s="2997"/>
      <c r="M71" s="2998"/>
      <c r="N71" s="2998"/>
      <c r="O71" s="2999"/>
      <c r="P71" s="2997"/>
      <c r="Q71" s="2998"/>
      <c r="R71" s="2998"/>
      <c r="S71" s="2998"/>
      <c r="T71" s="3000"/>
      <c r="U71" s="1948"/>
      <c r="V71" s="167"/>
    </row>
    <row r="72" spans="1:22" ht="12.75" customHeight="1" x14ac:dyDescent="0.2">
      <c r="A72" s="165"/>
      <c r="B72" s="166"/>
      <c r="C72" s="211"/>
      <c r="D72" s="2995"/>
      <c r="E72" s="2995"/>
      <c r="F72" s="2996"/>
      <c r="G72" s="1944"/>
      <c r="H72" s="3257"/>
      <c r="I72" s="3258"/>
      <c r="J72" s="3258"/>
      <c r="K72" s="3259"/>
      <c r="L72" s="2997"/>
      <c r="M72" s="2998"/>
      <c r="N72" s="2998"/>
      <c r="O72" s="2999"/>
      <c r="P72" s="2997"/>
      <c r="Q72" s="2998"/>
      <c r="R72" s="2998"/>
      <c r="S72" s="2998"/>
      <c r="T72" s="3000"/>
      <c r="U72" s="1948"/>
      <c r="V72" s="167"/>
    </row>
    <row r="73" spans="1:22" ht="12.75" customHeight="1" x14ac:dyDescent="0.2">
      <c r="A73" s="165"/>
      <c r="C73" s="211"/>
      <c r="D73" s="2995"/>
      <c r="E73" s="2995"/>
      <c r="F73" s="2996"/>
      <c r="G73" s="1944"/>
      <c r="H73" s="3257"/>
      <c r="I73" s="3258"/>
      <c r="J73" s="3258"/>
      <c r="K73" s="3259"/>
      <c r="L73" s="2997"/>
      <c r="M73" s="2998"/>
      <c r="N73" s="2998"/>
      <c r="O73" s="2999"/>
      <c r="P73" s="2997"/>
      <c r="Q73" s="2998"/>
      <c r="R73" s="2998"/>
      <c r="S73" s="2998"/>
      <c r="T73" s="3000"/>
      <c r="U73" s="1948"/>
      <c r="V73" s="167"/>
    </row>
    <row r="74" spans="1:22" ht="12.75" customHeight="1" thickBot="1" x14ac:dyDescent="0.25">
      <c r="A74" s="165"/>
      <c r="C74" s="1897"/>
      <c r="D74" s="3271"/>
      <c r="E74" s="3271"/>
      <c r="F74" s="3272"/>
      <c r="G74" s="1955"/>
      <c r="H74" s="3273"/>
      <c r="I74" s="3274"/>
      <c r="J74" s="3274"/>
      <c r="K74" s="3275"/>
      <c r="L74" s="3018"/>
      <c r="M74" s="3019"/>
      <c r="N74" s="3019"/>
      <c r="O74" s="3020"/>
      <c r="P74" s="3018"/>
      <c r="Q74" s="3019"/>
      <c r="R74" s="3019"/>
      <c r="S74" s="3019"/>
      <c r="T74" s="3021"/>
      <c r="U74" s="1948"/>
      <c r="V74" s="167"/>
    </row>
    <row r="75" spans="1:22" ht="12.75" hidden="1" customHeight="1" x14ac:dyDescent="0.2">
      <c r="A75" s="165"/>
      <c r="B75" s="166"/>
      <c r="C75" s="1488">
        <f>'F-LSCD-008'!B31</f>
        <v>905136</v>
      </c>
      <c r="D75" s="3014" t="str">
        <f>'F-LSCD-008'!C31</f>
        <v>S-Cs (ISO 4037-3)</v>
      </c>
      <c r="E75" s="3014"/>
      <c r="F75" s="3015"/>
      <c r="G75" s="1489" t="str">
        <f>'F-LSCD-008'!D31</f>
        <v>0°</v>
      </c>
      <c r="H75" s="3264" t="str">
        <f>IF('F-LSCD-007'!F29="Hp(10)",TEXT('F-LSCD-008'!G31,"#0,0")&amp;" ± "&amp;TEXT('Incert. Irrad. Dosímetros pers'!$O$34*'F-LSCD-008'!G31,"#0,0"),"-")</f>
        <v>-</v>
      </c>
      <c r="I75" s="3265"/>
      <c r="J75" s="3265"/>
      <c r="K75" s="3266"/>
      <c r="L75" s="3267" t="str">
        <f>IF('F-LSCD-007'!F29="Hp(0,07)",TEXT('F-LSCD-008'!F31,"#0,0")&amp;" ± "&amp;TEXT('Incert. Irrad. Dosímetros pers'!$O$34*'F-LSCD-008'!F31,"#0,0"),"-")</f>
        <v>-</v>
      </c>
      <c r="M75" s="3268"/>
      <c r="N75" s="3268"/>
      <c r="O75" s="3269"/>
      <c r="P75" s="3267" t="str">
        <f>IF('F-LSCD-007'!F29="D(10)",TEXT('F-LSCD-008'!H31,"#0,0")&amp;" ± "&amp;TEXT('Incert. Irrad. Dosímetros pers'!$O$34*'F-LSCD-008'!H31,"#0,0"),"-")</f>
        <v>-</v>
      </c>
      <c r="Q75" s="3268"/>
      <c r="R75" s="3268"/>
      <c r="S75" s="3268"/>
      <c r="T75" s="3270"/>
      <c r="U75" s="1948"/>
      <c r="V75" s="167"/>
    </row>
    <row r="76" spans="1:22" ht="15" hidden="1" customHeight="1" x14ac:dyDescent="0.2">
      <c r="A76" s="165"/>
      <c r="C76" s="1488">
        <f>'F-LSCD-008'!B32</f>
        <v>905390</v>
      </c>
      <c r="D76" s="3263" t="str">
        <f>'F-LSCD-008'!C32</f>
        <v>S-Cs (ISO 4037-3)</v>
      </c>
      <c r="E76" s="3014"/>
      <c r="F76" s="3015"/>
      <c r="G76" s="1489" t="str">
        <f>'F-LSCD-008'!D32</f>
        <v>0°</v>
      </c>
      <c r="H76" s="3174" t="str">
        <f>IF('F-LSCD-007'!F30="Hp(10)",TEXT('F-LSCD-008'!G32,"#0,0")&amp;" ± "&amp;TEXT('Incert. Irrad. Dosímetros pers'!$O$34*'F-LSCD-008'!G32,"#0,0"),"-")</f>
        <v>-</v>
      </c>
      <c r="I76" s="3175"/>
      <c r="J76" s="3175"/>
      <c r="K76" s="3176"/>
      <c r="L76" s="2997" t="str">
        <f>IF('F-LSCD-007'!F30="Hp(0,07)",TEXT('F-LSCD-008'!F32,"#0,0")&amp;" ± "&amp;TEXT('Incert. Irrad. Dosímetros pers'!$O$34*'F-LSCD-008'!F32,"#0,0"),"-")</f>
        <v>-</v>
      </c>
      <c r="M76" s="2998"/>
      <c r="N76" s="2998"/>
      <c r="O76" s="2999"/>
      <c r="P76" s="2997" t="str">
        <f>IF('F-LSCD-007'!F30="D(10)",TEXT('F-LSCD-008'!H32,"#0,0")&amp;" ± "&amp;TEXT('Incert. Irrad. Dosímetros pers'!$O$34*'F-LSCD-008'!H32,"#0,0"),"-")</f>
        <v>-</v>
      </c>
      <c r="Q76" s="2998"/>
      <c r="R76" s="2998"/>
      <c r="S76" s="2998"/>
      <c r="T76" s="3000"/>
      <c r="U76" s="1948"/>
      <c r="V76" s="167"/>
    </row>
    <row r="77" spans="1:22" ht="15" hidden="1" customHeight="1" x14ac:dyDescent="0.2">
      <c r="A77" s="165"/>
      <c r="C77" s="211">
        <f>'F-LSCD-008'!B44</f>
        <v>905100</v>
      </c>
      <c r="D77" s="3276" t="str">
        <f>'F-LSCD-008'!C44</f>
        <v>S-Cs (ISO 4037-3)</v>
      </c>
      <c r="E77" s="2995"/>
      <c r="F77" s="2996"/>
      <c r="G77" s="192" t="str">
        <f>'F-LSCD-008'!D44</f>
        <v>0°</v>
      </c>
      <c r="H77" s="3035" t="str">
        <f>IF('F-LSCD-007'!F31="Hp(10)",TEXT('F-LSCD-008'!#REF!,"#0,0")&amp;" ± "&amp;TEXT('Incert. Irrad. Dosímetros pers'!$O$34*'F-LSCD-008'!#REF!,"#0,0"),"-")</f>
        <v>-</v>
      </c>
      <c r="I77" s="3036"/>
      <c r="J77" s="3036"/>
      <c r="K77" s="3178"/>
      <c r="L77" s="2997" t="str">
        <f>IF('F-LSCD-007'!F31="Hp(0,07)",TEXT('F-LSCD-008'!F33,"#0,0")&amp;" ± "&amp;TEXT('Incert. Irrad. Dosímetros pers'!$O$34*'F-LSCD-008'!F33,"#0,0"),"-")</f>
        <v>-</v>
      </c>
      <c r="M77" s="2998"/>
      <c r="N77" s="2998"/>
      <c r="O77" s="2999"/>
      <c r="P77" s="2997" t="str">
        <f>IF('F-LSCD-007'!F31="D(10)",TEXT('F-LSCD-008'!H33,"#0,0")&amp;" ± "&amp;TEXT('Incert. Irrad. Dosímetros pers'!$O$34*'F-LSCD-008'!H33,"#0,0"),"-")</f>
        <v>-</v>
      </c>
      <c r="Q77" s="2998"/>
      <c r="R77" s="2998"/>
      <c r="S77" s="2998"/>
      <c r="T77" s="3000"/>
      <c r="U77" s="1948"/>
      <c r="V77" s="167"/>
    </row>
    <row r="78" spans="1:22" ht="12.75" hidden="1" customHeight="1" x14ac:dyDescent="0.2">
      <c r="A78" s="165"/>
      <c r="C78" s="211">
        <f>'F-LSCD-008'!B45</f>
        <v>905350</v>
      </c>
      <c r="D78" s="3276" t="str">
        <f>'F-LSCD-008'!C45</f>
        <v>S-Cs (ISO 4037-3)</v>
      </c>
      <c r="E78" s="2995"/>
      <c r="F78" s="2996"/>
      <c r="G78" s="192" t="str">
        <f>'F-LSCD-008'!D45</f>
        <v>0°</v>
      </c>
      <c r="H78" s="3035" t="str">
        <f>IF('F-LSCD-007'!F32="Hp(10)",TEXT('F-LSCD-008'!#REF!,"#0,0")&amp;" ± "&amp;TEXT('Incert. Irrad. Dosímetros pers'!$O$34*'F-LSCD-008'!#REF!,"#0,0"),"-")</f>
        <v>-</v>
      </c>
      <c r="I78" s="3036"/>
      <c r="J78" s="3036"/>
      <c r="K78" s="3178"/>
      <c r="L78" s="2997" t="str">
        <f>IF('F-LSCD-007'!F32="Hp(0,07)",TEXT('F-LSCD-008'!F34,"#0,0")&amp;" ± "&amp;TEXT('Incert. Irrad. Dosímetros pers'!$O$34*'F-LSCD-008'!F34,"#0,0"),"-")</f>
        <v>-</v>
      </c>
      <c r="M78" s="2998"/>
      <c r="N78" s="2998"/>
      <c r="O78" s="2999"/>
      <c r="P78" s="2997" t="str">
        <f>IF('F-LSCD-007'!F32="D(10)",TEXT('F-LSCD-008'!H34,"#0,0")&amp;" ± "&amp;TEXT('Incert. Irrad. Dosímetros pers'!$O$34*'F-LSCD-008'!H34,"#0,0"),"-")</f>
        <v>-</v>
      </c>
      <c r="Q78" s="2998"/>
      <c r="R78" s="2998"/>
      <c r="S78" s="2998"/>
      <c r="T78" s="3000"/>
      <c r="U78" s="1948"/>
      <c r="V78" s="167"/>
    </row>
    <row r="79" spans="1:22" ht="13.5" hidden="1" customHeight="1" x14ac:dyDescent="0.2">
      <c r="A79" s="165"/>
      <c r="C79" s="211">
        <f>'F-LSCD-008'!B46</f>
        <v>905328</v>
      </c>
      <c r="D79" s="3276" t="str">
        <f>'F-LSCD-008'!C46</f>
        <v>S-Cs (ISO 4037-3)</v>
      </c>
      <c r="E79" s="2995"/>
      <c r="F79" s="2996"/>
      <c r="G79" s="192" t="str">
        <f>'F-LSCD-008'!D46</f>
        <v>0°</v>
      </c>
      <c r="H79" s="3035" t="str">
        <f>IF('F-LSCD-007'!F33="Hp(10)",TEXT('F-LSCD-008'!#REF!,"#0,0")&amp;" ± "&amp;TEXT('Incert. Irrad. Dosímetros pers'!$O$34*'F-LSCD-008'!#REF!,"#0,0"),"-")</f>
        <v>-</v>
      </c>
      <c r="I79" s="3036"/>
      <c r="J79" s="3036"/>
      <c r="K79" s="3178"/>
      <c r="L79" s="2997" t="str">
        <f>IF('F-LSCD-007'!F33="Hp(0,07)",TEXT('F-LSCD-008'!F35,"#0,0")&amp;" ± "&amp;TEXT('Incert. Irrad. Dosímetros pers'!$O$34*'F-LSCD-008'!F35,"#0,0"),"-")</f>
        <v>-</v>
      </c>
      <c r="M79" s="2998"/>
      <c r="N79" s="2998"/>
      <c r="O79" s="2999"/>
      <c r="P79" s="2997" t="str">
        <f>IF('F-LSCD-007'!F33="D(10)",TEXT('F-LSCD-008'!H35,"#0,0")&amp;" ± "&amp;TEXT('Incert. Irrad. Dosímetros pers'!$O$34*'F-LSCD-008'!H35,"#0,0"),"-")</f>
        <v>-</v>
      </c>
      <c r="Q79" s="2998"/>
      <c r="R79" s="2998"/>
      <c r="S79" s="2998"/>
      <c r="T79" s="3000"/>
      <c r="U79" s="1948"/>
      <c r="V79" s="167"/>
    </row>
    <row r="80" spans="1:22" ht="13.5" hidden="1" customHeight="1" x14ac:dyDescent="0.2">
      <c r="A80" s="165"/>
      <c r="C80" s="211">
        <f>'F-LSCD-008'!B47</f>
        <v>904779</v>
      </c>
      <c r="D80" s="3276" t="str">
        <f>'F-LSCD-008'!C47</f>
        <v>S-Cs (ISO 4037-3)</v>
      </c>
      <c r="E80" s="2995"/>
      <c r="F80" s="2996"/>
      <c r="G80" s="192" t="str">
        <f>'F-LSCD-008'!D47</f>
        <v>0°</v>
      </c>
      <c r="H80" s="3035" t="str">
        <f>IF('F-LSCD-007'!F34="Hp(10)",TEXT('F-LSCD-008'!#REF!,"#0,0")&amp;" ± "&amp;TEXT('Incert. Irrad. Dosímetros pers'!$O$34*'F-LSCD-008'!#REF!,"#0,0"),"-")</f>
        <v>-</v>
      </c>
      <c r="I80" s="3036"/>
      <c r="J80" s="3036"/>
      <c r="K80" s="3178"/>
      <c r="L80" s="2997" t="str">
        <f>IF('F-LSCD-007'!F34="Hp(0,07)",TEXT('F-LSCD-008'!F36,"#0,0")&amp;" ± "&amp;TEXT('Incert. Irrad. Dosímetros pers'!$O$34*'F-LSCD-008'!F36,"#0,0"),"-")</f>
        <v>-</v>
      </c>
      <c r="M80" s="2998"/>
      <c r="N80" s="2998"/>
      <c r="O80" s="2999"/>
      <c r="P80" s="2997" t="str">
        <f>IF('F-LSCD-007'!F34="D(10)",TEXT('F-LSCD-008'!H36,"#0,0")&amp;" ± "&amp;TEXT('Incert. Irrad. Dosímetros pers'!$O$34*'F-LSCD-008'!H36,"#0,0"),"-")</f>
        <v>-</v>
      </c>
      <c r="Q80" s="2998"/>
      <c r="R80" s="2998"/>
      <c r="S80" s="2998"/>
      <c r="T80" s="3000"/>
      <c r="U80" s="1948"/>
      <c r="V80" s="167"/>
    </row>
    <row r="81" spans="1:22" ht="12.75" hidden="1" customHeight="1" thickBot="1" x14ac:dyDescent="0.25">
      <c r="A81" s="165"/>
      <c r="C81" s="1897">
        <f>'F-LSCD-008'!B48</f>
        <v>95005</v>
      </c>
      <c r="D81" s="3277" t="str">
        <f>'F-LSCD-008'!C48</f>
        <v>S-Cs (ISO 4037-3)</v>
      </c>
      <c r="E81" s="3016"/>
      <c r="F81" s="3017"/>
      <c r="G81" s="194" t="str">
        <f>'F-LSCD-008'!D48</f>
        <v>0°</v>
      </c>
      <c r="H81" s="3278" t="str">
        <f>IF('F-LSCD-007'!F35="Hp(10)",TEXT('F-LSCD-008'!#REF!,"#0,0")&amp;" ± "&amp;TEXT('Incert. Irrad. Dosímetros pers'!$O$34*'F-LSCD-008'!#REF!,"#0,0"),"-")</f>
        <v>-</v>
      </c>
      <c r="I81" s="3279"/>
      <c r="J81" s="3279"/>
      <c r="K81" s="3280"/>
      <c r="L81" s="3018" t="str">
        <f>IF('F-LSCD-007'!F35="Hp(0,07)",TEXT('F-LSCD-008'!F37,"#0,0")&amp;" ± "&amp;TEXT('Incert. Irrad. Dosímetros pers'!$O$34*'F-LSCD-008'!F37,"#0,0"),"-")</f>
        <v>-</v>
      </c>
      <c r="M81" s="3019"/>
      <c r="N81" s="3019"/>
      <c r="O81" s="3020"/>
      <c r="P81" s="3018" t="str">
        <f>IF('F-LSCD-007'!F35="D(10)",TEXT('F-LSCD-008'!H37,"#0,0")&amp;" ± "&amp;TEXT('Incert. Irrad. Dosímetros pers'!$O$34*'F-LSCD-008'!H37,"#0,0"),"-")</f>
        <v>-</v>
      </c>
      <c r="Q81" s="3019"/>
      <c r="R81" s="3019"/>
      <c r="S81" s="3019"/>
      <c r="T81" s="3021"/>
      <c r="U81" s="1948"/>
      <c r="V81" s="167"/>
    </row>
    <row r="82" spans="1:22" ht="12.75" customHeight="1" x14ac:dyDescent="0.2">
      <c r="A82" s="165"/>
      <c r="C82" s="1951" t="s">
        <v>1280</v>
      </c>
      <c r="U82" s="1948"/>
      <c r="V82" s="167"/>
    </row>
    <row r="83" spans="1:22" ht="12.75" customHeight="1" x14ac:dyDescent="0.2">
      <c r="A83" s="165"/>
      <c r="B83" s="168"/>
      <c r="C83" s="1839"/>
      <c r="U83" s="1948"/>
      <c r="V83" s="167"/>
    </row>
    <row r="84" spans="1:22" ht="12.75" customHeight="1" x14ac:dyDescent="0.2">
      <c r="A84" s="165"/>
      <c r="B84" s="166"/>
      <c r="U84" s="1948"/>
      <c r="V84" s="167"/>
    </row>
    <row r="85" spans="1:22" ht="12.75" customHeight="1" x14ac:dyDescent="0.2">
      <c r="A85" s="165"/>
      <c r="U85" s="1948"/>
      <c r="V85" s="167"/>
    </row>
    <row r="86" spans="1:22" ht="12.75" customHeight="1" x14ac:dyDescent="0.2">
      <c r="A86" s="165"/>
      <c r="U86" s="1948"/>
      <c r="V86" s="167"/>
    </row>
    <row r="87" spans="1:22" ht="12.75" customHeight="1" x14ac:dyDescent="0.2">
      <c r="A87" s="165"/>
      <c r="U87" s="1948"/>
      <c r="V87" s="167"/>
    </row>
    <row r="88" spans="1:22" ht="12.75" customHeight="1" x14ac:dyDescent="0.2">
      <c r="A88" s="165"/>
      <c r="B88" s="166"/>
      <c r="U88" s="1948"/>
      <c r="V88" s="167"/>
    </row>
    <row r="89" spans="1:22" ht="12.75" customHeight="1" x14ac:dyDescent="0.2">
      <c r="A89" s="165"/>
      <c r="B89" s="166"/>
      <c r="C89" s="166"/>
      <c r="D89" s="166"/>
      <c r="E89" s="166"/>
      <c r="F89" s="166"/>
      <c r="G89" s="200"/>
      <c r="H89" s="200"/>
      <c r="I89" s="200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948"/>
      <c r="V89" s="167"/>
    </row>
    <row r="90" spans="1:22" ht="12.75" customHeight="1" x14ac:dyDescent="0.2">
      <c r="A90" s="165"/>
      <c r="B90" s="166"/>
      <c r="C90" s="175"/>
      <c r="D90" s="175"/>
      <c r="E90" s="175"/>
      <c r="F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948"/>
      <c r="V90" s="167"/>
    </row>
    <row r="91" spans="1:22" ht="12.75" customHeight="1" x14ac:dyDescent="0.2">
      <c r="A91" s="165"/>
      <c r="C91" s="175"/>
      <c r="D91" s="175"/>
      <c r="E91" s="175"/>
      <c r="F91" s="175"/>
      <c r="G91" s="1943"/>
      <c r="H91" s="1943"/>
      <c r="I91" s="1943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948"/>
      <c r="V91" s="167"/>
    </row>
    <row r="92" spans="1:22" ht="13.5" customHeight="1" thickBot="1" x14ac:dyDescent="0.25">
      <c r="A92" s="195"/>
      <c r="B92" s="196"/>
      <c r="C92" s="1878" t="s">
        <v>1245</v>
      </c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7"/>
    </row>
    <row r="93" spans="1:22" ht="13.5" thickTop="1" x14ac:dyDescent="0.2">
      <c r="A93" s="3022" t="s">
        <v>236</v>
      </c>
      <c r="B93" s="3023"/>
      <c r="C93" s="3023"/>
      <c r="D93" s="3023"/>
      <c r="E93" s="3023"/>
      <c r="F93" s="3023"/>
      <c r="G93" s="3023"/>
      <c r="H93" s="3023"/>
      <c r="I93" s="3023"/>
      <c r="J93" s="3023"/>
      <c r="K93" s="3023"/>
      <c r="L93" s="3023"/>
      <c r="M93" s="3023"/>
      <c r="N93" s="3023"/>
      <c r="O93" s="3023"/>
      <c r="P93" s="3023"/>
      <c r="Q93" s="3023"/>
      <c r="R93" s="3023"/>
      <c r="S93" s="3023"/>
      <c r="T93" s="3023"/>
      <c r="U93" s="3023"/>
      <c r="V93" s="3024"/>
    </row>
    <row r="94" spans="1:22" ht="13.5" thickBot="1" x14ac:dyDescent="0.25">
      <c r="A94" s="3025" t="s">
        <v>279</v>
      </c>
      <c r="B94" s="3026"/>
      <c r="C94" s="3026"/>
      <c r="D94" s="3026"/>
      <c r="E94" s="3026"/>
      <c r="F94" s="3026"/>
      <c r="G94" s="3026"/>
      <c r="H94" s="3026"/>
      <c r="I94" s="3026"/>
      <c r="J94" s="3026"/>
      <c r="K94" s="3026"/>
      <c r="L94" s="3026"/>
      <c r="M94" s="3026"/>
      <c r="N94" s="3026"/>
      <c r="O94" s="3026"/>
      <c r="P94" s="3026"/>
      <c r="Q94" s="3026"/>
      <c r="R94" s="3026"/>
      <c r="S94" s="3026"/>
      <c r="T94" s="3026"/>
      <c r="U94" s="3026"/>
      <c r="V94" s="3027"/>
    </row>
    <row r="95" spans="1:22" x14ac:dyDescent="0.2">
      <c r="B95" s="1356" t="s">
        <v>917</v>
      </c>
      <c r="U95" s="1357" t="str">
        <f>U55</f>
        <v>INFORME DE ENSAYO N° XXX-20XX ALEPH/GR/LSCD</v>
      </c>
    </row>
  </sheetData>
  <mergeCells count="111">
    <mergeCell ref="A2:V3"/>
    <mergeCell ref="A4:V4"/>
    <mergeCell ref="A5:V5"/>
    <mergeCell ref="A6:V6"/>
    <mergeCell ref="A7:V7"/>
    <mergeCell ref="Q8:U16"/>
    <mergeCell ref="E12:O12"/>
    <mergeCell ref="E16:O16"/>
    <mergeCell ref="E33:O33"/>
    <mergeCell ref="Q33:U33"/>
    <mergeCell ref="E34:O34"/>
    <mergeCell ref="Q34:U38"/>
    <mergeCell ref="E36:I36"/>
    <mergeCell ref="J36:N36"/>
    <mergeCell ref="E38:I38"/>
    <mergeCell ref="E21:O22"/>
    <mergeCell ref="Q22:U32"/>
    <mergeCell ref="E24:O24"/>
    <mergeCell ref="E29:O29"/>
    <mergeCell ref="E30:O30"/>
    <mergeCell ref="E31:O31"/>
    <mergeCell ref="E32:O32"/>
    <mergeCell ref="D62:F62"/>
    <mergeCell ref="H62:K62"/>
    <mergeCell ref="L62:O62"/>
    <mergeCell ref="P62:T62"/>
    <mergeCell ref="D63:F63"/>
    <mergeCell ref="H63:K63"/>
    <mergeCell ref="L63:O63"/>
    <mergeCell ref="P63:T63"/>
    <mergeCell ref="A53:V53"/>
    <mergeCell ref="A54:V54"/>
    <mergeCell ref="A56:V57"/>
    <mergeCell ref="D61:F61"/>
    <mergeCell ref="H61:K61"/>
    <mergeCell ref="L61:O61"/>
    <mergeCell ref="P61:T61"/>
    <mergeCell ref="D66:F66"/>
    <mergeCell ref="H66:K66"/>
    <mergeCell ref="L66:O66"/>
    <mergeCell ref="P66:T66"/>
    <mergeCell ref="D67:F67"/>
    <mergeCell ref="H67:K67"/>
    <mergeCell ref="L67:O67"/>
    <mergeCell ref="P67:T67"/>
    <mergeCell ref="D64:F64"/>
    <mergeCell ref="H64:K64"/>
    <mergeCell ref="L64:O64"/>
    <mergeCell ref="P64:T64"/>
    <mergeCell ref="D65:F65"/>
    <mergeCell ref="H65:K65"/>
    <mergeCell ref="L65:O65"/>
    <mergeCell ref="P65:T65"/>
    <mergeCell ref="D70:F70"/>
    <mergeCell ref="H70:K70"/>
    <mergeCell ref="L70:O70"/>
    <mergeCell ref="P70:T70"/>
    <mergeCell ref="D71:F71"/>
    <mergeCell ref="H71:K71"/>
    <mergeCell ref="L71:O71"/>
    <mergeCell ref="P71:T71"/>
    <mergeCell ref="D68:F68"/>
    <mergeCell ref="H68:K68"/>
    <mergeCell ref="L68:O68"/>
    <mergeCell ref="P68:T68"/>
    <mergeCell ref="D69:F69"/>
    <mergeCell ref="H69:K69"/>
    <mergeCell ref="L69:O69"/>
    <mergeCell ref="P69:T69"/>
    <mergeCell ref="D74:F74"/>
    <mergeCell ref="H74:K74"/>
    <mergeCell ref="L74:O74"/>
    <mergeCell ref="P74:T74"/>
    <mergeCell ref="D75:F75"/>
    <mergeCell ref="H75:K75"/>
    <mergeCell ref="L75:O75"/>
    <mergeCell ref="P75:T75"/>
    <mergeCell ref="D72:F72"/>
    <mergeCell ref="H72:K72"/>
    <mergeCell ref="L72:O72"/>
    <mergeCell ref="P72:T72"/>
    <mergeCell ref="D73:F73"/>
    <mergeCell ref="H73:K73"/>
    <mergeCell ref="L73:O73"/>
    <mergeCell ref="P73:T73"/>
    <mergeCell ref="D78:F78"/>
    <mergeCell ref="H78:K78"/>
    <mergeCell ref="L78:O78"/>
    <mergeCell ref="P78:T78"/>
    <mergeCell ref="D79:F79"/>
    <mergeCell ref="H79:K79"/>
    <mergeCell ref="L79:O79"/>
    <mergeCell ref="P79:T79"/>
    <mergeCell ref="D76:F76"/>
    <mergeCell ref="H76:K76"/>
    <mergeCell ref="L76:O76"/>
    <mergeCell ref="P76:T76"/>
    <mergeCell ref="D77:F77"/>
    <mergeCell ref="H77:K77"/>
    <mergeCell ref="L77:O77"/>
    <mergeCell ref="P77:T77"/>
    <mergeCell ref="A93:V93"/>
    <mergeCell ref="A94:V94"/>
    <mergeCell ref="D80:F80"/>
    <mergeCell ref="H80:K80"/>
    <mergeCell ref="L80:O80"/>
    <mergeCell ref="P80:T80"/>
    <mergeCell ref="D81:F81"/>
    <mergeCell ref="H81:K81"/>
    <mergeCell ref="L81:O81"/>
    <mergeCell ref="P81:T81"/>
  </mergeCells>
  <conditionalFormatting sqref="E29:E35 E37 K37:P51 E40:E51">
    <cfRule type="cellIs" dxfId="40" priority="9" operator="equal">
      <formula>0</formula>
    </cfRule>
  </conditionalFormatting>
  <conditionalFormatting sqref="E28:P28 F8:P10 P29:P31 P36">
    <cfRule type="cellIs" dxfId="39" priority="8" operator="equal">
      <formula>0</formula>
    </cfRule>
  </conditionalFormatting>
  <conditionalFormatting sqref="E28:P28 F8:P10 P29:P31 E29:E35 P36 E37 K37:P51 E40:E51">
    <cfRule type="containsErrors" dxfId="38" priority="7">
      <formula>ISERROR(E8)</formula>
    </cfRule>
  </conditionalFormatting>
  <conditionalFormatting sqref="E8:E10">
    <cfRule type="cellIs" dxfId="37" priority="6" operator="equal">
      <formula>0</formula>
    </cfRule>
  </conditionalFormatting>
  <conditionalFormatting sqref="E8:E10">
    <cfRule type="containsErrors" dxfId="36" priority="5">
      <formula>ISERROR(E8)</formula>
    </cfRule>
  </conditionalFormatting>
  <conditionalFormatting sqref="E38:E39">
    <cfRule type="cellIs" dxfId="35" priority="4" operator="equal">
      <formula>0</formula>
    </cfRule>
  </conditionalFormatting>
  <conditionalFormatting sqref="E38:E39">
    <cfRule type="containsErrors" dxfId="34" priority="3">
      <formula>ISERROR(E38)</formula>
    </cfRule>
  </conditionalFormatting>
  <conditionalFormatting sqref="E36 J36 O36">
    <cfRule type="cellIs" dxfId="33" priority="2" operator="equal">
      <formula>0</formula>
    </cfRule>
  </conditionalFormatting>
  <conditionalFormatting sqref="E36 J36 O36">
    <cfRule type="containsErrors" dxfId="32" priority="1">
      <formula>ISERROR(E36)</formula>
    </cfRule>
  </conditionalFormatting>
  <pageMargins left="0.27559055118110237" right="3.937007874015748E-2" top="0.11458333333333333" bottom="0" header="0.31496062992125984" footer="0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Y57"/>
  <sheetViews>
    <sheetView view="pageLayout" topLeftCell="A32" zoomScaleNormal="100" workbookViewId="0">
      <selection activeCell="D49" sqref="D49:F49"/>
    </sheetView>
  </sheetViews>
  <sheetFormatPr baseColWidth="10" defaultColWidth="11.42578125" defaultRowHeight="12.75" x14ac:dyDescent="0.2"/>
  <cols>
    <col min="1" max="1" width="1.85546875" style="163" customWidth="1"/>
    <col min="2" max="2" width="2.42578125" style="163" customWidth="1"/>
    <col min="3" max="3" width="23" style="163" customWidth="1"/>
    <col min="4" max="4" width="1.5703125" style="163" customWidth="1"/>
    <col min="5" max="5" width="7.42578125" style="163" customWidth="1"/>
    <col min="6" max="6" width="4.140625" style="163" customWidth="1"/>
    <col min="7" max="7" width="7.140625" style="163" customWidth="1"/>
    <col min="8" max="8" width="3.28515625" style="163" customWidth="1"/>
    <col min="9" max="9" width="3.85546875" style="163" customWidth="1"/>
    <col min="10" max="10" width="2" style="163" customWidth="1"/>
    <col min="11" max="11" width="5.42578125" style="163" customWidth="1"/>
    <col min="12" max="12" width="3.28515625" style="163" customWidth="1"/>
    <col min="13" max="13" width="4" style="163" customWidth="1"/>
    <col min="14" max="14" width="1.7109375" style="163" customWidth="1"/>
    <col min="15" max="15" width="5.85546875" style="163" customWidth="1"/>
    <col min="16" max="16" width="0.7109375" style="163" customWidth="1"/>
    <col min="17" max="18" width="3" style="163" customWidth="1"/>
    <col min="19" max="19" width="2.42578125" style="163" customWidth="1"/>
    <col min="20" max="21" width="6.140625" style="163" customWidth="1"/>
    <col min="22" max="22" width="1.140625" style="163" customWidth="1"/>
    <col min="23" max="23" width="11.42578125" style="163"/>
    <col min="24" max="24" width="11.85546875" style="163" customWidth="1"/>
    <col min="25" max="25" width="15.42578125" style="163" customWidth="1"/>
    <col min="26" max="265" width="11.42578125" style="163"/>
    <col min="266" max="266" width="2.28515625" style="163" customWidth="1"/>
    <col min="267" max="267" width="2.7109375" style="163" customWidth="1"/>
    <col min="268" max="268" width="2.42578125" style="163" customWidth="1"/>
    <col min="269" max="269" width="17.7109375" style="163" customWidth="1"/>
    <col min="270" max="270" width="1.5703125" style="163" customWidth="1"/>
    <col min="271" max="271" width="6.42578125" style="163" customWidth="1"/>
    <col min="272" max="272" width="13.140625" style="163" customWidth="1"/>
    <col min="273" max="273" width="1" style="163" customWidth="1"/>
    <col min="274" max="274" width="19.5703125" style="163" customWidth="1"/>
    <col min="275" max="275" width="0.85546875" style="163" customWidth="1"/>
    <col min="276" max="276" width="14.42578125" style="163" customWidth="1"/>
    <col min="277" max="277" width="12.85546875" style="163" customWidth="1"/>
    <col min="278" max="278" width="6.140625" style="163" customWidth="1"/>
    <col min="279" max="280" width="11.42578125" style="163"/>
    <col min="281" max="281" width="15.42578125" style="163" customWidth="1"/>
    <col min="282" max="521" width="11.42578125" style="163"/>
    <col min="522" max="522" width="2.28515625" style="163" customWidth="1"/>
    <col min="523" max="523" width="2.7109375" style="163" customWidth="1"/>
    <col min="524" max="524" width="2.42578125" style="163" customWidth="1"/>
    <col min="525" max="525" width="17.7109375" style="163" customWidth="1"/>
    <col min="526" max="526" width="1.5703125" style="163" customWidth="1"/>
    <col min="527" max="527" width="6.42578125" style="163" customWidth="1"/>
    <col min="528" max="528" width="13.140625" style="163" customWidth="1"/>
    <col min="529" max="529" width="1" style="163" customWidth="1"/>
    <col min="530" max="530" width="19.5703125" style="163" customWidth="1"/>
    <col min="531" max="531" width="0.85546875" style="163" customWidth="1"/>
    <col min="532" max="532" width="14.42578125" style="163" customWidth="1"/>
    <col min="533" max="533" width="12.85546875" style="163" customWidth="1"/>
    <col min="534" max="534" width="6.140625" style="163" customWidth="1"/>
    <col min="535" max="536" width="11.42578125" style="163"/>
    <col min="537" max="537" width="15.42578125" style="163" customWidth="1"/>
    <col min="538" max="777" width="11.42578125" style="163"/>
    <col min="778" max="778" width="2.28515625" style="163" customWidth="1"/>
    <col min="779" max="779" width="2.7109375" style="163" customWidth="1"/>
    <col min="780" max="780" width="2.42578125" style="163" customWidth="1"/>
    <col min="781" max="781" width="17.7109375" style="163" customWidth="1"/>
    <col min="782" max="782" width="1.5703125" style="163" customWidth="1"/>
    <col min="783" max="783" width="6.42578125" style="163" customWidth="1"/>
    <col min="784" max="784" width="13.140625" style="163" customWidth="1"/>
    <col min="785" max="785" width="1" style="163" customWidth="1"/>
    <col min="786" max="786" width="19.5703125" style="163" customWidth="1"/>
    <col min="787" max="787" width="0.85546875" style="163" customWidth="1"/>
    <col min="788" max="788" width="14.42578125" style="163" customWidth="1"/>
    <col min="789" max="789" width="12.85546875" style="163" customWidth="1"/>
    <col min="790" max="790" width="6.140625" style="163" customWidth="1"/>
    <col min="791" max="792" width="11.42578125" style="163"/>
    <col min="793" max="793" width="15.42578125" style="163" customWidth="1"/>
    <col min="794" max="1033" width="11.42578125" style="163"/>
    <col min="1034" max="1034" width="2.28515625" style="163" customWidth="1"/>
    <col min="1035" max="1035" width="2.7109375" style="163" customWidth="1"/>
    <col min="1036" max="1036" width="2.42578125" style="163" customWidth="1"/>
    <col min="1037" max="1037" width="17.7109375" style="163" customWidth="1"/>
    <col min="1038" max="1038" width="1.5703125" style="163" customWidth="1"/>
    <col min="1039" max="1039" width="6.42578125" style="163" customWidth="1"/>
    <col min="1040" max="1040" width="13.140625" style="163" customWidth="1"/>
    <col min="1041" max="1041" width="1" style="163" customWidth="1"/>
    <col min="1042" max="1042" width="19.5703125" style="163" customWidth="1"/>
    <col min="1043" max="1043" width="0.85546875" style="163" customWidth="1"/>
    <col min="1044" max="1044" width="14.42578125" style="163" customWidth="1"/>
    <col min="1045" max="1045" width="12.85546875" style="163" customWidth="1"/>
    <col min="1046" max="1046" width="6.140625" style="163" customWidth="1"/>
    <col min="1047" max="1048" width="11.42578125" style="163"/>
    <col min="1049" max="1049" width="15.42578125" style="163" customWidth="1"/>
    <col min="1050" max="1289" width="11.42578125" style="163"/>
    <col min="1290" max="1290" width="2.28515625" style="163" customWidth="1"/>
    <col min="1291" max="1291" width="2.7109375" style="163" customWidth="1"/>
    <col min="1292" max="1292" width="2.42578125" style="163" customWidth="1"/>
    <col min="1293" max="1293" width="17.7109375" style="163" customWidth="1"/>
    <col min="1294" max="1294" width="1.5703125" style="163" customWidth="1"/>
    <col min="1295" max="1295" width="6.42578125" style="163" customWidth="1"/>
    <col min="1296" max="1296" width="13.140625" style="163" customWidth="1"/>
    <col min="1297" max="1297" width="1" style="163" customWidth="1"/>
    <col min="1298" max="1298" width="19.5703125" style="163" customWidth="1"/>
    <col min="1299" max="1299" width="0.85546875" style="163" customWidth="1"/>
    <col min="1300" max="1300" width="14.42578125" style="163" customWidth="1"/>
    <col min="1301" max="1301" width="12.85546875" style="163" customWidth="1"/>
    <col min="1302" max="1302" width="6.140625" style="163" customWidth="1"/>
    <col min="1303" max="1304" width="11.42578125" style="163"/>
    <col min="1305" max="1305" width="15.42578125" style="163" customWidth="1"/>
    <col min="1306" max="1545" width="11.42578125" style="163"/>
    <col min="1546" max="1546" width="2.28515625" style="163" customWidth="1"/>
    <col min="1547" max="1547" width="2.7109375" style="163" customWidth="1"/>
    <col min="1548" max="1548" width="2.42578125" style="163" customWidth="1"/>
    <col min="1549" max="1549" width="17.7109375" style="163" customWidth="1"/>
    <col min="1550" max="1550" width="1.5703125" style="163" customWidth="1"/>
    <col min="1551" max="1551" width="6.42578125" style="163" customWidth="1"/>
    <col min="1552" max="1552" width="13.140625" style="163" customWidth="1"/>
    <col min="1553" max="1553" width="1" style="163" customWidth="1"/>
    <col min="1554" max="1554" width="19.5703125" style="163" customWidth="1"/>
    <col min="1555" max="1555" width="0.85546875" style="163" customWidth="1"/>
    <col min="1556" max="1556" width="14.42578125" style="163" customWidth="1"/>
    <col min="1557" max="1557" width="12.85546875" style="163" customWidth="1"/>
    <col min="1558" max="1558" width="6.140625" style="163" customWidth="1"/>
    <col min="1559" max="1560" width="11.42578125" style="163"/>
    <col min="1561" max="1561" width="15.42578125" style="163" customWidth="1"/>
    <col min="1562" max="1801" width="11.42578125" style="163"/>
    <col min="1802" max="1802" width="2.28515625" style="163" customWidth="1"/>
    <col min="1803" max="1803" width="2.7109375" style="163" customWidth="1"/>
    <col min="1804" max="1804" width="2.42578125" style="163" customWidth="1"/>
    <col min="1805" max="1805" width="17.7109375" style="163" customWidth="1"/>
    <col min="1806" max="1806" width="1.5703125" style="163" customWidth="1"/>
    <col min="1807" max="1807" width="6.42578125" style="163" customWidth="1"/>
    <col min="1808" max="1808" width="13.140625" style="163" customWidth="1"/>
    <col min="1809" max="1809" width="1" style="163" customWidth="1"/>
    <col min="1810" max="1810" width="19.5703125" style="163" customWidth="1"/>
    <col min="1811" max="1811" width="0.85546875" style="163" customWidth="1"/>
    <col min="1812" max="1812" width="14.42578125" style="163" customWidth="1"/>
    <col min="1813" max="1813" width="12.85546875" style="163" customWidth="1"/>
    <col min="1814" max="1814" width="6.140625" style="163" customWidth="1"/>
    <col min="1815" max="1816" width="11.42578125" style="163"/>
    <col min="1817" max="1817" width="15.42578125" style="163" customWidth="1"/>
    <col min="1818" max="2057" width="11.42578125" style="163"/>
    <col min="2058" max="2058" width="2.28515625" style="163" customWidth="1"/>
    <col min="2059" max="2059" width="2.7109375" style="163" customWidth="1"/>
    <col min="2060" max="2060" width="2.42578125" style="163" customWidth="1"/>
    <col min="2061" max="2061" width="17.7109375" style="163" customWidth="1"/>
    <col min="2062" max="2062" width="1.5703125" style="163" customWidth="1"/>
    <col min="2063" max="2063" width="6.42578125" style="163" customWidth="1"/>
    <col min="2064" max="2064" width="13.140625" style="163" customWidth="1"/>
    <col min="2065" max="2065" width="1" style="163" customWidth="1"/>
    <col min="2066" max="2066" width="19.5703125" style="163" customWidth="1"/>
    <col min="2067" max="2067" width="0.85546875" style="163" customWidth="1"/>
    <col min="2068" max="2068" width="14.42578125" style="163" customWidth="1"/>
    <col min="2069" max="2069" width="12.85546875" style="163" customWidth="1"/>
    <col min="2070" max="2070" width="6.140625" style="163" customWidth="1"/>
    <col min="2071" max="2072" width="11.42578125" style="163"/>
    <col min="2073" max="2073" width="15.42578125" style="163" customWidth="1"/>
    <col min="2074" max="2313" width="11.42578125" style="163"/>
    <col min="2314" max="2314" width="2.28515625" style="163" customWidth="1"/>
    <col min="2315" max="2315" width="2.7109375" style="163" customWidth="1"/>
    <col min="2316" max="2316" width="2.42578125" style="163" customWidth="1"/>
    <col min="2317" max="2317" width="17.7109375" style="163" customWidth="1"/>
    <col min="2318" max="2318" width="1.5703125" style="163" customWidth="1"/>
    <col min="2319" max="2319" width="6.42578125" style="163" customWidth="1"/>
    <col min="2320" max="2320" width="13.140625" style="163" customWidth="1"/>
    <col min="2321" max="2321" width="1" style="163" customWidth="1"/>
    <col min="2322" max="2322" width="19.5703125" style="163" customWidth="1"/>
    <col min="2323" max="2323" width="0.85546875" style="163" customWidth="1"/>
    <col min="2324" max="2324" width="14.42578125" style="163" customWidth="1"/>
    <col min="2325" max="2325" width="12.85546875" style="163" customWidth="1"/>
    <col min="2326" max="2326" width="6.140625" style="163" customWidth="1"/>
    <col min="2327" max="2328" width="11.42578125" style="163"/>
    <col min="2329" max="2329" width="15.42578125" style="163" customWidth="1"/>
    <col min="2330" max="2569" width="11.42578125" style="163"/>
    <col min="2570" max="2570" width="2.28515625" style="163" customWidth="1"/>
    <col min="2571" max="2571" width="2.7109375" style="163" customWidth="1"/>
    <col min="2572" max="2572" width="2.42578125" style="163" customWidth="1"/>
    <col min="2573" max="2573" width="17.7109375" style="163" customWidth="1"/>
    <col min="2574" max="2574" width="1.5703125" style="163" customWidth="1"/>
    <col min="2575" max="2575" width="6.42578125" style="163" customWidth="1"/>
    <col min="2576" max="2576" width="13.140625" style="163" customWidth="1"/>
    <col min="2577" max="2577" width="1" style="163" customWidth="1"/>
    <col min="2578" max="2578" width="19.5703125" style="163" customWidth="1"/>
    <col min="2579" max="2579" width="0.85546875" style="163" customWidth="1"/>
    <col min="2580" max="2580" width="14.42578125" style="163" customWidth="1"/>
    <col min="2581" max="2581" width="12.85546875" style="163" customWidth="1"/>
    <col min="2582" max="2582" width="6.140625" style="163" customWidth="1"/>
    <col min="2583" max="2584" width="11.42578125" style="163"/>
    <col min="2585" max="2585" width="15.42578125" style="163" customWidth="1"/>
    <col min="2586" max="2825" width="11.42578125" style="163"/>
    <col min="2826" max="2826" width="2.28515625" style="163" customWidth="1"/>
    <col min="2827" max="2827" width="2.7109375" style="163" customWidth="1"/>
    <col min="2828" max="2828" width="2.42578125" style="163" customWidth="1"/>
    <col min="2829" max="2829" width="17.7109375" style="163" customWidth="1"/>
    <col min="2830" max="2830" width="1.5703125" style="163" customWidth="1"/>
    <col min="2831" max="2831" width="6.42578125" style="163" customWidth="1"/>
    <col min="2832" max="2832" width="13.140625" style="163" customWidth="1"/>
    <col min="2833" max="2833" width="1" style="163" customWidth="1"/>
    <col min="2834" max="2834" width="19.5703125" style="163" customWidth="1"/>
    <col min="2835" max="2835" width="0.85546875" style="163" customWidth="1"/>
    <col min="2836" max="2836" width="14.42578125" style="163" customWidth="1"/>
    <col min="2837" max="2837" width="12.85546875" style="163" customWidth="1"/>
    <col min="2838" max="2838" width="6.140625" style="163" customWidth="1"/>
    <col min="2839" max="2840" width="11.42578125" style="163"/>
    <col min="2841" max="2841" width="15.42578125" style="163" customWidth="1"/>
    <col min="2842" max="3081" width="11.42578125" style="163"/>
    <col min="3082" max="3082" width="2.28515625" style="163" customWidth="1"/>
    <col min="3083" max="3083" width="2.7109375" style="163" customWidth="1"/>
    <col min="3084" max="3084" width="2.42578125" style="163" customWidth="1"/>
    <col min="3085" max="3085" width="17.7109375" style="163" customWidth="1"/>
    <col min="3086" max="3086" width="1.5703125" style="163" customWidth="1"/>
    <col min="3087" max="3087" width="6.42578125" style="163" customWidth="1"/>
    <col min="3088" max="3088" width="13.140625" style="163" customWidth="1"/>
    <col min="3089" max="3089" width="1" style="163" customWidth="1"/>
    <col min="3090" max="3090" width="19.5703125" style="163" customWidth="1"/>
    <col min="3091" max="3091" width="0.85546875" style="163" customWidth="1"/>
    <col min="3092" max="3092" width="14.42578125" style="163" customWidth="1"/>
    <col min="3093" max="3093" width="12.85546875" style="163" customWidth="1"/>
    <col min="3094" max="3094" width="6.140625" style="163" customWidth="1"/>
    <col min="3095" max="3096" width="11.42578125" style="163"/>
    <col min="3097" max="3097" width="15.42578125" style="163" customWidth="1"/>
    <col min="3098" max="3337" width="11.42578125" style="163"/>
    <col min="3338" max="3338" width="2.28515625" style="163" customWidth="1"/>
    <col min="3339" max="3339" width="2.7109375" style="163" customWidth="1"/>
    <col min="3340" max="3340" width="2.42578125" style="163" customWidth="1"/>
    <col min="3341" max="3341" width="17.7109375" style="163" customWidth="1"/>
    <col min="3342" max="3342" width="1.5703125" style="163" customWidth="1"/>
    <col min="3343" max="3343" width="6.42578125" style="163" customWidth="1"/>
    <col min="3344" max="3344" width="13.140625" style="163" customWidth="1"/>
    <col min="3345" max="3345" width="1" style="163" customWidth="1"/>
    <col min="3346" max="3346" width="19.5703125" style="163" customWidth="1"/>
    <col min="3347" max="3347" width="0.85546875" style="163" customWidth="1"/>
    <col min="3348" max="3348" width="14.42578125" style="163" customWidth="1"/>
    <col min="3349" max="3349" width="12.85546875" style="163" customWidth="1"/>
    <col min="3350" max="3350" width="6.140625" style="163" customWidth="1"/>
    <col min="3351" max="3352" width="11.42578125" style="163"/>
    <col min="3353" max="3353" width="15.42578125" style="163" customWidth="1"/>
    <col min="3354" max="3593" width="11.42578125" style="163"/>
    <col min="3594" max="3594" width="2.28515625" style="163" customWidth="1"/>
    <col min="3595" max="3595" width="2.7109375" style="163" customWidth="1"/>
    <col min="3596" max="3596" width="2.42578125" style="163" customWidth="1"/>
    <col min="3597" max="3597" width="17.7109375" style="163" customWidth="1"/>
    <col min="3598" max="3598" width="1.5703125" style="163" customWidth="1"/>
    <col min="3599" max="3599" width="6.42578125" style="163" customWidth="1"/>
    <col min="3600" max="3600" width="13.140625" style="163" customWidth="1"/>
    <col min="3601" max="3601" width="1" style="163" customWidth="1"/>
    <col min="3602" max="3602" width="19.5703125" style="163" customWidth="1"/>
    <col min="3603" max="3603" width="0.85546875" style="163" customWidth="1"/>
    <col min="3604" max="3604" width="14.42578125" style="163" customWidth="1"/>
    <col min="3605" max="3605" width="12.85546875" style="163" customWidth="1"/>
    <col min="3606" max="3606" width="6.140625" style="163" customWidth="1"/>
    <col min="3607" max="3608" width="11.42578125" style="163"/>
    <col min="3609" max="3609" width="15.42578125" style="163" customWidth="1"/>
    <col min="3610" max="3849" width="11.42578125" style="163"/>
    <col min="3850" max="3850" width="2.28515625" style="163" customWidth="1"/>
    <col min="3851" max="3851" width="2.7109375" style="163" customWidth="1"/>
    <col min="3852" max="3852" width="2.42578125" style="163" customWidth="1"/>
    <col min="3853" max="3853" width="17.7109375" style="163" customWidth="1"/>
    <col min="3854" max="3854" width="1.5703125" style="163" customWidth="1"/>
    <col min="3855" max="3855" width="6.42578125" style="163" customWidth="1"/>
    <col min="3856" max="3856" width="13.140625" style="163" customWidth="1"/>
    <col min="3857" max="3857" width="1" style="163" customWidth="1"/>
    <col min="3858" max="3858" width="19.5703125" style="163" customWidth="1"/>
    <col min="3859" max="3859" width="0.85546875" style="163" customWidth="1"/>
    <col min="3860" max="3860" width="14.42578125" style="163" customWidth="1"/>
    <col min="3861" max="3861" width="12.85546875" style="163" customWidth="1"/>
    <col min="3862" max="3862" width="6.140625" style="163" customWidth="1"/>
    <col min="3863" max="3864" width="11.42578125" style="163"/>
    <col min="3865" max="3865" width="15.42578125" style="163" customWidth="1"/>
    <col min="3866" max="4105" width="11.42578125" style="163"/>
    <col min="4106" max="4106" width="2.28515625" style="163" customWidth="1"/>
    <col min="4107" max="4107" width="2.7109375" style="163" customWidth="1"/>
    <col min="4108" max="4108" width="2.42578125" style="163" customWidth="1"/>
    <col min="4109" max="4109" width="17.7109375" style="163" customWidth="1"/>
    <col min="4110" max="4110" width="1.5703125" style="163" customWidth="1"/>
    <col min="4111" max="4111" width="6.42578125" style="163" customWidth="1"/>
    <col min="4112" max="4112" width="13.140625" style="163" customWidth="1"/>
    <col min="4113" max="4113" width="1" style="163" customWidth="1"/>
    <col min="4114" max="4114" width="19.5703125" style="163" customWidth="1"/>
    <col min="4115" max="4115" width="0.85546875" style="163" customWidth="1"/>
    <col min="4116" max="4116" width="14.42578125" style="163" customWidth="1"/>
    <col min="4117" max="4117" width="12.85546875" style="163" customWidth="1"/>
    <col min="4118" max="4118" width="6.140625" style="163" customWidth="1"/>
    <col min="4119" max="4120" width="11.42578125" style="163"/>
    <col min="4121" max="4121" width="15.42578125" style="163" customWidth="1"/>
    <col min="4122" max="4361" width="11.42578125" style="163"/>
    <col min="4362" max="4362" width="2.28515625" style="163" customWidth="1"/>
    <col min="4363" max="4363" width="2.7109375" style="163" customWidth="1"/>
    <col min="4364" max="4364" width="2.42578125" style="163" customWidth="1"/>
    <col min="4365" max="4365" width="17.7109375" style="163" customWidth="1"/>
    <col min="4366" max="4366" width="1.5703125" style="163" customWidth="1"/>
    <col min="4367" max="4367" width="6.42578125" style="163" customWidth="1"/>
    <col min="4368" max="4368" width="13.140625" style="163" customWidth="1"/>
    <col min="4369" max="4369" width="1" style="163" customWidth="1"/>
    <col min="4370" max="4370" width="19.5703125" style="163" customWidth="1"/>
    <col min="4371" max="4371" width="0.85546875" style="163" customWidth="1"/>
    <col min="4372" max="4372" width="14.42578125" style="163" customWidth="1"/>
    <col min="4373" max="4373" width="12.85546875" style="163" customWidth="1"/>
    <col min="4374" max="4374" width="6.140625" style="163" customWidth="1"/>
    <col min="4375" max="4376" width="11.42578125" style="163"/>
    <col min="4377" max="4377" width="15.42578125" style="163" customWidth="1"/>
    <col min="4378" max="4617" width="11.42578125" style="163"/>
    <col min="4618" max="4618" width="2.28515625" style="163" customWidth="1"/>
    <col min="4619" max="4619" width="2.7109375" style="163" customWidth="1"/>
    <col min="4620" max="4620" width="2.42578125" style="163" customWidth="1"/>
    <col min="4621" max="4621" width="17.7109375" style="163" customWidth="1"/>
    <col min="4622" max="4622" width="1.5703125" style="163" customWidth="1"/>
    <col min="4623" max="4623" width="6.42578125" style="163" customWidth="1"/>
    <col min="4624" max="4624" width="13.140625" style="163" customWidth="1"/>
    <col min="4625" max="4625" width="1" style="163" customWidth="1"/>
    <col min="4626" max="4626" width="19.5703125" style="163" customWidth="1"/>
    <col min="4627" max="4627" width="0.85546875" style="163" customWidth="1"/>
    <col min="4628" max="4628" width="14.42578125" style="163" customWidth="1"/>
    <col min="4629" max="4629" width="12.85546875" style="163" customWidth="1"/>
    <col min="4630" max="4630" width="6.140625" style="163" customWidth="1"/>
    <col min="4631" max="4632" width="11.42578125" style="163"/>
    <col min="4633" max="4633" width="15.42578125" style="163" customWidth="1"/>
    <col min="4634" max="4873" width="11.42578125" style="163"/>
    <col min="4874" max="4874" width="2.28515625" style="163" customWidth="1"/>
    <col min="4875" max="4875" width="2.7109375" style="163" customWidth="1"/>
    <col min="4876" max="4876" width="2.42578125" style="163" customWidth="1"/>
    <col min="4877" max="4877" width="17.7109375" style="163" customWidth="1"/>
    <col min="4878" max="4878" width="1.5703125" style="163" customWidth="1"/>
    <col min="4879" max="4879" width="6.42578125" style="163" customWidth="1"/>
    <col min="4880" max="4880" width="13.140625" style="163" customWidth="1"/>
    <col min="4881" max="4881" width="1" style="163" customWidth="1"/>
    <col min="4882" max="4882" width="19.5703125" style="163" customWidth="1"/>
    <col min="4883" max="4883" width="0.85546875" style="163" customWidth="1"/>
    <col min="4884" max="4884" width="14.42578125" style="163" customWidth="1"/>
    <col min="4885" max="4885" width="12.85546875" style="163" customWidth="1"/>
    <col min="4886" max="4886" width="6.140625" style="163" customWidth="1"/>
    <col min="4887" max="4888" width="11.42578125" style="163"/>
    <col min="4889" max="4889" width="15.42578125" style="163" customWidth="1"/>
    <col min="4890" max="5129" width="11.42578125" style="163"/>
    <col min="5130" max="5130" width="2.28515625" style="163" customWidth="1"/>
    <col min="5131" max="5131" width="2.7109375" style="163" customWidth="1"/>
    <col min="5132" max="5132" width="2.42578125" style="163" customWidth="1"/>
    <col min="5133" max="5133" width="17.7109375" style="163" customWidth="1"/>
    <col min="5134" max="5134" width="1.5703125" style="163" customWidth="1"/>
    <col min="5135" max="5135" width="6.42578125" style="163" customWidth="1"/>
    <col min="5136" max="5136" width="13.140625" style="163" customWidth="1"/>
    <col min="5137" max="5137" width="1" style="163" customWidth="1"/>
    <col min="5138" max="5138" width="19.5703125" style="163" customWidth="1"/>
    <col min="5139" max="5139" width="0.85546875" style="163" customWidth="1"/>
    <col min="5140" max="5140" width="14.42578125" style="163" customWidth="1"/>
    <col min="5141" max="5141" width="12.85546875" style="163" customWidth="1"/>
    <col min="5142" max="5142" width="6.140625" style="163" customWidth="1"/>
    <col min="5143" max="5144" width="11.42578125" style="163"/>
    <col min="5145" max="5145" width="15.42578125" style="163" customWidth="1"/>
    <col min="5146" max="5385" width="11.42578125" style="163"/>
    <col min="5386" max="5386" width="2.28515625" style="163" customWidth="1"/>
    <col min="5387" max="5387" width="2.7109375" style="163" customWidth="1"/>
    <col min="5388" max="5388" width="2.42578125" style="163" customWidth="1"/>
    <col min="5389" max="5389" width="17.7109375" style="163" customWidth="1"/>
    <col min="5390" max="5390" width="1.5703125" style="163" customWidth="1"/>
    <col min="5391" max="5391" width="6.42578125" style="163" customWidth="1"/>
    <col min="5392" max="5392" width="13.140625" style="163" customWidth="1"/>
    <col min="5393" max="5393" width="1" style="163" customWidth="1"/>
    <col min="5394" max="5394" width="19.5703125" style="163" customWidth="1"/>
    <col min="5395" max="5395" width="0.85546875" style="163" customWidth="1"/>
    <col min="5396" max="5396" width="14.42578125" style="163" customWidth="1"/>
    <col min="5397" max="5397" width="12.85546875" style="163" customWidth="1"/>
    <col min="5398" max="5398" width="6.140625" style="163" customWidth="1"/>
    <col min="5399" max="5400" width="11.42578125" style="163"/>
    <col min="5401" max="5401" width="15.42578125" style="163" customWidth="1"/>
    <col min="5402" max="5641" width="11.42578125" style="163"/>
    <col min="5642" max="5642" width="2.28515625" style="163" customWidth="1"/>
    <col min="5643" max="5643" width="2.7109375" style="163" customWidth="1"/>
    <col min="5644" max="5644" width="2.42578125" style="163" customWidth="1"/>
    <col min="5645" max="5645" width="17.7109375" style="163" customWidth="1"/>
    <col min="5646" max="5646" width="1.5703125" style="163" customWidth="1"/>
    <col min="5647" max="5647" width="6.42578125" style="163" customWidth="1"/>
    <col min="5648" max="5648" width="13.140625" style="163" customWidth="1"/>
    <col min="5649" max="5649" width="1" style="163" customWidth="1"/>
    <col min="5650" max="5650" width="19.5703125" style="163" customWidth="1"/>
    <col min="5651" max="5651" width="0.85546875" style="163" customWidth="1"/>
    <col min="5652" max="5652" width="14.42578125" style="163" customWidth="1"/>
    <col min="5653" max="5653" width="12.85546875" style="163" customWidth="1"/>
    <col min="5654" max="5654" width="6.140625" style="163" customWidth="1"/>
    <col min="5655" max="5656" width="11.42578125" style="163"/>
    <col min="5657" max="5657" width="15.42578125" style="163" customWidth="1"/>
    <col min="5658" max="5897" width="11.42578125" style="163"/>
    <col min="5898" max="5898" width="2.28515625" style="163" customWidth="1"/>
    <col min="5899" max="5899" width="2.7109375" style="163" customWidth="1"/>
    <col min="5900" max="5900" width="2.42578125" style="163" customWidth="1"/>
    <col min="5901" max="5901" width="17.7109375" style="163" customWidth="1"/>
    <col min="5902" max="5902" width="1.5703125" style="163" customWidth="1"/>
    <col min="5903" max="5903" width="6.42578125" style="163" customWidth="1"/>
    <col min="5904" max="5904" width="13.140625" style="163" customWidth="1"/>
    <col min="5905" max="5905" width="1" style="163" customWidth="1"/>
    <col min="5906" max="5906" width="19.5703125" style="163" customWidth="1"/>
    <col min="5907" max="5907" width="0.85546875" style="163" customWidth="1"/>
    <col min="5908" max="5908" width="14.42578125" style="163" customWidth="1"/>
    <col min="5909" max="5909" width="12.85546875" style="163" customWidth="1"/>
    <col min="5910" max="5910" width="6.140625" style="163" customWidth="1"/>
    <col min="5911" max="5912" width="11.42578125" style="163"/>
    <col min="5913" max="5913" width="15.42578125" style="163" customWidth="1"/>
    <col min="5914" max="6153" width="11.42578125" style="163"/>
    <col min="6154" max="6154" width="2.28515625" style="163" customWidth="1"/>
    <col min="6155" max="6155" width="2.7109375" style="163" customWidth="1"/>
    <col min="6156" max="6156" width="2.42578125" style="163" customWidth="1"/>
    <col min="6157" max="6157" width="17.7109375" style="163" customWidth="1"/>
    <col min="6158" max="6158" width="1.5703125" style="163" customWidth="1"/>
    <col min="6159" max="6159" width="6.42578125" style="163" customWidth="1"/>
    <col min="6160" max="6160" width="13.140625" style="163" customWidth="1"/>
    <col min="6161" max="6161" width="1" style="163" customWidth="1"/>
    <col min="6162" max="6162" width="19.5703125" style="163" customWidth="1"/>
    <col min="6163" max="6163" width="0.85546875" style="163" customWidth="1"/>
    <col min="6164" max="6164" width="14.42578125" style="163" customWidth="1"/>
    <col min="6165" max="6165" width="12.85546875" style="163" customWidth="1"/>
    <col min="6166" max="6166" width="6.140625" style="163" customWidth="1"/>
    <col min="6167" max="6168" width="11.42578125" style="163"/>
    <col min="6169" max="6169" width="15.42578125" style="163" customWidth="1"/>
    <col min="6170" max="6409" width="11.42578125" style="163"/>
    <col min="6410" max="6410" width="2.28515625" style="163" customWidth="1"/>
    <col min="6411" max="6411" width="2.7109375" style="163" customWidth="1"/>
    <col min="6412" max="6412" width="2.42578125" style="163" customWidth="1"/>
    <col min="6413" max="6413" width="17.7109375" style="163" customWidth="1"/>
    <col min="6414" max="6414" width="1.5703125" style="163" customWidth="1"/>
    <col min="6415" max="6415" width="6.42578125" style="163" customWidth="1"/>
    <col min="6416" max="6416" width="13.140625" style="163" customWidth="1"/>
    <col min="6417" max="6417" width="1" style="163" customWidth="1"/>
    <col min="6418" max="6418" width="19.5703125" style="163" customWidth="1"/>
    <col min="6419" max="6419" width="0.85546875" style="163" customWidth="1"/>
    <col min="6420" max="6420" width="14.42578125" style="163" customWidth="1"/>
    <col min="6421" max="6421" width="12.85546875" style="163" customWidth="1"/>
    <col min="6422" max="6422" width="6.140625" style="163" customWidth="1"/>
    <col min="6423" max="6424" width="11.42578125" style="163"/>
    <col min="6425" max="6425" width="15.42578125" style="163" customWidth="1"/>
    <col min="6426" max="6665" width="11.42578125" style="163"/>
    <col min="6666" max="6666" width="2.28515625" style="163" customWidth="1"/>
    <col min="6667" max="6667" width="2.7109375" style="163" customWidth="1"/>
    <col min="6668" max="6668" width="2.42578125" style="163" customWidth="1"/>
    <col min="6669" max="6669" width="17.7109375" style="163" customWidth="1"/>
    <col min="6670" max="6670" width="1.5703125" style="163" customWidth="1"/>
    <col min="6671" max="6671" width="6.42578125" style="163" customWidth="1"/>
    <col min="6672" max="6672" width="13.140625" style="163" customWidth="1"/>
    <col min="6673" max="6673" width="1" style="163" customWidth="1"/>
    <col min="6674" max="6674" width="19.5703125" style="163" customWidth="1"/>
    <col min="6675" max="6675" width="0.85546875" style="163" customWidth="1"/>
    <col min="6676" max="6676" width="14.42578125" style="163" customWidth="1"/>
    <col min="6677" max="6677" width="12.85546875" style="163" customWidth="1"/>
    <col min="6678" max="6678" width="6.140625" style="163" customWidth="1"/>
    <col min="6679" max="6680" width="11.42578125" style="163"/>
    <col min="6681" max="6681" width="15.42578125" style="163" customWidth="1"/>
    <col min="6682" max="6921" width="11.42578125" style="163"/>
    <col min="6922" max="6922" width="2.28515625" style="163" customWidth="1"/>
    <col min="6923" max="6923" width="2.7109375" style="163" customWidth="1"/>
    <col min="6924" max="6924" width="2.42578125" style="163" customWidth="1"/>
    <col min="6925" max="6925" width="17.7109375" style="163" customWidth="1"/>
    <col min="6926" max="6926" width="1.5703125" style="163" customWidth="1"/>
    <col min="6927" max="6927" width="6.42578125" style="163" customWidth="1"/>
    <col min="6928" max="6928" width="13.140625" style="163" customWidth="1"/>
    <col min="6929" max="6929" width="1" style="163" customWidth="1"/>
    <col min="6930" max="6930" width="19.5703125" style="163" customWidth="1"/>
    <col min="6931" max="6931" width="0.85546875" style="163" customWidth="1"/>
    <col min="6932" max="6932" width="14.42578125" style="163" customWidth="1"/>
    <col min="6933" max="6933" width="12.85546875" style="163" customWidth="1"/>
    <col min="6934" max="6934" width="6.140625" style="163" customWidth="1"/>
    <col min="6935" max="6936" width="11.42578125" style="163"/>
    <col min="6937" max="6937" width="15.42578125" style="163" customWidth="1"/>
    <col min="6938" max="7177" width="11.42578125" style="163"/>
    <col min="7178" max="7178" width="2.28515625" style="163" customWidth="1"/>
    <col min="7179" max="7179" width="2.7109375" style="163" customWidth="1"/>
    <col min="7180" max="7180" width="2.42578125" style="163" customWidth="1"/>
    <col min="7181" max="7181" width="17.7109375" style="163" customWidth="1"/>
    <col min="7182" max="7182" width="1.5703125" style="163" customWidth="1"/>
    <col min="7183" max="7183" width="6.42578125" style="163" customWidth="1"/>
    <col min="7184" max="7184" width="13.140625" style="163" customWidth="1"/>
    <col min="7185" max="7185" width="1" style="163" customWidth="1"/>
    <col min="7186" max="7186" width="19.5703125" style="163" customWidth="1"/>
    <col min="7187" max="7187" width="0.85546875" style="163" customWidth="1"/>
    <col min="7188" max="7188" width="14.42578125" style="163" customWidth="1"/>
    <col min="7189" max="7189" width="12.85546875" style="163" customWidth="1"/>
    <col min="7190" max="7190" width="6.140625" style="163" customWidth="1"/>
    <col min="7191" max="7192" width="11.42578125" style="163"/>
    <col min="7193" max="7193" width="15.42578125" style="163" customWidth="1"/>
    <col min="7194" max="7433" width="11.42578125" style="163"/>
    <col min="7434" max="7434" width="2.28515625" style="163" customWidth="1"/>
    <col min="7435" max="7435" width="2.7109375" style="163" customWidth="1"/>
    <col min="7436" max="7436" width="2.42578125" style="163" customWidth="1"/>
    <col min="7437" max="7437" width="17.7109375" style="163" customWidth="1"/>
    <col min="7438" max="7438" width="1.5703125" style="163" customWidth="1"/>
    <col min="7439" max="7439" width="6.42578125" style="163" customWidth="1"/>
    <col min="7440" max="7440" width="13.140625" style="163" customWidth="1"/>
    <col min="7441" max="7441" width="1" style="163" customWidth="1"/>
    <col min="7442" max="7442" width="19.5703125" style="163" customWidth="1"/>
    <col min="7443" max="7443" width="0.85546875" style="163" customWidth="1"/>
    <col min="7444" max="7444" width="14.42578125" style="163" customWidth="1"/>
    <col min="7445" max="7445" width="12.85546875" style="163" customWidth="1"/>
    <col min="7446" max="7446" width="6.140625" style="163" customWidth="1"/>
    <col min="7447" max="7448" width="11.42578125" style="163"/>
    <col min="7449" max="7449" width="15.42578125" style="163" customWidth="1"/>
    <col min="7450" max="7689" width="11.42578125" style="163"/>
    <col min="7690" max="7690" width="2.28515625" style="163" customWidth="1"/>
    <col min="7691" max="7691" width="2.7109375" style="163" customWidth="1"/>
    <col min="7692" max="7692" width="2.42578125" style="163" customWidth="1"/>
    <col min="7693" max="7693" width="17.7109375" style="163" customWidth="1"/>
    <col min="7694" max="7694" width="1.5703125" style="163" customWidth="1"/>
    <col min="7695" max="7695" width="6.42578125" style="163" customWidth="1"/>
    <col min="7696" max="7696" width="13.140625" style="163" customWidth="1"/>
    <col min="7697" max="7697" width="1" style="163" customWidth="1"/>
    <col min="7698" max="7698" width="19.5703125" style="163" customWidth="1"/>
    <col min="7699" max="7699" width="0.85546875" style="163" customWidth="1"/>
    <col min="7700" max="7700" width="14.42578125" style="163" customWidth="1"/>
    <col min="7701" max="7701" width="12.85546875" style="163" customWidth="1"/>
    <col min="7702" max="7702" width="6.140625" style="163" customWidth="1"/>
    <col min="7703" max="7704" width="11.42578125" style="163"/>
    <col min="7705" max="7705" width="15.42578125" style="163" customWidth="1"/>
    <col min="7706" max="7945" width="11.42578125" style="163"/>
    <col min="7946" max="7946" width="2.28515625" style="163" customWidth="1"/>
    <col min="7947" max="7947" width="2.7109375" style="163" customWidth="1"/>
    <col min="7948" max="7948" width="2.42578125" style="163" customWidth="1"/>
    <col min="7949" max="7949" width="17.7109375" style="163" customWidth="1"/>
    <col min="7950" max="7950" width="1.5703125" style="163" customWidth="1"/>
    <col min="7951" max="7951" width="6.42578125" style="163" customWidth="1"/>
    <col min="7952" max="7952" width="13.140625" style="163" customWidth="1"/>
    <col min="7953" max="7953" width="1" style="163" customWidth="1"/>
    <col min="7954" max="7954" width="19.5703125" style="163" customWidth="1"/>
    <col min="7955" max="7955" width="0.85546875" style="163" customWidth="1"/>
    <col min="7956" max="7956" width="14.42578125" style="163" customWidth="1"/>
    <col min="7957" max="7957" width="12.85546875" style="163" customWidth="1"/>
    <col min="7958" max="7958" width="6.140625" style="163" customWidth="1"/>
    <col min="7959" max="7960" width="11.42578125" style="163"/>
    <col min="7961" max="7961" width="15.42578125" style="163" customWidth="1"/>
    <col min="7962" max="8201" width="11.42578125" style="163"/>
    <col min="8202" max="8202" width="2.28515625" style="163" customWidth="1"/>
    <col min="8203" max="8203" width="2.7109375" style="163" customWidth="1"/>
    <col min="8204" max="8204" width="2.42578125" style="163" customWidth="1"/>
    <col min="8205" max="8205" width="17.7109375" style="163" customWidth="1"/>
    <col min="8206" max="8206" width="1.5703125" style="163" customWidth="1"/>
    <col min="8207" max="8207" width="6.42578125" style="163" customWidth="1"/>
    <col min="8208" max="8208" width="13.140625" style="163" customWidth="1"/>
    <col min="8209" max="8209" width="1" style="163" customWidth="1"/>
    <col min="8210" max="8210" width="19.5703125" style="163" customWidth="1"/>
    <col min="8211" max="8211" width="0.85546875" style="163" customWidth="1"/>
    <col min="8212" max="8212" width="14.42578125" style="163" customWidth="1"/>
    <col min="8213" max="8213" width="12.85546875" style="163" customWidth="1"/>
    <col min="8214" max="8214" width="6.140625" style="163" customWidth="1"/>
    <col min="8215" max="8216" width="11.42578125" style="163"/>
    <col min="8217" max="8217" width="15.42578125" style="163" customWidth="1"/>
    <col min="8218" max="8457" width="11.42578125" style="163"/>
    <col min="8458" max="8458" width="2.28515625" style="163" customWidth="1"/>
    <col min="8459" max="8459" width="2.7109375" style="163" customWidth="1"/>
    <col min="8460" max="8460" width="2.42578125" style="163" customWidth="1"/>
    <col min="8461" max="8461" width="17.7109375" style="163" customWidth="1"/>
    <col min="8462" max="8462" width="1.5703125" style="163" customWidth="1"/>
    <col min="8463" max="8463" width="6.42578125" style="163" customWidth="1"/>
    <col min="8464" max="8464" width="13.140625" style="163" customWidth="1"/>
    <col min="8465" max="8465" width="1" style="163" customWidth="1"/>
    <col min="8466" max="8466" width="19.5703125" style="163" customWidth="1"/>
    <col min="8467" max="8467" width="0.85546875" style="163" customWidth="1"/>
    <col min="8468" max="8468" width="14.42578125" style="163" customWidth="1"/>
    <col min="8469" max="8469" width="12.85546875" style="163" customWidth="1"/>
    <col min="8470" max="8470" width="6.140625" style="163" customWidth="1"/>
    <col min="8471" max="8472" width="11.42578125" style="163"/>
    <col min="8473" max="8473" width="15.42578125" style="163" customWidth="1"/>
    <col min="8474" max="8713" width="11.42578125" style="163"/>
    <col min="8714" max="8714" width="2.28515625" style="163" customWidth="1"/>
    <col min="8715" max="8715" width="2.7109375" style="163" customWidth="1"/>
    <col min="8716" max="8716" width="2.42578125" style="163" customWidth="1"/>
    <col min="8717" max="8717" width="17.7109375" style="163" customWidth="1"/>
    <col min="8718" max="8718" width="1.5703125" style="163" customWidth="1"/>
    <col min="8719" max="8719" width="6.42578125" style="163" customWidth="1"/>
    <col min="8720" max="8720" width="13.140625" style="163" customWidth="1"/>
    <col min="8721" max="8721" width="1" style="163" customWidth="1"/>
    <col min="8722" max="8722" width="19.5703125" style="163" customWidth="1"/>
    <col min="8723" max="8723" width="0.85546875" style="163" customWidth="1"/>
    <col min="8724" max="8724" width="14.42578125" style="163" customWidth="1"/>
    <col min="8725" max="8725" width="12.85546875" style="163" customWidth="1"/>
    <col min="8726" max="8726" width="6.140625" style="163" customWidth="1"/>
    <col min="8727" max="8728" width="11.42578125" style="163"/>
    <col min="8729" max="8729" width="15.42578125" style="163" customWidth="1"/>
    <col min="8730" max="8969" width="11.42578125" style="163"/>
    <col min="8970" max="8970" width="2.28515625" style="163" customWidth="1"/>
    <col min="8971" max="8971" width="2.7109375" style="163" customWidth="1"/>
    <col min="8972" max="8972" width="2.42578125" style="163" customWidth="1"/>
    <col min="8973" max="8973" width="17.7109375" style="163" customWidth="1"/>
    <col min="8974" max="8974" width="1.5703125" style="163" customWidth="1"/>
    <col min="8975" max="8975" width="6.42578125" style="163" customWidth="1"/>
    <col min="8976" max="8976" width="13.140625" style="163" customWidth="1"/>
    <col min="8977" max="8977" width="1" style="163" customWidth="1"/>
    <col min="8978" max="8978" width="19.5703125" style="163" customWidth="1"/>
    <col min="8979" max="8979" width="0.85546875" style="163" customWidth="1"/>
    <col min="8980" max="8980" width="14.42578125" style="163" customWidth="1"/>
    <col min="8981" max="8981" width="12.85546875" style="163" customWidth="1"/>
    <col min="8982" max="8982" width="6.140625" style="163" customWidth="1"/>
    <col min="8983" max="8984" width="11.42578125" style="163"/>
    <col min="8985" max="8985" width="15.42578125" style="163" customWidth="1"/>
    <col min="8986" max="9225" width="11.42578125" style="163"/>
    <col min="9226" max="9226" width="2.28515625" style="163" customWidth="1"/>
    <col min="9227" max="9227" width="2.7109375" style="163" customWidth="1"/>
    <col min="9228" max="9228" width="2.42578125" style="163" customWidth="1"/>
    <col min="9229" max="9229" width="17.7109375" style="163" customWidth="1"/>
    <col min="9230" max="9230" width="1.5703125" style="163" customWidth="1"/>
    <col min="9231" max="9231" width="6.42578125" style="163" customWidth="1"/>
    <col min="9232" max="9232" width="13.140625" style="163" customWidth="1"/>
    <col min="9233" max="9233" width="1" style="163" customWidth="1"/>
    <col min="9234" max="9234" width="19.5703125" style="163" customWidth="1"/>
    <col min="9235" max="9235" width="0.85546875" style="163" customWidth="1"/>
    <col min="9236" max="9236" width="14.42578125" style="163" customWidth="1"/>
    <col min="9237" max="9237" width="12.85546875" style="163" customWidth="1"/>
    <col min="9238" max="9238" width="6.140625" style="163" customWidth="1"/>
    <col min="9239" max="9240" width="11.42578125" style="163"/>
    <col min="9241" max="9241" width="15.42578125" style="163" customWidth="1"/>
    <col min="9242" max="9481" width="11.42578125" style="163"/>
    <col min="9482" max="9482" width="2.28515625" style="163" customWidth="1"/>
    <col min="9483" max="9483" width="2.7109375" style="163" customWidth="1"/>
    <col min="9484" max="9484" width="2.42578125" style="163" customWidth="1"/>
    <col min="9485" max="9485" width="17.7109375" style="163" customWidth="1"/>
    <col min="9486" max="9486" width="1.5703125" style="163" customWidth="1"/>
    <col min="9487" max="9487" width="6.42578125" style="163" customWidth="1"/>
    <col min="9488" max="9488" width="13.140625" style="163" customWidth="1"/>
    <col min="9489" max="9489" width="1" style="163" customWidth="1"/>
    <col min="9490" max="9490" width="19.5703125" style="163" customWidth="1"/>
    <col min="9491" max="9491" width="0.85546875" style="163" customWidth="1"/>
    <col min="9492" max="9492" width="14.42578125" style="163" customWidth="1"/>
    <col min="9493" max="9493" width="12.85546875" style="163" customWidth="1"/>
    <col min="9494" max="9494" width="6.140625" style="163" customWidth="1"/>
    <col min="9495" max="9496" width="11.42578125" style="163"/>
    <col min="9497" max="9497" width="15.42578125" style="163" customWidth="1"/>
    <col min="9498" max="9737" width="11.42578125" style="163"/>
    <col min="9738" max="9738" width="2.28515625" style="163" customWidth="1"/>
    <col min="9739" max="9739" width="2.7109375" style="163" customWidth="1"/>
    <col min="9740" max="9740" width="2.42578125" style="163" customWidth="1"/>
    <col min="9741" max="9741" width="17.7109375" style="163" customWidth="1"/>
    <col min="9742" max="9742" width="1.5703125" style="163" customWidth="1"/>
    <col min="9743" max="9743" width="6.42578125" style="163" customWidth="1"/>
    <col min="9744" max="9744" width="13.140625" style="163" customWidth="1"/>
    <col min="9745" max="9745" width="1" style="163" customWidth="1"/>
    <col min="9746" max="9746" width="19.5703125" style="163" customWidth="1"/>
    <col min="9747" max="9747" width="0.85546875" style="163" customWidth="1"/>
    <col min="9748" max="9748" width="14.42578125" style="163" customWidth="1"/>
    <col min="9749" max="9749" width="12.85546875" style="163" customWidth="1"/>
    <col min="9750" max="9750" width="6.140625" style="163" customWidth="1"/>
    <col min="9751" max="9752" width="11.42578125" style="163"/>
    <col min="9753" max="9753" width="15.42578125" style="163" customWidth="1"/>
    <col min="9754" max="9993" width="11.42578125" style="163"/>
    <col min="9994" max="9994" width="2.28515625" style="163" customWidth="1"/>
    <col min="9995" max="9995" width="2.7109375" style="163" customWidth="1"/>
    <col min="9996" max="9996" width="2.42578125" style="163" customWidth="1"/>
    <col min="9997" max="9997" width="17.7109375" style="163" customWidth="1"/>
    <col min="9998" max="9998" width="1.5703125" style="163" customWidth="1"/>
    <col min="9999" max="9999" width="6.42578125" style="163" customWidth="1"/>
    <col min="10000" max="10000" width="13.140625" style="163" customWidth="1"/>
    <col min="10001" max="10001" width="1" style="163" customWidth="1"/>
    <col min="10002" max="10002" width="19.5703125" style="163" customWidth="1"/>
    <col min="10003" max="10003" width="0.85546875" style="163" customWidth="1"/>
    <col min="10004" max="10004" width="14.42578125" style="163" customWidth="1"/>
    <col min="10005" max="10005" width="12.85546875" style="163" customWidth="1"/>
    <col min="10006" max="10006" width="6.140625" style="163" customWidth="1"/>
    <col min="10007" max="10008" width="11.42578125" style="163"/>
    <col min="10009" max="10009" width="15.42578125" style="163" customWidth="1"/>
    <col min="10010" max="10249" width="11.42578125" style="163"/>
    <col min="10250" max="10250" width="2.28515625" style="163" customWidth="1"/>
    <col min="10251" max="10251" width="2.7109375" style="163" customWidth="1"/>
    <col min="10252" max="10252" width="2.42578125" style="163" customWidth="1"/>
    <col min="10253" max="10253" width="17.7109375" style="163" customWidth="1"/>
    <col min="10254" max="10254" width="1.5703125" style="163" customWidth="1"/>
    <col min="10255" max="10255" width="6.42578125" style="163" customWidth="1"/>
    <col min="10256" max="10256" width="13.140625" style="163" customWidth="1"/>
    <col min="10257" max="10257" width="1" style="163" customWidth="1"/>
    <col min="10258" max="10258" width="19.5703125" style="163" customWidth="1"/>
    <col min="10259" max="10259" width="0.85546875" style="163" customWidth="1"/>
    <col min="10260" max="10260" width="14.42578125" style="163" customWidth="1"/>
    <col min="10261" max="10261" width="12.85546875" style="163" customWidth="1"/>
    <col min="10262" max="10262" width="6.140625" style="163" customWidth="1"/>
    <col min="10263" max="10264" width="11.42578125" style="163"/>
    <col min="10265" max="10265" width="15.42578125" style="163" customWidth="1"/>
    <col min="10266" max="10505" width="11.42578125" style="163"/>
    <col min="10506" max="10506" width="2.28515625" style="163" customWidth="1"/>
    <col min="10507" max="10507" width="2.7109375" style="163" customWidth="1"/>
    <col min="10508" max="10508" width="2.42578125" style="163" customWidth="1"/>
    <col min="10509" max="10509" width="17.7109375" style="163" customWidth="1"/>
    <col min="10510" max="10510" width="1.5703125" style="163" customWidth="1"/>
    <col min="10511" max="10511" width="6.42578125" style="163" customWidth="1"/>
    <col min="10512" max="10512" width="13.140625" style="163" customWidth="1"/>
    <col min="10513" max="10513" width="1" style="163" customWidth="1"/>
    <col min="10514" max="10514" width="19.5703125" style="163" customWidth="1"/>
    <col min="10515" max="10515" width="0.85546875" style="163" customWidth="1"/>
    <col min="10516" max="10516" width="14.42578125" style="163" customWidth="1"/>
    <col min="10517" max="10517" width="12.85546875" style="163" customWidth="1"/>
    <col min="10518" max="10518" width="6.140625" style="163" customWidth="1"/>
    <col min="10519" max="10520" width="11.42578125" style="163"/>
    <col min="10521" max="10521" width="15.42578125" style="163" customWidth="1"/>
    <col min="10522" max="10761" width="11.42578125" style="163"/>
    <col min="10762" max="10762" width="2.28515625" style="163" customWidth="1"/>
    <col min="10763" max="10763" width="2.7109375" style="163" customWidth="1"/>
    <col min="10764" max="10764" width="2.42578125" style="163" customWidth="1"/>
    <col min="10765" max="10765" width="17.7109375" style="163" customWidth="1"/>
    <col min="10766" max="10766" width="1.5703125" style="163" customWidth="1"/>
    <col min="10767" max="10767" width="6.42578125" style="163" customWidth="1"/>
    <col min="10768" max="10768" width="13.140625" style="163" customWidth="1"/>
    <col min="10769" max="10769" width="1" style="163" customWidth="1"/>
    <col min="10770" max="10770" width="19.5703125" style="163" customWidth="1"/>
    <col min="10771" max="10771" width="0.85546875" style="163" customWidth="1"/>
    <col min="10772" max="10772" width="14.42578125" style="163" customWidth="1"/>
    <col min="10773" max="10773" width="12.85546875" style="163" customWidth="1"/>
    <col min="10774" max="10774" width="6.140625" style="163" customWidth="1"/>
    <col min="10775" max="10776" width="11.42578125" style="163"/>
    <col min="10777" max="10777" width="15.42578125" style="163" customWidth="1"/>
    <col min="10778" max="11017" width="11.42578125" style="163"/>
    <col min="11018" max="11018" width="2.28515625" style="163" customWidth="1"/>
    <col min="11019" max="11019" width="2.7109375" style="163" customWidth="1"/>
    <col min="11020" max="11020" width="2.42578125" style="163" customWidth="1"/>
    <col min="11021" max="11021" width="17.7109375" style="163" customWidth="1"/>
    <col min="11022" max="11022" width="1.5703125" style="163" customWidth="1"/>
    <col min="11023" max="11023" width="6.42578125" style="163" customWidth="1"/>
    <col min="11024" max="11024" width="13.140625" style="163" customWidth="1"/>
    <col min="11025" max="11025" width="1" style="163" customWidth="1"/>
    <col min="11026" max="11026" width="19.5703125" style="163" customWidth="1"/>
    <col min="11027" max="11027" width="0.85546875" style="163" customWidth="1"/>
    <col min="11028" max="11028" width="14.42578125" style="163" customWidth="1"/>
    <col min="11029" max="11029" width="12.85546875" style="163" customWidth="1"/>
    <col min="11030" max="11030" width="6.140625" style="163" customWidth="1"/>
    <col min="11031" max="11032" width="11.42578125" style="163"/>
    <col min="11033" max="11033" width="15.42578125" style="163" customWidth="1"/>
    <col min="11034" max="11273" width="11.42578125" style="163"/>
    <col min="11274" max="11274" width="2.28515625" style="163" customWidth="1"/>
    <col min="11275" max="11275" width="2.7109375" style="163" customWidth="1"/>
    <col min="11276" max="11276" width="2.42578125" style="163" customWidth="1"/>
    <col min="11277" max="11277" width="17.7109375" style="163" customWidth="1"/>
    <col min="11278" max="11278" width="1.5703125" style="163" customWidth="1"/>
    <col min="11279" max="11279" width="6.42578125" style="163" customWidth="1"/>
    <col min="11280" max="11280" width="13.140625" style="163" customWidth="1"/>
    <col min="11281" max="11281" width="1" style="163" customWidth="1"/>
    <col min="11282" max="11282" width="19.5703125" style="163" customWidth="1"/>
    <col min="11283" max="11283" width="0.85546875" style="163" customWidth="1"/>
    <col min="11284" max="11284" width="14.42578125" style="163" customWidth="1"/>
    <col min="11285" max="11285" width="12.85546875" style="163" customWidth="1"/>
    <col min="11286" max="11286" width="6.140625" style="163" customWidth="1"/>
    <col min="11287" max="11288" width="11.42578125" style="163"/>
    <col min="11289" max="11289" width="15.42578125" style="163" customWidth="1"/>
    <col min="11290" max="11529" width="11.42578125" style="163"/>
    <col min="11530" max="11530" width="2.28515625" style="163" customWidth="1"/>
    <col min="11531" max="11531" width="2.7109375" style="163" customWidth="1"/>
    <col min="11532" max="11532" width="2.42578125" style="163" customWidth="1"/>
    <col min="11533" max="11533" width="17.7109375" style="163" customWidth="1"/>
    <col min="11534" max="11534" width="1.5703125" style="163" customWidth="1"/>
    <col min="11535" max="11535" width="6.42578125" style="163" customWidth="1"/>
    <col min="11536" max="11536" width="13.140625" style="163" customWidth="1"/>
    <col min="11537" max="11537" width="1" style="163" customWidth="1"/>
    <col min="11538" max="11538" width="19.5703125" style="163" customWidth="1"/>
    <col min="11539" max="11539" width="0.85546875" style="163" customWidth="1"/>
    <col min="11540" max="11540" width="14.42578125" style="163" customWidth="1"/>
    <col min="11541" max="11541" width="12.85546875" style="163" customWidth="1"/>
    <col min="11542" max="11542" width="6.140625" style="163" customWidth="1"/>
    <col min="11543" max="11544" width="11.42578125" style="163"/>
    <col min="11545" max="11545" width="15.42578125" style="163" customWidth="1"/>
    <col min="11546" max="11785" width="11.42578125" style="163"/>
    <col min="11786" max="11786" width="2.28515625" style="163" customWidth="1"/>
    <col min="11787" max="11787" width="2.7109375" style="163" customWidth="1"/>
    <col min="11788" max="11788" width="2.42578125" style="163" customWidth="1"/>
    <col min="11789" max="11789" width="17.7109375" style="163" customWidth="1"/>
    <col min="11790" max="11790" width="1.5703125" style="163" customWidth="1"/>
    <col min="11791" max="11791" width="6.42578125" style="163" customWidth="1"/>
    <col min="11792" max="11792" width="13.140625" style="163" customWidth="1"/>
    <col min="11793" max="11793" width="1" style="163" customWidth="1"/>
    <col min="11794" max="11794" width="19.5703125" style="163" customWidth="1"/>
    <col min="11795" max="11795" width="0.85546875" style="163" customWidth="1"/>
    <col min="11796" max="11796" width="14.42578125" style="163" customWidth="1"/>
    <col min="11797" max="11797" width="12.85546875" style="163" customWidth="1"/>
    <col min="11798" max="11798" width="6.140625" style="163" customWidth="1"/>
    <col min="11799" max="11800" width="11.42578125" style="163"/>
    <col min="11801" max="11801" width="15.42578125" style="163" customWidth="1"/>
    <col min="11802" max="12041" width="11.42578125" style="163"/>
    <col min="12042" max="12042" width="2.28515625" style="163" customWidth="1"/>
    <col min="12043" max="12043" width="2.7109375" style="163" customWidth="1"/>
    <col min="12044" max="12044" width="2.42578125" style="163" customWidth="1"/>
    <col min="12045" max="12045" width="17.7109375" style="163" customWidth="1"/>
    <col min="12046" max="12046" width="1.5703125" style="163" customWidth="1"/>
    <col min="12047" max="12047" width="6.42578125" style="163" customWidth="1"/>
    <col min="12048" max="12048" width="13.140625" style="163" customWidth="1"/>
    <col min="12049" max="12049" width="1" style="163" customWidth="1"/>
    <col min="12050" max="12050" width="19.5703125" style="163" customWidth="1"/>
    <col min="12051" max="12051" width="0.85546875" style="163" customWidth="1"/>
    <col min="12052" max="12052" width="14.42578125" style="163" customWidth="1"/>
    <col min="12053" max="12053" width="12.85546875" style="163" customWidth="1"/>
    <col min="12054" max="12054" width="6.140625" style="163" customWidth="1"/>
    <col min="12055" max="12056" width="11.42578125" style="163"/>
    <col min="12057" max="12057" width="15.42578125" style="163" customWidth="1"/>
    <col min="12058" max="12297" width="11.42578125" style="163"/>
    <col min="12298" max="12298" width="2.28515625" style="163" customWidth="1"/>
    <col min="12299" max="12299" width="2.7109375" style="163" customWidth="1"/>
    <col min="12300" max="12300" width="2.42578125" style="163" customWidth="1"/>
    <col min="12301" max="12301" width="17.7109375" style="163" customWidth="1"/>
    <col min="12302" max="12302" width="1.5703125" style="163" customWidth="1"/>
    <col min="12303" max="12303" width="6.42578125" style="163" customWidth="1"/>
    <col min="12304" max="12304" width="13.140625" style="163" customWidth="1"/>
    <col min="12305" max="12305" width="1" style="163" customWidth="1"/>
    <col min="12306" max="12306" width="19.5703125" style="163" customWidth="1"/>
    <col min="12307" max="12307" width="0.85546875" style="163" customWidth="1"/>
    <col min="12308" max="12308" width="14.42578125" style="163" customWidth="1"/>
    <col min="12309" max="12309" width="12.85546875" style="163" customWidth="1"/>
    <col min="12310" max="12310" width="6.140625" style="163" customWidth="1"/>
    <col min="12311" max="12312" width="11.42578125" style="163"/>
    <col min="12313" max="12313" width="15.42578125" style="163" customWidth="1"/>
    <col min="12314" max="12553" width="11.42578125" style="163"/>
    <col min="12554" max="12554" width="2.28515625" style="163" customWidth="1"/>
    <col min="12555" max="12555" width="2.7109375" style="163" customWidth="1"/>
    <col min="12556" max="12556" width="2.42578125" style="163" customWidth="1"/>
    <col min="12557" max="12557" width="17.7109375" style="163" customWidth="1"/>
    <col min="12558" max="12558" width="1.5703125" style="163" customWidth="1"/>
    <col min="12559" max="12559" width="6.42578125" style="163" customWidth="1"/>
    <col min="12560" max="12560" width="13.140625" style="163" customWidth="1"/>
    <col min="12561" max="12561" width="1" style="163" customWidth="1"/>
    <col min="12562" max="12562" width="19.5703125" style="163" customWidth="1"/>
    <col min="12563" max="12563" width="0.85546875" style="163" customWidth="1"/>
    <col min="12564" max="12564" width="14.42578125" style="163" customWidth="1"/>
    <col min="12565" max="12565" width="12.85546875" style="163" customWidth="1"/>
    <col min="12566" max="12566" width="6.140625" style="163" customWidth="1"/>
    <col min="12567" max="12568" width="11.42578125" style="163"/>
    <col min="12569" max="12569" width="15.42578125" style="163" customWidth="1"/>
    <col min="12570" max="12809" width="11.42578125" style="163"/>
    <col min="12810" max="12810" width="2.28515625" style="163" customWidth="1"/>
    <col min="12811" max="12811" width="2.7109375" style="163" customWidth="1"/>
    <col min="12812" max="12812" width="2.42578125" style="163" customWidth="1"/>
    <col min="12813" max="12813" width="17.7109375" style="163" customWidth="1"/>
    <col min="12814" max="12814" width="1.5703125" style="163" customWidth="1"/>
    <col min="12815" max="12815" width="6.42578125" style="163" customWidth="1"/>
    <col min="12816" max="12816" width="13.140625" style="163" customWidth="1"/>
    <col min="12817" max="12817" width="1" style="163" customWidth="1"/>
    <col min="12818" max="12818" width="19.5703125" style="163" customWidth="1"/>
    <col min="12819" max="12819" width="0.85546875" style="163" customWidth="1"/>
    <col min="12820" max="12820" width="14.42578125" style="163" customWidth="1"/>
    <col min="12821" max="12821" width="12.85546875" style="163" customWidth="1"/>
    <col min="12822" max="12822" width="6.140625" style="163" customWidth="1"/>
    <col min="12823" max="12824" width="11.42578125" style="163"/>
    <col min="12825" max="12825" width="15.42578125" style="163" customWidth="1"/>
    <col min="12826" max="13065" width="11.42578125" style="163"/>
    <col min="13066" max="13066" width="2.28515625" style="163" customWidth="1"/>
    <col min="13067" max="13067" width="2.7109375" style="163" customWidth="1"/>
    <col min="13068" max="13068" width="2.42578125" style="163" customWidth="1"/>
    <col min="13069" max="13069" width="17.7109375" style="163" customWidth="1"/>
    <col min="13070" max="13070" width="1.5703125" style="163" customWidth="1"/>
    <col min="13071" max="13071" width="6.42578125" style="163" customWidth="1"/>
    <col min="13072" max="13072" width="13.140625" style="163" customWidth="1"/>
    <col min="13073" max="13073" width="1" style="163" customWidth="1"/>
    <col min="13074" max="13074" width="19.5703125" style="163" customWidth="1"/>
    <col min="13075" max="13075" width="0.85546875" style="163" customWidth="1"/>
    <col min="13076" max="13076" width="14.42578125" style="163" customWidth="1"/>
    <col min="13077" max="13077" width="12.85546875" style="163" customWidth="1"/>
    <col min="13078" max="13078" width="6.140625" style="163" customWidth="1"/>
    <col min="13079" max="13080" width="11.42578125" style="163"/>
    <col min="13081" max="13081" width="15.42578125" style="163" customWidth="1"/>
    <col min="13082" max="13321" width="11.42578125" style="163"/>
    <col min="13322" max="13322" width="2.28515625" style="163" customWidth="1"/>
    <col min="13323" max="13323" width="2.7109375" style="163" customWidth="1"/>
    <col min="13324" max="13324" width="2.42578125" style="163" customWidth="1"/>
    <col min="13325" max="13325" width="17.7109375" style="163" customWidth="1"/>
    <col min="13326" max="13326" width="1.5703125" style="163" customWidth="1"/>
    <col min="13327" max="13327" width="6.42578125" style="163" customWidth="1"/>
    <col min="13328" max="13328" width="13.140625" style="163" customWidth="1"/>
    <col min="13329" max="13329" width="1" style="163" customWidth="1"/>
    <col min="13330" max="13330" width="19.5703125" style="163" customWidth="1"/>
    <col min="13331" max="13331" width="0.85546875" style="163" customWidth="1"/>
    <col min="13332" max="13332" width="14.42578125" style="163" customWidth="1"/>
    <col min="13333" max="13333" width="12.85546875" style="163" customWidth="1"/>
    <col min="13334" max="13334" width="6.140625" style="163" customWidth="1"/>
    <col min="13335" max="13336" width="11.42578125" style="163"/>
    <col min="13337" max="13337" width="15.42578125" style="163" customWidth="1"/>
    <col min="13338" max="13577" width="11.42578125" style="163"/>
    <col min="13578" max="13578" width="2.28515625" style="163" customWidth="1"/>
    <col min="13579" max="13579" width="2.7109375" style="163" customWidth="1"/>
    <col min="13580" max="13580" width="2.42578125" style="163" customWidth="1"/>
    <col min="13581" max="13581" width="17.7109375" style="163" customWidth="1"/>
    <col min="13582" max="13582" width="1.5703125" style="163" customWidth="1"/>
    <col min="13583" max="13583" width="6.42578125" style="163" customWidth="1"/>
    <col min="13584" max="13584" width="13.140625" style="163" customWidth="1"/>
    <col min="13585" max="13585" width="1" style="163" customWidth="1"/>
    <col min="13586" max="13586" width="19.5703125" style="163" customWidth="1"/>
    <col min="13587" max="13587" width="0.85546875" style="163" customWidth="1"/>
    <col min="13588" max="13588" width="14.42578125" style="163" customWidth="1"/>
    <col min="13589" max="13589" width="12.85546875" style="163" customWidth="1"/>
    <col min="13590" max="13590" width="6.140625" style="163" customWidth="1"/>
    <col min="13591" max="13592" width="11.42578125" style="163"/>
    <col min="13593" max="13593" width="15.42578125" style="163" customWidth="1"/>
    <col min="13594" max="13833" width="11.42578125" style="163"/>
    <col min="13834" max="13834" width="2.28515625" style="163" customWidth="1"/>
    <col min="13835" max="13835" width="2.7109375" style="163" customWidth="1"/>
    <col min="13836" max="13836" width="2.42578125" style="163" customWidth="1"/>
    <col min="13837" max="13837" width="17.7109375" style="163" customWidth="1"/>
    <col min="13838" max="13838" width="1.5703125" style="163" customWidth="1"/>
    <col min="13839" max="13839" width="6.42578125" style="163" customWidth="1"/>
    <col min="13840" max="13840" width="13.140625" style="163" customWidth="1"/>
    <col min="13841" max="13841" width="1" style="163" customWidth="1"/>
    <col min="13842" max="13842" width="19.5703125" style="163" customWidth="1"/>
    <col min="13843" max="13843" width="0.85546875" style="163" customWidth="1"/>
    <col min="13844" max="13844" width="14.42578125" style="163" customWidth="1"/>
    <col min="13845" max="13845" width="12.85546875" style="163" customWidth="1"/>
    <col min="13846" max="13846" width="6.140625" style="163" customWidth="1"/>
    <col min="13847" max="13848" width="11.42578125" style="163"/>
    <col min="13849" max="13849" width="15.42578125" style="163" customWidth="1"/>
    <col min="13850" max="14089" width="11.42578125" style="163"/>
    <col min="14090" max="14090" width="2.28515625" style="163" customWidth="1"/>
    <col min="14091" max="14091" width="2.7109375" style="163" customWidth="1"/>
    <col min="14092" max="14092" width="2.42578125" style="163" customWidth="1"/>
    <col min="14093" max="14093" width="17.7109375" style="163" customWidth="1"/>
    <col min="14094" max="14094" width="1.5703125" style="163" customWidth="1"/>
    <col min="14095" max="14095" width="6.42578125" style="163" customWidth="1"/>
    <col min="14096" max="14096" width="13.140625" style="163" customWidth="1"/>
    <col min="14097" max="14097" width="1" style="163" customWidth="1"/>
    <col min="14098" max="14098" width="19.5703125" style="163" customWidth="1"/>
    <col min="14099" max="14099" width="0.85546875" style="163" customWidth="1"/>
    <col min="14100" max="14100" width="14.42578125" style="163" customWidth="1"/>
    <col min="14101" max="14101" width="12.85546875" style="163" customWidth="1"/>
    <col min="14102" max="14102" width="6.140625" style="163" customWidth="1"/>
    <col min="14103" max="14104" width="11.42578125" style="163"/>
    <col min="14105" max="14105" width="15.42578125" style="163" customWidth="1"/>
    <col min="14106" max="14345" width="11.42578125" style="163"/>
    <col min="14346" max="14346" width="2.28515625" style="163" customWidth="1"/>
    <col min="14347" max="14347" width="2.7109375" style="163" customWidth="1"/>
    <col min="14348" max="14348" width="2.42578125" style="163" customWidth="1"/>
    <col min="14349" max="14349" width="17.7109375" style="163" customWidth="1"/>
    <col min="14350" max="14350" width="1.5703125" style="163" customWidth="1"/>
    <col min="14351" max="14351" width="6.42578125" style="163" customWidth="1"/>
    <col min="14352" max="14352" width="13.140625" style="163" customWidth="1"/>
    <col min="14353" max="14353" width="1" style="163" customWidth="1"/>
    <col min="14354" max="14354" width="19.5703125" style="163" customWidth="1"/>
    <col min="14355" max="14355" width="0.85546875" style="163" customWidth="1"/>
    <col min="14356" max="14356" width="14.42578125" style="163" customWidth="1"/>
    <col min="14357" max="14357" width="12.85546875" style="163" customWidth="1"/>
    <col min="14358" max="14358" width="6.140625" style="163" customWidth="1"/>
    <col min="14359" max="14360" width="11.42578125" style="163"/>
    <col min="14361" max="14361" width="15.42578125" style="163" customWidth="1"/>
    <col min="14362" max="14601" width="11.42578125" style="163"/>
    <col min="14602" max="14602" width="2.28515625" style="163" customWidth="1"/>
    <col min="14603" max="14603" width="2.7109375" style="163" customWidth="1"/>
    <col min="14604" max="14604" width="2.42578125" style="163" customWidth="1"/>
    <col min="14605" max="14605" width="17.7109375" style="163" customWidth="1"/>
    <col min="14606" max="14606" width="1.5703125" style="163" customWidth="1"/>
    <col min="14607" max="14607" width="6.42578125" style="163" customWidth="1"/>
    <col min="14608" max="14608" width="13.140625" style="163" customWidth="1"/>
    <col min="14609" max="14609" width="1" style="163" customWidth="1"/>
    <col min="14610" max="14610" width="19.5703125" style="163" customWidth="1"/>
    <col min="14611" max="14611" width="0.85546875" style="163" customWidth="1"/>
    <col min="14612" max="14612" width="14.42578125" style="163" customWidth="1"/>
    <col min="14613" max="14613" width="12.85546875" style="163" customWidth="1"/>
    <col min="14614" max="14614" width="6.140625" style="163" customWidth="1"/>
    <col min="14615" max="14616" width="11.42578125" style="163"/>
    <col min="14617" max="14617" width="15.42578125" style="163" customWidth="1"/>
    <col min="14618" max="14857" width="11.42578125" style="163"/>
    <col min="14858" max="14858" width="2.28515625" style="163" customWidth="1"/>
    <col min="14859" max="14859" width="2.7109375" style="163" customWidth="1"/>
    <col min="14860" max="14860" width="2.42578125" style="163" customWidth="1"/>
    <col min="14861" max="14861" width="17.7109375" style="163" customWidth="1"/>
    <col min="14862" max="14862" width="1.5703125" style="163" customWidth="1"/>
    <col min="14863" max="14863" width="6.42578125" style="163" customWidth="1"/>
    <col min="14864" max="14864" width="13.140625" style="163" customWidth="1"/>
    <col min="14865" max="14865" width="1" style="163" customWidth="1"/>
    <col min="14866" max="14866" width="19.5703125" style="163" customWidth="1"/>
    <col min="14867" max="14867" width="0.85546875" style="163" customWidth="1"/>
    <col min="14868" max="14868" width="14.42578125" style="163" customWidth="1"/>
    <col min="14869" max="14869" width="12.85546875" style="163" customWidth="1"/>
    <col min="14870" max="14870" width="6.140625" style="163" customWidth="1"/>
    <col min="14871" max="14872" width="11.42578125" style="163"/>
    <col min="14873" max="14873" width="15.42578125" style="163" customWidth="1"/>
    <col min="14874" max="15113" width="11.42578125" style="163"/>
    <col min="15114" max="15114" width="2.28515625" style="163" customWidth="1"/>
    <col min="15115" max="15115" width="2.7109375" style="163" customWidth="1"/>
    <col min="15116" max="15116" width="2.42578125" style="163" customWidth="1"/>
    <col min="15117" max="15117" width="17.7109375" style="163" customWidth="1"/>
    <col min="15118" max="15118" width="1.5703125" style="163" customWidth="1"/>
    <col min="15119" max="15119" width="6.42578125" style="163" customWidth="1"/>
    <col min="15120" max="15120" width="13.140625" style="163" customWidth="1"/>
    <col min="15121" max="15121" width="1" style="163" customWidth="1"/>
    <col min="15122" max="15122" width="19.5703125" style="163" customWidth="1"/>
    <col min="15123" max="15123" width="0.85546875" style="163" customWidth="1"/>
    <col min="15124" max="15124" width="14.42578125" style="163" customWidth="1"/>
    <col min="15125" max="15125" width="12.85546875" style="163" customWidth="1"/>
    <col min="15126" max="15126" width="6.140625" style="163" customWidth="1"/>
    <col min="15127" max="15128" width="11.42578125" style="163"/>
    <col min="15129" max="15129" width="15.42578125" style="163" customWidth="1"/>
    <col min="15130" max="15369" width="11.42578125" style="163"/>
    <col min="15370" max="15370" width="2.28515625" style="163" customWidth="1"/>
    <col min="15371" max="15371" width="2.7109375" style="163" customWidth="1"/>
    <col min="15372" max="15372" width="2.42578125" style="163" customWidth="1"/>
    <col min="15373" max="15373" width="17.7109375" style="163" customWidth="1"/>
    <col min="15374" max="15374" width="1.5703125" style="163" customWidth="1"/>
    <col min="15375" max="15375" width="6.42578125" style="163" customWidth="1"/>
    <col min="15376" max="15376" width="13.140625" style="163" customWidth="1"/>
    <col min="15377" max="15377" width="1" style="163" customWidth="1"/>
    <col min="15378" max="15378" width="19.5703125" style="163" customWidth="1"/>
    <col min="15379" max="15379" width="0.85546875" style="163" customWidth="1"/>
    <col min="15380" max="15380" width="14.42578125" style="163" customWidth="1"/>
    <col min="15381" max="15381" width="12.85546875" style="163" customWidth="1"/>
    <col min="15382" max="15382" width="6.140625" style="163" customWidth="1"/>
    <col min="15383" max="15384" width="11.42578125" style="163"/>
    <col min="15385" max="15385" width="15.42578125" style="163" customWidth="1"/>
    <col min="15386" max="15625" width="11.42578125" style="163"/>
    <col min="15626" max="15626" width="2.28515625" style="163" customWidth="1"/>
    <col min="15627" max="15627" width="2.7109375" style="163" customWidth="1"/>
    <col min="15628" max="15628" width="2.42578125" style="163" customWidth="1"/>
    <col min="15629" max="15629" width="17.7109375" style="163" customWidth="1"/>
    <col min="15630" max="15630" width="1.5703125" style="163" customWidth="1"/>
    <col min="15631" max="15631" width="6.42578125" style="163" customWidth="1"/>
    <col min="15632" max="15632" width="13.140625" style="163" customWidth="1"/>
    <col min="15633" max="15633" width="1" style="163" customWidth="1"/>
    <col min="15634" max="15634" width="19.5703125" style="163" customWidth="1"/>
    <col min="15635" max="15635" width="0.85546875" style="163" customWidth="1"/>
    <col min="15636" max="15636" width="14.42578125" style="163" customWidth="1"/>
    <col min="15637" max="15637" width="12.85546875" style="163" customWidth="1"/>
    <col min="15638" max="15638" width="6.140625" style="163" customWidth="1"/>
    <col min="15639" max="15640" width="11.42578125" style="163"/>
    <col min="15641" max="15641" width="15.42578125" style="163" customWidth="1"/>
    <col min="15642" max="15881" width="11.42578125" style="163"/>
    <col min="15882" max="15882" width="2.28515625" style="163" customWidth="1"/>
    <col min="15883" max="15883" width="2.7109375" style="163" customWidth="1"/>
    <col min="15884" max="15884" width="2.42578125" style="163" customWidth="1"/>
    <col min="15885" max="15885" width="17.7109375" style="163" customWidth="1"/>
    <col min="15886" max="15886" width="1.5703125" style="163" customWidth="1"/>
    <col min="15887" max="15887" width="6.42578125" style="163" customWidth="1"/>
    <col min="15888" max="15888" width="13.140625" style="163" customWidth="1"/>
    <col min="15889" max="15889" width="1" style="163" customWidth="1"/>
    <col min="15890" max="15890" width="19.5703125" style="163" customWidth="1"/>
    <col min="15891" max="15891" width="0.85546875" style="163" customWidth="1"/>
    <col min="15892" max="15892" width="14.42578125" style="163" customWidth="1"/>
    <col min="15893" max="15893" width="12.85546875" style="163" customWidth="1"/>
    <col min="15894" max="15894" width="6.140625" style="163" customWidth="1"/>
    <col min="15895" max="15896" width="11.42578125" style="163"/>
    <col min="15897" max="15897" width="15.42578125" style="163" customWidth="1"/>
    <col min="15898" max="16137" width="11.42578125" style="163"/>
    <col min="16138" max="16138" width="2.28515625" style="163" customWidth="1"/>
    <col min="16139" max="16139" width="2.7109375" style="163" customWidth="1"/>
    <col min="16140" max="16140" width="2.42578125" style="163" customWidth="1"/>
    <col min="16141" max="16141" width="17.7109375" style="163" customWidth="1"/>
    <col min="16142" max="16142" width="1.5703125" style="163" customWidth="1"/>
    <col min="16143" max="16143" width="6.42578125" style="163" customWidth="1"/>
    <col min="16144" max="16144" width="13.140625" style="163" customWidth="1"/>
    <col min="16145" max="16145" width="1" style="163" customWidth="1"/>
    <col min="16146" max="16146" width="19.5703125" style="163" customWidth="1"/>
    <col min="16147" max="16147" width="0.85546875" style="163" customWidth="1"/>
    <col min="16148" max="16148" width="14.42578125" style="163" customWidth="1"/>
    <col min="16149" max="16149" width="12.85546875" style="163" customWidth="1"/>
    <col min="16150" max="16150" width="6.140625" style="163" customWidth="1"/>
    <col min="16151" max="16152" width="11.42578125" style="163"/>
    <col min="16153" max="16153" width="15.42578125" style="163" customWidth="1"/>
    <col min="16154" max="16384" width="11.42578125" style="163"/>
  </cols>
  <sheetData>
    <row r="1" spans="1:25" ht="9" hidden="1" customHeight="1" x14ac:dyDescent="0.2">
      <c r="A1" s="1481"/>
      <c r="B1" s="1482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3"/>
    </row>
    <row r="2" spans="1:25" ht="51" customHeight="1" x14ac:dyDescent="0.2">
      <c r="A2" s="2969" t="s">
        <v>280</v>
      </c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1"/>
    </row>
    <row r="3" spans="1:25" ht="27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4"/>
    </row>
    <row r="4" spans="1:25" ht="16.5" thickTop="1" x14ac:dyDescent="0.25">
      <c r="A4" s="2953" t="str">
        <f>"INFORME DE ENSAYO "&amp;"N° XXX-20XX "&amp;" ALEPH/GR/LSCD"</f>
        <v>INFORME DE ENSAYO N° XXX-20XX  ALEPH/GR/LSCD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6"/>
    </row>
    <row r="5" spans="1:25" ht="15.75" x14ac:dyDescent="0.2">
      <c r="A5" s="2881" t="s">
        <v>253</v>
      </c>
      <c r="B5" s="2980"/>
      <c r="C5" s="2980"/>
      <c r="D5" s="2980"/>
      <c r="E5" s="2980"/>
      <c r="F5" s="2980"/>
      <c r="G5" s="2980"/>
      <c r="H5" s="2980"/>
      <c r="I5" s="2980"/>
      <c r="J5" s="2980"/>
      <c r="K5" s="2980"/>
      <c r="L5" s="2980"/>
      <c r="M5" s="2980"/>
      <c r="N5" s="2980"/>
      <c r="O5" s="2980"/>
      <c r="P5" s="2980"/>
      <c r="Q5" s="2980"/>
      <c r="R5" s="2980"/>
      <c r="S5" s="2980"/>
      <c r="T5" s="2980"/>
      <c r="U5" s="2980"/>
      <c r="V5" s="2981"/>
    </row>
    <row r="6" spans="1:25" ht="15.75" x14ac:dyDescent="0.2">
      <c r="A6" s="2881" t="s">
        <v>1119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1"/>
    </row>
    <row r="7" spans="1:25" x14ac:dyDescent="0.2">
      <c r="A7" s="2982"/>
      <c r="B7" s="2983"/>
      <c r="C7" s="2983"/>
      <c r="D7" s="2983"/>
      <c r="E7" s="2983"/>
      <c r="F7" s="2983"/>
      <c r="G7" s="2983"/>
      <c r="H7" s="2983"/>
      <c r="I7" s="2983"/>
      <c r="J7" s="2983"/>
      <c r="K7" s="2983"/>
      <c r="L7" s="2983"/>
      <c r="M7" s="2983"/>
      <c r="N7" s="2983"/>
      <c r="O7" s="2983"/>
      <c r="P7" s="2983"/>
      <c r="Q7" s="2983"/>
      <c r="R7" s="2983"/>
      <c r="S7" s="2983"/>
      <c r="T7" s="2983"/>
      <c r="U7" s="2983"/>
      <c r="V7" s="2984"/>
    </row>
    <row r="8" spans="1:25" ht="15" customHeight="1" x14ac:dyDescent="0.2">
      <c r="A8" s="165"/>
      <c r="B8" s="166" t="s">
        <v>1105</v>
      </c>
      <c r="D8" s="166" t="s">
        <v>218</v>
      </c>
      <c r="E8" s="1555"/>
      <c r="Q8" s="2904" t="s">
        <v>862</v>
      </c>
      <c r="R8" s="2905"/>
      <c r="S8" s="2905"/>
      <c r="T8" s="2905"/>
      <c r="U8" s="2905"/>
      <c r="V8" s="167"/>
    </row>
    <row r="9" spans="1:25" ht="12.75" customHeight="1" x14ac:dyDescent="0.2">
      <c r="A9" s="165"/>
      <c r="E9" s="1555"/>
      <c r="Q9" s="2904"/>
      <c r="R9" s="2905"/>
      <c r="S9" s="2905"/>
      <c r="T9" s="2905"/>
      <c r="U9" s="2905"/>
      <c r="V9" s="167"/>
      <c r="Y9" s="168"/>
    </row>
    <row r="10" spans="1:25" x14ac:dyDescent="0.2">
      <c r="A10" s="165"/>
      <c r="Q10" s="2904"/>
      <c r="R10" s="2905"/>
      <c r="S10" s="2905"/>
      <c r="T10" s="2905"/>
      <c r="U10" s="2905"/>
      <c r="V10" s="167"/>
      <c r="X10" s="169"/>
      <c r="Y10" s="168"/>
    </row>
    <row r="11" spans="1:25" ht="6.75" customHeight="1" x14ac:dyDescent="0.2">
      <c r="A11" s="165"/>
      <c r="Q11" s="2904"/>
      <c r="R11" s="2905"/>
      <c r="S11" s="2905"/>
      <c r="T11" s="2905"/>
      <c r="U11" s="2905"/>
      <c r="V11" s="167"/>
    </row>
    <row r="12" spans="1:25" x14ac:dyDescent="0.2">
      <c r="A12" s="165"/>
      <c r="B12" s="170" t="s">
        <v>1106</v>
      </c>
      <c r="C12" s="171"/>
      <c r="D12" s="170" t="s">
        <v>218</v>
      </c>
      <c r="E12" s="2989"/>
      <c r="F12" s="2990"/>
      <c r="G12" s="2990"/>
      <c r="H12" s="2990"/>
      <c r="I12" s="2990"/>
      <c r="J12" s="2990"/>
      <c r="K12" s="2990"/>
      <c r="L12" s="2990"/>
      <c r="M12" s="2990"/>
      <c r="N12" s="2990"/>
      <c r="O12" s="2990"/>
      <c r="P12" s="172"/>
      <c r="Q12" s="2904"/>
      <c r="R12" s="2905"/>
      <c r="S12" s="2905"/>
      <c r="T12" s="2905"/>
      <c r="U12" s="2905"/>
      <c r="V12" s="167"/>
      <c r="W12" s="203"/>
      <c r="Y12" s="168"/>
    </row>
    <row r="13" spans="1:25" x14ac:dyDescent="0.2">
      <c r="A13" s="165"/>
      <c r="Q13" s="2904"/>
      <c r="R13" s="2905"/>
      <c r="S13" s="2905"/>
      <c r="T13" s="2905"/>
      <c r="U13" s="2905"/>
      <c r="V13" s="167"/>
    </row>
    <row r="14" spans="1:25" x14ac:dyDescent="0.2">
      <c r="A14" s="165"/>
      <c r="B14" s="170" t="s">
        <v>1154</v>
      </c>
      <c r="D14" s="175" t="s">
        <v>218</v>
      </c>
      <c r="Q14" s="2904"/>
      <c r="R14" s="2905"/>
      <c r="S14" s="2905"/>
      <c r="T14" s="2905"/>
      <c r="U14" s="2905"/>
      <c r="V14" s="167"/>
    </row>
    <row r="15" spans="1:25" x14ac:dyDescent="0.2">
      <c r="A15" s="165"/>
      <c r="Q15" s="2904"/>
      <c r="R15" s="2905"/>
      <c r="S15" s="2905"/>
      <c r="T15" s="2905"/>
      <c r="U15" s="2905"/>
      <c r="V15" s="167"/>
    </row>
    <row r="16" spans="1:25" x14ac:dyDescent="0.2">
      <c r="A16" s="165"/>
      <c r="B16" s="170" t="s">
        <v>1151</v>
      </c>
      <c r="C16" s="990"/>
      <c r="D16" s="170" t="s">
        <v>218</v>
      </c>
      <c r="E16" s="2991"/>
      <c r="F16" s="2991"/>
      <c r="G16" s="2991"/>
      <c r="H16" s="2991"/>
      <c r="I16" s="2991"/>
      <c r="J16" s="2991"/>
      <c r="K16" s="2991"/>
      <c r="L16" s="2991"/>
      <c r="M16" s="2991"/>
      <c r="N16" s="2991"/>
      <c r="O16" s="2991"/>
      <c r="P16" s="173"/>
      <c r="Q16" s="2904"/>
      <c r="R16" s="2905"/>
      <c r="S16" s="2905"/>
      <c r="T16" s="2905"/>
      <c r="U16" s="2905"/>
      <c r="V16" s="167"/>
      <c r="Y16" s="168"/>
    </row>
    <row r="17" spans="1:25" x14ac:dyDescent="0.2">
      <c r="A17" s="165"/>
      <c r="B17" s="166"/>
      <c r="D17" s="166"/>
      <c r="E17" s="1830"/>
      <c r="F17" s="1830"/>
      <c r="G17" s="1830"/>
      <c r="H17" s="1830"/>
      <c r="I17" s="1830"/>
      <c r="J17" s="1830"/>
      <c r="K17" s="1830"/>
      <c r="L17" s="1830"/>
      <c r="M17" s="1830"/>
      <c r="N17" s="1830"/>
      <c r="O17" s="173"/>
      <c r="P17" s="173"/>
      <c r="Q17" s="174"/>
      <c r="R17" s="173"/>
      <c r="S17" s="173"/>
      <c r="T17" s="1822"/>
      <c r="U17" s="1822"/>
      <c r="V17" s="167"/>
      <c r="Y17" s="168"/>
    </row>
    <row r="18" spans="1:25" x14ac:dyDescent="0.2">
      <c r="A18" s="165"/>
      <c r="B18" s="175" t="s">
        <v>1153</v>
      </c>
      <c r="D18" s="175" t="s">
        <v>218</v>
      </c>
      <c r="E18" s="2992"/>
      <c r="F18" s="2991"/>
      <c r="G18" s="2991"/>
      <c r="H18" s="2991"/>
      <c r="I18" s="2991"/>
      <c r="J18" s="2991"/>
      <c r="K18" s="2991"/>
      <c r="L18" s="2991"/>
      <c r="M18" s="2991"/>
      <c r="N18" s="2991"/>
      <c r="O18" s="2991"/>
      <c r="P18" s="1827"/>
      <c r="Q18" s="1834"/>
      <c r="R18" s="1827"/>
      <c r="S18" s="1827"/>
      <c r="T18" s="1822"/>
      <c r="U18" s="1822"/>
      <c r="V18" s="167"/>
    </row>
    <row r="19" spans="1:25" ht="27" customHeight="1" x14ac:dyDescent="0.2">
      <c r="A19" s="165"/>
      <c r="E19" s="2991"/>
      <c r="F19" s="2991"/>
      <c r="G19" s="2991"/>
      <c r="H19" s="2991"/>
      <c r="I19" s="2991"/>
      <c r="J19" s="2991"/>
      <c r="K19" s="2991"/>
      <c r="L19" s="2991"/>
      <c r="M19" s="2991"/>
      <c r="N19" s="2991"/>
      <c r="O19" s="2991"/>
      <c r="P19" s="1827"/>
      <c r="Q19" s="2904" t="s">
        <v>1024</v>
      </c>
      <c r="R19" s="2905"/>
      <c r="S19" s="2905"/>
      <c r="T19" s="2905"/>
      <c r="U19" s="2905"/>
      <c r="V19" s="167"/>
    </row>
    <row r="20" spans="1:25" x14ac:dyDescent="0.2">
      <c r="A20" s="165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2904"/>
      <c r="R20" s="2905"/>
      <c r="S20" s="2905"/>
      <c r="T20" s="2905"/>
      <c r="U20" s="2905"/>
      <c r="V20" s="167"/>
    </row>
    <row r="21" spans="1:25" ht="39" customHeight="1" x14ac:dyDescent="0.2">
      <c r="A21" s="165"/>
      <c r="B21" s="170" t="s">
        <v>1126</v>
      </c>
      <c r="C21" s="990"/>
      <c r="D21" s="1682" t="s">
        <v>218</v>
      </c>
      <c r="E21" s="3172"/>
      <c r="F21" s="3172"/>
      <c r="G21" s="3172"/>
      <c r="H21" s="3172"/>
      <c r="I21" s="3172"/>
      <c r="J21" s="3172"/>
      <c r="K21" s="3172"/>
      <c r="L21" s="3172"/>
      <c r="M21" s="3172"/>
      <c r="N21" s="3172"/>
      <c r="O21" s="3172"/>
      <c r="P21" s="177"/>
      <c r="Q21" s="2904"/>
      <c r="R21" s="2905"/>
      <c r="S21" s="2905"/>
      <c r="T21" s="2905"/>
      <c r="U21" s="2905"/>
      <c r="V21" s="167"/>
    </row>
    <row r="22" spans="1:25" ht="6.75" customHeight="1" x14ac:dyDescent="0.2">
      <c r="A22" s="165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2904"/>
      <c r="R22" s="2905"/>
      <c r="S22" s="2905"/>
      <c r="T22" s="2905"/>
      <c r="U22" s="2905"/>
      <c r="V22" s="167"/>
    </row>
    <row r="23" spans="1:25" x14ac:dyDescent="0.2">
      <c r="A23" s="165"/>
      <c r="B23" s="166" t="s">
        <v>1152</v>
      </c>
      <c r="D23" s="166" t="s">
        <v>218</v>
      </c>
      <c r="Q23" s="2904"/>
      <c r="R23" s="2905"/>
      <c r="S23" s="2905"/>
      <c r="T23" s="2905"/>
      <c r="U23" s="2905"/>
      <c r="V23" s="167"/>
      <c r="Y23" s="168"/>
    </row>
    <row r="24" spans="1:25" ht="6.75" customHeight="1" x14ac:dyDescent="0.2">
      <c r="A24" s="165"/>
      <c r="E24" s="1832"/>
      <c r="F24" s="1832"/>
      <c r="G24" s="1832"/>
      <c r="H24" s="1832"/>
      <c r="I24" s="1832"/>
      <c r="J24" s="1832"/>
      <c r="K24" s="1832"/>
      <c r="L24" s="1832"/>
      <c r="M24" s="1832"/>
      <c r="N24" s="1832"/>
      <c r="Q24" s="2904"/>
      <c r="R24" s="2905"/>
      <c r="S24" s="2905"/>
      <c r="T24" s="2905"/>
      <c r="U24" s="2905"/>
      <c r="V24" s="167"/>
    </row>
    <row r="25" spans="1:25" ht="12" customHeight="1" x14ac:dyDescent="0.2">
      <c r="A25" s="165"/>
      <c r="C25" s="170" t="s">
        <v>203</v>
      </c>
      <c r="D25" s="1835" t="s">
        <v>218</v>
      </c>
      <c r="E25" s="180"/>
      <c r="F25" s="180"/>
      <c r="G25" s="180"/>
      <c r="H25" s="180"/>
      <c r="I25" s="180"/>
      <c r="J25" s="180"/>
      <c r="K25" s="180"/>
      <c r="L25" s="180"/>
      <c r="M25" s="180"/>
      <c r="N25" s="180"/>
      <c r="O25" s="180"/>
      <c r="P25" s="180"/>
      <c r="Q25" s="2904"/>
      <c r="R25" s="2905"/>
      <c r="S25" s="2905"/>
      <c r="T25" s="2905"/>
      <c r="U25" s="2905"/>
      <c r="V25" s="167"/>
    </row>
    <row r="26" spans="1:25" x14ac:dyDescent="0.2">
      <c r="A26" s="165"/>
      <c r="C26" s="170" t="s">
        <v>138</v>
      </c>
      <c r="D26" s="1835" t="s">
        <v>218</v>
      </c>
      <c r="E26" s="3173"/>
      <c r="F26" s="3173"/>
      <c r="G26" s="3173"/>
      <c r="H26" s="3173"/>
      <c r="I26" s="3173"/>
      <c r="J26" s="3173"/>
      <c r="K26" s="3173"/>
      <c r="L26" s="3173"/>
      <c r="M26" s="3173"/>
      <c r="N26" s="3173"/>
      <c r="O26" s="3173"/>
      <c r="P26" s="180"/>
      <c r="Q26" s="2904"/>
      <c r="R26" s="2905"/>
      <c r="S26" s="2905"/>
      <c r="T26" s="2905"/>
      <c r="U26" s="2905"/>
      <c r="V26" s="167"/>
    </row>
    <row r="27" spans="1:25" x14ac:dyDescent="0.2">
      <c r="A27" s="165"/>
      <c r="C27" s="170" t="s">
        <v>1110</v>
      </c>
      <c r="D27" s="1835" t="s">
        <v>218</v>
      </c>
      <c r="E27" s="3173"/>
      <c r="F27" s="3173"/>
      <c r="G27" s="3173"/>
      <c r="H27" s="3173"/>
      <c r="I27" s="3173"/>
      <c r="J27" s="3173"/>
      <c r="K27" s="3173"/>
      <c r="L27" s="3173"/>
      <c r="M27" s="3173"/>
      <c r="N27" s="3173"/>
      <c r="O27" s="3173"/>
      <c r="P27" s="180"/>
      <c r="Q27" s="2904"/>
      <c r="R27" s="2905"/>
      <c r="S27" s="2905"/>
      <c r="T27" s="2905"/>
      <c r="U27" s="2905"/>
      <c r="V27" s="167"/>
    </row>
    <row r="28" spans="1:25" x14ac:dyDescent="0.2">
      <c r="A28" s="165"/>
      <c r="C28" s="170" t="s">
        <v>1108</v>
      </c>
      <c r="D28" s="1835" t="s">
        <v>218</v>
      </c>
      <c r="E28" s="3173"/>
      <c r="F28" s="3173"/>
      <c r="G28" s="3173"/>
      <c r="H28" s="3173"/>
      <c r="I28" s="3173"/>
      <c r="J28" s="3173"/>
      <c r="K28" s="3173"/>
      <c r="L28" s="3173"/>
      <c r="M28" s="3173"/>
      <c r="N28" s="3173"/>
      <c r="O28" s="3173"/>
      <c r="P28" s="180"/>
      <c r="Q28" s="2904"/>
      <c r="R28" s="2905"/>
      <c r="S28" s="2905"/>
      <c r="T28" s="2905"/>
      <c r="U28" s="2905"/>
      <c r="V28" s="167"/>
    </row>
    <row r="29" spans="1:25" x14ac:dyDescent="0.2">
      <c r="A29" s="165"/>
      <c r="C29" s="181" t="s">
        <v>1109</v>
      </c>
      <c r="D29" s="1835" t="s">
        <v>218</v>
      </c>
      <c r="E29" s="2910"/>
      <c r="F29" s="2910"/>
      <c r="G29" s="2910"/>
      <c r="H29" s="2910"/>
      <c r="I29" s="2910"/>
      <c r="J29" s="2910"/>
      <c r="K29" s="2910"/>
      <c r="L29" s="2910"/>
      <c r="M29" s="2910"/>
      <c r="N29" s="2910"/>
      <c r="O29" s="2910"/>
      <c r="P29" s="1823"/>
      <c r="Q29" s="2904"/>
      <c r="R29" s="2905"/>
      <c r="S29" s="2905"/>
      <c r="T29" s="2905"/>
      <c r="U29" s="2905"/>
      <c r="V29" s="167"/>
    </row>
    <row r="30" spans="1:25" ht="39" customHeight="1" x14ac:dyDescent="0.2">
      <c r="A30" s="165"/>
      <c r="C30" s="182" t="s">
        <v>229</v>
      </c>
      <c r="D30" s="1835" t="s">
        <v>218</v>
      </c>
      <c r="E30" s="2985"/>
      <c r="F30" s="2985"/>
      <c r="G30" s="2985"/>
      <c r="H30" s="2985"/>
      <c r="I30" s="2985"/>
      <c r="J30" s="2985"/>
      <c r="K30" s="2985"/>
      <c r="L30" s="2985"/>
      <c r="M30" s="2985"/>
      <c r="N30" s="2985"/>
      <c r="O30" s="2985"/>
      <c r="P30" s="1824"/>
      <c r="Q30" s="2906" t="s">
        <v>230</v>
      </c>
      <c r="R30" s="2907"/>
      <c r="S30" s="2907"/>
      <c r="T30" s="2907"/>
      <c r="U30" s="2907"/>
      <c r="V30" s="167"/>
    </row>
    <row r="31" spans="1:25" x14ac:dyDescent="0.2">
      <c r="A31" s="165"/>
      <c r="C31" s="182" t="s">
        <v>231</v>
      </c>
      <c r="D31" s="1835" t="s">
        <v>218</v>
      </c>
      <c r="E31" s="2986"/>
      <c r="F31" s="2986"/>
      <c r="G31" s="2986"/>
      <c r="H31" s="2986"/>
      <c r="I31" s="2986"/>
      <c r="J31" s="2986"/>
      <c r="K31" s="2986"/>
      <c r="L31" s="2986"/>
      <c r="M31" s="2986"/>
      <c r="N31" s="2986"/>
      <c r="O31" s="2986"/>
      <c r="P31" s="1825"/>
      <c r="Q31" s="2949" t="s">
        <v>1240</v>
      </c>
      <c r="R31" s="2987"/>
      <c r="S31" s="2987"/>
      <c r="T31" s="2987"/>
      <c r="U31" s="2987"/>
      <c r="V31" s="167"/>
    </row>
    <row r="32" spans="1:25" x14ac:dyDescent="0.2">
      <c r="A32" s="165"/>
      <c r="C32" s="182"/>
      <c r="D32" s="1835"/>
      <c r="E32" s="1825"/>
      <c r="F32" s="1825"/>
      <c r="G32" s="1825"/>
      <c r="H32" s="1825"/>
      <c r="I32" s="1825"/>
      <c r="J32" s="1825"/>
      <c r="K32" s="1825"/>
      <c r="L32" s="1825"/>
      <c r="M32" s="1825"/>
      <c r="N32" s="1825"/>
      <c r="O32" s="1825"/>
      <c r="P32" s="1825"/>
      <c r="Q32" s="2949"/>
      <c r="R32" s="2987"/>
      <c r="S32" s="2987"/>
      <c r="T32" s="2987"/>
      <c r="U32" s="2987"/>
      <c r="V32" s="167"/>
    </row>
    <row r="33" spans="1:22" ht="12.75" customHeight="1" x14ac:dyDescent="0.2">
      <c r="A33" s="165"/>
      <c r="B33" s="175" t="s">
        <v>1156</v>
      </c>
      <c r="C33" s="182"/>
      <c r="D33" s="1835" t="s">
        <v>218</v>
      </c>
      <c r="E33" s="2988"/>
      <c r="F33" s="2988"/>
      <c r="G33" s="2988"/>
      <c r="H33" s="2988"/>
      <c r="I33" s="2988"/>
      <c r="J33" s="2988"/>
      <c r="K33" s="2988"/>
      <c r="L33" s="2988"/>
      <c r="M33" s="2988"/>
      <c r="N33" s="2988"/>
      <c r="O33" s="2988"/>
      <c r="P33" s="180"/>
      <c r="Q33" s="2949"/>
      <c r="R33" s="2987"/>
      <c r="S33" s="2987"/>
      <c r="T33" s="2987"/>
      <c r="U33" s="2987"/>
      <c r="V33" s="167"/>
    </row>
    <row r="34" spans="1:22" x14ac:dyDescent="0.2">
      <c r="A34" s="165"/>
      <c r="C34" s="182"/>
      <c r="D34" s="1835"/>
      <c r="E34" s="1826"/>
      <c r="F34" s="1826"/>
      <c r="G34" s="183"/>
      <c r="H34" s="183"/>
      <c r="I34" s="183"/>
      <c r="J34" s="183"/>
      <c r="K34" s="180"/>
      <c r="L34" s="180"/>
      <c r="M34" s="180"/>
      <c r="N34" s="180"/>
      <c r="O34" s="180"/>
      <c r="P34" s="180"/>
      <c r="Q34" s="2949"/>
      <c r="R34" s="2987"/>
      <c r="S34" s="2987"/>
      <c r="T34" s="2987"/>
      <c r="U34" s="2987"/>
      <c r="V34" s="167"/>
    </row>
    <row r="35" spans="1:22" x14ac:dyDescent="0.2">
      <c r="A35" s="165"/>
      <c r="B35" s="175" t="s">
        <v>1129</v>
      </c>
      <c r="C35" s="170"/>
      <c r="D35" s="1835" t="s">
        <v>218</v>
      </c>
      <c r="E35" s="3170"/>
      <c r="F35" s="3170"/>
      <c r="G35" s="3170"/>
      <c r="H35" s="3170"/>
      <c r="I35" s="3170"/>
      <c r="J35" s="1833"/>
      <c r="K35" s="184"/>
      <c r="L35" s="184"/>
      <c r="M35" s="184"/>
      <c r="N35" s="184"/>
      <c r="O35" s="184"/>
      <c r="P35" s="184"/>
      <c r="Q35" s="2949"/>
      <c r="R35" s="2987"/>
      <c r="S35" s="2987"/>
      <c r="T35" s="2987"/>
      <c r="U35" s="2987"/>
      <c r="V35" s="167"/>
    </row>
    <row r="36" spans="1:22" x14ac:dyDescent="0.2">
      <c r="A36" s="165"/>
      <c r="C36" s="170"/>
      <c r="D36" s="1835"/>
      <c r="E36" s="1828"/>
      <c r="F36" s="1828"/>
      <c r="G36" s="1828"/>
      <c r="H36" s="1828"/>
      <c r="I36" s="1828"/>
      <c r="J36" s="1828"/>
      <c r="K36" s="180"/>
      <c r="L36" s="180"/>
      <c r="M36" s="180"/>
      <c r="N36" s="180"/>
      <c r="O36" s="180"/>
      <c r="P36" s="180"/>
      <c r="Q36" s="2949"/>
      <c r="R36" s="2987"/>
      <c r="S36" s="2987"/>
      <c r="T36" s="2987"/>
      <c r="U36" s="2987"/>
      <c r="V36" s="167"/>
    </row>
    <row r="37" spans="1:22" x14ac:dyDescent="0.2">
      <c r="A37" s="165"/>
      <c r="B37" s="166" t="s">
        <v>1239</v>
      </c>
      <c r="C37" s="166"/>
      <c r="D37" s="186"/>
      <c r="E37" s="186"/>
      <c r="F37" s="166"/>
      <c r="G37" s="166"/>
      <c r="H37" s="166"/>
      <c r="I37" s="166"/>
      <c r="J37" s="166"/>
      <c r="V37" s="167"/>
    </row>
    <row r="38" spans="1:22" ht="5.25" customHeight="1" thickBot="1" x14ac:dyDescent="0.25">
      <c r="A38" s="165"/>
      <c r="D38" s="187"/>
      <c r="E38" s="188"/>
      <c r="V38" s="167"/>
    </row>
    <row r="39" spans="1:22" ht="27" customHeight="1" thickBot="1" x14ac:dyDescent="0.25">
      <c r="A39" s="165"/>
      <c r="C39" s="198" t="s">
        <v>183</v>
      </c>
      <c r="D39" s="3001" t="s">
        <v>235</v>
      </c>
      <c r="E39" s="3002"/>
      <c r="F39" s="3003"/>
      <c r="G39" s="189" t="s">
        <v>204</v>
      </c>
      <c r="H39" s="3004" t="s">
        <v>207</v>
      </c>
      <c r="I39" s="3005"/>
      <c r="J39" s="3005"/>
      <c r="K39" s="3006"/>
      <c r="L39" s="3004" t="s">
        <v>206</v>
      </c>
      <c r="M39" s="3005"/>
      <c r="N39" s="3005"/>
      <c r="O39" s="3006"/>
      <c r="P39" s="3004" t="s">
        <v>208</v>
      </c>
      <c r="Q39" s="3005"/>
      <c r="R39" s="3005"/>
      <c r="S39" s="3005"/>
      <c r="T39" s="3006"/>
      <c r="U39" s="1836"/>
      <c r="V39" s="167"/>
    </row>
    <row r="40" spans="1:22" ht="15" customHeight="1" x14ac:dyDescent="0.2">
      <c r="A40" s="165"/>
      <c r="C40" s="210"/>
      <c r="D40" s="3007"/>
      <c r="E40" s="3008"/>
      <c r="F40" s="3009"/>
      <c r="G40" s="1589"/>
      <c r="H40" s="3010"/>
      <c r="I40" s="3011"/>
      <c r="J40" s="3011"/>
      <c r="K40" s="3012"/>
      <c r="L40" s="3010"/>
      <c r="M40" s="3011"/>
      <c r="N40" s="3011"/>
      <c r="O40" s="3012"/>
      <c r="P40" s="3010"/>
      <c r="Q40" s="3011"/>
      <c r="R40" s="3011"/>
      <c r="S40" s="3011"/>
      <c r="T40" s="3013"/>
      <c r="U40" s="1836"/>
      <c r="V40" s="167"/>
    </row>
    <row r="41" spans="1:22" ht="12.75" customHeight="1" x14ac:dyDescent="0.2">
      <c r="A41" s="165"/>
      <c r="C41" s="211"/>
      <c r="D41" s="2995"/>
      <c r="E41" s="2995"/>
      <c r="F41" s="2996"/>
      <c r="G41" s="1590"/>
      <c r="H41" s="2997"/>
      <c r="I41" s="2998"/>
      <c r="J41" s="2998"/>
      <c r="K41" s="2999"/>
      <c r="L41" s="2997"/>
      <c r="M41" s="2998"/>
      <c r="N41" s="2998"/>
      <c r="O41" s="2999"/>
      <c r="P41" s="2997"/>
      <c r="Q41" s="2998"/>
      <c r="R41" s="2998"/>
      <c r="S41" s="2998"/>
      <c r="T41" s="3000"/>
      <c r="U41" s="1836"/>
      <c r="V41" s="167"/>
    </row>
    <row r="42" spans="1:22" ht="12.75" customHeight="1" x14ac:dyDescent="0.2">
      <c r="A42" s="165"/>
      <c r="C42" s="211"/>
      <c r="D42" s="2995"/>
      <c r="E42" s="2995"/>
      <c r="F42" s="2996"/>
      <c r="G42" s="1590"/>
      <c r="H42" s="2997"/>
      <c r="I42" s="2998"/>
      <c r="J42" s="2998"/>
      <c r="K42" s="2999"/>
      <c r="L42" s="2997"/>
      <c r="M42" s="2998"/>
      <c r="N42" s="2998"/>
      <c r="O42" s="2999"/>
      <c r="P42" s="2997"/>
      <c r="Q42" s="2998"/>
      <c r="R42" s="2998"/>
      <c r="S42" s="2998"/>
      <c r="T42" s="3000"/>
      <c r="U42" s="1836"/>
      <c r="V42" s="167"/>
    </row>
    <row r="43" spans="1:22" ht="12.75" customHeight="1" x14ac:dyDescent="0.2">
      <c r="A43" s="165"/>
      <c r="C43" s="211"/>
      <c r="D43" s="2995"/>
      <c r="E43" s="2995"/>
      <c r="F43" s="2996"/>
      <c r="G43" s="1590"/>
      <c r="H43" s="2997"/>
      <c r="I43" s="2998"/>
      <c r="J43" s="2998"/>
      <c r="K43" s="2999"/>
      <c r="L43" s="2997"/>
      <c r="M43" s="2998"/>
      <c r="N43" s="2998"/>
      <c r="O43" s="2999"/>
      <c r="P43" s="2997"/>
      <c r="Q43" s="2998"/>
      <c r="R43" s="2998"/>
      <c r="S43" s="2998"/>
      <c r="T43" s="3000"/>
      <c r="U43" s="1836"/>
      <c r="V43" s="167"/>
    </row>
    <row r="44" spans="1:22" ht="12.75" customHeight="1" x14ac:dyDescent="0.2">
      <c r="A44" s="165"/>
      <c r="C44" s="211"/>
      <c r="D44" s="2995"/>
      <c r="E44" s="2995"/>
      <c r="F44" s="2996"/>
      <c r="G44" s="1590"/>
      <c r="H44" s="2997"/>
      <c r="I44" s="2998"/>
      <c r="J44" s="2998"/>
      <c r="K44" s="2999"/>
      <c r="L44" s="2997"/>
      <c r="M44" s="2998"/>
      <c r="N44" s="2998"/>
      <c r="O44" s="2999"/>
      <c r="P44" s="2997"/>
      <c r="Q44" s="2998"/>
      <c r="R44" s="2998"/>
      <c r="S44" s="2998"/>
      <c r="T44" s="3000"/>
      <c r="U44" s="1836"/>
      <c r="V44" s="167"/>
    </row>
    <row r="45" spans="1:22" x14ac:dyDescent="0.2">
      <c r="A45" s="165"/>
      <c r="C45" s="1488"/>
      <c r="D45" s="3014"/>
      <c r="E45" s="3014"/>
      <c r="F45" s="3015"/>
      <c r="G45" s="1591"/>
      <c r="H45" s="2997"/>
      <c r="I45" s="2998"/>
      <c r="J45" s="2998"/>
      <c r="K45" s="2999"/>
      <c r="L45" s="2997"/>
      <c r="M45" s="2998"/>
      <c r="N45" s="2998"/>
      <c r="O45" s="2999"/>
      <c r="P45" s="2997"/>
      <c r="Q45" s="2998"/>
      <c r="R45" s="2998"/>
      <c r="S45" s="2998"/>
      <c r="T45" s="3000"/>
      <c r="U45" s="1836"/>
      <c r="V45" s="167"/>
    </row>
    <row r="46" spans="1:22" x14ac:dyDescent="0.2">
      <c r="A46" s="165"/>
      <c r="C46" s="211"/>
      <c r="D46" s="2995"/>
      <c r="E46" s="2995"/>
      <c r="F46" s="2996"/>
      <c r="G46" s="1590"/>
      <c r="H46" s="2997"/>
      <c r="I46" s="2998"/>
      <c r="J46" s="2998"/>
      <c r="K46" s="2999"/>
      <c r="L46" s="2997"/>
      <c r="M46" s="2998"/>
      <c r="N46" s="2998"/>
      <c r="O46" s="2999"/>
      <c r="P46" s="2997"/>
      <c r="Q46" s="2998"/>
      <c r="R46" s="2998"/>
      <c r="S46" s="2998"/>
      <c r="T46" s="3000"/>
      <c r="U46" s="1836"/>
      <c r="V46" s="167"/>
    </row>
    <row r="47" spans="1:22" x14ac:dyDescent="0.2">
      <c r="A47" s="165"/>
      <c r="C47" s="1488"/>
      <c r="D47" s="3014"/>
      <c r="E47" s="3014"/>
      <c r="F47" s="3015"/>
      <c r="G47" s="1591"/>
      <c r="H47" s="2997"/>
      <c r="I47" s="2998"/>
      <c r="J47" s="2998"/>
      <c r="K47" s="2999"/>
      <c r="L47" s="2997"/>
      <c r="M47" s="2998"/>
      <c r="N47" s="2998"/>
      <c r="O47" s="2999"/>
      <c r="P47" s="2997"/>
      <c r="Q47" s="2998"/>
      <c r="R47" s="2998"/>
      <c r="S47" s="2998"/>
      <c r="T47" s="3000"/>
      <c r="U47" s="1836"/>
      <c r="V47" s="167"/>
    </row>
    <row r="48" spans="1:22" x14ac:dyDescent="0.2">
      <c r="A48" s="165"/>
      <c r="C48" s="211"/>
      <c r="D48" s="2995"/>
      <c r="E48" s="2995"/>
      <c r="F48" s="2996"/>
      <c r="G48" s="1590"/>
      <c r="H48" s="2997"/>
      <c r="I48" s="2998"/>
      <c r="J48" s="2998"/>
      <c r="K48" s="2999"/>
      <c r="L48" s="2997"/>
      <c r="M48" s="2998"/>
      <c r="N48" s="2998"/>
      <c r="O48" s="2999"/>
      <c r="P48" s="2997"/>
      <c r="Q48" s="2998"/>
      <c r="R48" s="2998"/>
      <c r="S48" s="2998"/>
      <c r="T48" s="3000"/>
      <c r="U48" s="1836"/>
      <c r="V48" s="167"/>
    </row>
    <row r="49" spans="1:22" ht="12.75" customHeight="1" x14ac:dyDescent="0.2">
      <c r="A49" s="165"/>
      <c r="B49" s="168"/>
      <c r="C49" s="1488"/>
      <c r="D49" s="3014"/>
      <c r="E49" s="3014"/>
      <c r="F49" s="3015"/>
      <c r="G49" s="1591"/>
      <c r="H49" s="2997"/>
      <c r="I49" s="2998"/>
      <c r="J49" s="2998"/>
      <c r="K49" s="2999"/>
      <c r="L49" s="2997"/>
      <c r="M49" s="2998"/>
      <c r="N49" s="2998"/>
      <c r="O49" s="2999"/>
      <c r="P49" s="2997"/>
      <c r="Q49" s="2998"/>
      <c r="R49" s="2998"/>
      <c r="S49" s="2998"/>
      <c r="T49" s="3000"/>
      <c r="U49" s="1836"/>
      <c r="V49" s="167"/>
    </row>
    <row r="50" spans="1:22" ht="12.75" customHeight="1" x14ac:dyDescent="0.2">
      <c r="A50" s="165"/>
      <c r="B50" s="166"/>
      <c r="C50" s="211"/>
      <c r="D50" s="2995"/>
      <c r="E50" s="2995"/>
      <c r="F50" s="2996"/>
      <c r="G50" s="1590"/>
      <c r="H50" s="2997"/>
      <c r="I50" s="2998"/>
      <c r="J50" s="2998"/>
      <c r="K50" s="2999"/>
      <c r="L50" s="2997"/>
      <c r="M50" s="2998"/>
      <c r="N50" s="2998"/>
      <c r="O50" s="2999"/>
      <c r="P50" s="2997"/>
      <c r="Q50" s="2998"/>
      <c r="R50" s="2998"/>
      <c r="S50" s="2998"/>
      <c r="T50" s="3000"/>
      <c r="U50" s="1836"/>
      <c r="V50" s="167"/>
    </row>
    <row r="51" spans="1:22" ht="12.75" customHeight="1" x14ac:dyDescent="0.2">
      <c r="A51" s="165"/>
      <c r="C51" s="211"/>
      <c r="D51" s="2995"/>
      <c r="E51" s="2995"/>
      <c r="F51" s="2996"/>
      <c r="G51" s="1590"/>
      <c r="H51" s="2997"/>
      <c r="I51" s="2998"/>
      <c r="J51" s="2998"/>
      <c r="K51" s="2999"/>
      <c r="L51" s="2997"/>
      <c r="M51" s="2998"/>
      <c r="N51" s="2998"/>
      <c r="O51" s="2999"/>
      <c r="P51" s="2997"/>
      <c r="Q51" s="2998"/>
      <c r="R51" s="2998"/>
      <c r="S51" s="2998"/>
      <c r="T51" s="3000"/>
      <c r="U51" s="1836"/>
      <c r="V51" s="167"/>
    </row>
    <row r="52" spans="1:22" ht="12.75" customHeight="1" x14ac:dyDescent="0.2">
      <c r="A52" s="165"/>
      <c r="C52" s="1488"/>
      <c r="D52" s="3014"/>
      <c r="E52" s="3014"/>
      <c r="F52" s="3015"/>
      <c r="G52" s="1489"/>
      <c r="H52" s="2997"/>
      <c r="I52" s="2998"/>
      <c r="J52" s="2998"/>
      <c r="K52" s="2999"/>
      <c r="L52" s="2997"/>
      <c r="M52" s="2998"/>
      <c r="N52" s="2998"/>
      <c r="O52" s="2999"/>
      <c r="P52" s="2997"/>
      <c r="Q52" s="2998"/>
      <c r="R52" s="2998"/>
      <c r="S52" s="2998"/>
      <c r="T52" s="3000"/>
      <c r="U52" s="1836"/>
      <c r="V52" s="167"/>
    </row>
    <row r="53" spans="1:22" ht="12.75" customHeight="1" thickBot="1" x14ac:dyDescent="0.25">
      <c r="A53" s="165"/>
      <c r="B53" s="166"/>
      <c r="C53" s="212"/>
      <c r="D53" s="3016"/>
      <c r="E53" s="3016"/>
      <c r="F53" s="3017"/>
      <c r="G53" s="194"/>
      <c r="H53" s="3018"/>
      <c r="I53" s="3019"/>
      <c r="J53" s="3019"/>
      <c r="K53" s="3020"/>
      <c r="L53" s="3018"/>
      <c r="M53" s="3019"/>
      <c r="N53" s="3019"/>
      <c r="O53" s="3020"/>
      <c r="P53" s="3018"/>
      <c r="Q53" s="3019"/>
      <c r="R53" s="3019"/>
      <c r="S53" s="3019"/>
      <c r="T53" s="3021"/>
      <c r="U53" s="1836"/>
      <c r="V53" s="167"/>
    </row>
    <row r="54" spans="1:22" ht="12.75" customHeight="1" thickBot="1" x14ac:dyDescent="0.25">
      <c r="A54" s="195"/>
      <c r="B54" s="1867"/>
      <c r="C54" s="1879" t="s">
        <v>1245</v>
      </c>
      <c r="D54" s="1869"/>
      <c r="E54" s="1869"/>
      <c r="F54" s="1869"/>
      <c r="G54" s="1869"/>
      <c r="H54" s="1870"/>
      <c r="I54" s="1870"/>
      <c r="J54" s="1870"/>
      <c r="K54" s="1870"/>
      <c r="L54" s="1870"/>
      <c r="M54" s="1870"/>
      <c r="N54" s="1870"/>
      <c r="O54" s="1870"/>
      <c r="P54" s="1870"/>
      <c r="Q54" s="1870"/>
      <c r="R54" s="1870"/>
      <c r="S54" s="1870"/>
      <c r="T54" s="1870"/>
      <c r="U54" s="1829"/>
      <c r="V54" s="197"/>
    </row>
    <row r="55" spans="1:22" ht="13.5" thickTop="1" x14ac:dyDescent="0.2">
      <c r="A55" s="3022" t="s">
        <v>236</v>
      </c>
      <c r="B55" s="3023"/>
      <c r="C55" s="3023"/>
      <c r="D55" s="3023"/>
      <c r="E55" s="3023"/>
      <c r="F55" s="3023"/>
      <c r="G55" s="3023"/>
      <c r="H55" s="3023"/>
      <c r="I55" s="3023"/>
      <c r="J55" s="3023"/>
      <c r="K55" s="3023"/>
      <c r="L55" s="3023"/>
      <c r="M55" s="3023"/>
      <c r="N55" s="3023"/>
      <c r="O55" s="3023"/>
      <c r="P55" s="3023"/>
      <c r="Q55" s="3023"/>
      <c r="R55" s="3023"/>
      <c r="S55" s="3023"/>
      <c r="T55" s="3023"/>
      <c r="U55" s="3023"/>
      <c r="V55" s="3024"/>
    </row>
    <row r="56" spans="1:22" ht="13.5" thickBot="1" x14ac:dyDescent="0.25">
      <c r="A56" s="3025" t="s">
        <v>279</v>
      </c>
      <c r="B56" s="3026"/>
      <c r="C56" s="3026"/>
      <c r="D56" s="3026"/>
      <c r="E56" s="3026"/>
      <c r="F56" s="3026"/>
      <c r="G56" s="3026"/>
      <c r="H56" s="3026"/>
      <c r="I56" s="3026"/>
      <c r="J56" s="3026"/>
      <c r="K56" s="3026"/>
      <c r="L56" s="3026"/>
      <c r="M56" s="3026"/>
      <c r="N56" s="3026"/>
      <c r="O56" s="3026"/>
      <c r="P56" s="3026"/>
      <c r="Q56" s="3026"/>
      <c r="R56" s="3026"/>
      <c r="S56" s="3026"/>
      <c r="T56" s="3026"/>
      <c r="U56" s="3026"/>
      <c r="V56" s="3027"/>
    </row>
    <row r="57" spans="1:22" x14ac:dyDescent="0.2">
      <c r="A57" s="1490"/>
      <c r="B57" s="1491" t="s">
        <v>907</v>
      </c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  <c r="R57" s="1490"/>
      <c r="S57" s="1490"/>
      <c r="T57" s="1490"/>
      <c r="U57" s="1492" t="str">
        <f>A4</f>
        <v>INFORME DE ENSAYO N° XXX-20XX  ALEPH/GR/LSCD</v>
      </c>
      <c r="V57" s="1490"/>
    </row>
  </sheetData>
  <autoFilter ref="A39:V57" xr:uid="{00000000-0009-0000-0000-00002F000000}">
    <filterColumn colId="3" showButton="0"/>
    <filterColumn colId="4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</autoFilter>
  <mergeCells count="83">
    <mergeCell ref="A56:V56"/>
    <mergeCell ref="D51:F51"/>
    <mergeCell ref="H51:K51"/>
    <mergeCell ref="L51:O51"/>
    <mergeCell ref="P51:T51"/>
    <mergeCell ref="D52:F52"/>
    <mergeCell ref="H52:K52"/>
    <mergeCell ref="L52:O52"/>
    <mergeCell ref="P52:T52"/>
    <mergeCell ref="D53:F53"/>
    <mergeCell ref="H53:K53"/>
    <mergeCell ref="L53:O53"/>
    <mergeCell ref="P53:T53"/>
    <mergeCell ref="A55:V55"/>
    <mergeCell ref="D49:F49"/>
    <mergeCell ref="H49:K49"/>
    <mergeCell ref="L49:O49"/>
    <mergeCell ref="P49:T49"/>
    <mergeCell ref="D50:F50"/>
    <mergeCell ref="H50:K50"/>
    <mergeCell ref="L50:O50"/>
    <mergeCell ref="P50:T50"/>
    <mergeCell ref="D47:F47"/>
    <mergeCell ref="H47:K47"/>
    <mergeCell ref="L47:O47"/>
    <mergeCell ref="P47:T47"/>
    <mergeCell ref="D48:F48"/>
    <mergeCell ref="H48:K48"/>
    <mergeCell ref="L48:O48"/>
    <mergeCell ref="P48:T48"/>
    <mergeCell ref="D45:F45"/>
    <mergeCell ref="H45:K45"/>
    <mergeCell ref="L45:O45"/>
    <mergeCell ref="P45:T45"/>
    <mergeCell ref="D46:F46"/>
    <mergeCell ref="H46:K46"/>
    <mergeCell ref="L46:O46"/>
    <mergeCell ref="P46:T46"/>
    <mergeCell ref="D43:F43"/>
    <mergeCell ref="H43:K43"/>
    <mergeCell ref="L43:O43"/>
    <mergeCell ref="P43:T43"/>
    <mergeCell ref="D44:F44"/>
    <mergeCell ref="H44:K44"/>
    <mergeCell ref="L44:O44"/>
    <mergeCell ref="P44:T44"/>
    <mergeCell ref="D41:F41"/>
    <mergeCell ref="H41:K41"/>
    <mergeCell ref="L41:O41"/>
    <mergeCell ref="P41:T41"/>
    <mergeCell ref="D42:F42"/>
    <mergeCell ref="H42:K42"/>
    <mergeCell ref="L42:O42"/>
    <mergeCell ref="P42:T42"/>
    <mergeCell ref="D39:F39"/>
    <mergeCell ref="H39:K39"/>
    <mergeCell ref="L39:O39"/>
    <mergeCell ref="P39:T39"/>
    <mergeCell ref="D40:F40"/>
    <mergeCell ref="H40:K40"/>
    <mergeCell ref="L40:O40"/>
    <mergeCell ref="P40:T40"/>
    <mergeCell ref="E30:O30"/>
    <mergeCell ref="Q30:U30"/>
    <mergeCell ref="E31:O31"/>
    <mergeCell ref="Q31:U36"/>
    <mergeCell ref="E33:O33"/>
    <mergeCell ref="E35:I35"/>
    <mergeCell ref="E18:O19"/>
    <mergeCell ref="Q19:U29"/>
    <mergeCell ref="E21:O21"/>
    <mergeCell ref="E26:O26"/>
    <mergeCell ref="E27:O27"/>
    <mergeCell ref="E28:O28"/>
    <mergeCell ref="E29:O29"/>
    <mergeCell ref="Q8:U16"/>
    <mergeCell ref="E12:O12"/>
    <mergeCell ref="E16:O16"/>
    <mergeCell ref="A2:V3"/>
    <mergeCell ref="A4:V4"/>
    <mergeCell ref="A5:V5"/>
    <mergeCell ref="A6:V6"/>
    <mergeCell ref="A7:V7"/>
  </mergeCells>
  <conditionalFormatting sqref="E36 K36:P36 E26:E34">
    <cfRule type="cellIs" dxfId="31" priority="7" operator="equal">
      <formula>0</formula>
    </cfRule>
  </conditionalFormatting>
  <conditionalFormatting sqref="E25:P25 F8:P10 K34:P36 P26:P28 E36 P33">
    <cfRule type="cellIs" dxfId="30" priority="6" operator="equal">
      <formula>0</formula>
    </cfRule>
  </conditionalFormatting>
  <conditionalFormatting sqref="E25:P25 F8:P10 K34:P36 P26:P28 E36 E26:E34 P33">
    <cfRule type="containsErrors" dxfId="29" priority="5">
      <formula>ISERROR(E8)</formula>
    </cfRule>
  </conditionalFormatting>
  <conditionalFormatting sqref="E8:E10">
    <cfRule type="cellIs" dxfId="28" priority="4" operator="equal">
      <formula>0</formula>
    </cfRule>
  </conditionalFormatting>
  <conditionalFormatting sqref="E8:E10">
    <cfRule type="containsErrors" dxfId="27" priority="3">
      <formula>ISERROR(E8)</formula>
    </cfRule>
  </conditionalFormatting>
  <conditionalFormatting sqref="E35">
    <cfRule type="cellIs" dxfId="26" priority="2" operator="equal">
      <formula>0</formula>
    </cfRule>
  </conditionalFormatting>
  <conditionalFormatting sqref="E35">
    <cfRule type="containsErrors" dxfId="25" priority="1">
      <formula>ISERROR(E35)</formula>
    </cfRule>
  </conditionalFormatting>
  <pageMargins left="0.27559055118110237" right="3.937007874015748E-2" top="0.23622047244094491" bottom="0" header="0.31496062992125984" footer="0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38"/>
  <dimension ref="A1:AD60"/>
  <sheetViews>
    <sheetView showWhiteSpace="0" view="pageBreakPreview" topLeftCell="B1" zoomScale="80" zoomScaleNormal="100" zoomScaleSheetLayoutView="80" zoomScalePageLayoutView="60" workbookViewId="0">
      <selection activeCell="H17" sqref="H17"/>
    </sheetView>
  </sheetViews>
  <sheetFormatPr baseColWidth="10" defaultColWidth="11.42578125" defaultRowHeight="15" x14ac:dyDescent="0.25"/>
  <cols>
    <col min="1" max="1" width="11.42578125" style="87"/>
    <col min="2" max="2" width="18" style="87" bestFit="1" customWidth="1"/>
    <col min="3" max="3" width="12.7109375" style="87" bestFit="1" customWidth="1"/>
    <col min="4" max="4" width="11.5703125" style="87" customWidth="1"/>
    <col min="5" max="16" width="11.42578125" style="87"/>
    <col min="17" max="17" width="11.42578125" style="87" customWidth="1"/>
    <col min="18" max="18" width="11.42578125" style="87"/>
    <col min="19" max="19" width="13.85546875" style="87" customWidth="1"/>
    <col min="20" max="20" width="13.28515625" style="87" customWidth="1"/>
    <col min="21" max="21" width="17" style="87" customWidth="1"/>
    <col min="22" max="22" width="16" style="87" customWidth="1"/>
    <col min="23" max="23" width="12" style="87" customWidth="1"/>
    <col min="24" max="24" width="11.42578125" style="87" customWidth="1"/>
    <col min="25" max="25" width="12.28515625" style="87" customWidth="1"/>
    <col min="26" max="16384" width="11.42578125" style="87"/>
  </cols>
  <sheetData>
    <row r="1" spans="1:24" ht="15" customHeight="1" x14ac:dyDescent="0.25">
      <c r="A1" s="145"/>
      <c r="B1" s="146"/>
      <c r="C1" s="146"/>
      <c r="D1" s="2339" t="s">
        <v>299</v>
      </c>
      <c r="E1" s="2340"/>
      <c r="F1" s="2340"/>
      <c r="G1" s="2340"/>
      <c r="H1" s="2340"/>
      <c r="I1" s="2340"/>
      <c r="J1" s="2340"/>
      <c r="K1" s="2340"/>
      <c r="L1" s="2340"/>
      <c r="M1" s="2340"/>
      <c r="N1" s="2340"/>
      <c r="O1" s="2340"/>
      <c r="P1" s="2340"/>
      <c r="Q1" s="2340"/>
      <c r="R1" s="2340"/>
      <c r="S1" s="2340"/>
      <c r="T1" s="2340"/>
      <c r="U1" s="2341"/>
      <c r="V1" s="148" t="s">
        <v>68</v>
      </c>
      <c r="W1" s="201" t="s">
        <v>283</v>
      </c>
      <c r="X1" s="147"/>
    </row>
    <row r="2" spans="1:24" ht="15" customHeight="1" x14ac:dyDescent="0.25">
      <c r="A2" s="150"/>
      <c r="D2" s="2342"/>
      <c r="E2" s="2394"/>
      <c r="F2" s="2394"/>
      <c r="G2" s="2394"/>
      <c r="H2" s="2394"/>
      <c r="I2" s="2394"/>
      <c r="J2" s="2394"/>
      <c r="K2" s="2394"/>
      <c r="L2" s="2394"/>
      <c r="M2" s="2394"/>
      <c r="N2" s="2394"/>
      <c r="O2" s="2394"/>
      <c r="P2" s="2394"/>
      <c r="Q2" s="2394"/>
      <c r="R2" s="2394"/>
      <c r="S2" s="2394"/>
      <c r="T2" s="2394"/>
      <c r="U2" s="2344"/>
      <c r="V2" s="152" t="s">
        <v>69</v>
      </c>
      <c r="W2" s="217" t="s">
        <v>1233</v>
      </c>
      <c r="X2" s="151"/>
    </row>
    <row r="3" spans="1:24" ht="15" customHeight="1" x14ac:dyDescent="0.25">
      <c r="A3" s="150"/>
      <c r="D3" s="2342"/>
      <c r="E3" s="2394"/>
      <c r="F3" s="2394"/>
      <c r="G3" s="2394"/>
      <c r="H3" s="2394"/>
      <c r="I3" s="2394"/>
      <c r="J3" s="2394"/>
      <c r="K3" s="2394"/>
      <c r="L3" s="2394"/>
      <c r="M3" s="2394"/>
      <c r="N3" s="2394"/>
      <c r="O3" s="2394"/>
      <c r="P3" s="2394"/>
      <c r="Q3" s="2394"/>
      <c r="R3" s="2394"/>
      <c r="S3" s="2394"/>
      <c r="T3" s="2394"/>
      <c r="U3" s="2344"/>
      <c r="V3" s="152" t="s">
        <v>70</v>
      </c>
      <c r="W3" s="217" t="s">
        <v>858</v>
      </c>
      <c r="X3" s="151"/>
    </row>
    <row r="4" spans="1:24" ht="15" customHeight="1" x14ac:dyDescent="0.25">
      <c r="A4" s="154"/>
      <c r="B4" s="155"/>
      <c r="C4" s="155"/>
      <c r="D4" s="2345"/>
      <c r="E4" s="2346"/>
      <c r="F4" s="2346"/>
      <c r="G4" s="2346"/>
      <c r="H4" s="2346"/>
      <c r="I4" s="2346"/>
      <c r="J4" s="2346"/>
      <c r="K4" s="2346"/>
      <c r="L4" s="2346"/>
      <c r="M4" s="2346"/>
      <c r="N4" s="2346"/>
      <c r="O4" s="2346"/>
      <c r="P4" s="2346"/>
      <c r="Q4" s="2346"/>
      <c r="R4" s="2346"/>
      <c r="S4" s="2346"/>
      <c r="T4" s="2346"/>
      <c r="U4" s="2347"/>
      <c r="V4" s="157" t="s">
        <v>71</v>
      </c>
      <c r="W4" s="202" t="s">
        <v>73</v>
      </c>
      <c r="X4" s="156"/>
    </row>
    <row r="5" spans="1:24" ht="27" thickBot="1" x14ac:dyDescent="0.3"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</row>
    <row r="6" spans="1:24" x14ac:dyDescent="0.25">
      <c r="A6" s="3308" t="s">
        <v>237</v>
      </c>
      <c r="B6" s="3309"/>
      <c r="C6" s="1512" t="str">
        <f>'F-LSCD-012'!C6</f>
        <v>OT 111-12925</v>
      </c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6"/>
      <c r="X6" s="976"/>
    </row>
    <row r="7" spans="1:24" x14ac:dyDescent="0.25">
      <c r="A7" s="2392" t="s">
        <v>318</v>
      </c>
      <c r="B7" s="2517"/>
      <c r="C7" s="1511" t="str">
        <f>'F-LSCD-012'!C7</f>
        <v>ALEPH SAC</v>
      </c>
      <c r="D7" s="970"/>
      <c r="E7" s="970"/>
      <c r="F7" s="970"/>
      <c r="G7" s="970"/>
      <c r="H7" s="970"/>
      <c r="I7" s="970"/>
      <c r="J7" s="970"/>
      <c r="K7" s="970"/>
      <c r="L7" s="970"/>
      <c r="M7" s="970"/>
      <c r="N7" s="970"/>
      <c r="O7" s="970"/>
      <c r="P7" s="970"/>
      <c r="Q7" s="970"/>
      <c r="R7" s="970"/>
      <c r="S7" s="970"/>
      <c r="T7" s="970"/>
      <c r="U7" s="970"/>
      <c r="V7" s="973"/>
      <c r="W7" s="978"/>
      <c r="X7" s="977"/>
    </row>
    <row r="8" spans="1:24" x14ac:dyDescent="0.25">
      <c r="A8" s="2392" t="s">
        <v>319</v>
      </c>
      <c r="B8" s="2517"/>
      <c r="C8" s="1511" t="str">
        <f>'F-LSCD-012'!C8</f>
        <v>Av. Rafael Escardo 154</v>
      </c>
      <c r="D8" s="970"/>
      <c r="E8" s="970"/>
      <c r="F8" s="970"/>
      <c r="G8" s="970"/>
      <c r="H8" s="1255" t="s">
        <v>320</v>
      </c>
      <c r="I8" s="3291" t="str">
        <f>'F-LSCD-012'!I8</f>
        <v>San Miguel</v>
      </c>
      <c r="J8" s="3291"/>
      <c r="K8" s="3292"/>
      <c r="L8" s="1255" t="s">
        <v>321</v>
      </c>
      <c r="M8" s="2398" t="str">
        <f>'F-LSCD-012'!L8</f>
        <v>Lima</v>
      </c>
      <c r="N8" s="2398"/>
      <c r="O8" s="3293"/>
      <c r="P8" s="3301" t="s">
        <v>322</v>
      </c>
      <c r="Q8" s="2517"/>
      <c r="R8" s="2398" t="str">
        <f>'F-LSCD-012'!P8</f>
        <v>Lima</v>
      </c>
      <c r="S8" s="2398"/>
      <c r="T8" s="3293"/>
      <c r="U8" s="1674" t="s">
        <v>830</v>
      </c>
      <c r="V8" s="2398" t="str">
        <f>'F-LSCD-012'!T8</f>
        <v>Perú</v>
      </c>
      <c r="W8" s="3294"/>
      <c r="X8" s="977"/>
    </row>
    <row r="9" spans="1:24" x14ac:dyDescent="0.25">
      <c r="A9" s="2392" t="s">
        <v>468</v>
      </c>
      <c r="B9" s="2517"/>
      <c r="C9" s="1511" t="str">
        <f>'F-LSCD-012'!C9</f>
        <v>Monitor de radiación (digital)</v>
      </c>
      <c r="D9" s="970"/>
      <c r="E9" s="970"/>
      <c r="F9" s="970"/>
      <c r="G9" s="970"/>
      <c r="H9" s="970"/>
      <c r="I9" s="971"/>
      <c r="J9" s="970"/>
      <c r="K9" s="970"/>
      <c r="L9" s="971"/>
      <c r="M9" s="971"/>
      <c r="N9" s="971"/>
      <c r="O9" s="970"/>
      <c r="P9" s="972"/>
      <c r="Q9" s="972"/>
      <c r="R9" s="970"/>
      <c r="S9" s="970"/>
      <c r="T9" s="970"/>
      <c r="U9" s="970"/>
      <c r="V9" s="974"/>
      <c r="W9" s="979"/>
      <c r="X9" s="977"/>
    </row>
    <row r="10" spans="1:24" x14ac:dyDescent="0.25">
      <c r="A10" s="2392" t="s">
        <v>315</v>
      </c>
      <c r="B10" s="2517"/>
      <c r="C10" s="1511" t="str">
        <f>'F-LSCD-012'!C10</f>
        <v>MGP</v>
      </c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7"/>
      <c r="X10" s="977"/>
    </row>
    <row r="11" spans="1:24" x14ac:dyDescent="0.25">
      <c r="A11" s="2392" t="s">
        <v>311</v>
      </c>
      <c r="B11" s="2517"/>
      <c r="C11" s="1511" t="str">
        <f>'F-LSCD-012'!C11</f>
        <v>DMC 2000S</v>
      </c>
      <c r="D11" s="970"/>
      <c r="E11" s="970"/>
      <c r="F11" s="970"/>
      <c r="G11" s="970"/>
      <c r="H11" s="970"/>
      <c r="I11" s="970"/>
      <c r="J11" s="970"/>
      <c r="K11" s="970"/>
      <c r="L11" s="970"/>
      <c r="M11" s="970"/>
      <c r="N11" s="970"/>
      <c r="O11" s="970"/>
      <c r="P11" s="970"/>
      <c r="Q11" s="970"/>
      <c r="R11" s="970"/>
      <c r="S11" s="970"/>
      <c r="T11" s="970"/>
      <c r="U11" s="970"/>
      <c r="V11" s="970"/>
      <c r="W11" s="977"/>
      <c r="X11" s="977"/>
    </row>
    <row r="12" spans="1:24" x14ac:dyDescent="0.25">
      <c r="A12" s="2392" t="s">
        <v>312</v>
      </c>
      <c r="B12" s="2517"/>
      <c r="C12" s="1881" t="str">
        <f>'F-LSCD-012'!C12</f>
        <v>690384T</v>
      </c>
      <c r="D12" s="970"/>
      <c r="E12" s="970"/>
      <c r="F12" s="970"/>
      <c r="G12" s="970"/>
      <c r="H12" s="970"/>
      <c r="I12" s="970"/>
      <c r="J12" s="970"/>
      <c r="K12" s="970"/>
      <c r="L12" s="970"/>
      <c r="M12" s="970"/>
      <c r="N12" s="970"/>
      <c r="O12" s="970"/>
      <c r="P12" s="970"/>
      <c r="Q12" s="970"/>
      <c r="R12" s="970"/>
      <c r="S12" s="970"/>
      <c r="T12" s="970"/>
      <c r="U12" s="970"/>
      <c r="V12" s="970"/>
      <c r="W12" s="977"/>
      <c r="X12" s="977"/>
    </row>
    <row r="13" spans="1:24" x14ac:dyDescent="0.25">
      <c r="A13" s="2392" t="s">
        <v>316</v>
      </c>
      <c r="B13" s="2517"/>
      <c r="C13" s="1511" t="str">
        <f>'F-LSCD-012'!C13</f>
        <v>-</v>
      </c>
      <c r="D13" s="970"/>
      <c r="E13" s="970"/>
      <c r="F13" s="970"/>
      <c r="G13" s="970"/>
      <c r="H13" s="970"/>
      <c r="I13" s="970"/>
      <c r="J13" s="970"/>
      <c r="K13" s="970"/>
      <c r="L13" s="970"/>
      <c r="M13" s="970"/>
      <c r="N13" s="970"/>
      <c r="O13" s="970"/>
      <c r="P13" s="970"/>
      <c r="Q13" s="970"/>
      <c r="R13" s="970"/>
      <c r="S13" s="970"/>
      <c r="T13" s="970"/>
      <c r="U13" s="970"/>
      <c r="V13" s="970"/>
      <c r="W13" s="977"/>
      <c r="X13" s="977"/>
    </row>
    <row r="14" spans="1:24" x14ac:dyDescent="0.25">
      <c r="A14" s="2392" t="s">
        <v>313</v>
      </c>
      <c r="B14" s="2517"/>
      <c r="C14" s="1510" t="str">
        <f>'F-LSCD-012'!C14</f>
        <v>-</v>
      </c>
      <c r="D14" s="970"/>
      <c r="E14" s="970"/>
      <c r="F14" s="970"/>
      <c r="G14" s="970"/>
      <c r="H14" s="970"/>
      <c r="I14" s="970"/>
      <c r="J14" s="970"/>
      <c r="K14" s="970"/>
      <c r="L14" s="970"/>
      <c r="M14" s="970"/>
      <c r="N14" s="970"/>
      <c r="O14" s="970"/>
      <c r="P14" s="970"/>
      <c r="Q14" s="970"/>
      <c r="R14" s="970"/>
      <c r="S14" s="970"/>
      <c r="T14" s="970"/>
      <c r="U14" s="970"/>
      <c r="V14" s="970"/>
      <c r="W14" s="977"/>
      <c r="X14" s="977"/>
    </row>
    <row r="15" spans="1:24" x14ac:dyDescent="0.25">
      <c r="A15" s="2392" t="s">
        <v>314</v>
      </c>
      <c r="B15" s="2517"/>
      <c r="C15" s="1510" t="str">
        <f>'F-LSCD-012'!C15</f>
        <v>-</v>
      </c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7"/>
      <c r="X15" s="977"/>
    </row>
    <row r="16" spans="1:24" x14ac:dyDescent="0.25">
      <c r="A16" s="2392" t="s">
        <v>238</v>
      </c>
      <c r="B16" s="2517"/>
      <c r="C16" s="3305">
        <f>'F-LSCD-012'!C16</f>
        <v>44336</v>
      </c>
      <c r="D16" s="2374"/>
      <c r="E16" s="974"/>
      <c r="F16" s="974"/>
      <c r="G16" s="974"/>
      <c r="H16" s="974"/>
      <c r="I16" s="974"/>
      <c r="J16" s="974"/>
      <c r="K16" s="974"/>
      <c r="L16" s="974"/>
      <c r="M16" s="974"/>
      <c r="N16" s="974"/>
      <c r="O16" s="974"/>
      <c r="P16" s="974"/>
      <c r="Q16" s="974"/>
      <c r="R16" s="974"/>
      <c r="S16" s="974"/>
      <c r="T16" s="974"/>
      <c r="U16" s="974"/>
      <c r="V16" s="974"/>
      <c r="W16" s="979"/>
      <c r="X16" s="977"/>
    </row>
    <row r="17" spans="1:24" x14ac:dyDescent="0.25">
      <c r="A17" s="2392" t="s">
        <v>332</v>
      </c>
      <c r="B17" s="2517"/>
      <c r="C17" s="3305">
        <v>44251</v>
      </c>
      <c r="D17" s="2374"/>
      <c r="E17" s="970"/>
      <c r="F17" s="970"/>
      <c r="G17" s="970"/>
      <c r="H17" s="970"/>
      <c r="I17" s="970"/>
      <c r="J17" s="970"/>
      <c r="K17" s="970"/>
      <c r="L17" s="970"/>
      <c r="M17" s="970"/>
      <c r="N17" s="970"/>
      <c r="O17" s="970"/>
      <c r="P17" s="970"/>
      <c r="Q17" s="970"/>
      <c r="R17" s="970"/>
      <c r="S17" s="970"/>
      <c r="T17" s="970"/>
      <c r="U17" s="970"/>
      <c r="V17" s="970"/>
      <c r="W17" s="977"/>
      <c r="X17" s="977"/>
    </row>
    <row r="18" spans="1:24" x14ac:dyDescent="0.25">
      <c r="A18" s="2392" t="s">
        <v>331</v>
      </c>
      <c r="B18" s="2517"/>
      <c r="C18" s="3305">
        <v>44251</v>
      </c>
      <c r="D18" s="2374"/>
      <c r="E18" s="970"/>
      <c r="F18" s="970"/>
      <c r="G18" s="970"/>
      <c r="H18" s="970"/>
      <c r="I18" s="970"/>
      <c r="J18" s="970"/>
      <c r="K18" s="970"/>
      <c r="L18" s="970"/>
      <c r="M18" s="970"/>
      <c r="N18" s="970"/>
      <c r="O18" s="970"/>
      <c r="P18" s="970"/>
      <c r="Q18" s="970"/>
      <c r="R18" s="970"/>
      <c r="S18" s="970"/>
      <c r="T18" s="970"/>
      <c r="U18" s="970"/>
      <c r="V18" s="970"/>
      <c r="W18" s="977"/>
      <c r="X18" s="977"/>
    </row>
    <row r="19" spans="1:24" x14ac:dyDescent="0.25">
      <c r="A19" s="2392" t="s">
        <v>262</v>
      </c>
      <c r="B19" s="2517"/>
      <c r="C19" s="3306" t="s">
        <v>1300</v>
      </c>
      <c r="D19" s="3307"/>
      <c r="E19" s="3307"/>
      <c r="F19" s="3307"/>
      <c r="G19" s="3307"/>
      <c r="H19" s="3307"/>
      <c r="I19" s="3307"/>
      <c r="J19" s="3307"/>
      <c r="K19" s="3307"/>
      <c r="L19" s="3307"/>
      <c r="M19" s="3307"/>
      <c r="N19" s="3307"/>
      <c r="O19" s="970"/>
      <c r="P19" s="970"/>
      <c r="Q19" s="970"/>
      <c r="R19" s="970"/>
      <c r="S19" s="970"/>
      <c r="T19" s="970"/>
      <c r="U19" s="970"/>
      <c r="V19" s="970"/>
      <c r="W19" s="977"/>
      <c r="X19" s="977"/>
    </row>
    <row r="20" spans="1:24" x14ac:dyDescent="0.25">
      <c r="A20" s="3289" t="s">
        <v>469</v>
      </c>
      <c r="B20" s="3290"/>
      <c r="C20" s="1513" t="s">
        <v>1246</v>
      </c>
      <c r="D20" s="973"/>
      <c r="E20" s="973"/>
      <c r="F20" s="973"/>
      <c r="G20" s="973"/>
      <c r="H20" s="973"/>
      <c r="I20" s="973"/>
      <c r="J20" s="973"/>
      <c r="K20" s="973"/>
      <c r="L20" s="973"/>
      <c r="M20" s="973"/>
      <c r="N20" s="973"/>
      <c r="O20" s="973"/>
      <c r="P20" s="973"/>
      <c r="Q20" s="973"/>
      <c r="R20" s="973"/>
      <c r="S20" s="973"/>
      <c r="T20" s="973"/>
      <c r="U20" s="973"/>
      <c r="V20" s="973"/>
      <c r="W20" s="978"/>
      <c r="X20" s="978"/>
    </row>
    <row r="21" spans="1:24" ht="15" customHeight="1" x14ac:dyDescent="0.25">
      <c r="A21" s="1342"/>
      <c r="B21" s="1343"/>
      <c r="C21" s="3302" t="s">
        <v>1120</v>
      </c>
      <c r="D21" s="3303"/>
      <c r="E21" s="3303"/>
      <c r="F21" s="3303"/>
      <c r="G21" s="3303"/>
      <c r="H21" s="3303"/>
      <c r="I21" s="3303"/>
      <c r="J21" s="3303"/>
      <c r="K21" s="3303"/>
      <c r="L21" s="3303"/>
      <c r="M21" s="3303"/>
      <c r="N21" s="3303"/>
      <c r="O21" s="3303"/>
      <c r="P21" s="3303"/>
      <c r="Q21" s="3303"/>
      <c r="R21" s="3303"/>
      <c r="S21" s="3303"/>
      <c r="T21" s="3303"/>
      <c r="U21" s="3303"/>
      <c r="V21" s="3303"/>
      <c r="W21" s="3304"/>
      <c r="X21" s="1350"/>
    </row>
    <row r="22" spans="1:24" ht="15" customHeight="1" x14ac:dyDescent="0.25">
      <c r="A22" s="1342"/>
      <c r="B22" s="1343"/>
      <c r="C22" s="3302" t="s">
        <v>1121</v>
      </c>
      <c r="D22" s="3303"/>
      <c r="E22" s="3303"/>
      <c r="F22" s="3303"/>
      <c r="G22" s="3303"/>
      <c r="H22" s="3303"/>
      <c r="I22" s="3303"/>
      <c r="J22" s="3303"/>
      <c r="K22" s="3303"/>
      <c r="L22" s="3303"/>
      <c r="M22" s="3303"/>
      <c r="N22" s="3303"/>
      <c r="O22" s="3303"/>
      <c r="P22" s="3303"/>
      <c r="Q22" s="3303"/>
      <c r="R22" s="3303"/>
      <c r="S22" s="3303"/>
      <c r="T22" s="3303"/>
      <c r="U22" s="3303"/>
      <c r="V22" s="3303"/>
      <c r="W22" s="3304"/>
      <c r="X22" s="1350"/>
    </row>
    <row r="23" spans="1:24" ht="15" customHeight="1" x14ac:dyDescent="0.25">
      <c r="A23" s="1342"/>
      <c r="B23" s="1343"/>
      <c r="C23" s="3316" t="s">
        <v>1122</v>
      </c>
      <c r="D23" s="3317"/>
      <c r="E23" s="3317"/>
      <c r="F23" s="3317"/>
      <c r="G23" s="3317"/>
      <c r="H23" s="3317"/>
      <c r="I23" s="3317"/>
      <c r="J23" s="3317"/>
      <c r="K23" s="3317"/>
      <c r="L23" s="3317"/>
      <c r="M23" s="3317"/>
      <c r="N23" s="3317"/>
      <c r="O23" s="3317"/>
      <c r="P23" s="3317"/>
      <c r="Q23" s="3317"/>
      <c r="R23" s="3317"/>
      <c r="S23" s="3317"/>
      <c r="T23" s="3317"/>
      <c r="U23" s="3317"/>
      <c r="V23" s="3317"/>
      <c r="W23" s="3318"/>
      <c r="X23" s="979"/>
    </row>
    <row r="24" spans="1:24" x14ac:dyDescent="0.25">
      <c r="A24" s="2392" t="s">
        <v>466</v>
      </c>
      <c r="B24" s="2517"/>
      <c r="C24" s="1349" t="s">
        <v>471</v>
      </c>
      <c r="D24" s="970"/>
      <c r="E24" s="970"/>
      <c r="F24" s="970"/>
      <c r="G24" s="970"/>
      <c r="H24" s="970"/>
      <c r="I24" s="970"/>
      <c r="J24" s="970"/>
      <c r="K24" s="970"/>
      <c r="L24" s="970"/>
      <c r="M24" s="970"/>
      <c r="N24" s="970"/>
      <c r="O24" s="970"/>
      <c r="P24" s="970"/>
      <c r="Q24" s="970"/>
      <c r="R24" s="970"/>
      <c r="S24" s="970"/>
      <c r="T24" s="970"/>
      <c r="U24" s="970"/>
      <c r="V24" s="970"/>
      <c r="W24" s="977"/>
      <c r="X24" s="977"/>
    </row>
    <row r="25" spans="1:24" x14ac:dyDescent="0.25">
      <c r="A25" s="2392" t="s">
        <v>281</v>
      </c>
      <c r="B25" s="2517"/>
      <c r="C25" s="1510" t="s">
        <v>325</v>
      </c>
      <c r="D25" s="970"/>
      <c r="E25" s="970"/>
      <c r="F25" s="970"/>
      <c r="G25" s="970"/>
      <c r="H25" s="970"/>
      <c r="I25" s="970"/>
      <c r="J25" s="970"/>
      <c r="K25" s="970"/>
      <c r="L25" s="970"/>
      <c r="M25" s="970"/>
      <c r="N25" s="970"/>
      <c r="O25" s="970"/>
      <c r="P25" s="970"/>
      <c r="Q25" s="970"/>
      <c r="R25" s="970"/>
      <c r="S25" s="970"/>
      <c r="T25" s="970"/>
      <c r="U25" s="970"/>
      <c r="V25" s="970"/>
      <c r="W25" s="977"/>
      <c r="X25" s="977"/>
    </row>
    <row r="26" spans="1:24" x14ac:dyDescent="0.25">
      <c r="A26" s="2392" t="s">
        <v>328</v>
      </c>
      <c r="B26" s="2517"/>
      <c r="C26" s="1509" t="s">
        <v>1304</v>
      </c>
      <c r="D26" s="970"/>
      <c r="E26" s="970"/>
      <c r="F26" s="970"/>
      <c r="G26" s="970"/>
      <c r="H26" s="970"/>
      <c r="I26" s="970"/>
      <c r="J26" s="970"/>
      <c r="K26" s="970"/>
      <c r="L26" s="970"/>
      <c r="M26" s="970"/>
      <c r="N26" s="970"/>
      <c r="O26" s="970"/>
      <c r="P26" s="970"/>
      <c r="Q26" s="970"/>
      <c r="R26" s="970"/>
      <c r="S26" s="970"/>
      <c r="T26" s="970"/>
      <c r="U26" s="970"/>
      <c r="V26" s="970"/>
      <c r="W26" s="977"/>
      <c r="X26" s="977"/>
    </row>
    <row r="27" spans="1:24" ht="15.75" thickBot="1" x14ac:dyDescent="0.3">
      <c r="A27" s="2581" t="s">
        <v>336</v>
      </c>
      <c r="B27" s="2515"/>
      <c r="C27" s="3319">
        <v>44252</v>
      </c>
      <c r="D27" s="332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1"/>
      <c r="X27" s="981"/>
    </row>
    <row r="28" spans="1:24" ht="15.75" thickBot="1" x14ac:dyDescent="0.3">
      <c r="A28" s="3321"/>
      <c r="B28" s="3321"/>
      <c r="C28" s="3321"/>
      <c r="D28" s="218"/>
    </row>
    <row r="29" spans="1:24" x14ac:dyDescent="0.25">
      <c r="A29" s="1336" t="s">
        <v>284</v>
      </c>
      <c r="B29" s="1337"/>
      <c r="C29" s="984" t="s">
        <v>285</v>
      </c>
      <c r="J29" s="219"/>
      <c r="K29" s="219"/>
    </row>
    <row r="30" spans="1:24" x14ac:dyDescent="0.25">
      <c r="A30" s="1340" t="s">
        <v>286</v>
      </c>
      <c r="B30" s="1341"/>
      <c r="C30" s="991">
        <v>1830</v>
      </c>
      <c r="J30" s="219"/>
      <c r="K30" s="219"/>
    </row>
    <row r="31" spans="1:24" x14ac:dyDescent="0.25">
      <c r="A31" s="1340" t="s">
        <v>287</v>
      </c>
      <c r="B31" s="1341"/>
      <c r="C31" s="991">
        <v>150</v>
      </c>
      <c r="J31" s="219"/>
      <c r="K31" s="219"/>
    </row>
    <row r="32" spans="1:24" ht="15.75" thickBot="1" x14ac:dyDescent="0.3">
      <c r="A32" s="1338" t="s">
        <v>288</v>
      </c>
      <c r="B32" s="1339"/>
      <c r="C32" s="982">
        <v>3850</v>
      </c>
      <c r="D32" s="88"/>
      <c r="E32" s="88"/>
      <c r="J32" s="219"/>
      <c r="K32" s="219"/>
    </row>
    <row r="33" spans="1:24" x14ac:dyDescent="0.25">
      <c r="A33" s="1336" t="s">
        <v>284</v>
      </c>
      <c r="B33" s="1337"/>
      <c r="C33" s="984" t="s">
        <v>290</v>
      </c>
      <c r="J33" s="219"/>
      <c r="K33" s="219"/>
    </row>
    <row r="34" spans="1:24" x14ac:dyDescent="0.25">
      <c r="A34" s="1340" t="s">
        <v>286</v>
      </c>
      <c r="B34" s="1341"/>
      <c r="C34" s="991">
        <v>1840</v>
      </c>
      <c r="I34" s="1311"/>
      <c r="J34" s="219"/>
      <c r="K34" s="219"/>
    </row>
    <row r="35" spans="1:24" x14ac:dyDescent="0.25">
      <c r="A35" s="1340" t="s">
        <v>287</v>
      </c>
      <c r="B35" s="1341"/>
      <c r="C35" s="991">
        <v>150</v>
      </c>
      <c r="E35" s="222"/>
      <c r="J35" s="219"/>
      <c r="K35" s="219"/>
    </row>
    <row r="36" spans="1:24" ht="15.75" thickBot="1" x14ac:dyDescent="0.3">
      <c r="A36" s="1338" t="s">
        <v>288</v>
      </c>
      <c r="B36" s="1339"/>
      <c r="C36" s="982">
        <v>2940</v>
      </c>
      <c r="D36" s="88"/>
      <c r="E36" s="88"/>
      <c r="J36" s="219"/>
      <c r="K36" s="219"/>
    </row>
    <row r="37" spans="1:24" x14ac:dyDescent="0.25">
      <c r="A37" s="1336" t="s">
        <v>284</v>
      </c>
      <c r="B37" s="1337"/>
      <c r="C37" s="984" t="s">
        <v>289</v>
      </c>
      <c r="J37" s="219"/>
      <c r="K37" s="219"/>
    </row>
    <row r="38" spans="1:24" x14ac:dyDescent="0.25">
      <c r="A38" s="1340" t="s">
        <v>286</v>
      </c>
      <c r="B38" s="1341"/>
      <c r="C38" s="991">
        <v>3700</v>
      </c>
      <c r="D38" s="88"/>
      <c r="H38" s="88"/>
      <c r="J38" s="219"/>
      <c r="K38" s="219"/>
    </row>
    <row r="39" spans="1:24" x14ac:dyDescent="0.25">
      <c r="A39" s="1340" t="s">
        <v>287</v>
      </c>
      <c r="B39" s="1341"/>
      <c r="C39" s="991">
        <v>150</v>
      </c>
      <c r="E39" s="222"/>
      <c r="J39" s="1451"/>
      <c r="K39" s="219"/>
    </row>
    <row r="40" spans="1:24" ht="15.75" thickBot="1" x14ac:dyDescent="0.3">
      <c r="A40" s="1338" t="s">
        <v>288</v>
      </c>
      <c r="B40" s="1339"/>
      <c r="C40" s="982">
        <v>2880</v>
      </c>
      <c r="D40" s="88"/>
      <c r="E40" s="88"/>
      <c r="J40" s="219"/>
      <c r="K40" s="219"/>
    </row>
    <row r="41" spans="1:24" ht="15.75" thickBot="1" x14ac:dyDescent="0.3">
      <c r="S41" s="1311"/>
    </row>
    <row r="42" spans="1:24" ht="18" customHeight="1" x14ac:dyDescent="0.25">
      <c r="A42" s="2384" t="s">
        <v>333</v>
      </c>
      <c r="B42" s="2630"/>
      <c r="C42" s="1164" t="s">
        <v>241</v>
      </c>
      <c r="D42" s="1266">
        <v>20.399999999999999</v>
      </c>
      <c r="E42" s="1164" t="s">
        <v>242</v>
      </c>
      <c r="F42" s="1230">
        <v>52</v>
      </c>
      <c r="G42" s="983" t="s">
        <v>243</v>
      </c>
      <c r="H42" s="1677">
        <v>1007</v>
      </c>
      <c r="J42" s="88"/>
      <c r="S42" s="1311"/>
    </row>
    <row r="43" spans="1:24" ht="18.75" thickBot="1" x14ac:dyDescent="0.3">
      <c r="A43" s="2386"/>
      <c r="B43" s="3288"/>
      <c r="C43" s="1228" t="s">
        <v>244</v>
      </c>
      <c r="D43" s="1267">
        <v>20.3</v>
      </c>
      <c r="E43" s="1228" t="s">
        <v>245</v>
      </c>
      <c r="F43" s="1231">
        <v>51</v>
      </c>
      <c r="G43" s="1229" t="s">
        <v>246</v>
      </c>
      <c r="H43" s="1508">
        <v>1006.8</v>
      </c>
      <c r="J43" s="88"/>
      <c r="U43" s="1889"/>
      <c r="V43" s="1889"/>
    </row>
    <row r="44" spans="1:24" ht="18" customHeight="1" thickTop="1" x14ac:dyDescent="0.25">
      <c r="A44" s="2402" t="s">
        <v>334</v>
      </c>
      <c r="B44" s="3322"/>
      <c r="C44" s="1226" t="s">
        <v>241</v>
      </c>
      <c r="D44" s="1232" t="s">
        <v>93</v>
      </c>
      <c r="E44" s="1226" t="s">
        <v>242</v>
      </c>
      <c r="F44" s="1232" t="s">
        <v>93</v>
      </c>
      <c r="G44" s="1227" t="s">
        <v>243</v>
      </c>
      <c r="H44" s="1236" t="s">
        <v>93</v>
      </c>
    </row>
    <row r="45" spans="1:24" ht="18.75" thickBot="1" x14ac:dyDescent="0.3">
      <c r="A45" s="2404"/>
      <c r="B45" s="3323"/>
      <c r="C45" s="985" t="s">
        <v>244</v>
      </c>
      <c r="D45" s="1233" t="s">
        <v>93</v>
      </c>
      <c r="E45" s="985" t="s">
        <v>245</v>
      </c>
      <c r="F45" s="1233" t="s">
        <v>93</v>
      </c>
      <c r="G45" s="986" t="s">
        <v>246</v>
      </c>
      <c r="H45" s="1237" t="s">
        <v>93</v>
      </c>
    </row>
    <row r="46" spans="1:24" ht="15.75" thickBot="1" x14ac:dyDescent="0.3">
      <c r="A46" s="56"/>
      <c r="B46" s="56"/>
      <c r="C46" s="56"/>
      <c r="D46" s="220"/>
      <c r="F46" s="220"/>
      <c r="M46" s="219"/>
      <c r="N46" s="219"/>
      <c r="O46" s="219"/>
      <c r="P46" s="219"/>
    </row>
    <row r="47" spans="1:24" ht="31.5" customHeight="1" x14ac:dyDescent="0.25">
      <c r="A47" s="1320" t="s">
        <v>879</v>
      </c>
      <c r="B47" s="3283" t="s">
        <v>826</v>
      </c>
      <c r="C47" s="3324" t="s">
        <v>816</v>
      </c>
      <c r="D47" s="3286" t="s">
        <v>817</v>
      </c>
      <c r="E47" s="3286" t="s">
        <v>818</v>
      </c>
      <c r="F47" s="3286" t="s">
        <v>819</v>
      </c>
      <c r="G47" s="3286" t="s">
        <v>820</v>
      </c>
      <c r="H47" s="3286" t="s">
        <v>821</v>
      </c>
      <c r="I47" s="3286" t="s">
        <v>822</v>
      </c>
      <c r="J47" s="3286" t="s">
        <v>823</v>
      </c>
      <c r="K47" s="3286" t="s">
        <v>824</v>
      </c>
      <c r="L47" s="3295" t="s">
        <v>878</v>
      </c>
      <c r="M47" s="3281" t="s">
        <v>787</v>
      </c>
      <c r="N47" s="3281" t="s">
        <v>117</v>
      </c>
      <c r="O47" s="3299" t="s">
        <v>248</v>
      </c>
      <c r="P47" s="3281" t="s">
        <v>62</v>
      </c>
      <c r="Q47" s="3281" t="s">
        <v>249</v>
      </c>
      <c r="R47" s="3297" t="s">
        <v>729</v>
      </c>
      <c r="S47" s="1203" t="s">
        <v>883</v>
      </c>
      <c r="T47" s="1205" t="s">
        <v>881</v>
      </c>
      <c r="U47" s="1205" t="s">
        <v>884</v>
      </c>
      <c r="V47" s="1203" t="s">
        <v>882</v>
      </c>
      <c r="W47" s="3285" t="s">
        <v>310</v>
      </c>
      <c r="X47" s="3281" t="s">
        <v>250</v>
      </c>
    </row>
    <row r="48" spans="1:24" ht="15.75" thickBot="1" x14ac:dyDescent="0.3">
      <c r="A48" s="1354"/>
      <c r="B48" s="3284"/>
      <c r="C48" s="3325"/>
      <c r="D48" s="3287"/>
      <c r="E48" s="3287"/>
      <c r="F48" s="3287"/>
      <c r="G48" s="3287"/>
      <c r="H48" s="3287"/>
      <c r="I48" s="3287"/>
      <c r="J48" s="3287"/>
      <c r="K48" s="3287"/>
      <c r="L48" s="3296"/>
      <c r="M48" s="3282"/>
      <c r="N48" s="3282"/>
      <c r="O48" s="3300"/>
      <c r="P48" s="3282"/>
      <c r="Q48" s="3282"/>
      <c r="R48" s="3298"/>
      <c r="S48" s="1351" t="s">
        <v>889</v>
      </c>
      <c r="T48" s="1352" t="s">
        <v>888</v>
      </c>
      <c r="U48" s="1352" t="str">
        <f>IF(C25="cps","[s⁻¹.cm⁻²/cps]",IF(C25="µSv/h","[s⁻¹.cm⁻²/(µSv/h)]","-"))</f>
        <v>[s⁻¹.cm⁻²/(µSv/h)]</v>
      </c>
      <c r="V48" s="1351" t="str">
        <f>IF(C25="cps","[s⁻¹.cm⁻²/cps]",IF(C25="µSv/h","[Bq.cm⁻²/(µSv/h)]","-"))</f>
        <v>[Bq.cm⁻²/(µSv/h)]</v>
      </c>
      <c r="W48" s="2586"/>
      <c r="X48" s="3282"/>
    </row>
    <row r="49" spans="1:30" ht="15.75" thickBot="1" x14ac:dyDescent="0.3">
      <c r="A49" s="3283" t="s">
        <v>880</v>
      </c>
      <c r="B49" s="1334" t="s">
        <v>799</v>
      </c>
      <c r="C49" s="1956">
        <v>0.8</v>
      </c>
      <c r="D49" s="1957">
        <v>1.2</v>
      </c>
      <c r="E49" s="1957">
        <v>0.8</v>
      </c>
      <c r="F49" s="1957">
        <v>0.8</v>
      </c>
      <c r="G49" s="1957">
        <v>1</v>
      </c>
      <c r="H49" s="1957">
        <v>0.9</v>
      </c>
      <c r="I49" s="1957">
        <v>0.9</v>
      </c>
      <c r="J49" s="1957">
        <v>0.8</v>
      </c>
      <c r="K49" s="1957">
        <v>0.9</v>
      </c>
      <c r="L49" s="1958">
        <v>0.8</v>
      </c>
      <c r="M49" s="1906" t="s">
        <v>93</v>
      </c>
      <c r="N49" s="1585" t="s">
        <v>470</v>
      </c>
      <c r="O49" s="1515">
        <f t="shared" ref="O49:O56" si="0">IF(N49="cps",AVERAGE(C49:L49),IF(N49="cpm",AVERAGE(C49:L49),IF(N49="µSv/h",AVERAGE(C49:L49),"-")))</f>
        <v>0.89</v>
      </c>
      <c r="P49" s="1517">
        <f t="shared" ref="P49:P56" si="1">IF(N49="cps",STDEVA(C49:L49),IF(N49="cpm",STDEVA(C49:L49),IF(N49="µSv/h",STDEVA(C49:L49),"-")))</f>
        <v>0.12866839377079228</v>
      </c>
      <c r="Q49" s="1518">
        <f t="shared" ref="Q49:Q56" si="2">IF(N49="cps",P49/O49*100,IF(N49="cpm",P49/O49*100,IF(N49="µSv/h",P49/O49*100,"-")))</f>
        <v>14.457122895594637</v>
      </c>
      <c r="R49" s="1344" t="s">
        <v>93</v>
      </c>
      <c r="S49" s="1344" t="s">
        <v>93</v>
      </c>
      <c r="T49" s="1344" t="s">
        <v>93</v>
      </c>
      <c r="U49" s="1353" t="s">
        <v>93</v>
      </c>
      <c r="V49" s="1353" t="s">
        <v>93</v>
      </c>
      <c r="W49" s="1353" t="s">
        <v>93</v>
      </c>
      <c r="X49" s="1344" t="s">
        <v>93</v>
      </c>
    </row>
    <row r="50" spans="1:30" ht="16.5" thickTop="1" thickBot="1" x14ac:dyDescent="0.3">
      <c r="A50" s="3284"/>
      <c r="B50" s="1335" t="s">
        <v>800</v>
      </c>
      <c r="C50" s="1497" t="s">
        <v>93</v>
      </c>
      <c r="D50" s="1238" t="s">
        <v>93</v>
      </c>
      <c r="E50" s="1238" t="s">
        <v>93</v>
      </c>
      <c r="F50" s="1238" t="s">
        <v>93</v>
      </c>
      <c r="G50" s="1238" t="s">
        <v>93</v>
      </c>
      <c r="H50" s="1238" t="s">
        <v>93</v>
      </c>
      <c r="I50" s="1238" t="s">
        <v>93</v>
      </c>
      <c r="J50" s="1238" t="s">
        <v>93</v>
      </c>
      <c r="K50" s="1238" t="s">
        <v>93</v>
      </c>
      <c r="L50" s="1498" t="s">
        <v>93</v>
      </c>
      <c r="M50" s="1507" t="s">
        <v>93</v>
      </c>
      <c r="N50" s="1586" t="s">
        <v>93</v>
      </c>
      <c r="O50" s="1516" t="str">
        <f t="shared" si="0"/>
        <v>-</v>
      </c>
      <c r="P50" s="1519" t="str">
        <f t="shared" si="1"/>
        <v>-</v>
      </c>
      <c r="Q50" s="1520" t="str">
        <f t="shared" si="2"/>
        <v>-</v>
      </c>
      <c r="R50" s="995" t="s">
        <v>93</v>
      </c>
      <c r="S50" s="995" t="s">
        <v>93</v>
      </c>
      <c r="T50" s="995" t="s">
        <v>93</v>
      </c>
      <c r="U50" s="996" t="s">
        <v>93</v>
      </c>
      <c r="V50" s="996" t="s">
        <v>93</v>
      </c>
      <c r="W50" s="996" t="s">
        <v>93</v>
      </c>
      <c r="X50" s="994" t="s">
        <v>93</v>
      </c>
    </row>
    <row r="51" spans="1:30" ht="15.75" thickBot="1" x14ac:dyDescent="0.3">
      <c r="A51" s="1321" t="s">
        <v>285</v>
      </c>
      <c r="B51" s="1334" t="s">
        <v>799</v>
      </c>
      <c r="C51" s="1959">
        <v>48.1</v>
      </c>
      <c r="D51" s="1960">
        <v>48.7</v>
      </c>
      <c r="E51" s="1960">
        <v>48.2</v>
      </c>
      <c r="F51" s="1960">
        <v>45.1</v>
      </c>
      <c r="G51" s="1960">
        <v>48</v>
      </c>
      <c r="H51" s="1960">
        <v>46.7</v>
      </c>
      <c r="I51" s="1960">
        <v>45.2</v>
      </c>
      <c r="J51" s="1960">
        <v>46.8</v>
      </c>
      <c r="K51" s="1960">
        <v>45.2</v>
      </c>
      <c r="L51" s="1961">
        <v>45</v>
      </c>
      <c r="M51" s="1910" t="s">
        <v>93</v>
      </c>
      <c r="N51" s="1585" t="s">
        <v>470</v>
      </c>
      <c r="O51" s="1515">
        <f t="shared" si="0"/>
        <v>46.7</v>
      </c>
      <c r="P51" s="1517">
        <f t="shared" si="1"/>
        <v>1.4854853303438127</v>
      </c>
      <c r="Q51" s="1518">
        <f t="shared" si="2"/>
        <v>3.18091077161416</v>
      </c>
      <c r="R51" s="993">
        <f>IF(N51="cps",(O51-O49),IF(N51="cpm",(O51-O49),IF(N51="µSv/h",(O51-O49),"-")))</f>
        <v>45.81</v>
      </c>
      <c r="S51" s="1345">
        <f>IF(N51="cps",R51*$C$31/$C$30,IF(N51="cpm",(R51/60)*$C$31/$C$30,IF(N51="µSv/h",R51*$C$31/$C$30,"-")))</f>
        <v>3.7549180327868852</v>
      </c>
      <c r="T51" s="1345">
        <f>IF(N51="cps",R51*$C$31/$C$32,IF(N51="cpm",(R51/60)*$C$31/$C$32,IF(N51="µSv/h",R51*$C$31/$C$32,"-")))</f>
        <v>1.7848051948051948</v>
      </c>
      <c r="U51" s="988">
        <f>IF(N51="cps",($C$30/($C$31*(O51-$O$49))),IF(N51="cpm",($C$30/($C$31*((O51-$O$49)/60))),IF(N51="µSv/h",($C$30/($C$31*(O51-$O$49))),"-")))</f>
        <v>0.26631739794804626</v>
      </c>
      <c r="V51" s="988">
        <f>IF(N51="cps",U51*$C$32/$C$30,IF(N51="cpm",U51*$C$32/$C$30,IF(N51="µSv/h",U51*$C$32/$C$30,"-")))</f>
        <v>0.56028523612020664</v>
      </c>
      <c r="W51" s="1450">
        <f>IF(N51="-","-",IF('Incert. Cal. Cont. Sup'!N24&gt;=10%,ROUNDUP('Incert. Cal. Cont. Sup'!N24,2),ROUNDUP('Incert. Cal. Cont. Sup'!N24,3)))</f>
        <v>0.12</v>
      </c>
      <c r="X51" s="221" t="str">
        <f t="shared" ref="X51:X56" si="3">IF(N51="-","-",IF(W51&lt;=15%,"OK","OUT"))</f>
        <v>OK</v>
      </c>
      <c r="Y51" s="1707">
        <f>IF(C25="cps",V51*C31*R51,IF(C25="cpm",V51*C31*R51/60,IF(C25="µSv/h",V51*C31*R51,"-")))</f>
        <v>3850.0000000000005</v>
      </c>
      <c r="Z51" s="1723">
        <v>3850</v>
      </c>
      <c r="AC51" s="1333"/>
      <c r="AD51" s="1333"/>
    </row>
    <row r="52" spans="1:30" ht="16.5" thickTop="1" thickBot="1" x14ac:dyDescent="0.3">
      <c r="A52" s="1322" t="s">
        <v>860</v>
      </c>
      <c r="B52" s="1335" t="s">
        <v>800</v>
      </c>
      <c r="C52" s="1514" t="s">
        <v>93</v>
      </c>
      <c r="D52" s="1239" t="s">
        <v>93</v>
      </c>
      <c r="E52" s="1239" t="s">
        <v>93</v>
      </c>
      <c r="F52" s="1239" t="s">
        <v>93</v>
      </c>
      <c r="G52" s="1239" t="s">
        <v>93</v>
      </c>
      <c r="H52" s="1239" t="s">
        <v>93</v>
      </c>
      <c r="I52" s="1239" t="s">
        <v>93</v>
      </c>
      <c r="J52" s="1239" t="s">
        <v>93</v>
      </c>
      <c r="K52" s="1239" t="s">
        <v>93</v>
      </c>
      <c r="L52" s="1506" t="s">
        <v>93</v>
      </c>
      <c r="M52" s="1507" t="s">
        <v>93</v>
      </c>
      <c r="N52" s="1586" t="s">
        <v>93</v>
      </c>
      <c r="O52" s="1516" t="str">
        <f t="shared" si="0"/>
        <v>-</v>
      </c>
      <c r="P52" s="1519" t="str">
        <f t="shared" si="1"/>
        <v>-</v>
      </c>
      <c r="Q52" s="1520" t="str">
        <f t="shared" si="2"/>
        <v>-</v>
      </c>
      <c r="R52" s="995" t="str">
        <f>IF(N52="cps",(O52-O49),IF(N52="cpm",(O52-O49),IF(N52="µSv/h",(O52-O49),"-")))</f>
        <v>-</v>
      </c>
      <c r="S52" s="1346" t="str">
        <f>IF(N52="cps",R52*$C$31/$C$30,IF(N52="cpm",(R52/60)*$C$31/$C$30,IF(N52="µSv/h",R52*$C$31/$C$30,"-")))</f>
        <v>-</v>
      </c>
      <c r="T52" s="1346" t="str">
        <f>IF(N52="cps",R52*$C$31/$C$32,IF(N52="cpm",(R52/60)*$C$31/$C$32,IF(N52="µSv/h",R52*$C$31/$C$32,"-")))</f>
        <v>-</v>
      </c>
      <c r="U52" s="995" t="str">
        <f>IF(N52="cps",($C$30/($C$31*(O52-$O$49))),IF(N52="cpm",($C$30/($C$31*((O52-$O$49)/60))),IF(N52="µSv/h",($C$30/($C$31*(O52-$O$49))),"-")))</f>
        <v>-</v>
      </c>
      <c r="V52" s="995" t="str">
        <f>IF(N52="cps",U52*$C$32/$C$30,IF(N52="cpm",U52*$C$32/$C$30,IF(N52="µSv/h",U52*$C$32/$C$30,"-")))</f>
        <v>-</v>
      </c>
      <c r="W52" s="995" t="str">
        <f>IF(N52="-","-",'Incert. Cal. Cont. Sup'!N24)</f>
        <v>-</v>
      </c>
      <c r="X52" s="994" t="str">
        <f t="shared" si="3"/>
        <v>-</v>
      </c>
      <c r="Y52" s="1303"/>
      <c r="AA52" s="1889"/>
      <c r="AC52" s="1333"/>
      <c r="AD52" s="1333"/>
    </row>
    <row r="53" spans="1:30" ht="15.75" thickBot="1" x14ac:dyDescent="0.3">
      <c r="A53" s="1321" t="s">
        <v>290</v>
      </c>
      <c r="B53" s="1334" t="s">
        <v>799</v>
      </c>
      <c r="C53" s="1911">
        <v>89.1</v>
      </c>
      <c r="D53" s="1912">
        <v>94.1</v>
      </c>
      <c r="E53" s="1912">
        <v>90.1</v>
      </c>
      <c r="F53" s="1912">
        <v>96.6</v>
      </c>
      <c r="G53" s="1912">
        <v>83.6</v>
      </c>
      <c r="H53" s="1912">
        <v>95</v>
      </c>
      <c r="I53" s="1912">
        <v>89</v>
      </c>
      <c r="J53" s="1962">
        <v>91.5</v>
      </c>
      <c r="K53" s="1962">
        <v>88.1</v>
      </c>
      <c r="L53" s="1913">
        <v>89.6</v>
      </c>
      <c r="M53" s="1910" t="s">
        <v>93</v>
      </c>
      <c r="N53" s="1585" t="s">
        <v>470</v>
      </c>
      <c r="O53" s="1515">
        <f t="shared" si="0"/>
        <v>90.67</v>
      </c>
      <c r="P53" s="1517">
        <f t="shared" si="1"/>
        <v>3.7959188610927925</v>
      </c>
      <c r="Q53" s="1518">
        <f t="shared" si="2"/>
        <v>4.1865212982163804</v>
      </c>
      <c r="R53" s="993">
        <f>IF(N53="cps",(O53-O49),IF(N53="cpm",(O53-O49),IF(N53="µSv/h",(O53-O49),"-")))</f>
        <v>89.78</v>
      </c>
      <c r="S53" s="1347">
        <f>IF(N53="cps",R53*$C$35/$C$34,IF(N53="cpm",(R53/60)*$C$35/$C$34,IF(N53="µSv/h",R53*$C$35/$C$34,"-")))</f>
        <v>7.3190217391304344</v>
      </c>
      <c r="T53" s="1347">
        <f>IF(N53="cps",R53*$C$35/$C$36,IF(N53="cpm",(R53/60)*$C$35/$C$36,IF(N53="µSv/h",R53*$C$35/$C$36,"-")))</f>
        <v>4.5806122448979592</v>
      </c>
      <c r="U53" s="989">
        <f>IF(N53="cps",(C34/(C35*(O53-$O$49))),IF(N53="cpm",(C34/(C35*((O53-$O$49)/60))),IF(N53="µSv/h",(C34/(C35*(O53-$O$49))),"-")))</f>
        <v>0.1366302814286775</v>
      </c>
      <c r="V53" s="989">
        <f>IF(N53="cps",U53*C36/C34,IF(N53="cpm",U53*C36/C34,IF(N53="µSv/h",U53*C36/C34,"-")))</f>
        <v>0.21831142793495209</v>
      </c>
      <c r="W53" s="1700">
        <f>IF(N53="-","-",IF('Incert. Cal. Cont. Sup'!V24&gt;=10%,ROUNDUP('Incert. Cal. Cont. Sup'!V24,2),ROUNDUP('Incert. Cal. Cont. Sup'!V24,3)))</f>
        <v>0.13</v>
      </c>
      <c r="X53" s="221" t="str">
        <f t="shared" si="3"/>
        <v>OK</v>
      </c>
      <c r="Y53" s="1708">
        <f>IF(C25="cps",V53*C35*R53,IF(C25="cpm",V53*C35*R53/60,IF(C25="µSv/h",V53*C35*R53,"-")))</f>
        <v>2939.9999999999995</v>
      </c>
      <c r="Z53" s="1723">
        <v>2940</v>
      </c>
      <c r="AA53" s="1889"/>
      <c r="AC53" s="1333"/>
      <c r="AD53" s="1333"/>
    </row>
    <row r="54" spans="1:30" ht="16.5" thickTop="1" thickBot="1" x14ac:dyDescent="0.3">
      <c r="A54" s="1322" t="s">
        <v>861</v>
      </c>
      <c r="B54" s="1335" t="s">
        <v>800</v>
      </c>
      <c r="C54" s="1497" t="s">
        <v>93</v>
      </c>
      <c r="D54" s="1238" t="s">
        <v>93</v>
      </c>
      <c r="E54" s="1238" t="s">
        <v>93</v>
      </c>
      <c r="F54" s="1238" t="s">
        <v>93</v>
      </c>
      <c r="G54" s="1238" t="s">
        <v>93</v>
      </c>
      <c r="H54" s="1238" t="s">
        <v>93</v>
      </c>
      <c r="I54" s="1238" t="s">
        <v>93</v>
      </c>
      <c r="J54" s="1238" t="s">
        <v>93</v>
      </c>
      <c r="K54" s="1238" t="s">
        <v>93</v>
      </c>
      <c r="L54" s="1498" t="s">
        <v>93</v>
      </c>
      <c r="M54" s="1507" t="s">
        <v>93</v>
      </c>
      <c r="N54" s="1586" t="s">
        <v>93</v>
      </c>
      <c r="O54" s="1516" t="str">
        <f t="shared" si="0"/>
        <v>-</v>
      </c>
      <c r="P54" s="1519" t="str">
        <f t="shared" si="1"/>
        <v>-</v>
      </c>
      <c r="Q54" s="1520" t="str">
        <f t="shared" si="2"/>
        <v>-</v>
      </c>
      <c r="R54" s="995" t="str">
        <f>IF(N54="cps",(O54-O49),IF(N54="cpm",(O54-O49),IF(N54="µSv/h",(O54-O49),"-")))</f>
        <v>-</v>
      </c>
      <c r="S54" s="1348" t="str">
        <f>IF(N54="cps",R54*$C$35/$C$34,IF(N54="cpm",(R54/60)*$C$35/$C$34,IF(N54="µSv/h",R54*$C$35/$C$34,"-")))</f>
        <v>-</v>
      </c>
      <c r="T54" s="1348" t="str">
        <f>IF(N54="cps",R54*$C$35/$C$36,IF(N54="cpm",(R54/60)*$C$35/$C$36,IF(N54="µSv/h",R54*$C$35/$C$36,"-")))</f>
        <v>-</v>
      </c>
      <c r="U54" s="997" t="str">
        <f>IF(N54="cps",(C34/(C35*(O54-$O$49))),IF(N54="cpm",(C34/(C35*((O54-$O$49)/60))),IF(N54="µSv/h",(C34/(C35*(O54-$O$49))),"-")))</f>
        <v>-</v>
      </c>
      <c r="V54" s="997" t="str">
        <f>IF(N54="cps",U54*C36/C34,IF(N54="cpm",U54*C36/C34,IF(N54="µSv/h",U54*C36/C34,"-")))</f>
        <v>-</v>
      </c>
      <c r="W54" s="997" t="str">
        <f>IF(N54="-","-",'Incert. Cal. Cont. Sup'!V24)</f>
        <v>-</v>
      </c>
      <c r="X54" s="994" t="str">
        <f t="shared" si="3"/>
        <v>-</v>
      </c>
      <c r="Y54" s="1303"/>
      <c r="AA54" s="1889"/>
      <c r="AC54" s="1333"/>
      <c r="AD54" s="1333"/>
    </row>
    <row r="55" spans="1:30" ht="15.75" thickBot="1" x14ac:dyDescent="0.3">
      <c r="A55" s="1321" t="s">
        <v>289</v>
      </c>
      <c r="B55" s="1334" t="s">
        <v>799</v>
      </c>
      <c r="C55" s="1907">
        <v>170</v>
      </c>
      <c r="D55" s="1908">
        <v>171</v>
      </c>
      <c r="E55" s="1908">
        <v>164</v>
      </c>
      <c r="F55" s="1908">
        <v>169</v>
      </c>
      <c r="G55" s="1908">
        <v>174</v>
      </c>
      <c r="H55" s="1908">
        <v>178</v>
      </c>
      <c r="I55" s="1908">
        <v>173</v>
      </c>
      <c r="J55" s="1908">
        <v>169</v>
      </c>
      <c r="K55" s="1908">
        <v>175</v>
      </c>
      <c r="L55" s="1909">
        <v>176</v>
      </c>
      <c r="M55" s="1910" t="s">
        <v>93</v>
      </c>
      <c r="N55" s="1585" t="s">
        <v>470</v>
      </c>
      <c r="O55" s="1515">
        <f t="shared" si="0"/>
        <v>171.9</v>
      </c>
      <c r="P55" s="1517">
        <f t="shared" si="1"/>
        <v>4.1217579852399009</v>
      </c>
      <c r="Q55" s="1518">
        <f t="shared" si="2"/>
        <v>2.3977649710528799</v>
      </c>
      <c r="R55" s="993">
        <f>IF(N55="cps",(O55-O49),IF(N55="cpm",(O55-O49),IF(N55="µSv/h",(O55-O49),"-")))</f>
        <v>171.01000000000002</v>
      </c>
      <c r="S55" s="1347">
        <f>IF(N55="cps",R55*$C$39/$C$38,IF(N55="cpm",(R55/60)*$C$39/$C$38,IF(N55="µSv/h",R55*$C$39/$C$38,"-")))</f>
        <v>6.9328378378378392</v>
      </c>
      <c r="T55" s="1347">
        <f>IF(N55="cps",R55*$C$39/$C$40,IF(N55="cpm",(R55/60)*$C$39/$C$40,IF(N55="µSv/h",R55*$C$39/$C$40,"-")))</f>
        <v>8.9067708333333346</v>
      </c>
      <c r="U55" s="989">
        <f>IF(N55="cps",(C38/(C39*(O55-$O$49))),IF(N55="cpm",(C38/(C39*((O55-$O$49)/60))),IF(N55="µSv/h",(C38/(C39*(O55-$O$49))),"-")))</f>
        <v>0.14424107751983312</v>
      </c>
      <c r="V55" s="989">
        <f>IF(N55="cps",U55*C40/C38,IF(N55="cpm",U55*C40/C38,IF(N55="µSv/h",U55*C40/C38,"-")))</f>
        <v>0.11227413601543768</v>
      </c>
      <c r="W55" s="1700">
        <f>IF(N55="-","-",IF('Incert. Cal. Cont. Sup'!AD24&gt;=10%,ROUNDUP('Incert. Cal. Cont. Sup'!AD24,2),ROUNDUP('Incert. Cal. Cont. Sup'!AD24,3)))</f>
        <v>9.2999999999999999E-2</v>
      </c>
      <c r="X55" s="221" t="str">
        <f t="shared" si="3"/>
        <v>OK</v>
      </c>
      <c r="Y55" s="1707">
        <f>IF(C25="cps",V55*C39*R55,IF(C25="cpm",V55*C39*R55/60,IF(C25="µSv/h",V55*C39*R55,"-")))</f>
        <v>2880</v>
      </c>
      <c r="Z55" s="1723">
        <v>2880</v>
      </c>
      <c r="AA55" s="1889"/>
      <c r="AC55" s="1333"/>
      <c r="AD55" s="1333"/>
    </row>
    <row r="56" spans="1:30" ht="16.5" thickTop="1" thickBot="1" x14ac:dyDescent="0.3">
      <c r="A56" s="1322" t="s">
        <v>861</v>
      </c>
      <c r="B56" s="1335" t="s">
        <v>800</v>
      </c>
      <c r="C56" s="1505" t="s">
        <v>93</v>
      </c>
      <c r="D56" s="1239" t="s">
        <v>93</v>
      </c>
      <c r="E56" s="1239" t="s">
        <v>93</v>
      </c>
      <c r="F56" s="1239" t="s">
        <v>93</v>
      </c>
      <c r="G56" s="1239" t="s">
        <v>93</v>
      </c>
      <c r="H56" s="1239" t="s">
        <v>93</v>
      </c>
      <c r="I56" s="1239" t="s">
        <v>93</v>
      </c>
      <c r="J56" s="1239" t="s">
        <v>93</v>
      </c>
      <c r="K56" s="1239" t="s">
        <v>93</v>
      </c>
      <c r="L56" s="1506" t="s">
        <v>93</v>
      </c>
      <c r="M56" s="1507" t="s">
        <v>93</v>
      </c>
      <c r="N56" s="1586" t="s">
        <v>93</v>
      </c>
      <c r="O56" s="1516" t="str">
        <f t="shared" si="0"/>
        <v>-</v>
      </c>
      <c r="P56" s="1519" t="str">
        <f t="shared" si="1"/>
        <v>-</v>
      </c>
      <c r="Q56" s="1520" t="str">
        <f t="shared" si="2"/>
        <v>-</v>
      </c>
      <c r="R56" s="995" t="str">
        <f>IF(N56="cps",(O56-O49),IF(N56="cpm",(O56-O49),IF(N56="µSv/h",(O56-O49),"-")))</f>
        <v>-</v>
      </c>
      <c r="S56" s="995" t="str">
        <f>IF(N56="cps",R56*$C$39/$C$38,IF(N56="cpm",(R56/60)*$C$39/$C$38,IF(N56="µSv/h",R56*$C$39/$C$38,"-")))</f>
        <v>-</v>
      </c>
      <c r="T56" s="995" t="str">
        <f>IF(N56="cps",R56*$C$39/$C$40,IF(N56="cpm",(R56/60)*$C$39/$C$40,IF(N56="µSv/h",R56*$C$39/$C$40,"-")))</f>
        <v>-</v>
      </c>
      <c r="U56" s="995" t="str">
        <f>IF(N56="cps",(C38/(C39*(O56-$O$49))),IF(N56="cpm",(C38/(C39*((O56-$O$49)/60))),IF(N56="µSv/h",(C38/(C39*(O56-$O$49))),"-")))</f>
        <v>-</v>
      </c>
      <c r="V56" s="995" t="str">
        <f>IF(N56="cps",U56*C40/C38,IF(N56="cpm",U56*C40/C38,IF(N56="µSv/h",U56*C40/C38,"-")))</f>
        <v>-</v>
      </c>
      <c r="W56" s="995" t="str">
        <f>IF(N56="-","-",'Incert. Cal. Cont. Sup'!AD24)</f>
        <v>-</v>
      </c>
      <c r="X56" s="994" t="str">
        <f t="shared" si="3"/>
        <v>-</v>
      </c>
    </row>
    <row r="58" spans="1:30" ht="15.75" thickBot="1" x14ac:dyDescent="0.3"/>
    <row r="59" spans="1:30" ht="30" customHeight="1" x14ac:dyDescent="0.25">
      <c r="A59" s="3321" t="s">
        <v>179</v>
      </c>
      <c r="B59" s="3321"/>
      <c r="C59" s="3321"/>
      <c r="D59" s="3310" t="s">
        <v>93</v>
      </c>
      <c r="E59" s="3311"/>
      <c r="F59" s="3311"/>
      <c r="G59" s="3311"/>
      <c r="H59" s="3311"/>
      <c r="I59" s="3311"/>
      <c r="J59" s="3311"/>
      <c r="K59" s="3311"/>
      <c r="L59" s="3311"/>
      <c r="M59" s="3311"/>
      <c r="N59" s="3311"/>
      <c r="O59" s="3312"/>
    </row>
    <row r="60" spans="1:30" ht="15.75" thickBot="1" x14ac:dyDescent="0.3">
      <c r="C60" s="217"/>
      <c r="D60" s="3313"/>
      <c r="E60" s="3314"/>
      <c r="F60" s="3314"/>
      <c r="G60" s="3314"/>
      <c r="H60" s="3314"/>
      <c r="I60" s="3314"/>
      <c r="J60" s="3314"/>
      <c r="K60" s="3314"/>
      <c r="L60" s="3314"/>
      <c r="M60" s="3314"/>
      <c r="N60" s="3314"/>
      <c r="O60" s="3315"/>
    </row>
  </sheetData>
  <mergeCells count="58">
    <mergeCell ref="E47:E48"/>
    <mergeCell ref="A49:A50"/>
    <mergeCell ref="D59:O60"/>
    <mergeCell ref="C22:W22"/>
    <mergeCell ref="C23:W23"/>
    <mergeCell ref="C27:D27"/>
    <mergeCell ref="A59:C59"/>
    <mergeCell ref="A28:C28"/>
    <mergeCell ref="A44:B45"/>
    <mergeCell ref="D47:D48"/>
    <mergeCell ref="C47:C48"/>
    <mergeCell ref="C18:D18"/>
    <mergeCell ref="C17:D17"/>
    <mergeCell ref="C16:D16"/>
    <mergeCell ref="C19:N19"/>
    <mergeCell ref="A6:B6"/>
    <mergeCell ref="A7:B7"/>
    <mergeCell ref="A8:B8"/>
    <mergeCell ref="A9:B9"/>
    <mergeCell ref="A10:B10"/>
    <mergeCell ref="A19:B19"/>
    <mergeCell ref="A11:B11"/>
    <mergeCell ref="A12:B12"/>
    <mergeCell ref="A13:B13"/>
    <mergeCell ref="A14:B14"/>
    <mergeCell ref="A15:B15"/>
    <mergeCell ref="X47:X48"/>
    <mergeCell ref="I8:K8"/>
    <mergeCell ref="M8:O8"/>
    <mergeCell ref="V8:W8"/>
    <mergeCell ref="R8:T8"/>
    <mergeCell ref="L47:L48"/>
    <mergeCell ref="K47:K48"/>
    <mergeCell ref="J47:J48"/>
    <mergeCell ref="I47:I48"/>
    <mergeCell ref="R47:R48"/>
    <mergeCell ref="Q47:Q48"/>
    <mergeCell ref="P47:P48"/>
    <mergeCell ref="O47:O48"/>
    <mergeCell ref="N47:N48"/>
    <mergeCell ref="P8:Q8"/>
    <mergeCell ref="C21:W21"/>
    <mergeCell ref="D1:U4"/>
    <mergeCell ref="M47:M48"/>
    <mergeCell ref="B47:B48"/>
    <mergeCell ref="W47:W48"/>
    <mergeCell ref="H47:H48"/>
    <mergeCell ref="G47:G48"/>
    <mergeCell ref="F47:F48"/>
    <mergeCell ref="A24:B24"/>
    <mergeCell ref="A25:B25"/>
    <mergeCell ref="A26:B26"/>
    <mergeCell ref="A27:B27"/>
    <mergeCell ref="A42:B43"/>
    <mergeCell ref="A16:B16"/>
    <mergeCell ref="A17:B17"/>
    <mergeCell ref="A18:B18"/>
    <mergeCell ref="A20:B20"/>
  </mergeCells>
  <pageMargins left="0.25" right="0.25" top="0.75" bottom="0.75" header="0.3" footer="0.3"/>
  <pageSetup paperSize="9" scale="46" orientation="landscape" r:id="rId1"/>
  <headerFooter>
    <oddFooter>&amp;R&amp;P de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3000-000000000000}">
          <x14:formula1>
            <xm:f>'Datos varios'!$B$29:$B$32</xm:f>
          </x14:formula1>
          <xm:sqref>C25 N49:N56</xm:sqref>
        </x14:dataValidation>
        <x14:dataValidation type="list" allowBlank="1" showInputMessage="1" showErrorMessage="1" xr:uid="{00000000-0002-0000-3000-000001000000}">
          <x14:formula1>
            <xm:f>'Datos varios'!$B$132</xm:f>
          </x14:formula1>
          <xm:sqref>C19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40"/>
  <dimension ref="A1:AL59"/>
  <sheetViews>
    <sheetView view="pageBreakPreview" topLeftCell="A34" zoomScaleNormal="100" zoomScaleSheetLayoutView="100" workbookViewId="0">
      <selection activeCell="U52" sqref="U52"/>
    </sheetView>
  </sheetViews>
  <sheetFormatPr baseColWidth="10" defaultColWidth="11.42578125" defaultRowHeight="12.75" x14ac:dyDescent="0.2"/>
  <cols>
    <col min="1" max="1" width="1.5703125" style="163" customWidth="1"/>
    <col min="2" max="10" width="2.42578125" style="163" customWidth="1"/>
    <col min="11" max="11" width="2" style="163" customWidth="1"/>
    <col min="12" max="12" width="2.42578125" style="163" customWidth="1"/>
    <col min="13" max="15" width="3" style="163" customWidth="1"/>
    <col min="16" max="16" width="3.28515625" style="163" customWidth="1"/>
    <col min="17" max="17" width="3.7109375" style="163" customWidth="1"/>
    <col min="18" max="25" width="3" style="163" customWidth="1"/>
    <col min="26" max="27" width="2.7109375" style="163" customWidth="1"/>
    <col min="28" max="28" width="4.85546875" style="163" customWidth="1"/>
    <col min="29" max="29" width="1" style="163" customWidth="1"/>
    <col min="30" max="37" width="2.42578125" style="163" customWidth="1"/>
    <col min="38" max="38" width="1.140625" style="163" customWidth="1"/>
    <col min="39" max="39" width="11.42578125" style="163"/>
    <col min="40" max="40" width="11.85546875" style="163" customWidth="1"/>
    <col min="41" max="41" width="15.42578125" style="163" customWidth="1"/>
    <col min="42" max="281" width="11.42578125" style="163"/>
    <col min="282" max="282" width="2.28515625" style="163" customWidth="1"/>
    <col min="283" max="283" width="2.7109375" style="163" customWidth="1"/>
    <col min="284" max="284" width="2.42578125" style="163" customWidth="1"/>
    <col min="285" max="285" width="17.7109375" style="163" customWidth="1"/>
    <col min="286" max="286" width="1.5703125" style="163" customWidth="1"/>
    <col min="287" max="287" width="6.42578125" style="163" customWidth="1"/>
    <col min="288" max="288" width="13.140625" style="163" customWidth="1"/>
    <col min="289" max="289" width="1" style="163" customWidth="1"/>
    <col min="290" max="290" width="19.5703125" style="163" customWidth="1"/>
    <col min="291" max="291" width="0.85546875" style="163" customWidth="1"/>
    <col min="292" max="292" width="14.42578125" style="163" customWidth="1"/>
    <col min="293" max="293" width="12.85546875" style="163" customWidth="1"/>
    <col min="294" max="294" width="6.140625" style="163" customWidth="1"/>
    <col min="295" max="296" width="11.42578125" style="163"/>
    <col min="297" max="297" width="15.42578125" style="163" customWidth="1"/>
    <col min="298" max="537" width="11.42578125" style="163"/>
    <col min="538" max="538" width="2.28515625" style="163" customWidth="1"/>
    <col min="539" max="539" width="2.7109375" style="163" customWidth="1"/>
    <col min="540" max="540" width="2.42578125" style="163" customWidth="1"/>
    <col min="541" max="541" width="17.7109375" style="163" customWidth="1"/>
    <col min="542" max="542" width="1.5703125" style="163" customWidth="1"/>
    <col min="543" max="543" width="6.42578125" style="163" customWidth="1"/>
    <col min="544" max="544" width="13.140625" style="163" customWidth="1"/>
    <col min="545" max="545" width="1" style="163" customWidth="1"/>
    <col min="546" max="546" width="19.5703125" style="163" customWidth="1"/>
    <col min="547" max="547" width="0.85546875" style="163" customWidth="1"/>
    <col min="548" max="548" width="14.42578125" style="163" customWidth="1"/>
    <col min="549" max="549" width="12.85546875" style="163" customWidth="1"/>
    <col min="550" max="550" width="6.140625" style="163" customWidth="1"/>
    <col min="551" max="552" width="11.42578125" style="163"/>
    <col min="553" max="553" width="15.42578125" style="163" customWidth="1"/>
    <col min="554" max="793" width="11.42578125" style="163"/>
    <col min="794" max="794" width="2.28515625" style="163" customWidth="1"/>
    <col min="795" max="795" width="2.7109375" style="163" customWidth="1"/>
    <col min="796" max="796" width="2.42578125" style="163" customWidth="1"/>
    <col min="797" max="797" width="17.7109375" style="163" customWidth="1"/>
    <col min="798" max="798" width="1.5703125" style="163" customWidth="1"/>
    <col min="799" max="799" width="6.42578125" style="163" customWidth="1"/>
    <col min="800" max="800" width="13.140625" style="163" customWidth="1"/>
    <col min="801" max="801" width="1" style="163" customWidth="1"/>
    <col min="802" max="802" width="19.5703125" style="163" customWidth="1"/>
    <col min="803" max="803" width="0.85546875" style="163" customWidth="1"/>
    <col min="804" max="804" width="14.42578125" style="163" customWidth="1"/>
    <col min="805" max="805" width="12.85546875" style="163" customWidth="1"/>
    <col min="806" max="806" width="6.140625" style="163" customWidth="1"/>
    <col min="807" max="808" width="11.42578125" style="163"/>
    <col min="809" max="809" width="15.42578125" style="163" customWidth="1"/>
    <col min="810" max="1049" width="11.42578125" style="163"/>
    <col min="1050" max="1050" width="2.28515625" style="163" customWidth="1"/>
    <col min="1051" max="1051" width="2.7109375" style="163" customWidth="1"/>
    <col min="1052" max="1052" width="2.42578125" style="163" customWidth="1"/>
    <col min="1053" max="1053" width="17.7109375" style="163" customWidth="1"/>
    <col min="1054" max="1054" width="1.5703125" style="163" customWidth="1"/>
    <col min="1055" max="1055" width="6.42578125" style="163" customWidth="1"/>
    <col min="1056" max="1056" width="13.140625" style="163" customWidth="1"/>
    <col min="1057" max="1057" width="1" style="163" customWidth="1"/>
    <col min="1058" max="1058" width="19.5703125" style="163" customWidth="1"/>
    <col min="1059" max="1059" width="0.85546875" style="163" customWidth="1"/>
    <col min="1060" max="1060" width="14.42578125" style="163" customWidth="1"/>
    <col min="1061" max="1061" width="12.85546875" style="163" customWidth="1"/>
    <col min="1062" max="1062" width="6.140625" style="163" customWidth="1"/>
    <col min="1063" max="1064" width="11.42578125" style="163"/>
    <col min="1065" max="1065" width="15.42578125" style="163" customWidth="1"/>
    <col min="1066" max="1305" width="11.42578125" style="163"/>
    <col min="1306" max="1306" width="2.28515625" style="163" customWidth="1"/>
    <col min="1307" max="1307" width="2.7109375" style="163" customWidth="1"/>
    <col min="1308" max="1308" width="2.42578125" style="163" customWidth="1"/>
    <col min="1309" max="1309" width="17.7109375" style="163" customWidth="1"/>
    <col min="1310" max="1310" width="1.5703125" style="163" customWidth="1"/>
    <col min="1311" max="1311" width="6.42578125" style="163" customWidth="1"/>
    <col min="1312" max="1312" width="13.140625" style="163" customWidth="1"/>
    <col min="1313" max="1313" width="1" style="163" customWidth="1"/>
    <col min="1314" max="1314" width="19.5703125" style="163" customWidth="1"/>
    <col min="1315" max="1315" width="0.85546875" style="163" customWidth="1"/>
    <col min="1316" max="1316" width="14.42578125" style="163" customWidth="1"/>
    <col min="1317" max="1317" width="12.85546875" style="163" customWidth="1"/>
    <col min="1318" max="1318" width="6.140625" style="163" customWidth="1"/>
    <col min="1319" max="1320" width="11.42578125" style="163"/>
    <col min="1321" max="1321" width="15.42578125" style="163" customWidth="1"/>
    <col min="1322" max="1561" width="11.42578125" style="163"/>
    <col min="1562" max="1562" width="2.28515625" style="163" customWidth="1"/>
    <col min="1563" max="1563" width="2.7109375" style="163" customWidth="1"/>
    <col min="1564" max="1564" width="2.42578125" style="163" customWidth="1"/>
    <col min="1565" max="1565" width="17.7109375" style="163" customWidth="1"/>
    <col min="1566" max="1566" width="1.5703125" style="163" customWidth="1"/>
    <col min="1567" max="1567" width="6.42578125" style="163" customWidth="1"/>
    <col min="1568" max="1568" width="13.140625" style="163" customWidth="1"/>
    <col min="1569" max="1569" width="1" style="163" customWidth="1"/>
    <col min="1570" max="1570" width="19.5703125" style="163" customWidth="1"/>
    <col min="1571" max="1571" width="0.85546875" style="163" customWidth="1"/>
    <col min="1572" max="1572" width="14.42578125" style="163" customWidth="1"/>
    <col min="1573" max="1573" width="12.85546875" style="163" customWidth="1"/>
    <col min="1574" max="1574" width="6.140625" style="163" customWidth="1"/>
    <col min="1575" max="1576" width="11.42578125" style="163"/>
    <col min="1577" max="1577" width="15.42578125" style="163" customWidth="1"/>
    <col min="1578" max="1817" width="11.42578125" style="163"/>
    <col min="1818" max="1818" width="2.28515625" style="163" customWidth="1"/>
    <col min="1819" max="1819" width="2.7109375" style="163" customWidth="1"/>
    <col min="1820" max="1820" width="2.42578125" style="163" customWidth="1"/>
    <col min="1821" max="1821" width="17.7109375" style="163" customWidth="1"/>
    <col min="1822" max="1822" width="1.5703125" style="163" customWidth="1"/>
    <col min="1823" max="1823" width="6.42578125" style="163" customWidth="1"/>
    <col min="1824" max="1824" width="13.140625" style="163" customWidth="1"/>
    <col min="1825" max="1825" width="1" style="163" customWidth="1"/>
    <col min="1826" max="1826" width="19.5703125" style="163" customWidth="1"/>
    <col min="1827" max="1827" width="0.85546875" style="163" customWidth="1"/>
    <col min="1828" max="1828" width="14.42578125" style="163" customWidth="1"/>
    <col min="1829" max="1829" width="12.85546875" style="163" customWidth="1"/>
    <col min="1830" max="1830" width="6.140625" style="163" customWidth="1"/>
    <col min="1831" max="1832" width="11.42578125" style="163"/>
    <col min="1833" max="1833" width="15.42578125" style="163" customWidth="1"/>
    <col min="1834" max="2073" width="11.42578125" style="163"/>
    <col min="2074" max="2074" width="2.28515625" style="163" customWidth="1"/>
    <col min="2075" max="2075" width="2.7109375" style="163" customWidth="1"/>
    <col min="2076" max="2076" width="2.42578125" style="163" customWidth="1"/>
    <col min="2077" max="2077" width="17.7109375" style="163" customWidth="1"/>
    <col min="2078" max="2078" width="1.5703125" style="163" customWidth="1"/>
    <col min="2079" max="2079" width="6.42578125" style="163" customWidth="1"/>
    <col min="2080" max="2080" width="13.140625" style="163" customWidth="1"/>
    <col min="2081" max="2081" width="1" style="163" customWidth="1"/>
    <col min="2082" max="2082" width="19.5703125" style="163" customWidth="1"/>
    <col min="2083" max="2083" width="0.85546875" style="163" customWidth="1"/>
    <col min="2084" max="2084" width="14.42578125" style="163" customWidth="1"/>
    <col min="2085" max="2085" width="12.85546875" style="163" customWidth="1"/>
    <col min="2086" max="2086" width="6.140625" style="163" customWidth="1"/>
    <col min="2087" max="2088" width="11.42578125" style="163"/>
    <col min="2089" max="2089" width="15.42578125" style="163" customWidth="1"/>
    <col min="2090" max="2329" width="11.42578125" style="163"/>
    <col min="2330" max="2330" width="2.28515625" style="163" customWidth="1"/>
    <col min="2331" max="2331" width="2.7109375" style="163" customWidth="1"/>
    <col min="2332" max="2332" width="2.42578125" style="163" customWidth="1"/>
    <col min="2333" max="2333" width="17.7109375" style="163" customWidth="1"/>
    <col min="2334" max="2334" width="1.5703125" style="163" customWidth="1"/>
    <col min="2335" max="2335" width="6.42578125" style="163" customWidth="1"/>
    <col min="2336" max="2336" width="13.140625" style="163" customWidth="1"/>
    <col min="2337" max="2337" width="1" style="163" customWidth="1"/>
    <col min="2338" max="2338" width="19.5703125" style="163" customWidth="1"/>
    <col min="2339" max="2339" width="0.85546875" style="163" customWidth="1"/>
    <col min="2340" max="2340" width="14.42578125" style="163" customWidth="1"/>
    <col min="2341" max="2341" width="12.85546875" style="163" customWidth="1"/>
    <col min="2342" max="2342" width="6.140625" style="163" customWidth="1"/>
    <col min="2343" max="2344" width="11.42578125" style="163"/>
    <col min="2345" max="2345" width="15.42578125" style="163" customWidth="1"/>
    <col min="2346" max="2585" width="11.42578125" style="163"/>
    <col min="2586" max="2586" width="2.28515625" style="163" customWidth="1"/>
    <col min="2587" max="2587" width="2.7109375" style="163" customWidth="1"/>
    <col min="2588" max="2588" width="2.42578125" style="163" customWidth="1"/>
    <col min="2589" max="2589" width="17.7109375" style="163" customWidth="1"/>
    <col min="2590" max="2590" width="1.5703125" style="163" customWidth="1"/>
    <col min="2591" max="2591" width="6.42578125" style="163" customWidth="1"/>
    <col min="2592" max="2592" width="13.140625" style="163" customWidth="1"/>
    <col min="2593" max="2593" width="1" style="163" customWidth="1"/>
    <col min="2594" max="2594" width="19.5703125" style="163" customWidth="1"/>
    <col min="2595" max="2595" width="0.85546875" style="163" customWidth="1"/>
    <col min="2596" max="2596" width="14.42578125" style="163" customWidth="1"/>
    <col min="2597" max="2597" width="12.85546875" style="163" customWidth="1"/>
    <col min="2598" max="2598" width="6.140625" style="163" customWidth="1"/>
    <col min="2599" max="2600" width="11.42578125" style="163"/>
    <col min="2601" max="2601" width="15.42578125" style="163" customWidth="1"/>
    <col min="2602" max="2841" width="11.42578125" style="163"/>
    <col min="2842" max="2842" width="2.28515625" style="163" customWidth="1"/>
    <col min="2843" max="2843" width="2.7109375" style="163" customWidth="1"/>
    <col min="2844" max="2844" width="2.42578125" style="163" customWidth="1"/>
    <col min="2845" max="2845" width="17.7109375" style="163" customWidth="1"/>
    <col min="2846" max="2846" width="1.5703125" style="163" customWidth="1"/>
    <col min="2847" max="2847" width="6.42578125" style="163" customWidth="1"/>
    <col min="2848" max="2848" width="13.140625" style="163" customWidth="1"/>
    <col min="2849" max="2849" width="1" style="163" customWidth="1"/>
    <col min="2850" max="2850" width="19.5703125" style="163" customWidth="1"/>
    <col min="2851" max="2851" width="0.85546875" style="163" customWidth="1"/>
    <col min="2852" max="2852" width="14.42578125" style="163" customWidth="1"/>
    <col min="2853" max="2853" width="12.85546875" style="163" customWidth="1"/>
    <col min="2854" max="2854" width="6.140625" style="163" customWidth="1"/>
    <col min="2855" max="2856" width="11.42578125" style="163"/>
    <col min="2857" max="2857" width="15.42578125" style="163" customWidth="1"/>
    <col min="2858" max="3097" width="11.42578125" style="163"/>
    <col min="3098" max="3098" width="2.28515625" style="163" customWidth="1"/>
    <col min="3099" max="3099" width="2.7109375" style="163" customWidth="1"/>
    <col min="3100" max="3100" width="2.42578125" style="163" customWidth="1"/>
    <col min="3101" max="3101" width="17.7109375" style="163" customWidth="1"/>
    <col min="3102" max="3102" width="1.5703125" style="163" customWidth="1"/>
    <col min="3103" max="3103" width="6.42578125" style="163" customWidth="1"/>
    <col min="3104" max="3104" width="13.140625" style="163" customWidth="1"/>
    <col min="3105" max="3105" width="1" style="163" customWidth="1"/>
    <col min="3106" max="3106" width="19.5703125" style="163" customWidth="1"/>
    <col min="3107" max="3107" width="0.85546875" style="163" customWidth="1"/>
    <col min="3108" max="3108" width="14.42578125" style="163" customWidth="1"/>
    <col min="3109" max="3109" width="12.85546875" style="163" customWidth="1"/>
    <col min="3110" max="3110" width="6.140625" style="163" customWidth="1"/>
    <col min="3111" max="3112" width="11.42578125" style="163"/>
    <col min="3113" max="3113" width="15.42578125" style="163" customWidth="1"/>
    <col min="3114" max="3353" width="11.42578125" style="163"/>
    <col min="3354" max="3354" width="2.28515625" style="163" customWidth="1"/>
    <col min="3355" max="3355" width="2.7109375" style="163" customWidth="1"/>
    <col min="3356" max="3356" width="2.42578125" style="163" customWidth="1"/>
    <col min="3357" max="3357" width="17.7109375" style="163" customWidth="1"/>
    <col min="3358" max="3358" width="1.5703125" style="163" customWidth="1"/>
    <col min="3359" max="3359" width="6.42578125" style="163" customWidth="1"/>
    <col min="3360" max="3360" width="13.140625" style="163" customWidth="1"/>
    <col min="3361" max="3361" width="1" style="163" customWidth="1"/>
    <col min="3362" max="3362" width="19.5703125" style="163" customWidth="1"/>
    <col min="3363" max="3363" width="0.85546875" style="163" customWidth="1"/>
    <col min="3364" max="3364" width="14.42578125" style="163" customWidth="1"/>
    <col min="3365" max="3365" width="12.85546875" style="163" customWidth="1"/>
    <col min="3366" max="3366" width="6.140625" style="163" customWidth="1"/>
    <col min="3367" max="3368" width="11.42578125" style="163"/>
    <col min="3369" max="3369" width="15.42578125" style="163" customWidth="1"/>
    <col min="3370" max="3609" width="11.42578125" style="163"/>
    <col min="3610" max="3610" width="2.28515625" style="163" customWidth="1"/>
    <col min="3611" max="3611" width="2.7109375" style="163" customWidth="1"/>
    <col min="3612" max="3612" width="2.42578125" style="163" customWidth="1"/>
    <col min="3613" max="3613" width="17.7109375" style="163" customWidth="1"/>
    <col min="3614" max="3614" width="1.5703125" style="163" customWidth="1"/>
    <col min="3615" max="3615" width="6.42578125" style="163" customWidth="1"/>
    <col min="3616" max="3616" width="13.140625" style="163" customWidth="1"/>
    <col min="3617" max="3617" width="1" style="163" customWidth="1"/>
    <col min="3618" max="3618" width="19.5703125" style="163" customWidth="1"/>
    <col min="3619" max="3619" width="0.85546875" style="163" customWidth="1"/>
    <col min="3620" max="3620" width="14.42578125" style="163" customWidth="1"/>
    <col min="3621" max="3621" width="12.85546875" style="163" customWidth="1"/>
    <col min="3622" max="3622" width="6.140625" style="163" customWidth="1"/>
    <col min="3623" max="3624" width="11.42578125" style="163"/>
    <col min="3625" max="3625" width="15.42578125" style="163" customWidth="1"/>
    <col min="3626" max="3865" width="11.42578125" style="163"/>
    <col min="3866" max="3866" width="2.28515625" style="163" customWidth="1"/>
    <col min="3867" max="3867" width="2.7109375" style="163" customWidth="1"/>
    <col min="3868" max="3868" width="2.42578125" style="163" customWidth="1"/>
    <col min="3869" max="3869" width="17.7109375" style="163" customWidth="1"/>
    <col min="3870" max="3870" width="1.5703125" style="163" customWidth="1"/>
    <col min="3871" max="3871" width="6.42578125" style="163" customWidth="1"/>
    <col min="3872" max="3872" width="13.140625" style="163" customWidth="1"/>
    <col min="3873" max="3873" width="1" style="163" customWidth="1"/>
    <col min="3874" max="3874" width="19.5703125" style="163" customWidth="1"/>
    <col min="3875" max="3875" width="0.85546875" style="163" customWidth="1"/>
    <col min="3876" max="3876" width="14.42578125" style="163" customWidth="1"/>
    <col min="3877" max="3877" width="12.85546875" style="163" customWidth="1"/>
    <col min="3878" max="3878" width="6.140625" style="163" customWidth="1"/>
    <col min="3879" max="3880" width="11.42578125" style="163"/>
    <col min="3881" max="3881" width="15.42578125" style="163" customWidth="1"/>
    <col min="3882" max="4121" width="11.42578125" style="163"/>
    <col min="4122" max="4122" width="2.28515625" style="163" customWidth="1"/>
    <col min="4123" max="4123" width="2.7109375" style="163" customWidth="1"/>
    <col min="4124" max="4124" width="2.42578125" style="163" customWidth="1"/>
    <col min="4125" max="4125" width="17.7109375" style="163" customWidth="1"/>
    <col min="4126" max="4126" width="1.5703125" style="163" customWidth="1"/>
    <col min="4127" max="4127" width="6.42578125" style="163" customWidth="1"/>
    <col min="4128" max="4128" width="13.140625" style="163" customWidth="1"/>
    <col min="4129" max="4129" width="1" style="163" customWidth="1"/>
    <col min="4130" max="4130" width="19.5703125" style="163" customWidth="1"/>
    <col min="4131" max="4131" width="0.85546875" style="163" customWidth="1"/>
    <col min="4132" max="4132" width="14.42578125" style="163" customWidth="1"/>
    <col min="4133" max="4133" width="12.85546875" style="163" customWidth="1"/>
    <col min="4134" max="4134" width="6.140625" style="163" customWidth="1"/>
    <col min="4135" max="4136" width="11.42578125" style="163"/>
    <col min="4137" max="4137" width="15.42578125" style="163" customWidth="1"/>
    <col min="4138" max="4377" width="11.42578125" style="163"/>
    <col min="4378" max="4378" width="2.28515625" style="163" customWidth="1"/>
    <col min="4379" max="4379" width="2.7109375" style="163" customWidth="1"/>
    <col min="4380" max="4380" width="2.42578125" style="163" customWidth="1"/>
    <col min="4381" max="4381" width="17.7109375" style="163" customWidth="1"/>
    <col min="4382" max="4382" width="1.5703125" style="163" customWidth="1"/>
    <col min="4383" max="4383" width="6.42578125" style="163" customWidth="1"/>
    <col min="4384" max="4384" width="13.140625" style="163" customWidth="1"/>
    <col min="4385" max="4385" width="1" style="163" customWidth="1"/>
    <col min="4386" max="4386" width="19.5703125" style="163" customWidth="1"/>
    <col min="4387" max="4387" width="0.85546875" style="163" customWidth="1"/>
    <col min="4388" max="4388" width="14.42578125" style="163" customWidth="1"/>
    <col min="4389" max="4389" width="12.85546875" style="163" customWidth="1"/>
    <col min="4390" max="4390" width="6.140625" style="163" customWidth="1"/>
    <col min="4391" max="4392" width="11.42578125" style="163"/>
    <col min="4393" max="4393" width="15.42578125" style="163" customWidth="1"/>
    <col min="4394" max="4633" width="11.42578125" style="163"/>
    <col min="4634" max="4634" width="2.28515625" style="163" customWidth="1"/>
    <col min="4635" max="4635" width="2.7109375" style="163" customWidth="1"/>
    <col min="4636" max="4636" width="2.42578125" style="163" customWidth="1"/>
    <col min="4637" max="4637" width="17.7109375" style="163" customWidth="1"/>
    <col min="4638" max="4638" width="1.5703125" style="163" customWidth="1"/>
    <col min="4639" max="4639" width="6.42578125" style="163" customWidth="1"/>
    <col min="4640" max="4640" width="13.140625" style="163" customWidth="1"/>
    <col min="4641" max="4641" width="1" style="163" customWidth="1"/>
    <col min="4642" max="4642" width="19.5703125" style="163" customWidth="1"/>
    <col min="4643" max="4643" width="0.85546875" style="163" customWidth="1"/>
    <col min="4644" max="4644" width="14.42578125" style="163" customWidth="1"/>
    <col min="4645" max="4645" width="12.85546875" style="163" customWidth="1"/>
    <col min="4646" max="4646" width="6.140625" style="163" customWidth="1"/>
    <col min="4647" max="4648" width="11.42578125" style="163"/>
    <col min="4649" max="4649" width="15.42578125" style="163" customWidth="1"/>
    <col min="4650" max="4889" width="11.42578125" style="163"/>
    <col min="4890" max="4890" width="2.28515625" style="163" customWidth="1"/>
    <col min="4891" max="4891" width="2.7109375" style="163" customWidth="1"/>
    <col min="4892" max="4892" width="2.42578125" style="163" customWidth="1"/>
    <col min="4893" max="4893" width="17.7109375" style="163" customWidth="1"/>
    <col min="4894" max="4894" width="1.5703125" style="163" customWidth="1"/>
    <col min="4895" max="4895" width="6.42578125" style="163" customWidth="1"/>
    <col min="4896" max="4896" width="13.140625" style="163" customWidth="1"/>
    <col min="4897" max="4897" width="1" style="163" customWidth="1"/>
    <col min="4898" max="4898" width="19.5703125" style="163" customWidth="1"/>
    <col min="4899" max="4899" width="0.85546875" style="163" customWidth="1"/>
    <col min="4900" max="4900" width="14.42578125" style="163" customWidth="1"/>
    <col min="4901" max="4901" width="12.85546875" style="163" customWidth="1"/>
    <col min="4902" max="4902" width="6.140625" style="163" customWidth="1"/>
    <col min="4903" max="4904" width="11.42578125" style="163"/>
    <col min="4905" max="4905" width="15.42578125" style="163" customWidth="1"/>
    <col min="4906" max="5145" width="11.42578125" style="163"/>
    <col min="5146" max="5146" width="2.28515625" style="163" customWidth="1"/>
    <col min="5147" max="5147" width="2.7109375" style="163" customWidth="1"/>
    <col min="5148" max="5148" width="2.42578125" style="163" customWidth="1"/>
    <col min="5149" max="5149" width="17.7109375" style="163" customWidth="1"/>
    <col min="5150" max="5150" width="1.5703125" style="163" customWidth="1"/>
    <col min="5151" max="5151" width="6.42578125" style="163" customWidth="1"/>
    <col min="5152" max="5152" width="13.140625" style="163" customWidth="1"/>
    <col min="5153" max="5153" width="1" style="163" customWidth="1"/>
    <col min="5154" max="5154" width="19.5703125" style="163" customWidth="1"/>
    <col min="5155" max="5155" width="0.85546875" style="163" customWidth="1"/>
    <col min="5156" max="5156" width="14.42578125" style="163" customWidth="1"/>
    <col min="5157" max="5157" width="12.85546875" style="163" customWidth="1"/>
    <col min="5158" max="5158" width="6.140625" style="163" customWidth="1"/>
    <col min="5159" max="5160" width="11.42578125" style="163"/>
    <col min="5161" max="5161" width="15.42578125" style="163" customWidth="1"/>
    <col min="5162" max="5401" width="11.42578125" style="163"/>
    <col min="5402" max="5402" width="2.28515625" style="163" customWidth="1"/>
    <col min="5403" max="5403" width="2.7109375" style="163" customWidth="1"/>
    <col min="5404" max="5404" width="2.42578125" style="163" customWidth="1"/>
    <col min="5405" max="5405" width="17.7109375" style="163" customWidth="1"/>
    <col min="5406" max="5406" width="1.5703125" style="163" customWidth="1"/>
    <col min="5407" max="5407" width="6.42578125" style="163" customWidth="1"/>
    <col min="5408" max="5408" width="13.140625" style="163" customWidth="1"/>
    <col min="5409" max="5409" width="1" style="163" customWidth="1"/>
    <col min="5410" max="5410" width="19.5703125" style="163" customWidth="1"/>
    <col min="5411" max="5411" width="0.85546875" style="163" customWidth="1"/>
    <col min="5412" max="5412" width="14.42578125" style="163" customWidth="1"/>
    <col min="5413" max="5413" width="12.85546875" style="163" customWidth="1"/>
    <col min="5414" max="5414" width="6.140625" style="163" customWidth="1"/>
    <col min="5415" max="5416" width="11.42578125" style="163"/>
    <col min="5417" max="5417" width="15.42578125" style="163" customWidth="1"/>
    <col min="5418" max="5657" width="11.42578125" style="163"/>
    <col min="5658" max="5658" width="2.28515625" style="163" customWidth="1"/>
    <col min="5659" max="5659" width="2.7109375" style="163" customWidth="1"/>
    <col min="5660" max="5660" width="2.42578125" style="163" customWidth="1"/>
    <col min="5661" max="5661" width="17.7109375" style="163" customWidth="1"/>
    <col min="5662" max="5662" width="1.5703125" style="163" customWidth="1"/>
    <col min="5663" max="5663" width="6.42578125" style="163" customWidth="1"/>
    <col min="5664" max="5664" width="13.140625" style="163" customWidth="1"/>
    <col min="5665" max="5665" width="1" style="163" customWidth="1"/>
    <col min="5666" max="5666" width="19.5703125" style="163" customWidth="1"/>
    <col min="5667" max="5667" width="0.85546875" style="163" customWidth="1"/>
    <col min="5668" max="5668" width="14.42578125" style="163" customWidth="1"/>
    <col min="5669" max="5669" width="12.85546875" style="163" customWidth="1"/>
    <col min="5670" max="5670" width="6.140625" style="163" customWidth="1"/>
    <col min="5671" max="5672" width="11.42578125" style="163"/>
    <col min="5673" max="5673" width="15.42578125" style="163" customWidth="1"/>
    <col min="5674" max="5913" width="11.42578125" style="163"/>
    <col min="5914" max="5914" width="2.28515625" style="163" customWidth="1"/>
    <col min="5915" max="5915" width="2.7109375" style="163" customWidth="1"/>
    <col min="5916" max="5916" width="2.42578125" style="163" customWidth="1"/>
    <col min="5917" max="5917" width="17.7109375" style="163" customWidth="1"/>
    <col min="5918" max="5918" width="1.5703125" style="163" customWidth="1"/>
    <col min="5919" max="5919" width="6.42578125" style="163" customWidth="1"/>
    <col min="5920" max="5920" width="13.140625" style="163" customWidth="1"/>
    <col min="5921" max="5921" width="1" style="163" customWidth="1"/>
    <col min="5922" max="5922" width="19.5703125" style="163" customWidth="1"/>
    <col min="5923" max="5923" width="0.85546875" style="163" customWidth="1"/>
    <col min="5924" max="5924" width="14.42578125" style="163" customWidth="1"/>
    <col min="5925" max="5925" width="12.85546875" style="163" customWidth="1"/>
    <col min="5926" max="5926" width="6.140625" style="163" customWidth="1"/>
    <col min="5927" max="5928" width="11.42578125" style="163"/>
    <col min="5929" max="5929" width="15.42578125" style="163" customWidth="1"/>
    <col min="5930" max="6169" width="11.42578125" style="163"/>
    <col min="6170" max="6170" width="2.28515625" style="163" customWidth="1"/>
    <col min="6171" max="6171" width="2.7109375" style="163" customWidth="1"/>
    <col min="6172" max="6172" width="2.42578125" style="163" customWidth="1"/>
    <col min="6173" max="6173" width="17.7109375" style="163" customWidth="1"/>
    <col min="6174" max="6174" width="1.5703125" style="163" customWidth="1"/>
    <col min="6175" max="6175" width="6.42578125" style="163" customWidth="1"/>
    <col min="6176" max="6176" width="13.140625" style="163" customWidth="1"/>
    <col min="6177" max="6177" width="1" style="163" customWidth="1"/>
    <col min="6178" max="6178" width="19.5703125" style="163" customWidth="1"/>
    <col min="6179" max="6179" width="0.85546875" style="163" customWidth="1"/>
    <col min="6180" max="6180" width="14.42578125" style="163" customWidth="1"/>
    <col min="6181" max="6181" width="12.85546875" style="163" customWidth="1"/>
    <col min="6182" max="6182" width="6.140625" style="163" customWidth="1"/>
    <col min="6183" max="6184" width="11.42578125" style="163"/>
    <col min="6185" max="6185" width="15.42578125" style="163" customWidth="1"/>
    <col min="6186" max="6425" width="11.42578125" style="163"/>
    <col min="6426" max="6426" width="2.28515625" style="163" customWidth="1"/>
    <col min="6427" max="6427" width="2.7109375" style="163" customWidth="1"/>
    <col min="6428" max="6428" width="2.42578125" style="163" customWidth="1"/>
    <col min="6429" max="6429" width="17.7109375" style="163" customWidth="1"/>
    <col min="6430" max="6430" width="1.5703125" style="163" customWidth="1"/>
    <col min="6431" max="6431" width="6.42578125" style="163" customWidth="1"/>
    <col min="6432" max="6432" width="13.140625" style="163" customWidth="1"/>
    <col min="6433" max="6433" width="1" style="163" customWidth="1"/>
    <col min="6434" max="6434" width="19.5703125" style="163" customWidth="1"/>
    <col min="6435" max="6435" width="0.85546875" style="163" customWidth="1"/>
    <col min="6436" max="6436" width="14.42578125" style="163" customWidth="1"/>
    <col min="6437" max="6437" width="12.85546875" style="163" customWidth="1"/>
    <col min="6438" max="6438" width="6.140625" style="163" customWidth="1"/>
    <col min="6439" max="6440" width="11.42578125" style="163"/>
    <col min="6441" max="6441" width="15.42578125" style="163" customWidth="1"/>
    <col min="6442" max="6681" width="11.42578125" style="163"/>
    <col min="6682" max="6682" width="2.28515625" style="163" customWidth="1"/>
    <col min="6683" max="6683" width="2.7109375" style="163" customWidth="1"/>
    <col min="6684" max="6684" width="2.42578125" style="163" customWidth="1"/>
    <col min="6685" max="6685" width="17.7109375" style="163" customWidth="1"/>
    <col min="6686" max="6686" width="1.5703125" style="163" customWidth="1"/>
    <col min="6687" max="6687" width="6.42578125" style="163" customWidth="1"/>
    <col min="6688" max="6688" width="13.140625" style="163" customWidth="1"/>
    <col min="6689" max="6689" width="1" style="163" customWidth="1"/>
    <col min="6690" max="6690" width="19.5703125" style="163" customWidth="1"/>
    <col min="6691" max="6691" width="0.85546875" style="163" customWidth="1"/>
    <col min="6692" max="6692" width="14.42578125" style="163" customWidth="1"/>
    <col min="6693" max="6693" width="12.85546875" style="163" customWidth="1"/>
    <col min="6694" max="6694" width="6.140625" style="163" customWidth="1"/>
    <col min="6695" max="6696" width="11.42578125" style="163"/>
    <col min="6697" max="6697" width="15.42578125" style="163" customWidth="1"/>
    <col min="6698" max="6937" width="11.42578125" style="163"/>
    <col min="6938" max="6938" width="2.28515625" style="163" customWidth="1"/>
    <col min="6939" max="6939" width="2.7109375" style="163" customWidth="1"/>
    <col min="6940" max="6940" width="2.42578125" style="163" customWidth="1"/>
    <col min="6941" max="6941" width="17.7109375" style="163" customWidth="1"/>
    <col min="6942" max="6942" width="1.5703125" style="163" customWidth="1"/>
    <col min="6943" max="6943" width="6.42578125" style="163" customWidth="1"/>
    <col min="6944" max="6944" width="13.140625" style="163" customWidth="1"/>
    <col min="6945" max="6945" width="1" style="163" customWidth="1"/>
    <col min="6946" max="6946" width="19.5703125" style="163" customWidth="1"/>
    <col min="6947" max="6947" width="0.85546875" style="163" customWidth="1"/>
    <col min="6948" max="6948" width="14.42578125" style="163" customWidth="1"/>
    <col min="6949" max="6949" width="12.85546875" style="163" customWidth="1"/>
    <col min="6950" max="6950" width="6.140625" style="163" customWidth="1"/>
    <col min="6951" max="6952" width="11.42578125" style="163"/>
    <col min="6953" max="6953" width="15.42578125" style="163" customWidth="1"/>
    <col min="6954" max="7193" width="11.42578125" style="163"/>
    <col min="7194" max="7194" width="2.28515625" style="163" customWidth="1"/>
    <col min="7195" max="7195" width="2.7109375" style="163" customWidth="1"/>
    <col min="7196" max="7196" width="2.42578125" style="163" customWidth="1"/>
    <col min="7197" max="7197" width="17.7109375" style="163" customWidth="1"/>
    <col min="7198" max="7198" width="1.5703125" style="163" customWidth="1"/>
    <col min="7199" max="7199" width="6.42578125" style="163" customWidth="1"/>
    <col min="7200" max="7200" width="13.140625" style="163" customWidth="1"/>
    <col min="7201" max="7201" width="1" style="163" customWidth="1"/>
    <col min="7202" max="7202" width="19.5703125" style="163" customWidth="1"/>
    <col min="7203" max="7203" width="0.85546875" style="163" customWidth="1"/>
    <col min="7204" max="7204" width="14.42578125" style="163" customWidth="1"/>
    <col min="7205" max="7205" width="12.85546875" style="163" customWidth="1"/>
    <col min="7206" max="7206" width="6.140625" style="163" customWidth="1"/>
    <col min="7207" max="7208" width="11.42578125" style="163"/>
    <col min="7209" max="7209" width="15.42578125" style="163" customWidth="1"/>
    <col min="7210" max="7449" width="11.42578125" style="163"/>
    <col min="7450" max="7450" width="2.28515625" style="163" customWidth="1"/>
    <col min="7451" max="7451" width="2.7109375" style="163" customWidth="1"/>
    <col min="7452" max="7452" width="2.42578125" style="163" customWidth="1"/>
    <col min="7453" max="7453" width="17.7109375" style="163" customWidth="1"/>
    <col min="7454" max="7454" width="1.5703125" style="163" customWidth="1"/>
    <col min="7455" max="7455" width="6.42578125" style="163" customWidth="1"/>
    <col min="7456" max="7456" width="13.140625" style="163" customWidth="1"/>
    <col min="7457" max="7457" width="1" style="163" customWidth="1"/>
    <col min="7458" max="7458" width="19.5703125" style="163" customWidth="1"/>
    <col min="7459" max="7459" width="0.85546875" style="163" customWidth="1"/>
    <col min="7460" max="7460" width="14.42578125" style="163" customWidth="1"/>
    <col min="7461" max="7461" width="12.85546875" style="163" customWidth="1"/>
    <col min="7462" max="7462" width="6.140625" style="163" customWidth="1"/>
    <col min="7463" max="7464" width="11.42578125" style="163"/>
    <col min="7465" max="7465" width="15.42578125" style="163" customWidth="1"/>
    <col min="7466" max="7705" width="11.42578125" style="163"/>
    <col min="7706" max="7706" width="2.28515625" style="163" customWidth="1"/>
    <col min="7707" max="7707" width="2.7109375" style="163" customWidth="1"/>
    <col min="7708" max="7708" width="2.42578125" style="163" customWidth="1"/>
    <col min="7709" max="7709" width="17.7109375" style="163" customWidth="1"/>
    <col min="7710" max="7710" width="1.5703125" style="163" customWidth="1"/>
    <col min="7711" max="7711" width="6.42578125" style="163" customWidth="1"/>
    <col min="7712" max="7712" width="13.140625" style="163" customWidth="1"/>
    <col min="7713" max="7713" width="1" style="163" customWidth="1"/>
    <col min="7714" max="7714" width="19.5703125" style="163" customWidth="1"/>
    <col min="7715" max="7715" width="0.85546875" style="163" customWidth="1"/>
    <col min="7716" max="7716" width="14.42578125" style="163" customWidth="1"/>
    <col min="7717" max="7717" width="12.85546875" style="163" customWidth="1"/>
    <col min="7718" max="7718" width="6.140625" style="163" customWidth="1"/>
    <col min="7719" max="7720" width="11.42578125" style="163"/>
    <col min="7721" max="7721" width="15.42578125" style="163" customWidth="1"/>
    <col min="7722" max="7961" width="11.42578125" style="163"/>
    <col min="7962" max="7962" width="2.28515625" style="163" customWidth="1"/>
    <col min="7963" max="7963" width="2.7109375" style="163" customWidth="1"/>
    <col min="7964" max="7964" width="2.42578125" style="163" customWidth="1"/>
    <col min="7965" max="7965" width="17.7109375" style="163" customWidth="1"/>
    <col min="7966" max="7966" width="1.5703125" style="163" customWidth="1"/>
    <col min="7967" max="7967" width="6.42578125" style="163" customWidth="1"/>
    <col min="7968" max="7968" width="13.140625" style="163" customWidth="1"/>
    <col min="7969" max="7969" width="1" style="163" customWidth="1"/>
    <col min="7970" max="7970" width="19.5703125" style="163" customWidth="1"/>
    <col min="7971" max="7971" width="0.85546875" style="163" customWidth="1"/>
    <col min="7972" max="7972" width="14.42578125" style="163" customWidth="1"/>
    <col min="7973" max="7973" width="12.85546875" style="163" customWidth="1"/>
    <col min="7974" max="7974" width="6.140625" style="163" customWidth="1"/>
    <col min="7975" max="7976" width="11.42578125" style="163"/>
    <col min="7977" max="7977" width="15.42578125" style="163" customWidth="1"/>
    <col min="7978" max="8217" width="11.42578125" style="163"/>
    <col min="8218" max="8218" width="2.28515625" style="163" customWidth="1"/>
    <col min="8219" max="8219" width="2.7109375" style="163" customWidth="1"/>
    <col min="8220" max="8220" width="2.42578125" style="163" customWidth="1"/>
    <col min="8221" max="8221" width="17.7109375" style="163" customWidth="1"/>
    <col min="8222" max="8222" width="1.5703125" style="163" customWidth="1"/>
    <col min="8223" max="8223" width="6.42578125" style="163" customWidth="1"/>
    <col min="8224" max="8224" width="13.140625" style="163" customWidth="1"/>
    <col min="8225" max="8225" width="1" style="163" customWidth="1"/>
    <col min="8226" max="8226" width="19.5703125" style="163" customWidth="1"/>
    <col min="8227" max="8227" width="0.85546875" style="163" customWidth="1"/>
    <col min="8228" max="8228" width="14.42578125" style="163" customWidth="1"/>
    <col min="8229" max="8229" width="12.85546875" style="163" customWidth="1"/>
    <col min="8230" max="8230" width="6.140625" style="163" customWidth="1"/>
    <col min="8231" max="8232" width="11.42578125" style="163"/>
    <col min="8233" max="8233" width="15.42578125" style="163" customWidth="1"/>
    <col min="8234" max="8473" width="11.42578125" style="163"/>
    <col min="8474" max="8474" width="2.28515625" style="163" customWidth="1"/>
    <col min="8475" max="8475" width="2.7109375" style="163" customWidth="1"/>
    <col min="8476" max="8476" width="2.42578125" style="163" customWidth="1"/>
    <col min="8477" max="8477" width="17.7109375" style="163" customWidth="1"/>
    <col min="8478" max="8478" width="1.5703125" style="163" customWidth="1"/>
    <col min="8479" max="8479" width="6.42578125" style="163" customWidth="1"/>
    <col min="8480" max="8480" width="13.140625" style="163" customWidth="1"/>
    <col min="8481" max="8481" width="1" style="163" customWidth="1"/>
    <col min="8482" max="8482" width="19.5703125" style="163" customWidth="1"/>
    <col min="8483" max="8483" width="0.85546875" style="163" customWidth="1"/>
    <col min="8484" max="8484" width="14.42578125" style="163" customWidth="1"/>
    <col min="8485" max="8485" width="12.85546875" style="163" customWidth="1"/>
    <col min="8486" max="8486" width="6.140625" style="163" customWidth="1"/>
    <col min="8487" max="8488" width="11.42578125" style="163"/>
    <col min="8489" max="8489" width="15.42578125" style="163" customWidth="1"/>
    <col min="8490" max="8729" width="11.42578125" style="163"/>
    <col min="8730" max="8730" width="2.28515625" style="163" customWidth="1"/>
    <col min="8731" max="8731" width="2.7109375" style="163" customWidth="1"/>
    <col min="8732" max="8732" width="2.42578125" style="163" customWidth="1"/>
    <col min="8733" max="8733" width="17.7109375" style="163" customWidth="1"/>
    <col min="8734" max="8734" width="1.5703125" style="163" customWidth="1"/>
    <col min="8735" max="8735" width="6.42578125" style="163" customWidth="1"/>
    <col min="8736" max="8736" width="13.140625" style="163" customWidth="1"/>
    <col min="8737" max="8737" width="1" style="163" customWidth="1"/>
    <col min="8738" max="8738" width="19.5703125" style="163" customWidth="1"/>
    <col min="8739" max="8739" width="0.85546875" style="163" customWidth="1"/>
    <col min="8740" max="8740" width="14.42578125" style="163" customWidth="1"/>
    <col min="8741" max="8741" width="12.85546875" style="163" customWidth="1"/>
    <col min="8742" max="8742" width="6.140625" style="163" customWidth="1"/>
    <col min="8743" max="8744" width="11.42578125" style="163"/>
    <col min="8745" max="8745" width="15.42578125" style="163" customWidth="1"/>
    <col min="8746" max="8985" width="11.42578125" style="163"/>
    <col min="8986" max="8986" width="2.28515625" style="163" customWidth="1"/>
    <col min="8987" max="8987" width="2.7109375" style="163" customWidth="1"/>
    <col min="8988" max="8988" width="2.42578125" style="163" customWidth="1"/>
    <col min="8989" max="8989" width="17.7109375" style="163" customWidth="1"/>
    <col min="8990" max="8990" width="1.5703125" style="163" customWidth="1"/>
    <col min="8991" max="8991" width="6.42578125" style="163" customWidth="1"/>
    <col min="8992" max="8992" width="13.140625" style="163" customWidth="1"/>
    <col min="8993" max="8993" width="1" style="163" customWidth="1"/>
    <col min="8994" max="8994" width="19.5703125" style="163" customWidth="1"/>
    <col min="8995" max="8995" width="0.85546875" style="163" customWidth="1"/>
    <col min="8996" max="8996" width="14.42578125" style="163" customWidth="1"/>
    <col min="8997" max="8997" width="12.85546875" style="163" customWidth="1"/>
    <col min="8998" max="8998" width="6.140625" style="163" customWidth="1"/>
    <col min="8999" max="9000" width="11.42578125" style="163"/>
    <col min="9001" max="9001" width="15.42578125" style="163" customWidth="1"/>
    <col min="9002" max="9241" width="11.42578125" style="163"/>
    <col min="9242" max="9242" width="2.28515625" style="163" customWidth="1"/>
    <col min="9243" max="9243" width="2.7109375" style="163" customWidth="1"/>
    <col min="9244" max="9244" width="2.42578125" style="163" customWidth="1"/>
    <col min="9245" max="9245" width="17.7109375" style="163" customWidth="1"/>
    <col min="9246" max="9246" width="1.5703125" style="163" customWidth="1"/>
    <col min="9247" max="9247" width="6.42578125" style="163" customWidth="1"/>
    <col min="9248" max="9248" width="13.140625" style="163" customWidth="1"/>
    <col min="9249" max="9249" width="1" style="163" customWidth="1"/>
    <col min="9250" max="9250" width="19.5703125" style="163" customWidth="1"/>
    <col min="9251" max="9251" width="0.85546875" style="163" customWidth="1"/>
    <col min="9252" max="9252" width="14.42578125" style="163" customWidth="1"/>
    <col min="9253" max="9253" width="12.85546875" style="163" customWidth="1"/>
    <col min="9254" max="9254" width="6.140625" style="163" customWidth="1"/>
    <col min="9255" max="9256" width="11.42578125" style="163"/>
    <col min="9257" max="9257" width="15.42578125" style="163" customWidth="1"/>
    <col min="9258" max="9497" width="11.42578125" style="163"/>
    <col min="9498" max="9498" width="2.28515625" style="163" customWidth="1"/>
    <col min="9499" max="9499" width="2.7109375" style="163" customWidth="1"/>
    <col min="9500" max="9500" width="2.42578125" style="163" customWidth="1"/>
    <col min="9501" max="9501" width="17.7109375" style="163" customWidth="1"/>
    <col min="9502" max="9502" width="1.5703125" style="163" customWidth="1"/>
    <col min="9503" max="9503" width="6.42578125" style="163" customWidth="1"/>
    <col min="9504" max="9504" width="13.140625" style="163" customWidth="1"/>
    <col min="9505" max="9505" width="1" style="163" customWidth="1"/>
    <col min="9506" max="9506" width="19.5703125" style="163" customWidth="1"/>
    <col min="9507" max="9507" width="0.85546875" style="163" customWidth="1"/>
    <col min="9508" max="9508" width="14.42578125" style="163" customWidth="1"/>
    <col min="9509" max="9509" width="12.85546875" style="163" customWidth="1"/>
    <col min="9510" max="9510" width="6.140625" style="163" customWidth="1"/>
    <col min="9511" max="9512" width="11.42578125" style="163"/>
    <col min="9513" max="9513" width="15.42578125" style="163" customWidth="1"/>
    <col min="9514" max="9753" width="11.42578125" style="163"/>
    <col min="9754" max="9754" width="2.28515625" style="163" customWidth="1"/>
    <col min="9755" max="9755" width="2.7109375" style="163" customWidth="1"/>
    <col min="9756" max="9756" width="2.42578125" style="163" customWidth="1"/>
    <col min="9757" max="9757" width="17.7109375" style="163" customWidth="1"/>
    <col min="9758" max="9758" width="1.5703125" style="163" customWidth="1"/>
    <col min="9759" max="9759" width="6.42578125" style="163" customWidth="1"/>
    <col min="9760" max="9760" width="13.140625" style="163" customWidth="1"/>
    <col min="9761" max="9761" width="1" style="163" customWidth="1"/>
    <col min="9762" max="9762" width="19.5703125" style="163" customWidth="1"/>
    <col min="9763" max="9763" width="0.85546875" style="163" customWidth="1"/>
    <col min="9764" max="9764" width="14.42578125" style="163" customWidth="1"/>
    <col min="9765" max="9765" width="12.85546875" style="163" customWidth="1"/>
    <col min="9766" max="9766" width="6.140625" style="163" customWidth="1"/>
    <col min="9767" max="9768" width="11.42578125" style="163"/>
    <col min="9769" max="9769" width="15.42578125" style="163" customWidth="1"/>
    <col min="9770" max="10009" width="11.42578125" style="163"/>
    <col min="10010" max="10010" width="2.28515625" style="163" customWidth="1"/>
    <col min="10011" max="10011" width="2.7109375" style="163" customWidth="1"/>
    <col min="10012" max="10012" width="2.42578125" style="163" customWidth="1"/>
    <col min="10013" max="10013" width="17.7109375" style="163" customWidth="1"/>
    <col min="10014" max="10014" width="1.5703125" style="163" customWidth="1"/>
    <col min="10015" max="10015" width="6.42578125" style="163" customWidth="1"/>
    <col min="10016" max="10016" width="13.140625" style="163" customWidth="1"/>
    <col min="10017" max="10017" width="1" style="163" customWidth="1"/>
    <col min="10018" max="10018" width="19.5703125" style="163" customWidth="1"/>
    <col min="10019" max="10019" width="0.85546875" style="163" customWidth="1"/>
    <col min="10020" max="10020" width="14.42578125" style="163" customWidth="1"/>
    <col min="10021" max="10021" width="12.85546875" style="163" customWidth="1"/>
    <col min="10022" max="10022" width="6.140625" style="163" customWidth="1"/>
    <col min="10023" max="10024" width="11.42578125" style="163"/>
    <col min="10025" max="10025" width="15.42578125" style="163" customWidth="1"/>
    <col min="10026" max="10265" width="11.42578125" style="163"/>
    <col min="10266" max="10266" width="2.28515625" style="163" customWidth="1"/>
    <col min="10267" max="10267" width="2.7109375" style="163" customWidth="1"/>
    <col min="10268" max="10268" width="2.42578125" style="163" customWidth="1"/>
    <col min="10269" max="10269" width="17.7109375" style="163" customWidth="1"/>
    <col min="10270" max="10270" width="1.5703125" style="163" customWidth="1"/>
    <col min="10271" max="10271" width="6.42578125" style="163" customWidth="1"/>
    <col min="10272" max="10272" width="13.140625" style="163" customWidth="1"/>
    <col min="10273" max="10273" width="1" style="163" customWidth="1"/>
    <col min="10274" max="10274" width="19.5703125" style="163" customWidth="1"/>
    <col min="10275" max="10275" width="0.85546875" style="163" customWidth="1"/>
    <col min="10276" max="10276" width="14.42578125" style="163" customWidth="1"/>
    <col min="10277" max="10277" width="12.85546875" style="163" customWidth="1"/>
    <col min="10278" max="10278" width="6.140625" style="163" customWidth="1"/>
    <col min="10279" max="10280" width="11.42578125" style="163"/>
    <col min="10281" max="10281" width="15.42578125" style="163" customWidth="1"/>
    <col min="10282" max="10521" width="11.42578125" style="163"/>
    <col min="10522" max="10522" width="2.28515625" style="163" customWidth="1"/>
    <col min="10523" max="10523" width="2.7109375" style="163" customWidth="1"/>
    <col min="10524" max="10524" width="2.42578125" style="163" customWidth="1"/>
    <col min="10525" max="10525" width="17.7109375" style="163" customWidth="1"/>
    <col min="10526" max="10526" width="1.5703125" style="163" customWidth="1"/>
    <col min="10527" max="10527" width="6.42578125" style="163" customWidth="1"/>
    <col min="10528" max="10528" width="13.140625" style="163" customWidth="1"/>
    <col min="10529" max="10529" width="1" style="163" customWidth="1"/>
    <col min="10530" max="10530" width="19.5703125" style="163" customWidth="1"/>
    <col min="10531" max="10531" width="0.85546875" style="163" customWidth="1"/>
    <col min="10532" max="10532" width="14.42578125" style="163" customWidth="1"/>
    <col min="10533" max="10533" width="12.85546875" style="163" customWidth="1"/>
    <col min="10534" max="10534" width="6.140625" style="163" customWidth="1"/>
    <col min="10535" max="10536" width="11.42578125" style="163"/>
    <col min="10537" max="10537" width="15.42578125" style="163" customWidth="1"/>
    <col min="10538" max="10777" width="11.42578125" style="163"/>
    <col min="10778" max="10778" width="2.28515625" style="163" customWidth="1"/>
    <col min="10779" max="10779" width="2.7109375" style="163" customWidth="1"/>
    <col min="10780" max="10780" width="2.42578125" style="163" customWidth="1"/>
    <col min="10781" max="10781" width="17.7109375" style="163" customWidth="1"/>
    <col min="10782" max="10782" width="1.5703125" style="163" customWidth="1"/>
    <col min="10783" max="10783" width="6.42578125" style="163" customWidth="1"/>
    <col min="10784" max="10784" width="13.140625" style="163" customWidth="1"/>
    <col min="10785" max="10785" width="1" style="163" customWidth="1"/>
    <col min="10786" max="10786" width="19.5703125" style="163" customWidth="1"/>
    <col min="10787" max="10787" width="0.85546875" style="163" customWidth="1"/>
    <col min="10788" max="10788" width="14.42578125" style="163" customWidth="1"/>
    <col min="10789" max="10789" width="12.85546875" style="163" customWidth="1"/>
    <col min="10790" max="10790" width="6.140625" style="163" customWidth="1"/>
    <col min="10791" max="10792" width="11.42578125" style="163"/>
    <col min="10793" max="10793" width="15.42578125" style="163" customWidth="1"/>
    <col min="10794" max="11033" width="11.42578125" style="163"/>
    <col min="11034" max="11034" width="2.28515625" style="163" customWidth="1"/>
    <col min="11035" max="11035" width="2.7109375" style="163" customWidth="1"/>
    <col min="11036" max="11036" width="2.42578125" style="163" customWidth="1"/>
    <col min="11037" max="11037" width="17.7109375" style="163" customWidth="1"/>
    <col min="11038" max="11038" width="1.5703125" style="163" customWidth="1"/>
    <col min="11039" max="11039" width="6.42578125" style="163" customWidth="1"/>
    <col min="11040" max="11040" width="13.140625" style="163" customWidth="1"/>
    <col min="11041" max="11041" width="1" style="163" customWidth="1"/>
    <col min="11042" max="11042" width="19.5703125" style="163" customWidth="1"/>
    <col min="11043" max="11043" width="0.85546875" style="163" customWidth="1"/>
    <col min="11044" max="11044" width="14.42578125" style="163" customWidth="1"/>
    <col min="11045" max="11045" width="12.85546875" style="163" customWidth="1"/>
    <col min="11046" max="11046" width="6.140625" style="163" customWidth="1"/>
    <col min="11047" max="11048" width="11.42578125" style="163"/>
    <col min="11049" max="11049" width="15.42578125" style="163" customWidth="1"/>
    <col min="11050" max="11289" width="11.42578125" style="163"/>
    <col min="11290" max="11290" width="2.28515625" style="163" customWidth="1"/>
    <col min="11291" max="11291" width="2.7109375" style="163" customWidth="1"/>
    <col min="11292" max="11292" width="2.42578125" style="163" customWidth="1"/>
    <col min="11293" max="11293" width="17.7109375" style="163" customWidth="1"/>
    <col min="11294" max="11294" width="1.5703125" style="163" customWidth="1"/>
    <col min="11295" max="11295" width="6.42578125" style="163" customWidth="1"/>
    <col min="11296" max="11296" width="13.140625" style="163" customWidth="1"/>
    <col min="11297" max="11297" width="1" style="163" customWidth="1"/>
    <col min="11298" max="11298" width="19.5703125" style="163" customWidth="1"/>
    <col min="11299" max="11299" width="0.85546875" style="163" customWidth="1"/>
    <col min="11300" max="11300" width="14.42578125" style="163" customWidth="1"/>
    <col min="11301" max="11301" width="12.85546875" style="163" customWidth="1"/>
    <col min="11302" max="11302" width="6.140625" style="163" customWidth="1"/>
    <col min="11303" max="11304" width="11.42578125" style="163"/>
    <col min="11305" max="11305" width="15.42578125" style="163" customWidth="1"/>
    <col min="11306" max="11545" width="11.42578125" style="163"/>
    <col min="11546" max="11546" width="2.28515625" style="163" customWidth="1"/>
    <col min="11547" max="11547" width="2.7109375" style="163" customWidth="1"/>
    <col min="11548" max="11548" width="2.42578125" style="163" customWidth="1"/>
    <col min="11549" max="11549" width="17.7109375" style="163" customWidth="1"/>
    <col min="11550" max="11550" width="1.5703125" style="163" customWidth="1"/>
    <col min="11551" max="11551" width="6.42578125" style="163" customWidth="1"/>
    <col min="11552" max="11552" width="13.140625" style="163" customWidth="1"/>
    <col min="11553" max="11553" width="1" style="163" customWidth="1"/>
    <col min="11554" max="11554" width="19.5703125" style="163" customWidth="1"/>
    <col min="11555" max="11555" width="0.85546875" style="163" customWidth="1"/>
    <col min="11556" max="11556" width="14.42578125" style="163" customWidth="1"/>
    <col min="11557" max="11557" width="12.85546875" style="163" customWidth="1"/>
    <col min="11558" max="11558" width="6.140625" style="163" customWidth="1"/>
    <col min="11559" max="11560" width="11.42578125" style="163"/>
    <col min="11561" max="11561" width="15.42578125" style="163" customWidth="1"/>
    <col min="11562" max="11801" width="11.42578125" style="163"/>
    <col min="11802" max="11802" width="2.28515625" style="163" customWidth="1"/>
    <col min="11803" max="11803" width="2.7109375" style="163" customWidth="1"/>
    <col min="11804" max="11804" width="2.42578125" style="163" customWidth="1"/>
    <col min="11805" max="11805" width="17.7109375" style="163" customWidth="1"/>
    <col min="11806" max="11806" width="1.5703125" style="163" customWidth="1"/>
    <col min="11807" max="11807" width="6.42578125" style="163" customWidth="1"/>
    <col min="11808" max="11808" width="13.140625" style="163" customWidth="1"/>
    <col min="11809" max="11809" width="1" style="163" customWidth="1"/>
    <col min="11810" max="11810" width="19.5703125" style="163" customWidth="1"/>
    <col min="11811" max="11811" width="0.85546875" style="163" customWidth="1"/>
    <col min="11812" max="11812" width="14.42578125" style="163" customWidth="1"/>
    <col min="11813" max="11813" width="12.85546875" style="163" customWidth="1"/>
    <col min="11814" max="11814" width="6.140625" style="163" customWidth="1"/>
    <col min="11815" max="11816" width="11.42578125" style="163"/>
    <col min="11817" max="11817" width="15.42578125" style="163" customWidth="1"/>
    <col min="11818" max="12057" width="11.42578125" style="163"/>
    <col min="12058" max="12058" width="2.28515625" style="163" customWidth="1"/>
    <col min="12059" max="12059" width="2.7109375" style="163" customWidth="1"/>
    <col min="12060" max="12060" width="2.42578125" style="163" customWidth="1"/>
    <col min="12061" max="12061" width="17.7109375" style="163" customWidth="1"/>
    <col min="12062" max="12062" width="1.5703125" style="163" customWidth="1"/>
    <col min="12063" max="12063" width="6.42578125" style="163" customWidth="1"/>
    <col min="12064" max="12064" width="13.140625" style="163" customWidth="1"/>
    <col min="12065" max="12065" width="1" style="163" customWidth="1"/>
    <col min="12066" max="12066" width="19.5703125" style="163" customWidth="1"/>
    <col min="12067" max="12067" width="0.85546875" style="163" customWidth="1"/>
    <col min="12068" max="12068" width="14.42578125" style="163" customWidth="1"/>
    <col min="12069" max="12069" width="12.85546875" style="163" customWidth="1"/>
    <col min="12070" max="12070" width="6.140625" style="163" customWidth="1"/>
    <col min="12071" max="12072" width="11.42578125" style="163"/>
    <col min="12073" max="12073" width="15.42578125" style="163" customWidth="1"/>
    <col min="12074" max="12313" width="11.42578125" style="163"/>
    <col min="12314" max="12314" width="2.28515625" style="163" customWidth="1"/>
    <col min="12315" max="12315" width="2.7109375" style="163" customWidth="1"/>
    <col min="12316" max="12316" width="2.42578125" style="163" customWidth="1"/>
    <col min="12317" max="12317" width="17.7109375" style="163" customWidth="1"/>
    <col min="12318" max="12318" width="1.5703125" style="163" customWidth="1"/>
    <col min="12319" max="12319" width="6.42578125" style="163" customWidth="1"/>
    <col min="12320" max="12320" width="13.140625" style="163" customWidth="1"/>
    <col min="12321" max="12321" width="1" style="163" customWidth="1"/>
    <col min="12322" max="12322" width="19.5703125" style="163" customWidth="1"/>
    <col min="12323" max="12323" width="0.85546875" style="163" customWidth="1"/>
    <col min="12324" max="12324" width="14.42578125" style="163" customWidth="1"/>
    <col min="12325" max="12325" width="12.85546875" style="163" customWidth="1"/>
    <col min="12326" max="12326" width="6.140625" style="163" customWidth="1"/>
    <col min="12327" max="12328" width="11.42578125" style="163"/>
    <col min="12329" max="12329" width="15.42578125" style="163" customWidth="1"/>
    <col min="12330" max="12569" width="11.42578125" style="163"/>
    <col min="12570" max="12570" width="2.28515625" style="163" customWidth="1"/>
    <col min="12571" max="12571" width="2.7109375" style="163" customWidth="1"/>
    <col min="12572" max="12572" width="2.42578125" style="163" customWidth="1"/>
    <col min="12573" max="12573" width="17.7109375" style="163" customWidth="1"/>
    <col min="12574" max="12574" width="1.5703125" style="163" customWidth="1"/>
    <col min="12575" max="12575" width="6.42578125" style="163" customWidth="1"/>
    <col min="12576" max="12576" width="13.140625" style="163" customWidth="1"/>
    <col min="12577" max="12577" width="1" style="163" customWidth="1"/>
    <col min="12578" max="12578" width="19.5703125" style="163" customWidth="1"/>
    <col min="12579" max="12579" width="0.85546875" style="163" customWidth="1"/>
    <col min="12580" max="12580" width="14.42578125" style="163" customWidth="1"/>
    <col min="12581" max="12581" width="12.85546875" style="163" customWidth="1"/>
    <col min="12582" max="12582" width="6.140625" style="163" customWidth="1"/>
    <col min="12583" max="12584" width="11.42578125" style="163"/>
    <col min="12585" max="12585" width="15.42578125" style="163" customWidth="1"/>
    <col min="12586" max="12825" width="11.42578125" style="163"/>
    <col min="12826" max="12826" width="2.28515625" style="163" customWidth="1"/>
    <col min="12827" max="12827" width="2.7109375" style="163" customWidth="1"/>
    <col min="12828" max="12828" width="2.42578125" style="163" customWidth="1"/>
    <col min="12829" max="12829" width="17.7109375" style="163" customWidth="1"/>
    <col min="12830" max="12830" width="1.5703125" style="163" customWidth="1"/>
    <col min="12831" max="12831" width="6.42578125" style="163" customWidth="1"/>
    <col min="12832" max="12832" width="13.140625" style="163" customWidth="1"/>
    <col min="12833" max="12833" width="1" style="163" customWidth="1"/>
    <col min="12834" max="12834" width="19.5703125" style="163" customWidth="1"/>
    <col min="12835" max="12835" width="0.85546875" style="163" customWidth="1"/>
    <col min="12836" max="12836" width="14.42578125" style="163" customWidth="1"/>
    <col min="12837" max="12837" width="12.85546875" style="163" customWidth="1"/>
    <col min="12838" max="12838" width="6.140625" style="163" customWidth="1"/>
    <col min="12839" max="12840" width="11.42578125" style="163"/>
    <col min="12841" max="12841" width="15.42578125" style="163" customWidth="1"/>
    <col min="12842" max="13081" width="11.42578125" style="163"/>
    <col min="13082" max="13082" width="2.28515625" style="163" customWidth="1"/>
    <col min="13083" max="13083" width="2.7109375" style="163" customWidth="1"/>
    <col min="13084" max="13084" width="2.42578125" style="163" customWidth="1"/>
    <col min="13085" max="13085" width="17.7109375" style="163" customWidth="1"/>
    <col min="13086" max="13086" width="1.5703125" style="163" customWidth="1"/>
    <col min="13087" max="13087" width="6.42578125" style="163" customWidth="1"/>
    <col min="13088" max="13088" width="13.140625" style="163" customWidth="1"/>
    <col min="13089" max="13089" width="1" style="163" customWidth="1"/>
    <col min="13090" max="13090" width="19.5703125" style="163" customWidth="1"/>
    <col min="13091" max="13091" width="0.85546875" style="163" customWidth="1"/>
    <col min="13092" max="13092" width="14.42578125" style="163" customWidth="1"/>
    <col min="13093" max="13093" width="12.85546875" style="163" customWidth="1"/>
    <col min="13094" max="13094" width="6.140625" style="163" customWidth="1"/>
    <col min="13095" max="13096" width="11.42578125" style="163"/>
    <col min="13097" max="13097" width="15.42578125" style="163" customWidth="1"/>
    <col min="13098" max="13337" width="11.42578125" style="163"/>
    <col min="13338" max="13338" width="2.28515625" style="163" customWidth="1"/>
    <col min="13339" max="13339" width="2.7109375" style="163" customWidth="1"/>
    <col min="13340" max="13340" width="2.42578125" style="163" customWidth="1"/>
    <col min="13341" max="13341" width="17.7109375" style="163" customWidth="1"/>
    <col min="13342" max="13342" width="1.5703125" style="163" customWidth="1"/>
    <col min="13343" max="13343" width="6.42578125" style="163" customWidth="1"/>
    <col min="13344" max="13344" width="13.140625" style="163" customWidth="1"/>
    <col min="13345" max="13345" width="1" style="163" customWidth="1"/>
    <col min="13346" max="13346" width="19.5703125" style="163" customWidth="1"/>
    <col min="13347" max="13347" width="0.85546875" style="163" customWidth="1"/>
    <col min="13348" max="13348" width="14.42578125" style="163" customWidth="1"/>
    <col min="13349" max="13349" width="12.85546875" style="163" customWidth="1"/>
    <col min="13350" max="13350" width="6.140625" style="163" customWidth="1"/>
    <col min="13351" max="13352" width="11.42578125" style="163"/>
    <col min="13353" max="13353" width="15.42578125" style="163" customWidth="1"/>
    <col min="13354" max="13593" width="11.42578125" style="163"/>
    <col min="13594" max="13594" width="2.28515625" style="163" customWidth="1"/>
    <col min="13595" max="13595" width="2.7109375" style="163" customWidth="1"/>
    <col min="13596" max="13596" width="2.42578125" style="163" customWidth="1"/>
    <col min="13597" max="13597" width="17.7109375" style="163" customWidth="1"/>
    <col min="13598" max="13598" width="1.5703125" style="163" customWidth="1"/>
    <col min="13599" max="13599" width="6.42578125" style="163" customWidth="1"/>
    <col min="13600" max="13600" width="13.140625" style="163" customWidth="1"/>
    <col min="13601" max="13601" width="1" style="163" customWidth="1"/>
    <col min="13602" max="13602" width="19.5703125" style="163" customWidth="1"/>
    <col min="13603" max="13603" width="0.85546875" style="163" customWidth="1"/>
    <col min="13604" max="13604" width="14.42578125" style="163" customWidth="1"/>
    <col min="13605" max="13605" width="12.85546875" style="163" customWidth="1"/>
    <col min="13606" max="13606" width="6.140625" style="163" customWidth="1"/>
    <col min="13607" max="13608" width="11.42578125" style="163"/>
    <col min="13609" max="13609" width="15.42578125" style="163" customWidth="1"/>
    <col min="13610" max="13849" width="11.42578125" style="163"/>
    <col min="13850" max="13850" width="2.28515625" style="163" customWidth="1"/>
    <col min="13851" max="13851" width="2.7109375" style="163" customWidth="1"/>
    <col min="13852" max="13852" width="2.42578125" style="163" customWidth="1"/>
    <col min="13853" max="13853" width="17.7109375" style="163" customWidth="1"/>
    <col min="13854" max="13854" width="1.5703125" style="163" customWidth="1"/>
    <col min="13855" max="13855" width="6.42578125" style="163" customWidth="1"/>
    <col min="13856" max="13856" width="13.140625" style="163" customWidth="1"/>
    <col min="13857" max="13857" width="1" style="163" customWidth="1"/>
    <col min="13858" max="13858" width="19.5703125" style="163" customWidth="1"/>
    <col min="13859" max="13859" width="0.85546875" style="163" customWidth="1"/>
    <col min="13860" max="13860" width="14.42578125" style="163" customWidth="1"/>
    <col min="13861" max="13861" width="12.85546875" style="163" customWidth="1"/>
    <col min="13862" max="13862" width="6.140625" style="163" customWidth="1"/>
    <col min="13863" max="13864" width="11.42578125" style="163"/>
    <col min="13865" max="13865" width="15.42578125" style="163" customWidth="1"/>
    <col min="13866" max="14105" width="11.42578125" style="163"/>
    <col min="14106" max="14106" width="2.28515625" style="163" customWidth="1"/>
    <col min="14107" max="14107" width="2.7109375" style="163" customWidth="1"/>
    <col min="14108" max="14108" width="2.42578125" style="163" customWidth="1"/>
    <col min="14109" max="14109" width="17.7109375" style="163" customWidth="1"/>
    <col min="14110" max="14110" width="1.5703125" style="163" customWidth="1"/>
    <col min="14111" max="14111" width="6.42578125" style="163" customWidth="1"/>
    <col min="14112" max="14112" width="13.140625" style="163" customWidth="1"/>
    <col min="14113" max="14113" width="1" style="163" customWidth="1"/>
    <col min="14114" max="14114" width="19.5703125" style="163" customWidth="1"/>
    <col min="14115" max="14115" width="0.85546875" style="163" customWidth="1"/>
    <col min="14116" max="14116" width="14.42578125" style="163" customWidth="1"/>
    <col min="14117" max="14117" width="12.85546875" style="163" customWidth="1"/>
    <col min="14118" max="14118" width="6.140625" style="163" customWidth="1"/>
    <col min="14119" max="14120" width="11.42578125" style="163"/>
    <col min="14121" max="14121" width="15.42578125" style="163" customWidth="1"/>
    <col min="14122" max="14361" width="11.42578125" style="163"/>
    <col min="14362" max="14362" width="2.28515625" style="163" customWidth="1"/>
    <col min="14363" max="14363" width="2.7109375" style="163" customWidth="1"/>
    <col min="14364" max="14364" width="2.42578125" style="163" customWidth="1"/>
    <col min="14365" max="14365" width="17.7109375" style="163" customWidth="1"/>
    <col min="14366" max="14366" width="1.5703125" style="163" customWidth="1"/>
    <col min="14367" max="14367" width="6.42578125" style="163" customWidth="1"/>
    <col min="14368" max="14368" width="13.140625" style="163" customWidth="1"/>
    <col min="14369" max="14369" width="1" style="163" customWidth="1"/>
    <col min="14370" max="14370" width="19.5703125" style="163" customWidth="1"/>
    <col min="14371" max="14371" width="0.85546875" style="163" customWidth="1"/>
    <col min="14372" max="14372" width="14.42578125" style="163" customWidth="1"/>
    <col min="14373" max="14373" width="12.85546875" style="163" customWidth="1"/>
    <col min="14374" max="14374" width="6.140625" style="163" customWidth="1"/>
    <col min="14375" max="14376" width="11.42578125" style="163"/>
    <col min="14377" max="14377" width="15.42578125" style="163" customWidth="1"/>
    <col min="14378" max="14617" width="11.42578125" style="163"/>
    <col min="14618" max="14618" width="2.28515625" style="163" customWidth="1"/>
    <col min="14619" max="14619" width="2.7109375" style="163" customWidth="1"/>
    <col min="14620" max="14620" width="2.42578125" style="163" customWidth="1"/>
    <col min="14621" max="14621" width="17.7109375" style="163" customWidth="1"/>
    <col min="14622" max="14622" width="1.5703125" style="163" customWidth="1"/>
    <col min="14623" max="14623" width="6.42578125" style="163" customWidth="1"/>
    <col min="14624" max="14624" width="13.140625" style="163" customWidth="1"/>
    <col min="14625" max="14625" width="1" style="163" customWidth="1"/>
    <col min="14626" max="14626" width="19.5703125" style="163" customWidth="1"/>
    <col min="14627" max="14627" width="0.85546875" style="163" customWidth="1"/>
    <col min="14628" max="14628" width="14.42578125" style="163" customWidth="1"/>
    <col min="14629" max="14629" width="12.85546875" style="163" customWidth="1"/>
    <col min="14630" max="14630" width="6.140625" style="163" customWidth="1"/>
    <col min="14631" max="14632" width="11.42578125" style="163"/>
    <col min="14633" max="14633" width="15.42578125" style="163" customWidth="1"/>
    <col min="14634" max="14873" width="11.42578125" style="163"/>
    <col min="14874" max="14874" width="2.28515625" style="163" customWidth="1"/>
    <col min="14875" max="14875" width="2.7109375" style="163" customWidth="1"/>
    <col min="14876" max="14876" width="2.42578125" style="163" customWidth="1"/>
    <col min="14877" max="14877" width="17.7109375" style="163" customWidth="1"/>
    <col min="14878" max="14878" width="1.5703125" style="163" customWidth="1"/>
    <col min="14879" max="14879" width="6.42578125" style="163" customWidth="1"/>
    <col min="14880" max="14880" width="13.140625" style="163" customWidth="1"/>
    <col min="14881" max="14881" width="1" style="163" customWidth="1"/>
    <col min="14882" max="14882" width="19.5703125" style="163" customWidth="1"/>
    <col min="14883" max="14883" width="0.85546875" style="163" customWidth="1"/>
    <col min="14884" max="14884" width="14.42578125" style="163" customWidth="1"/>
    <col min="14885" max="14885" width="12.85546875" style="163" customWidth="1"/>
    <col min="14886" max="14886" width="6.140625" style="163" customWidth="1"/>
    <col min="14887" max="14888" width="11.42578125" style="163"/>
    <col min="14889" max="14889" width="15.42578125" style="163" customWidth="1"/>
    <col min="14890" max="15129" width="11.42578125" style="163"/>
    <col min="15130" max="15130" width="2.28515625" style="163" customWidth="1"/>
    <col min="15131" max="15131" width="2.7109375" style="163" customWidth="1"/>
    <col min="15132" max="15132" width="2.42578125" style="163" customWidth="1"/>
    <col min="15133" max="15133" width="17.7109375" style="163" customWidth="1"/>
    <col min="15134" max="15134" width="1.5703125" style="163" customWidth="1"/>
    <col min="15135" max="15135" width="6.42578125" style="163" customWidth="1"/>
    <col min="15136" max="15136" width="13.140625" style="163" customWidth="1"/>
    <col min="15137" max="15137" width="1" style="163" customWidth="1"/>
    <col min="15138" max="15138" width="19.5703125" style="163" customWidth="1"/>
    <col min="15139" max="15139" width="0.85546875" style="163" customWidth="1"/>
    <col min="15140" max="15140" width="14.42578125" style="163" customWidth="1"/>
    <col min="15141" max="15141" width="12.85546875" style="163" customWidth="1"/>
    <col min="15142" max="15142" width="6.140625" style="163" customWidth="1"/>
    <col min="15143" max="15144" width="11.42578125" style="163"/>
    <col min="15145" max="15145" width="15.42578125" style="163" customWidth="1"/>
    <col min="15146" max="15385" width="11.42578125" style="163"/>
    <col min="15386" max="15386" width="2.28515625" style="163" customWidth="1"/>
    <col min="15387" max="15387" width="2.7109375" style="163" customWidth="1"/>
    <col min="15388" max="15388" width="2.42578125" style="163" customWidth="1"/>
    <col min="15389" max="15389" width="17.7109375" style="163" customWidth="1"/>
    <col min="15390" max="15390" width="1.5703125" style="163" customWidth="1"/>
    <col min="15391" max="15391" width="6.42578125" style="163" customWidth="1"/>
    <col min="15392" max="15392" width="13.140625" style="163" customWidth="1"/>
    <col min="15393" max="15393" width="1" style="163" customWidth="1"/>
    <col min="15394" max="15394" width="19.5703125" style="163" customWidth="1"/>
    <col min="15395" max="15395" width="0.85546875" style="163" customWidth="1"/>
    <col min="15396" max="15396" width="14.42578125" style="163" customWidth="1"/>
    <col min="15397" max="15397" width="12.85546875" style="163" customWidth="1"/>
    <col min="15398" max="15398" width="6.140625" style="163" customWidth="1"/>
    <col min="15399" max="15400" width="11.42578125" style="163"/>
    <col min="15401" max="15401" width="15.42578125" style="163" customWidth="1"/>
    <col min="15402" max="15641" width="11.42578125" style="163"/>
    <col min="15642" max="15642" width="2.28515625" style="163" customWidth="1"/>
    <col min="15643" max="15643" width="2.7109375" style="163" customWidth="1"/>
    <col min="15644" max="15644" width="2.42578125" style="163" customWidth="1"/>
    <col min="15645" max="15645" width="17.7109375" style="163" customWidth="1"/>
    <col min="15646" max="15646" width="1.5703125" style="163" customWidth="1"/>
    <col min="15647" max="15647" width="6.42578125" style="163" customWidth="1"/>
    <col min="15648" max="15648" width="13.140625" style="163" customWidth="1"/>
    <col min="15649" max="15649" width="1" style="163" customWidth="1"/>
    <col min="15650" max="15650" width="19.5703125" style="163" customWidth="1"/>
    <col min="15651" max="15651" width="0.85546875" style="163" customWidth="1"/>
    <col min="15652" max="15652" width="14.42578125" style="163" customWidth="1"/>
    <col min="15653" max="15653" width="12.85546875" style="163" customWidth="1"/>
    <col min="15654" max="15654" width="6.140625" style="163" customWidth="1"/>
    <col min="15655" max="15656" width="11.42578125" style="163"/>
    <col min="15657" max="15657" width="15.42578125" style="163" customWidth="1"/>
    <col min="15658" max="15897" width="11.42578125" style="163"/>
    <col min="15898" max="15898" width="2.28515625" style="163" customWidth="1"/>
    <col min="15899" max="15899" width="2.7109375" style="163" customWidth="1"/>
    <col min="15900" max="15900" width="2.42578125" style="163" customWidth="1"/>
    <col min="15901" max="15901" width="17.7109375" style="163" customWidth="1"/>
    <col min="15902" max="15902" width="1.5703125" style="163" customWidth="1"/>
    <col min="15903" max="15903" width="6.42578125" style="163" customWidth="1"/>
    <col min="15904" max="15904" width="13.140625" style="163" customWidth="1"/>
    <col min="15905" max="15905" width="1" style="163" customWidth="1"/>
    <col min="15906" max="15906" width="19.5703125" style="163" customWidth="1"/>
    <col min="15907" max="15907" width="0.85546875" style="163" customWidth="1"/>
    <col min="15908" max="15908" width="14.42578125" style="163" customWidth="1"/>
    <col min="15909" max="15909" width="12.85546875" style="163" customWidth="1"/>
    <col min="15910" max="15910" width="6.140625" style="163" customWidth="1"/>
    <col min="15911" max="15912" width="11.42578125" style="163"/>
    <col min="15913" max="15913" width="15.42578125" style="163" customWidth="1"/>
    <col min="15914" max="16153" width="11.42578125" style="163"/>
    <col min="16154" max="16154" width="2.28515625" style="163" customWidth="1"/>
    <col min="16155" max="16155" width="2.7109375" style="163" customWidth="1"/>
    <col min="16156" max="16156" width="2.42578125" style="163" customWidth="1"/>
    <col min="16157" max="16157" width="17.7109375" style="163" customWidth="1"/>
    <col min="16158" max="16158" width="1.5703125" style="163" customWidth="1"/>
    <col min="16159" max="16159" width="6.42578125" style="163" customWidth="1"/>
    <col min="16160" max="16160" width="13.140625" style="163" customWidth="1"/>
    <col min="16161" max="16161" width="1" style="163" customWidth="1"/>
    <col min="16162" max="16162" width="19.5703125" style="163" customWidth="1"/>
    <col min="16163" max="16163" width="0.85546875" style="163" customWidth="1"/>
    <col min="16164" max="16164" width="14.42578125" style="163" customWidth="1"/>
    <col min="16165" max="16165" width="12.85546875" style="163" customWidth="1"/>
    <col min="16166" max="16166" width="6.140625" style="163" customWidth="1"/>
    <col min="16167" max="16168" width="11.42578125" style="163"/>
    <col min="16169" max="16169" width="15.42578125" style="163" customWidth="1"/>
    <col min="16170" max="16384" width="11.42578125" style="163"/>
  </cols>
  <sheetData>
    <row r="1" spans="1:38" ht="9" hidden="1" customHeight="1" x14ac:dyDescent="0.2"/>
    <row r="2" spans="1:38" ht="51" customHeight="1" x14ac:dyDescent="0.2">
      <c r="A2" s="2969"/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0"/>
      <c r="W2" s="2970"/>
      <c r="X2" s="2970"/>
      <c r="Y2" s="2970"/>
      <c r="Z2" s="2970"/>
      <c r="AA2" s="2970"/>
      <c r="AB2" s="2970"/>
      <c r="AC2" s="2970"/>
      <c r="AD2" s="2970"/>
      <c r="AE2" s="2970"/>
      <c r="AF2" s="2970"/>
      <c r="AG2" s="2970"/>
      <c r="AH2" s="2970"/>
      <c r="AI2" s="2970"/>
      <c r="AJ2" s="2970"/>
      <c r="AK2" s="2970"/>
      <c r="AL2" s="2971"/>
    </row>
    <row r="3" spans="1:38" ht="24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3"/>
      <c r="W3" s="2973"/>
      <c r="X3" s="2973"/>
      <c r="Y3" s="2973"/>
      <c r="Z3" s="2973"/>
      <c r="AA3" s="2973"/>
      <c r="AB3" s="2973"/>
      <c r="AC3" s="2973"/>
      <c r="AD3" s="2973"/>
      <c r="AE3" s="2973"/>
      <c r="AF3" s="2973"/>
      <c r="AG3" s="2973"/>
      <c r="AH3" s="2973"/>
      <c r="AI3" s="2973"/>
      <c r="AJ3" s="2973"/>
      <c r="AK3" s="2973"/>
      <c r="AL3" s="2974"/>
    </row>
    <row r="4" spans="1:38" ht="16.5" thickTop="1" x14ac:dyDescent="0.25">
      <c r="A4" s="2953" t="str">
        <f>"CERTIFICADO DE CALIBRACIÓN N° "&amp;"LSCD "&amp;'F-LSCD-013'!C26</f>
        <v>CERTIFICADO DE CALIBRACIÓN N° LSCD 011-2021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5"/>
      <c r="W4" s="2975"/>
      <c r="X4" s="2975"/>
      <c r="Y4" s="2975"/>
      <c r="Z4" s="2975"/>
      <c r="AA4" s="2975"/>
      <c r="AB4" s="2975"/>
      <c r="AC4" s="2975"/>
      <c r="AD4" s="2975"/>
      <c r="AE4" s="2975"/>
      <c r="AF4" s="2975"/>
      <c r="AG4" s="2975"/>
      <c r="AH4" s="2975"/>
      <c r="AI4" s="2975"/>
      <c r="AJ4" s="2975"/>
      <c r="AK4" s="2975"/>
      <c r="AL4" s="2976"/>
    </row>
    <row r="5" spans="1:38" ht="15.75" x14ac:dyDescent="0.2">
      <c r="A5" s="2881" t="s">
        <v>253</v>
      </c>
      <c r="B5" s="2980"/>
      <c r="C5" s="2980"/>
      <c r="D5" s="2980"/>
      <c r="E5" s="2980"/>
      <c r="F5" s="2980"/>
      <c r="G5" s="2980"/>
      <c r="H5" s="2980"/>
      <c r="I5" s="2980"/>
      <c r="J5" s="2980"/>
      <c r="K5" s="2980"/>
      <c r="L5" s="2980"/>
      <c r="M5" s="2980"/>
      <c r="N5" s="2980"/>
      <c r="O5" s="2980"/>
      <c r="P5" s="2980"/>
      <c r="Q5" s="2980"/>
      <c r="R5" s="2980"/>
      <c r="S5" s="2980"/>
      <c r="T5" s="2980"/>
      <c r="U5" s="2980"/>
      <c r="V5" s="2980"/>
      <c r="W5" s="2980"/>
      <c r="X5" s="2980"/>
      <c r="Y5" s="2980"/>
      <c r="Z5" s="2980"/>
      <c r="AA5" s="2980"/>
      <c r="AB5" s="2980"/>
      <c r="AC5" s="2980"/>
      <c r="AD5" s="2980"/>
      <c r="AE5" s="2980"/>
      <c r="AF5" s="2980"/>
      <c r="AG5" s="2980"/>
      <c r="AH5" s="2980"/>
      <c r="AI5" s="2980"/>
      <c r="AJ5" s="2980"/>
      <c r="AK5" s="2980"/>
      <c r="AL5" s="2981"/>
    </row>
    <row r="6" spans="1:38" ht="15.75" x14ac:dyDescent="0.2">
      <c r="A6" s="2881" t="s">
        <v>1119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0"/>
      <c r="W6" s="2980"/>
      <c r="X6" s="2980"/>
      <c r="Y6" s="2980"/>
      <c r="Z6" s="2980"/>
      <c r="AA6" s="2980"/>
      <c r="AB6" s="2980"/>
      <c r="AC6" s="2980"/>
      <c r="AD6" s="2980"/>
      <c r="AE6" s="2980"/>
      <c r="AF6" s="2980"/>
      <c r="AG6" s="2980"/>
      <c r="AH6" s="2980"/>
      <c r="AI6" s="2980"/>
      <c r="AJ6" s="2980"/>
      <c r="AK6" s="2980"/>
      <c r="AL6" s="2981"/>
    </row>
    <row r="7" spans="1:38" ht="3" customHeight="1" x14ac:dyDescent="0.2">
      <c r="A7" s="165"/>
      <c r="AD7" s="1308"/>
      <c r="AE7" s="1308"/>
      <c r="AF7" s="1308"/>
      <c r="AG7" s="1308"/>
      <c r="AH7" s="1308"/>
      <c r="AI7" s="1308"/>
      <c r="AJ7" s="1308"/>
      <c r="AK7" s="1308"/>
      <c r="AL7" s="167"/>
    </row>
    <row r="8" spans="1:38" ht="13.5" customHeight="1" x14ac:dyDescent="0.2">
      <c r="A8" s="165"/>
      <c r="B8" s="166" t="s">
        <v>1105</v>
      </c>
      <c r="C8" s="166"/>
      <c r="D8" s="166"/>
      <c r="E8" s="166"/>
      <c r="F8" s="166"/>
      <c r="G8" s="166"/>
      <c r="H8" s="166"/>
      <c r="I8" s="166"/>
      <c r="J8" s="166"/>
      <c r="K8" s="166"/>
      <c r="L8" s="166" t="s">
        <v>218</v>
      </c>
      <c r="M8" s="163" t="str">
        <f>'F-LSCD-013'!C7</f>
        <v>ALEPH SAC</v>
      </c>
      <c r="AD8" s="2904" t="s">
        <v>221</v>
      </c>
      <c r="AE8" s="2905"/>
      <c r="AF8" s="2905"/>
      <c r="AG8" s="2905"/>
      <c r="AH8" s="2905"/>
      <c r="AI8" s="2905"/>
      <c r="AJ8" s="2905"/>
      <c r="AK8" s="2905"/>
      <c r="AL8" s="167"/>
    </row>
    <row r="9" spans="1:38" x14ac:dyDescent="0.2">
      <c r="A9" s="165"/>
      <c r="M9" s="3362" t="str">
        <f>'F-LSCD-013'!C8</f>
        <v>Av. Rafael Escardo 154</v>
      </c>
      <c r="N9" s="3362"/>
      <c r="O9" s="3362"/>
      <c r="P9" s="3362"/>
      <c r="Q9" s="3362"/>
      <c r="R9" s="3362"/>
      <c r="S9" s="3362"/>
      <c r="T9" s="3362"/>
      <c r="U9" s="3362"/>
      <c r="V9" s="3362"/>
      <c r="W9" s="3362"/>
      <c r="X9" s="3362"/>
      <c r="Y9" s="3362"/>
      <c r="Z9" s="3362"/>
      <c r="AA9" s="3362"/>
      <c r="AB9" s="3362"/>
      <c r="AD9" s="2904"/>
      <c r="AE9" s="2905"/>
      <c r="AF9" s="2905"/>
      <c r="AG9" s="2905"/>
      <c r="AH9" s="2905"/>
      <c r="AI9" s="2905"/>
      <c r="AJ9" s="2905"/>
      <c r="AK9" s="2905"/>
      <c r="AL9" s="167"/>
    </row>
    <row r="10" spans="1:38" x14ac:dyDescent="0.2">
      <c r="A10" s="165"/>
      <c r="M10" s="163" t="str">
        <f>'F-LSCD-012'!I8&amp;", "&amp;'F-LSCD-012'!L8&amp;", "&amp;'F-LSCD-012'!P8&amp;", "&amp;'F-LSCD-012'!T8</f>
        <v>San Miguel, Lima, Lima, Perú</v>
      </c>
      <c r="AD10" s="2904"/>
      <c r="AE10" s="2905"/>
      <c r="AF10" s="2905"/>
      <c r="AG10" s="2905"/>
      <c r="AH10" s="2905"/>
      <c r="AI10" s="2905"/>
      <c r="AJ10" s="2905"/>
      <c r="AK10" s="2905"/>
      <c r="AL10" s="167"/>
    </row>
    <row r="11" spans="1:38" ht="3.75" customHeight="1" x14ac:dyDescent="0.2">
      <c r="A11" s="165"/>
      <c r="AD11" s="2904"/>
      <c r="AE11" s="2905"/>
      <c r="AF11" s="2905"/>
      <c r="AG11" s="2905"/>
      <c r="AH11" s="2905"/>
      <c r="AI11" s="2905"/>
      <c r="AJ11" s="2905"/>
      <c r="AK11" s="2905"/>
      <c r="AL11" s="167"/>
    </row>
    <row r="12" spans="1:38" x14ac:dyDescent="0.2">
      <c r="A12" s="165"/>
      <c r="B12" s="170" t="s">
        <v>1106</v>
      </c>
      <c r="C12" s="170"/>
      <c r="D12" s="170"/>
      <c r="E12" s="170"/>
      <c r="F12" s="170"/>
      <c r="G12" s="170"/>
      <c r="H12" s="170"/>
      <c r="I12" s="170"/>
      <c r="J12" s="170"/>
      <c r="K12" s="170"/>
      <c r="L12" s="170" t="s">
        <v>218</v>
      </c>
      <c r="M12" s="3360" t="str">
        <f>'F-LSCD-013'!C6</f>
        <v>OT 111-12925</v>
      </c>
      <c r="N12" s="3360"/>
      <c r="O12" s="3360"/>
      <c r="P12" s="3360"/>
      <c r="Q12" s="3360"/>
      <c r="R12" s="3360"/>
      <c r="S12" s="3360"/>
      <c r="T12" s="3360"/>
      <c r="U12" s="3360"/>
      <c r="V12" s="3360"/>
      <c r="W12" s="3360"/>
      <c r="X12" s="3360"/>
      <c r="Y12" s="3360"/>
      <c r="Z12" s="3360"/>
      <c r="AA12" s="3360"/>
      <c r="AB12" s="3360"/>
      <c r="AC12" s="172"/>
      <c r="AD12" s="2904"/>
      <c r="AE12" s="2905"/>
      <c r="AF12" s="2905"/>
      <c r="AG12" s="2905"/>
      <c r="AH12" s="2905"/>
      <c r="AI12" s="2905"/>
      <c r="AJ12" s="2905"/>
      <c r="AK12" s="2905"/>
      <c r="AL12" s="167"/>
    </row>
    <row r="13" spans="1:38" ht="2.25" customHeight="1" x14ac:dyDescent="0.2">
      <c r="A13" s="165"/>
      <c r="AD13" s="2904"/>
      <c r="AE13" s="2905"/>
      <c r="AF13" s="2905"/>
      <c r="AG13" s="2905"/>
      <c r="AH13" s="2905"/>
      <c r="AI13" s="2905"/>
      <c r="AJ13" s="2905"/>
      <c r="AK13" s="2905"/>
      <c r="AL13" s="167"/>
    </row>
    <row r="14" spans="1:38" x14ac:dyDescent="0.2">
      <c r="A14" s="165"/>
      <c r="B14" s="170" t="s">
        <v>1123</v>
      </c>
      <c r="L14" s="170" t="s">
        <v>218</v>
      </c>
      <c r="M14" s="163" t="s">
        <v>1131</v>
      </c>
      <c r="AD14" s="2904"/>
      <c r="AE14" s="2905"/>
      <c r="AF14" s="2905"/>
      <c r="AG14" s="2905"/>
      <c r="AH14" s="2905"/>
      <c r="AI14" s="2905"/>
      <c r="AJ14" s="2905"/>
      <c r="AK14" s="2905"/>
      <c r="AL14" s="167"/>
    </row>
    <row r="15" spans="1:38" ht="3.75" customHeight="1" x14ac:dyDescent="0.2">
      <c r="A15" s="165"/>
      <c r="AD15" s="2904"/>
      <c r="AE15" s="2905"/>
      <c r="AF15" s="2905"/>
      <c r="AG15" s="2905"/>
      <c r="AH15" s="2905"/>
      <c r="AI15" s="2905"/>
      <c r="AJ15" s="2905"/>
      <c r="AK15" s="2905"/>
      <c r="AL15" s="167"/>
    </row>
    <row r="16" spans="1:38" x14ac:dyDescent="0.2">
      <c r="A16" s="165"/>
      <c r="B16" s="166" t="s">
        <v>1124</v>
      </c>
      <c r="C16" s="166"/>
      <c r="D16" s="166"/>
      <c r="E16" s="166"/>
      <c r="F16" s="166"/>
      <c r="G16" s="166"/>
      <c r="H16" s="166"/>
      <c r="I16" s="166"/>
      <c r="J16" s="166"/>
      <c r="K16" s="166"/>
      <c r="L16" s="166" t="s">
        <v>218</v>
      </c>
      <c r="M16" s="3361" t="str">
        <f>'F-LSCD-013'!C9</f>
        <v>Monitor de radiación (digital)</v>
      </c>
      <c r="N16" s="3361"/>
      <c r="O16" s="3361"/>
      <c r="P16" s="3361"/>
      <c r="Q16" s="3361"/>
      <c r="R16" s="3361"/>
      <c r="S16" s="3361"/>
      <c r="T16" s="3361"/>
      <c r="U16" s="3361"/>
      <c r="V16" s="3361"/>
      <c r="W16" s="3361"/>
      <c r="X16" s="1309"/>
      <c r="Y16" s="1309"/>
      <c r="Z16" s="1309"/>
      <c r="AA16" s="1309"/>
      <c r="AB16" s="1309"/>
      <c r="AC16" s="173"/>
      <c r="AD16" s="2904"/>
      <c r="AE16" s="2905"/>
      <c r="AF16" s="2905"/>
      <c r="AG16" s="2905"/>
      <c r="AH16" s="2905"/>
      <c r="AI16" s="2905"/>
      <c r="AJ16" s="2905"/>
      <c r="AK16" s="2905"/>
      <c r="AL16" s="167"/>
    </row>
    <row r="17" spans="1:38" ht="27.75" customHeight="1" x14ac:dyDescent="0.2">
      <c r="A17" s="165"/>
      <c r="B17" s="166"/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2993" t="str">
        <f>IF('F-LSCD-013'!C13="-","Marca monitor: "&amp;'F-LSCD-013'!C10,"Marca monitor: "&amp;'F-LSCD-013'!C10&amp;" / Marca sonda: "&amp;'F-LSCD-013'!C13)</f>
        <v>Marca monitor: MGP</v>
      </c>
      <c r="N17" s="2993"/>
      <c r="O17" s="2993"/>
      <c r="P17" s="2993"/>
      <c r="Q17" s="2993"/>
      <c r="R17" s="2993"/>
      <c r="S17" s="2993"/>
      <c r="T17" s="2993"/>
      <c r="U17" s="2993"/>
      <c r="V17" s="2993"/>
      <c r="W17" s="2993"/>
      <c r="X17" s="2993"/>
      <c r="Y17" s="2993"/>
      <c r="Z17" s="2993"/>
      <c r="AA17" s="2993"/>
      <c r="AB17" s="2993"/>
      <c r="AC17" s="173"/>
      <c r="AD17" s="2906" t="s">
        <v>225</v>
      </c>
      <c r="AE17" s="2907"/>
      <c r="AF17" s="2907"/>
      <c r="AG17" s="2907"/>
      <c r="AH17" s="2907"/>
      <c r="AI17" s="2907"/>
      <c r="AJ17" s="2907"/>
      <c r="AK17" s="2907"/>
      <c r="AL17" s="167"/>
    </row>
    <row r="18" spans="1:38" ht="12.75" customHeight="1" x14ac:dyDescent="0.2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3361" t="str">
        <f>IF('F-LSCD-013'!C13="-","Modelo monitor: "&amp;'F-LSCD-013'!C11,"Modelo monitor: "&amp;'F-LSCD-013'!C11&amp;" / Modelo sonda: "&amp;'F-LSCD-013'!C14)</f>
        <v>Modelo monitor: DMC 2000S</v>
      </c>
      <c r="N18" s="3361"/>
      <c r="O18" s="3361"/>
      <c r="P18" s="3361"/>
      <c r="Q18" s="3361"/>
      <c r="R18" s="3361"/>
      <c r="S18" s="3361"/>
      <c r="T18" s="3361"/>
      <c r="U18" s="3361"/>
      <c r="V18" s="3361"/>
      <c r="W18" s="3361"/>
      <c r="X18" s="3361"/>
      <c r="Y18" s="3361"/>
      <c r="Z18" s="3361"/>
      <c r="AA18" s="3361"/>
      <c r="AB18" s="3361"/>
      <c r="AC18" s="173"/>
      <c r="AD18" s="2906"/>
      <c r="AE18" s="2907"/>
      <c r="AF18" s="2907"/>
      <c r="AG18" s="2907"/>
      <c r="AH18" s="2907"/>
      <c r="AI18" s="2907"/>
      <c r="AJ18" s="2907"/>
      <c r="AK18" s="2907"/>
      <c r="AL18" s="167"/>
    </row>
    <row r="19" spans="1:38" ht="12.75" customHeight="1" x14ac:dyDescent="0.2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3361" t="str">
        <f>IF('F-LSCD-013'!C13="-","Serie monitor: "&amp;'F-LSCD-013'!C12,"Serie monitor: "&amp;'F-LSCD-013'!C12&amp;" / Serie sonda: "&amp;'F-LSCD-013'!C15)</f>
        <v>Serie monitor: 690384T</v>
      </c>
      <c r="N19" s="3361"/>
      <c r="O19" s="3361"/>
      <c r="P19" s="3361"/>
      <c r="Q19" s="3361"/>
      <c r="R19" s="3361"/>
      <c r="S19" s="3361"/>
      <c r="T19" s="3361"/>
      <c r="U19" s="3361"/>
      <c r="V19" s="3361"/>
      <c r="W19" s="3361"/>
      <c r="X19" s="3361"/>
      <c r="Y19" s="3361"/>
      <c r="Z19" s="3361"/>
      <c r="AA19" s="3361"/>
      <c r="AB19" s="3361"/>
      <c r="AC19" s="173"/>
      <c r="AD19" s="2906"/>
      <c r="AE19" s="2907"/>
      <c r="AF19" s="2907"/>
      <c r="AG19" s="2907"/>
      <c r="AH19" s="2907"/>
      <c r="AI19" s="2907"/>
      <c r="AJ19" s="2907"/>
      <c r="AK19" s="2907"/>
      <c r="AL19" s="167"/>
    </row>
    <row r="20" spans="1:38" ht="4.5" customHeight="1" x14ac:dyDescent="0.2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3361"/>
      <c r="N20" s="3361"/>
      <c r="O20" s="3361"/>
      <c r="P20" s="3361"/>
      <c r="Q20" s="3361"/>
      <c r="R20" s="3361"/>
      <c r="S20" s="3361"/>
      <c r="T20" s="3361"/>
      <c r="U20" s="3361"/>
      <c r="V20" s="3361"/>
      <c r="W20" s="3361"/>
      <c r="X20" s="1309"/>
      <c r="Y20" s="1309"/>
      <c r="Z20" s="1309"/>
      <c r="AA20" s="1309"/>
      <c r="AB20" s="1309"/>
      <c r="AC20" s="173"/>
      <c r="AD20" s="2906"/>
      <c r="AE20" s="2907"/>
      <c r="AF20" s="2907"/>
      <c r="AG20" s="2907"/>
      <c r="AH20" s="2907"/>
      <c r="AI20" s="2907"/>
      <c r="AJ20" s="2907"/>
      <c r="AK20" s="2907"/>
      <c r="AL20" s="167"/>
    </row>
    <row r="21" spans="1:38" ht="12.75" customHeight="1" x14ac:dyDescent="0.2">
      <c r="A21" s="165"/>
      <c r="B21" s="175" t="s">
        <v>1132</v>
      </c>
      <c r="C21" s="175"/>
      <c r="D21" s="175"/>
      <c r="E21" s="175"/>
      <c r="F21" s="175"/>
      <c r="G21" s="175"/>
      <c r="H21" s="175"/>
      <c r="I21" s="175"/>
      <c r="J21" s="175"/>
      <c r="K21" s="175"/>
      <c r="L21" s="175" t="s">
        <v>218</v>
      </c>
      <c r="M21" s="2991" t="str">
        <f>'F-LSCD-013'!C19</f>
        <v>Comparación, según ISO 7503-3 (2016), aplicado al PROC-LSCD-010 Calibración de monitores de contaminación de superficie (versión 07)</v>
      </c>
      <c r="N21" s="2991"/>
      <c r="O21" s="2991"/>
      <c r="P21" s="2991"/>
      <c r="Q21" s="2991"/>
      <c r="R21" s="2991"/>
      <c r="S21" s="2991"/>
      <c r="T21" s="2991"/>
      <c r="U21" s="2991"/>
      <c r="V21" s="2991"/>
      <c r="W21" s="2991"/>
      <c r="X21" s="2991"/>
      <c r="Y21" s="2991"/>
      <c r="Z21" s="2991"/>
      <c r="AA21" s="2991"/>
      <c r="AB21" s="2991"/>
      <c r="AC21" s="237"/>
      <c r="AD21" s="2906"/>
      <c r="AE21" s="2907"/>
      <c r="AF21" s="2907"/>
      <c r="AG21" s="2907"/>
      <c r="AH21" s="2907"/>
      <c r="AI21" s="2907"/>
      <c r="AJ21" s="2907"/>
      <c r="AK21" s="2907"/>
      <c r="AL21" s="167"/>
    </row>
    <row r="22" spans="1:38" ht="27" customHeight="1" x14ac:dyDescent="0.2">
      <c r="A22" s="165"/>
      <c r="M22" s="2991"/>
      <c r="N22" s="2991"/>
      <c r="O22" s="2991"/>
      <c r="P22" s="2991"/>
      <c r="Q22" s="2991"/>
      <c r="R22" s="2991"/>
      <c r="S22" s="2991"/>
      <c r="T22" s="2991"/>
      <c r="U22" s="2991"/>
      <c r="V22" s="2991"/>
      <c r="W22" s="2991"/>
      <c r="X22" s="2991"/>
      <c r="Y22" s="2991"/>
      <c r="Z22" s="2991"/>
      <c r="AA22" s="2991"/>
      <c r="AB22" s="2991"/>
      <c r="AC22" s="237"/>
      <c r="AD22" s="2906"/>
      <c r="AE22" s="2907"/>
      <c r="AF22" s="2907"/>
      <c r="AG22" s="2907"/>
      <c r="AH22" s="2907"/>
      <c r="AI22" s="2907"/>
      <c r="AJ22" s="2907"/>
      <c r="AK22" s="2907"/>
      <c r="AL22" s="167"/>
    </row>
    <row r="23" spans="1:38" ht="6" customHeight="1" x14ac:dyDescent="0.2">
      <c r="A23" s="165"/>
      <c r="M23" s="177"/>
      <c r="N23" s="177"/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  <c r="AD23" s="2906"/>
      <c r="AE23" s="2907"/>
      <c r="AF23" s="2907"/>
      <c r="AG23" s="2907"/>
      <c r="AH23" s="2907"/>
      <c r="AI23" s="2907"/>
      <c r="AJ23" s="2907"/>
      <c r="AK23" s="2907"/>
      <c r="AL23" s="167"/>
    </row>
    <row r="24" spans="1:38" x14ac:dyDescent="0.2">
      <c r="A24" s="165"/>
      <c r="B24" s="166" t="s">
        <v>1126</v>
      </c>
      <c r="L24" s="1313" t="s">
        <v>218</v>
      </c>
      <c r="M24" s="3366" t="str">
        <f>'F-LSCD-013'!C20</f>
        <v>Fuentes patrones planas de clase 2:</v>
      </c>
      <c r="N24" s="3366"/>
      <c r="O24" s="3366"/>
      <c r="P24" s="3366"/>
      <c r="Q24" s="3366"/>
      <c r="R24" s="3366"/>
      <c r="S24" s="3366"/>
      <c r="T24" s="3366"/>
      <c r="U24" s="3366"/>
      <c r="V24" s="3366"/>
      <c r="W24" s="3366"/>
      <c r="X24" s="177"/>
      <c r="Y24" s="177"/>
      <c r="Z24" s="177"/>
      <c r="AA24" s="177"/>
      <c r="AB24" s="177"/>
      <c r="AC24" s="177"/>
      <c r="AD24" s="2906"/>
      <c r="AE24" s="2907"/>
      <c r="AF24" s="2907"/>
      <c r="AG24" s="2907"/>
      <c r="AH24" s="2907"/>
      <c r="AI24" s="2907"/>
      <c r="AJ24" s="2907"/>
      <c r="AK24" s="2907"/>
      <c r="AL24" s="167"/>
    </row>
    <row r="25" spans="1:38" ht="42" customHeight="1" x14ac:dyDescent="0.2">
      <c r="A25" s="165"/>
      <c r="B25" s="166"/>
      <c r="L25" s="1317" t="s">
        <v>93</v>
      </c>
      <c r="M25" s="3367" t="str">
        <f>'F-LSCD-013'!C21</f>
        <v>²⁴¹Am (α); Marca: Eckert &amp; Ziegler; Modelo: AMR07032; Serie: AJ-4188; Certificado de calibración N°: 030516, con fecha 2017-01-18 (Eckert &amp; Ziegler); Trazable al PTB.</v>
      </c>
      <c r="N25" s="3367"/>
      <c r="O25" s="3367"/>
      <c r="P25" s="3367"/>
      <c r="Q25" s="3367"/>
      <c r="R25" s="3367"/>
      <c r="S25" s="3367"/>
      <c r="T25" s="3367"/>
      <c r="U25" s="3367"/>
      <c r="V25" s="3367"/>
      <c r="W25" s="3367"/>
      <c r="X25" s="3367"/>
      <c r="Y25" s="3367"/>
      <c r="Z25" s="3367"/>
      <c r="AA25" s="3367"/>
      <c r="AB25" s="3367"/>
      <c r="AC25" s="177"/>
      <c r="AD25" s="2906"/>
      <c r="AE25" s="2907"/>
      <c r="AF25" s="2907"/>
      <c r="AG25" s="2907"/>
      <c r="AH25" s="2907"/>
      <c r="AI25" s="2907"/>
      <c r="AJ25" s="2907"/>
      <c r="AK25" s="2907"/>
      <c r="AL25" s="167"/>
    </row>
    <row r="26" spans="1:38" ht="39.75" customHeight="1" x14ac:dyDescent="0.2">
      <c r="A26" s="165"/>
      <c r="B26" s="166"/>
      <c r="L26" s="1317" t="s">
        <v>93</v>
      </c>
      <c r="M26" s="3367" t="str">
        <f>'F-LSCD-013'!C22</f>
        <v>³⁶Cl (β); Marca: Eckert &amp; Ziegler; Modelo: CIR07032; Serie: AJ-4189; Certificado de calibración N°: 030515, con fecha 2017-01-17 (Eckert &amp; Ziegler); Trazable al PTB.</v>
      </c>
      <c r="N26" s="3367"/>
      <c r="O26" s="3367"/>
      <c r="P26" s="3367"/>
      <c r="Q26" s="3367"/>
      <c r="R26" s="3367"/>
      <c r="S26" s="3367"/>
      <c r="T26" s="3367"/>
      <c r="U26" s="3367"/>
      <c r="V26" s="3367"/>
      <c r="W26" s="3367"/>
      <c r="X26" s="3367"/>
      <c r="Y26" s="3367"/>
      <c r="Z26" s="3367"/>
      <c r="AA26" s="3367"/>
      <c r="AB26" s="3367"/>
      <c r="AC26" s="177"/>
      <c r="AD26" s="2949" t="s">
        <v>702</v>
      </c>
      <c r="AE26" s="2987"/>
      <c r="AF26" s="2987"/>
      <c r="AG26" s="2987"/>
      <c r="AH26" s="2987"/>
      <c r="AI26" s="2987"/>
      <c r="AJ26" s="2987"/>
      <c r="AK26" s="2987"/>
      <c r="AL26" s="167"/>
    </row>
    <row r="27" spans="1:38" ht="40.5" customHeight="1" x14ac:dyDescent="0.2">
      <c r="A27" s="165"/>
      <c r="B27" s="166"/>
      <c r="L27" s="1318" t="s">
        <v>93</v>
      </c>
      <c r="M27" s="3368" t="str">
        <f>'F-LSCD-013'!C23</f>
        <v>⁹⁰Sr (β); Marca: Eckert &amp; Ziegler; Modelo: SIR07032; Serie: AJ-4190; Certificado de calibración N°: 030514, con fecha 2017-01-19 (Eckert &amp; Ziegler); Trazable al PTB.</v>
      </c>
      <c r="N27" s="3368"/>
      <c r="O27" s="3368"/>
      <c r="P27" s="3368"/>
      <c r="Q27" s="3368"/>
      <c r="R27" s="3368"/>
      <c r="S27" s="3368"/>
      <c r="T27" s="3368"/>
      <c r="U27" s="3368"/>
      <c r="V27" s="3368"/>
      <c r="W27" s="3368"/>
      <c r="X27" s="3368"/>
      <c r="Y27" s="3368"/>
      <c r="Z27" s="3368"/>
      <c r="AA27" s="3368"/>
      <c r="AB27" s="3368"/>
      <c r="AC27" s="177"/>
      <c r="AD27" s="2904"/>
      <c r="AE27" s="2905"/>
      <c r="AF27" s="2905"/>
      <c r="AG27" s="2905"/>
      <c r="AH27" s="2905"/>
      <c r="AI27" s="2905"/>
      <c r="AJ27" s="2905"/>
      <c r="AK27" s="2905"/>
      <c r="AL27" s="167"/>
    </row>
    <row r="28" spans="1:38" ht="4.5" customHeight="1" x14ac:dyDescent="0.2">
      <c r="A28" s="165"/>
      <c r="M28" s="177"/>
      <c r="N28" s="177"/>
      <c r="O28" s="177"/>
      <c r="P28" s="177"/>
      <c r="Q28" s="177"/>
      <c r="R28" s="177"/>
      <c r="S28" s="177"/>
      <c r="T28" s="177"/>
      <c r="U28" s="177"/>
      <c r="V28" s="177"/>
      <c r="W28" s="177"/>
      <c r="X28" s="177"/>
      <c r="Y28" s="177"/>
      <c r="Z28" s="177"/>
      <c r="AA28" s="177"/>
      <c r="AB28" s="177"/>
      <c r="AC28" s="177"/>
      <c r="AD28" s="2949" t="s">
        <v>1115</v>
      </c>
      <c r="AE28" s="2987"/>
      <c r="AF28" s="2987"/>
      <c r="AG28" s="2987"/>
      <c r="AH28" s="2987"/>
      <c r="AI28" s="2987"/>
      <c r="AJ28" s="2987"/>
      <c r="AK28" s="2987"/>
      <c r="AL28" s="167"/>
    </row>
    <row r="29" spans="1:38" ht="12.75" customHeight="1" x14ac:dyDescent="0.2">
      <c r="A29" s="165"/>
      <c r="B29" s="170" t="s">
        <v>1127</v>
      </c>
      <c r="C29" s="1314"/>
      <c r="D29" s="1314"/>
      <c r="E29" s="1314"/>
      <c r="F29" s="1314"/>
      <c r="G29" s="1314"/>
      <c r="H29" s="1314"/>
      <c r="I29" s="1314"/>
      <c r="J29" s="1314"/>
      <c r="K29" s="1314"/>
      <c r="L29" s="1318"/>
      <c r="M29" s="3368"/>
      <c r="N29" s="3368"/>
      <c r="O29" s="3368"/>
      <c r="P29" s="3368"/>
      <c r="Q29" s="3368"/>
      <c r="R29" s="3368"/>
      <c r="S29" s="3368"/>
      <c r="T29" s="3368"/>
      <c r="U29" s="3368"/>
      <c r="V29" s="3368"/>
      <c r="W29" s="3368"/>
      <c r="X29" s="3368"/>
      <c r="Y29" s="3368"/>
      <c r="Z29" s="3368"/>
      <c r="AA29" s="3368"/>
      <c r="AB29" s="3368"/>
      <c r="AC29" s="179"/>
      <c r="AD29" s="2949"/>
      <c r="AE29" s="2987"/>
      <c r="AF29" s="2987"/>
      <c r="AG29" s="2987"/>
      <c r="AH29" s="2987"/>
      <c r="AI29" s="2987"/>
      <c r="AJ29" s="2987"/>
      <c r="AK29" s="2987"/>
      <c r="AL29" s="167"/>
    </row>
    <row r="30" spans="1:38" ht="6" customHeight="1" x14ac:dyDescent="0.2">
      <c r="A30" s="165"/>
      <c r="B30" s="170"/>
      <c r="C30" s="1314"/>
      <c r="D30" s="1314"/>
      <c r="E30" s="1314"/>
      <c r="F30" s="1314"/>
      <c r="G30" s="1314"/>
      <c r="H30" s="1314"/>
      <c r="I30" s="1314"/>
      <c r="J30" s="1314"/>
      <c r="K30" s="1314"/>
      <c r="L30" s="1318"/>
      <c r="M30" s="1676"/>
      <c r="N30" s="1676"/>
      <c r="O30" s="1676"/>
      <c r="P30" s="1676"/>
      <c r="Q30" s="1676"/>
      <c r="R30" s="1676"/>
      <c r="S30" s="1676"/>
      <c r="T30" s="1676"/>
      <c r="U30" s="1676"/>
      <c r="V30" s="1676"/>
      <c r="W30" s="1676"/>
      <c r="X30" s="1676"/>
      <c r="Y30" s="1676"/>
      <c r="Z30" s="1676"/>
      <c r="AA30" s="1676"/>
      <c r="AB30" s="1676"/>
      <c r="AC30" s="179"/>
      <c r="AD30" s="2949"/>
      <c r="AE30" s="2987"/>
      <c r="AF30" s="2987"/>
      <c r="AG30" s="2987"/>
      <c r="AH30" s="2987"/>
      <c r="AI30" s="2987"/>
      <c r="AJ30" s="2987"/>
      <c r="AK30" s="2987"/>
      <c r="AL30" s="167"/>
    </row>
    <row r="31" spans="1:38" ht="15" customHeight="1" x14ac:dyDescent="0.2">
      <c r="A31" s="165"/>
      <c r="C31" s="1312" t="s">
        <v>1110</v>
      </c>
      <c r="L31" s="227" t="s">
        <v>218</v>
      </c>
      <c r="M31" s="3096" t="str">
        <f>"Inicio: "&amp;FIXED('F-LSCD-013'!D42,1)&amp;" °C ; "&amp;"Final: "&amp;FIXED('F-LSCD-013'!D43,1)&amp;" °C"</f>
        <v>Inicio: 20.4 °C ; Final: 20.3 °C</v>
      </c>
      <c r="N31" s="3096"/>
      <c r="O31" s="3096"/>
      <c r="P31" s="3096"/>
      <c r="Q31" s="3096"/>
      <c r="R31" s="3096"/>
      <c r="S31" s="3096"/>
      <c r="T31" s="3096"/>
      <c r="U31" s="3096"/>
      <c r="V31" s="3096"/>
      <c r="W31" s="3096"/>
      <c r="X31" s="3096"/>
      <c r="Y31" s="3096"/>
      <c r="Z31" s="3096"/>
      <c r="AA31" s="3096"/>
      <c r="AB31" s="3096"/>
      <c r="AC31" s="180"/>
      <c r="AD31" s="2949"/>
      <c r="AE31" s="2987"/>
      <c r="AF31" s="2987"/>
      <c r="AG31" s="2987"/>
      <c r="AH31" s="2987"/>
      <c r="AI31" s="2987"/>
      <c r="AJ31" s="2987"/>
      <c r="AK31" s="2987"/>
      <c r="AL31" s="167"/>
    </row>
    <row r="32" spans="1:38" ht="15" customHeight="1" x14ac:dyDescent="0.2">
      <c r="A32" s="165"/>
      <c r="C32" s="1312" t="s">
        <v>1108</v>
      </c>
      <c r="L32" s="227" t="s">
        <v>218</v>
      </c>
      <c r="M32" s="180" t="str">
        <f>"Inicio: "&amp;FIXED('F-LSCD-013'!H42,1)&amp;" hPa ; "&amp;"Final: "&amp;FIXED('F-LSCD-013'!H43,1)&amp;" hPa"</f>
        <v>Inicio: 1,007.0 hPa ; Final: 1,006.8 hPa</v>
      </c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2949"/>
      <c r="AE32" s="2987"/>
      <c r="AF32" s="2987"/>
      <c r="AG32" s="2987"/>
      <c r="AH32" s="2987"/>
      <c r="AI32" s="2987"/>
      <c r="AJ32" s="2987"/>
      <c r="AK32" s="2987"/>
      <c r="AL32" s="167"/>
    </row>
    <row r="33" spans="1:38" ht="15" customHeight="1" x14ac:dyDescent="0.2">
      <c r="A33" s="165"/>
      <c r="C33" s="1312" t="s">
        <v>1109</v>
      </c>
      <c r="L33" s="227"/>
      <c r="M33" s="3096" t="str">
        <f>"Inicio: "&amp;'F-LSCD-013'!F42&amp;" % ; "&amp;"Final: "&amp;'F-LSCD-013'!F43&amp;" %"</f>
        <v>Inicio: 52 % ; Final: 51 %</v>
      </c>
      <c r="N33" s="3096"/>
      <c r="O33" s="3096"/>
      <c r="P33" s="3096"/>
      <c r="Q33" s="3096"/>
      <c r="R33" s="3096"/>
      <c r="S33" s="3096"/>
      <c r="T33" s="3096"/>
      <c r="U33" s="3096"/>
      <c r="V33" s="3096"/>
      <c r="W33" s="3096"/>
      <c r="X33" s="3096"/>
      <c r="Y33" s="3096"/>
      <c r="Z33" s="3096"/>
      <c r="AA33" s="3096"/>
      <c r="AB33" s="3096"/>
      <c r="AC33" s="180"/>
      <c r="AD33" s="2949"/>
      <c r="AE33" s="2987"/>
      <c r="AF33" s="2987"/>
      <c r="AG33" s="2987"/>
      <c r="AH33" s="2987"/>
      <c r="AI33" s="2987"/>
      <c r="AJ33" s="2987"/>
      <c r="AK33" s="2987"/>
      <c r="AL33" s="167"/>
    </row>
    <row r="34" spans="1:38" ht="12.75" customHeight="1" x14ac:dyDescent="0.2">
      <c r="A34" s="165"/>
      <c r="C34" s="1313" t="s">
        <v>277</v>
      </c>
      <c r="L34" s="227" t="s">
        <v>218</v>
      </c>
      <c r="M34" s="3349" t="str">
        <f>'F-LSCD-013'!C24</f>
        <v>Superficie del detector a 3 mm de la fuente plana</v>
      </c>
      <c r="N34" s="3349"/>
      <c r="O34" s="3349"/>
      <c r="P34" s="3349"/>
      <c r="Q34" s="3349"/>
      <c r="R34" s="3349"/>
      <c r="S34" s="3349"/>
      <c r="T34" s="3349"/>
      <c r="U34" s="3349"/>
      <c r="V34" s="3349"/>
      <c r="W34" s="3349"/>
      <c r="X34" s="3349"/>
      <c r="Y34" s="3349"/>
      <c r="Z34" s="3349"/>
      <c r="AA34" s="3349"/>
      <c r="AB34" s="3349"/>
      <c r="AC34" s="180"/>
      <c r="AD34" s="2949"/>
      <c r="AE34" s="2987"/>
      <c r="AF34" s="2987"/>
      <c r="AG34" s="2987"/>
      <c r="AH34" s="2987"/>
      <c r="AI34" s="2987"/>
      <c r="AJ34" s="2987"/>
      <c r="AK34" s="2987"/>
      <c r="AL34" s="167"/>
    </row>
    <row r="35" spans="1:38" ht="6.75" customHeight="1" x14ac:dyDescent="0.2">
      <c r="A35" s="165"/>
      <c r="C35" s="1313"/>
      <c r="L35" s="227"/>
      <c r="M35" s="1675"/>
      <c r="N35" s="1675"/>
      <c r="O35" s="1675"/>
      <c r="P35" s="1675"/>
      <c r="Q35" s="1675"/>
      <c r="R35" s="1675"/>
      <c r="S35" s="1675"/>
      <c r="T35" s="1675"/>
      <c r="U35" s="1675"/>
      <c r="V35" s="1675"/>
      <c r="W35" s="1675"/>
      <c r="X35" s="1675"/>
      <c r="Y35" s="1675"/>
      <c r="Z35" s="1675"/>
      <c r="AA35" s="1675"/>
      <c r="AB35" s="1675"/>
      <c r="AC35" s="180"/>
      <c r="AD35" s="2949"/>
      <c r="AE35" s="2987"/>
      <c r="AF35" s="2987"/>
      <c r="AG35" s="2987"/>
      <c r="AH35" s="2987"/>
      <c r="AI35" s="2987"/>
      <c r="AJ35" s="2987"/>
      <c r="AK35" s="2987"/>
      <c r="AL35" s="167"/>
    </row>
    <row r="36" spans="1:38" ht="10.5" customHeight="1" x14ac:dyDescent="0.2">
      <c r="A36" s="165"/>
      <c r="B36" s="170" t="s">
        <v>1128</v>
      </c>
      <c r="C36" s="226"/>
      <c r="L36" s="227" t="s">
        <v>218</v>
      </c>
      <c r="M36" s="3170">
        <f>'F-LSCD-013'!C18</f>
        <v>44251</v>
      </c>
      <c r="N36" s="3170"/>
      <c r="O36" s="3170"/>
      <c r="P36" s="3170"/>
      <c r="Q36" s="3170"/>
      <c r="R36" s="3170"/>
      <c r="S36" s="183"/>
      <c r="T36" s="180"/>
      <c r="U36" s="180"/>
      <c r="V36" s="180"/>
      <c r="W36" s="180"/>
      <c r="X36" s="180"/>
      <c r="Y36" s="180"/>
      <c r="Z36" s="180"/>
      <c r="AA36" s="180"/>
      <c r="AB36" s="180"/>
      <c r="AC36" s="180"/>
      <c r="AD36" s="2949"/>
      <c r="AE36" s="2987"/>
      <c r="AF36" s="2987"/>
      <c r="AG36" s="2987"/>
      <c r="AH36" s="2987"/>
      <c r="AI36" s="2987"/>
      <c r="AJ36" s="2987"/>
      <c r="AK36" s="2987"/>
      <c r="AL36" s="167"/>
    </row>
    <row r="37" spans="1:38" ht="7.5" customHeight="1" x14ac:dyDescent="0.2">
      <c r="A37" s="165"/>
      <c r="C37" s="226"/>
      <c r="L37" s="227"/>
      <c r="M37" s="1675"/>
      <c r="N37" s="1675"/>
      <c r="O37" s="1675"/>
      <c r="P37" s="1675"/>
      <c r="Q37" s="1675"/>
      <c r="R37" s="1675"/>
      <c r="S37" s="183"/>
      <c r="T37" s="180"/>
      <c r="U37" s="180"/>
      <c r="V37" s="180"/>
      <c r="W37" s="180"/>
      <c r="X37" s="180"/>
      <c r="Y37" s="180"/>
      <c r="Z37" s="180"/>
      <c r="AA37" s="180"/>
      <c r="AB37" s="180"/>
      <c r="AC37" s="180"/>
      <c r="AD37" s="2949"/>
      <c r="AE37" s="2987"/>
      <c r="AF37" s="2987"/>
      <c r="AG37" s="2987"/>
      <c r="AH37" s="2987"/>
      <c r="AI37" s="2987"/>
      <c r="AJ37" s="2987"/>
      <c r="AK37" s="2987"/>
      <c r="AL37" s="167"/>
    </row>
    <row r="38" spans="1:38" ht="11.25" customHeight="1" x14ac:dyDescent="0.2">
      <c r="A38" s="165"/>
      <c r="B38" s="170" t="s">
        <v>1129</v>
      </c>
      <c r="C38" s="166"/>
      <c r="L38" s="227" t="s">
        <v>218</v>
      </c>
      <c r="M38" s="3350">
        <f>'F-LSCD-013'!C27</f>
        <v>44252</v>
      </c>
      <c r="N38" s="3350"/>
      <c r="O38" s="3350"/>
      <c r="P38" s="3350"/>
      <c r="Q38" s="3350"/>
      <c r="R38" s="3350"/>
      <c r="S38" s="1310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  <c r="AD38" s="2949"/>
      <c r="AE38" s="2987"/>
      <c r="AF38" s="2987"/>
      <c r="AG38" s="2987"/>
      <c r="AH38" s="2987"/>
      <c r="AI38" s="2987"/>
      <c r="AJ38" s="2987"/>
      <c r="AK38" s="2987"/>
      <c r="AL38" s="167"/>
    </row>
    <row r="39" spans="1:38" ht="6.75" customHeight="1" x14ac:dyDescent="0.2">
      <c r="A39" s="165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87"/>
      <c r="AL39" s="167"/>
    </row>
    <row r="40" spans="1:38" x14ac:dyDescent="0.2">
      <c r="A40" s="165"/>
      <c r="B40" s="166" t="s">
        <v>1133</v>
      </c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86"/>
      <c r="N40" s="166"/>
      <c r="O40" s="166"/>
      <c r="P40" s="166"/>
      <c r="Q40" s="166"/>
      <c r="R40" s="166"/>
      <c r="S40" s="166"/>
      <c r="AL40" s="167"/>
    </row>
    <row r="41" spans="1:38" ht="4.5" customHeight="1" x14ac:dyDescent="0.2">
      <c r="A41" s="165"/>
      <c r="M41" s="188"/>
      <c r="AL41" s="167"/>
    </row>
    <row r="42" spans="1:38" ht="12.75" customHeight="1" x14ac:dyDescent="0.2">
      <c r="A42" s="165"/>
      <c r="C42" s="3037" t="s">
        <v>278</v>
      </c>
      <c r="D42" s="3037"/>
      <c r="E42" s="3037"/>
      <c r="F42" s="3037" t="s">
        <v>227</v>
      </c>
      <c r="G42" s="3037"/>
      <c r="H42" s="3037"/>
      <c r="I42" s="3037"/>
      <c r="J42" s="3037" t="s">
        <v>877</v>
      </c>
      <c r="K42" s="3037"/>
      <c r="L42" s="3037"/>
      <c r="M42" s="3037"/>
      <c r="N42" s="2853" t="s">
        <v>884</v>
      </c>
      <c r="O42" s="2854"/>
      <c r="P42" s="2854"/>
      <c r="Q42" s="2857"/>
      <c r="R42" s="3351" t="s">
        <v>885</v>
      </c>
      <c r="S42" s="3352"/>
      <c r="T42" s="3352"/>
      <c r="U42" s="3353"/>
      <c r="V42" s="3138" t="s">
        <v>890</v>
      </c>
      <c r="W42" s="3339"/>
      <c r="X42" s="3339"/>
      <c r="Y42" s="3339"/>
      <c r="Z42" s="3339"/>
      <c r="AA42" s="3339"/>
      <c r="AB42" s="3339"/>
      <c r="AC42" s="3340"/>
      <c r="AD42" s="3354" t="s">
        <v>1135</v>
      </c>
      <c r="AE42" s="3355"/>
      <c r="AF42" s="3355"/>
      <c r="AG42" s="3356"/>
      <c r="AH42" s="3327" t="s">
        <v>6</v>
      </c>
      <c r="AI42" s="3327"/>
      <c r="AJ42" s="3327"/>
      <c r="AK42" s="1264"/>
      <c r="AL42" s="167"/>
    </row>
    <row r="43" spans="1:38" ht="16.5" customHeight="1" x14ac:dyDescent="0.2">
      <c r="A43" s="165"/>
      <c r="C43" s="3037"/>
      <c r="D43" s="3037"/>
      <c r="E43" s="3037"/>
      <c r="F43" s="3037"/>
      <c r="G43" s="3037"/>
      <c r="H43" s="3037"/>
      <c r="I43" s="3037"/>
      <c r="J43" s="3037"/>
      <c r="K43" s="3037"/>
      <c r="L43" s="3037"/>
      <c r="M43" s="3037"/>
      <c r="N43" s="3346" t="str">
        <f>'F-LSCD-013'!U48</f>
        <v>[s⁻¹.cm⁻²/(µSv/h)]</v>
      </c>
      <c r="O43" s="3347"/>
      <c r="P43" s="3347"/>
      <c r="Q43" s="3348"/>
      <c r="R43" s="3346" t="str">
        <f>'F-LSCD-013'!V48</f>
        <v>[Bq.cm⁻²/(µSv/h)]</v>
      </c>
      <c r="S43" s="3347"/>
      <c r="T43" s="3347"/>
      <c r="U43" s="3348"/>
      <c r="V43" s="3341" t="s">
        <v>1040</v>
      </c>
      <c r="W43" s="3342"/>
      <c r="X43" s="3342"/>
      <c r="Y43" s="3342"/>
      <c r="Z43" s="3342"/>
      <c r="AA43" s="3342"/>
      <c r="AB43" s="3342"/>
      <c r="AC43" s="3343"/>
      <c r="AD43" s="3344"/>
      <c r="AE43" s="3014"/>
      <c r="AF43" s="3014"/>
      <c r="AG43" s="3345"/>
      <c r="AH43" s="3327"/>
      <c r="AI43" s="3327"/>
      <c r="AJ43" s="3327"/>
      <c r="AK43" s="1264"/>
      <c r="AL43" s="167"/>
    </row>
    <row r="44" spans="1:38" ht="14.25" customHeight="1" x14ac:dyDescent="0.2">
      <c r="A44" s="165"/>
      <c r="C44" s="2967">
        <v>5486</v>
      </c>
      <c r="D44" s="2967"/>
      <c r="E44" s="2967"/>
      <c r="F44" s="2792" t="s">
        <v>899</v>
      </c>
      <c r="G44" s="2792"/>
      <c r="H44" s="2792"/>
      <c r="I44" s="2792"/>
      <c r="J44" s="2792" t="s">
        <v>860</v>
      </c>
      <c r="K44" s="2792"/>
      <c r="L44" s="2792"/>
      <c r="M44" s="2792"/>
      <c r="N44" s="3331">
        <f>IF('F-LSCD-013'!U52="-",'F-LSCD-013'!U51,'F-LSCD-013'!U52)</f>
        <v>0.26631739794804626</v>
      </c>
      <c r="O44" s="3332"/>
      <c r="P44" s="3332"/>
      <c r="Q44" s="3333"/>
      <c r="R44" s="3331">
        <f>IF('F-LSCD-013'!V52="-",'F-LSCD-013'!V51,'F-LSCD-013'!V52)</f>
        <v>0.56028523612020664</v>
      </c>
      <c r="S44" s="3332"/>
      <c r="T44" s="3332"/>
      <c r="U44" s="3333"/>
      <c r="V44" s="3354" t="str">
        <f>"Lectura x "&amp;FIXED(R44,4)</f>
        <v>Lectura x 0.5603</v>
      </c>
      <c r="W44" s="3355"/>
      <c r="X44" s="3355"/>
      <c r="Y44" s="3355"/>
      <c r="Z44" s="3355"/>
      <c r="AA44" s="3355"/>
      <c r="AB44" s="3355"/>
      <c r="AC44" s="3356"/>
      <c r="AD44" s="3357">
        <f>'F-LSCD-013'!W51</f>
        <v>0.12</v>
      </c>
      <c r="AE44" s="3358"/>
      <c r="AF44" s="3358"/>
      <c r="AG44" s="3359"/>
      <c r="AH44" s="3326" t="s">
        <v>965</v>
      </c>
      <c r="AI44" s="3326"/>
      <c r="AJ44" s="3326"/>
      <c r="AK44" s="180"/>
      <c r="AL44" s="167"/>
    </row>
    <row r="45" spans="1:38" ht="14.25" customHeight="1" x14ac:dyDescent="0.2">
      <c r="A45" s="165"/>
      <c r="C45" s="2967">
        <v>710</v>
      </c>
      <c r="D45" s="2967"/>
      <c r="E45" s="2967"/>
      <c r="F45" s="2792" t="s">
        <v>900</v>
      </c>
      <c r="G45" s="2792"/>
      <c r="H45" s="2792"/>
      <c r="I45" s="2792"/>
      <c r="J45" s="2792" t="s">
        <v>861</v>
      </c>
      <c r="K45" s="2792"/>
      <c r="L45" s="2792"/>
      <c r="M45" s="2792"/>
      <c r="N45" s="3331">
        <f>IF('F-LSCD-013'!U54="-",'F-LSCD-013'!U53,'F-LSCD-013'!U54)</f>
        <v>0.1366302814286775</v>
      </c>
      <c r="O45" s="3332"/>
      <c r="P45" s="3332"/>
      <c r="Q45" s="3333"/>
      <c r="R45" s="3331">
        <f>IF('F-LSCD-013'!V54="-",'F-LSCD-013'!V53,'F-LSCD-013'!V54)</f>
        <v>0.21831142793495209</v>
      </c>
      <c r="S45" s="3332"/>
      <c r="T45" s="3332"/>
      <c r="U45" s="3333"/>
      <c r="V45" s="3337" t="str">
        <f>"Lectura x "&amp;FIXED(R45,4)</f>
        <v>Lectura x 0.2183</v>
      </c>
      <c r="W45" s="2995"/>
      <c r="X45" s="2995"/>
      <c r="Y45" s="2995"/>
      <c r="Z45" s="2995"/>
      <c r="AA45" s="2995"/>
      <c r="AB45" s="2995"/>
      <c r="AC45" s="3338"/>
      <c r="AD45" s="3328">
        <f>'F-LSCD-013'!W53</f>
        <v>0.13</v>
      </c>
      <c r="AE45" s="3329"/>
      <c r="AF45" s="3329"/>
      <c r="AG45" s="3330"/>
      <c r="AH45" s="3327" t="s">
        <v>965</v>
      </c>
      <c r="AI45" s="3327"/>
      <c r="AJ45" s="3327"/>
      <c r="AK45" s="1264"/>
      <c r="AL45" s="167"/>
    </row>
    <row r="46" spans="1:38" ht="14.25" customHeight="1" x14ac:dyDescent="0.2">
      <c r="A46" s="165"/>
      <c r="C46" s="2967">
        <v>546</v>
      </c>
      <c r="D46" s="2967"/>
      <c r="E46" s="2967"/>
      <c r="F46" s="2792" t="s">
        <v>901</v>
      </c>
      <c r="G46" s="2792"/>
      <c r="H46" s="2792"/>
      <c r="I46" s="2792"/>
      <c r="J46" s="2792" t="s">
        <v>861</v>
      </c>
      <c r="K46" s="2792"/>
      <c r="L46" s="2792"/>
      <c r="M46" s="2792"/>
      <c r="N46" s="3331">
        <f>IF('F-LSCD-013'!U56="-",'F-LSCD-013'!U55,'F-LSCD-013'!U56)</f>
        <v>0.14424107751983312</v>
      </c>
      <c r="O46" s="3332"/>
      <c r="P46" s="3332"/>
      <c r="Q46" s="3333"/>
      <c r="R46" s="3334">
        <f>IF('F-LSCD-013'!V56="-",'F-LSCD-013'!V55,'F-LSCD-013'!V56)</f>
        <v>0.11227413601543768</v>
      </c>
      <c r="S46" s="3335"/>
      <c r="T46" s="3335"/>
      <c r="U46" s="3336"/>
      <c r="V46" s="3344" t="str">
        <f>"Lectura x "&amp;FIXED(R46,5)</f>
        <v>Lectura x 0.11227</v>
      </c>
      <c r="W46" s="3014"/>
      <c r="X46" s="3014"/>
      <c r="Y46" s="3014"/>
      <c r="Z46" s="3014"/>
      <c r="AA46" s="3014"/>
      <c r="AB46" s="3014"/>
      <c r="AC46" s="3345"/>
      <c r="AD46" s="3328">
        <f>'F-LSCD-013'!W55</f>
        <v>9.2999999999999999E-2</v>
      </c>
      <c r="AE46" s="3329"/>
      <c r="AF46" s="3329"/>
      <c r="AG46" s="3330"/>
      <c r="AH46" s="3327" t="s">
        <v>965</v>
      </c>
      <c r="AI46" s="3327"/>
      <c r="AJ46" s="3327"/>
      <c r="AK46" s="1264"/>
      <c r="AL46" s="167"/>
    </row>
    <row r="47" spans="1:38" ht="12.75" customHeight="1" x14ac:dyDescent="0.2">
      <c r="A47" s="165"/>
      <c r="B47" s="166"/>
      <c r="C47" s="3369" t="s">
        <v>886</v>
      </c>
      <c r="D47" s="3369"/>
      <c r="E47" s="3369"/>
      <c r="F47" s="3369"/>
      <c r="G47" s="3369"/>
      <c r="H47" s="3369"/>
      <c r="I47" s="3369"/>
      <c r="J47" s="3369"/>
      <c r="K47" s="3369"/>
      <c r="L47" s="3369"/>
      <c r="M47" s="3369"/>
      <c r="N47" s="3369"/>
      <c r="O47" s="3369"/>
      <c r="P47" s="3369"/>
      <c r="Q47" s="3369"/>
      <c r="R47" s="3369"/>
      <c r="S47" s="3369"/>
      <c r="T47" s="3369"/>
      <c r="U47" s="3369"/>
      <c r="V47" s="3369"/>
      <c r="W47" s="3369"/>
      <c r="X47" s="3369"/>
      <c r="Y47" s="3369"/>
      <c r="Z47" s="3369"/>
      <c r="AA47" s="3369"/>
      <c r="AB47" s="3369"/>
      <c r="AC47" s="3369"/>
      <c r="AD47" s="3369"/>
      <c r="AE47" s="3369"/>
      <c r="AF47" s="3369"/>
      <c r="AG47" s="3369"/>
      <c r="AL47" s="167"/>
    </row>
    <row r="48" spans="1:38" x14ac:dyDescent="0.2">
      <c r="A48" s="165"/>
      <c r="B48" s="166"/>
      <c r="C48" s="3124" t="s">
        <v>887</v>
      </c>
      <c r="D48" s="3124"/>
      <c r="E48" s="3124"/>
      <c r="F48" s="3124"/>
      <c r="G48" s="3124"/>
      <c r="H48" s="3124"/>
      <c r="I48" s="3124"/>
      <c r="J48" s="3124"/>
      <c r="K48" s="3124"/>
      <c r="L48" s="3124"/>
      <c r="M48" s="3124"/>
      <c r="N48" s="3124"/>
      <c r="O48" s="3124"/>
      <c r="P48" s="3124"/>
      <c r="Q48" s="3124"/>
      <c r="R48" s="3124"/>
      <c r="S48" s="3124"/>
      <c r="T48" s="3124"/>
      <c r="U48" s="3124"/>
      <c r="V48" s="3124"/>
      <c r="W48" s="3124"/>
      <c r="X48" s="3124"/>
      <c r="Y48" s="3124"/>
      <c r="Z48" s="3124"/>
      <c r="AA48" s="3124"/>
      <c r="AB48" s="3124"/>
      <c r="AC48" s="3124"/>
      <c r="AD48" s="3124"/>
      <c r="AE48" s="3124"/>
      <c r="AF48" s="3124"/>
      <c r="AG48" s="3124"/>
      <c r="AL48" s="167"/>
    </row>
    <row r="49" spans="1:38" ht="15.75" x14ac:dyDescent="0.3">
      <c r="A49" s="165"/>
      <c r="B49" s="166"/>
      <c r="C49" s="3124" t="s">
        <v>891</v>
      </c>
      <c r="D49" s="3124"/>
      <c r="E49" s="3124"/>
      <c r="F49" s="3124"/>
      <c r="G49" s="3124"/>
      <c r="H49" s="3124"/>
      <c r="I49" s="3124"/>
      <c r="J49" s="3124"/>
      <c r="K49" s="3124"/>
      <c r="L49" s="3124"/>
      <c r="M49" s="3124"/>
      <c r="N49" s="3124"/>
      <c r="O49" s="3124"/>
      <c r="P49" s="3124"/>
      <c r="Q49" s="3124"/>
      <c r="R49" s="3124"/>
      <c r="S49" s="3124"/>
      <c r="T49" s="3124"/>
      <c r="U49" s="3124"/>
      <c r="V49" s="3124"/>
      <c r="W49" s="3124"/>
      <c r="X49" s="3124"/>
      <c r="Y49" s="3124"/>
      <c r="Z49" s="3124"/>
      <c r="AA49" s="3124"/>
      <c r="AB49" s="3124"/>
      <c r="AC49" s="3124"/>
      <c r="AD49" s="3124"/>
      <c r="AE49" s="3124"/>
      <c r="AF49" s="3124"/>
      <c r="AG49" s="3124"/>
      <c r="AL49" s="167"/>
    </row>
    <row r="50" spans="1:38" ht="12.75" customHeight="1" x14ac:dyDescent="0.2">
      <c r="A50" s="165"/>
      <c r="B50" s="166"/>
      <c r="C50" s="3124" t="str">
        <f>IF('F-LSCD-013'!C25="cps","Lectura [cps] = Tasa de conteo total medido por el monitor - Tasa de conteo de fondo",IF('F-LSCD-013'!C25="cpm","Lectura [cps] = (Tasa de conteo total medido por el monitor - Tasa de conteo de fondo) ÷ 60",IF('F-LSCD-013'!C25="cuentas","Lectura [cps] = (cuentas totales medido por el monitor/t) - (cuentas de fondo/t); t = tiempo medición en seg.",IF('F-LSCD-013'!C25="µSv/h","Lectura [µSv/h] = Tasa de conteo total medido por el monitor - Tasa de conteo de fondo","FALTA DEFINIR UNIDAD"))))</f>
        <v>Lectura [µSv/h] = Tasa de conteo total medido por el monitor - Tasa de conteo de fondo</v>
      </c>
      <c r="D50" s="3124"/>
      <c r="E50" s="3124"/>
      <c r="F50" s="3124"/>
      <c r="G50" s="3124"/>
      <c r="H50" s="3124"/>
      <c r="I50" s="3124"/>
      <c r="J50" s="3124"/>
      <c r="K50" s="3124"/>
      <c r="L50" s="3124"/>
      <c r="M50" s="3124"/>
      <c r="N50" s="3124"/>
      <c r="O50" s="3124"/>
      <c r="P50" s="3124"/>
      <c r="Q50" s="3124"/>
      <c r="R50" s="3124"/>
      <c r="S50" s="3124"/>
      <c r="T50" s="3124"/>
      <c r="U50" s="3124"/>
      <c r="V50" s="3124"/>
      <c r="W50" s="3124"/>
      <c r="X50" s="3124"/>
      <c r="Y50" s="3124"/>
      <c r="Z50" s="3124"/>
      <c r="AA50" s="3124"/>
      <c r="AB50" s="3124"/>
      <c r="AC50" s="3124"/>
      <c r="AD50" s="3124"/>
      <c r="AE50" s="3124"/>
      <c r="AF50" s="3124"/>
      <c r="AG50" s="3124"/>
      <c r="AL50" s="167"/>
    </row>
    <row r="51" spans="1:38" x14ac:dyDescent="0.2">
      <c r="A51" s="165"/>
      <c r="B51" s="166"/>
      <c r="C51" s="1355"/>
      <c r="D51" s="1355"/>
      <c r="E51" s="1355"/>
      <c r="F51" s="1355"/>
      <c r="G51" s="1355"/>
      <c r="H51" s="1355"/>
      <c r="I51" s="1355"/>
      <c r="J51" s="1355"/>
      <c r="K51" s="1355"/>
      <c r="L51" s="1355"/>
      <c r="M51" s="1355"/>
      <c r="N51" s="1355"/>
      <c r="O51" s="1355"/>
      <c r="P51" s="1355"/>
      <c r="Q51" s="1355"/>
      <c r="R51" s="1355"/>
      <c r="S51" s="1355"/>
      <c r="T51" s="1355"/>
      <c r="U51" s="1355"/>
      <c r="V51" s="1355"/>
      <c r="W51" s="1355"/>
      <c r="X51" s="1355"/>
      <c r="Y51" s="1355"/>
      <c r="Z51" s="1355"/>
      <c r="AA51" s="1355"/>
      <c r="AB51" s="1355"/>
      <c r="AC51" s="1355"/>
      <c r="AD51" s="1355"/>
      <c r="AE51" s="1355"/>
      <c r="AF51" s="1355"/>
      <c r="AG51" s="1355"/>
      <c r="AL51" s="167"/>
    </row>
    <row r="52" spans="1:38" ht="11.25" customHeight="1" x14ac:dyDescent="0.2">
      <c r="A52" s="165"/>
      <c r="B52" s="175" t="s">
        <v>1302</v>
      </c>
      <c r="C52" s="238"/>
      <c r="D52" s="200"/>
      <c r="E52" s="200"/>
      <c r="F52" s="200"/>
      <c r="G52" s="200"/>
      <c r="H52" s="200"/>
      <c r="I52" s="200"/>
      <c r="J52" s="200"/>
      <c r="AL52" s="167"/>
    </row>
    <row r="53" spans="1:38" ht="6.75" customHeight="1" x14ac:dyDescent="0.2">
      <c r="A53" s="165"/>
      <c r="B53" s="175"/>
      <c r="C53" s="238"/>
      <c r="D53" s="200"/>
      <c r="E53" s="200"/>
      <c r="F53" s="200"/>
      <c r="G53" s="200"/>
      <c r="H53" s="200"/>
      <c r="I53" s="200"/>
      <c r="J53" s="200"/>
      <c r="AL53" s="167"/>
    </row>
    <row r="54" spans="1:38" ht="27.75" customHeight="1" x14ac:dyDescent="0.2">
      <c r="A54" s="165"/>
      <c r="C54" s="3363" t="s">
        <v>1303</v>
      </c>
      <c r="D54" s="3364"/>
      <c r="E54" s="3364"/>
      <c r="F54" s="3364"/>
      <c r="G54" s="3364"/>
      <c r="H54" s="3364"/>
      <c r="I54" s="3364"/>
      <c r="J54" s="3364"/>
      <c r="K54" s="3364"/>
      <c r="L54" s="3364"/>
      <c r="M54" s="3364"/>
      <c r="N54" s="3364"/>
      <c r="O54" s="3364"/>
      <c r="P54" s="3364"/>
      <c r="Q54" s="3364"/>
      <c r="R54" s="3364"/>
      <c r="S54" s="3364"/>
      <c r="T54" s="3364"/>
      <c r="U54" s="3364"/>
      <c r="V54" s="3364"/>
      <c r="W54" s="3364"/>
      <c r="X54" s="3364"/>
      <c r="Y54" s="3364"/>
      <c r="Z54" s="3364"/>
      <c r="AA54" s="3364"/>
      <c r="AB54" s="3364"/>
      <c r="AC54" s="3364"/>
      <c r="AD54" s="3364"/>
      <c r="AE54" s="3364"/>
      <c r="AF54" s="3364"/>
      <c r="AG54" s="3365"/>
      <c r="AH54" s="1407"/>
      <c r="AI54" s="1407"/>
      <c r="AJ54" s="1407"/>
      <c r="AK54" s="1407"/>
      <c r="AL54" s="167"/>
    </row>
    <row r="55" spans="1:38" ht="25.5" customHeight="1" x14ac:dyDescent="0.2">
      <c r="A55" s="165"/>
      <c r="B55" s="168"/>
      <c r="C55" s="1880" t="s">
        <v>1245</v>
      </c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75"/>
      <c r="O55" s="175"/>
      <c r="P55" s="175"/>
      <c r="Q55" s="175"/>
      <c r="R55" s="175"/>
      <c r="S55" s="1307"/>
      <c r="T55" s="226"/>
      <c r="U55" s="226"/>
      <c r="V55" s="226"/>
      <c r="W55" s="226"/>
      <c r="X55" s="226"/>
      <c r="Y55" s="226"/>
      <c r="Z55" s="226"/>
      <c r="AA55" s="226"/>
      <c r="AB55" s="226"/>
      <c r="AC55" s="226"/>
      <c r="AD55" s="226"/>
      <c r="AE55" s="226"/>
      <c r="AF55" s="226"/>
      <c r="AG55" s="226"/>
      <c r="AH55" s="226"/>
      <c r="AI55" s="226"/>
      <c r="AJ55" s="226"/>
      <c r="AK55" s="226"/>
      <c r="AL55" s="167"/>
    </row>
    <row r="56" spans="1:38" ht="3" customHeight="1" thickBot="1" x14ac:dyDescent="0.25">
      <c r="A56" s="195"/>
      <c r="B56" s="196"/>
      <c r="C56" s="196"/>
      <c r="D56" s="19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7"/>
    </row>
    <row r="57" spans="1:38" ht="15.75" thickTop="1" x14ac:dyDescent="0.25">
      <c r="A57" s="3022" t="s">
        <v>1118</v>
      </c>
      <c r="B57" s="3023"/>
      <c r="C57" s="3023"/>
      <c r="D57" s="3023"/>
      <c r="E57" s="3023"/>
      <c r="F57" s="3023"/>
      <c r="G57" s="3023"/>
      <c r="H57" s="3023"/>
      <c r="I57" s="3023"/>
      <c r="J57" s="3023"/>
      <c r="K57" s="3023"/>
      <c r="L57" s="3023"/>
      <c r="M57" s="3023"/>
      <c r="N57" s="3023"/>
      <c r="O57" s="3023"/>
      <c r="P57" s="3023"/>
      <c r="Q57" s="3023"/>
      <c r="R57" s="3023"/>
      <c r="S57" s="3023"/>
      <c r="T57" s="3023"/>
      <c r="U57" s="3023"/>
      <c r="V57" s="3023"/>
      <c r="W57" s="3023"/>
      <c r="X57" s="3023"/>
      <c r="Y57" s="3023"/>
      <c r="Z57" s="3023"/>
      <c r="AA57" s="3023"/>
      <c r="AB57" s="3023"/>
      <c r="AC57" s="3023"/>
      <c r="AD57" s="3023"/>
      <c r="AE57" s="3023"/>
      <c r="AF57" s="3023"/>
      <c r="AG57" s="3023"/>
      <c r="AH57" s="3023"/>
      <c r="AI57" s="3023"/>
      <c r="AJ57" s="3023"/>
      <c r="AK57" s="3023"/>
      <c r="AL57" s="3024"/>
    </row>
    <row r="58" spans="1:38" ht="11.25" customHeight="1" thickBot="1" x14ac:dyDescent="0.25">
      <c r="A58" s="3025" t="s">
        <v>279</v>
      </c>
      <c r="B58" s="3026"/>
      <c r="C58" s="3026"/>
      <c r="D58" s="3026"/>
      <c r="E58" s="3026"/>
      <c r="F58" s="3026"/>
      <c r="G58" s="3026"/>
      <c r="H58" s="3026"/>
      <c r="I58" s="3026"/>
      <c r="J58" s="3026"/>
      <c r="K58" s="3026"/>
      <c r="L58" s="3026"/>
      <c r="M58" s="3026"/>
      <c r="N58" s="3026"/>
      <c r="O58" s="3026"/>
      <c r="P58" s="3026"/>
      <c r="Q58" s="3026"/>
      <c r="R58" s="3026"/>
      <c r="S58" s="3026"/>
      <c r="T58" s="3026"/>
      <c r="U58" s="3026"/>
      <c r="V58" s="3026"/>
      <c r="W58" s="3026"/>
      <c r="X58" s="3026"/>
      <c r="Y58" s="3026"/>
      <c r="Z58" s="3026"/>
      <c r="AA58" s="3026"/>
      <c r="AB58" s="3026"/>
      <c r="AC58" s="3026"/>
      <c r="AD58" s="3026"/>
      <c r="AE58" s="3026"/>
      <c r="AF58" s="3026"/>
      <c r="AG58" s="3026"/>
      <c r="AH58" s="3026"/>
      <c r="AI58" s="3026"/>
      <c r="AJ58" s="3026"/>
      <c r="AK58" s="3026"/>
      <c r="AL58" s="3027"/>
    </row>
    <row r="59" spans="1:38" x14ac:dyDescent="0.2">
      <c r="A59" s="1356" t="s">
        <v>907</v>
      </c>
      <c r="AK59" s="1357" t="str">
        <f>A4</f>
        <v>CERTIFICADO DE CALIBRACIÓN N° LSCD 011-2021</v>
      </c>
    </row>
  </sheetData>
  <mergeCells count="71">
    <mergeCell ref="C54:AG54"/>
    <mergeCell ref="AD27:AK27"/>
    <mergeCell ref="AD28:AK38"/>
    <mergeCell ref="M17:AB17"/>
    <mergeCell ref="M18:AB18"/>
    <mergeCell ref="M19:AB19"/>
    <mergeCell ref="M24:W24"/>
    <mergeCell ref="M25:AB25"/>
    <mergeCell ref="M21:AB22"/>
    <mergeCell ref="M20:W20"/>
    <mergeCell ref="M26:AB26"/>
    <mergeCell ref="M27:AB27"/>
    <mergeCell ref="M29:AB29"/>
    <mergeCell ref="AD17:AK25"/>
    <mergeCell ref="AD26:AK26"/>
    <mergeCell ref="C47:AG47"/>
    <mergeCell ref="AD8:AK16"/>
    <mergeCell ref="A2:AL3"/>
    <mergeCell ref="A4:AL4"/>
    <mergeCell ref="A5:AL5"/>
    <mergeCell ref="A6:AL6"/>
    <mergeCell ref="M12:AB12"/>
    <mergeCell ref="M16:W16"/>
    <mergeCell ref="M9:AB9"/>
    <mergeCell ref="C48:AG48"/>
    <mergeCell ref="C49:AG49"/>
    <mergeCell ref="N45:Q45"/>
    <mergeCell ref="M34:AB34"/>
    <mergeCell ref="M36:R36"/>
    <mergeCell ref="M38:R38"/>
    <mergeCell ref="F42:I43"/>
    <mergeCell ref="R42:U42"/>
    <mergeCell ref="R43:U43"/>
    <mergeCell ref="J44:M44"/>
    <mergeCell ref="AD42:AG43"/>
    <mergeCell ref="V44:AC44"/>
    <mergeCell ref="C45:E45"/>
    <mergeCell ref="AD44:AG44"/>
    <mergeCell ref="AD45:AG45"/>
    <mergeCell ref="C46:E46"/>
    <mergeCell ref="A58:AL58"/>
    <mergeCell ref="N46:Q46"/>
    <mergeCell ref="C42:E43"/>
    <mergeCell ref="J42:M43"/>
    <mergeCell ref="V45:AC45"/>
    <mergeCell ref="V42:AC42"/>
    <mergeCell ref="V43:AC43"/>
    <mergeCell ref="V46:AC46"/>
    <mergeCell ref="N44:Q44"/>
    <mergeCell ref="N42:Q42"/>
    <mergeCell ref="N43:Q43"/>
    <mergeCell ref="A57:AL57"/>
    <mergeCell ref="C50:AG50"/>
    <mergeCell ref="J45:M45"/>
    <mergeCell ref="J46:M46"/>
    <mergeCell ref="C44:E44"/>
    <mergeCell ref="F44:I44"/>
    <mergeCell ref="F45:I45"/>
    <mergeCell ref="F46:I46"/>
    <mergeCell ref="R44:U44"/>
    <mergeCell ref="R45:U45"/>
    <mergeCell ref="R46:U46"/>
    <mergeCell ref="AH44:AJ44"/>
    <mergeCell ref="AH45:AJ45"/>
    <mergeCell ref="AH46:AJ46"/>
    <mergeCell ref="M31:T31"/>
    <mergeCell ref="U31:AB31"/>
    <mergeCell ref="M33:T33"/>
    <mergeCell ref="U33:AB33"/>
    <mergeCell ref="AH42:AJ43"/>
    <mergeCell ref="AD46:AG46"/>
  </mergeCells>
  <conditionalFormatting sqref="AC31:AC33 M34:M38 T36:AC38 N8:AC8 N10:AC10 AC9">
    <cfRule type="cellIs" dxfId="24" priority="9" operator="equal">
      <formula>0</formula>
    </cfRule>
  </conditionalFormatting>
  <conditionalFormatting sqref="AC34:AC35">
    <cfRule type="cellIs" dxfId="23" priority="8" operator="equal">
      <formula>0</formula>
    </cfRule>
  </conditionalFormatting>
  <conditionalFormatting sqref="M34:M38 AC31:AC38 T36:AB38 N8:AC8 N10:AC10 AC9">
    <cfRule type="containsErrors" dxfId="22" priority="7">
      <formula>ISERROR(M8)</formula>
    </cfRule>
  </conditionalFormatting>
  <conditionalFormatting sqref="M8:M10">
    <cfRule type="cellIs" dxfId="21" priority="4" operator="equal">
      <formula>0</formula>
    </cfRule>
  </conditionalFormatting>
  <conditionalFormatting sqref="M8:M10">
    <cfRule type="containsErrors" dxfId="20" priority="3">
      <formula>ISERROR(M8)</formula>
    </cfRule>
  </conditionalFormatting>
  <conditionalFormatting sqref="M31:M33 U31:U33">
    <cfRule type="cellIs" dxfId="19" priority="2" operator="equal">
      <formula>0</formula>
    </cfRule>
  </conditionalFormatting>
  <conditionalFormatting sqref="M31:M33 U31:U33">
    <cfRule type="containsErrors" dxfId="18" priority="1">
      <formula>ISERROR(M31)</formula>
    </cfRule>
  </conditionalFormatting>
  <pageMargins left="0.27559055118110237" right="7.874015748031496E-2" top="0.23622047244094491" bottom="0" header="0.31496062992125984" footer="0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C1:N25"/>
  <sheetViews>
    <sheetView view="pageBreakPreview" zoomScale="376" zoomScaleNormal="100" zoomScaleSheetLayoutView="376" workbookViewId="0">
      <selection activeCell="I37" sqref="I37"/>
    </sheetView>
  </sheetViews>
  <sheetFormatPr baseColWidth="10" defaultColWidth="5.7109375" defaultRowHeight="4.5" customHeight="1" x14ac:dyDescent="0.25"/>
  <cols>
    <col min="1" max="3" width="0.5703125" style="1361" customWidth="1"/>
    <col min="4" max="5" width="2.140625" style="1361" customWidth="1"/>
    <col min="6" max="6" width="1.7109375" style="1361" customWidth="1"/>
    <col min="7" max="7" width="1.5703125" style="1361" customWidth="1"/>
    <col min="8" max="8" width="2.5703125" style="1361" customWidth="1"/>
    <col min="9" max="9" width="1.7109375" style="1361" customWidth="1"/>
    <col min="10" max="10" width="2.5703125" style="1361" customWidth="1"/>
    <col min="11" max="11" width="4" style="1361" customWidth="1"/>
    <col min="12" max="12" width="4.42578125" style="1361" customWidth="1"/>
    <col min="13" max="13" width="3.42578125" style="1361" customWidth="1"/>
    <col min="14" max="15" width="0.5703125" style="1361" customWidth="1"/>
    <col min="16" max="16" width="0.7109375" style="1361" customWidth="1"/>
    <col min="17" max="16384" width="5.7109375" style="1361"/>
  </cols>
  <sheetData>
    <row r="1" spans="3:14" ht="0.95" customHeight="1" thickBot="1" x14ac:dyDescent="0.3"/>
    <row r="2" spans="3:14" ht="3" customHeight="1" thickTop="1" x14ac:dyDescent="0.25">
      <c r="C2" s="1358"/>
      <c r="D2" s="1359"/>
      <c r="E2" s="1359"/>
      <c r="F2" s="1359"/>
      <c r="G2" s="1359"/>
      <c r="H2" s="1359"/>
      <c r="I2" s="1359"/>
      <c r="J2" s="1359"/>
      <c r="K2" s="1359"/>
      <c r="L2" s="1359"/>
      <c r="M2" s="1359"/>
      <c r="N2" s="1360"/>
    </row>
    <row r="3" spans="3:14" ht="6.6" customHeight="1" x14ac:dyDescent="0.25">
      <c r="C3" s="1362"/>
      <c r="D3" s="1363"/>
      <c r="E3" s="1364"/>
      <c r="F3" s="1365"/>
      <c r="G3" s="1365"/>
      <c r="H3" s="1365"/>
      <c r="I3" s="1419" t="s">
        <v>892</v>
      </c>
      <c r="J3" s="3374">
        <f>'F-LSCD-012 (Pers. Hp(10))'!C18</f>
        <v>43146</v>
      </c>
      <c r="K3" s="3374"/>
      <c r="L3" s="3374"/>
      <c r="M3" s="3375"/>
      <c r="N3" s="1366"/>
    </row>
    <row r="4" spans="3:14" ht="6.6" customHeight="1" x14ac:dyDescent="0.25">
      <c r="C4" s="1362"/>
      <c r="D4" s="1367"/>
      <c r="F4" s="1368"/>
      <c r="I4" s="1374" t="s">
        <v>897</v>
      </c>
      <c r="J4" s="3376" t="str">
        <f>'F-LSCD-012 (Pers. Hp(10))'!C25&amp;" ALEPH/GR/LSCD"</f>
        <v>021-2018 ALEPH/GR/LSCD</v>
      </c>
      <c r="K4" s="3376"/>
      <c r="L4" s="3376"/>
      <c r="M4" s="3377"/>
      <c r="N4" s="1366"/>
    </row>
    <row r="5" spans="3:14" ht="6.6" customHeight="1" x14ac:dyDescent="0.25">
      <c r="C5" s="1362"/>
      <c r="D5" s="1367"/>
      <c r="F5" s="1368"/>
      <c r="G5" s="1368"/>
      <c r="H5" s="1368"/>
      <c r="I5" s="1420" t="s">
        <v>896</v>
      </c>
      <c r="J5" s="3378">
        <f>DATE(YEAR(J3)+1,MONTH(J3),DAY(J3))</f>
        <v>43511</v>
      </c>
      <c r="K5" s="3378"/>
      <c r="L5" s="3378"/>
      <c r="M5" s="3379"/>
      <c r="N5" s="1366"/>
    </row>
    <row r="6" spans="3:14" ht="6.95" customHeight="1" x14ac:dyDescent="0.25">
      <c r="C6" s="1362"/>
      <c r="D6" s="1370"/>
      <c r="E6" s="1371"/>
      <c r="F6" s="1372"/>
      <c r="G6" s="1372"/>
      <c r="H6" s="1372"/>
      <c r="I6" s="1422" t="s">
        <v>894</v>
      </c>
      <c r="J6" s="3380" t="s">
        <v>895</v>
      </c>
      <c r="K6" s="3380"/>
      <c r="L6" s="3380"/>
      <c r="M6" s="3381"/>
      <c r="N6" s="1366"/>
    </row>
    <row r="7" spans="3:14" ht="0.75" customHeight="1" x14ac:dyDescent="0.25">
      <c r="C7" s="1362"/>
      <c r="N7" s="1366"/>
    </row>
    <row r="8" spans="3:14" ht="6.95" customHeight="1" x14ac:dyDescent="0.25">
      <c r="C8" s="1362"/>
      <c r="I8" s="1374" t="s">
        <v>893</v>
      </c>
      <c r="J8" s="1375" t="str">
        <f>'F-LSCD-012 (Pers. Hp(10))'!C10</f>
        <v>NDS PRODUCTS, INC.</v>
      </c>
      <c r="N8" s="1366"/>
    </row>
    <row r="9" spans="3:14" ht="6.95" customHeight="1" x14ac:dyDescent="0.25">
      <c r="C9" s="1362"/>
      <c r="I9" s="1374" t="s">
        <v>311</v>
      </c>
      <c r="J9" s="1375" t="str">
        <f>'F-LSCD-012 (Pers. Hp(10))'!C11</f>
        <v>ND-15</v>
      </c>
      <c r="N9" s="1366"/>
    </row>
    <row r="10" spans="3:14" ht="6.95" customHeight="1" x14ac:dyDescent="0.25">
      <c r="C10" s="1362"/>
      <c r="I10" s="1374" t="s">
        <v>312</v>
      </c>
      <c r="J10" s="1376" t="str">
        <f>'F-LSCD-012 (Pers. Hp(10))'!C12</f>
        <v>89364</v>
      </c>
      <c r="N10" s="1366"/>
    </row>
    <row r="11" spans="3:14" ht="0.75" customHeight="1" x14ac:dyDescent="0.25">
      <c r="C11" s="1362"/>
      <c r="N11" s="1366"/>
    </row>
    <row r="12" spans="3:14" ht="8.25" hidden="1" customHeight="1" x14ac:dyDescent="0.25">
      <c r="C12" s="1362"/>
      <c r="D12" s="3382" t="s">
        <v>946</v>
      </c>
      <c r="E12" s="3382"/>
      <c r="F12" s="3382"/>
      <c r="G12" s="3382" t="s">
        <v>945</v>
      </c>
      <c r="H12" s="3382"/>
      <c r="I12" s="3382"/>
      <c r="J12" s="3382"/>
      <c r="K12" s="3383" t="s">
        <v>898</v>
      </c>
      <c r="L12" s="3385" t="s">
        <v>259</v>
      </c>
      <c r="M12" s="3387" t="s">
        <v>6</v>
      </c>
      <c r="N12" s="1366"/>
    </row>
    <row r="13" spans="3:14" ht="9.75" hidden="1" customHeight="1" x14ac:dyDescent="0.25">
      <c r="C13" s="1362"/>
      <c r="D13" s="3382"/>
      <c r="E13" s="3382"/>
      <c r="F13" s="3382"/>
      <c r="G13" s="3389" t="s">
        <v>944</v>
      </c>
      <c r="H13" s="3389"/>
      <c r="I13" s="1434" t="s">
        <v>943</v>
      </c>
      <c r="J13" s="1434"/>
      <c r="K13" s="3384"/>
      <c r="L13" s="3386"/>
      <c r="M13" s="3388"/>
      <c r="N13" s="1366"/>
    </row>
    <row r="14" spans="3:14" ht="8.1" hidden="1" customHeight="1" x14ac:dyDescent="0.25">
      <c r="C14" s="1362"/>
      <c r="D14" s="3372">
        <f>'C.C. Monit Rad (Pers. Hp(10))'!C40</f>
        <v>25000</v>
      </c>
      <c r="E14" s="3372"/>
      <c r="F14" s="3372"/>
      <c r="G14" s="3373">
        <f>'C.C. Monit Rad (Pers. Hp(10))'!E40</f>
        <v>60</v>
      </c>
      <c r="H14" s="3373"/>
      <c r="I14" s="3372">
        <f>'C.C. Monit Rad (Pers. Hp(10))'!G40</f>
        <v>85.3</v>
      </c>
      <c r="J14" s="3372"/>
      <c r="K14" s="1421">
        <f>IF('F-LSCD-012 (Pers. Hp(10))'!R35="-",'F-LSCD-012 (Pers. Hp(10))'!R34,'F-LSCD-012 (Pers. Hp(10))'!R35)</f>
        <v>0.70339976553341155</v>
      </c>
      <c r="L14" s="1378">
        <f>IF('F-LSCD-012 (Pers. Hp(10))'!O35="-",'F-LSCD-012 (Pers. Hp(10))'!T34,'F-LSCD-012 (Pers. Hp(10))'!T35)</f>
        <v>0.1</v>
      </c>
      <c r="M14" s="1592" t="s">
        <v>268</v>
      </c>
      <c r="N14" s="1366"/>
    </row>
    <row r="15" spans="3:14" ht="8.1" hidden="1" customHeight="1" x14ac:dyDescent="0.25">
      <c r="C15" s="1362"/>
      <c r="D15" s="3372" t="str">
        <f>'C.C. Monit Rad (Pers. Hp(10))'!C41</f>
        <v>-</v>
      </c>
      <c r="E15" s="3372"/>
      <c r="F15" s="3372"/>
      <c r="G15" s="3373">
        <f>'C.C. Monit Rad (Pers. Hp(10))'!E41</f>
        <v>60</v>
      </c>
      <c r="H15" s="3373"/>
      <c r="I15" s="3372">
        <f>'C.C. Monit Rad (Pers. Hp(10))'!G41</f>
        <v>45.7</v>
      </c>
      <c r="J15" s="3372"/>
      <c r="K15" s="1421">
        <f>IF('F-LSCD-012 (Pers. Hp(10))'!R37="-",'F-LSCD-012 (Pers. Hp(10))'!R36,'F-LSCD-012 (Pers. Hp(10))'!R37)</f>
        <v>1.3129102844638949</v>
      </c>
      <c r="L15" s="1378">
        <f>IF('F-LSCD-012 (Pers. Hp(10))'!O37="-",'F-LSCD-012 (Pers. Hp(10))'!T36,'F-LSCD-012 (Pers. Hp(10))'!T37)</f>
        <v>0.1</v>
      </c>
      <c r="M15" s="1592" t="s">
        <v>269</v>
      </c>
      <c r="N15" s="1366"/>
    </row>
    <row r="16" spans="3:14" ht="8.1" hidden="1" customHeight="1" x14ac:dyDescent="0.25">
      <c r="C16" s="1362"/>
      <c r="E16" s="3370" t="str">
        <f>'F-LSCD-012'!A38</f>
        <v>-</v>
      </c>
      <c r="F16" s="3370"/>
      <c r="G16" s="3371"/>
      <c r="H16" s="3371"/>
      <c r="I16" s="3371"/>
      <c r="J16" s="3371"/>
      <c r="K16" s="1421" t="str">
        <f>IF('F-LSCD-012'!R39="-",'F-LSCD-012'!R38,'F-LSCD-012'!R39)</f>
        <v>-</v>
      </c>
      <c r="L16" s="1384" t="str">
        <f>IF('F-LSCD-012'!O39="-",'F-LSCD-012'!T38,'F-LSCD-012'!T39)</f>
        <v>-</v>
      </c>
      <c r="N16" s="1366"/>
    </row>
    <row r="17" spans="3:14" ht="8.1" hidden="1" customHeight="1" x14ac:dyDescent="0.25">
      <c r="C17" s="1362"/>
      <c r="E17" s="3371" t="str">
        <f>'F-LSCD-012'!A40</f>
        <v>-</v>
      </c>
      <c r="F17" s="3371"/>
      <c r="G17" s="3371"/>
      <c r="H17" s="3371"/>
      <c r="I17" s="3371"/>
      <c r="J17" s="3371"/>
      <c r="K17" s="1421" t="str">
        <f>IF('F-LSCD-012'!R41="-",'F-LSCD-012'!R40,'F-LSCD-012'!R41)</f>
        <v>-</v>
      </c>
      <c r="L17" s="1384" t="str">
        <f>IF('F-LSCD-012'!O41="-",'F-LSCD-012'!T40,'F-LSCD-012'!T41)</f>
        <v>-</v>
      </c>
      <c r="N17" s="1366"/>
    </row>
    <row r="18" spans="3:14" ht="8.1" hidden="1" customHeight="1" x14ac:dyDescent="0.25">
      <c r="C18" s="1362"/>
      <c r="E18" s="3371" t="str">
        <f>'F-LSCD-012'!A42</f>
        <v>-</v>
      </c>
      <c r="F18" s="3371"/>
      <c r="G18" s="3371"/>
      <c r="H18" s="3371"/>
      <c r="I18" s="3371"/>
      <c r="J18" s="3371"/>
      <c r="K18" s="1421" t="str">
        <f>IF('F-LSCD-012'!R43="-",'F-LSCD-012'!R42,'F-LSCD-012'!R43)</f>
        <v>-</v>
      </c>
      <c r="L18" s="1384" t="str">
        <f>IF('F-LSCD-012'!O43="-",'F-LSCD-012'!T42,'F-LSCD-012'!T43)</f>
        <v>-</v>
      </c>
      <c r="N18" s="1366"/>
    </row>
    <row r="19" spans="3:14" ht="8.1" hidden="1" customHeight="1" x14ac:dyDescent="0.25">
      <c r="C19" s="1362"/>
      <c r="E19" s="3371" t="str">
        <f>'F-LSCD-012'!A44</f>
        <v>-</v>
      </c>
      <c r="F19" s="3371"/>
      <c r="G19" s="3371"/>
      <c r="H19" s="3371"/>
      <c r="I19" s="3371"/>
      <c r="J19" s="3371"/>
      <c r="K19" s="1421" t="str">
        <f>IF('F-LSCD-012'!R45="-",'F-LSCD-012'!R44,'F-LSCD-012'!R45)</f>
        <v>-</v>
      </c>
      <c r="L19" s="1384" t="str">
        <f>IF('F-LSCD-012'!O45="-",'F-LSCD-012'!T44,'F-LSCD-012'!T45)</f>
        <v>-</v>
      </c>
      <c r="N19" s="1366"/>
    </row>
    <row r="20" spans="3:14" ht="8.1" hidden="1" customHeight="1" x14ac:dyDescent="0.25">
      <c r="C20" s="1362"/>
      <c r="E20" s="3371" t="str">
        <f>'F-LSCD-012'!A46</f>
        <v>-</v>
      </c>
      <c r="F20" s="3371"/>
      <c r="G20" s="3371"/>
      <c r="H20" s="3371"/>
      <c r="I20" s="3371"/>
      <c r="J20" s="3371"/>
      <c r="K20" s="1421" t="str">
        <f>IF('F-LSCD-012'!R47="-",'F-LSCD-012'!R46,'F-LSCD-012'!R47)</f>
        <v>-</v>
      </c>
      <c r="L20" s="1384" t="str">
        <f>IF('F-LSCD-012'!O47="-",'F-LSCD-012'!T46,'F-LSCD-012'!T47)</f>
        <v>-</v>
      </c>
      <c r="N20" s="1366"/>
    </row>
    <row r="21" spans="3:14" ht="6.75" hidden="1" customHeight="1" x14ac:dyDescent="0.25">
      <c r="C21" s="1362"/>
      <c r="E21" s="1375" t="str">
        <f>"VCV = "&amp;"Lectura del monitor x FC"</f>
        <v>VCV = Lectura del monitor x FC</v>
      </c>
      <c r="N21" s="1366"/>
    </row>
    <row r="22" spans="3:14" ht="9" hidden="1" customHeight="1" x14ac:dyDescent="0.25">
      <c r="C22" s="1362"/>
      <c r="E22" s="1375" t="s">
        <v>947</v>
      </c>
      <c r="N22" s="1366"/>
    </row>
    <row r="23" spans="3:14" ht="6.75" customHeight="1" x14ac:dyDescent="0.25">
      <c r="C23" s="1362"/>
      <c r="E23" s="1375" t="str">
        <f>"Promedio FC = "&amp;TEXT(AVERAGE(K14:K20),"#0,##")</f>
        <v>Promedio FC = 01</v>
      </c>
      <c r="N23" s="1366"/>
    </row>
    <row r="24" spans="3:14" ht="2.1" customHeight="1" thickBot="1" x14ac:dyDescent="0.3">
      <c r="C24" s="1379"/>
      <c r="D24" s="1380"/>
      <c r="E24" s="1380"/>
      <c r="F24" s="1380"/>
      <c r="G24" s="1380"/>
      <c r="H24" s="1380"/>
      <c r="I24" s="1380"/>
      <c r="J24" s="1380"/>
      <c r="K24" s="1380"/>
      <c r="L24" s="1380"/>
      <c r="M24" s="1380"/>
      <c r="N24" s="1381"/>
    </row>
    <row r="25" spans="3:14" ht="0.95" customHeight="1" thickTop="1" x14ac:dyDescent="0.25"/>
  </sheetData>
  <mergeCells count="21">
    <mergeCell ref="J3:M3"/>
    <mergeCell ref="J4:M4"/>
    <mergeCell ref="J5:M5"/>
    <mergeCell ref="J6:M6"/>
    <mergeCell ref="D12:F13"/>
    <mergeCell ref="G12:J12"/>
    <mergeCell ref="K12:K13"/>
    <mergeCell ref="L12:L13"/>
    <mergeCell ref="M12:M13"/>
    <mergeCell ref="G13:H13"/>
    <mergeCell ref="D14:F14"/>
    <mergeCell ref="G14:H14"/>
    <mergeCell ref="I14:J14"/>
    <mergeCell ref="D15:F15"/>
    <mergeCell ref="G15:H15"/>
    <mergeCell ref="I15:J15"/>
    <mergeCell ref="E16:J16"/>
    <mergeCell ref="E17:J17"/>
    <mergeCell ref="E18:J18"/>
    <mergeCell ref="E19:J19"/>
    <mergeCell ref="E20:J20"/>
  </mergeCells>
  <pageMargins left="0" right="0" top="0" bottom="0" header="0" footer="0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C1:N23"/>
  <sheetViews>
    <sheetView view="pageBreakPreview" zoomScale="376" zoomScaleNormal="100" zoomScaleSheetLayoutView="376" workbookViewId="0"/>
  </sheetViews>
  <sheetFormatPr baseColWidth="10" defaultColWidth="5.7109375" defaultRowHeight="4.5" customHeight="1" x14ac:dyDescent="0.25"/>
  <cols>
    <col min="1" max="3" width="0.5703125" style="1361" customWidth="1"/>
    <col min="4" max="5" width="2.140625" style="1361" customWidth="1"/>
    <col min="6" max="6" width="1.7109375" style="1361" customWidth="1"/>
    <col min="7" max="7" width="1.5703125" style="1361" customWidth="1"/>
    <col min="8" max="8" width="2.5703125" style="1361" customWidth="1"/>
    <col min="9" max="9" width="1.7109375" style="1361" customWidth="1"/>
    <col min="10" max="10" width="2.42578125" style="1361" customWidth="1"/>
    <col min="11" max="11" width="4" style="1361" customWidth="1"/>
    <col min="12" max="12" width="4.42578125" style="1361" customWidth="1"/>
    <col min="13" max="13" width="3" style="1361" customWidth="1"/>
    <col min="14" max="14" width="1.42578125" style="1361" customWidth="1"/>
    <col min="15" max="15" width="0.5703125" style="1361" customWidth="1"/>
    <col min="16" max="16" width="0.7109375" style="1361" customWidth="1"/>
    <col min="17" max="16384" width="5.7109375" style="1361"/>
  </cols>
  <sheetData>
    <row r="1" spans="3:14" ht="0.95" customHeight="1" thickBot="1" x14ac:dyDescent="0.3"/>
    <row r="2" spans="3:14" ht="3" customHeight="1" thickTop="1" x14ac:dyDescent="0.25">
      <c r="C2" s="1358"/>
      <c r="D2" s="1359"/>
      <c r="E2" s="1359"/>
      <c r="F2" s="1359"/>
      <c r="G2" s="1359"/>
      <c r="H2" s="1359"/>
      <c r="I2" s="1359"/>
      <c r="J2" s="1359"/>
      <c r="K2" s="1359"/>
      <c r="L2" s="1359"/>
      <c r="M2" s="1359"/>
      <c r="N2" s="1360"/>
    </row>
    <row r="3" spans="3:14" ht="6.6" customHeight="1" x14ac:dyDescent="0.25">
      <c r="C3" s="1362"/>
      <c r="D3" s="1363"/>
      <c r="E3" s="1364"/>
      <c r="F3" s="1365"/>
      <c r="G3" s="1365"/>
      <c r="H3" s="1365"/>
      <c r="I3" s="1419" t="s">
        <v>892</v>
      </c>
      <c r="J3" s="3390">
        <f>'F-LSCD-012'!C18</f>
        <v>44336</v>
      </c>
      <c r="K3" s="3390"/>
      <c r="L3" s="3390"/>
      <c r="M3" s="3391"/>
      <c r="N3" s="1366"/>
    </row>
    <row r="4" spans="3:14" ht="6.6" customHeight="1" x14ac:dyDescent="0.25">
      <c r="C4" s="1362"/>
      <c r="D4" s="1367"/>
      <c r="F4" s="1368"/>
      <c r="I4" s="1374" t="s">
        <v>897</v>
      </c>
      <c r="J4" s="3376" t="str">
        <f>"LSCD "&amp;'F-LSCD-012'!C25</f>
        <v>LSCD 029-2021</v>
      </c>
      <c r="K4" s="3376"/>
      <c r="L4" s="3376"/>
      <c r="M4" s="3377"/>
      <c r="N4" s="1366"/>
    </row>
    <row r="5" spans="3:14" ht="6.6" customHeight="1" x14ac:dyDescent="0.25">
      <c r="C5" s="1362"/>
      <c r="D5" s="1367"/>
      <c r="F5" s="1368"/>
      <c r="G5" s="1368"/>
      <c r="H5" s="1368"/>
      <c r="I5" s="1420" t="s">
        <v>896</v>
      </c>
      <c r="J5" s="3392">
        <f>DATE(YEAR(J3)+1,MONTH(J3),DAY(J3))</f>
        <v>44701</v>
      </c>
      <c r="K5" s="3392"/>
      <c r="L5" s="3392"/>
      <c r="M5" s="3393"/>
      <c r="N5" s="1366"/>
    </row>
    <row r="6" spans="3:14" ht="6.95" customHeight="1" x14ac:dyDescent="0.25">
      <c r="C6" s="1362"/>
      <c r="D6" s="1370"/>
      <c r="E6" s="1371"/>
      <c r="F6" s="1372"/>
      <c r="G6" s="1372"/>
      <c r="H6" s="1372"/>
      <c r="I6" s="1422" t="s">
        <v>894</v>
      </c>
      <c r="J6" s="3380" t="s">
        <v>895</v>
      </c>
      <c r="K6" s="3380"/>
      <c r="L6" s="3380"/>
      <c r="M6" s="3381"/>
      <c r="N6" s="1366"/>
    </row>
    <row r="7" spans="3:14" ht="0.75" customHeight="1" x14ac:dyDescent="0.25">
      <c r="C7" s="1362"/>
      <c r="N7" s="1366"/>
    </row>
    <row r="8" spans="3:14" ht="6.95" customHeight="1" x14ac:dyDescent="0.25">
      <c r="C8" s="1362"/>
      <c r="I8" s="1374" t="s">
        <v>893</v>
      </c>
      <c r="J8" s="1375" t="str">
        <f>'F-LSCD-012'!C10</f>
        <v>MGP</v>
      </c>
      <c r="N8" s="1366"/>
    </row>
    <row r="9" spans="3:14" ht="6.95" customHeight="1" x14ac:dyDescent="0.25">
      <c r="C9" s="1362"/>
      <c r="I9" s="1374" t="s">
        <v>311</v>
      </c>
      <c r="J9" s="3394" t="str">
        <f>'F-LSCD-012'!C11</f>
        <v>DMC 2000S</v>
      </c>
      <c r="K9" s="3394"/>
      <c r="N9" s="1366"/>
    </row>
    <row r="10" spans="3:14" ht="6.95" customHeight="1" x14ac:dyDescent="0.25">
      <c r="C10" s="1362"/>
      <c r="I10" s="1374" t="s">
        <v>312</v>
      </c>
      <c r="J10" s="1376" t="str">
        <f>'F-LSCD-012'!C12</f>
        <v>690384T</v>
      </c>
      <c r="N10" s="1366"/>
    </row>
    <row r="11" spans="3:14" ht="0.75" customHeight="1" x14ac:dyDescent="0.25">
      <c r="C11" s="1362"/>
      <c r="N11" s="1366"/>
    </row>
    <row r="12" spans="3:14" ht="8.1" hidden="1" customHeight="1" x14ac:dyDescent="0.25">
      <c r="C12" s="1362"/>
      <c r="E12" s="3382" t="s">
        <v>903</v>
      </c>
      <c r="F12" s="3382"/>
      <c r="G12" s="3382"/>
      <c r="H12" s="3382"/>
      <c r="I12" s="3382"/>
      <c r="J12" s="3382"/>
      <c r="K12" s="1382" t="s">
        <v>898</v>
      </c>
      <c r="L12" s="1383" t="s">
        <v>259</v>
      </c>
      <c r="N12" s="1366"/>
    </row>
    <row r="13" spans="3:14" ht="8.1" hidden="1" customHeight="1" x14ac:dyDescent="0.25">
      <c r="C13" s="1362"/>
      <c r="E13" s="3371">
        <f>'F-LSCD-012'!A34</f>
        <v>25000</v>
      </c>
      <c r="F13" s="3371"/>
      <c r="G13" s="3371"/>
      <c r="H13" s="3371"/>
      <c r="I13" s="3371"/>
      <c r="J13" s="3371"/>
      <c r="K13" s="1421">
        <f>IF('F-LSCD-012'!R35="-",'F-LSCD-012'!R34,'F-LSCD-012'!R35)</f>
        <v>1.0105092966855296</v>
      </c>
      <c r="L13" s="1384">
        <f>IF('F-LSCD-012'!O35="-",'F-LSCD-012'!T34,'F-LSCD-012'!T35)</f>
        <v>4.4999999999999998E-2</v>
      </c>
      <c r="N13" s="1366"/>
    </row>
    <row r="14" spans="3:14" ht="8.1" hidden="1" customHeight="1" x14ac:dyDescent="0.25">
      <c r="C14" s="1362"/>
      <c r="E14" s="3371" t="str">
        <f>'F-LSCD-012'!A36</f>
        <v>-</v>
      </c>
      <c r="F14" s="3371"/>
      <c r="G14" s="3371"/>
      <c r="H14" s="3371"/>
      <c r="I14" s="3371"/>
      <c r="J14" s="3371"/>
      <c r="K14" s="1421" t="str">
        <f>IF('F-LSCD-012'!R37="-",'F-LSCD-012'!R36,'F-LSCD-012'!R37)</f>
        <v>-</v>
      </c>
      <c r="L14" s="1384" t="str">
        <f>IF('F-LSCD-012'!O37="-",'F-LSCD-012'!T36,'F-LSCD-012'!T37)</f>
        <v>-</v>
      </c>
      <c r="N14" s="1366"/>
    </row>
    <row r="15" spans="3:14" ht="8.1" hidden="1" customHeight="1" x14ac:dyDescent="0.25">
      <c r="C15" s="1362"/>
      <c r="E15" s="3371" t="str">
        <f>'F-LSCD-012'!A38</f>
        <v>-</v>
      </c>
      <c r="F15" s="3371"/>
      <c r="G15" s="3371"/>
      <c r="H15" s="3371"/>
      <c r="I15" s="3371"/>
      <c r="J15" s="3371"/>
      <c r="K15" s="1421" t="str">
        <f>IF('F-LSCD-012'!R39="-",'F-LSCD-012'!R38,'F-LSCD-012'!R39)</f>
        <v>-</v>
      </c>
      <c r="L15" s="1384" t="str">
        <f>IF('F-LSCD-012'!O39="-",'F-LSCD-012'!T38,'F-LSCD-012'!T39)</f>
        <v>-</v>
      </c>
      <c r="N15" s="1366"/>
    </row>
    <row r="16" spans="3:14" ht="8.1" hidden="1" customHeight="1" x14ac:dyDescent="0.25">
      <c r="C16" s="1362"/>
      <c r="E16" s="3371" t="str">
        <f>'F-LSCD-012'!A40</f>
        <v>-</v>
      </c>
      <c r="F16" s="3371"/>
      <c r="G16" s="3371"/>
      <c r="H16" s="3371"/>
      <c r="I16" s="3371"/>
      <c r="J16" s="3371"/>
      <c r="K16" s="1421" t="str">
        <f>IF('F-LSCD-012'!R41="-",'F-LSCD-012'!R40,'F-LSCD-012'!R41)</f>
        <v>-</v>
      </c>
      <c r="L16" s="1384" t="str">
        <f>IF('F-LSCD-012'!O41="-",'F-LSCD-012'!T40,'F-LSCD-012'!T41)</f>
        <v>-</v>
      </c>
      <c r="N16" s="1366"/>
    </row>
    <row r="17" spans="3:14" ht="8.1" hidden="1" customHeight="1" x14ac:dyDescent="0.25">
      <c r="C17" s="1362"/>
      <c r="E17" s="3371" t="str">
        <f>'F-LSCD-012'!A42</f>
        <v>-</v>
      </c>
      <c r="F17" s="3371"/>
      <c r="G17" s="3371"/>
      <c r="H17" s="3371"/>
      <c r="I17" s="3371"/>
      <c r="J17" s="3371"/>
      <c r="K17" s="1421" t="str">
        <f>IF('F-LSCD-012'!R43="-",'F-LSCD-012'!R42,'F-LSCD-012'!R43)</f>
        <v>-</v>
      </c>
      <c r="L17" s="1384" t="str">
        <f>IF('F-LSCD-012'!O43="-",'F-LSCD-012'!T42,'F-LSCD-012'!T43)</f>
        <v>-</v>
      </c>
      <c r="N17" s="1366"/>
    </row>
    <row r="18" spans="3:14" ht="8.1" hidden="1" customHeight="1" x14ac:dyDescent="0.25">
      <c r="C18" s="1362"/>
      <c r="E18" s="3371" t="str">
        <f>'F-LSCD-012'!A44</f>
        <v>-</v>
      </c>
      <c r="F18" s="3371"/>
      <c r="G18" s="3371"/>
      <c r="H18" s="3371"/>
      <c r="I18" s="3371"/>
      <c r="J18" s="3371"/>
      <c r="K18" s="1421" t="str">
        <f>IF('F-LSCD-012'!R45="-",'F-LSCD-012'!R44,'F-LSCD-012'!R45)</f>
        <v>-</v>
      </c>
      <c r="L18" s="1384" t="str">
        <f>IF('F-LSCD-012'!O45="-",'F-LSCD-012'!T44,'F-LSCD-012'!T45)</f>
        <v>-</v>
      </c>
      <c r="N18" s="1366"/>
    </row>
    <row r="19" spans="3:14" ht="8.1" hidden="1" customHeight="1" x14ac:dyDescent="0.25">
      <c r="C19" s="1362"/>
      <c r="E19" s="3371" t="str">
        <f>'F-LSCD-012'!A46</f>
        <v>-</v>
      </c>
      <c r="F19" s="3371"/>
      <c r="G19" s="3371"/>
      <c r="H19" s="3371"/>
      <c r="I19" s="3371"/>
      <c r="J19" s="3371"/>
      <c r="K19" s="1421" t="str">
        <f>IF('F-LSCD-012'!R47="-",'F-LSCD-012'!R46,'F-LSCD-012'!R47)</f>
        <v>-</v>
      </c>
      <c r="L19" s="1384" t="str">
        <f>IF('F-LSCD-012'!O47="-",'F-LSCD-012'!T46,'F-LSCD-012'!T47)</f>
        <v>-</v>
      </c>
      <c r="N19" s="1366"/>
    </row>
    <row r="20" spans="3:14" ht="8.25" customHeight="1" x14ac:dyDescent="0.25">
      <c r="C20" s="1362"/>
      <c r="I20" s="1374" t="str">
        <f>"Promedio FC:"</f>
        <v>Promedio FC:</v>
      </c>
      <c r="J20" s="1375" t="str">
        <f>IF('F-LSCD-012'!N34="cps",RIGHT('C.C. Monit Rad (Digital)'!C59,4)&amp;" (µSv/h)/cps",RIGHT('C.C. Monit Rad (Digital)'!C59,4))</f>
        <v>1.01</v>
      </c>
      <c r="N20" s="1366"/>
    </row>
    <row r="21" spans="3:14" ht="6.75" hidden="1" customHeight="1" x14ac:dyDescent="0.25">
      <c r="C21" s="1362"/>
      <c r="E21" s="1375" t="str">
        <f>"VCV = "&amp;"Lectura del monitor x FC"</f>
        <v>VCV = Lectura del monitor x FC</v>
      </c>
      <c r="N21" s="1366"/>
    </row>
    <row r="22" spans="3:14" ht="2.1" customHeight="1" thickBot="1" x14ac:dyDescent="0.3">
      <c r="C22" s="1379"/>
      <c r="D22" s="1380"/>
      <c r="E22" s="1380"/>
      <c r="F22" s="1380"/>
      <c r="G22" s="1380"/>
      <c r="H22" s="1380"/>
      <c r="I22" s="1380"/>
      <c r="J22" s="1380"/>
      <c r="K22" s="1380"/>
      <c r="L22" s="1380"/>
      <c r="M22" s="1380"/>
      <c r="N22" s="1381"/>
    </row>
    <row r="23" spans="3:14" ht="0.95" customHeight="1" thickTop="1" x14ac:dyDescent="0.25"/>
  </sheetData>
  <mergeCells count="13">
    <mergeCell ref="E19:J19"/>
    <mergeCell ref="J3:M3"/>
    <mergeCell ref="J4:M4"/>
    <mergeCell ref="J5:M5"/>
    <mergeCell ref="J6:M6"/>
    <mergeCell ref="E12:J12"/>
    <mergeCell ref="E13:J13"/>
    <mergeCell ref="E14:J14"/>
    <mergeCell ref="E15:J15"/>
    <mergeCell ref="E16:J16"/>
    <mergeCell ref="E17:J17"/>
    <mergeCell ref="E18:J18"/>
    <mergeCell ref="J9:K9"/>
  </mergeCells>
  <pageMargins left="0" right="0" top="0" bottom="0" header="0" footer="0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C1:N17"/>
  <sheetViews>
    <sheetView view="pageBreakPreview" zoomScale="376" zoomScaleNormal="100" zoomScaleSheetLayoutView="376" workbookViewId="0"/>
  </sheetViews>
  <sheetFormatPr baseColWidth="10" defaultColWidth="5.7109375" defaultRowHeight="4.5" customHeight="1" x14ac:dyDescent="0.25"/>
  <cols>
    <col min="1" max="3" width="0.5703125" style="1361" customWidth="1"/>
    <col min="4" max="5" width="2.140625" style="1361" customWidth="1"/>
    <col min="6" max="6" width="1.7109375" style="1361" customWidth="1"/>
    <col min="7" max="7" width="1.5703125" style="1361" customWidth="1"/>
    <col min="8" max="8" width="2.5703125" style="1361" customWidth="1"/>
    <col min="9" max="9" width="1.7109375" style="1361" customWidth="1"/>
    <col min="10" max="10" width="2.42578125" style="1361" customWidth="1"/>
    <col min="11" max="11" width="4" style="1361" customWidth="1"/>
    <col min="12" max="12" width="4.42578125" style="1361" customWidth="1"/>
    <col min="13" max="13" width="3.7109375" style="1361" customWidth="1"/>
    <col min="14" max="15" width="0.5703125" style="1361" customWidth="1"/>
    <col min="16" max="16" width="0.7109375" style="1361" customWidth="1"/>
    <col min="17" max="16384" width="5.7109375" style="1361"/>
  </cols>
  <sheetData>
    <row r="1" spans="3:14" ht="0.95" customHeight="1" thickBot="1" x14ac:dyDescent="0.3"/>
    <row r="2" spans="3:14" ht="3" customHeight="1" thickTop="1" x14ac:dyDescent="0.25">
      <c r="C2" s="1358"/>
      <c r="D2" s="1359"/>
      <c r="E2" s="1359"/>
      <c r="F2" s="1359"/>
      <c r="G2" s="1359"/>
      <c r="H2" s="1359"/>
      <c r="I2" s="1359"/>
      <c r="J2" s="1359"/>
      <c r="K2" s="1359"/>
      <c r="L2" s="1359"/>
      <c r="M2" s="1359"/>
      <c r="N2" s="1360"/>
    </row>
    <row r="3" spans="3:14" ht="6.6" customHeight="1" x14ac:dyDescent="0.25">
      <c r="C3" s="1362"/>
      <c r="D3" s="1363"/>
      <c r="E3" s="1364"/>
      <c r="F3" s="1365"/>
      <c r="G3" s="1365"/>
      <c r="H3" s="1365"/>
      <c r="I3" s="1419" t="s">
        <v>892</v>
      </c>
      <c r="J3" s="3390">
        <f>'F-LSCD-012'!C18</f>
        <v>44336</v>
      </c>
      <c r="K3" s="3390"/>
      <c r="L3" s="3390"/>
      <c r="M3" s="3391"/>
      <c r="N3" s="1366"/>
    </row>
    <row r="4" spans="3:14" ht="6.6" customHeight="1" x14ac:dyDescent="0.25">
      <c r="C4" s="1362"/>
      <c r="D4" s="1367"/>
      <c r="F4" s="1368"/>
      <c r="I4" s="1374" t="s">
        <v>897</v>
      </c>
      <c r="J4" s="3376" t="str">
        <f>"LSCD "&amp;'F-LSCD-012'!C25</f>
        <v>LSCD 029-2021</v>
      </c>
      <c r="K4" s="3376"/>
      <c r="L4" s="3376"/>
      <c r="M4" s="3377"/>
      <c r="N4" s="1366"/>
    </row>
    <row r="5" spans="3:14" ht="6.6" customHeight="1" x14ac:dyDescent="0.25">
      <c r="C5" s="1362"/>
      <c r="D5" s="1367"/>
      <c r="F5" s="1368"/>
      <c r="G5" s="1368"/>
      <c r="H5" s="1368"/>
      <c r="I5" s="1420" t="s">
        <v>896</v>
      </c>
      <c r="J5" s="3392">
        <f>DATE(YEAR(J3)+1,MONTH(J3),DAY(J3))</f>
        <v>44701</v>
      </c>
      <c r="K5" s="3392"/>
      <c r="L5" s="3392"/>
      <c r="M5" s="3393"/>
      <c r="N5" s="1366"/>
    </row>
    <row r="6" spans="3:14" ht="6.95" customHeight="1" x14ac:dyDescent="0.25">
      <c r="C6" s="1362"/>
      <c r="D6" s="1370"/>
      <c r="E6" s="1371"/>
      <c r="F6" s="1372"/>
      <c r="G6" s="1372"/>
      <c r="H6" s="1372"/>
      <c r="I6" s="1422" t="s">
        <v>894</v>
      </c>
      <c r="J6" s="3380" t="s">
        <v>895</v>
      </c>
      <c r="K6" s="3380"/>
      <c r="L6" s="3380"/>
      <c r="M6" s="3381"/>
      <c r="N6" s="1366"/>
    </row>
    <row r="7" spans="3:14" ht="0.75" customHeight="1" x14ac:dyDescent="0.25">
      <c r="C7" s="1362"/>
      <c r="N7" s="1366"/>
    </row>
    <row r="8" spans="3:14" ht="6.95" customHeight="1" x14ac:dyDescent="0.25">
      <c r="C8" s="1362"/>
      <c r="I8" s="1374" t="s">
        <v>893</v>
      </c>
      <c r="J8" s="1375" t="str">
        <f>'F-LSCD-012'!C10</f>
        <v>MGP</v>
      </c>
      <c r="N8" s="1366"/>
    </row>
    <row r="9" spans="3:14" ht="6.95" customHeight="1" x14ac:dyDescent="0.25">
      <c r="C9" s="1362"/>
      <c r="I9" s="1374" t="s">
        <v>311</v>
      </c>
      <c r="J9" s="1375" t="str">
        <f>'F-LSCD-012'!C11</f>
        <v>DMC 2000S</v>
      </c>
      <c r="N9" s="1366"/>
    </row>
    <row r="10" spans="3:14" ht="6.95" customHeight="1" x14ac:dyDescent="0.25">
      <c r="C10" s="1362"/>
      <c r="I10" s="1374" t="s">
        <v>312</v>
      </c>
      <c r="J10" s="1375" t="str">
        <f>'F-LSCD-012'!C12</f>
        <v>690384T</v>
      </c>
      <c r="N10" s="1366"/>
    </row>
    <row r="11" spans="3:14" ht="0.75" customHeight="1" x14ac:dyDescent="0.25">
      <c r="C11" s="1362"/>
      <c r="N11" s="1366"/>
    </row>
    <row r="12" spans="3:14" ht="8.1" customHeight="1" x14ac:dyDescent="0.25">
      <c r="C12" s="1362"/>
      <c r="E12" s="1441"/>
      <c r="G12" s="3382" t="s">
        <v>958</v>
      </c>
      <c r="H12" s="3382"/>
      <c r="I12" s="3382"/>
      <c r="J12" s="3389" t="s">
        <v>6</v>
      </c>
      <c r="K12" s="3389"/>
      <c r="L12" s="1442"/>
      <c r="N12" s="1366"/>
    </row>
    <row r="13" spans="3:14" ht="8.1" customHeight="1" x14ac:dyDescent="0.25">
      <c r="C13" s="1362"/>
      <c r="E13" s="1440"/>
      <c r="F13" s="1440"/>
      <c r="G13" s="3395">
        <f>0.87</f>
        <v>0.87</v>
      </c>
      <c r="H13" s="3395"/>
      <c r="I13" s="3395"/>
      <c r="J13" s="3371" t="str">
        <f>'C.C. Monit Rad (Analógico)'!R45</f>
        <v>x 1</v>
      </c>
      <c r="K13" s="3371"/>
      <c r="L13" s="1443"/>
      <c r="M13" s="3396"/>
      <c r="N13" s="1366"/>
    </row>
    <row r="14" spans="3:14" ht="8.1" customHeight="1" x14ac:dyDescent="0.25">
      <c r="C14" s="1362"/>
      <c r="E14" s="1440"/>
      <c r="F14" s="1440"/>
      <c r="G14" s="3371" t="str">
        <f>RIGHT('C.C. Monit Rad (Analógico)'!C67,4)</f>
        <v/>
      </c>
      <c r="H14" s="3371"/>
      <c r="I14" s="3371"/>
      <c r="J14" s="3371" t="str">
        <f>'C.C. Monit Rad (Analógico)'!R48</f>
        <v>x 10</v>
      </c>
      <c r="K14" s="3371"/>
      <c r="L14" s="1443"/>
      <c r="M14" s="3397"/>
      <c r="N14" s="1366"/>
    </row>
    <row r="15" spans="3:14" ht="8.1" customHeight="1" x14ac:dyDescent="0.25">
      <c r="C15" s="1362"/>
      <c r="E15" s="1440"/>
      <c r="F15" s="1440"/>
      <c r="G15" s="3371" t="str">
        <f>RIGHT('C.C. Monit Rad (Analógico)'!C68,4)</f>
        <v/>
      </c>
      <c r="H15" s="3371"/>
      <c r="I15" s="3371"/>
      <c r="J15" s="3371" t="str">
        <f>'C.C. Monit Rad (Analógico)'!R51</f>
        <v>x 100</v>
      </c>
      <c r="K15" s="3371"/>
      <c r="L15" s="1443"/>
      <c r="M15" s="3397"/>
      <c r="N15" s="1366"/>
    </row>
    <row r="16" spans="3:14" ht="2.25" customHeight="1" thickBot="1" x14ac:dyDescent="0.3">
      <c r="C16" s="1379"/>
      <c r="D16" s="1380"/>
      <c r="E16" s="1380"/>
      <c r="F16" s="1380"/>
      <c r="G16" s="1380"/>
      <c r="H16" s="1380"/>
      <c r="I16" s="1380"/>
      <c r="J16" s="1380"/>
      <c r="K16" s="1380"/>
      <c r="L16" s="1380"/>
      <c r="M16" s="1380"/>
      <c r="N16" s="1381"/>
    </row>
    <row r="17" ht="0.95" customHeight="1" thickTop="1" x14ac:dyDescent="0.25"/>
  </sheetData>
  <mergeCells count="13">
    <mergeCell ref="J3:M3"/>
    <mergeCell ref="J4:M4"/>
    <mergeCell ref="J5:M5"/>
    <mergeCell ref="J6:M6"/>
    <mergeCell ref="M13:M15"/>
    <mergeCell ref="J13:K13"/>
    <mergeCell ref="J14:K14"/>
    <mergeCell ref="J15:K15"/>
    <mergeCell ref="G12:I12"/>
    <mergeCell ref="G13:I13"/>
    <mergeCell ref="G14:I14"/>
    <mergeCell ref="G15:I15"/>
    <mergeCell ref="J12:K12"/>
  </mergeCells>
  <pageMargins left="0" right="0" top="0" bottom="0" header="0" footer="0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47"/>
  <dimension ref="C1:N23"/>
  <sheetViews>
    <sheetView view="pageBreakPreview" zoomScale="376" zoomScaleNormal="100" zoomScaleSheetLayoutView="376" workbookViewId="0">
      <selection activeCell="H29" sqref="H29"/>
    </sheetView>
  </sheetViews>
  <sheetFormatPr baseColWidth="10" defaultColWidth="5.7109375" defaultRowHeight="4.5" customHeight="1" x14ac:dyDescent="0.25"/>
  <cols>
    <col min="1" max="3" width="0.5703125" style="1361" customWidth="1"/>
    <col min="4" max="5" width="2.140625" style="1361" customWidth="1"/>
    <col min="6" max="6" width="1.7109375" style="1361" customWidth="1"/>
    <col min="7" max="7" width="1.5703125" style="1361" customWidth="1"/>
    <col min="8" max="8" width="2.5703125" style="1361" customWidth="1"/>
    <col min="9" max="9" width="1.7109375" style="1361" customWidth="1"/>
    <col min="10" max="10" width="2.42578125" style="1361" customWidth="1"/>
    <col min="11" max="11" width="4" style="1361" customWidth="1"/>
    <col min="12" max="12" width="4.42578125" style="1361" customWidth="1"/>
    <col min="13" max="13" width="3" style="1361" customWidth="1"/>
    <col min="14" max="15" width="0.5703125" style="1361" customWidth="1"/>
    <col min="16" max="16" width="0.7109375" style="1361" customWidth="1"/>
    <col min="17" max="16384" width="5.7109375" style="1361"/>
  </cols>
  <sheetData>
    <row r="1" spans="3:14" ht="0.95" customHeight="1" thickBot="1" x14ac:dyDescent="0.3"/>
    <row r="2" spans="3:14" ht="3" customHeight="1" thickTop="1" x14ac:dyDescent="0.25">
      <c r="C2" s="1358"/>
      <c r="D2" s="1359"/>
      <c r="E2" s="1359"/>
      <c r="F2" s="1359"/>
      <c r="G2" s="1359"/>
      <c r="H2" s="1359"/>
      <c r="I2" s="1359"/>
      <c r="J2" s="1359"/>
      <c r="K2" s="1359"/>
      <c r="L2" s="1359"/>
      <c r="M2" s="1359"/>
      <c r="N2" s="1360"/>
    </row>
    <row r="3" spans="3:14" ht="6.6" customHeight="1" x14ac:dyDescent="0.25">
      <c r="C3" s="1362"/>
      <c r="D3" s="1363"/>
      <c r="E3" s="1364"/>
      <c r="F3" s="1365"/>
      <c r="G3" s="1365"/>
      <c r="H3" s="1365"/>
      <c r="I3" s="1419" t="s">
        <v>892</v>
      </c>
      <c r="J3" s="3374">
        <f>'F-LSCD-012'!C18</f>
        <v>44336</v>
      </c>
      <c r="K3" s="3374"/>
      <c r="L3" s="3374"/>
      <c r="M3" s="3375"/>
      <c r="N3" s="1366"/>
    </row>
    <row r="4" spans="3:14" ht="6.6" customHeight="1" x14ac:dyDescent="0.25">
      <c r="C4" s="1362"/>
      <c r="D4" s="1367"/>
      <c r="F4" s="1368"/>
      <c r="I4" s="1374" t="s">
        <v>897</v>
      </c>
      <c r="J4" s="3376" t="str">
        <f>'F-LSCD-012'!C25&amp;" ALEPH/GR/LSCD"</f>
        <v>029-2021 ALEPH/GR/LSCD</v>
      </c>
      <c r="K4" s="3376"/>
      <c r="L4" s="3376"/>
      <c r="M4" s="3377"/>
      <c r="N4" s="1366"/>
    </row>
    <row r="5" spans="3:14" ht="6.6" customHeight="1" x14ac:dyDescent="0.25">
      <c r="C5" s="1362"/>
      <c r="D5" s="1367"/>
      <c r="F5" s="1368"/>
      <c r="G5" s="1368"/>
      <c r="H5" s="1368"/>
      <c r="I5" s="1420" t="s">
        <v>896</v>
      </c>
      <c r="J5" s="3378">
        <f>DATE(YEAR(J3)+1,MONTH(J3),DAY(J3))</f>
        <v>44701</v>
      </c>
      <c r="K5" s="3378"/>
      <c r="L5" s="3378"/>
      <c r="M5" s="3379"/>
      <c r="N5" s="1366"/>
    </row>
    <row r="6" spans="3:14" ht="6.95" customHeight="1" x14ac:dyDescent="0.25">
      <c r="C6" s="1362"/>
      <c r="D6" s="1370"/>
      <c r="E6" s="1371"/>
      <c r="F6" s="1372"/>
      <c r="G6" s="1372"/>
      <c r="H6" s="1372"/>
      <c r="I6" s="1422" t="s">
        <v>894</v>
      </c>
      <c r="J6" s="3380" t="s">
        <v>895</v>
      </c>
      <c r="K6" s="3380"/>
      <c r="L6" s="3380"/>
      <c r="M6" s="3381"/>
      <c r="N6" s="1366"/>
    </row>
    <row r="7" spans="3:14" ht="0.75" customHeight="1" x14ac:dyDescent="0.25">
      <c r="C7" s="1362"/>
      <c r="N7" s="1366"/>
    </row>
    <row r="8" spans="3:14" ht="6.95" customHeight="1" x14ac:dyDescent="0.25">
      <c r="C8" s="1362"/>
      <c r="I8" s="1374" t="s">
        <v>893</v>
      </c>
      <c r="J8" s="1375" t="str">
        <f>'F-LSCD-012'!C10</f>
        <v>MGP</v>
      </c>
      <c r="N8" s="1366"/>
    </row>
    <row r="9" spans="3:14" ht="6.95" customHeight="1" x14ac:dyDescent="0.25">
      <c r="C9" s="1362"/>
      <c r="I9" s="1374" t="s">
        <v>311</v>
      </c>
      <c r="J9" s="1375" t="str">
        <f>'F-LSCD-012'!C11</f>
        <v>DMC 2000S</v>
      </c>
      <c r="N9" s="1366"/>
    </row>
    <row r="10" spans="3:14" ht="6.95" customHeight="1" x14ac:dyDescent="0.25">
      <c r="C10" s="1362"/>
      <c r="I10" s="1374" t="s">
        <v>312</v>
      </c>
      <c r="J10" s="1376" t="str">
        <f>'F-LSCD-012'!C12</f>
        <v>690384T</v>
      </c>
      <c r="N10" s="1366"/>
    </row>
    <row r="11" spans="3:14" ht="0.75" customHeight="1" x14ac:dyDescent="0.25">
      <c r="C11" s="1362"/>
      <c r="N11" s="1366"/>
    </row>
    <row r="12" spans="3:14" ht="8.1" hidden="1" customHeight="1" x14ac:dyDescent="0.25">
      <c r="C12" s="1362"/>
      <c r="E12" s="3382" t="s">
        <v>903</v>
      </c>
      <c r="F12" s="3382"/>
      <c r="G12" s="3382"/>
      <c r="H12" s="3382"/>
      <c r="I12" s="3382"/>
      <c r="J12" s="3382"/>
      <c r="K12" s="1382" t="s">
        <v>918</v>
      </c>
      <c r="L12" s="1383" t="s">
        <v>259</v>
      </c>
      <c r="N12" s="1366"/>
    </row>
    <row r="13" spans="3:14" ht="7.5" hidden="1" customHeight="1" x14ac:dyDescent="0.25">
      <c r="C13" s="1362"/>
      <c r="E13" s="3371">
        <f>'F-LSCD-012'!A34</f>
        <v>25000</v>
      </c>
      <c r="F13" s="3371"/>
      <c r="G13" s="3371"/>
      <c r="H13" s="3371"/>
      <c r="I13" s="3371"/>
      <c r="J13" s="3371"/>
      <c r="K13" s="1423" t="s">
        <v>919</v>
      </c>
      <c r="L13" s="1384">
        <f>IF('F-LSCD-012'!O35="-",'F-LSCD-012'!T34,'F-LSCD-012'!T35)</f>
        <v>4.4999999999999998E-2</v>
      </c>
      <c r="N13" s="1366"/>
    </row>
    <row r="14" spans="3:14" ht="8.1" hidden="1" customHeight="1" x14ac:dyDescent="0.25">
      <c r="C14" s="1362"/>
      <c r="E14" s="3371" t="str">
        <f>'F-LSCD-012'!A36</f>
        <v>-</v>
      </c>
      <c r="F14" s="3371"/>
      <c r="G14" s="3371"/>
      <c r="H14" s="3371"/>
      <c r="I14" s="3371"/>
      <c r="J14" s="3371"/>
      <c r="K14" s="1421" t="s">
        <v>920</v>
      </c>
      <c r="L14" s="1384" t="str">
        <f>IF('F-LSCD-012'!O37="-",'F-LSCD-012'!T36,'F-LSCD-012'!T37)</f>
        <v>-</v>
      </c>
      <c r="N14" s="1366"/>
    </row>
    <row r="15" spans="3:14" ht="8.1" hidden="1" customHeight="1" x14ac:dyDescent="0.25">
      <c r="C15" s="1362"/>
      <c r="E15" s="3371" t="str">
        <f>'F-LSCD-012'!A38</f>
        <v>-</v>
      </c>
      <c r="F15" s="3371"/>
      <c r="G15" s="3371"/>
      <c r="H15" s="3371"/>
      <c r="I15" s="3371"/>
      <c r="J15" s="3371"/>
      <c r="K15" s="1421" t="s">
        <v>919</v>
      </c>
      <c r="L15" s="1384" t="str">
        <f>IF('F-LSCD-012'!O39="-",'F-LSCD-012'!T38,'F-LSCD-012'!T39)</f>
        <v>-</v>
      </c>
      <c r="N15" s="1366"/>
    </row>
    <row r="16" spans="3:14" ht="8.1" hidden="1" customHeight="1" x14ac:dyDescent="0.25">
      <c r="C16" s="1362"/>
      <c r="E16" s="3371" t="str">
        <f>'F-LSCD-012'!A40</f>
        <v>-</v>
      </c>
      <c r="F16" s="3371"/>
      <c r="G16" s="3371"/>
      <c r="H16" s="3371"/>
      <c r="I16" s="3371"/>
      <c r="J16" s="3371"/>
      <c r="K16" s="1421" t="s">
        <v>920</v>
      </c>
      <c r="L16" s="1384" t="str">
        <f>IF('F-LSCD-012'!O41="-",'F-LSCD-012'!T40,'F-LSCD-012'!T41)</f>
        <v>-</v>
      </c>
      <c r="N16" s="1366"/>
    </row>
    <row r="17" spans="3:14" ht="8.1" hidden="1" customHeight="1" x14ac:dyDescent="0.25">
      <c r="C17" s="1362"/>
      <c r="E17" s="3371" t="str">
        <f>'F-LSCD-012'!A42</f>
        <v>-</v>
      </c>
      <c r="F17" s="3371"/>
      <c r="G17" s="3371"/>
      <c r="H17" s="3371"/>
      <c r="I17" s="3371"/>
      <c r="J17" s="3371"/>
      <c r="K17" s="1421" t="str">
        <f>IF('F-LSCD-012'!R43="-",'F-LSCD-012'!R42,'F-LSCD-012'!R43)</f>
        <v>-</v>
      </c>
      <c r="L17" s="1384" t="str">
        <f>IF('F-LSCD-012'!O43="-",'F-LSCD-012'!T42,'F-LSCD-012'!T43)</f>
        <v>-</v>
      </c>
      <c r="N17" s="1366"/>
    </row>
    <row r="18" spans="3:14" ht="8.1" hidden="1" customHeight="1" x14ac:dyDescent="0.25">
      <c r="C18" s="1362"/>
      <c r="E18" s="3371" t="str">
        <f>'F-LSCD-012'!A44</f>
        <v>-</v>
      </c>
      <c r="F18" s="3371"/>
      <c r="G18" s="3371"/>
      <c r="H18" s="3371"/>
      <c r="I18" s="3371"/>
      <c r="J18" s="3371"/>
      <c r="K18" s="1421" t="str">
        <f>IF('F-LSCD-012'!R45="-",'F-LSCD-012'!R44,'F-LSCD-012'!R45)</f>
        <v>-</v>
      </c>
      <c r="L18" s="1384" t="str">
        <f>IF('F-LSCD-012'!O45="-",'F-LSCD-012'!T44,'F-LSCD-012'!T45)</f>
        <v>-</v>
      </c>
      <c r="N18" s="1366"/>
    </row>
    <row r="19" spans="3:14" ht="8.1" hidden="1" customHeight="1" x14ac:dyDescent="0.25">
      <c r="C19" s="1362"/>
      <c r="E19" s="3371" t="str">
        <f>'F-LSCD-012'!A46</f>
        <v>-</v>
      </c>
      <c r="F19" s="3371"/>
      <c r="G19" s="3371"/>
      <c r="H19" s="3371"/>
      <c r="I19" s="3371"/>
      <c r="J19" s="3371"/>
      <c r="K19" s="1421" t="str">
        <f>IF('F-LSCD-012'!R47="-",'F-LSCD-012'!R46,'F-LSCD-012'!R47)</f>
        <v>-</v>
      </c>
      <c r="L19" s="1384" t="str">
        <f>IF('F-LSCD-012'!O47="-",'F-LSCD-012'!T46,'F-LSCD-012'!T47)</f>
        <v>-</v>
      </c>
      <c r="N19" s="1366"/>
    </row>
    <row r="20" spans="3:14" ht="6.75" hidden="1" customHeight="1" x14ac:dyDescent="0.25">
      <c r="C20" s="1362"/>
      <c r="E20" s="1375"/>
      <c r="N20" s="1366"/>
    </row>
    <row r="21" spans="3:14" ht="6.75" hidden="1" customHeight="1" x14ac:dyDescent="0.25">
      <c r="C21" s="1362"/>
      <c r="E21" s="1375"/>
      <c r="N21" s="1366"/>
    </row>
    <row r="22" spans="3:14" ht="2.1" customHeight="1" thickBot="1" x14ac:dyDescent="0.3">
      <c r="C22" s="1379"/>
      <c r="D22" s="1380"/>
      <c r="E22" s="1380"/>
      <c r="F22" s="1380"/>
      <c r="G22" s="1380"/>
      <c r="H22" s="1380"/>
      <c r="I22" s="1380"/>
      <c r="J22" s="1380"/>
      <c r="K22" s="1380"/>
      <c r="L22" s="1380"/>
      <c r="M22" s="1380"/>
      <c r="N22" s="1381"/>
    </row>
    <row r="23" spans="3:14" ht="0.95" customHeight="1" thickTop="1" x14ac:dyDescent="0.25"/>
  </sheetData>
  <sheetProtection password="D8A8"/>
  <mergeCells count="12">
    <mergeCell ref="E19:J19"/>
    <mergeCell ref="J3:M3"/>
    <mergeCell ref="J4:M4"/>
    <mergeCell ref="J5:M5"/>
    <mergeCell ref="J6:M6"/>
    <mergeCell ref="E12:J12"/>
    <mergeCell ref="E13:J13"/>
    <mergeCell ref="E14:J14"/>
    <mergeCell ref="E15:J15"/>
    <mergeCell ref="E16:J16"/>
    <mergeCell ref="E17:J17"/>
    <mergeCell ref="E18:J18"/>
  </mergeCells>
  <pageMargins left="0" right="0" top="0" bottom="0" header="0" footer="0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C1:N21"/>
  <sheetViews>
    <sheetView view="pageBreakPreview" zoomScale="376" zoomScaleNormal="100" zoomScaleSheetLayoutView="376" workbookViewId="0"/>
  </sheetViews>
  <sheetFormatPr baseColWidth="10" defaultColWidth="5.7109375" defaultRowHeight="4.5" customHeight="1" x14ac:dyDescent="0.25"/>
  <cols>
    <col min="1" max="3" width="0.5703125" style="1963" customWidth="1"/>
    <col min="4" max="5" width="2.140625" style="1963" customWidth="1"/>
    <col min="6" max="6" width="1.7109375" style="1963" customWidth="1"/>
    <col min="7" max="7" width="1.5703125" style="1963" customWidth="1"/>
    <col min="8" max="8" width="2.5703125" style="1963" customWidth="1"/>
    <col min="9" max="9" width="1.7109375" style="1963" customWidth="1"/>
    <col min="10" max="10" width="2.42578125" style="1963" customWidth="1"/>
    <col min="11" max="11" width="4" style="1963" customWidth="1"/>
    <col min="12" max="12" width="4.42578125" style="1963" customWidth="1"/>
    <col min="13" max="13" width="3.7109375" style="1963" customWidth="1"/>
    <col min="14" max="15" width="0.5703125" style="1963" customWidth="1"/>
    <col min="16" max="16" width="0.7109375" style="1963" customWidth="1"/>
    <col min="17" max="16384" width="5.7109375" style="1963"/>
  </cols>
  <sheetData>
    <row r="1" spans="3:14" ht="0.95" customHeight="1" thickBot="1" x14ac:dyDescent="0.3"/>
    <row r="2" spans="3:14" ht="3" customHeight="1" thickTop="1" x14ac:dyDescent="0.25">
      <c r="C2" s="1358"/>
      <c r="D2" s="1359"/>
      <c r="E2" s="1359"/>
      <c r="F2" s="1359"/>
      <c r="G2" s="1359"/>
      <c r="H2" s="1359"/>
      <c r="I2" s="1359"/>
      <c r="J2" s="1359"/>
      <c r="K2" s="1359"/>
      <c r="L2" s="1359"/>
      <c r="M2" s="1359"/>
      <c r="N2" s="1360"/>
    </row>
    <row r="3" spans="3:14" ht="6.6" customHeight="1" x14ac:dyDescent="0.25">
      <c r="C3" s="1362"/>
      <c r="D3" s="1363"/>
      <c r="E3" s="1364"/>
      <c r="F3" s="1365"/>
      <c r="G3" s="1365"/>
      <c r="H3" s="1365"/>
      <c r="I3" s="1969" t="s">
        <v>892</v>
      </c>
      <c r="J3" s="3390">
        <f>'F-LSCD-012'!C18</f>
        <v>44336</v>
      </c>
      <c r="K3" s="3390"/>
      <c r="L3" s="3390"/>
      <c r="M3" s="3391"/>
      <c r="N3" s="1366"/>
    </row>
    <row r="4" spans="3:14" ht="6.6" customHeight="1" x14ac:dyDescent="0.25">
      <c r="C4" s="1362"/>
      <c r="D4" s="1367"/>
      <c r="F4" s="1964"/>
      <c r="I4" s="1971" t="s">
        <v>897</v>
      </c>
      <c r="J4" s="3376" t="str">
        <f>"LSCD "&amp;'F-LSCD-012'!C25</f>
        <v>LSCD 029-2021</v>
      </c>
      <c r="K4" s="3376"/>
      <c r="L4" s="3376"/>
      <c r="M4" s="3377"/>
      <c r="N4" s="1366"/>
    </row>
    <row r="5" spans="3:14" ht="6.6" customHeight="1" x14ac:dyDescent="0.25">
      <c r="C5" s="1362"/>
      <c r="D5" s="1367"/>
      <c r="F5" s="1964"/>
      <c r="G5" s="1964"/>
      <c r="H5" s="1964"/>
      <c r="I5" s="1970" t="s">
        <v>896</v>
      </c>
      <c r="J5" s="3392">
        <f>DATE(YEAR(J3)+1,MONTH(J3),DAY(J3))</f>
        <v>44701</v>
      </c>
      <c r="K5" s="3392"/>
      <c r="L5" s="3392"/>
      <c r="M5" s="3393"/>
      <c r="N5" s="1366"/>
    </row>
    <row r="6" spans="3:14" ht="6.95" customHeight="1" x14ac:dyDescent="0.25">
      <c r="C6" s="1362"/>
      <c r="D6" s="1370"/>
      <c r="E6" s="1965"/>
      <c r="F6" s="1966"/>
      <c r="G6" s="1966"/>
      <c r="H6" s="1966"/>
      <c r="I6" s="1972" t="s">
        <v>894</v>
      </c>
      <c r="J6" s="3380" t="s">
        <v>895</v>
      </c>
      <c r="K6" s="3380"/>
      <c r="L6" s="3380"/>
      <c r="M6" s="3381"/>
      <c r="N6" s="1366"/>
    </row>
    <row r="7" spans="3:14" ht="0.75" customHeight="1" x14ac:dyDescent="0.25">
      <c r="C7" s="1362"/>
      <c r="N7" s="1366"/>
    </row>
    <row r="8" spans="3:14" ht="6.95" customHeight="1" x14ac:dyDescent="0.25">
      <c r="C8" s="1362"/>
      <c r="I8" s="1971" t="s">
        <v>893</v>
      </c>
      <c r="J8" s="1967" t="str">
        <f>'F-LSCD-012'!C10</f>
        <v>MGP</v>
      </c>
      <c r="N8" s="1366"/>
    </row>
    <row r="9" spans="3:14" ht="6.95" customHeight="1" x14ac:dyDescent="0.25">
      <c r="C9" s="1362"/>
      <c r="I9" s="1971" t="s">
        <v>311</v>
      </c>
      <c r="J9" s="1967" t="str">
        <f>'F-LSCD-012'!C11</f>
        <v>DMC 2000S</v>
      </c>
      <c r="N9" s="1366"/>
    </row>
    <row r="10" spans="3:14" ht="6.95" customHeight="1" x14ac:dyDescent="0.25">
      <c r="C10" s="1362"/>
      <c r="I10" s="1971" t="s">
        <v>312</v>
      </c>
      <c r="J10" s="1967" t="str">
        <f>'F-LSCD-012'!C12</f>
        <v>690384T</v>
      </c>
      <c r="N10" s="1366"/>
    </row>
    <row r="11" spans="3:14" ht="6.95" customHeight="1" x14ac:dyDescent="0.25">
      <c r="C11" s="1362"/>
      <c r="I11" s="1971" t="s">
        <v>915</v>
      </c>
      <c r="J11" s="1967" t="str">
        <f>'F-LSCD-012'!C13</f>
        <v>-</v>
      </c>
      <c r="N11" s="1366"/>
    </row>
    <row r="12" spans="3:14" ht="6.95" customHeight="1" x14ac:dyDescent="0.25">
      <c r="C12" s="1362"/>
      <c r="I12" s="1971" t="s">
        <v>313</v>
      </c>
      <c r="J12" s="1967" t="str">
        <f>'F-LSCD-012'!C14</f>
        <v>-</v>
      </c>
      <c r="N12" s="1366"/>
    </row>
    <row r="13" spans="3:14" ht="6.95" customHeight="1" x14ac:dyDescent="0.25">
      <c r="C13" s="1362"/>
      <c r="I13" s="1971" t="s">
        <v>314</v>
      </c>
      <c r="J13" s="1967" t="str">
        <f>'F-LSCD-012'!C15</f>
        <v>-</v>
      </c>
      <c r="N13" s="1366"/>
    </row>
    <row r="14" spans="3:14" ht="0.75" customHeight="1" x14ac:dyDescent="0.25">
      <c r="C14" s="1362"/>
      <c r="N14" s="1366"/>
    </row>
    <row r="15" spans="3:14" ht="8.1" customHeight="1" x14ac:dyDescent="0.25">
      <c r="C15" s="1362"/>
      <c r="E15" s="1441"/>
      <c r="G15" s="3382" t="s">
        <v>958</v>
      </c>
      <c r="H15" s="3382"/>
      <c r="I15" s="3382"/>
      <c r="J15" s="3389" t="s">
        <v>6</v>
      </c>
      <c r="K15" s="3389"/>
      <c r="L15" s="1442"/>
      <c r="N15" s="1366"/>
    </row>
    <row r="16" spans="3:14" ht="8.1" customHeight="1" x14ac:dyDescent="0.25">
      <c r="C16" s="1362"/>
      <c r="E16" s="1440"/>
      <c r="F16" s="1440"/>
      <c r="G16" s="3371" t="str">
        <f>RIGHT('C.C. Monit Rad (Analógico)'!C66,4)</f>
        <v>1.01</v>
      </c>
      <c r="H16" s="3371"/>
      <c r="I16" s="3371"/>
      <c r="J16" s="3371" t="str">
        <f>'C.C. Monit Rad (Analógico)'!R45</f>
        <v>x 1</v>
      </c>
      <c r="K16" s="3371"/>
      <c r="L16" s="1443"/>
      <c r="M16" s="3396"/>
      <c r="N16" s="1366"/>
    </row>
    <row r="17" spans="3:14" ht="8.1" customHeight="1" x14ac:dyDescent="0.25">
      <c r="C17" s="1362"/>
      <c r="E17" s="1440"/>
      <c r="F17" s="1440"/>
      <c r="G17" s="3371" t="str">
        <f>RIGHT('C.C. Monit Rad (Analógico)'!C67,4)</f>
        <v/>
      </c>
      <c r="H17" s="3371"/>
      <c r="I17" s="3371"/>
      <c r="J17" s="3371" t="str">
        <f>'C.C. Monit Rad (Analógico)'!R48</f>
        <v>x 10</v>
      </c>
      <c r="K17" s="3371"/>
      <c r="L17" s="1443"/>
      <c r="M17" s="3397"/>
      <c r="N17" s="1366"/>
    </row>
    <row r="18" spans="3:14" ht="8.1" customHeight="1" x14ac:dyDescent="0.25">
      <c r="C18" s="1362"/>
      <c r="E18" s="1440"/>
      <c r="F18" s="1440"/>
      <c r="G18" s="3371" t="str">
        <f>RIGHT('C.C. Monit Rad (Analógico)'!C68,4)</f>
        <v/>
      </c>
      <c r="H18" s="3371"/>
      <c r="I18" s="3371"/>
      <c r="J18" s="3371" t="str">
        <f>'C.C. Monit Rad (Analógico)'!R51</f>
        <v>x 100</v>
      </c>
      <c r="K18" s="3371"/>
      <c r="L18" s="1443"/>
      <c r="M18" s="3397"/>
      <c r="N18" s="1366"/>
    </row>
    <row r="19" spans="3:14" ht="8.1" customHeight="1" x14ac:dyDescent="0.25">
      <c r="C19" s="1362"/>
      <c r="E19" s="1440"/>
      <c r="F19" s="1440"/>
      <c r="G19" s="3371" t="str">
        <f>RIGHT('C.C. Monit Rad (Analógico)'!C69,4)</f>
        <v/>
      </c>
      <c r="H19" s="3371"/>
      <c r="I19" s="3371"/>
      <c r="J19" s="3371" t="str">
        <f>'C.C. Monit Rad (Analógico)'!R54</f>
        <v>x 1000</v>
      </c>
      <c r="K19" s="3371"/>
      <c r="L19" s="1443"/>
      <c r="M19" s="1968"/>
      <c r="N19" s="1366"/>
    </row>
    <row r="20" spans="3:14" ht="2.25" customHeight="1" thickBot="1" x14ac:dyDescent="0.3">
      <c r="C20" s="1379"/>
      <c r="D20" s="1380"/>
      <c r="E20" s="1380"/>
      <c r="F20" s="1380"/>
      <c r="G20" s="1380"/>
      <c r="H20" s="1380"/>
      <c r="I20" s="1380"/>
      <c r="J20" s="1380"/>
      <c r="K20" s="1380"/>
      <c r="L20" s="1380"/>
      <c r="M20" s="1380"/>
      <c r="N20" s="1381"/>
    </row>
    <row r="21" spans="3:14" ht="0.95" customHeight="1" thickTop="1" x14ac:dyDescent="0.25"/>
  </sheetData>
  <mergeCells count="15">
    <mergeCell ref="J3:M3"/>
    <mergeCell ref="J4:M4"/>
    <mergeCell ref="J5:M5"/>
    <mergeCell ref="J6:M6"/>
    <mergeCell ref="G15:I15"/>
    <mergeCell ref="J15:K15"/>
    <mergeCell ref="G19:I19"/>
    <mergeCell ref="J19:K19"/>
    <mergeCell ref="G16:I16"/>
    <mergeCell ref="J16:K16"/>
    <mergeCell ref="M16:M18"/>
    <mergeCell ref="G17:I17"/>
    <mergeCell ref="J17:K17"/>
    <mergeCell ref="G18:I18"/>
    <mergeCell ref="J18:K18"/>
  </mergeCells>
  <pageMargins left="0" right="0" top="0" bottom="0" header="0" footer="0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4"/>
  <dimension ref="C1:N23"/>
  <sheetViews>
    <sheetView view="pageBreakPreview" zoomScale="330" zoomScaleNormal="100" zoomScaleSheetLayoutView="330" workbookViewId="0"/>
  </sheetViews>
  <sheetFormatPr baseColWidth="10" defaultColWidth="5.7109375" defaultRowHeight="4.5" customHeight="1" x14ac:dyDescent="0.25"/>
  <cols>
    <col min="1" max="3" width="0.5703125" style="1361" customWidth="1"/>
    <col min="4" max="4" width="2.28515625" style="1361" customWidth="1"/>
    <col min="5" max="5" width="2.140625" style="1361" customWidth="1"/>
    <col min="6" max="6" width="1.140625" style="1361" customWidth="1"/>
    <col min="7" max="7" width="1.5703125" style="1361" customWidth="1"/>
    <col min="8" max="8" width="4.28515625" style="1361" customWidth="1"/>
    <col min="9" max="9" width="5.140625" style="1361" customWidth="1"/>
    <col min="10" max="10" width="3.85546875" style="1361" customWidth="1"/>
    <col min="11" max="11" width="4" style="1361" customWidth="1"/>
    <col min="12" max="12" width="4.28515625" style="1361" customWidth="1"/>
    <col min="13" max="14" width="0.5703125" style="1361" customWidth="1"/>
    <col min="15" max="16384" width="5.7109375" style="1361"/>
  </cols>
  <sheetData>
    <row r="1" spans="3:14" ht="0.95" customHeight="1" x14ac:dyDescent="0.25"/>
    <row r="2" spans="3:14" ht="0.95" customHeight="1" thickBot="1" x14ac:dyDescent="0.3"/>
    <row r="3" spans="3:14" ht="3" customHeight="1" thickTop="1" x14ac:dyDescent="0.25">
      <c r="C3" s="1358"/>
      <c r="D3" s="1359"/>
      <c r="E3" s="1359"/>
      <c r="F3" s="1359"/>
      <c r="G3" s="1359"/>
      <c r="H3" s="1359"/>
      <c r="I3" s="1359"/>
      <c r="J3" s="1359"/>
      <c r="K3" s="1359"/>
      <c r="L3" s="1359"/>
      <c r="M3" s="1360"/>
    </row>
    <row r="4" spans="3:14" ht="6.6" customHeight="1" x14ac:dyDescent="0.25">
      <c r="C4" s="1362"/>
      <c r="D4" s="1363"/>
      <c r="E4" s="1364"/>
      <c r="F4" s="1365"/>
      <c r="G4" s="3398" t="s">
        <v>892</v>
      </c>
      <c r="H4" s="3399"/>
      <c r="I4" s="3390">
        <f>'F-LSCD-013'!C18</f>
        <v>44251</v>
      </c>
      <c r="J4" s="3390"/>
      <c r="K4" s="3390"/>
      <c r="L4" s="3391"/>
      <c r="M4" s="1366"/>
    </row>
    <row r="5" spans="3:14" ht="6.6" customHeight="1" x14ac:dyDescent="0.25">
      <c r="C5" s="1362"/>
      <c r="D5" s="1367"/>
      <c r="F5" s="1368"/>
      <c r="G5" s="3400" t="s">
        <v>897</v>
      </c>
      <c r="H5" s="3401"/>
      <c r="I5" s="3376" t="str">
        <f>"LSCD "&amp;'F-LSCD-013'!C26</f>
        <v>LSCD 011-2021</v>
      </c>
      <c r="J5" s="3376"/>
      <c r="K5" s="3376"/>
      <c r="L5" s="3377"/>
      <c r="M5" s="1366"/>
    </row>
    <row r="6" spans="3:14" ht="6.6" customHeight="1" x14ac:dyDescent="0.25">
      <c r="C6" s="1362"/>
      <c r="D6" s="1367"/>
      <c r="F6" s="1368"/>
      <c r="G6" s="3400" t="s">
        <v>896</v>
      </c>
      <c r="H6" s="3401"/>
      <c r="I6" s="3392">
        <f>DATE(YEAR(I4)+1,MONTH(I4),DAY(I4))</f>
        <v>44616</v>
      </c>
      <c r="J6" s="3392"/>
      <c r="K6" s="3392"/>
      <c r="L6" s="3393"/>
      <c r="M6" s="1366"/>
      <c r="N6" s="1369"/>
    </row>
    <row r="7" spans="3:14" ht="6.95" customHeight="1" x14ac:dyDescent="0.25">
      <c r="C7" s="1362"/>
      <c r="D7" s="1370"/>
      <c r="E7" s="1371"/>
      <c r="F7" s="1372"/>
      <c r="G7" s="3403" t="s">
        <v>894</v>
      </c>
      <c r="H7" s="3404"/>
      <c r="I7" s="3380" t="s">
        <v>895</v>
      </c>
      <c r="J7" s="3380"/>
      <c r="K7" s="3380"/>
      <c r="L7" s="3381"/>
      <c r="M7" s="1366"/>
    </row>
    <row r="8" spans="3:14" ht="2.1" customHeight="1" x14ac:dyDescent="0.25">
      <c r="C8" s="1362"/>
      <c r="M8" s="1366"/>
    </row>
    <row r="9" spans="3:14" ht="6.95" customHeight="1" x14ac:dyDescent="0.25">
      <c r="C9" s="1362"/>
      <c r="E9" s="1373"/>
      <c r="F9" s="1373"/>
      <c r="H9" s="1374" t="s">
        <v>893</v>
      </c>
      <c r="I9" s="1375" t="str">
        <f>'F-LSCD-013'!C10</f>
        <v>MGP</v>
      </c>
      <c r="M9" s="1366"/>
    </row>
    <row r="10" spans="3:14" ht="6.95" customHeight="1" x14ac:dyDescent="0.25">
      <c r="C10" s="1362"/>
      <c r="E10" s="1373"/>
      <c r="F10" s="1373"/>
      <c r="H10" s="1374" t="s">
        <v>311</v>
      </c>
      <c r="I10" s="1375" t="str">
        <f>'F-LSCD-013'!C11</f>
        <v>DMC 2000S</v>
      </c>
      <c r="M10" s="1366"/>
    </row>
    <row r="11" spans="3:14" ht="6.95" customHeight="1" x14ac:dyDescent="0.25">
      <c r="C11" s="1362"/>
      <c r="E11" s="1373"/>
      <c r="F11" s="1373"/>
      <c r="H11" s="1374" t="s">
        <v>312</v>
      </c>
      <c r="I11" s="1882" t="str">
        <f>'F-LSCD-013'!C12</f>
        <v>690384T</v>
      </c>
      <c r="M11" s="1366"/>
    </row>
    <row r="12" spans="3:14" ht="6.95" hidden="1" customHeight="1" x14ac:dyDescent="0.25">
      <c r="C12" s="1362"/>
      <c r="E12" s="1373"/>
      <c r="F12" s="1373"/>
      <c r="H12" s="1374" t="s">
        <v>915</v>
      </c>
      <c r="I12" s="1375" t="str">
        <f>'F-LSCD-013'!C13</f>
        <v>-</v>
      </c>
      <c r="M12" s="1366"/>
    </row>
    <row r="13" spans="3:14" ht="6.95" hidden="1" customHeight="1" x14ac:dyDescent="0.25">
      <c r="C13" s="1362"/>
      <c r="E13" s="1373"/>
      <c r="F13" s="1373"/>
      <c r="H13" s="1374" t="s">
        <v>313</v>
      </c>
      <c r="I13" s="1375" t="str">
        <f>'F-LSCD-013'!C14</f>
        <v>-</v>
      </c>
      <c r="M13" s="1366"/>
    </row>
    <row r="14" spans="3:14" ht="6.95" hidden="1" customHeight="1" x14ac:dyDescent="0.25">
      <c r="C14" s="1362"/>
      <c r="E14" s="1373"/>
      <c r="F14" s="1373"/>
      <c r="H14" s="1374" t="s">
        <v>314</v>
      </c>
      <c r="I14" s="1375" t="str">
        <f>'F-LSCD-013'!C15</f>
        <v>-</v>
      </c>
      <c r="M14" s="1366"/>
    </row>
    <row r="15" spans="3:14" ht="2.1" customHeight="1" x14ac:dyDescent="0.25">
      <c r="C15" s="1362"/>
      <c r="M15" s="1366"/>
    </row>
    <row r="16" spans="3:14" ht="8.1" customHeight="1" x14ac:dyDescent="0.25">
      <c r="C16" s="1362"/>
      <c r="E16" s="3405" t="s">
        <v>904</v>
      </c>
      <c r="F16" s="3406"/>
      <c r="G16" s="3407"/>
      <c r="H16" s="3408" t="str">
        <f>'C.C. Cont. Superf. (2)'!$V$42&amp;" "&amp;'C.C. Cont. Superf. (2)'!$V$43</f>
        <v>As [Bq/cm²]</v>
      </c>
      <c r="I16" s="3409"/>
      <c r="J16" s="3410"/>
      <c r="K16" s="1377" t="s">
        <v>259</v>
      </c>
      <c r="M16" s="1366"/>
    </row>
    <row r="17" spans="3:13" ht="8.1" customHeight="1" x14ac:dyDescent="0.25">
      <c r="C17" s="1362"/>
      <c r="E17" s="3371" t="s">
        <v>285</v>
      </c>
      <c r="F17" s="3371"/>
      <c r="G17" s="3371"/>
      <c r="H17" s="3402" t="str">
        <f>'C.C. Cont. Superf. (2)'!V44</f>
        <v>Lectura x 0.5603</v>
      </c>
      <c r="I17" s="3402"/>
      <c r="J17" s="3402"/>
      <c r="K17" s="1378">
        <f>'C.C. Cont. Superf. (2)'!AD44</f>
        <v>0.12</v>
      </c>
      <c r="M17" s="1366"/>
    </row>
    <row r="18" spans="3:13" ht="8.1" customHeight="1" x14ac:dyDescent="0.25">
      <c r="C18" s="1362"/>
      <c r="E18" s="3371" t="s">
        <v>290</v>
      </c>
      <c r="F18" s="3371"/>
      <c r="G18" s="3371"/>
      <c r="H18" s="3402" t="str">
        <f>'C.C. Cont. Superf. (2)'!V45</f>
        <v>Lectura x 0.2183</v>
      </c>
      <c r="I18" s="3402"/>
      <c r="J18" s="3402"/>
      <c r="K18" s="1378">
        <f>'C.C. Cont. Superf. (2)'!AD45</f>
        <v>0.13</v>
      </c>
      <c r="M18" s="1366"/>
    </row>
    <row r="19" spans="3:13" ht="8.1" customHeight="1" x14ac:dyDescent="0.25">
      <c r="C19" s="1362"/>
      <c r="E19" s="3371" t="s">
        <v>289</v>
      </c>
      <c r="F19" s="3371"/>
      <c r="G19" s="3371"/>
      <c r="H19" s="3402" t="str">
        <f>'C.C. Cont. Superf. (2)'!V46</f>
        <v>Lectura x 0.11227</v>
      </c>
      <c r="I19" s="3402"/>
      <c r="J19" s="3402"/>
      <c r="K19" s="1378">
        <f>'C.C. Cont. Superf. (2)'!AD46</f>
        <v>9.2999999999999999E-2</v>
      </c>
      <c r="M19" s="1366"/>
    </row>
    <row r="20" spans="3:13" ht="7.5" customHeight="1" x14ac:dyDescent="0.25">
      <c r="C20" s="1362"/>
      <c r="D20" s="1375" t="s">
        <v>905</v>
      </c>
      <c r="E20" s="1375"/>
      <c r="F20" s="1375"/>
      <c r="M20" s="1366"/>
    </row>
    <row r="21" spans="3:13" ht="7.5" customHeight="1" x14ac:dyDescent="0.25">
      <c r="C21" s="1362"/>
      <c r="D21" s="1375" t="str">
        <f>IF('F-LSCD-013'!C25="cps","Lectura [cps] = Tasa conteo total - Tasa conteo fondo",IF('F-LSCD-013'!C25="cpm","Lectura [cps] = (Tasa conteo total-Tasa conteo fondo)÷60",IF('F-LSCD-013'!C25="cuentas","Lectura [cps] = (cuentas totales/t)-(cuentas fondo/t)",IF('F-LSCD-013'!C25="µSv/h","Lectura [µSv/h]=Tasa conteo total-Tasa conteo de fondo","FALTA DEFINIR UNIDAD"))))</f>
        <v>Lectura [µSv/h]=Tasa conteo total-Tasa conteo de fondo</v>
      </c>
      <c r="M21" s="1366"/>
    </row>
    <row r="22" spans="3:13" ht="2.1" customHeight="1" thickBot="1" x14ac:dyDescent="0.3">
      <c r="C22" s="1379"/>
      <c r="D22" s="1380"/>
      <c r="E22" s="1380"/>
      <c r="F22" s="1380"/>
      <c r="G22" s="1380"/>
      <c r="H22" s="1380"/>
      <c r="I22" s="1380"/>
      <c r="J22" s="1380"/>
      <c r="K22" s="1380"/>
      <c r="L22" s="1380"/>
      <c r="M22" s="1381"/>
    </row>
    <row r="23" spans="3:13" ht="0.95" customHeight="1" thickTop="1" x14ac:dyDescent="0.25"/>
  </sheetData>
  <mergeCells count="16">
    <mergeCell ref="E18:G18"/>
    <mergeCell ref="H18:J18"/>
    <mergeCell ref="E19:G19"/>
    <mergeCell ref="H19:J19"/>
    <mergeCell ref="G7:H7"/>
    <mergeCell ref="I7:L7"/>
    <mergeCell ref="E16:G16"/>
    <mergeCell ref="H16:J16"/>
    <mergeCell ref="E17:G17"/>
    <mergeCell ref="H17:J17"/>
    <mergeCell ref="G4:H4"/>
    <mergeCell ref="I4:L4"/>
    <mergeCell ref="G5:H5"/>
    <mergeCell ref="I5:L5"/>
    <mergeCell ref="G6:H6"/>
    <mergeCell ref="I6:L6"/>
  </mergeCells>
  <pageMargins left="0" right="0" top="0" bottom="0" header="0" footer="0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C1:N23"/>
  <sheetViews>
    <sheetView view="pageBreakPreview" zoomScale="310" zoomScaleNormal="100" zoomScaleSheetLayoutView="310" workbookViewId="0"/>
  </sheetViews>
  <sheetFormatPr baseColWidth="10" defaultColWidth="5.7109375" defaultRowHeight="4.5" customHeight="1" x14ac:dyDescent="0.25"/>
  <cols>
    <col min="1" max="3" width="0.5703125" style="1361" customWidth="1"/>
    <col min="4" max="4" width="2.28515625" style="1361" customWidth="1"/>
    <col min="5" max="5" width="2.140625" style="1361" customWidth="1"/>
    <col min="6" max="6" width="1.140625" style="1361" customWidth="1"/>
    <col min="7" max="7" width="1.5703125" style="1361" customWidth="1"/>
    <col min="8" max="8" width="4.28515625" style="1361" customWidth="1"/>
    <col min="9" max="9" width="5.140625" style="1361" customWidth="1"/>
    <col min="10" max="10" width="3.85546875" style="1361" customWidth="1"/>
    <col min="11" max="11" width="4" style="1361" customWidth="1"/>
    <col min="12" max="12" width="4.28515625" style="1361" customWidth="1"/>
    <col min="13" max="14" width="0.5703125" style="1361" customWidth="1"/>
    <col min="15" max="16384" width="5.7109375" style="1361"/>
  </cols>
  <sheetData>
    <row r="1" spans="3:14" ht="0.95" customHeight="1" x14ac:dyDescent="0.25"/>
    <row r="2" spans="3:14" ht="0.95" customHeight="1" thickBot="1" x14ac:dyDescent="0.3"/>
    <row r="3" spans="3:14" ht="3" customHeight="1" thickTop="1" x14ac:dyDescent="0.25">
      <c r="C3" s="1358"/>
      <c r="D3" s="1359"/>
      <c r="E3" s="1359"/>
      <c r="F3" s="1359"/>
      <c r="G3" s="1359"/>
      <c r="H3" s="1359"/>
      <c r="I3" s="1359"/>
      <c r="J3" s="1359"/>
      <c r="K3" s="1359"/>
      <c r="L3" s="1359"/>
      <c r="M3" s="1360"/>
    </row>
    <row r="4" spans="3:14" ht="6.6" customHeight="1" x14ac:dyDescent="0.25">
      <c r="C4" s="1362"/>
      <c r="D4" s="1363"/>
      <c r="E4" s="1364"/>
      <c r="F4" s="1365"/>
      <c r="G4" s="3398" t="s">
        <v>892</v>
      </c>
      <c r="H4" s="3399"/>
      <c r="I4" s="3390">
        <f>'F-LSCD-013'!C18</f>
        <v>44251</v>
      </c>
      <c r="J4" s="3390"/>
      <c r="K4" s="3390"/>
      <c r="L4" s="3391"/>
      <c r="M4" s="1366"/>
    </row>
    <row r="5" spans="3:14" ht="6.6" customHeight="1" x14ac:dyDescent="0.25">
      <c r="C5" s="1362"/>
      <c r="D5" s="1367"/>
      <c r="F5" s="1368"/>
      <c r="G5" s="3400" t="s">
        <v>897</v>
      </c>
      <c r="H5" s="3401"/>
      <c r="I5" s="3376" t="str">
        <f>"LSCD "&amp;'F-LSCD-013'!C26</f>
        <v>LSCD 011-2021</v>
      </c>
      <c r="J5" s="3376"/>
      <c r="K5" s="3376"/>
      <c r="L5" s="3377"/>
      <c r="M5" s="1366"/>
    </row>
    <row r="6" spans="3:14" ht="6.6" customHeight="1" x14ac:dyDescent="0.25">
      <c r="C6" s="1362"/>
      <c r="D6" s="1367"/>
      <c r="F6" s="1368"/>
      <c r="G6" s="3400" t="s">
        <v>896</v>
      </c>
      <c r="H6" s="3401"/>
      <c r="I6" s="3392">
        <f>DATE(YEAR(I4)+1,MONTH(I4),DAY(I4))</f>
        <v>44616</v>
      </c>
      <c r="J6" s="3392"/>
      <c r="K6" s="3392"/>
      <c r="L6" s="3393"/>
      <c r="M6" s="1366"/>
      <c r="N6" s="1369"/>
    </row>
    <row r="7" spans="3:14" ht="6.95" customHeight="1" x14ac:dyDescent="0.25">
      <c r="C7" s="1362"/>
      <c r="D7" s="1370"/>
      <c r="E7" s="1371"/>
      <c r="F7" s="1372"/>
      <c r="G7" s="3403" t="s">
        <v>894</v>
      </c>
      <c r="H7" s="3404"/>
      <c r="I7" s="3380" t="s">
        <v>895</v>
      </c>
      <c r="J7" s="3380"/>
      <c r="K7" s="3380"/>
      <c r="L7" s="3381"/>
      <c r="M7" s="1366"/>
    </row>
    <row r="8" spans="3:14" ht="2.1" customHeight="1" x14ac:dyDescent="0.25">
      <c r="C8" s="1362"/>
      <c r="M8" s="1366"/>
    </row>
    <row r="9" spans="3:14" ht="6.95" customHeight="1" x14ac:dyDescent="0.25">
      <c r="C9" s="1362"/>
      <c r="E9" s="1373"/>
      <c r="F9" s="1373"/>
      <c r="H9" s="1374" t="s">
        <v>893</v>
      </c>
      <c r="I9" s="1375" t="str">
        <f>'F-LSCD-012'!C10</f>
        <v>MGP</v>
      </c>
      <c r="M9" s="1366"/>
    </row>
    <row r="10" spans="3:14" ht="6.95" customHeight="1" x14ac:dyDescent="0.25">
      <c r="C10" s="1362"/>
      <c r="E10" s="1373"/>
      <c r="F10" s="1373"/>
      <c r="H10" s="1374" t="s">
        <v>311</v>
      </c>
      <c r="I10" s="1375" t="str">
        <f>'F-LSCD-012'!C11</f>
        <v>DMC 2000S</v>
      </c>
      <c r="M10" s="1366"/>
    </row>
    <row r="11" spans="3:14" ht="6.95" customHeight="1" x14ac:dyDescent="0.25">
      <c r="C11" s="1362"/>
      <c r="E11" s="1373"/>
      <c r="F11" s="1373"/>
      <c r="H11" s="1374" t="s">
        <v>312</v>
      </c>
      <c r="I11" s="1376" t="str">
        <f>'F-LSCD-012'!C12</f>
        <v>690384T</v>
      </c>
      <c r="M11" s="1366"/>
    </row>
    <row r="12" spans="3:14" ht="6.95" customHeight="1" x14ac:dyDescent="0.25">
      <c r="C12" s="1362"/>
      <c r="E12" s="1373"/>
      <c r="F12" s="1373"/>
      <c r="H12" s="1374" t="s">
        <v>915</v>
      </c>
      <c r="I12" s="1375" t="str">
        <f>'F-LSCD-012'!C13</f>
        <v>-</v>
      </c>
      <c r="M12" s="1366"/>
    </row>
    <row r="13" spans="3:14" ht="6.95" customHeight="1" x14ac:dyDescent="0.25">
      <c r="C13" s="1362"/>
      <c r="E13" s="1373"/>
      <c r="F13" s="1373"/>
      <c r="H13" s="1374" t="s">
        <v>313</v>
      </c>
      <c r="I13" s="1375" t="str">
        <f>'F-LSCD-012'!C14</f>
        <v>-</v>
      </c>
      <c r="M13" s="1366"/>
    </row>
    <row r="14" spans="3:14" ht="6.95" customHeight="1" x14ac:dyDescent="0.25">
      <c r="C14" s="1362"/>
      <c r="E14" s="1373"/>
      <c r="F14" s="1373"/>
      <c r="H14" s="1374" t="s">
        <v>314</v>
      </c>
      <c r="I14" s="1376" t="str">
        <f>'F-LSCD-012'!C15</f>
        <v>-</v>
      </c>
      <c r="M14" s="1366"/>
    </row>
    <row r="15" spans="3:14" ht="2.1" customHeight="1" x14ac:dyDescent="0.25">
      <c r="C15" s="1362"/>
      <c r="M15" s="1366"/>
    </row>
    <row r="16" spans="3:14" ht="8.1" customHeight="1" x14ac:dyDescent="0.25">
      <c r="C16" s="1362"/>
      <c r="E16" s="3405" t="s">
        <v>904</v>
      </c>
      <c r="F16" s="3406"/>
      <c r="G16" s="3407"/>
      <c r="H16" s="3408" t="str">
        <f>'C.C. Cont. Superf. (2)'!$V$42&amp;" "&amp;'C.C. Cont. Superf. (2)'!$V$43</f>
        <v>As [Bq/cm²]</v>
      </c>
      <c r="I16" s="3409"/>
      <c r="J16" s="3410"/>
      <c r="K16" s="1377" t="s">
        <v>259</v>
      </c>
      <c r="L16" s="1592" t="s">
        <v>6</v>
      </c>
      <c r="M16" s="1366"/>
    </row>
    <row r="17" spans="3:13" ht="8.1" customHeight="1" x14ac:dyDescent="0.25">
      <c r="C17" s="1362"/>
      <c r="E17" s="3371" t="s">
        <v>285</v>
      </c>
      <c r="F17" s="3371"/>
      <c r="G17" s="3371"/>
      <c r="H17" s="3402" t="str">
        <f>'C.C. Cont. Superf. (2)'!V44</f>
        <v>Lectura x 0.5603</v>
      </c>
      <c r="I17" s="3402"/>
      <c r="J17" s="3402"/>
      <c r="K17" s="1378">
        <f>'C.C. Cont. Superf. (2)'!AD44</f>
        <v>0.12</v>
      </c>
      <c r="L17" s="1592" t="str">
        <f>'C.C. Cont. Superf. (2)'!AH44</f>
        <v>x1</v>
      </c>
      <c r="M17" s="1366"/>
    </row>
    <row r="18" spans="3:13" ht="8.1" customHeight="1" x14ac:dyDescent="0.25">
      <c r="C18" s="1362"/>
      <c r="E18" s="3371" t="s">
        <v>290</v>
      </c>
      <c r="F18" s="3371"/>
      <c r="G18" s="3371"/>
      <c r="H18" s="3402" t="str">
        <f>'C.C. Cont. Superf. (2)'!V45</f>
        <v>Lectura x 0.2183</v>
      </c>
      <c r="I18" s="3402"/>
      <c r="J18" s="3402"/>
      <c r="K18" s="1378">
        <f>'C.C. Cont. Superf. (2)'!AD45</f>
        <v>0.13</v>
      </c>
      <c r="L18" s="1769" t="str">
        <f>'C.C. Cont. Superf. (2)'!AH45</f>
        <v>x1</v>
      </c>
      <c r="M18" s="1366"/>
    </row>
    <row r="19" spans="3:13" ht="8.1" customHeight="1" x14ac:dyDescent="0.25">
      <c r="C19" s="1362"/>
      <c r="E19" s="3371" t="s">
        <v>289</v>
      </c>
      <c r="F19" s="3371"/>
      <c r="G19" s="3371"/>
      <c r="H19" s="3402" t="str">
        <f>'C.C. Cont. Superf. (2)'!V46</f>
        <v>Lectura x 0.11227</v>
      </c>
      <c r="I19" s="3402"/>
      <c r="J19" s="3402"/>
      <c r="K19" s="1378">
        <f>'C.C. Cont. Superf. (2)'!AD46</f>
        <v>9.2999999999999999E-2</v>
      </c>
      <c r="L19" s="1769" t="str">
        <f>'C.C. Cont. Superf. (2)'!AH46</f>
        <v>x1</v>
      </c>
      <c r="M19" s="1366"/>
    </row>
    <row r="20" spans="3:13" ht="7.5" customHeight="1" x14ac:dyDescent="0.25">
      <c r="C20" s="1362"/>
      <c r="D20" s="1375" t="s">
        <v>905</v>
      </c>
      <c r="E20" s="1375"/>
      <c r="F20" s="1375"/>
      <c r="M20" s="1366"/>
    </row>
    <row r="21" spans="3:13" ht="7.5" customHeight="1" x14ac:dyDescent="0.25">
      <c r="C21" s="1362"/>
      <c r="D21" s="1375" t="str">
        <f>IF('F-LSCD-013'!C25="cps","Lectura [cps] = Tasa conteo total - Tasa conteo fondo",IF('F-LSCD-013'!C25="cpm","Lectura [cps] = (Tasa conteo total-Tasa conteo fondo)÷60",IF('F-LSCD-013'!C25="cuentas","Lectura [cps] = (cuentas totales/t)-(cuentas fondo/t)","FALTA DEFINIR UNIDAD")))</f>
        <v>FALTA DEFINIR UNIDAD</v>
      </c>
      <c r="M21" s="1366"/>
    </row>
    <row r="22" spans="3:13" ht="2.1" customHeight="1" thickBot="1" x14ac:dyDescent="0.3">
      <c r="C22" s="1379"/>
      <c r="D22" s="1380"/>
      <c r="E22" s="1380"/>
      <c r="F22" s="1380"/>
      <c r="G22" s="1380"/>
      <c r="H22" s="1380"/>
      <c r="I22" s="1380"/>
      <c r="J22" s="1380"/>
      <c r="K22" s="1380"/>
      <c r="L22" s="1380"/>
      <c r="M22" s="1381"/>
    </row>
    <row r="23" spans="3:13" ht="0.95" customHeight="1" thickTop="1" x14ac:dyDescent="0.25"/>
  </sheetData>
  <sheetProtection password="D968"/>
  <mergeCells count="16">
    <mergeCell ref="E18:G18"/>
    <mergeCell ref="H18:J18"/>
    <mergeCell ref="E19:G19"/>
    <mergeCell ref="H19:J19"/>
    <mergeCell ref="G7:H7"/>
    <mergeCell ref="I7:L7"/>
    <mergeCell ref="E16:G16"/>
    <mergeCell ref="H16:J16"/>
    <mergeCell ref="E17:G17"/>
    <mergeCell ref="H17:J17"/>
    <mergeCell ref="G4:H4"/>
    <mergeCell ref="I4:L4"/>
    <mergeCell ref="G5:H5"/>
    <mergeCell ref="I5:L5"/>
    <mergeCell ref="G6:H6"/>
    <mergeCell ref="I6:L6"/>
  </mergeCells>
  <pageMargins left="0" right="0" top="0" bottom="0" header="0" footer="0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6"/>
  <dimension ref="A1:R70"/>
  <sheetViews>
    <sheetView view="pageBreakPreview" topLeftCell="A44" zoomScaleNormal="100" zoomScaleSheetLayoutView="100" workbookViewId="0">
      <selection activeCell="A2" sqref="A2:D5"/>
    </sheetView>
  </sheetViews>
  <sheetFormatPr baseColWidth="10" defaultColWidth="11.42578125" defaultRowHeight="12.75" x14ac:dyDescent="0.2"/>
  <cols>
    <col min="1" max="1" width="2.7109375" style="163" customWidth="1"/>
    <col min="2" max="2" width="2.42578125" style="163" customWidth="1"/>
    <col min="3" max="3" width="20.85546875" style="163" customWidth="1"/>
    <col min="4" max="4" width="1.5703125" style="163" customWidth="1"/>
    <col min="5" max="5" width="7.42578125" style="163" customWidth="1"/>
    <col min="6" max="6" width="1.85546875" style="163" customWidth="1"/>
    <col min="7" max="7" width="6.140625" style="163" customWidth="1"/>
    <col min="8" max="10" width="3.5703125" style="163" customWidth="1"/>
    <col min="11" max="11" width="3.28515625" style="163" customWidth="1"/>
    <col min="12" max="12" width="7.7109375" style="163" customWidth="1"/>
    <col min="13" max="13" width="3.140625" style="163" customWidth="1"/>
    <col min="14" max="14" width="7.140625" style="163" customWidth="1"/>
    <col min="15" max="15" width="1.5703125" style="163" customWidth="1"/>
    <col min="16" max="16" width="7" style="163" customWidth="1"/>
    <col min="17" max="17" width="14.85546875" style="163" customWidth="1"/>
    <col min="18" max="18" width="0.85546875" style="163" customWidth="1"/>
    <col min="19" max="237" width="11.42578125" style="163"/>
    <col min="238" max="238" width="2.28515625" style="163" customWidth="1"/>
    <col min="239" max="239" width="2.7109375" style="163" customWidth="1"/>
    <col min="240" max="240" width="2.42578125" style="163" customWidth="1"/>
    <col min="241" max="241" width="17.7109375" style="163" customWidth="1"/>
    <col min="242" max="242" width="1.5703125" style="163" customWidth="1"/>
    <col min="243" max="243" width="6.42578125" style="163" customWidth="1"/>
    <col min="244" max="244" width="13.140625" style="163" customWidth="1"/>
    <col min="245" max="245" width="1" style="163" customWidth="1"/>
    <col min="246" max="246" width="19.5703125" style="163" customWidth="1"/>
    <col min="247" max="247" width="0.85546875" style="163" customWidth="1"/>
    <col min="248" max="248" width="14.42578125" style="163" customWidth="1"/>
    <col min="249" max="249" width="12.85546875" style="163" customWidth="1"/>
    <col min="250" max="250" width="6.140625" style="163" customWidth="1"/>
    <col min="251" max="252" width="11.42578125" style="163"/>
    <col min="253" max="253" width="15.42578125" style="163" customWidth="1"/>
    <col min="254" max="493" width="11.42578125" style="163"/>
    <col min="494" max="494" width="2.28515625" style="163" customWidth="1"/>
    <col min="495" max="495" width="2.7109375" style="163" customWidth="1"/>
    <col min="496" max="496" width="2.42578125" style="163" customWidth="1"/>
    <col min="497" max="497" width="17.7109375" style="163" customWidth="1"/>
    <col min="498" max="498" width="1.5703125" style="163" customWidth="1"/>
    <col min="499" max="499" width="6.42578125" style="163" customWidth="1"/>
    <col min="500" max="500" width="13.140625" style="163" customWidth="1"/>
    <col min="501" max="501" width="1" style="163" customWidth="1"/>
    <col min="502" max="502" width="19.5703125" style="163" customWidth="1"/>
    <col min="503" max="503" width="0.85546875" style="163" customWidth="1"/>
    <col min="504" max="504" width="14.42578125" style="163" customWidth="1"/>
    <col min="505" max="505" width="12.85546875" style="163" customWidth="1"/>
    <col min="506" max="506" width="6.140625" style="163" customWidth="1"/>
    <col min="507" max="508" width="11.42578125" style="163"/>
    <col min="509" max="509" width="15.42578125" style="163" customWidth="1"/>
    <col min="510" max="749" width="11.42578125" style="163"/>
    <col min="750" max="750" width="2.28515625" style="163" customWidth="1"/>
    <col min="751" max="751" width="2.7109375" style="163" customWidth="1"/>
    <col min="752" max="752" width="2.42578125" style="163" customWidth="1"/>
    <col min="753" max="753" width="17.7109375" style="163" customWidth="1"/>
    <col min="754" max="754" width="1.5703125" style="163" customWidth="1"/>
    <col min="755" max="755" width="6.42578125" style="163" customWidth="1"/>
    <col min="756" max="756" width="13.140625" style="163" customWidth="1"/>
    <col min="757" max="757" width="1" style="163" customWidth="1"/>
    <col min="758" max="758" width="19.5703125" style="163" customWidth="1"/>
    <col min="759" max="759" width="0.85546875" style="163" customWidth="1"/>
    <col min="760" max="760" width="14.42578125" style="163" customWidth="1"/>
    <col min="761" max="761" width="12.85546875" style="163" customWidth="1"/>
    <col min="762" max="762" width="6.140625" style="163" customWidth="1"/>
    <col min="763" max="764" width="11.42578125" style="163"/>
    <col min="765" max="765" width="15.42578125" style="163" customWidth="1"/>
    <col min="766" max="1005" width="11.42578125" style="163"/>
    <col min="1006" max="1006" width="2.28515625" style="163" customWidth="1"/>
    <col min="1007" max="1007" width="2.7109375" style="163" customWidth="1"/>
    <col min="1008" max="1008" width="2.42578125" style="163" customWidth="1"/>
    <col min="1009" max="1009" width="17.7109375" style="163" customWidth="1"/>
    <col min="1010" max="1010" width="1.5703125" style="163" customWidth="1"/>
    <col min="1011" max="1011" width="6.42578125" style="163" customWidth="1"/>
    <col min="1012" max="1012" width="13.140625" style="163" customWidth="1"/>
    <col min="1013" max="1013" width="1" style="163" customWidth="1"/>
    <col min="1014" max="1014" width="19.5703125" style="163" customWidth="1"/>
    <col min="1015" max="1015" width="0.85546875" style="163" customWidth="1"/>
    <col min="1016" max="1016" width="14.42578125" style="163" customWidth="1"/>
    <col min="1017" max="1017" width="12.85546875" style="163" customWidth="1"/>
    <col min="1018" max="1018" width="6.140625" style="163" customWidth="1"/>
    <col min="1019" max="1020" width="11.42578125" style="163"/>
    <col min="1021" max="1021" width="15.42578125" style="163" customWidth="1"/>
    <col min="1022" max="1261" width="11.42578125" style="163"/>
    <col min="1262" max="1262" width="2.28515625" style="163" customWidth="1"/>
    <col min="1263" max="1263" width="2.7109375" style="163" customWidth="1"/>
    <col min="1264" max="1264" width="2.42578125" style="163" customWidth="1"/>
    <col min="1265" max="1265" width="17.7109375" style="163" customWidth="1"/>
    <col min="1266" max="1266" width="1.5703125" style="163" customWidth="1"/>
    <col min="1267" max="1267" width="6.42578125" style="163" customWidth="1"/>
    <col min="1268" max="1268" width="13.140625" style="163" customWidth="1"/>
    <col min="1269" max="1269" width="1" style="163" customWidth="1"/>
    <col min="1270" max="1270" width="19.5703125" style="163" customWidth="1"/>
    <col min="1271" max="1271" width="0.85546875" style="163" customWidth="1"/>
    <col min="1272" max="1272" width="14.42578125" style="163" customWidth="1"/>
    <col min="1273" max="1273" width="12.85546875" style="163" customWidth="1"/>
    <col min="1274" max="1274" width="6.140625" style="163" customWidth="1"/>
    <col min="1275" max="1276" width="11.42578125" style="163"/>
    <col min="1277" max="1277" width="15.42578125" style="163" customWidth="1"/>
    <col min="1278" max="1517" width="11.42578125" style="163"/>
    <col min="1518" max="1518" width="2.28515625" style="163" customWidth="1"/>
    <col min="1519" max="1519" width="2.7109375" style="163" customWidth="1"/>
    <col min="1520" max="1520" width="2.42578125" style="163" customWidth="1"/>
    <col min="1521" max="1521" width="17.7109375" style="163" customWidth="1"/>
    <col min="1522" max="1522" width="1.5703125" style="163" customWidth="1"/>
    <col min="1523" max="1523" width="6.42578125" style="163" customWidth="1"/>
    <col min="1524" max="1524" width="13.140625" style="163" customWidth="1"/>
    <col min="1525" max="1525" width="1" style="163" customWidth="1"/>
    <col min="1526" max="1526" width="19.5703125" style="163" customWidth="1"/>
    <col min="1527" max="1527" width="0.85546875" style="163" customWidth="1"/>
    <col min="1528" max="1528" width="14.42578125" style="163" customWidth="1"/>
    <col min="1529" max="1529" width="12.85546875" style="163" customWidth="1"/>
    <col min="1530" max="1530" width="6.140625" style="163" customWidth="1"/>
    <col min="1531" max="1532" width="11.42578125" style="163"/>
    <col min="1533" max="1533" width="15.42578125" style="163" customWidth="1"/>
    <col min="1534" max="1773" width="11.42578125" style="163"/>
    <col min="1774" max="1774" width="2.28515625" style="163" customWidth="1"/>
    <col min="1775" max="1775" width="2.7109375" style="163" customWidth="1"/>
    <col min="1776" max="1776" width="2.42578125" style="163" customWidth="1"/>
    <col min="1777" max="1777" width="17.7109375" style="163" customWidth="1"/>
    <col min="1778" max="1778" width="1.5703125" style="163" customWidth="1"/>
    <col min="1779" max="1779" width="6.42578125" style="163" customWidth="1"/>
    <col min="1780" max="1780" width="13.140625" style="163" customWidth="1"/>
    <col min="1781" max="1781" width="1" style="163" customWidth="1"/>
    <col min="1782" max="1782" width="19.5703125" style="163" customWidth="1"/>
    <col min="1783" max="1783" width="0.85546875" style="163" customWidth="1"/>
    <col min="1784" max="1784" width="14.42578125" style="163" customWidth="1"/>
    <col min="1785" max="1785" width="12.85546875" style="163" customWidth="1"/>
    <col min="1786" max="1786" width="6.140625" style="163" customWidth="1"/>
    <col min="1787" max="1788" width="11.42578125" style="163"/>
    <col min="1789" max="1789" width="15.42578125" style="163" customWidth="1"/>
    <col min="1790" max="2029" width="11.42578125" style="163"/>
    <col min="2030" max="2030" width="2.28515625" style="163" customWidth="1"/>
    <col min="2031" max="2031" width="2.7109375" style="163" customWidth="1"/>
    <col min="2032" max="2032" width="2.42578125" style="163" customWidth="1"/>
    <col min="2033" max="2033" width="17.7109375" style="163" customWidth="1"/>
    <col min="2034" max="2034" width="1.5703125" style="163" customWidth="1"/>
    <col min="2035" max="2035" width="6.42578125" style="163" customWidth="1"/>
    <col min="2036" max="2036" width="13.140625" style="163" customWidth="1"/>
    <col min="2037" max="2037" width="1" style="163" customWidth="1"/>
    <col min="2038" max="2038" width="19.5703125" style="163" customWidth="1"/>
    <col min="2039" max="2039" width="0.85546875" style="163" customWidth="1"/>
    <col min="2040" max="2040" width="14.42578125" style="163" customWidth="1"/>
    <col min="2041" max="2041" width="12.85546875" style="163" customWidth="1"/>
    <col min="2042" max="2042" width="6.140625" style="163" customWidth="1"/>
    <col min="2043" max="2044" width="11.42578125" style="163"/>
    <col min="2045" max="2045" width="15.42578125" style="163" customWidth="1"/>
    <col min="2046" max="2285" width="11.42578125" style="163"/>
    <col min="2286" max="2286" width="2.28515625" style="163" customWidth="1"/>
    <col min="2287" max="2287" width="2.7109375" style="163" customWidth="1"/>
    <col min="2288" max="2288" width="2.42578125" style="163" customWidth="1"/>
    <col min="2289" max="2289" width="17.7109375" style="163" customWidth="1"/>
    <col min="2290" max="2290" width="1.5703125" style="163" customWidth="1"/>
    <col min="2291" max="2291" width="6.42578125" style="163" customWidth="1"/>
    <col min="2292" max="2292" width="13.140625" style="163" customWidth="1"/>
    <col min="2293" max="2293" width="1" style="163" customWidth="1"/>
    <col min="2294" max="2294" width="19.5703125" style="163" customWidth="1"/>
    <col min="2295" max="2295" width="0.85546875" style="163" customWidth="1"/>
    <col min="2296" max="2296" width="14.42578125" style="163" customWidth="1"/>
    <col min="2297" max="2297" width="12.85546875" style="163" customWidth="1"/>
    <col min="2298" max="2298" width="6.140625" style="163" customWidth="1"/>
    <col min="2299" max="2300" width="11.42578125" style="163"/>
    <col min="2301" max="2301" width="15.42578125" style="163" customWidth="1"/>
    <col min="2302" max="2541" width="11.42578125" style="163"/>
    <col min="2542" max="2542" width="2.28515625" style="163" customWidth="1"/>
    <col min="2543" max="2543" width="2.7109375" style="163" customWidth="1"/>
    <col min="2544" max="2544" width="2.42578125" style="163" customWidth="1"/>
    <col min="2545" max="2545" width="17.7109375" style="163" customWidth="1"/>
    <col min="2546" max="2546" width="1.5703125" style="163" customWidth="1"/>
    <col min="2547" max="2547" width="6.42578125" style="163" customWidth="1"/>
    <col min="2548" max="2548" width="13.140625" style="163" customWidth="1"/>
    <col min="2549" max="2549" width="1" style="163" customWidth="1"/>
    <col min="2550" max="2550" width="19.5703125" style="163" customWidth="1"/>
    <col min="2551" max="2551" width="0.85546875" style="163" customWidth="1"/>
    <col min="2552" max="2552" width="14.42578125" style="163" customWidth="1"/>
    <col min="2553" max="2553" width="12.85546875" style="163" customWidth="1"/>
    <col min="2554" max="2554" width="6.140625" style="163" customWidth="1"/>
    <col min="2555" max="2556" width="11.42578125" style="163"/>
    <col min="2557" max="2557" width="15.42578125" style="163" customWidth="1"/>
    <col min="2558" max="2797" width="11.42578125" style="163"/>
    <col min="2798" max="2798" width="2.28515625" style="163" customWidth="1"/>
    <col min="2799" max="2799" width="2.7109375" style="163" customWidth="1"/>
    <col min="2800" max="2800" width="2.42578125" style="163" customWidth="1"/>
    <col min="2801" max="2801" width="17.7109375" style="163" customWidth="1"/>
    <col min="2802" max="2802" width="1.5703125" style="163" customWidth="1"/>
    <col min="2803" max="2803" width="6.42578125" style="163" customWidth="1"/>
    <col min="2804" max="2804" width="13.140625" style="163" customWidth="1"/>
    <col min="2805" max="2805" width="1" style="163" customWidth="1"/>
    <col min="2806" max="2806" width="19.5703125" style="163" customWidth="1"/>
    <col min="2807" max="2807" width="0.85546875" style="163" customWidth="1"/>
    <col min="2808" max="2808" width="14.42578125" style="163" customWidth="1"/>
    <col min="2809" max="2809" width="12.85546875" style="163" customWidth="1"/>
    <col min="2810" max="2810" width="6.140625" style="163" customWidth="1"/>
    <col min="2811" max="2812" width="11.42578125" style="163"/>
    <col min="2813" max="2813" width="15.42578125" style="163" customWidth="1"/>
    <col min="2814" max="3053" width="11.42578125" style="163"/>
    <col min="3054" max="3054" width="2.28515625" style="163" customWidth="1"/>
    <col min="3055" max="3055" width="2.7109375" style="163" customWidth="1"/>
    <col min="3056" max="3056" width="2.42578125" style="163" customWidth="1"/>
    <col min="3057" max="3057" width="17.7109375" style="163" customWidth="1"/>
    <col min="3058" max="3058" width="1.5703125" style="163" customWidth="1"/>
    <col min="3059" max="3059" width="6.42578125" style="163" customWidth="1"/>
    <col min="3060" max="3060" width="13.140625" style="163" customWidth="1"/>
    <col min="3061" max="3061" width="1" style="163" customWidth="1"/>
    <col min="3062" max="3062" width="19.5703125" style="163" customWidth="1"/>
    <col min="3063" max="3063" width="0.85546875" style="163" customWidth="1"/>
    <col min="3064" max="3064" width="14.42578125" style="163" customWidth="1"/>
    <col min="3065" max="3065" width="12.85546875" style="163" customWidth="1"/>
    <col min="3066" max="3066" width="6.140625" style="163" customWidth="1"/>
    <col min="3067" max="3068" width="11.42578125" style="163"/>
    <col min="3069" max="3069" width="15.42578125" style="163" customWidth="1"/>
    <col min="3070" max="3309" width="11.42578125" style="163"/>
    <col min="3310" max="3310" width="2.28515625" style="163" customWidth="1"/>
    <col min="3311" max="3311" width="2.7109375" style="163" customWidth="1"/>
    <col min="3312" max="3312" width="2.42578125" style="163" customWidth="1"/>
    <col min="3313" max="3313" width="17.7109375" style="163" customWidth="1"/>
    <col min="3314" max="3314" width="1.5703125" style="163" customWidth="1"/>
    <col min="3315" max="3315" width="6.42578125" style="163" customWidth="1"/>
    <col min="3316" max="3316" width="13.140625" style="163" customWidth="1"/>
    <col min="3317" max="3317" width="1" style="163" customWidth="1"/>
    <col min="3318" max="3318" width="19.5703125" style="163" customWidth="1"/>
    <col min="3319" max="3319" width="0.85546875" style="163" customWidth="1"/>
    <col min="3320" max="3320" width="14.42578125" style="163" customWidth="1"/>
    <col min="3321" max="3321" width="12.85546875" style="163" customWidth="1"/>
    <col min="3322" max="3322" width="6.140625" style="163" customWidth="1"/>
    <col min="3323" max="3324" width="11.42578125" style="163"/>
    <col min="3325" max="3325" width="15.42578125" style="163" customWidth="1"/>
    <col min="3326" max="3565" width="11.42578125" style="163"/>
    <col min="3566" max="3566" width="2.28515625" style="163" customWidth="1"/>
    <col min="3567" max="3567" width="2.7109375" style="163" customWidth="1"/>
    <col min="3568" max="3568" width="2.42578125" style="163" customWidth="1"/>
    <col min="3569" max="3569" width="17.7109375" style="163" customWidth="1"/>
    <col min="3570" max="3570" width="1.5703125" style="163" customWidth="1"/>
    <col min="3571" max="3571" width="6.42578125" style="163" customWidth="1"/>
    <col min="3572" max="3572" width="13.140625" style="163" customWidth="1"/>
    <col min="3573" max="3573" width="1" style="163" customWidth="1"/>
    <col min="3574" max="3574" width="19.5703125" style="163" customWidth="1"/>
    <col min="3575" max="3575" width="0.85546875" style="163" customWidth="1"/>
    <col min="3576" max="3576" width="14.42578125" style="163" customWidth="1"/>
    <col min="3577" max="3577" width="12.85546875" style="163" customWidth="1"/>
    <col min="3578" max="3578" width="6.140625" style="163" customWidth="1"/>
    <col min="3579" max="3580" width="11.42578125" style="163"/>
    <col min="3581" max="3581" width="15.42578125" style="163" customWidth="1"/>
    <col min="3582" max="3821" width="11.42578125" style="163"/>
    <col min="3822" max="3822" width="2.28515625" style="163" customWidth="1"/>
    <col min="3823" max="3823" width="2.7109375" style="163" customWidth="1"/>
    <col min="3824" max="3824" width="2.42578125" style="163" customWidth="1"/>
    <col min="3825" max="3825" width="17.7109375" style="163" customWidth="1"/>
    <col min="3826" max="3826" width="1.5703125" style="163" customWidth="1"/>
    <col min="3827" max="3827" width="6.42578125" style="163" customWidth="1"/>
    <col min="3828" max="3828" width="13.140625" style="163" customWidth="1"/>
    <col min="3829" max="3829" width="1" style="163" customWidth="1"/>
    <col min="3830" max="3830" width="19.5703125" style="163" customWidth="1"/>
    <col min="3831" max="3831" width="0.85546875" style="163" customWidth="1"/>
    <col min="3832" max="3832" width="14.42578125" style="163" customWidth="1"/>
    <col min="3833" max="3833" width="12.85546875" style="163" customWidth="1"/>
    <col min="3834" max="3834" width="6.140625" style="163" customWidth="1"/>
    <col min="3835" max="3836" width="11.42578125" style="163"/>
    <col min="3837" max="3837" width="15.42578125" style="163" customWidth="1"/>
    <col min="3838" max="4077" width="11.42578125" style="163"/>
    <col min="4078" max="4078" width="2.28515625" style="163" customWidth="1"/>
    <col min="4079" max="4079" width="2.7109375" style="163" customWidth="1"/>
    <col min="4080" max="4080" width="2.42578125" style="163" customWidth="1"/>
    <col min="4081" max="4081" width="17.7109375" style="163" customWidth="1"/>
    <col min="4082" max="4082" width="1.5703125" style="163" customWidth="1"/>
    <col min="4083" max="4083" width="6.42578125" style="163" customWidth="1"/>
    <col min="4084" max="4084" width="13.140625" style="163" customWidth="1"/>
    <col min="4085" max="4085" width="1" style="163" customWidth="1"/>
    <col min="4086" max="4086" width="19.5703125" style="163" customWidth="1"/>
    <col min="4087" max="4087" width="0.85546875" style="163" customWidth="1"/>
    <col min="4088" max="4088" width="14.42578125" style="163" customWidth="1"/>
    <col min="4089" max="4089" width="12.85546875" style="163" customWidth="1"/>
    <col min="4090" max="4090" width="6.140625" style="163" customWidth="1"/>
    <col min="4091" max="4092" width="11.42578125" style="163"/>
    <col min="4093" max="4093" width="15.42578125" style="163" customWidth="1"/>
    <col min="4094" max="4333" width="11.42578125" style="163"/>
    <col min="4334" max="4334" width="2.28515625" style="163" customWidth="1"/>
    <col min="4335" max="4335" width="2.7109375" style="163" customWidth="1"/>
    <col min="4336" max="4336" width="2.42578125" style="163" customWidth="1"/>
    <col min="4337" max="4337" width="17.7109375" style="163" customWidth="1"/>
    <col min="4338" max="4338" width="1.5703125" style="163" customWidth="1"/>
    <col min="4339" max="4339" width="6.42578125" style="163" customWidth="1"/>
    <col min="4340" max="4340" width="13.140625" style="163" customWidth="1"/>
    <col min="4341" max="4341" width="1" style="163" customWidth="1"/>
    <col min="4342" max="4342" width="19.5703125" style="163" customWidth="1"/>
    <col min="4343" max="4343" width="0.85546875" style="163" customWidth="1"/>
    <col min="4344" max="4344" width="14.42578125" style="163" customWidth="1"/>
    <col min="4345" max="4345" width="12.85546875" style="163" customWidth="1"/>
    <col min="4346" max="4346" width="6.140625" style="163" customWidth="1"/>
    <col min="4347" max="4348" width="11.42578125" style="163"/>
    <col min="4349" max="4349" width="15.42578125" style="163" customWidth="1"/>
    <col min="4350" max="4589" width="11.42578125" style="163"/>
    <col min="4590" max="4590" width="2.28515625" style="163" customWidth="1"/>
    <col min="4591" max="4591" width="2.7109375" style="163" customWidth="1"/>
    <col min="4592" max="4592" width="2.42578125" style="163" customWidth="1"/>
    <col min="4593" max="4593" width="17.7109375" style="163" customWidth="1"/>
    <col min="4594" max="4594" width="1.5703125" style="163" customWidth="1"/>
    <col min="4595" max="4595" width="6.42578125" style="163" customWidth="1"/>
    <col min="4596" max="4596" width="13.140625" style="163" customWidth="1"/>
    <col min="4597" max="4597" width="1" style="163" customWidth="1"/>
    <col min="4598" max="4598" width="19.5703125" style="163" customWidth="1"/>
    <col min="4599" max="4599" width="0.85546875" style="163" customWidth="1"/>
    <col min="4600" max="4600" width="14.42578125" style="163" customWidth="1"/>
    <col min="4601" max="4601" width="12.85546875" style="163" customWidth="1"/>
    <col min="4602" max="4602" width="6.140625" style="163" customWidth="1"/>
    <col min="4603" max="4604" width="11.42578125" style="163"/>
    <col min="4605" max="4605" width="15.42578125" style="163" customWidth="1"/>
    <col min="4606" max="4845" width="11.42578125" style="163"/>
    <col min="4846" max="4846" width="2.28515625" style="163" customWidth="1"/>
    <col min="4847" max="4847" width="2.7109375" style="163" customWidth="1"/>
    <col min="4848" max="4848" width="2.42578125" style="163" customWidth="1"/>
    <col min="4849" max="4849" width="17.7109375" style="163" customWidth="1"/>
    <col min="4850" max="4850" width="1.5703125" style="163" customWidth="1"/>
    <col min="4851" max="4851" width="6.42578125" style="163" customWidth="1"/>
    <col min="4852" max="4852" width="13.140625" style="163" customWidth="1"/>
    <col min="4853" max="4853" width="1" style="163" customWidth="1"/>
    <col min="4854" max="4854" width="19.5703125" style="163" customWidth="1"/>
    <col min="4855" max="4855" width="0.85546875" style="163" customWidth="1"/>
    <col min="4856" max="4856" width="14.42578125" style="163" customWidth="1"/>
    <col min="4857" max="4857" width="12.85546875" style="163" customWidth="1"/>
    <col min="4858" max="4858" width="6.140625" style="163" customWidth="1"/>
    <col min="4859" max="4860" width="11.42578125" style="163"/>
    <col min="4861" max="4861" width="15.42578125" style="163" customWidth="1"/>
    <col min="4862" max="5101" width="11.42578125" style="163"/>
    <col min="5102" max="5102" width="2.28515625" style="163" customWidth="1"/>
    <col min="5103" max="5103" width="2.7109375" style="163" customWidth="1"/>
    <col min="5104" max="5104" width="2.42578125" style="163" customWidth="1"/>
    <col min="5105" max="5105" width="17.7109375" style="163" customWidth="1"/>
    <col min="5106" max="5106" width="1.5703125" style="163" customWidth="1"/>
    <col min="5107" max="5107" width="6.42578125" style="163" customWidth="1"/>
    <col min="5108" max="5108" width="13.140625" style="163" customWidth="1"/>
    <col min="5109" max="5109" width="1" style="163" customWidth="1"/>
    <col min="5110" max="5110" width="19.5703125" style="163" customWidth="1"/>
    <col min="5111" max="5111" width="0.85546875" style="163" customWidth="1"/>
    <col min="5112" max="5112" width="14.42578125" style="163" customWidth="1"/>
    <col min="5113" max="5113" width="12.85546875" style="163" customWidth="1"/>
    <col min="5114" max="5114" width="6.140625" style="163" customWidth="1"/>
    <col min="5115" max="5116" width="11.42578125" style="163"/>
    <col min="5117" max="5117" width="15.42578125" style="163" customWidth="1"/>
    <col min="5118" max="5357" width="11.42578125" style="163"/>
    <col min="5358" max="5358" width="2.28515625" style="163" customWidth="1"/>
    <col min="5359" max="5359" width="2.7109375" style="163" customWidth="1"/>
    <col min="5360" max="5360" width="2.42578125" style="163" customWidth="1"/>
    <col min="5361" max="5361" width="17.7109375" style="163" customWidth="1"/>
    <col min="5362" max="5362" width="1.5703125" style="163" customWidth="1"/>
    <col min="5363" max="5363" width="6.42578125" style="163" customWidth="1"/>
    <col min="5364" max="5364" width="13.140625" style="163" customWidth="1"/>
    <col min="5365" max="5365" width="1" style="163" customWidth="1"/>
    <col min="5366" max="5366" width="19.5703125" style="163" customWidth="1"/>
    <col min="5367" max="5367" width="0.85546875" style="163" customWidth="1"/>
    <col min="5368" max="5368" width="14.42578125" style="163" customWidth="1"/>
    <col min="5369" max="5369" width="12.85546875" style="163" customWidth="1"/>
    <col min="5370" max="5370" width="6.140625" style="163" customWidth="1"/>
    <col min="5371" max="5372" width="11.42578125" style="163"/>
    <col min="5373" max="5373" width="15.42578125" style="163" customWidth="1"/>
    <col min="5374" max="5613" width="11.42578125" style="163"/>
    <col min="5614" max="5614" width="2.28515625" style="163" customWidth="1"/>
    <col min="5615" max="5615" width="2.7109375" style="163" customWidth="1"/>
    <col min="5616" max="5616" width="2.42578125" style="163" customWidth="1"/>
    <col min="5617" max="5617" width="17.7109375" style="163" customWidth="1"/>
    <col min="5618" max="5618" width="1.5703125" style="163" customWidth="1"/>
    <col min="5619" max="5619" width="6.42578125" style="163" customWidth="1"/>
    <col min="5620" max="5620" width="13.140625" style="163" customWidth="1"/>
    <col min="5621" max="5621" width="1" style="163" customWidth="1"/>
    <col min="5622" max="5622" width="19.5703125" style="163" customWidth="1"/>
    <col min="5623" max="5623" width="0.85546875" style="163" customWidth="1"/>
    <col min="5624" max="5624" width="14.42578125" style="163" customWidth="1"/>
    <col min="5625" max="5625" width="12.85546875" style="163" customWidth="1"/>
    <col min="5626" max="5626" width="6.140625" style="163" customWidth="1"/>
    <col min="5627" max="5628" width="11.42578125" style="163"/>
    <col min="5629" max="5629" width="15.42578125" style="163" customWidth="1"/>
    <col min="5630" max="5869" width="11.42578125" style="163"/>
    <col min="5870" max="5870" width="2.28515625" style="163" customWidth="1"/>
    <col min="5871" max="5871" width="2.7109375" style="163" customWidth="1"/>
    <col min="5872" max="5872" width="2.42578125" style="163" customWidth="1"/>
    <col min="5873" max="5873" width="17.7109375" style="163" customWidth="1"/>
    <col min="5874" max="5874" width="1.5703125" style="163" customWidth="1"/>
    <col min="5875" max="5875" width="6.42578125" style="163" customWidth="1"/>
    <col min="5876" max="5876" width="13.140625" style="163" customWidth="1"/>
    <col min="5877" max="5877" width="1" style="163" customWidth="1"/>
    <col min="5878" max="5878" width="19.5703125" style="163" customWidth="1"/>
    <col min="5879" max="5879" width="0.85546875" style="163" customWidth="1"/>
    <col min="5880" max="5880" width="14.42578125" style="163" customWidth="1"/>
    <col min="5881" max="5881" width="12.85546875" style="163" customWidth="1"/>
    <col min="5882" max="5882" width="6.140625" style="163" customWidth="1"/>
    <col min="5883" max="5884" width="11.42578125" style="163"/>
    <col min="5885" max="5885" width="15.42578125" style="163" customWidth="1"/>
    <col min="5886" max="6125" width="11.42578125" style="163"/>
    <col min="6126" max="6126" width="2.28515625" style="163" customWidth="1"/>
    <col min="6127" max="6127" width="2.7109375" style="163" customWidth="1"/>
    <col min="6128" max="6128" width="2.42578125" style="163" customWidth="1"/>
    <col min="6129" max="6129" width="17.7109375" style="163" customWidth="1"/>
    <col min="6130" max="6130" width="1.5703125" style="163" customWidth="1"/>
    <col min="6131" max="6131" width="6.42578125" style="163" customWidth="1"/>
    <col min="6132" max="6132" width="13.140625" style="163" customWidth="1"/>
    <col min="6133" max="6133" width="1" style="163" customWidth="1"/>
    <col min="6134" max="6134" width="19.5703125" style="163" customWidth="1"/>
    <col min="6135" max="6135" width="0.85546875" style="163" customWidth="1"/>
    <col min="6136" max="6136" width="14.42578125" style="163" customWidth="1"/>
    <col min="6137" max="6137" width="12.85546875" style="163" customWidth="1"/>
    <col min="6138" max="6138" width="6.140625" style="163" customWidth="1"/>
    <col min="6139" max="6140" width="11.42578125" style="163"/>
    <col min="6141" max="6141" width="15.42578125" style="163" customWidth="1"/>
    <col min="6142" max="6381" width="11.42578125" style="163"/>
    <col min="6382" max="6382" width="2.28515625" style="163" customWidth="1"/>
    <col min="6383" max="6383" width="2.7109375" style="163" customWidth="1"/>
    <col min="6384" max="6384" width="2.42578125" style="163" customWidth="1"/>
    <col min="6385" max="6385" width="17.7109375" style="163" customWidth="1"/>
    <col min="6386" max="6386" width="1.5703125" style="163" customWidth="1"/>
    <col min="6387" max="6387" width="6.42578125" style="163" customWidth="1"/>
    <col min="6388" max="6388" width="13.140625" style="163" customWidth="1"/>
    <col min="6389" max="6389" width="1" style="163" customWidth="1"/>
    <col min="6390" max="6390" width="19.5703125" style="163" customWidth="1"/>
    <col min="6391" max="6391" width="0.85546875" style="163" customWidth="1"/>
    <col min="6392" max="6392" width="14.42578125" style="163" customWidth="1"/>
    <col min="6393" max="6393" width="12.85546875" style="163" customWidth="1"/>
    <col min="6394" max="6394" width="6.140625" style="163" customWidth="1"/>
    <col min="6395" max="6396" width="11.42578125" style="163"/>
    <col min="6397" max="6397" width="15.42578125" style="163" customWidth="1"/>
    <col min="6398" max="6637" width="11.42578125" style="163"/>
    <col min="6638" max="6638" width="2.28515625" style="163" customWidth="1"/>
    <col min="6639" max="6639" width="2.7109375" style="163" customWidth="1"/>
    <col min="6640" max="6640" width="2.42578125" style="163" customWidth="1"/>
    <col min="6641" max="6641" width="17.7109375" style="163" customWidth="1"/>
    <col min="6642" max="6642" width="1.5703125" style="163" customWidth="1"/>
    <col min="6643" max="6643" width="6.42578125" style="163" customWidth="1"/>
    <col min="6644" max="6644" width="13.140625" style="163" customWidth="1"/>
    <col min="6645" max="6645" width="1" style="163" customWidth="1"/>
    <col min="6646" max="6646" width="19.5703125" style="163" customWidth="1"/>
    <col min="6647" max="6647" width="0.85546875" style="163" customWidth="1"/>
    <col min="6648" max="6648" width="14.42578125" style="163" customWidth="1"/>
    <col min="6649" max="6649" width="12.85546875" style="163" customWidth="1"/>
    <col min="6650" max="6650" width="6.140625" style="163" customWidth="1"/>
    <col min="6651" max="6652" width="11.42578125" style="163"/>
    <col min="6653" max="6653" width="15.42578125" style="163" customWidth="1"/>
    <col min="6654" max="6893" width="11.42578125" style="163"/>
    <col min="6894" max="6894" width="2.28515625" style="163" customWidth="1"/>
    <col min="6895" max="6895" width="2.7109375" style="163" customWidth="1"/>
    <col min="6896" max="6896" width="2.42578125" style="163" customWidth="1"/>
    <col min="6897" max="6897" width="17.7109375" style="163" customWidth="1"/>
    <col min="6898" max="6898" width="1.5703125" style="163" customWidth="1"/>
    <col min="6899" max="6899" width="6.42578125" style="163" customWidth="1"/>
    <col min="6900" max="6900" width="13.140625" style="163" customWidth="1"/>
    <col min="6901" max="6901" width="1" style="163" customWidth="1"/>
    <col min="6902" max="6902" width="19.5703125" style="163" customWidth="1"/>
    <col min="6903" max="6903" width="0.85546875" style="163" customWidth="1"/>
    <col min="6904" max="6904" width="14.42578125" style="163" customWidth="1"/>
    <col min="6905" max="6905" width="12.85546875" style="163" customWidth="1"/>
    <col min="6906" max="6906" width="6.140625" style="163" customWidth="1"/>
    <col min="6907" max="6908" width="11.42578125" style="163"/>
    <col min="6909" max="6909" width="15.42578125" style="163" customWidth="1"/>
    <col min="6910" max="7149" width="11.42578125" style="163"/>
    <col min="7150" max="7150" width="2.28515625" style="163" customWidth="1"/>
    <col min="7151" max="7151" width="2.7109375" style="163" customWidth="1"/>
    <col min="7152" max="7152" width="2.42578125" style="163" customWidth="1"/>
    <col min="7153" max="7153" width="17.7109375" style="163" customWidth="1"/>
    <col min="7154" max="7154" width="1.5703125" style="163" customWidth="1"/>
    <col min="7155" max="7155" width="6.42578125" style="163" customWidth="1"/>
    <col min="7156" max="7156" width="13.140625" style="163" customWidth="1"/>
    <col min="7157" max="7157" width="1" style="163" customWidth="1"/>
    <col min="7158" max="7158" width="19.5703125" style="163" customWidth="1"/>
    <col min="7159" max="7159" width="0.85546875" style="163" customWidth="1"/>
    <col min="7160" max="7160" width="14.42578125" style="163" customWidth="1"/>
    <col min="7161" max="7161" width="12.85546875" style="163" customWidth="1"/>
    <col min="7162" max="7162" width="6.140625" style="163" customWidth="1"/>
    <col min="7163" max="7164" width="11.42578125" style="163"/>
    <col min="7165" max="7165" width="15.42578125" style="163" customWidth="1"/>
    <col min="7166" max="7405" width="11.42578125" style="163"/>
    <col min="7406" max="7406" width="2.28515625" style="163" customWidth="1"/>
    <col min="7407" max="7407" width="2.7109375" style="163" customWidth="1"/>
    <col min="7408" max="7408" width="2.42578125" style="163" customWidth="1"/>
    <col min="7409" max="7409" width="17.7109375" style="163" customWidth="1"/>
    <col min="7410" max="7410" width="1.5703125" style="163" customWidth="1"/>
    <col min="7411" max="7411" width="6.42578125" style="163" customWidth="1"/>
    <col min="7412" max="7412" width="13.140625" style="163" customWidth="1"/>
    <col min="7413" max="7413" width="1" style="163" customWidth="1"/>
    <col min="7414" max="7414" width="19.5703125" style="163" customWidth="1"/>
    <col min="7415" max="7415" width="0.85546875" style="163" customWidth="1"/>
    <col min="7416" max="7416" width="14.42578125" style="163" customWidth="1"/>
    <col min="7417" max="7417" width="12.85546875" style="163" customWidth="1"/>
    <col min="7418" max="7418" width="6.140625" style="163" customWidth="1"/>
    <col min="7419" max="7420" width="11.42578125" style="163"/>
    <col min="7421" max="7421" width="15.42578125" style="163" customWidth="1"/>
    <col min="7422" max="7661" width="11.42578125" style="163"/>
    <col min="7662" max="7662" width="2.28515625" style="163" customWidth="1"/>
    <col min="7663" max="7663" width="2.7109375" style="163" customWidth="1"/>
    <col min="7664" max="7664" width="2.42578125" style="163" customWidth="1"/>
    <col min="7665" max="7665" width="17.7109375" style="163" customWidth="1"/>
    <col min="7666" max="7666" width="1.5703125" style="163" customWidth="1"/>
    <col min="7667" max="7667" width="6.42578125" style="163" customWidth="1"/>
    <col min="7668" max="7668" width="13.140625" style="163" customWidth="1"/>
    <col min="7669" max="7669" width="1" style="163" customWidth="1"/>
    <col min="7670" max="7670" width="19.5703125" style="163" customWidth="1"/>
    <col min="7671" max="7671" width="0.85546875" style="163" customWidth="1"/>
    <col min="7672" max="7672" width="14.42578125" style="163" customWidth="1"/>
    <col min="7673" max="7673" width="12.85546875" style="163" customWidth="1"/>
    <col min="7674" max="7674" width="6.140625" style="163" customWidth="1"/>
    <col min="7675" max="7676" width="11.42578125" style="163"/>
    <col min="7677" max="7677" width="15.42578125" style="163" customWidth="1"/>
    <col min="7678" max="7917" width="11.42578125" style="163"/>
    <col min="7918" max="7918" width="2.28515625" style="163" customWidth="1"/>
    <col min="7919" max="7919" width="2.7109375" style="163" customWidth="1"/>
    <col min="7920" max="7920" width="2.42578125" style="163" customWidth="1"/>
    <col min="7921" max="7921" width="17.7109375" style="163" customWidth="1"/>
    <col min="7922" max="7922" width="1.5703125" style="163" customWidth="1"/>
    <col min="7923" max="7923" width="6.42578125" style="163" customWidth="1"/>
    <col min="7924" max="7924" width="13.140625" style="163" customWidth="1"/>
    <col min="7925" max="7925" width="1" style="163" customWidth="1"/>
    <col min="7926" max="7926" width="19.5703125" style="163" customWidth="1"/>
    <col min="7927" max="7927" width="0.85546875" style="163" customWidth="1"/>
    <col min="7928" max="7928" width="14.42578125" style="163" customWidth="1"/>
    <col min="7929" max="7929" width="12.85546875" style="163" customWidth="1"/>
    <col min="7930" max="7930" width="6.140625" style="163" customWidth="1"/>
    <col min="7931" max="7932" width="11.42578125" style="163"/>
    <col min="7933" max="7933" width="15.42578125" style="163" customWidth="1"/>
    <col min="7934" max="8173" width="11.42578125" style="163"/>
    <col min="8174" max="8174" width="2.28515625" style="163" customWidth="1"/>
    <col min="8175" max="8175" width="2.7109375" style="163" customWidth="1"/>
    <col min="8176" max="8176" width="2.42578125" style="163" customWidth="1"/>
    <col min="8177" max="8177" width="17.7109375" style="163" customWidth="1"/>
    <col min="8178" max="8178" width="1.5703125" style="163" customWidth="1"/>
    <col min="8179" max="8179" width="6.42578125" style="163" customWidth="1"/>
    <col min="8180" max="8180" width="13.140625" style="163" customWidth="1"/>
    <col min="8181" max="8181" width="1" style="163" customWidth="1"/>
    <col min="8182" max="8182" width="19.5703125" style="163" customWidth="1"/>
    <col min="8183" max="8183" width="0.85546875" style="163" customWidth="1"/>
    <col min="8184" max="8184" width="14.42578125" style="163" customWidth="1"/>
    <col min="8185" max="8185" width="12.85546875" style="163" customWidth="1"/>
    <col min="8186" max="8186" width="6.140625" style="163" customWidth="1"/>
    <col min="8187" max="8188" width="11.42578125" style="163"/>
    <col min="8189" max="8189" width="15.42578125" style="163" customWidth="1"/>
    <col min="8190" max="8429" width="11.42578125" style="163"/>
    <col min="8430" max="8430" width="2.28515625" style="163" customWidth="1"/>
    <col min="8431" max="8431" width="2.7109375" style="163" customWidth="1"/>
    <col min="8432" max="8432" width="2.42578125" style="163" customWidth="1"/>
    <col min="8433" max="8433" width="17.7109375" style="163" customWidth="1"/>
    <col min="8434" max="8434" width="1.5703125" style="163" customWidth="1"/>
    <col min="8435" max="8435" width="6.42578125" style="163" customWidth="1"/>
    <col min="8436" max="8436" width="13.140625" style="163" customWidth="1"/>
    <col min="8437" max="8437" width="1" style="163" customWidth="1"/>
    <col min="8438" max="8438" width="19.5703125" style="163" customWidth="1"/>
    <col min="8439" max="8439" width="0.85546875" style="163" customWidth="1"/>
    <col min="8440" max="8440" width="14.42578125" style="163" customWidth="1"/>
    <col min="8441" max="8441" width="12.85546875" style="163" customWidth="1"/>
    <col min="8442" max="8442" width="6.140625" style="163" customWidth="1"/>
    <col min="8443" max="8444" width="11.42578125" style="163"/>
    <col min="8445" max="8445" width="15.42578125" style="163" customWidth="1"/>
    <col min="8446" max="8685" width="11.42578125" style="163"/>
    <col min="8686" max="8686" width="2.28515625" style="163" customWidth="1"/>
    <col min="8687" max="8687" width="2.7109375" style="163" customWidth="1"/>
    <col min="8688" max="8688" width="2.42578125" style="163" customWidth="1"/>
    <col min="8689" max="8689" width="17.7109375" style="163" customWidth="1"/>
    <col min="8690" max="8690" width="1.5703125" style="163" customWidth="1"/>
    <col min="8691" max="8691" width="6.42578125" style="163" customWidth="1"/>
    <col min="8692" max="8692" width="13.140625" style="163" customWidth="1"/>
    <col min="8693" max="8693" width="1" style="163" customWidth="1"/>
    <col min="8694" max="8694" width="19.5703125" style="163" customWidth="1"/>
    <col min="8695" max="8695" width="0.85546875" style="163" customWidth="1"/>
    <col min="8696" max="8696" width="14.42578125" style="163" customWidth="1"/>
    <col min="8697" max="8697" width="12.85546875" style="163" customWidth="1"/>
    <col min="8698" max="8698" width="6.140625" style="163" customWidth="1"/>
    <col min="8699" max="8700" width="11.42578125" style="163"/>
    <col min="8701" max="8701" width="15.42578125" style="163" customWidth="1"/>
    <col min="8702" max="8941" width="11.42578125" style="163"/>
    <col min="8942" max="8942" width="2.28515625" style="163" customWidth="1"/>
    <col min="8943" max="8943" width="2.7109375" style="163" customWidth="1"/>
    <col min="8944" max="8944" width="2.42578125" style="163" customWidth="1"/>
    <col min="8945" max="8945" width="17.7109375" style="163" customWidth="1"/>
    <col min="8946" max="8946" width="1.5703125" style="163" customWidth="1"/>
    <col min="8947" max="8947" width="6.42578125" style="163" customWidth="1"/>
    <col min="8948" max="8948" width="13.140625" style="163" customWidth="1"/>
    <col min="8949" max="8949" width="1" style="163" customWidth="1"/>
    <col min="8950" max="8950" width="19.5703125" style="163" customWidth="1"/>
    <col min="8951" max="8951" width="0.85546875" style="163" customWidth="1"/>
    <col min="8952" max="8952" width="14.42578125" style="163" customWidth="1"/>
    <col min="8953" max="8953" width="12.85546875" style="163" customWidth="1"/>
    <col min="8954" max="8954" width="6.140625" style="163" customWidth="1"/>
    <col min="8955" max="8956" width="11.42578125" style="163"/>
    <col min="8957" max="8957" width="15.42578125" style="163" customWidth="1"/>
    <col min="8958" max="9197" width="11.42578125" style="163"/>
    <col min="9198" max="9198" width="2.28515625" style="163" customWidth="1"/>
    <col min="9199" max="9199" width="2.7109375" style="163" customWidth="1"/>
    <col min="9200" max="9200" width="2.42578125" style="163" customWidth="1"/>
    <col min="9201" max="9201" width="17.7109375" style="163" customWidth="1"/>
    <col min="9202" max="9202" width="1.5703125" style="163" customWidth="1"/>
    <col min="9203" max="9203" width="6.42578125" style="163" customWidth="1"/>
    <col min="9204" max="9204" width="13.140625" style="163" customWidth="1"/>
    <col min="9205" max="9205" width="1" style="163" customWidth="1"/>
    <col min="9206" max="9206" width="19.5703125" style="163" customWidth="1"/>
    <col min="9207" max="9207" width="0.85546875" style="163" customWidth="1"/>
    <col min="9208" max="9208" width="14.42578125" style="163" customWidth="1"/>
    <col min="9209" max="9209" width="12.85546875" style="163" customWidth="1"/>
    <col min="9210" max="9210" width="6.140625" style="163" customWidth="1"/>
    <col min="9211" max="9212" width="11.42578125" style="163"/>
    <col min="9213" max="9213" width="15.42578125" style="163" customWidth="1"/>
    <col min="9214" max="9453" width="11.42578125" style="163"/>
    <col min="9454" max="9454" width="2.28515625" style="163" customWidth="1"/>
    <col min="9455" max="9455" width="2.7109375" style="163" customWidth="1"/>
    <col min="9456" max="9456" width="2.42578125" style="163" customWidth="1"/>
    <col min="9457" max="9457" width="17.7109375" style="163" customWidth="1"/>
    <col min="9458" max="9458" width="1.5703125" style="163" customWidth="1"/>
    <col min="9459" max="9459" width="6.42578125" style="163" customWidth="1"/>
    <col min="9460" max="9460" width="13.140625" style="163" customWidth="1"/>
    <col min="9461" max="9461" width="1" style="163" customWidth="1"/>
    <col min="9462" max="9462" width="19.5703125" style="163" customWidth="1"/>
    <col min="9463" max="9463" width="0.85546875" style="163" customWidth="1"/>
    <col min="9464" max="9464" width="14.42578125" style="163" customWidth="1"/>
    <col min="9465" max="9465" width="12.85546875" style="163" customWidth="1"/>
    <col min="9466" max="9466" width="6.140625" style="163" customWidth="1"/>
    <col min="9467" max="9468" width="11.42578125" style="163"/>
    <col min="9469" max="9469" width="15.42578125" style="163" customWidth="1"/>
    <col min="9470" max="9709" width="11.42578125" style="163"/>
    <col min="9710" max="9710" width="2.28515625" style="163" customWidth="1"/>
    <col min="9711" max="9711" width="2.7109375" style="163" customWidth="1"/>
    <col min="9712" max="9712" width="2.42578125" style="163" customWidth="1"/>
    <col min="9713" max="9713" width="17.7109375" style="163" customWidth="1"/>
    <col min="9714" max="9714" width="1.5703125" style="163" customWidth="1"/>
    <col min="9715" max="9715" width="6.42578125" style="163" customWidth="1"/>
    <col min="9716" max="9716" width="13.140625" style="163" customWidth="1"/>
    <col min="9717" max="9717" width="1" style="163" customWidth="1"/>
    <col min="9718" max="9718" width="19.5703125" style="163" customWidth="1"/>
    <col min="9719" max="9719" width="0.85546875" style="163" customWidth="1"/>
    <col min="9720" max="9720" width="14.42578125" style="163" customWidth="1"/>
    <col min="9721" max="9721" width="12.85546875" style="163" customWidth="1"/>
    <col min="9722" max="9722" width="6.140625" style="163" customWidth="1"/>
    <col min="9723" max="9724" width="11.42578125" style="163"/>
    <col min="9725" max="9725" width="15.42578125" style="163" customWidth="1"/>
    <col min="9726" max="9965" width="11.42578125" style="163"/>
    <col min="9966" max="9966" width="2.28515625" style="163" customWidth="1"/>
    <col min="9967" max="9967" width="2.7109375" style="163" customWidth="1"/>
    <col min="9968" max="9968" width="2.42578125" style="163" customWidth="1"/>
    <col min="9969" max="9969" width="17.7109375" style="163" customWidth="1"/>
    <col min="9970" max="9970" width="1.5703125" style="163" customWidth="1"/>
    <col min="9971" max="9971" width="6.42578125" style="163" customWidth="1"/>
    <col min="9972" max="9972" width="13.140625" style="163" customWidth="1"/>
    <col min="9973" max="9973" width="1" style="163" customWidth="1"/>
    <col min="9974" max="9974" width="19.5703125" style="163" customWidth="1"/>
    <col min="9975" max="9975" width="0.85546875" style="163" customWidth="1"/>
    <col min="9976" max="9976" width="14.42578125" style="163" customWidth="1"/>
    <col min="9977" max="9977" width="12.85546875" style="163" customWidth="1"/>
    <col min="9978" max="9978" width="6.140625" style="163" customWidth="1"/>
    <col min="9979" max="9980" width="11.42578125" style="163"/>
    <col min="9981" max="9981" width="15.42578125" style="163" customWidth="1"/>
    <col min="9982" max="10221" width="11.42578125" style="163"/>
    <col min="10222" max="10222" width="2.28515625" style="163" customWidth="1"/>
    <col min="10223" max="10223" width="2.7109375" style="163" customWidth="1"/>
    <col min="10224" max="10224" width="2.42578125" style="163" customWidth="1"/>
    <col min="10225" max="10225" width="17.7109375" style="163" customWidth="1"/>
    <col min="10226" max="10226" width="1.5703125" style="163" customWidth="1"/>
    <col min="10227" max="10227" width="6.42578125" style="163" customWidth="1"/>
    <col min="10228" max="10228" width="13.140625" style="163" customWidth="1"/>
    <col min="10229" max="10229" width="1" style="163" customWidth="1"/>
    <col min="10230" max="10230" width="19.5703125" style="163" customWidth="1"/>
    <col min="10231" max="10231" width="0.85546875" style="163" customWidth="1"/>
    <col min="10232" max="10232" width="14.42578125" style="163" customWidth="1"/>
    <col min="10233" max="10233" width="12.85546875" style="163" customWidth="1"/>
    <col min="10234" max="10234" width="6.140625" style="163" customWidth="1"/>
    <col min="10235" max="10236" width="11.42578125" style="163"/>
    <col min="10237" max="10237" width="15.42578125" style="163" customWidth="1"/>
    <col min="10238" max="10477" width="11.42578125" style="163"/>
    <col min="10478" max="10478" width="2.28515625" style="163" customWidth="1"/>
    <col min="10479" max="10479" width="2.7109375" style="163" customWidth="1"/>
    <col min="10480" max="10480" width="2.42578125" style="163" customWidth="1"/>
    <col min="10481" max="10481" width="17.7109375" style="163" customWidth="1"/>
    <col min="10482" max="10482" width="1.5703125" style="163" customWidth="1"/>
    <col min="10483" max="10483" width="6.42578125" style="163" customWidth="1"/>
    <col min="10484" max="10484" width="13.140625" style="163" customWidth="1"/>
    <col min="10485" max="10485" width="1" style="163" customWidth="1"/>
    <col min="10486" max="10486" width="19.5703125" style="163" customWidth="1"/>
    <col min="10487" max="10487" width="0.85546875" style="163" customWidth="1"/>
    <col min="10488" max="10488" width="14.42578125" style="163" customWidth="1"/>
    <col min="10489" max="10489" width="12.85546875" style="163" customWidth="1"/>
    <col min="10490" max="10490" width="6.140625" style="163" customWidth="1"/>
    <col min="10491" max="10492" width="11.42578125" style="163"/>
    <col min="10493" max="10493" width="15.42578125" style="163" customWidth="1"/>
    <col min="10494" max="10733" width="11.42578125" style="163"/>
    <col min="10734" max="10734" width="2.28515625" style="163" customWidth="1"/>
    <col min="10735" max="10735" width="2.7109375" style="163" customWidth="1"/>
    <col min="10736" max="10736" width="2.42578125" style="163" customWidth="1"/>
    <col min="10737" max="10737" width="17.7109375" style="163" customWidth="1"/>
    <col min="10738" max="10738" width="1.5703125" style="163" customWidth="1"/>
    <col min="10739" max="10739" width="6.42578125" style="163" customWidth="1"/>
    <col min="10740" max="10740" width="13.140625" style="163" customWidth="1"/>
    <col min="10741" max="10741" width="1" style="163" customWidth="1"/>
    <col min="10742" max="10742" width="19.5703125" style="163" customWidth="1"/>
    <col min="10743" max="10743" width="0.85546875" style="163" customWidth="1"/>
    <col min="10744" max="10744" width="14.42578125" style="163" customWidth="1"/>
    <col min="10745" max="10745" width="12.85546875" style="163" customWidth="1"/>
    <col min="10746" max="10746" width="6.140625" style="163" customWidth="1"/>
    <col min="10747" max="10748" width="11.42578125" style="163"/>
    <col min="10749" max="10749" width="15.42578125" style="163" customWidth="1"/>
    <col min="10750" max="10989" width="11.42578125" style="163"/>
    <col min="10990" max="10990" width="2.28515625" style="163" customWidth="1"/>
    <col min="10991" max="10991" width="2.7109375" style="163" customWidth="1"/>
    <col min="10992" max="10992" width="2.42578125" style="163" customWidth="1"/>
    <col min="10993" max="10993" width="17.7109375" style="163" customWidth="1"/>
    <col min="10994" max="10994" width="1.5703125" style="163" customWidth="1"/>
    <col min="10995" max="10995" width="6.42578125" style="163" customWidth="1"/>
    <col min="10996" max="10996" width="13.140625" style="163" customWidth="1"/>
    <col min="10997" max="10997" width="1" style="163" customWidth="1"/>
    <col min="10998" max="10998" width="19.5703125" style="163" customWidth="1"/>
    <col min="10999" max="10999" width="0.85546875" style="163" customWidth="1"/>
    <col min="11000" max="11000" width="14.42578125" style="163" customWidth="1"/>
    <col min="11001" max="11001" width="12.85546875" style="163" customWidth="1"/>
    <col min="11002" max="11002" width="6.140625" style="163" customWidth="1"/>
    <col min="11003" max="11004" width="11.42578125" style="163"/>
    <col min="11005" max="11005" width="15.42578125" style="163" customWidth="1"/>
    <col min="11006" max="11245" width="11.42578125" style="163"/>
    <col min="11246" max="11246" width="2.28515625" style="163" customWidth="1"/>
    <col min="11247" max="11247" width="2.7109375" style="163" customWidth="1"/>
    <col min="11248" max="11248" width="2.42578125" style="163" customWidth="1"/>
    <col min="11249" max="11249" width="17.7109375" style="163" customWidth="1"/>
    <col min="11250" max="11250" width="1.5703125" style="163" customWidth="1"/>
    <col min="11251" max="11251" width="6.42578125" style="163" customWidth="1"/>
    <col min="11252" max="11252" width="13.140625" style="163" customWidth="1"/>
    <col min="11253" max="11253" width="1" style="163" customWidth="1"/>
    <col min="11254" max="11254" width="19.5703125" style="163" customWidth="1"/>
    <col min="11255" max="11255" width="0.85546875" style="163" customWidth="1"/>
    <col min="11256" max="11256" width="14.42578125" style="163" customWidth="1"/>
    <col min="11257" max="11257" width="12.85546875" style="163" customWidth="1"/>
    <col min="11258" max="11258" width="6.140625" style="163" customWidth="1"/>
    <col min="11259" max="11260" width="11.42578125" style="163"/>
    <col min="11261" max="11261" width="15.42578125" style="163" customWidth="1"/>
    <col min="11262" max="11501" width="11.42578125" style="163"/>
    <col min="11502" max="11502" width="2.28515625" style="163" customWidth="1"/>
    <col min="11503" max="11503" width="2.7109375" style="163" customWidth="1"/>
    <col min="11504" max="11504" width="2.42578125" style="163" customWidth="1"/>
    <col min="11505" max="11505" width="17.7109375" style="163" customWidth="1"/>
    <col min="11506" max="11506" width="1.5703125" style="163" customWidth="1"/>
    <col min="11507" max="11507" width="6.42578125" style="163" customWidth="1"/>
    <col min="11508" max="11508" width="13.140625" style="163" customWidth="1"/>
    <col min="11509" max="11509" width="1" style="163" customWidth="1"/>
    <col min="11510" max="11510" width="19.5703125" style="163" customWidth="1"/>
    <col min="11511" max="11511" width="0.85546875" style="163" customWidth="1"/>
    <col min="11512" max="11512" width="14.42578125" style="163" customWidth="1"/>
    <col min="11513" max="11513" width="12.85546875" style="163" customWidth="1"/>
    <col min="11514" max="11514" width="6.140625" style="163" customWidth="1"/>
    <col min="11515" max="11516" width="11.42578125" style="163"/>
    <col min="11517" max="11517" width="15.42578125" style="163" customWidth="1"/>
    <col min="11518" max="11757" width="11.42578125" style="163"/>
    <col min="11758" max="11758" width="2.28515625" style="163" customWidth="1"/>
    <col min="11759" max="11759" width="2.7109375" style="163" customWidth="1"/>
    <col min="11760" max="11760" width="2.42578125" style="163" customWidth="1"/>
    <col min="11761" max="11761" width="17.7109375" style="163" customWidth="1"/>
    <col min="11762" max="11762" width="1.5703125" style="163" customWidth="1"/>
    <col min="11763" max="11763" width="6.42578125" style="163" customWidth="1"/>
    <col min="11764" max="11764" width="13.140625" style="163" customWidth="1"/>
    <col min="11765" max="11765" width="1" style="163" customWidth="1"/>
    <col min="11766" max="11766" width="19.5703125" style="163" customWidth="1"/>
    <col min="11767" max="11767" width="0.85546875" style="163" customWidth="1"/>
    <col min="11768" max="11768" width="14.42578125" style="163" customWidth="1"/>
    <col min="11769" max="11769" width="12.85546875" style="163" customWidth="1"/>
    <col min="11770" max="11770" width="6.140625" style="163" customWidth="1"/>
    <col min="11771" max="11772" width="11.42578125" style="163"/>
    <col min="11773" max="11773" width="15.42578125" style="163" customWidth="1"/>
    <col min="11774" max="12013" width="11.42578125" style="163"/>
    <col min="12014" max="12014" width="2.28515625" style="163" customWidth="1"/>
    <col min="12015" max="12015" width="2.7109375" style="163" customWidth="1"/>
    <col min="12016" max="12016" width="2.42578125" style="163" customWidth="1"/>
    <col min="12017" max="12017" width="17.7109375" style="163" customWidth="1"/>
    <col min="12018" max="12018" width="1.5703125" style="163" customWidth="1"/>
    <col min="12019" max="12019" width="6.42578125" style="163" customWidth="1"/>
    <col min="12020" max="12020" width="13.140625" style="163" customWidth="1"/>
    <col min="12021" max="12021" width="1" style="163" customWidth="1"/>
    <col min="12022" max="12022" width="19.5703125" style="163" customWidth="1"/>
    <col min="12023" max="12023" width="0.85546875" style="163" customWidth="1"/>
    <col min="12024" max="12024" width="14.42578125" style="163" customWidth="1"/>
    <col min="12025" max="12025" width="12.85546875" style="163" customWidth="1"/>
    <col min="12026" max="12026" width="6.140625" style="163" customWidth="1"/>
    <col min="12027" max="12028" width="11.42578125" style="163"/>
    <col min="12029" max="12029" width="15.42578125" style="163" customWidth="1"/>
    <col min="12030" max="12269" width="11.42578125" style="163"/>
    <col min="12270" max="12270" width="2.28515625" style="163" customWidth="1"/>
    <col min="12271" max="12271" width="2.7109375" style="163" customWidth="1"/>
    <col min="12272" max="12272" width="2.42578125" style="163" customWidth="1"/>
    <col min="12273" max="12273" width="17.7109375" style="163" customWidth="1"/>
    <col min="12274" max="12274" width="1.5703125" style="163" customWidth="1"/>
    <col min="12275" max="12275" width="6.42578125" style="163" customWidth="1"/>
    <col min="12276" max="12276" width="13.140625" style="163" customWidth="1"/>
    <col min="12277" max="12277" width="1" style="163" customWidth="1"/>
    <col min="12278" max="12278" width="19.5703125" style="163" customWidth="1"/>
    <col min="12279" max="12279" width="0.85546875" style="163" customWidth="1"/>
    <col min="12280" max="12280" width="14.42578125" style="163" customWidth="1"/>
    <col min="12281" max="12281" width="12.85546875" style="163" customWidth="1"/>
    <col min="12282" max="12282" width="6.140625" style="163" customWidth="1"/>
    <col min="12283" max="12284" width="11.42578125" style="163"/>
    <col min="12285" max="12285" width="15.42578125" style="163" customWidth="1"/>
    <col min="12286" max="12525" width="11.42578125" style="163"/>
    <col min="12526" max="12526" width="2.28515625" style="163" customWidth="1"/>
    <col min="12527" max="12527" width="2.7109375" style="163" customWidth="1"/>
    <col min="12528" max="12528" width="2.42578125" style="163" customWidth="1"/>
    <col min="12529" max="12529" width="17.7109375" style="163" customWidth="1"/>
    <col min="12530" max="12530" width="1.5703125" style="163" customWidth="1"/>
    <col min="12531" max="12531" width="6.42578125" style="163" customWidth="1"/>
    <col min="12532" max="12532" width="13.140625" style="163" customWidth="1"/>
    <col min="12533" max="12533" width="1" style="163" customWidth="1"/>
    <col min="12534" max="12534" width="19.5703125" style="163" customWidth="1"/>
    <col min="12535" max="12535" width="0.85546875" style="163" customWidth="1"/>
    <col min="12536" max="12536" width="14.42578125" style="163" customWidth="1"/>
    <col min="12537" max="12537" width="12.85546875" style="163" customWidth="1"/>
    <col min="12538" max="12538" width="6.140625" style="163" customWidth="1"/>
    <col min="12539" max="12540" width="11.42578125" style="163"/>
    <col min="12541" max="12541" width="15.42578125" style="163" customWidth="1"/>
    <col min="12542" max="12781" width="11.42578125" style="163"/>
    <col min="12782" max="12782" width="2.28515625" style="163" customWidth="1"/>
    <col min="12783" max="12783" width="2.7109375" style="163" customWidth="1"/>
    <col min="12784" max="12784" width="2.42578125" style="163" customWidth="1"/>
    <col min="12785" max="12785" width="17.7109375" style="163" customWidth="1"/>
    <col min="12786" max="12786" width="1.5703125" style="163" customWidth="1"/>
    <col min="12787" max="12787" width="6.42578125" style="163" customWidth="1"/>
    <col min="12788" max="12788" width="13.140625" style="163" customWidth="1"/>
    <col min="12789" max="12789" width="1" style="163" customWidth="1"/>
    <col min="12790" max="12790" width="19.5703125" style="163" customWidth="1"/>
    <col min="12791" max="12791" width="0.85546875" style="163" customWidth="1"/>
    <col min="12792" max="12792" width="14.42578125" style="163" customWidth="1"/>
    <col min="12793" max="12793" width="12.85546875" style="163" customWidth="1"/>
    <col min="12794" max="12794" width="6.140625" style="163" customWidth="1"/>
    <col min="12795" max="12796" width="11.42578125" style="163"/>
    <col min="12797" max="12797" width="15.42578125" style="163" customWidth="1"/>
    <col min="12798" max="13037" width="11.42578125" style="163"/>
    <col min="13038" max="13038" width="2.28515625" style="163" customWidth="1"/>
    <col min="13039" max="13039" width="2.7109375" style="163" customWidth="1"/>
    <col min="13040" max="13040" width="2.42578125" style="163" customWidth="1"/>
    <col min="13041" max="13041" width="17.7109375" style="163" customWidth="1"/>
    <col min="13042" max="13042" width="1.5703125" style="163" customWidth="1"/>
    <col min="13043" max="13043" width="6.42578125" style="163" customWidth="1"/>
    <col min="13044" max="13044" width="13.140625" style="163" customWidth="1"/>
    <col min="13045" max="13045" width="1" style="163" customWidth="1"/>
    <col min="13046" max="13046" width="19.5703125" style="163" customWidth="1"/>
    <col min="13047" max="13047" width="0.85546875" style="163" customWidth="1"/>
    <col min="13048" max="13048" width="14.42578125" style="163" customWidth="1"/>
    <col min="13049" max="13049" width="12.85546875" style="163" customWidth="1"/>
    <col min="13050" max="13050" width="6.140625" style="163" customWidth="1"/>
    <col min="13051" max="13052" width="11.42578125" style="163"/>
    <col min="13053" max="13053" width="15.42578125" style="163" customWidth="1"/>
    <col min="13054" max="13293" width="11.42578125" style="163"/>
    <col min="13294" max="13294" width="2.28515625" style="163" customWidth="1"/>
    <col min="13295" max="13295" width="2.7109375" style="163" customWidth="1"/>
    <col min="13296" max="13296" width="2.42578125" style="163" customWidth="1"/>
    <col min="13297" max="13297" width="17.7109375" style="163" customWidth="1"/>
    <col min="13298" max="13298" width="1.5703125" style="163" customWidth="1"/>
    <col min="13299" max="13299" width="6.42578125" style="163" customWidth="1"/>
    <col min="13300" max="13300" width="13.140625" style="163" customWidth="1"/>
    <col min="13301" max="13301" width="1" style="163" customWidth="1"/>
    <col min="13302" max="13302" width="19.5703125" style="163" customWidth="1"/>
    <col min="13303" max="13303" width="0.85546875" style="163" customWidth="1"/>
    <col min="13304" max="13304" width="14.42578125" style="163" customWidth="1"/>
    <col min="13305" max="13305" width="12.85546875" style="163" customWidth="1"/>
    <col min="13306" max="13306" width="6.140625" style="163" customWidth="1"/>
    <col min="13307" max="13308" width="11.42578125" style="163"/>
    <col min="13309" max="13309" width="15.42578125" style="163" customWidth="1"/>
    <col min="13310" max="13549" width="11.42578125" style="163"/>
    <col min="13550" max="13550" width="2.28515625" style="163" customWidth="1"/>
    <col min="13551" max="13551" width="2.7109375" style="163" customWidth="1"/>
    <col min="13552" max="13552" width="2.42578125" style="163" customWidth="1"/>
    <col min="13553" max="13553" width="17.7109375" style="163" customWidth="1"/>
    <col min="13554" max="13554" width="1.5703125" style="163" customWidth="1"/>
    <col min="13555" max="13555" width="6.42578125" style="163" customWidth="1"/>
    <col min="13556" max="13556" width="13.140625" style="163" customWidth="1"/>
    <col min="13557" max="13557" width="1" style="163" customWidth="1"/>
    <col min="13558" max="13558" width="19.5703125" style="163" customWidth="1"/>
    <col min="13559" max="13559" width="0.85546875" style="163" customWidth="1"/>
    <col min="13560" max="13560" width="14.42578125" style="163" customWidth="1"/>
    <col min="13561" max="13561" width="12.85546875" style="163" customWidth="1"/>
    <col min="13562" max="13562" width="6.140625" style="163" customWidth="1"/>
    <col min="13563" max="13564" width="11.42578125" style="163"/>
    <col min="13565" max="13565" width="15.42578125" style="163" customWidth="1"/>
    <col min="13566" max="13805" width="11.42578125" style="163"/>
    <col min="13806" max="13806" width="2.28515625" style="163" customWidth="1"/>
    <col min="13807" max="13807" width="2.7109375" style="163" customWidth="1"/>
    <col min="13808" max="13808" width="2.42578125" style="163" customWidth="1"/>
    <col min="13809" max="13809" width="17.7109375" style="163" customWidth="1"/>
    <col min="13810" max="13810" width="1.5703125" style="163" customWidth="1"/>
    <col min="13811" max="13811" width="6.42578125" style="163" customWidth="1"/>
    <col min="13812" max="13812" width="13.140625" style="163" customWidth="1"/>
    <col min="13813" max="13813" width="1" style="163" customWidth="1"/>
    <col min="13814" max="13814" width="19.5703125" style="163" customWidth="1"/>
    <col min="13815" max="13815" width="0.85546875" style="163" customWidth="1"/>
    <col min="13816" max="13816" width="14.42578125" style="163" customWidth="1"/>
    <col min="13817" max="13817" width="12.85546875" style="163" customWidth="1"/>
    <col min="13818" max="13818" width="6.140625" style="163" customWidth="1"/>
    <col min="13819" max="13820" width="11.42578125" style="163"/>
    <col min="13821" max="13821" width="15.42578125" style="163" customWidth="1"/>
    <col min="13822" max="14061" width="11.42578125" style="163"/>
    <col min="14062" max="14062" width="2.28515625" style="163" customWidth="1"/>
    <col min="14063" max="14063" width="2.7109375" style="163" customWidth="1"/>
    <col min="14064" max="14064" width="2.42578125" style="163" customWidth="1"/>
    <col min="14065" max="14065" width="17.7109375" style="163" customWidth="1"/>
    <col min="14066" max="14066" width="1.5703125" style="163" customWidth="1"/>
    <col min="14067" max="14067" width="6.42578125" style="163" customWidth="1"/>
    <col min="14068" max="14068" width="13.140625" style="163" customWidth="1"/>
    <col min="14069" max="14069" width="1" style="163" customWidth="1"/>
    <col min="14070" max="14070" width="19.5703125" style="163" customWidth="1"/>
    <col min="14071" max="14071" width="0.85546875" style="163" customWidth="1"/>
    <col min="14072" max="14072" width="14.42578125" style="163" customWidth="1"/>
    <col min="14073" max="14073" width="12.85546875" style="163" customWidth="1"/>
    <col min="14074" max="14074" width="6.140625" style="163" customWidth="1"/>
    <col min="14075" max="14076" width="11.42578125" style="163"/>
    <col min="14077" max="14077" width="15.42578125" style="163" customWidth="1"/>
    <col min="14078" max="14317" width="11.42578125" style="163"/>
    <col min="14318" max="14318" width="2.28515625" style="163" customWidth="1"/>
    <col min="14319" max="14319" width="2.7109375" style="163" customWidth="1"/>
    <col min="14320" max="14320" width="2.42578125" style="163" customWidth="1"/>
    <col min="14321" max="14321" width="17.7109375" style="163" customWidth="1"/>
    <col min="14322" max="14322" width="1.5703125" style="163" customWidth="1"/>
    <col min="14323" max="14323" width="6.42578125" style="163" customWidth="1"/>
    <col min="14324" max="14324" width="13.140625" style="163" customWidth="1"/>
    <col min="14325" max="14325" width="1" style="163" customWidth="1"/>
    <col min="14326" max="14326" width="19.5703125" style="163" customWidth="1"/>
    <col min="14327" max="14327" width="0.85546875" style="163" customWidth="1"/>
    <col min="14328" max="14328" width="14.42578125" style="163" customWidth="1"/>
    <col min="14329" max="14329" width="12.85546875" style="163" customWidth="1"/>
    <col min="14330" max="14330" width="6.140625" style="163" customWidth="1"/>
    <col min="14331" max="14332" width="11.42578125" style="163"/>
    <col min="14333" max="14333" width="15.42578125" style="163" customWidth="1"/>
    <col min="14334" max="14573" width="11.42578125" style="163"/>
    <col min="14574" max="14574" width="2.28515625" style="163" customWidth="1"/>
    <col min="14575" max="14575" width="2.7109375" style="163" customWidth="1"/>
    <col min="14576" max="14576" width="2.42578125" style="163" customWidth="1"/>
    <col min="14577" max="14577" width="17.7109375" style="163" customWidth="1"/>
    <col min="14578" max="14578" width="1.5703125" style="163" customWidth="1"/>
    <col min="14579" max="14579" width="6.42578125" style="163" customWidth="1"/>
    <col min="14580" max="14580" width="13.140625" style="163" customWidth="1"/>
    <col min="14581" max="14581" width="1" style="163" customWidth="1"/>
    <col min="14582" max="14582" width="19.5703125" style="163" customWidth="1"/>
    <col min="14583" max="14583" width="0.85546875" style="163" customWidth="1"/>
    <col min="14584" max="14584" width="14.42578125" style="163" customWidth="1"/>
    <col min="14585" max="14585" width="12.85546875" style="163" customWidth="1"/>
    <col min="14586" max="14586" width="6.140625" style="163" customWidth="1"/>
    <col min="14587" max="14588" width="11.42578125" style="163"/>
    <col min="14589" max="14589" width="15.42578125" style="163" customWidth="1"/>
    <col min="14590" max="14829" width="11.42578125" style="163"/>
    <col min="14830" max="14830" width="2.28515625" style="163" customWidth="1"/>
    <col min="14831" max="14831" width="2.7109375" style="163" customWidth="1"/>
    <col min="14832" max="14832" width="2.42578125" style="163" customWidth="1"/>
    <col min="14833" max="14833" width="17.7109375" style="163" customWidth="1"/>
    <col min="14834" max="14834" width="1.5703125" style="163" customWidth="1"/>
    <col min="14835" max="14835" width="6.42578125" style="163" customWidth="1"/>
    <col min="14836" max="14836" width="13.140625" style="163" customWidth="1"/>
    <col min="14837" max="14837" width="1" style="163" customWidth="1"/>
    <col min="14838" max="14838" width="19.5703125" style="163" customWidth="1"/>
    <col min="14839" max="14839" width="0.85546875" style="163" customWidth="1"/>
    <col min="14840" max="14840" width="14.42578125" style="163" customWidth="1"/>
    <col min="14841" max="14841" width="12.85546875" style="163" customWidth="1"/>
    <col min="14842" max="14842" width="6.140625" style="163" customWidth="1"/>
    <col min="14843" max="14844" width="11.42578125" style="163"/>
    <col min="14845" max="14845" width="15.42578125" style="163" customWidth="1"/>
    <col min="14846" max="15085" width="11.42578125" style="163"/>
    <col min="15086" max="15086" width="2.28515625" style="163" customWidth="1"/>
    <col min="15087" max="15087" width="2.7109375" style="163" customWidth="1"/>
    <col min="15088" max="15088" width="2.42578125" style="163" customWidth="1"/>
    <col min="15089" max="15089" width="17.7109375" style="163" customWidth="1"/>
    <col min="15090" max="15090" width="1.5703125" style="163" customWidth="1"/>
    <col min="15091" max="15091" width="6.42578125" style="163" customWidth="1"/>
    <col min="15092" max="15092" width="13.140625" style="163" customWidth="1"/>
    <col min="15093" max="15093" width="1" style="163" customWidth="1"/>
    <col min="15094" max="15094" width="19.5703125" style="163" customWidth="1"/>
    <col min="15095" max="15095" width="0.85546875" style="163" customWidth="1"/>
    <col min="15096" max="15096" width="14.42578125" style="163" customWidth="1"/>
    <col min="15097" max="15097" width="12.85546875" style="163" customWidth="1"/>
    <col min="15098" max="15098" width="6.140625" style="163" customWidth="1"/>
    <col min="15099" max="15100" width="11.42578125" style="163"/>
    <col min="15101" max="15101" width="15.42578125" style="163" customWidth="1"/>
    <col min="15102" max="15341" width="11.42578125" style="163"/>
    <col min="15342" max="15342" width="2.28515625" style="163" customWidth="1"/>
    <col min="15343" max="15343" width="2.7109375" style="163" customWidth="1"/>
    <col min="15344" max="15344" width="2.42578125" style="163" customWidth="1"/>
    <col min="15345" max="15345" width="17.7109375" style="163" customWidth="1"/>
    <col min="15346" max="15346" width="1.5703125" style="163" customWidth="1"/>
    <col min="15347" max="15347" width="6.42578125" style="163" customWidth="1"/>
    <col min="15348" max="15348" width="13.140625" style="163" customWidth="1"/>
    <col min="15349" max="15349" width="1" style="163" customWidth="1"/>
    <col min="15350" max="15350" width="19.5703125" style="163" customWidth="1"/>
    <col min="15351" max="15351" width="0.85546875" style="163" customWidth="1"/>
    <col min="15352" max="15352" width="14.42578125" style="163" customWidth="1"/>
    <col min="15353" max="15353" width="12.85546875" style="163" customWidth="1"/>
    <col min="15354" max="15354" width="6.140625" style="163" customWidth="1"/>
    <col min="15355" max="15356" width="11.42578125" style="163"/>
    <col min="15357" max="15357" width="15.42578125" style="163" customWidth="1"/>
    <col min="15358" max="15597" width="11.42578125" style="163"/>
    <col min="15598" max="15598" width="2.28515625" style="163" customWidth="1"/>
    <col min="15599" max="15599" width="2.7109375" style="163" customWidth="1"/>
    <col min="15600" max="15600" width="2.42578125" style="163" customWidth="1"/>
    <col min="15601" max="15601" width="17.7109375" style="163" customWidth="1"/>
    <col min="15602" max="15602" width="1.5703125" style="163" customWidth="1"/>
    <col min="15603" max="15603" width="6.42578125" style="163" customWidth="1"/>
    <col min="15604" max="15604" width="13.140625" style="163" customWidth="1"/>
    <col min="15605" max="15605" width="1" style="163" customWidth="1"/>
    <col min="15606" max="15606" width="19.5703125" style="163" customWidth="1"/>
    <col min="15607" max="15607" width="0.85546875" style="163" customWidth="1"/>
    <col min="15608" max="15608" width="14.42578125" style="163" customWidth="1"/>
    <col min="15609" max="15609" width="12.85546875" style="163" customWidth="1"/>
    <col min="15610" max="15610" width="6.140625" style="163" customWidth="1"/>
    <col min="15611" max="15612" width="11.42578125" style="163"/>
    <col min="15613" max="15613" width="15.42578125" style="163" customWidth="1"/>
    <col min="15614" max="15853" width="11.42578125" style="163"/>
    <col min="15854" max="15854" width="2.28515625" style="163" customWidth="1"/>
    <col min="15855" max="15855" width="2.7109375" style="163" customWidth="1"/>
    <col min="15856" max="15856" width="2.42578125" style="163" customWidth="1"/>
    <col min="15857" max="15857" width="17.7109375" style="163" customWidth="1"/>
    <col min="15858" max="15858" width="1.5703125" style="163" customWidth="1"/>
    <col min="15859" max="15859" width="6.42578125" style="163" customWidth="1"/>
    <col min="15860" max="15860" width="13.140625" style="163" customWidth="1"/>
    <col min="15861" max="15861" width="1" style="163" customWidth="1"/>
    <col min="15862" max="15862" width="19.5703125" style="163" customWidth="1"/>
    <col min="15863" max="15863" width="0.85546875" style="163" customWidth="1"/>
    <col min="15864" max="15864" width="14.42578125" style="163" customWidth="1"/>
    <col min="15865" max="15865" width="12.85546875" style="163" customWidth="1"/>
    <col min="15866" max="15866" width="6.140625" style="163" customWidth="1"/>
    <col min="15867" max="15868" width="11.42578125" style="163"/>
    <col min="15869" max="15869" width="15.42578125" style="163" customWidth="1"/>
    <col min="15870" max="16109" width="11.42578125" style="163"/>
    <col min="16110" max="16110" width="2.28515625" style="163" customWidth="1"/>
    <col min="16111" max="16111" width="2.7109375" style="163" customWidth="1"/>
    <col min="16112" max="16112" width="2.42578125" style="163" customWidth="1"/>
    <col min="16113" max="16113" width="17.7109375" style="163" customWidth="1"/>
    <col min="16114" max="16114" width="1.5703125" style="163" customWidth="1"/>
    <col min="16115" max="16115" width="6.42578125" style="163" customWidth="1"/>
    <col min="16116" max="16116" width="13.140625" style="163" customWidth="1"/>
    <col min="16117" max="16117" width="1" style="163" customWidth="1"/>
    <col min="16118" max="16118" width="19.5703125" style="163" customWidth="1"/>
    <col min="16119" max="16119" width="0.85546875" style="163" customWidth="1"/>
    <col min="16120" max="16120" width="14.42578125" style="163" customWidth="1"/>
    <col min="16121" max="16121" width="12.85546875" style="163" customWidth="1"/>
    <col min="16122" max="16122" width="6.140625" style="163" customWidth="1"/>
    <col min="16123" max="16124" width="11.42578125" style="163"/>
    <col min="16125" max="16125" width="15.42578125" style="163" customWidth="1"/>
    <col min="16126" max="16384" width="11.42578125" style="163"/>
  </cols>
  <sheetData>
    <row r="1" spans="1:18" ht="9" hidden="1" customHeight="1" x14ac:dyDescent="0.2"/>
    <row r="2" spans="1:18" ht="15" x14ac:dyDescent="0.2">
      <c r="A2" s="3413" t="s">
        <v>908</v>
      </c>
      <c r="B2" s="3414"/>
      <c r="C2" s="3414"/>
      <c r="D2" s="3415"/>
      <c r="E2" s="3422" t="s">
        <v>909</v>
      </c>
      <c r="F2" s="3423"/>
      <c r="G2" s="3423"/>
      <c r="H2" s="3423"/>
      <c r="I2" s="3423"/>
      <c r="J2" s="3423"/>
      <c r="K2" s="3423"/>
      <c r="L2" s="3423"/>
      <c r="M2" s="3423"/>
      <c r="N2" s="3424"/>
      <c r="O2" s="1386" t="s">
        <v>68</v>
      </c>
      <c r="P2" s="1386"/>
      <c r="Q2" s="1387" t="s">
        <v>910</v>
      </c>
      <c r="R2" s="1388"/>
    </row>
    <row r="3" spans="1:18" ht="15" x14ac:dyDescent="0.2">
      <c r="A3" s="3416"/>
      <c r="B3" s="3417"/>
      <c r="C3" s="3417"/>
      <c r="D3" s="3418"/>
      <c r="E3" s="3425"/>
      <c r="F3" s="3426"/>
      <c r="G3" s="3426"/>
      <c r="H3" s="3426"/>
      <c r="I3" s="3426"/>
      <c r="J3" s="3426"/>
      <c r="K3" s="3426"/>
      <c r="L3" s="3426"/>
      <c r="M3" s="3426"/>
      <c r="N3" s="3427"/>
      <c r="O3" s="1389" t="s">
        <v>69</v>
      </c>
      <c r="P3" s="1390"/>
      <c r="Q3" s="1390" t="s">
        <v>1234</v>
      </c>
      <c r="R3" s="1391"/>
    </row>
    <row r="4" spans="1:18" ht="15" x14ac:dyDescent="0.2">
      <c r="A4" s="3416"/>
      <c r="B4" s="3417"/>
      <c r="C4" s="3417"/>
      <c r="D4" s="3418"/>
      <c r="E4" s="3425"/>
      <c r="F4" s="3426"/>
      <c r="G4" s="3426"/>
      <c r="H4" s="3426"/>
      <c r="I4" s="3426"/>
      <c r="J4" s="3426"/>
      <c r="K4" s="3426"/>
      <c r="L4" s="3426"/>
      <c r="M4" s="3426"/>
      <c r="N4" s="3427"/>
      <c r="O4" s="1389" t="s">
        <v>70</v>
      </c>
      <c r="P4" s="1390"/>
      <c r="Q4" s="1390" t="s">
        <v>72</v>
      </c>
      <c r="R4" s="1391"/>
    </row>
    <row r="5" spans="1:18" ht="15" x14ac:dyDescent="0.2">
      <c r="A5" s="3419"/>
      <c r="B5" s="3420"/>
      <c r="C5" s="3420"/>
      <c r="D5" s="3421"/>
      <c r="E5" s="3428"/>
      <c r="F5" s="3429"/>
      <c r="G5" s="3429"/>
      <c r="H5" s="3429"/>
      <c r="I5" s="3429"/>
      <c r="J5" s="3429"/>
      <c r="K5" s="3429"/>
      <c r="L5" s="3429"/>
      <c r="M5" s="3429"/>
      <c r="N5" s="3430"/>
      <c r="O5" s="1392" t="s">
        <v>71</v>
      </c>
      <c r="P5" s="1393"/>
      <c r="Q5" s="1393" t="s">
        <v>73</v>
      </c>
      <c r="R5" s="1394"/>
    </row>
    <row r="6" spans="1:18" ht="15.75" x14ac:dyDescent="0.25">
      <c r="A6" s="3431"/>
      <c r="B6" s="3432"/>
      <c r="C6" s="3432"/>
      <c r="D6" s="3432"/>
      <c r="E6" s="3432"/>
      <c r="F6" s="3432"/>
      <c r="G6" s="3432"/>
      <c r="H6" s="3432"/>
      <c r="I6" s="3432"/>
      <c r="J6" s="3432"/>
      <c r="K6" s="3432"/>
      <c r="L6" s="3432"/>
      <c r="M6" s="3432"/>
      <c r="N6" s="3432"/>
      <c r="O6" s="3432"/>
      <c r="P6" s="3432"/>
      <c r="Q6" s="3432"/>
      <c r="R6" s="3433"/>
    </row>
    <row r="7" spans="1:18" ht="15.75" hidden="1" x14ac:dyDescent="0.2">
      <c r="A7" s="3434" t="str">
        <f>"N° "&amp;'[5]F-LSCD-012'!C25&amp;" ALEPH/GR/LSCD"</f>
        <v>N° 003-2018 ALEPH/GR/LSCD</v>
      </c>
      <c r="B7" s="2978"/>
      <c r="C7" s="2978"/>
      <c r="D7" s="2978"/>
      <c r="E7" s="2978"/>
      <c r="F7" s="2978"/>
      <c r="G7" s="2978"/>
      <c r="H7" s="2978"/>
      <c r="I7" s="2978"/>
      <c r="J7" s="2978"/>
      <c r="K7" s="2978"/>
      <c r="L7" s="2978"/>
      <c r="M7" s="2978"/>
      <c r="N7" s="2978"/>
      <c r="O7" s="2978"/>
      <c r="P7" s="2978"/>
      <c r="Q7" s="2978"/>
      <c r="R7" s="3435"/>
    </row>
    <row r="8" spans="1:18" ht="15.75" hidden="1" x14ac:dyDescent="0.2">
      <c r="A8" s="3436" t="s">
        <v>253</v>
      </c>
      <c r="B8" s="2980"/>
      <c r="C8" s="2980"/>
      <c r="D8" s="2980"/>
      <c r="E8" s="2980"/>
      <c r="F8" s="2980"/>
      <c r="G8" s="2980"/>
      <c r="H8" s="2980"/>
      <c r="I8" s="2980"/>
      <c r="J8" s="2980"/>
      <c r="K8" s="2980"/>
      <c r="L8" s="2980"/>
      <c r="M8" s="2980"/>
      <c r="N8" s="2980"/>
      <c r="O8" s="2980"/>
      <c r="P8" s="2980"/>
      <c r="Q8" s="2980"/>
      <c r="R8" s="3437"/>
    </row>
    <row r="9" spans="1:18" ht="15.75" hidden="1" x14ac:dyDescent="0.2">
      <c r="A9" s="3436" t="s">
        <v>275</v>
      </c>
      <c r="B9" s="2980"/>
      <c r="C9" s="2980"/>
      <c r="D9" s="2980"/>
      <c r="E9" s="2980"/>
      <c r="F9" s="2980"/>
      <c r="G9" s="2980"/>
      <c r="H9" s="2980"/>
      <c r="I9" s="2980"/>
      <c r="J9" s="2980"/>
      <c r="K9" s="2980"/>
      <c r="L9" s="2980"/>
      <c r="M9" s="2980"/>
      <c r="N9" s="2980"/>
      <c r="O9" s="2980"/>
      <c r="P9" s="2980"/>
      <c r="Q9" s="2980"/>
      <c r="R9" s="3437"/>
    </row>
    <row r="10" spans="1:18" ht="4.9000000000000004" customHeight="1" x14ac:dyDescent="0.2">
      <c r="A10" s="3411"/>
      <c r="B10" s="2983"/>
      <c r="C10" s="2983"/>
      <c r="D10" s="2983"/>
      <c r="E10" s="2983"/>
      <c r="F10" s="2983"/>
      <c r="G10" s="2983"/>
      <c r="H10" s="2983"/>
      <c r="I10" s="2983"/>
      <c r="J10" s="2983"/>
      <c r="K10" s="2983"/>
      <c r="L10" s="2983"/>
      <c r="M10" s="2983"/>
      <c r="N10" s="2983"/>
      <c r="O10" s="2983"/>
      <c r="P10" s="2983"/>
      <c r="Q10" s="2983"/>
      <c r="R10" s="3412"/>
    </row>
    <row r="11" spans="1:18" ht="15" customHeight="1" x14ac:dyDescent="0.2">
      <c r="A11" s="1395"/>
      <c r="B11" s="166"/>
      <c r="D11" s="166"/>
      <c r="R11" s="1396"/>
    </row>
    <row r="12" spans="1:18" ht="13.5" customHeight="1" x14ac:dyDescent="0.2">
      <c r="A12" s="1395"/>
      <c r="B12" s="166" t="s">
        <v>220</v>
      </c>
      <c r="D12" s="166" t="s">
        <v>218</v>
      </c>
      <c r="E12" s="163" t="str">
        <f>'F-LSCD-012'!C7</f>
        <v>ALEPH SAC</v>
      </c>
      <c r="P12" s="225"/>
      <c r="Q12" s="225"/>
      <c r="R12" s="1396"/>
    </row>
    <row r="13" spans="1:18" x14ac:dyDescent="0.2">
      <c r="A13" s="1395"/>
      <c r="E13" s="3362" t="str">
        <f>'F-LSCD-012'!C8</f>
        <v>Av. Rafael Escardo 154</v>
      </c>
      <c r="F13" s="3362"/>
      <c r="G13" s="3362"/>
      <c r="H13" s="3362"/>
      <c r="I13" s="3362"/>
      <c r="J13" s="3362"/>
      <c r="K13" s="3362"/>
      <c r="L13" s="3362"/>
      <c r="M13" s="3362"/>
      <c r="N13" s="3362"/>
      <c r="O13" s="3362"/>
      <c r="P13" s="3362"/>
      <c r="Q13" s="3362"/>
      <c r="R13" s="1396"/>
    </row>
    <row r="14" spans="1:18" ht="15" customHeight="1" x14ac:dyDescent="0.2">
      <c r="A14" s="1395"/>
      <c r="E14" s="163" t="str">
        <f>'F-LSCD-012'!I8&amp;", "&amp;'F-LSCD-012'!L8&amp;", "&amp;'F-LSCD-012'!P8&amp;", "&amp;'F-LSCD-012'!T8</f>
        <v>San Miguel, Lima, Lima, Perú</v>
      </c>
      <c r="P14" s="225"/>
      <c r="Q14" s="225"/>
      <c r="R14" s="1396"/>
    </row>
    <row r="15" spans="1:18" x14ac:dyDescent="0.2">
      <c r="A15" s="1395"/>
      <c r="P15" s="225"/>
      <c r="Q15" s="225"/>
      <c r="R15" s="1396"/>
    </row>
    <row r="16" spans="1:18" x14ac:dyDescent="0.2">
      <c r="A16" s="1395"/>
      <c r="B16" s="166" t="s">
        <v>222</v>
      </c>
      <c r="D16" s="166" t="s">
        <v>218</v>
      </c>
      <c r="E16" s="223" t="str">
        <f>'F-LSCD-012'!C6</f>
        <v>OT 111-12925</v>
      </c>
      <c r="F16" s="224"/>
      <c r="G16" s="224"/>
      <c r="H16" s="224"/>
      <c r="I16" s="224"/>
      <c r="J16" s="224"/>
      <c r="K16" s="180"/>
      <c r="L16" s="180"/>
      <c r="M16" s="180"/>
      <c r="N16" s="203"/>
      <c r="O16" s="172"/>
      <c r="P16" s="225"/>
      <c r="Q16" s="225"/>
      <c r="R16" s="1396"/>
    </row>
    <row r="17" spans="1:18" x14ac:dyDescent="0.2">
      <c r="A17" s="1395"/>
      <c r="P17" s="225"/>
      <c r="Q17" s="225"/>
      <c r="R17" s="1396"/>
    </row>
    <row r="18" spans="1:18" x14ac:dyDescent="0.2">
      <c r="A18" s="1395"/>
      <c r="B18" s="166" t="s">
        <v>255</v>
      </c>
      <c r="D18" s="166" t="s">
        <v>218</v>
      </c>
      <c r="E18" s="3361" t="str">
        <f>'F-LSCD-012'!C9</f>
        <v>Monitor de radiación (digital)</v>
      </c>
      <c r="F18" s="3361"/>
      <c r="G18" s="3361"/>
      <c r="H18" s="3361"/>
      <c r="I18" s="3361"/>
      <c r="J18" s="3361"/>
      <c r="K18" s="3361"/>
      <c r="L18" s="3361"/>
      <c r="M18" s="3361"/>
      <c r="N18" s="3361"/>
      <c r="O18" s="173"/>
      <c r="P18" s="225"/>
      <c r="Q18" s="225"/>
      <c r="R18" s="1396"/>
    </row>
    <row r="19" spans="1:18" ht="24" customHeight="1" x14ac:dyDescent="0.2">
      <c r="A19" s="1395"/>
      <c r="B19" s="166"/>
      <c r="D19" s="166"/>
      <c r="E19" s="3361" t="str">
        <f>IF('F-LSCD-012'!C13="-","Marca monitor: "&amp;'F-LSCD-012'!C10,"Marca monitor: "&amp;'F-LSCD-012'!C10&amp;" / Marca sonda: "&amp;'F-LSCD-012'!C13)</f>
        <v>Marca monitor: MGP</v>
      </c>
      <c r="F19" s="3361"/>
      <c r="G19" s="3361"/>
      <c r="H19" s="3361"/>
      <c r="I19" s="3361"/>
      <c r="J19" s="3361"/>
      <c r="K19" s="3361"/>
      <c r="L19" s="3361"/>
      <c r="M19" s="3361"/>
      <c r="N19" s="3361"/>
      <c r="O19" s="3361"/>
      <c r="P19" s="3361"/>
      <c r="Q19" s="3361"/>
      <c r="R19" s="1396"/>
    </row>
    <row r="20" spans="1:18" ht="12.75" customHeight="1" x14ac:dyDescent="0.2">
      <c r="A20" s="1395"/>
      <c r="B20" s="166"/>
      <c r="D20" s="166"/>
      <c r="E20" s="3361" t="str">
        <f>IF('F-LSCD-012'!C13="-","Modelo monitor: "&amp;'F-LSCD-012'!C11,"Modelo monitor: "&amp;'F-LSCD-012'!C11&amp;" / Modelo sonda: "&amp;'F-LSCD-012'!C14)</f>
        <v>Modelo monitor: DMC 2000S</v>
      </c>
      <c r="F20" s="3361"/>
      <c r="G20" s="3361"/>
      <c r="H20" s="3361"/>
      <c r="I20" s="3361"/>
      <c r="J20" s="3361"/>
      <c r="K20" s="3361"/>
      <c r="L20" s="3361"/>
      <c r="M20" s="3361"/>
      <c r="N20" s="3361"/>
      <c r="O20" s="3361"/>
      <c r="P20" s="3361"/>
      <c r="Q20" s="3361"/>
      <c r="R20" s="1396"/>
    </row>
    <row r="21" spans="1:18" ht="12.75" customHeight="1" x14ac:dyDescent="0.2">
      <c r="A21" s="1395"/>
      <c r="B21" s="166"/>
      <c r="D21" s="166"/>
      <c r="E21" s="3361" t="str">
        <f>IF('F-LSCD-012'!C13="-","Serie monitor: "&amp;'F-LSCD-012'!C12,"Serie monitor: "&amp;'F-LSCD-012'!C12&amp;" / Serie sonda: "&amp;'F-LSCD-012'!C15)</f>
        <v>Serie monitor: 690384T</v>
      </c>
      <c r="F21" s="3361"/>
      <c r="G21" s="3361"/>
      <c r="H21" s="3361"/>
      <c r="I21" s="3361"/>
      <c r="J21" s="3361"/>
      <c r="K21" s="3361"/>
      <c r="L21" s="3361"/>
      <c r="M21" s="3361"/>
      <c r="N21" s="3361"/>
      <c r="O21" s="3361"/>
      <c r="P21" s="3361"/>
      <c r="Q21" s="3361"/>
      <c r="R21" s="1396"/>
    </row>
    <row r="22" spans="1:18" ht="8.25" customHeight="1" x14ac:dyDescent="0.2">
      <c r="A22" s="1395"/>
      <c r="B22" s="166"/>
      <c r="D22" s="166"/>
      <c r="E22" s="3361"/>
      <c r="F22" s="3361"/>
      <c r="G22" s="3361"/>
      <c r="H22" s="3361"/>
      <c r="I22" s="3361"/>
      <c r="J22" s="3361"/>
      <c r="K22" s="3361"/>
      <c r="L22" s="3361"/>
      <c r="M22" s="3361"/>
      <c r="N22" s="3361"/>
      <c r="O22" s="173"/>
      <c r="P22" s="225"/>
      <c r="Q22" s="225"/>
      <c r="R22" s="1396"/>
    </row>
    <row r="23" spans="1:18" hidden="1" x14ac:dyDescent="0.2">
      <c r="A23" s="1395"/>
      <c r="B23" s="175" t="s">
        <v>224</v>
      </c>
      <c r="D23" s="175" t="s">
        <v>218</v>
      </c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7"/>
      <c r="P23" s="225"/>
      <c r="Q23" s="225"/>
      <c r="R23" s="1396"/>
    </row>
    <row r="24" spans="1:18" hidden="1" x14ac:dyDescent="0.2">
      <c r="A24" s="1395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7"/>
      <c r="P24" s="225"/>
      <c r="Q24" s="225"/>
      <c r="R24" s="1396"/>
    </row>
    <row r="25" spans="1:18" hidden="1" x14ac:dyDescent="0.2">
      <c r="A25" s="1395"/>
      <c r="E25" s="177"/>
      <c r="F25" s="177"/>
      <c r="G25" s="177"/>
      <c r="H25" s="177"/>
      <c r="I25" s="177"/>
      <c r="J25" s="177"/>
      <c r="K25" s="177"/>
      <c r="L25" s="177"/>
      <c r="M25" s="177"/>
      <c r="N25" s="177"/>
      <c r="O25" s="177"/>
      <c r="P25" s="225"/>
      <c r="Q25" s="225"/>
      <c r="R25" s="1396"/>
    </row>
    <row r="26" spans="1:18" ht="14.25" customHeight="1" x14ac:dyDescent="0.2">
      <c r="A26" s="1395"/>
      <c r="B26" s="166" t="s">
        <v>911</v>
      </c>
      <c r="C26" s="175"/>
      <c r="D26" s="166" t="s">
        <v>218</v>
      </c>
      <c r="P26" s="225"/>
      <c r="Q26" s="225"/>
      <c r="R26" s="1396"/>
    </row>
    <row r="27" spans="1:18" x14ac:dyDescent="0.2">
      <c r="A27" s="1395"/>
      <c r="E27" s="3462"/>
      <c r="F27" s="3462"/>
      <c r="G27" s="3462"/>
      <c r="H27" s="3462"/>
      <c r="I27" s="3462"/>
      <c r="J27" s="3462"/>
      <c r="K27" s="3462"/>
      <c r="L27" s="3462"/>
      <c r="M27" s="3462"/>
      <c r="N27" s="3462"/>
      <c r="P27" s="225"/>
      <c r="Q27" s="225"/>
      <c r="R27" s="1396"/>
    </row>
    <row r="28" spans="1:18" ht="14.1" customHeight="1" x14ac:dyDescent="0.2">
      <c r="A28" s="1395"/>
      <c r="C28" s="1323" t="s">
        <v>866</v>
      </c>
      <c r="D28" s="1324" t="s">
        <v>218</v>
      </c>
      <c r="E28" s="3438" t="s">
        <v>1294</v>
      </c>
      <c r="F28" s="3438"/>
      <c r="G28" s="3438"/>
      <c r="H28" s="3438"/>
      <c r="I28" s="3438"/>
      <c r="J28" s="3438"/>
      <c r="K28" s="3438"/>
      <c r="L28" s="3438"/>
      <c r="M28" s="3438"/>
      <c r="N28" s="3438"/>
      <c r="O28" s="179"/>
      <c r="P28" s="225"/>
      <c r="Q28" s="225"/>
      <c r="R28" s="1396"/>
    </row>
    <row r="29" spans="1:18" ht="14.1" customHeight="1" x14ac:dyDescent="0.2">
      <c r="A29" s="1395"/>
      <c r="C29" s="1325" t="s">
        <v>863</v>
      </c>
      <c r="D29" s="1326" t="s">
        <v>218</v>
      </c>
      <c r="E29" s="3438" t="s">
        <v>1286</v>
      </c>
      <c r="F29" s="3438"/>
      <c r="G29" s="3438"/>
      <c r="H29" s="3438"/>
      <c r="I29" s="3438"/>
      <c r="J29" s="3438"/>
      <c r="K29" s="3438"/>
      <c r="L29" s="3438"/>
      <c r="M29" s="3438"/>
      <c r="N29" s="3438"/>
      <c r="O29" s="180"/>
      <c r="P29" s="225"/>
      <c r="Q29" s="225"/>
      <c r="R29" s="1396"/>
    </row>
    <row r="30" spans="1:18" ht="14.1" customHeight="1" x14ac:dyDescent="0.2">
      <c r="A30" s="1395"/>
      <c r="C30" s="1325" t="s">
        <v>864</v>
      </c>
      <c r="D30" s="1326" t="s">
        <v>218</v>
      </c>
      <c r="E30" s="3438" t="s">
        <v>1287</v>
      </c>
      <c r="F30" s="3438"/>
      <c r="G30" s="3438"/>
      <c r="H30" s="3438"/>
      <c r="I30" s="3438"/>
      <c r="J30" s="3438"/>
      <c r="K30" s="3438"/>
      <c r="L30" s="3438"/>
      <c r="M30" s="3438"/>
      <c r="N30" s="3438"/>
      <c r="O30" s="180"/>
      <c r="P30" s="225"/>
      <c r="Q30" s="225"/>
      <c r="R30" s="1396"/>
    </row>
    <row r="31" spans="1:18" ht="14.1" customHeight="1" x14ac:dyDescent="0.2">
      <c r="A31" s="1395"/>
      <c r="C31" s="1327" t="s">
        <v>865</v>
      </c>
      <c r="D31" s="1326" t="s">
        <v>218</v>
      </c>
      <c r="E31" s="3438" t="s">
        <v>1287</v>
      </c>
      <c r="F31" s="3438"/>
      <c r="G31" s="3438"/>
      <c r="H31" s="3438"/>
      <c r="I31" s="3438"/>
      <c r="J31" s="3438"/>
      <c r="K31" s="3438"/>
      <c r="L31" s="3438"/>
      <c r="M31" s="3438"/>
      <c r="N31" s="3438"/>
      <c r="O31" s="180"/>
      <c r="P31" s="229"/>
      <c r="Q31" s="229"/>
      <c r="R31" s="1396"/>
    </row>
    <row r="32" spans="1:18" ht="14.1" customHeight="1" x14ac:dyDescent="0.2">
      <c r="A32" s="1395"/>
      <c r="C32" s="1327" t="s">
        <v>869</v>
      </c>
      <c r="D32" s="1326" t="s">
        <v>218</v>
      </c>
      <c r="E32" s="3438" t="s">
        <v>1254</v>
      </c>
      <c r="F32" s="3438"/>
      <c r="G32" s="3438"/>
      <c r="H32" s="3438"/>
      <c r="I32" s="3438"/>
      <c r="J32" s="3438"/>
      <c r="K32" s="3438"/>
      <c r="L32" s="3438"/>
      <c r="M32" s="3438"/>
      <c r="N32" s="3438"/>
      <c r="O32" s="180"/>
      <c r="P32" s="229"/>
      <c r="Q32" s="229"/>
      <c r="R32" s="1396"/>
    </row>
    <row r="33" spans="1:18" ht="14.1" customHeight="1" x14ac:dyDescent="0.2">
      <c r="A33" s="1395"/>
      <c r="C33" s="1327" t="s">
        <v>870</v>
      </c>
      <c r="D33" s="1326" t="s">
        <v>218</v>
      </c>
      <c r="E33" s="3459" t="s">
        <v>1288</v>
      </c>
      <c r="F33" s="3459"/>
      <c r="G33" s="3459"/>
      <c r="H33" s="3459"/>
      <c r="I33" s="3459"/>
      <c r="J33" s="3459"/>
      <c r="K33" s="3459"/>
      <c r="L33" s="3459"/>
      <c r="M33" s="3459"/>
      <c r="N33" s="3459"/>
      <c r="O33" s="180"/>
      <c r="P33" s="225"/>
      <c r="Q33" s="225"/>
      <c r="R33" s="1396"/>
    </row>
    <row r="34" spans="1:18" ht="14.1" customHeight="1" x14ac:dyDescent="0.2">
      <c r="A34" s="1395"/>
      <c r="C34" s="1327" t="s">
        <v>871</v>
      </c>
      <c r="D34" s="1326" t="s">
        <v>218</v>
      </c>
      <c r="E34" s="3459" t="s">
        <v>1254</v>
      </c>
      <c r="F34" s="3459"/>
      <c r="G34" s="3459"/>
      <c r="H34" s="3459"/>
      <c r="I34" s="3459"/>
      <c r="J34" s="3459"/>
      <c r="K34" s="3459"/>
      <c r="L34" s="3459"/>
      <c r="M34" s="3459"/>
      <c r="N34" s="3459"/>
      <c r="O34" s="180"/>
      <c r="P34" s="225"/>
      <c r="Q34" s="225"/>
      <c r="R34" s="1396"/>
    </row>
    <row r="35" spans="1:18" ht="14.1" customHeight="1" x14ac:dyDescent="0.2">
      <c r="A35" s="1395"/>
      <c r="C35" s="1328" t="s">
        <v>867</v>
      </c>
      <c r="D35" s="1326" t="s">
        <v>218</v>
      </c>
      <c r="E35" s="3460" t="s">
        <v>1254</v>
      </c>
      <c r="F35" s="3460"/>
      <c r="G35" s="3460"/>
      <c r="H35" s="3460"/>
      <c r="I35" s="3460"/>
      <c r="J35" s="3460"/>
      <c r="K35" s="3460"/>
      <c r="L35" s="3460"/>
      <c r="M35" s="3460"/>
      <c r="N35" s="3460"/>
      <c r="O35" s="180"/>
      <c r="P35" s="225"/>
      <c r="Q35" s="225"/>
      <c r="R35" s="1396"/>
    </row>
    <row r="36" spans="1:18" ht="14.1" customHeight="1" x14ac:dyDescent="0.2">
      <c r="A36" s="1395"/>
      <c r="C36" s="1397" t="s">
        <v>868</v>
      </c>
      <c r="D36" s="1398" t="s">
        <v>218</v>
      </c>
      <c r="E36" s="3461" t="s">
        <v>1295</v>
      </c>
      <c r="F36" s="3461"/>
      <c r="G36" s="3461"/>
      <c r="H36" s="3461"/>
      <c r="I36" s="3461"/>
      <c r="J36" s="3461"/>
      <c r="K36" s="3461"/>
      <c r="L36" s="3461"/>
      <c r="M36" s="3461"/>
      <c r="N36" s="3461"/>
      <c r="O36" s="184"/>
      <c r="P36" s="225"/>
      <c r="Q36" s="225"/>
      <c r="R36" s="1396"/>
    </row>
    <row r="37" spans="1:18" ht="14.1" customHeight="1" x14ac:dyDescent="0.2">
      <c r="A37" s="1395"/>
      <c r="B37" s="166"/>
      <c r="C37" s="3439" t="s">
        <v>872</v>
      </c>
      <c r="D37" s="3442" t="s">
        <v>218</v>
      </c>
      <c r="E37" s="3445" t="s">
        <v>93</v>
      </c>
      <c r="F37" s="3446"/>
      <c r="G37" s="3446"/>
      <c r="H37" s="3446"/>
      <c r="I37" s="3446"/>
      <c r="J37" s="3446"/>
      <c r="K37" s="3446"/>
      <c r="L37" s="3446"/>
      <c r="M37" s="3446"/>
      <c r="N37" s="3447"/>
      <c r="R37" s="1396"/>
    </row>
    <row r="38" spans="1:18" ht="14.1" customHeight="1" x14ac:dyDescent="0.2">
      <c r="A38" s="1395"/>
      <c r="B38" s="166"/>
      <c r="C38" s="3440"/>
      <c r="D38" s="3443"/>
      <c r="E38" s="3448"/>
      <c r="F38" s="3449"/>
      <c r="G38" s="3449"/>
      <c r="H38" s="3449"/>
      <c r="I38" s="3449"/>
      <c r="J38" s="3449"/>
      <c r="K38" s="3449"/>
      <c r="L38" s="3449"/>
      <c r="M38" s="3449"/>
      <c r="N38" s="3450"/>
      <c r="R38" s="1396"/>
    </row>
    <row r="39" spans="1:18" ht="15" customHeight="1" x14ac:dyDescent="0.2">
      <c r="A39" s="1395"/>
      <c r="B39" s="166"/>
      <c r="C39" s="3441"/>
      <c r="D39" s="3444"/>
      <c r="E39" s="3451"/>
      <c r="F39" s="3452"/>
      <c r="G39" s="3452"/>
      <c r="H39" s="3452"/>
      <c r="I39" s="3452"/>
      <c r="J39" s="3452"/>
      <c r="K39" s="3452"/>
      <c r="L39" s="3452"/>
      <c r="M39" s="3452"/>
      <c r="N39" s="3453"/>
      <c r="R39" s="1396"/>
    </row>
    <row r="40" spans="1:18" ht="15" customHeight="1" x14ac:dyDescent="0.2">
      <c r="A40" s="1395"/>
      <c r="B40" s="166"/>
      <c r="C40" s="1399"/>
      <c r="D40" s="178"/>
      <c r="E40" s="1400"/>
      <c r="F40" s="1400"/>
      <c r="G40" s="1400"/>
      <c r="H40" s="1400"/>
      <c r="I40" s="1400"/>
      <c r="J40" s="1400"/>
      <c r="K40" s="1400"/>
      <c r="L40" s="1400"/>
      <c r="M40" s="1400"/>
      <c r="N40" s="1400"/>
      <c r="R40" s="1396"/>
    </row>
    <row r="41" spans="1:18" ht="15" customHeight="1" x14ac:dyDescent="0.2">
      <c r="A41" s="1395"/>
      <c r="B41" s="166" t="s">
        <v>1235</v>
      </c>
      <c r="C41" s="166"/>
      <c r="D41" s="186"/>
      <c r="E41" s="186"/>
      <c r="F41" s="166"/>
      <c r="G41" s="166"/>
      <c r="H41" s="166"/>
      <c r="I41" s="166"/>
      <c r="J41" s="166"/>
      <c r="R41" s="1396"/>
    </row>
    <row r="42" spans="1:18" x14ac:dyDescent="0.2">
      <c r="A42" s="1395"/>
      <c r="D42" s="187"/>
      <c r="E42" s="188"/>
      <c r="R42" s="1396"/>
    </row>
    <row r="43" spans="1:18" x14ac:dyDescent="0.2">
      <c r="A43" s="1395"/>
      <c r="C43" s="163" t="s">
        <v>873</v>
      </c>
      <c r="D43" s="1319" t="s">
        <v>218</v>
      </c>
      <c r="E43" s="1521" t="s">
        <v>1289</v>
      </c>
      <c r="R43" s="1396"/>
    </row>
    <row r="44" spans="1:18" x14ac:dyDescent="0.2">
      <c r="A44" s="1395"/>
      <c r="C44" s="180"/>
      <c r="D44" s="1319"/>
      <c r="E44" s="188"/>
      <c r="R44" s="1396"/>
    </row>
    <row r="45" spans="1:18" x14ac:dyDescent="0.2">
      <c r="A45" s="1395"/>
      <c r="C45" s="180" t="s">
        <v>875</v>
      </c>
      <c r="D45" s="1319" t="s">
        <v>218</v>
      </c>
      <c r="E45" s="1521" t="s">
        <v>1290</v>
      </c>
      <c r="R45" s="1396"/>
    </row>
    <row r="46" spans="1:18" x14ac:dyDescent="0.2">
      <c r="A46" s="1395"/>
      <c r="C46" s="180"/>
      <c r="D46" s="1319"/>
      <c r="E46" s="188"/>
      <c r="R46" s="1396"/>
    </row>
    <row r="47" spans="1:18" x14ac:dyDescent="0.2">
      <c r="A47" s="1395"/>
      <c r="C47" s="180" t="s">
        <v>874</v>
      </c>
      <c r="D47" s="1319" t="s">
        <v>218</v>
      </c>
      <c r="E47" s="1521" t="s">
        <v>1289</v>
      </c>
      <c r="R47" s="1396"/>
    </row>
    <row r="48" spans="1:18" x14ac:dyDescent="0.2">
      <c r="A48" s="1395"/>
      <c r="C48" s="180"/>
      <c r="D48" s="187"/>
      <c r="E48" s="188"/>
      <c r="R48" s="1396"/>
    </row>
    <row r="49" spans="1:18" ht="15" customHeight="1" x14ac:dyDescent="0.2">
      <c r="A49" s="1395"/>
      <c r="B49" s="166" t="s">
        <v>1236</v>
      </c>
      <c r="C49" s="166"/>
      <c r="D49" s="186"/>
      <c r="E49" s="186"/>
      <c r="F49" s="166"/>
      <c r="G49" s="166"/>
      <c r="H49" s="166"/>
      <c r="I49" s="166"/>
      <c r="J49" s="166"/>
      <c r="R49" s="1396"/>
    </row>
    <row r="50" spans="1:18" x14ac:dyDescent="0.2">
      <c r="A50" s="1395"/>
      <c r="D50" s="187"/>
      <c r="E50" s="188"/>
      <c r="R50" s="1396"/>
    </row>
    <row r="51" spans="1:18" ht="12.75" customHeight="1" x14ac:dyDescent="0.2">
      <c r="A51" s="1395"/>
      <c r="C51" s="1724"/>
      <c r="D51" s="1725"/>
      <c r="E51" s="1725"/>
      <c r="F51" s="1725"/>
      <c r="G51" s="1725"/>
      <c r="H51" s="1725"/>
      <c r="I51" s="1725"/>
      <c r="J51" s="1725"/>
      <c r="K51" s="1725"/>
      <c r="L51" s="1725"/>
      <c r="M51" s="1725"/>
      <c r="N51" s="1725"/>
      <c r="O51" s="1725"/>
      <c r="P51" s="1726"/>
      <c r="Q51" s="1401"/>
      <c r="R51" s="1396"/>
    </row>
    <row r="52" spans="1:18" x14ac:dyDescent="0.2">
      <c r="A52" s="1395"/>
      <c r="C52" s="3454" t="s">
        <v>1293</v>
      </c>
      <c r="D52" s="2991"/>
      <c r="E52" s="2991"/>
      <c r="F52" s="2991"/>
      <c r="G52" s="2991"/>
      <c r="H52" s="2991"/>
      <c r="I52" s="2991"/>
      <c r="J52" s="2991"/>
      <c r="K52" s="2991"/>
      <c r="L52" s="2991"/>
      <c r="M52" s="2991"/>
      <c r="N52" s="2991"/>
      <c r="O52" s="2991"/>
      <c r="P52" s="3455"/>
      <c r="Q52" s="1401"/>
      <c r="R52" s="1396"/>
    </row>
    <row r="53" spans="1:18" x14ac:dyDescent="0.2">
      <c r="A53" s="1395"/>
      <c r="C53" s="3454"/>
      <c r="D53" s="2991"/>
      <c r="E53" s="2991"/>
      <c r="F53" s="2991"/>
      <c r="G53" s="2991"/>
      <c r="H53" s="2991"/>
      <c r="I53" s="2991"/>
      <c r="J53" s="2991"/>
      <c r="K53" s="2991"/>
      <c r="L53" s="2991"/>
      <c r="M53" s="2991"/>
      <c r="N53" s="2991"/>
      <c r="O53" s="2991"/>
      <c r="P53" s="3455"/>
      <c r="Q53" s="1401"/>
      <c r="R53" s="1396"/>
    </row>
    <row r="54" spans="1:18" ht="12.75" customHeight="1" x14ac:dyDescent="0.2">
      <c r="A54" s="1395"/>
      <c r="C54" s="1767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237"/>
      <c r="Q54" s="1401"/>
      <c r="R54" s="1396"/>
    </row>
    <row r="55" spans="1:18" x14ac:dyDescent="0.2">
      <c r="A55" s="1395"/>
      <c r="C55" s="1767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237"/>
      <c r="Q55" s="1401"/>
      <c r="R55" s="1396"/>
    </row>
    <row r="56" spans="1:18" x14ac:dyDescent="0.2">
      <c r="A56" s="1395"/>
      <c r="C56" s="1767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237"/>
      <c r="Q56" s="1401"/>
      <c r="R56" s="1396"/>
    </row>
    <row r="57" spans="1:18" x14ac:dyDescent="0.2">
      <c r="A57" s="1395"/>
      <c r="C57" s="1767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237"/>
      <c r="Q57" s="1401"/>
      <c r="R57" s="1396"/>
    </row>
    <row r="58" spans="1:18" x14ac:dyDescent="0.2">
      <c r="A58" s="1395"/>
      <c r="C58" s="1727"/>
      <c r="D58" s="1728"/>
      <c r="E58" s="1728"/>
      <c r="F58" s="1728"/>
      <c r="G58" s="1728"/>
      <c r="H58" s="1728"/>
      <c r="I58" s="1728"/>
      <c r="J58" s="1728"/>
      <c r="K58" s="1728"/>
      <c r="L58" s="1728"/>
      <c r="M58" s="1728"/>
      <c r="N58" s="1728"/>
      <c r="O58" s="1728"/>
      <c r="P58" s="1729"/>
      <c r="R58" s="1396"/>
    </row>
    <row r="59" spans="1:18" x14ac:dyDescent="0.2">
      <c r="A59" s="1395"/>
      <c r="B59" s="175"/>
      <c r="D59" s="187"/>
      <c r="E59" s="188"/>
      <c r="R59" s="1396"/>
    </row>
    <row r="60" spans="1:18" ht="6" customHeight="1" x14ac:dyDescent="0.2">
      <c r="A60" s="1395"/>
      <c r="E60" s="188"/>
      <c r="R60" s="1396"/>
    </row>
    <row r="61" spans="1:18" x14ac:dyDescent="0.2">
      <c r="A61" s="1395"/>
      <c r="C61" s="1402" t="s">
        <v>912</v>
      </c>
      <c r="D61" s="1403" t="s">
        <v>218</v>
      </c>
      <c r="E61" s="3456">
        <f>'F-LSCD-012'!C16</f>
        <v>44336</v>
      </c>
      <c r="F61" s="3457"/>
      <c r="G61" s="3457"/>
      <c r="R61" s="1396"/>
    </row>
    <row r="62" spans="1:18" x14ac:dyDescent="0.2">
      <c r="A62" s="1395"/>
      <c r="C62" s="180"/>
      <c r="D62" s="187"/>
      <c r="R62" s="1396"/>
    </row>
    <row r="63" spans="1:18" x14ac:dyDescent="0.2">
      <c r="A63" s="1395"/>
      <c r="C63" s="1404" t="s">
        <v>913</v>
      </c>
      <c r="D63" s="175" t="s">
        <v>218</v>
      </c>
      <c r="E63" s="3458" t="s">
        <v>1291</v>
      </c>
      <c r="F63" s="3458"/>
      <c r="G63" s="3458"/>
      <c r="R63" s="1396"/>
    </row>
    <row r="64" spans="1:18" x14ac:dyDescent="0.2">
      <c r="A64" s="1395"/>
      <c r="R64" s="1396"/>
    </row>
    <row r="65" spans="1:18" x14ac:dyDescent="0.2">
      <c r="A65" s="1395"/>
      <c r="C65" s="1404" t="s">
        <v>914</v>
      </c>
      <c r="D65" s="175" t="s">
        <v>218</v>
      </c>
      <c r="E65" s="1522" t="s">
        <v>1292</v>
      </c>
      <c r="R65" s="1396"/>
    </row>
    <row r="66" spans="1:18" x14ac:dyDescent="0.2">
      <c r="A66" s="1395"/>
      <c r="C66" s="1404"/>
      <c r="D66" s="175"/>
      <c r="R66" s="1396"/>
    </row>
    <row r="67" spans="1:18" x14ac:dyDescent="0.2">
      <c r="A67" s="1395"/>
      <c r="C67" s="1404"/>
      <c r="D67" s="175"/>
      <c r="R67" s="1396"/>
    </row>
    <row r="68" spans="1:18" x14ac:dyDescent="0.2">
      <c r="A68" s="1395"/>
      <c r="R68" s="1396"/>
    </row>
    <row r="69" spans="1:18" x14ac:dyDescent="0.2">
      <c r="A69" s="1395"/>
      <c r="R69" s="1396"/>
    </row>
    <row r="70" spans="1:18" x14ac:dyDescent="0.2">
      <c r="A70" s="1405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1406"/>
    </row>
  </sheetData>
  <mergeCells count="31">
    <mergeCell ref="C52:P53"/>
    <mergeCell ref="E61:G61"/>
    <mergeCell ref="E63:G63"/>
    <mergeCell ref="E19:Q19"/>
    <mergeCell ref="E20:Q20"/>
    <mergeCell ref="E21:Q21"/>
    <mergeCell ref="E32:N32"/>
    <mergeCell ref="E33:N33"/>
    <mergeCell ref="E34:N34"/>
    <mergeCell ref="E35:N35"/>
    <mergeCell ref="E36:N36"/>
    <mergeCell ref="E22:N22"/>
    <mergeCell ref="E27:N27"/>
    <mergeCell ref="E28:N28"/>
    <mergeCell ref="E29:N29"/>
    <mergeCell ref="E30:N30"/>
    <mergeCell ref="E31:N31"/>
    <mergeCell ref="C37:C39"/>
    <mergeCell ref="D37:D39"/>
    <mergeCell ref="E37:N37"/>
    <mergeCell ref="E38:N38"/>
    <mergeCell ref="E39:N39"/>
    <mergeCell ref="A10:R10"/>
    <mergeCell ref="E18:N18"/>
    <mergeCell ref="A2:D5"/>
    <mergeCell ref="E2:N5"/>
    <mergeCell ref="A6:R6"/>
    <mergeCell ref="A7:R7"/>
    <mergeCell ref="A8:R8"/>
    <mergeCell ref="A9:R9"/>
    <mergeCell ref="E13:Q13"/>
  </mergeCells>
  <conditionalFormatting sqref="E12:O12 E14:O14 E13 O29:O36 C30">
    <cfRule type="cellIs" dxfId="17" priority="28" operator="equal">
      <formula>0</formula>
    </cfRule>
  </conditionalFormatting>
  <conditionalFormatting sqref="E12:O12 E14:O14 E13 O29:O36 C30">
    <cfRule type="containsErrors" dxfId="16" priority="27">
      <formula>ISERROR(C12)</formula>
    </cfRule>
  </conditionalFormatting>
  <conditionalFormatting sqref="E61">
    <cfRule type="cellIs" dxfId="15" priority="14" operator="equal">
      <formula>0</formula>
    </cfRule>
  </conditionalFormatting>
  <conditionalFormatting sqref="E61">
    <cfRule type="containsErrors" dxfId="14" priority="13">
      <formula>ISERROR(E61)</formula>
    </cfRule>
  </conditionalFormatting>
  <conditionalFormatting sqref="E36 E33:E34">
    <cfRule type="cellIs" dxfId="13" priority="4" operator="equal">
      <formula>0</formula>
    </cfRule>
  </conditionalFormatting>
  <conditionalFormatting sqref="E36 E33:E34">
    <cfRule type="containsErrors" dxfId="12" priority="3">
      <formula>ISERROR(E33)</formula>
    </cfRule>
  </conditionalFormatting>
  <conditionalFormatting sqref="E35">
    <cfRule type="cellIs" dxfId="11" priority="2" operator="equal">
      <formula>0</formula>
    </cfRule>
  </conditionalFormatting>
  <conditionalFormatting sqref="E35">
    <cfRule type="containsErrors" dxfId="10" priority="1">
      <formula>ISERROR(E35)</formula>
    </cfRule>
  </conditionalFormatting>
  <pageMargins left="0.27559055118110237" right="7.874015748031496E-2" top="0.23622047244094491" bottom="0" header="0.31496062992125984" footer="0"/>
  <pageSetup paperSize="9" scale="95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0"/>
  <dimension ref="A1:AN63"/>
  <sheetViews>
    <sheetView view="pageBreakPreview" topLeftCell="A2" zoomScaleNormal="100" zoomScaleSheetLayoutView="100" workbookViewId="0">
      <selection activeCell="A2" sqref="A2:AL3"/>
    </sheetView>
  </sheetViews>
  <sheetFormatPr baseColWidth="10" defaultColWidth="11.42578125" defaultRowHeight="12.75" x14ac:dyDescent="0.2"/>
  <cols>
    <col min="1" max="1" width="2.7109375" style="163" customWidth="1"/>
    <col min="2" max="12" width="2.42578125" style="163" customWidth="1"/>
    <col min="13" max="15" width="3" style="163" customWidth="1"/>
    <col min="16" max="16" width="3.28515625" style="163" customWidth="1"/>
    <col min="17" max="17" width="3.7109375" style="163" customWidth="1"/>
    <col min="18" max="25" width="3" style="163" customWidth="1"/>
    <col min="26" max="27" width="2.7109375" style="163" customWidth="1"/>
    <col min="28" max="28" width="3" style="163" customWidth="1"/>
    <col min="29" max="29" width="1.28515625" style="163" customWidth="1"/>
    <col min="30" max="37" width="2.42578125" style="163" customWidth="1"/>
    <col min="38" max="38" width="1.140625" style="163" customWidth="1"/>
    <col min="39" max="39" width="11.42578125" style="163"/>
    <col min="40" max="40" width="11.85546875" style="163" customWidth="1"/>
    <col min="41" max="41" width="15.42578125" style="163" customWidth="1"/>
    <col min="42" max="281" width="11.42578125" style="163"/>
    <col min="282" max="282" width="2.28515625" style="163" customWidth="1"/>
    <col min="283" max="283" width="2.7109375" style="163" customWidth="1"/>
    <col min="284" max="284" width="2.42578125" style="163" customWidth="1"/>
    <col min="285" max="285" width="17.7109375" style="163" customWidth="1"/>
    <col min="286" max="286" width="1.5703125" style="163" customWidth="1"/>
    <col min="287" max="287" width="6.42578125" style="163" customWidth="1"/>
    <col min="288" max="288" width="13.140625" style="163" customWidth="1"/>
    <col min="289" max="289" width="1" style="163" customWidth="1"/>
    <col min="290" max="290" width="19.5703125" style="163" customWidth="1"/>
    <col min="291" max="291" width="0.85546875" style="163" customWidth="1"/>
    <col min="292" max="292" width="14.42578125" style="163" customWidth="1"/>
    <col min="293" max="293" width="12.85546875" style="163" customWidth="1"/>
    <col min="294" max="294" width="6.140625" style="163" customWidth="1"/>
    <col min="295" max="296" width="11.42578125" style="163"/>
    <col min="297" max="297" width="15.42578125" style="163" customWidth="1"/>
    <col min="298" max="537" width="11.42578125" style="163"/>
    <col min="538" max="538" width="2.28515625" style="163" customWidth="1"/>
    <col min="539" max="539" width="2.7109375" style="163" customWidth="1"/>
    <col min="540" max="540" width="2.42578125" style="163" customWidth="1"/>
    <col min="541" max="541" width="17.7109375" style="163" customWidth="1"/>
    <col min="542" max="542" width="1.5703125" style="163" customWidth="1"/>
    <col min="543" max="543" width="6.42578125" style="163" customWidth="1"/>
    <col min="544" max="544" width="13.140625" style="163" customWidth="1"/>
    <col min="545" max="545" width="1" style="163" customWidth="1"/>
    <col min="546" max="546" width="19.5703125" style="163" customWidth="1"/>
    <col min="547" max="547" width="0.85546875" style="163" customWidth="1"/>
    <col min="548" max="548" width="14.42578125" style="163" customWidth="1"/>
    <col min="549" max="549" width="12.85546875" style="163" customWidth="1"/>
    <col min="550" max="550" width="6.140625" style="163" customWidth="1"/>
    <col min="551" max="552" width="11.42578125" style="163"/>
    <col min="553" max="553" width="15.42578125" style="163" customWidth="1"/>
    <col min="554" max="793" width="11.42578125" style="163"/>
    <col min="794" max="794" width="2.28515625" style="163" customWidth="1"/>
    <col min="795" max="795" width="2.7109375" style="163" customWidth="1"/>
    <col min="796" max="796" width="2.42578125" style="163" customWidth="1"/>
    <col min="797" max="797" width="17.7109375" style="163" customWidth="1"/>
    <col min="798" max="798" width="1.5703125" style="163" customWidth="1"/>
    <col min="799" max="799" width="6.42578125" style="163" customWidth="1"/>
    <col min="800" max="800" width="13.140625" style="163" customWidth="1"/>
    <col min="801" max="801" width="1" style="163" customWidth="1"/>
    <col min="802" max="802" width="19.5703125" style="163" customWidth="1"/>
    <col min="803" max="803" width="0.85546875" style="163" customWidth="1"/>
    <col min="804" max="804" width="14.42578125" style="163" customWidth="1"/>
    <col min="805" max="805" width="12.85546875" style="163" customWidth="1"/>
    <col min="806" max="806" width="6.140625" style="163" customWidth="1"/>
    <col min="807" max="808" width="11.42578125" style="163"/>
    <col min="809" max="809" width="15.42578125" style="163" customWidth="1"/>
    <col min="810" max="1049" width="11.42578125" style="163"/>
    <col min="1050" max="1050" width="2.28515625" style="163" customWidth="1"/>
    <col min="1051" max="1051" width="2.7109375" style="163" customWidth="1"/>
    <col min="1052" max="1052" width="2.42578125" style="163" customWidth="1"/>
    <col min="1053" max="1053" width="17.7109375" style="163" customWidth="1"/>
    <col min="1054" max="1054" width="1.5703125" style="163" customWidth="1"/>
    <col min="1055" max="1055" width="6.42578125" style="163" customWidth="1"/>
    <col min="1056" max="1056" width="13.140625" style="163" customWidth="1"/>
    <col min="1057" max="1057" width="1" style="163" customWidth="1"/>
    <col min="1058" max="1058" width="19.5703125" style="163" customWidth="1"/>
    <col min="1059" max="1059" width="0.85546875" style="163" customWidth="1"/>
    <col min="1060" max="1060" width="14.42578125" style="163" customWidth="1"/>
    <col min="1061" max="1061" width="12.85546875" style="163" customWidth="1"/>
    <col min="1062" max="1062" width="6.140625" style="163" customWidth="1"/>
    <col min="1063" max="1064" width="11.42578125" style="163"/>
    <col min="1065" max="1065" width="15.42578125" style="163" customWidth="1"/>
    <col min="1066" max="1305" width="11.42578125" style="163"/>
    <col min="1306" max="1306" width="2.28515625" style="163" customWidth="1"/>
    <col min="1307" max="1307" width="2.7109375" style="163" customWidth="1"/>
    <col min="1308" max="1308" width="2.42578125" style="163" customWidth="1"/>
    <col min="1309" max="1309" width="17.7109375" style="163" customWidth="1"/>
    <col min="1310" max="1310" width="1.5703125" style="163" customWidth="1"/>
    <col min="1311" max="1311" width="6.42578125" style="163" customWidth="1"/>
    <col min="1312" max="1312" width="13.140625" style="163" customWidth="1"/>
    <col min="1313" max="1313" width="1" style="163" customWidth="1"/>
    <col min="1314" max="1314" width="19.5703125" style="163" customWidth="1"/>
    <col min="1315" max="1315" width="0.85546875" style="163" customWidth="1"/>
    <col min="1316" max="1316" width="14.42578125" style="163" customWidth="1"/>
    <col min="1317" max="1317" width="12.85546875" style="163" customWidth="1"/>
    <col min="1318" max="1318" width="6.140625" style="163" customWidth="1"/>
    <col min="1319" max="1320" width="11.42578125" style="163"/>
    <col min="1321" max="1321" width="15.42578125" style="163" customWidth="1"/>
    <col min="1322" max="1561" width="11.42578125" style="163"/>
    <col min="1562" max="1562" width="2.28515625" style="163" customWidth="1"/>
    <col min="1563" max="1563" width="2.7109375" style="163" customWidth="1"/>
    <col min="1564" max="1564" width="2.42578125" style="163" customWidth="1"/>
    <col min="1565" max="1565" width="17.7109375" style="163" customWidth="1"/>
    <col min="1566" max="1566" width="1.5703125" style="163" customWidth="1"/>
    <col min="1567" max="1567" width="6.42578125" style="163" customWidth="1"/>
    <col min="1568" max="1568" width="13.140625" style="163" customWidth="1"/>
    <col min="1569" max="1569" width="1" style="163" customWidth="1"/>
    <col min="1570" max="1570" width="19.5703125" style="163" customWidth="1"/>
    <col min="1571" max="1571" width="0.85546875" style="163" customWidth="1"/>
    <col min="1572" max="1572" width="14.42578125" style="163" customWidth="1"/>
    <col min="1573" max="1573" width="12.85546875" style="163" customWidth="1"/>
    <col min="1574" max="1574" width="6.140625" style="163" customWidth="1"/>
    <col min="1575" max="1576" width="11.42578125" style="163"/>
    <col min="1577" max="1577" width="15.42578125" style="163" customWidth="1"/>
    <col min="1578" max="1817" width="11.42578125" style="163"/>
    <col min="1818" max="1818" width="2.28515625" style="163" customWidth="1"/>
    <col min="1819" max="1819" width="2.7109375" style="163" customWidth="1"/>
    <col min="1820" max="1820" width="2.42578125" style="163" customWidth="1"/>
    <col min="1821" max="1821" width="17.7109375" style="163" customWidth="1"/>
    <col min="1822" max="1822" width="1.5703125" style="163" customWidth="1"/>
    <col min="1823" max="1823" width="6.42578125" style="163" customWidth="1"/>
    <col min="1824" max="1824" width="13.140625" style="163" customWidth="1"/>
    <col min="1825" max="1825" width="1" style="163" customWidth="1"/>
    <col min="1826" max="1826" width="19.5703125" style="163" customWidth="1"/>
    <col min="1827" max="1827" width="0.85546875" style="163" customWidth="1"/>
    <col min="1828" max="1828" width="14.42578125" style="163" customWidth="1"/>
    <col min="1829" max="1829" width="12.85546875" style="163" customWidth="1"/>
    <col min="1830" max="1830" width="6.140625" style="163" customWidth="1"/>
    <col min="1831" max="1832" width="11.42578125" style="163"/>
    <col min="1833" max="1833" width="15.42578125" style="163" customWidth="1"/>
    <col min="1834" max="2073" width="11.42578125" style="163"/>
    <col min="2074" max="2074" width="2.28515625" style="163" customWidth="1"/>
    <col min="2075" max="2075" width="2.7109375" style="163" customWidth="1"/>
    <col min="2076" max="2076" width="2.42578125" style="163" customWidth="1"/>
    <col min="2077" max="2077" width="17.7109375" style="163" customWidth="1"/>
    <col min="2078" max="2078" width="1.5703125" style="163" customWidth="1"/>
    <col min="2079" max="2079" width="6.42578125" style="163" customWidth="1"/>
    <col min="2080" max="2080" width="13.140625" style="163" customWidth="1"/>
    <col min="2081" max="2081" width="1" style="163" customWidth="1"/>
    <col min="2082" max="2082" width="19.5703125" style="163" customWidth="1"/>
    <col min="2083" max="2083" width="0.85546875" style="163" customWidth="1"/>
    <col min="2084" max="2084" width="14.42578125" style="163" customWidth="1"/>
    <col min="2085" max="2085" width="12.85546875" style="163" customWidth="1"/>
    <col min="2086" max="2086" width="6.140625" style="163" customWidth="1"/>
    <col min="2087" max="2088" width="11.42578125" style="163"/>
    <col min="2089" max="2089" width="15.42578125" style="163" customWidth="1"/>
    <col min="2090" max="2329" width="11.42578125" style="163"/>
    <col min="2330" max="2330" width="2.28515625" style="163" customWidth="1"/>
    <col min="2331" max="2331" width="2.7109375" style="163" customWidth="1"/>
    <col min="2332" max="2332" width="2.42578125" style="163" customWidth="1"/>
    <col min="2333" max="2333" width="17.7109375" style="163" customWidth="1"/>
    <col min="2334" max="2334" width="1.5703125" style="163" customWidth="1"/>
    <col min="2335" max="2335" width="6.42578125" style="163" customWidth="1"/>
    <col min="2336" max="2336" width="13.140625" style="163" customWidth="1"/>
    <col min="2337" max="2337" width="1" style="163" customWidth="1"/>
    <col min="2338" max="2338" width="19.5703125" style="163" customWidth="1"/>
    <col min="2339" max="2339" width="0.85546875" style="163" customWidth="1"/>
    <col min="2340" max="2340" width="14.42578125" style="163" customWidth="1"/>
    <col min="2341" max="2341" width="12.85546875" style="163" customWidth="1"/>
    <col min="2342" max="2342" width="6.140625" style="163" customWidth="1"/>
    <col min="2343" max="2344" width="11.42578125" style="163"/>
    <col min="2345" max="2345" width="15.42578125" style="163" customWidth="1"/>
    <col min="2346" max="2585" width="11.42578125" style="163"/>
    <col min="2586" max="2586" width="2.28515625" style="163" customWidth="1"/>
    <col min="2587" max="2587" width="2.7109375" style="163" customWidth="1"/>
    <col min="2588" max="2588" width="2.42578125" style="163" customWidth="1"/>
    <col min="2589" max="2589" width="17.7109375" style="163" customWidth="1"/>
    <col min="2590" max="2590" width="1.5703125" style="163" customWidth="1"/>
    <col min="2591" max="2591" width="6.42578125" style="163" customWidth="1"/>
    <col min="2592" max="2592" width="13.140625" style="163" customWidth="1"/>
    <col min="2593" max="2593" width="1" style="163" customWidth="1"/>
    <col min="2594" max="2594" width="19.5703125" style="163" customWidth="1"/>
    <col min="2595" max="2595" width="0.85546875" style="163" customWidth="1"/>
    <col min="2596" max="2596" width="14.42578125" style="163" customWidth="1"/>
    <col min="2597" max="2597" width="12.85546875" style="163" customWidth="1"/>
    <col min="2598" max="2598" width="6.140625" style="163" customWidth="1"/>
    <col min="2599" max="2600" width="11.42578125" style="163"/>
    <col min="2601" max="2601" width="15.42578125" style="163" customWidth="1"/>
    <col min="2602" max="2841" width="11.42578125" style="163"/>
    <col min="2842" max="2842" width="2.28515625" style="163" customWidth="1"/>
    <col min="2843" max="2843" width="2.7109375" style="163" customWidth="1"/>
    <col min="2844" max="2844" width="2.42578125" style="163" customWidth="1"/>
    <col min="2845" max="2845" width="17.7109375" style="163" customWidth="1"/>
    <col min="2846" max="2846" width="1.5703125" style="163" customWidth="1"/>
    <col min="2847" max="2847" width="6.42578125" style="163" customWidth="1"/>
    <col min="2848" max="2848" width="13.140625" style="163" customWidth="1"/>
    <col min="2849" max="2849" width="1" style="163" customWidth="1"/>
    <col min="2850" max="2850" width="19.5703125" style="163" customWidth="1"/>
    <col min="2851" max="2851" width="0.85546875" style="163" customWidth="1"/>
    <col min="2852" max="2852" width="14.42578125" style="163" customWidth="1"/>
    <col min="2853" max="2853" width="12.85546875" style="163" customWidth="1"/>
    <col min="2854" max="2854" width="6.140625" style="163" customWidth="1"/>
    <col min="2855" max="2856" width="11.42578125" style="163"/>
    <col min="2857" max="2857" width="15.42578125" style="163" customWidth="1"/>
    <col min="2858" max="3097" width="11.42578125" style="163"/>
    <col min="3098" max="3098" width="2.28515625" style="163" customWidth="1"/>
    <col min="3099" max="3099" width="2.7109375" style="163" customWidth="1"/>
    <col min="3100" max="3100" width="2.42578125" style="163" customWidth="1"/>
    <col min="3101" max="3101" width="17.7109375" style="163" customWidth="1"/>
    <col min="3102" max="3102" width="1.5703125" style="163" customWidth="1"/>
    <col min="3103" max="3103" width="6.42578125" style="163" customWidth="1"/>
    <col min="3104" max="3104" width="13.140625" style="163" customWidth="1"/>
    <col min="3105" max="3105" width="1" style="163" customWidth="1"/>
    <col min="3106" max="3106" width="19.5703125" style="163" customWidth="1"/>
    <col min="3107" max="3107" width="0.85546875" style="163" customWidth="1"/>
    <col min="3108" max="3108" width="14.42578125" style="163" customWidth="1"/>
    <col min="3109" max="3109" width="12.85546875" style="163" customWidth="1"/>
    <col min="3110" max="3110" width="6.140625" style="163" customWidth="1"/>
    <col min="3111" max="3112" width="11.42578125" style="163"/>
    <col min="3113" max="3113" width="15.42578125" style="163" customWidth="1"/>
    <col min="3114" max="3353" width="11.42578125" style="163"/>
    <col min="3354" max="3354" width="2.28515625" style="163" customWidth="1"/>
    <col min="3355" max="3355" width="2.7109375" style="163" customWidth="1"/>
    <col min="3356" max="3356" width="2.42578125" style="163" customWidth="1"/>
    <col min="3357" max="3357" width="17.7109375" style="163" customWidth="1"/>
    <col min="3358" max="3358" width="1.5703125" style="163" customWidth="1"/>
    <col min="3359" max="3359" width="6.42578125" style="163" customWidth="1"/>
    <col min="3360" max="3360" width="13.140625" style="163" customWidth="1"/>
    <col min="3361" max="3361" width="1" style="163" customWidth="1"/>
    <col min="3362" max="3362" width="19.5703125" style="163" customWidth="1"/>
    <col min="3363" max="3363" width="0.85546875" style="163" customWidth="1"/>
    <col min="3364" max="3364" width="14.42578125" style="163" customWidth="1"/>
    <col min="3365" max="3365" width="12.85546875" style="163" customWidth="1"/>
    <col min="3366" max="3366" width="6.140625" style="163" customWidth="1"/>
    <col min="3367" max="3368" width="11.42578125" style="163"/>
    <col min="3369" max="3369" width="15.42578125" style="163" customWidth="1"/>
    <col min="3370" max="3609" width="11.42578125" style="163"/>
    <col min="3610" max="3610" width="2.28515625" style="163" customWidth="1"/>
    <col min="3611" max="3611" width="2.7109375" style="163" customWidth="1"/>
    <col min="3612" max="3612" width="2.42578125" style="163" customWidth="1"/>
    <col min="3613" max="3613" width="17.7109375" style="163" customWidth="1"/>
    <col min="3614" max="3614" width="1.5703125" style="163" customWidth="1"/>
    <col min="3615" max="3615" width="6.42578125" style="163" customWidth="1"/>
    <col min="3616" max="3616" width="13.140625" style="163" customWidth="1"/>
    <col min="3617" max="3617" width="1" style="163" customWidth="1"/>
    <col min="3618" max="3618" width="19.5703125" style="163" customWidth="1"/>
    <col min="3619" max="3619" width="0.85546875" style="163" customWidth="1"/>
    <col min="3620" max="3620" width="14.42578125" style="163" customWidth="1"/>
    <col min="3621" max="3621" width="12.85546875" style="163" customWidth="1"/>
    <col min="3622" max="3622" width="6.140625" style="163" customWidth="1"/>
    <col min="3623" max="3624" width="11.42578125" style="163"/>
    <col min="3625" max="3625" width="15.42578125" style="163" customWidth="1"/>
    <col min="3626" max="3865" width="11.42578125" style="163"/>
    <col min="3866" max="3866" width="2.28515625" style="163" customWidth="1"/>
    <col min="3867" max="3867" width="2.7109375" style="163" customWidth="1"/>
    <col min="3868" max="3868" width="2.42578125" style="163" customWidth="1"/>
    <col min="3869" max="3869" width="17.7109375" style="163" customWidth="1"/>
    <col min="3870" max="3870" width="1.5703125" style="163" customWidth="1"/>
    <col min="3871" max="3871" width="6.42578125" style="163" customWidth="1"/>
    <col min="3872" max="3872" width="13.140625" style="163" customWidth="1"/>
    <col min="3873" max="3873" width="1" style="163" customWidth="1"/>
    <col min="3874" max="3874" width="19.5703125" style="163" customWidth="1"/>
    <col min="3875" max="3875" width="0.85546875" style="163" customWidth="1"/>
    <col min="3876" max="3876" width="14.42578125" style="163" customWidth="1"/>
    <col min="3877" max="3877" width="12.85546875" style="163" customWidth="1"/>
    <col min="3878" max="3878" width="6.140625" style="163" customWidth="1"/>
    <col min="3879" max="3880" width="11.42578125" style="163"/>
    <col min="3881" max="3881" width="15.42578125" style="163" customWidth="1"/>
    <col min="3882" max="4121" width="11.42578125" style="163"/>
    <col min="4122" max="4122" width="2.28515625" style="163" customWidth="1"/>
    <col min="4123" max="4123" width="2.7109375" style="163" customWidth="1"/>
    <col min="4124" max="4124" width="2.42578125" style="163" customWidth="1"/>
    <col min="4125" max="4125" width="17.7109375" style="163" customWidth="1"/>
    <col min="4126" max="4126" width="1.5703125" style="163" customWidth="1"/>
    <col min="4127" max="4127" width="6.42578125" style="163" customWidth="1"/>
    <col min="4128" max="4128" width="13.140625" style="163" customWidth="1"/>
    <col min="4129" max="4129" width="1" style="163" customWidth="1"/>
    <col min="4130" max="4130" width="19.5703125" style="163" customWidth="1"/>
    <col min="4131" max="4131" width="0.85546875" style="163" customWidth="1"/>
    <col min="4132" max="4132" width="14.42578125" style="163" customWidth="1"/>
    <col min="4133" max="4133" width="12.85546875" style="163" customWidth="1"/>
    <col min="4134" max="4134" width="6.140625" style="163" customWidth="1"/>
    <col min="4135" max="4136" width="11.42578125" style="163"/>
    <col min="4137" max="4137" width="15.42578125" style="163" customWidth="1"/>
    <col min="4138" max="4377" width="11.42578125" style="163"/>
    <col min="4378" max="4378" width="2.28515625" style="163" customWidth="1"/>
    <col min="4379" max="4379" width="2.7109375" style="163" customWidth="1"/>
    <col min="4380" max="4380" width="2.42578125" style="163" customWidth="1"/>
    <col min="4381" max="4381" width="17.7109375" style="163" customWidth="1"/>
    <col min="4382" max="4382" width="1.5703125" style="163" customWidth="1"/>
    <col min="4383" max="4383" width="6.42578125" style="163" customWidth="1"/>
    <col min="4384" max="4384" width="13.140625" style="163" customWidth="1"/>
    <col min="4385" max="4385" width="1" style="163" customWidth="1"/>
    <col min="4386" max="4386" width="19.5703125" style="163" customWidth="1"/>
    <col min="4387" max="4387" width="0.85546875" style="163" customWidth="1"/>
    <col min="4388" max="4388" width="14.42578125" style="163" customWidth="1"/>
    <col min="4389" max="4389" width="12.85546875" style="163" customWidth="1"/>
    <col min="4390" max="4390" width="6.140625" style="163" customWidth="1"/>
    <col min="4391" max="4392" width="11.42578125" style="163"/>
    <col min="4393" max="4393" width="15.42578125" style="163" customWidth="1"/>
    <col min="4394" max="4633" width="11.42578125" style="163"/>
    <col min="4634" max="4634" width="2.28515625" style="163" customWidth="1"/>
    <col min="4635" max="4635" width="2.7109375" style="163" customWidth="1"/>
    <col min="4636" max="4636" width="2.42578125" style="163" customWidth="1"/>
    <col min="4637" max="4637" width="17.7109375" style="163" customWidth="1"/>
    <col min="4638" max="4638" width="1.5703125" style="163" customWidth="1"/>
    <col min="4639" max="4639" width="6.42578125" style="163" customWidth="1"/>
    <col min="4640" max="4640" width="13.140625" style="163" customWidth="1"/>
    <col min="4641" max="4641" width="1" style="163" customWidth="1"/>
    <col min="4642" max="4642" width="19.5703125" style="163" customWidth="1"/>
    <col min="4643" max="4643" width="0.85546875" style="163" customWidth="1"/>
    <col min="4644" max="4644" width="14.42578125" style="163" customWidth="1"/>
    <col min="4645" max="4645" width="12.85546875" style="163" customWidth="1"/>
    <col min="4646" max="4646" width="6.140625" style="163" customWidth="1"/>
    <col min="4647" max="4648" width="11.42578125" style="163"/>
    <col min="4649" max="4649" width="15.42578125" style="163" customWidth="1"/>
    <col min="4650" max="4889" width="11.42578125" style="163"/>
    <col min="4890" max="4890" width="2.28515625" style="163" customWidth="1"/>
    <col min="4891" max="4891" width="2.7109375" style="163" customWidth="1"/>
    <col min="4892" max="4892" width="2.42578125" style="163" customWidth="1"/>
    <col min="4893" max="4893" width="17.7109375" style="163" customWidth="1"/>
    <col min="4894" max="4894" width="1.5703125" style="163" customWidth="1"/>
    <col min="4895" max="4895" width="6.42578125" style="163" customWidth="1"/>
    <col min="4896" max="4896" width="13.140625" style="163" customWidth="1"/>
    <col min="4897" max="4897" width="1" style="163" customWidth="1"/>
    <col min="4898" max="4898" width="19.5703125" style="163" customWidth="1"/>
    <col min="4899" max="4899" width="0.85546875" style="163" customWidth="1"/>
    <col min="4900" max="4900" width="14.42578125" style="163" customWidth="1"/>
    <col min="4901" max="4901" width="12.85546875" style="163" customWidth="1"/>
    <col min="4902" max="4902" width="6.140625" style="163" customWidth="1"/>
    <col min="4903" max="4904" width="11.42578125" style="163"/>
    <col min="4905" max="4905" width="15.42578125" style="163" customWidth="1"/>
    <col min="4906" max="5145" width="11.42578125" style="163"/>
    <col min="5146" max="5146" width="2.28515625" style="163" customWidth="1"/>
    <col min="5147" max="5147" width="2.7109375" style="163" customWidth="1"/>
    <col min="5148" max="5148" width="2.42578125" style="163" customWidth="1"/>
    <col min="5149" max="5149" width="17.7109375" style="163" customWidth="1"/>
    <col min="5150" max="5150" width="1.5703125" style="163" customWidth="1"/>
    <col min="5151" max="5151" width="6.42578125" style="163" customWidth="1"/>
    <col min="5152" max="5152" width="13.140625" style="163" customWidth="1"/>
    <col min="5153" max="5153" width="1" style="163" customWidth="1"/>
    <col min="5154" max="5154" width="19.5703125" style="163" customWidth="1"/>
    <col min="5155" max="5155" width="0.85546875" style="163" customWidth="1"/>
    <col min="5156" max="5156" width="14.42578125" style="163" customWidth="1"/>
    <col min="5157" max="5157" width="12.85546875" style="163" customWidth="1"/>
    <col min="5158" max="5158" width="6.140625" style="163" customWidth="1"/>
    <col min="5159" max="5160" width="11.42578125" style="163"/>
    <col min="5161" max="5161" width="15.42578125" style="163" customWidth="1"/>
    <col min="5162" max="5401" width="11.42578125" style="163"/>
    <col min="5402" max="5402" width="2.28515625" style="163" customWidth="1"/>
    <col min="5403" max="5403" width="2.7109375" style="163" customWidth="1"/>
    <col min="5404" max="5404" width="2.42578125" style="163" customWidth="1"/>
    <col min="5405" max="5405" width="17.7109375" style="163" customWidth="1"/>
    <col min="5406" max="5406" width="1.5703125" style="163" customWidth="1"/>
    <col min="5407" max="5407" width="6.42578125" style="163" customWidth="1"/>
    <col min="5408" max="5408" width="13.140625" style="163" customWidth="1"/>
    <col min="5409" max="5409" width="1" style="163" customWidth="1"/>
    <col min="5410" max="5410" width="19.5703125" style="163" customWidth="1"/>
    <col min="5411" max="5411" width="0.85546875" style="163" customWidth="1"/>
    <col min="5412" max="5412" width="14.42578125" style="163" customWidth="1"/>
    <col min="5413" max="5413" width="12.85546875" style="163" customWidth="1"/>
    <col min="5414" max="5414" width="6.140625" style="163" customWidth="1"/>
    <col min="5415" max="5416" width="11.42578125" style="163"/>
    <col min="5417" max="5417" width="15.42578125" style="163" customWidth="1"/>
    <col min="5418" max="5657" width="11.42578125" style="163"/>
    <col min="5658" max="5658" width="2.28515625" style="163" customWidth="1"/>
    <col min="5659" max="5659" width="2.7109375" style="163" customWidth="1"/>
    <col min="5660" max="5660" width="2.42578125" style="163" customWidth="1"/>
    <col min="5661" max="5661" width="17.7109375" style="163" customWidth="1"/>
    <col min="5662" max="5662" width="1.5703125" style="163" customWidth="1"/>
    <col min="5663" max="5663" width="6.42578125" style="163" customWidth="1"/>
    <col min="5664" max="5664" width="13.140625" style="163" customWidth="1"/>
    <col min="5665" max="5665" width="1" style="163" customWidth="1"/>
    <col min="5666" max="5666" width="19.5703125" style="163" customWidth="1"/>
    <col min="5667" max="5667" width="0.85546875" style="163" customWidth="1"/>
    <col min="5668" max="5668" width="14.42578125" style="163" customWidth="1"/>
    <col min="5669" max="5669" width="12.85546875" style="163" customWidth="1"/>
    <col min="5670" max="5670" width="6.140625" style="163" customWidth="1"/>
    <col min="5671" max="5672" width="11.42578125" style="163"/>
    <col min="5673" max="5673" width="15.42578125" style="163" customWidth="1"/>
    <col min="5674" max="5913" width="11.42578125" style="163"/>
    <col min="5914" max="5914" width="2.28515625" style="163" customWidth="1"/>
    <col min="5915" max="5915" width="2.7109375" style="163" customWidth="1"/>
    <col min="5916" max="5916" width="2.42578125" style="163" customWidth="1"/>
    <col min="5917" max="5917" width="17.7109375" style="163" customWidth="1"/>
    <col min="5918" max="5918" width="1.5703125" style="163" customWidth="1"/>
    <col min="5919" max="5919" width="6.42578125" style="163" customWidth="1"/>
    <col min="5920" max="5920" width="13.140625" style="163" customWidth="1"/>
    <col min="5921" max="5921" width="1" style="163" customWidth="1"/>
    <col min="5922" max="5922" width="19.5703125" style="163" customWidth="1"/>
    <col min="5923" max="5923" width="0.85546875" style="163" customWidth="1"/>
    <col min="5924" max="5924" width="14.42578125" style="163" customWidth="1"/>
    <col min="5925" max="5925" width="12.85546875" style="163" customWidth="1"/>
    <col min="5926" max="5926" width="6.140625" style="163" customWidth="1"/>
    <col min="5927" max="5928" width="11.42578125" style="163"/>
    <col min="5929" max="5929" width="15.42578125" style="163" customWidth="1"/>
    <col min="5930" max="6169" width="11.42578125" style="163"/>
    <col min="6170" max="6170" width="2.28515625" style="163" customWidth="1"/>
    <col min="6171" max="6171" width="2.7109375" style="163" customWidth="1"/>
    <col min="6172" max="6172" width="2.42578125" style="163" customWidth="1"/>
    <col min="6173" max="6173" width="17.7109375" style="163" customWidth="1"/>
    <col min="6174" max="6174" width="1.5703125" style="163" customWidth="1"/>
    <col min="6175" max="6175" width="6.42578125" style="163" customWidth="1"/>
    <col min="6176" max="6176" width="13.140625" style="163" customWidth="1"/>
    <col min="6177" max="6177" width="1" style="163" customWidth="1"/>
    <col min="6178" max="6178" width="19.5703125" style="163" customWidth="1"/>
    <col min="6179" max="6179" width="0.85546875" style="163" customWidth="1"/>
    <col min="6180" max="6180" width="14.42578125" style="163" customWidth="1"/>
    <col min="6181" max="6181" width="12.85546875" style="163" customWidth="1"/>
    <col min="6182" max="6182" width="6.140625" style="163" customWidth="1"/>
    <col min="6183" max="6184" width="11.42578125" style="163"/>
    <col min="6185" max="6185" width="15.42578125" style="163" customWidth="1"/>
    <col min="6186" max="6425" width="11.42578125" style="163"/>
    <col min="6426" max="6426" width="2.28515625" style="163" customWidth="1"/>
    <col min="6427" max="6427" width="2.7109375" style="163" customWidth="1"/>
    <col min="6428" max="6428" width="2.42578125" style="163" customWidth="1"/>
    <col min="6429" max="6429" width="17.7109375" style="163" customWidth="1"/>
    <col min="6430" max="6430" width="1.5703125" style="163" customWidth="1"/>
    <col min="6431" max="6431" width="6.42578125" style="163" customWidth="1"/>
    <col min="6432" max="6432" width="13.140625" style="163" customWidth="1"/>
    <col min="6433" max="6433" width="1" style="163" customWidth="1"/>
    <col min="6434" max="6434" width="19.5703125" style="163" customWidth="1"/>
    <col min="6435" max="6435" width="0.85546875" style="163" customWidth="1"/>
    <col min="6436" max="6436" width="14.42578125" style="163" customWidth="1"/>
    <col min="6437" max="6437" width="12.85546875" style="163" customWidth="1"/>
    <col min="6438" max="6438" width="6.140625" style="163" customWidth="1"/>
    <col min="6439" max="6440" width="11.42578125" style="163"/>
    <col min="6441" max="6441" width="15.42578125" style="163" customWidth="1"/>
    <col min="6442" max="6681" width="11.42578125" style="163"/>
    <col min="6682" max="6682" width="2.28515625" style="163" customWidth="1"/>
    <col min="6683" max="6683" width="2.7109375" style="163" customWidth="1"/>
    <col min="6684" max="6684" width="2.42578125" style="163" customWidth="1"/>
    <col min="6685" max="6685" width="17.7109375" style="163" customWidth="1"/>
    <col min="6686" max="6686" width="1.5703125" style="163" customWidth="1"/>
    <col min="6687" max="6687" width="6.42578125" style="163" customWidth="1"/>
    <col min="6688" max="6688" width="13.140625" style="163" customWidth="1"/>
    <col min="6689" max="6689" width="1" style="163" customWidth="1"/>
    <col min="6690" max="6690" width="19.5703125" style="163" customWidth="1"/>
    <col min="6691" max="6691" width="0.85546875" style="163" customWidth="1"/>
    <col min="6692" max="6692" width="14.42578125" style="163" customWidth="1"/>
    <col min="6693" max="6693" width="12.85546875" style="163" customWidth="1"/>
    <col min="6694" max="6694" width="6.140625" style="163" customWidth="1"/>
    <col min="6695" max="6696" width="11.42578125" style="163"/>
    <col min="6697" max="6697" width="15.42578125" style="163" customWidth="1"/>
    <col min="6698" max="6937" width="11.42578125" style="163"/>
    <col min="6938" max="6938" width="2.28515625" style="163" customWidth="1"/>
    <col min="6939" max="6939" width="2.7109375" style="163" customWidth="1"/>
    <col min="6940" max="6940" width="2.42578125" style="163" customWidth="1"/>
    <col min="6941" max="6941" width="17.7109375" style="163" customWidth="1"/>
    <col min="6942" max="6942" width="1.5703125" style="163" customWidth="1"/>
    <col min="6943" max="6943" width="6.42578125" style="163" customWidth="1"/>
    <col min="6944" max="6944" width="13.140625" style="163" customWidth="1"/>
    <col min="6945" max="6945" width="1" style="163" customWidth="1"/>
    <col min="6946" max="6946" width="19.5703125" style="163" customWidth="1"/>
    <col min="6947" max="6947" width="0.85546875" style="163" customWidth="1"/>
    <col min="6948" max="6948" width="14.42578125" style="163" customWidth="1"/>
    <col min="6949" max="6949" width="12.85546875" style="163" customWidth="1"/>
    <col min="6950" max="6950" width="6.140625" style="163" customWidth="1"/>
    <col min="6951" max="6952" width="11.42578125" style="163"/>
    <col min="6953" max="6953" width="15.42578125" style="163" customWidth="1"/>
    <col min="6954" max="7193" width="11.42578125" style="163"/>
    <col min="7194" max="7194" width="2.28515625" style="163" customWidth="1"/>
    <col min="7195" max="7195" width="2.7109375" style="163" customWidth="1"/>
    <col min="7196" max="7196" width="2.42578125" style="163" customWidth="1"/>
    <col min="7197" max="7197" width="17.7109375" style="163" customWidth="1"/>
    <col min="7198" max="7198" width="1.5703125" style="163" customWidth="1"/>
    <col min="7199" max="7199" width="6.42578125" style="163" customWidth="1"/>
    <col min="7200" max="7200" width="13.140625" style="163" customWidth="1"/>
    <col min="7201" max="7201" width="1" style="163" customWidth="1"/>
    <col min="7202" max="7202" width="19.5703125" style="163" customWidth="1"/>
    <col min="7203" max="7203" width="0.85546875" style="163" customWidth="1"/>
    <col min="7204" max="7204" width="14.42578125" style="163" customWidth="1"/>
    <col min="7205" max="7205" width="12.85546875" style="163" customWidth="1"/>
    <col min="7206" max="7206" width="6.140625" style="163" customWidth="1"/>
    <col min="7207" max="7208" width="11.42578125" style="163"/>
    <col min="7209" max="7209" width="15.42578125" style="163" customWidth="1"/>
    <col min="7210" max="7449" width="11.42578125" style="163"/>
    <col min="7450" max="7450" width="2.28515625" style="163" customWidth="1"/>
    <col min="7451" max="7451" width="2.7109375" style="163" customWidth="1"/>
    <col min="7452" max="7452" width="2.42578125" style="163" customWidth="1"/>
    <col min="7453" max="7453" width="17.7109375" style="163" customWidth="1"/>
    <col min="7454" max="7454" width="1.5703125" style="163" customWidth="1"/>
    <col min="7455" max="7455" width="6.42578125" style="163" customWidth="1"/>
    <col min="7456" max="7456" width="13.140625" style="163" customWidth="1"/>
    <col min="7457" max="7457" width="1" style="163" customWidth="1"/>
    <col min="7458" max="7458" width="19.5703125" style="163" customWidth="1"/>
    <col min="7459" max="7459" width="0.85546875" style="163" customWidth="1"/>
    <col min="7460" max="7460" width="14.42578125" style="163" customWidth="1"/>
    <col min="7461" max="7461" width="12.85546875" style="163" customWidth="1"/>
    <col min="7462" max="7462" width="6.140625" style="163" customWidth="1"/>
    <col min="7463" max="7464" width="11.42578125" style="163"/>
    <col min="7465" max="7465" width="15.42578125" style="163" customWidth="1"/>
    <col min="7466" max="7705" width="11.42578125" style="163"/>
    <col min="7706" max="7706" width="2.28515625" style="163" customWidth="1"/>
    <col min="7707" max="7707" width="2.7109375" style="163" customWidth="1"/>
    <col min="7708" max="7708" width="2.42578125" style="163" customWidth="1"/>
    <col min="7709" max="7709" width="17.7109375" style="163" customWidth="1"/>
    <col min="7710" max="7710" width="1.5703125" style="163" customWidth="1"/>
    <col min="7711" max="7711" width="6.42578125" style="163" customWidth="1"/>
    <col min="7712" max="7712" width="13.140625" style="163" customWidth="1"/>
    <col min="7713" max="7713" width="1" style="163" customWidth="1"/>
    <col min="7714" max="7714" width="19.5703125" style="163" customWidth="1"/>
    <col min="7715" max="7715" width="0.85546875" style="163" customWidth="1"/>
    <col min="7716" max="7716" width="14.42578125" style="163" customWidth="1"/>
    <col min="7717" max="7717" width="12.85546875" style="163" customWidth="1"/>
    <col min="7718" max="7718" width="6.140625" style="163" customWidth="1"/>
    <col min="7719" max="7720" width="11.42578125" style="163"/>
    <col min="7721" max="7721" width="15.42578125" style="163" customWidth="1"/>
    <col min="7722" max="7961" width="11.42578125" style="163"/>
    <col min="7962" max="7962" width="2.28515625" style="163" customWidth="1"/>
    <col min="7963" max="7963" width="2.7109375" style="163" customWidth="1"/>
    <col min="7964" max="7964" width="2.42578125" style="163" customWidth="1"/>
    <col min="7965" max="7965" width="17.7109375" style="163" customWidth="1"/>
    <col min="7966" max="7966" width="1.5703125" style="163" customWidth="1"/>
    <col min="7967" max="7967" width="6.42578125" style="163" customWidth="1"/>
    <col min="7968" max="7968" width="13.140625" style="163" customWidth="1"/>
    <col min="7969" max="7969" width="1" style="163" customWidth="1"/>
    <col min="7970" max="7970" width="19.5703125" style="163" customWidth="1"/>
    <col min="7971" max="7971" width="0.85546875" style="163" customWidth="1"/>
    <col min="7972" max="7972" width="14.42578125" style="163" customWidth="1"/>
    <col min="7973" max="7973" width="12.85546875" style="163" customWidth="1"/>
    <col min="7974" max="7974" width="6.140625" style="163" customWidth="1"/>
    <col min="7975" max="7976" width="11.42578125" style="163"/>
    <col min="7977" max="7977" width="15.42578125" style="163" customWidth="1"/>
    <col min="7978" max="8217" width="11.42578125" style="163"/>
    <col min="8218" max="8218" width="2.28515625" style="163" customWidth="1"/>
    <col min="8219" max="8219" width="2.7109375" style="163" customWidth="1"/>
    <col min="8220" max="8220" width="2.42578125" style="163" customWidth="1"/>
    <col min="8221" max="8221" width="17.7109375" style="163" customWidth="1"/>
    <col min="8222" max="8222" width="1.5703125" style="163" customWidth="1"/>
    <col min="8223" max="8223" width="6.42578125" style="163" customWidth="1"/>
    <col min="8224" max="8224" width="13.140625" style="163" customWidth="1"/>
    <col min="8225" max="8225" width="1" style="163" customWidth="1"/>
    <col min="8226" max="8226" width="19.5703125" style="163" customWidth="1"/>
    <col min="8227" max="8227" width="0.85546875" style="163" customWidth="1"/>
    <col min="8228" max="8228" width="14.42578125" style="163" customWidth="1"/>
    <col min="8229" max="8229" width="12.85546875" style="163" customWidth="1"/>
    <col min="8230" max="8230" width="6.140625" style="163" customWidth="1"/>
    <col min="8231" max="8232" width="11.42578125" style="163"/>
    <col min="8233" max="8233" width="15.42578125" style="163" customWidth="1"/>
    <col min="8234" max="8473" width="11.42578125" style="163"/>
    <col min="8474" max="8474" width="2.28515625" style="163" customWidth="1"/>
    <col min="8475" max="8475" width="2.7109375" style="163" customWidth="1"/>
    <col min="8476" max="8476" width="2.42578125" style="163" customWidth="1"/>
    <col min="8477" max="8477" width="17.7109375" style="163" customWidth="1"/>
    <col min="8478" max="8478" width="1.5703125" style="163" customWidth="1"/>
    <col min="8479" max="8479" width="6.42578125" style="163" customWidth="1"/>
    <col min="8480" max="8480" width="13.140625" style="163" customWidth="1"/>
    <col min="8481" max="8481" width="1" style="163" customWidth="1"/>
    <col min="8482" max="8482" width="19.5703125" style="163" customWidth="1"/>
    <col min="8483" max="8483" width="0.85546875" style="163" customWidth="1"/>
    <col min="8484" max="8484" width="14.42578125" style="163" customWidth="1"/>
    <col min="8485" max="8485" width="12.85546875" style="163" customWidth="1"/>
    <col min="8486" max="8486" width="6.140625" style="163" customWidth="1"/>
    <col min="8487" max="8488" width="11.42578125" style="163"/>
    <col min="8489" max="8489" width="15.42578125" style="163" customWidth="1"/>
    <col min="8490" max="8729" width="11.42578125" style="163"/>
    <col min="8730" max="8730" width="2.28515625" style="163" customWidth="1"/>
    <col min="8731" max="8731" width="2.7109375" style="163" customWidth="1"/>
    <col min="8732" max="8732" width="2.42578125" style="163" customWidth="1"/>
    <col min="8733" max="8733" width="17.7109375" style="163" customWidth="1"/>
    <col min="8734" max="8734" width="1.5703125" style="163" customWidth="1"/>
    <col min="8735" max="8735" width="6.42578125" style="163" customWidth="1"/>
    <col min="8736" max="8736" width="13.140625" style="163" customWidth="1"/>
    <col min="8737" max="8737" width="1" style="163" customWidth="1"/>
    <col min="8738" max="8738" width="19.5703125" style="163" customWidth="1"/>
    <col min="8739" max="8739" width="0.85546875" style="163" customWidth="1"/>
    <col min="8740" max="8740" width="14.42578125" style="163" customWidth="1"/>
    <col min="8741" max="8741" width="12.85546875" style="163" customWidth="1"/>
    <col min="8742" max="8742" width="6.140625" style="163" customWidth="1"/>
    <col min="8743" max="8744" width="11.42578125" style="163"/>
    <col min="8745" max="8745" width="15.42578125" style="163" customWidth="1"/>
    <col min="8746" max="8985" width="11.42578125" style="163"/>
    <col min="8986" max="8986" width="2.28515625" style="163" customWidth="1"/>
    <col min="8987" max="8987" width="2.7109375" style="163" customWidth="1"/>
    <col min="8988" max="8988" width="2.42578125" style="163" customWidth="1"/>
    <col min="8989" max="8989" width="17.7109375" style="163" customWidth="1"/>
    <col min="8990" max="8990" width="1.5703125" style="163" customWidth="1"/>
    <col min="8991" max="8991" width="6.42578125" style="163" customWidth="1"/>
    <col min="8992" max="8992" width="13.140625" style="163" customWidth="1"/>
    <col min="8993" max="8993" width="1" style="163" customWidth="1"/>
    <col min="8994" max="8994" width="19.5703125" style="163" customWidth="1"/>
    <col min="8995" max="8995" width="0.85546875" style="163" customWidth="1"/>
    <col min="8996" max="8996" width="14.42578125" style="163" customWidth="1"/>
    <col min="8997" max="8997" width="12.85546875" style="163" customWidth="1"/>
    <col min="8998" max="8998" width="6.140625" style="163" customWidth="1"/>
    <col min="8999" max="9000" width="11.42578125" style="163"/>
    <col min="9001" max="9001" width="15.42578125" style="163" customWidth="1"/>
    <col min="9002" max="9241" width="11.42578125" style="163"/>
    <col min="9242" max="9242" width="2.28515625" style="163" customWidth="1"/>
    <col min="9243" max="9243" width="2.7109375" style="163" customWidth="1"/>
    <col min="9244" max="9244" width="2.42578125" style="163" customWidth="1"/>
    <col min="9245" max="9245" width="17.7109375" style="163" customWidth="1"/>
    <col min="9246" max="9246" width="1.5703125" style="163" customWidth="1"/>
    <col min="9247" max="9247" width="6.42578125" style="163" customWidth="1"/>
    <col min="9248" max="9248" width="13.140625" style="163" customWidth="1"/>
    <col min="9249" max="9249" width="1" style="163" customWidth="1"/>
    <col min="9250" max="9250" width="19.5703125" style="163" customWidth="1"/>
    <col min="9251" max="9251" width="0.85546875" style="163" customWidth="1"/>
    <col min="9252" max="9252" width="14.42578125" style="163" customWidth="1"/>
    <col min="9253" max="9253" width="12.85546875" style="163" customWidth="1"/>
    <col min="9254" max="9254" width="6.140625" style="163" customWidth="1"/>
    <col min="9255" max="9256" width="11.42578125" style="163"/>
    <col min="9257" max="9257" width="15.42578125" style="163" customWidth="1"/>
    <col min="9258" max="9497" width="11.42578125" style="163"/>
    <col min="9498" max="9498" width="2.28515625" style="163" customWidth="1"/>
    <col min="9499" max="9499" width="2.7109375" style="163" customWidth="1"/>
    <col min="9500" max="9500" width="2.42578125" style="163" customWidth="1"/>
    <col min="9501" max="9501" width="17.7109375" style="163" customWidth="1"/>
    <col min="9502" max="9502" width="1.5703125" style="163" customWidth="1"/>
    <col min="9503" max="9503" width="6.42578125" style="163" customWidth="1"/>
    <col min="9504" max="9504" width="13.140625" style="163" customWidth="1"/>
    <col min="9505" max="9505" width="1" style="163" customWidth="1"/>
    <col min="9506" max="9506" width="19.5703125" style="163" customWidth="1"/>
    <col min="9507" max="9507" width="0.85546875" style="163" customWidth="1"/>
    <col min="9508" max="9508" width="14.42578125" style="163" customWidth="1"/>
    <col min="9509" max="9509" width="12.85546875" style="163" customWidth="1"/>
    <col min="9510" max="9510" width="6.140625" style="163" customWidth="1"/>
    <col min="9511" max="9512" width="11.42578125" style="163"/>
    <col min="9513" max="9513" width="15.42578125" style="163" customWidth="1"/>
    <col min="9514" max="9753" width="11.42578125" style="163"/>
    <col min="9754" max="9754" width="2.28515625" style="163" customWidth="1"/>
    <col min="9755" max="9755" width="2.7109375" style="163" customWidth="1"/>
    <col min="9756" max="9756" width="2.42578125" style="163" customWidth="1"/>
    <col min="9757" max="9757" width="17.7109375" style="163" customWidth="1"/>
    <col min="9758" max="9758" width="1.5703125" style="163" customWidth="1"/>
    <col min="9759" max="9759" width="6.42578125" style="163" customWidth="1"/>
    <col min="9760" max="9760" width="13.140625" style="163" customWidth="1"/>
    <col min="9761" max="9761" width="1" style="163" customWidth="1"/>
    <col min="9762" max="9762" width="19.5703125" style="163" customWidth="1"/>
    <col min="9763" max="9763" width="0.85546875" style="163" customWidth="1"/>
    <col min="9764" max="9764" width="14.42578125" style="163" customWidth="1"/>
    <col min="9765" max="9765" width="12.85546875" style="163" customWidth="1"/>
    <col min="9766" max="9766" width="6.140625" style="163" customWidth="1"/>
    <col min="9767" max="9768" width="11.42578125" style="163"/>
    <col min="9769" max="9769" width="15.42578125" style="163" customWidth="1"/>
    <col min="9770" max="10009" width="11.42578125" style="163"/>
    <col min="10010" max="10010" width="2.28515625" style="163" customWidth="1"/>
    <col min="10011" max="10011" width="2.7109375" style="163" customWidth="1"/>
    <col min="10012" max="10012" width="2.42578125" style="163" customWidth="1"/>
    <col min="10013" max="10013" width="17.7109375" style="163" customWidth="1"/>
    <col min="10014" max="10014" width="1.5703125" style="163" customWidth="1"/>
    <col min="10015" max="10015" width="6.42578125" style="163" customWidth="1"/>
    <col min="10016" max="10016" width="13.140625" style="163" customWidth="1"/>
    <col min="10017" max="10017" width="1" style="163" customWidth="1"/>
    <col min="10018" max="10018" width="19.5703125" style="163" customWidth="1"/>
    <col min="10019" max="10019" width="0.85546875" style="163" customWidth="1"/>
    <col min="10020" max="10020" width="14.42578125" style="163" customWidth="1"/>
    <col min="10021" max="10021" width="12.85546875" style="163" customWidth="1"/>
    <col min="10022" max="10022" width="6.140625" style="163" customWidth="1"/>
    <col min="10023" max="10024" width="11.42578125" style="163"/>
    <col min="10025" max="10025" width="15.42578125" style="163" customWidth="1"/>
    <col min="10026" max="10265" width="11.42578125" style="163"/>
    <col min="10266" max="10266" width="2.28515625" style="163" customWidth="1"/>
    <col min="10267" max="10267" width="2.7109375" style="163" customWidth="1"/>
    <col min="10268" max="10268" width="2.42578125" style="163" customWidth="1"/>
    <col min="10269" max="10269" width="17.7109375" style="163" customWidth="1"/>
    <col min="10270" max="10270" width="1.5703125" style="163" customWidth="1"/>
    <col min="10271" max="10271" width="6.42578125" style="163" customWidth="1"/>
    <col min="10272" max="10272" width="13.140625" style="163" customWidth="1"/>
    <col min="10273" max="10273" width="1" style="163" customWidth="1"/>
    <col min="10274" max="10274" width="19.5703125" style="163" customWidth="1"/>
    <col min="10275" max="10275" width="0.85546875" style="163" customWidth="1"/>
    <col min="10276" max="10276" width="14.42578125" style="163" customWidth="1"/>
    <col min="10277" max="10277" width="12.85546875" style="163" customWidth="1"/>
    <col min="10278" max="10278" width="6.140625" style="163" customWidth="1"/>
    <col min="10279" max="10280" width="11.42578125" style="163"/>
    <col min="10281" max="10281" width="15.42578125" style="163" customWidth="1"/>
    <col min="10282" max="10521" width="11.42578125" style="163"/>
    <col min="10522" max="10522" width="2.28515625" style="163" customWidth="1"/>
    <col min="10523" max="10523" width="2.7109375" style="163" customWidth="1"/>
    <col min="10524" max="10524" width="2.42578125" style="163" customWidth="1"/>
    <col min="10525" max="10525" width="17.7109375" style="163" customWidth="1"/>
    <col min="10526" max="10526" width="1.5703125" style="163" customWidth="1"/>
    <col min="10527" max="10527" width="6.42578125" style="163" customWidth="1"/>
    <col min="10528" max="10528" width="13.140625" style="163" customWidth="1"/>
    <col min="10529" max="10529" width="1" style="163" customWidth="1"/>
    <col min="10530" max="10530" width="19.5703125" style="163" customWidth="1"/>
    <col min="10531" max="10531" width="0.85546875" style="163" customWidth="1"/>
    <col min="10532" max="10532" width="14.42578125" style="163" customWidth="1"/>
    <col min="10533" max="10533" width="12.85546875" style="163" customWidth="1"/>
    <col min="10534" max="10534" width="6.140625" style="163" customWidth="1"/>
    <col min="10535" max="10536" width="11.42578125" style="163"/>
    <col min="10537" max="10537" width="15.42578125" style="163" customWidth="1"/>
    <col min="10538" max="10777" width="11.42578125" style="163"/>
    <col min="10778" max="10778" width="2.28515625" style="163" customWidth="1"/>
    <col min="10779" max="10779" width="2.7109375" style="163" customWidth="1"/>
    <col min="10780" max="10780" width="2.42578125" style="163" customWidth="1"/>
    <col min="10781" max="10781" width="17.7109375" style="163" customWidth="1"/>
    <col min="10782" max="10782" width="1.5703125" style="163" customWidth="1"/>
    <col min="10783" max="10783" width="6.42578125" style="163" customWidth="1"/>
    <col min="10784" max="10784" width="13.140625" style="163" customWidth="1"/>
    <col min="10785" max="10785" width="1" style="163" customWidth="1"/>
    <col min="10786" max="10786" width="19.5703125" style="163" customWidth="1"/>
    <col min="10787" max="10787" width="0.85546875" style="163" customWidth="1"/>
    <col min="10788" max="10788" width="14.42578125" style="163" customWidth="1"/>
    <col min="10789" max="10789" width="12.85546875" style="163" customWidth="1"/>
    <col min="10790" max="10790" width="6.140625" style="163" customWidth="1"/>
    <col min="10791" max="10792" width="11.42578125" style="163"/>
    <col min="10793" max="10793" width="15.42578125" style="163" customWidth="1"/>
    <col min="10794" max="11033" width="11.42578125" style="163"/>
    <col min="11034" max="11034" width="2.28515625" style="163" customWidth="1"/>
    <col min="11035" max="11035" width="2.7109375" style="163" customWidth="1"/>
    <col min="11036" max="11036" width="2.42578125" style="163" customWidth="1"/>
    <col min="11037" max="11037" width="17.7109375" style="163" customWidth="1"/>
    <col min="11038" max="11038" width="1.5703125" style="163" customWidth="1"/>
    <col min="11039" max="11039" width="6.42578125" style="163" customWidth="1"/>
    <col min="11040" max="11040" width="13.140625" style="163" customWidth="1"/>
    <col min="11041" max="11041" width="1" style="163" customWidth="1"/>
    <col min="11042" max="11042" width="19.5703125" style="163" customWidth="1"/>
    <col min="11043" max="11043" width="0.85546875" style="163" customWidth="1"/>
    <col min="11044" max="11044" width="14.42578125" style="163" customWidth="1"/>
    <col min="11045" max="11045" width="12.85546875" style="163" customWidth="1"/>
    <col min="11046" max="11046" width="6.140625" style="163" customWidth="1"/>
    <col min="11047" max="11048" width="11.42578125" style="163"/>
    <col min="11049" max="11049" width="15.42578125" style="163" customWidth="1"/>
    <col min="11050" max="11289" width="11.42578125" style="163"/>
    <col min="11290" max="11290" width="2.28515625" style="163" customWidth="1"/>
    <col min="11291" max="11291" width="2.7109375" style="163" customWidth="1"/>
    <col min="11292" max="11292" width="2.42578125" style="163" customWidth="1"/>
    <col min="11293" max="11293" width="17.7109375" style="163" customWidth="1"/>
    <col min="11294" max="11294" width="1.5703125" style="163" customWidth="1"/>
    <col min="11295" max="11295" width="6.42578125" style="163" customWidth="1"/>
    <col min="11296" max="11296" width="13.140625" style="163" customWidth="1"/>
    <col min="11297" max="11297" width="1" style="163" customWidth="1"/>
    <col min="11298" max="11298" width="19.5703125" style="163" customWidth="1"/>
    <col min="11299" max="11299" width="0.85546875" style="163" customWidth="1"/>
    <col min="11300" max="11300" width="14.42578125" style="163" customWidth="1"/>
    <col min="11301" max="11301" width="12.85546875" style="163" customWidth="1"/>
    <col min="11302" max="11302" width="6.140625" style="163" customWidth="1"/>
    <col min="11303" max="11304" width="11.42578125" style="163"/>
    <col min="11305" max="11305" width="15.42578125" style="163" customWidth="1"/>
    <col min="11306" max="11545" width="11.42578125" style="163"/>
    <col min="11546" max="11546" width="2.28515625" style="163" customWidth="1"/>
    <col min="11547" max="11547" width="2.7109375" style="163" customWidth="1"/>
    <col min="11548" max="11548" width="2.42578125" style="163" customWidth="1"/>
    <col min="11549" max="11549" width="17.7109375" style="163" customWidth="1"/>
    <col min="11550" max="11550" width="1.5703125" style="163" customWidth="1"/>
    <col min="11551" max="11551" width="6.42578125" style="163" customWidth="1"/>
    <col min="11552" max="11552" width="13.140625" style="163" customWidth="1"/>
    <col min="11553" max="11553" width="1" style="163" customWidth="1"/>
    <col min="11554" max="11554" width="19.5703125" style="163" customWidth="1"/>
    <col min="11555" max="11555" width="0.85546875" style="163" customWidth="1"/>
    <col min="11556" max="11556" width="14.42578125" style="163" customWidth="1"/>
    <col min="11557" max="11557" width="12.85546875" style="163" customWidth="1"/>
    <col min="11558" max="11558" width="6.140625" style="163" customWidth="1"/>
    <col min="11559" max="11560" width="11.42578125" style="163"/>
    <col min="11561" max="11561" width="15.42578125" style="163" customWidth="1"/>
    <col min="11562" max="11801" width="11.42578125" style="163"/>
    <col min="11802" max="11802" width="2.28515625" style="163" customWidth="1"/>
    <col min="11803" max="11803" width="2.7109375" style="163" customWidth="1"/>
    <col min="11804" max="11804" width="2.42578125" style="163" customWidth="1"/>
    <col min="11805" max="11805" width="17.7109375" style="163" customWidth="1"/>
    <col min="11806" max="11806" width="1.5703125" style="163" customWidth="1"/>
    <col min="11807" max="11807" width="6.42578125" style="163" customWidth="1"/>
    <col min="11808" max="11808" width="13.140625" style="163" customWidth="1"/>
    <col min="11809" max="11809" width="1" style="163" customWidth="1"/>
    <col min="11810" max="11810" width="19.5703125" style="163" customWidth="1"/>
    <col min="11811" max="11811" width="0.85546875" style="163" customWidth="1"/>
    <col min="11812" max="11812" width="14.42578125" style="163" customWidth="1"/>
    <col min="11813" max="11813" width="12.85546875" style="163" customWidth="1"/>
    <col min="11814" max="11814" width="6.140625" style="163" customWidth="1"/>
    <col min="11815" max="11816" width="11.42578125" style="163"/>
    <col min="11817" max="11817" width="15.42578125" style="163" customWidth="1"/>
    <col min="11818" max="12057" width="11.42578125" style="163"/>
    <col min="12058" max="12058" width="2.28515625" style="163" customWidth="1"/>
    <col min="12059" max="12059" width="2.7109375" style="163" customWidth="1"/>
    <col min="12060" max="12060" width="2.42578125" style="163" customWidth="1"/>
    <col min="12061" max="12061" width="17.7109375" style="163" customWidth="1"/>
    <col min="12062" max="12062" width="1.5703125" style="163" customWidth="1"/>
    <col min="12063" max="12063" width="6.42578125" style="163" customWidth="1"/>
    <col min="12064" max="12064" width="13.140625" style="163" customWidth="1"/>
    <col min="12065" max="12065" width="1" style="163" customWidth="1"/>
    <col min="12066" max="12066" width="19.5703125" style="163" customWidth="1"/>
    <col min="12067" max="12067" width="0.85546875" style="163" customWidth="1"/>
    <col min="12068" max="12068" width="14.42578125" style="163" customWidth="1"/>
    <col min="12069" max="12069" width="12.85546875" style="163" customWidth="1"/>
    <col min="12070" max="12070" width="6.140625" style="163" customWidth="1"/>
    <col min="12071" max="12072" width="11.42578125" style="163"/>
    <col min="12073" max="12073" width="15.42578125" style="163" customWidth="1"/>
    <col min="12074" max="12313" width="11.42578125" style="163"/>
    <col min="12314" max="12314" width="2.28515625" style="163" customWidth="1"/>
    <col min="12315" max="12315" width="2.7109375" style="163" customWidth="1"/>
    <col min="12316" max="12316" width="2.42578125" style="163" customWidth="1"/>
    <col min="12317" max="12317" width="17.7109375" style="163" customWidth="1"/>
    <col min="12318" max="12318" width="1.5703125" style="163" customWidth="1"/>
    <col min="12319" max="12319" width="6.42578125" style="163" customWidth="1"/>
    <col min="12320" max="12320" width="13.140625" style="163" customWidth="1"/>
    <col min="12321" max="12321" width="1" style="163" customWidth="1"/>
    <col min="12322" max="12322" width="19.5703125" style="163" customWidth="1"/>
    <col min="12323" max="12323" width="0.85546875" style="163" customWidth="1"/>
    <col min="12324" max="12324" width="14.42578125" style="163" customWidth="1"/>
    <col min="12325" max="12325" width="12.85546875" style="163" customWidth="1"/>
    <col min="12326" max="12326" width="6.140625" style="163" customWidth="1"/>
    <col min="12327" max="12328" width="11.42578125" style="163"/>
    <col min="12329" max="12329" width="15.42578125" style="163" customWidth="1"/>
    <col min="12330" max="12569" width="11.42578125" style="163"/>
    <col min="12570" max="12570" width="2.28515625" style="163" customWidth="1"/>
    <col min="12571" max="12571" width="2.7109375" style="163" customWidth="1"/>
    <col min="12572" max="12572" width="2.42578125" style="163" customWidth="1"/>
    <col min="12573" max="12573" width="17.7109375" style="163" customWidth="1"/>
    <col min="12574" max="12574" width="1.5703125" style="163" customWidth="1"/>
    <col min="12575" max="12575" width="6.42578125" style="163" customWidth="1"/>
    <col min="12576" max="12576" width="13.140625" style="163" customWidth="1"/>
    <col min="12577" max="12577" width="1" style="163" customWidth="1"/>
    <col min="12578" max="12578" width="19.5703125" style="163" customWidth="1"/>
    <col min="12579" max="12579" width="0.85546875" style="163" customWidth="1"/>
    <col min="12580" max="12580" width="14.42578125" style="163" customWidth="1"/>
    <col min="12581" max="12581" width="12.85546875" style="163" customWidth="1"/>
    <col min="12582" max="12582" width="6.140625" style="163" customWidth="1"/>
    <col min="12583" max="12584" width="11.42578125" style="163"/>
    <col min="12585" max="12585" width="15.42578125" style="163" customWidth="1"/>
    <col min="12586" max="12825" width="11.42578125" style="163"/>
    <col min="12826" max="12826" width="2.28515625" style="163" customWidth="1"/>
    <col min="12827" max="12827" width="2.7109375" style="163" customWidth="1"/>
    <col min="12828" max="12828" width="2.42578125" style="163" customWidth="1"/>
    <col min="12829" max="12829" width="17.7109375" style="163" customWidth="1"/>
    <col min="12830" max="12830" width="1.5703125" style="163" customWidth="1"/>
    <col min="12831" max="12831" width="6.42578125" style="163" customWidth="1"/>
    <col min="12832" max="12832" width="13.140625" style="163" customWidth="1"/>
    <col min="12833" max="12833" width="1" style="163" customWidth="1"/>
    <col min="12834" max="12834" width="19.5703125" style="163" customWidth="1"/>
    <col min="12835" max="12835" width="0.85546875" style="163" customWidth="1"/>
    <col min="12836" max="12836" width="14.42578125" style="163" customWidth="1"/>
    <col min="12837" max="12837" width="12.85546875" style="163" customWidth="1"/>
    <col min="12838" max="12838" width="6.140625" style="163" customWidth="1"/>
    <col min="12839" max="12840" width="11.42578125" style="163"/>
    <col min="12841" max="12841" width="15.42578125" style="163" customWidth="1"/>
    <col min="12842" max="13081" width="11.42578125" style="163"/>
    <col min="13082" max="13082" width="2.28515625" style="163" customWidth="1"/>
    <col min="13083" max="13083" width="2.7109375" style="163" customWidth="1"/>
    <col min="13084" max="13084" width="2.42578125" style="163" customWidth="1"/>
    <col min="13085" max="13085" width="17.7109375" style="163" customWidth="1"/>
    <col min="13086" max="13086" width="1.5703125" style="163" customWidth="1"/>
    <col min="13087" max="13087" width="6.42578125" style="163" customWidth="1"/>
    <col min="13088" max="13088" width="13.140625" style="163" customWidth="1"/>
    <col min="13089" max="13089" width="1" style="163" customWidth="1"/>
    <col min="13090" max="13090" width="19.5703125" style="163" customWidth="1"/>
    <col min="13091" max="13091" width="0.85546875" style="163" customWidth="1"/>
    <col min="13092" max="13092" width="14.42578125" style="163" customWidth="1"/>
    <col min="13093" max="13093" width="12.85546875" style="163" customWidth="1"/>
    <col min="13094" max="13094" width="6.140625" style="163" customWidth="1"/>
    <col min="13095" max="13096" width="11.42578125" style="163"/>
    <col min="13097" max="13097" width="15.42578125" style="163" customWidth="1"/>
    <col min="13098" max="13337" width="11.42578125" style="163"/>
    <col min="13338" max="13338" width="2.28515625" style="163" customWidth="1"/>
    <col min="13339" max="13339" width="2.7109375" style="163" customWidth="1"/>
    <col min="13340" max="13340" width="2.42578125" style="163" customWidth="1"/>
    <col min="13341" max="13341" width="17.7109375" style="163" customWidth="1"/>
    <col min="13342" max="13342" width="1.5703125" style="163" customWidth="1"/>
    <col min="13343" max="13343" width="6.42578125" style="163" customWidth="1"/>
    <col min="13344" max="13344" width="13.140625" style="163" customWidth="1"/>
    <col min="13345" max="13345" width="1" style="163" customWidth="1"/>
    <col min="13346" max="13346" width="19.5703125" style="163" customWidth="1"/>
    <col min="13347" max="13347" width="0.85546875" style="163" customWidth="1"/>
    <col min="13348" max="13348" width="14.42578125" style="163" customWidth="1"/>
    <col min="13349" max="13349" width="12.85546875" style="163" customWidth="1"/>
    <col min="13350" max="13350" width="6.140625" style="163" customWidth="1"/>
    <col min="13351" max="13352" width="11.42578125" style="163"/>
    <col min="13353" max="13353" width="15.42578125" style="163" customWidth="1"/>
    <col min="13354" max="13593" width="11.42578125" style="163"/>
    <col min="13594" max="13594" width="2.28515625" style="163" customWidth="1"/>
    <col min="13595" max="13595" width="2.7109375" style="163" customWidth="1"/>
    <col min="13596" max="13596" width="2.42578125" style="163" customWidth="1"/>
    <col min="13597" max="13597" width="17.7109375" style="163" customWidth="1"/>
    <col min="13598" max="13598" width="1.5703125" style="163" customWidth="1"/>
    <col min="13599" max="13599" width="6.42578125" style="163" customWidth="1"/>
    <col min="13600" max="13600" width="13.140625" style="163" customWidth="1"/>
    <col min="13601" max="13601" width="1" style="163" customWidth="1"/>
    <col min="13602" max="13602" width="19.5703125" style="163" customWidth="1"/>
    <col min="13603" max="13603" width="0.85546875" style="163" customWidth="1"/>
    <col min="13604" max="13604" width="14.42578125" style="163" customWidth="1"/>
    <col min="13605" max="13605" width="12.85546875" style="163" customWidth="1"/>
    <col min="13606" max="13606" width="6.140625" style="163" customWidth="1"/>
    <col min="13607" max="13608" width="11.42578125" style="163"/>
    <col min="13609" max="13609" width="15.42578125" style="163" customWidth="1"/>
    <col min="13610" max="13849" width="11.42578125" style="163"/>
    <col min="13850" max="13850" width="2.28515625" style="163" customWidth="1"/>
    <col min="13851" max="13851" width="2.7109375" style="163" customWidth="1"/>
    <col min="13852" max="13852" width="2.42578125" style="163" customWidth="1"/>
    <col min="13853" max="13853" width="17.7109375" style="163" customWidth="1"/>
    <col min="13854" max="13854" width="1.5703125" style="163" customWidth="1"/>
    <col min="13855" max="13855" width="6.42578125" style="163" customWidth="1"/>
    <col min="13856" max="13856" width="13.140625" style="163" customWidth="1"/>
    <col min="13857" max="13857" width="1" style="163" customWidth="1"/>
    <col min="13858" max="13858" width="19.5703125" style="163" customWidth="1"/>
    <col min="13859" max="13859" width="0.85546875" style="163" customWidth="1"/>
    <col min="13860" max="13860" width="14.42578125" style="163" customWidth="1"/>
    <col min="13861" max="13861" width="12.85546875" style="163" customWidth="1"/>
    <col min="13862" max="13862" width="6.140625" style="163" customWidth="1"/>
    <col min="13863" max="13864" width="11.42578125" style="163"/>
    <col min="13865" max="13865" width="15.42578125" style="163" customWidth="1"/>
    <col min="13866" max="14105" width="11.42578125" style="163"/>
    <col min="14106" max="14106" width="2.28515625" style="163" customWidth="1"/>
    <col min="14107" max="14107" width="2.7109375" style="163" customWidth="1"/>
    <col min="14108" max="14108" width="2.42578125" style="163" customWidth="1"/>
    <col min="14109" max="14109" width="17.7109375" style="163" customWidth="1"/>
    <col min="14110" max="14110" width="1.5703125" style="163" customWidth="1"/>
    <col min="14111" max="14111" width="6.42578125" style="163" customWidth="1"/>
    <col min="14112" max="14112" width="13.140625" style="163" customWidth="1"/>
    <col min="14113" max="14113" width="1" style="163" customWidth="1"/>
    <col min="14114" max="14114" width="19.5703125" style="163" customWidth="1"/>
    <col min="14115" max="14115" width="0.85546875" style="163" customWidth="1"/>
    <col min="14116" max="14116" width="14.42578125" style="163" customWidth="1"/>
    <col min="14117" max="14117" width="12.85546875" style="163" customWidth="1"/>
    <col min="14118" max="14118" width="6.140625" style="163" customWidth="1"/>
    <col min="14119" max="14120" width="11.42578125" style="163"/>
    <col min="14121" max="14121" width="15.42578125" style="163" customWidth="1"/>
    <col min="14122" max="14361" width="11.42578125" style="163"/>
    <col min="14362" max="14362" width="2.28515625" style="163" customWidth="1"/>
    <col min="14363" max="14363" width="2.7109375" style="163" customWidth="1"/>
    <col min="14364" max="14364" width="2.42578125" style="163" customWidth="1"/>
    <col min="14365" max="14365" width="17.7109375" style="163" customWidth="1"/>
    <col min="14366" max="14366" width="1.5703125" style="163" customWidth="1"/>
    <col min="14367" max="14367" width="6.42578125" style="163" customWidth="1"/>
    <col min="14368" max="14368" width="13.140625" style="163" customWidth="1"/>
    <col min="14369" max="14369" width="1" style="163" customWidth="1"/>
    <col min="14370" max="14370" width="19.5703125" style="163" customWidth="1"/>
    <col min="14371" max="14371" width="0.85546875" style="163" customWidth="1"/>
    <col min="14372" max="14372" width="14.42578125" style="163" customWidth="1"/>
    <col min="14373" max="14373" width="12.85546875" style="163" customWidth="1"/>
    <col min="14374" max="14374" width="6.140625" style="163" customWidth="1"/>
    <col min="14375" max="14376" width="11.42578125" style="163"/>
    <col min="14377" max="14377" width="15.42578125" style="163" customWidth="1"/>
    <col min="14378" max="14617" width="11.42578125" style="163"/>
    <col min="14618" max="14618" width="2.28515625" style="163" customWidth="1"/>
    <col min="14619" max="14619" width="2.7109375" style="163" customWidth="1"/>
    <col min="14620" max="14620" width="2.42578125" style="163" customWidth="1"/>
    <col min="14621" max="14621" width="17.7109375" style="163" customWidth="1"/>
    <col min="14622" max="14622" width="1.5703125" style="163" customWidth="1"/>
    <col min="14623" max="14623" width="6.42578125" style="163" customWidth="1"/>
    <col min="14624" max="14624" width="13.140625" style="163" customWidth="1"/>
    <col min="14625" max="14625" width="1" style="163" customWidth="1"/>
    <col min="14626" max="14626" width="19.5703125" style="163" customWidth="1"/>
    <col min="14627" max="14627" width="0.85546875" style="163" customWidth="1"/>
    <col min="14628" max="14628" width="14.42578125" style="163" customWidth="1"/>
    <col min="14629" max="14629" width="12.85546875" style="163" customWidth="1"/>
    <col min="14630" max="14630" width="6.140625" style="163" customWidth="1"/>
    <col min="14631" max="14632" width="11.42578125" style="163"/>
    <col min="14633" max="14633" width="15.42578125" style="163" customWidth="1"/>
    <col min="14634" max="14873" width="11.42578125" style="163"/>
    <col min="14874" max="14874" width="2.28515625" style="163" customWidth="1"/>
    <col min="14875" max="14875" width="2.7109375" style="163" customWidth="1"/>
    <col min="14876" max="14876" width="2.42578125" style="163" customWidth="1"/>
    <col min="14877" max="14877" width="17.7109375" style="163" customWidth="1"/>
    <col min="14878" max="14878" width="1.5703125" style="163" customWidth="1"/>
    <col min="14879" max="14879" width="6.42578125" style="163" customWidth="1"/>
    <col min="14880" max="14880" width="13.140625" style="163" customWidth="1"/>
    <col min="14881" max="14881" width="1" style="163" customWidth="1"/>
    <col min="14882" max="14882" width="19.5703125" style="163" customWidth="1"/>
    <col min="14883" max="14883" width="0.85546875" style="163" customWidth="1"/>
    <col min="14884" max="14884" width="14.42578125" style="163" customWidth="1"/>
    <col min="14885" max="14885" width="12.85546875" style="163" customWidth="1"/>
    <col min="14886" max="14886" width="6.140625" style="163" customWidth="1"/>
    <col min="14887" max="14888" width="11.42578125" style="163"/>
    <col min="14889" max="14889" width="15.42578125" style="163" customWidth="1"/>
    <col min="14890" max="15129" width="11.42578125" style="163"/>
    <col min="15130" max="15130" width="2.28515625" style="163" customWidth="1"/>
    <col min="15131" max="15131" width="2.7109375" style="163" customWidth="1"/>
    <col min="15132" max="15132" width="2.42578125" style="163" customWidth="1"/>
    <col min="15133" max="15133" width="17.7109375" style="163" customWidth="1"/>
    <col min="15134" max="15134" width="1.5703125" style="163" customWidth="1"/>
    <col min="15135" max="15135" width="6.42578125" style="163" customWidth="1"/>
    <col min="15136" max="15136" width="13.140625" style="163" customWidth="1"/>
    <col min="15137" max="15137" width="1" style="163" customWidth="1"/>
    <col min="15138" max="15138" width="19.5703125" style="163" customWidth="1"/>
    <col min="15139" max="15139" width="0.85546875" style="163" customWidth="1"/>
    <col min="15140" max="15140" width="14.42578125" style="163" customWidth="1"/>
    <col min="15141" max="15141" width="12.85546875" style="163" customWidth="1"/>
    <col min="15142" max="15142" width="6.140625" style="163" customWidth="1"/>
    <col min="15143" max="15144" width="11.42578125" style="163"/>
    <col min="15145" max="15145" width="15.42578125" style="163" customWidth="1"/>
    <col min="15146" max="15385" width="11.42578125" style="163"/>
    <col min="15386" max="15386" width="2.28515625" style="163" customWidth="1"/>
    <col min="15387" max="15387" width="2.7109375" style="163" customWidth="1"/>
    <col min="15388" max="15388" width="2.42578125" style="163" customWidth="1"/>
    <col min="15389" max="15389" width="17.7109375" style="163" customWidth="1"/>
    <col min="15390" max="15390" width="1.5703125" style="163" customWidth="1"/>
    <col min="15391" max="15391" width="6.42578125" style="163" customWidth="1"/>
    <col min="15392" max="15392" width="13.140625" style="163" customWidth="1"/>
    <col min="15393" max="15393" width="1" style="163" customWidth="1"/>
    <col min="15394" max="15394" width="19.5703125" style="163" customWidth="1"/>
    <col min="15395" max="15395" width="0.85546875" style="163" customWidth="1"/>
    <col min="15396" max="15396" width="14.42578125" style="163" customWidth="1"/>
    <col min="15397" max="15397" width="12.85546875" style="163" customWidth="1"/>
    <col min="15398" max="15398" width="6.140625" style="163" customWidth="1"/>
    <col min="15399" max="15400" width="11.42578125" style="163"/>
    <col min="15401" max="15401" width="15.42578125" style="163" customWidth="1"/>
    <col min="15402" max="15641" width="11.42578125" style="163"/>
    <col min="15642" max="15642" width="2.28515625" style="163" customWidth="1"/>
    <col min="15643" max="15643" width="2.7109375" style="163" customWidth="1"/>
    <col min="15644" max="15644" width="2.42578125" style="163" customWidth="1"/>
    <col min="15645" max="15645" width="17.7109375" style="163" customWidth="1"/>
    <col min="15646" max="15646" width="1.5703125" style="163" customWidth="1"/>
    <col min="15647" max="15647" width="6.42578125" style="163" customWidth="1"/>
    <col min="15648" max="15648" width="13.140625" style="163" customWidth="1"/>
    <col min="15649" max="15649" width="1" style="163" customWidth="1"/>
    <col min="15650" max="15650" width="19.5703125" style="163" customWidth="1"/>
    <col min="15651" max="15651" width="0.85546875" style="163" customWidth="1"/>
    <col min="15652" max="15652" width="14.42578125" style="163" customWidth="1"/>
    <col min="15653" max="15653" width="12.85546875" style="163" customWidth="1"/>
    <col min="15654" max="15654" width="6.140625" style="163" customWidth="1"/>
    <col min="15655" max="15656" width="11.42578125" style="163"/>
    <col min="15657" max="15657" width="15.42578125" style="163" customWidth="1"/>
    <col min="15658" max="15897" width="11.42578125" style="163"/>
    <col min="15898" max="15898" width="2.28515625" style="163" customWidth="1"/>
    <col min="15899" max="15899" width="2.7109375" style="163" customWidth="1"/>
    <col min="15900" max="15900" width="2.42578125" style="163" customWidth="1"/>
    <col min="15901" max="15901" width="17.7109375" style="163" customWidth="1"/>
    <col min="15902" max="15902" width="1.5703125" style="163" customWidth="1"/>
    <col min="15903" max="15903" width="6.42578125" style="163" customWidth="1"/>
    <col min="15904" max="15904" width="13.140625" style="163" customWidth="1"/>
    <col min="15905" max="15905" width="1" style="163" customWidth="1"/>
    <col min="15906" max="15906" width="19.5703125" style="163" customWidth="1"/>
    <col min="15907" max="15907" width="0.85546875" style="163" customWidth="1"/>
    <col min="15908" max="15908" width="14.42578125" style="163" customWidth="1"/>
    <col min="15909" max="15909" width="12.85546875" style="163" customWidth="1"/>
    <col min="15910" max="15910" width="6.140625" style="163" customWidth="1"/>
    <col min="15911" max="15912" width="11.42578125" style="163"/>
    <col min="15913" max="15913" width="15.42578125" style="163" customWidth="1"/>
    <col min="15914" max="16153" width="11.42578125" style="163"/>
    <col min="16154" max="16154" width="2.28515625" style="163" customWidth="1"/>
    <col min="16155" max="16155" width="2.7109375" style="163" customWidth="1"/>
    <col min="16156" max="16156" width="2.42578125" style="163" customWidth="1"/>
    <col min="16157" max="16157" width="17.7109375" style="163" customWidth="1"/>
    <col min="16158" max="16158" width="1.5703125" style="163" customWidth="1"/>
    <col min="16159" max="16159" width="6.42578125" style="163" customWidth="1"/>
    <col min="16160" max="16160" width="13.140625" style="163" customWidth="1"/>
    <col min="16161" max="16161" width="1" style="163" customWidth="1"/>
    <col min="16162" max="16162" width="19.5703125" style="163" customWidth="1"/>
    <col min="16163" max="16163" width="0.85546875" style="163" customWidth="1"/>
    <col min="16164" max="16164" width="14.42578125" style="163" customWidth="1"/>
    <col min="16165" max="16165" width="12.85546875" style="163" customWidth="1"/>
    <col min="16166" max="16166" width="6.140625" style="163" customWidth="1"/>
    <col min="16167" max="16168" width="11.42578125" style="163"/>
    <col min="16169" max="16169" width="15.42578125" style="163" customWidth="1"/>
    <col min="16170" max="16384" width="11.42578125" style="163"/>
  </cols>
  <sheetData>
    <row r="1" spans="1:40" ht="9" hidden="1" customHeight="1" x14ac:dyDescent="0.2"/>
    <row r="2" spans="1:40" ht="51" customHeight="1" x14ac:dyDescent="0.2">
      <c r="A2" s="2969" t="s">
        <v>280</v>
      </c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0"/>
      <c r="W2" s="2970"/>
      <c r="X2" s="2970"/>
      <c r="Y2" s="2970"/>
      <c r="Z2" s="2970"/>
      <c r="AA2" s="2970"/>
      <c r="AB2" s="2970"/>
      <c r="AC2" s="2970"/>
      <c r="AD2" s="2970"/>
      <c r="AE2" s="2970"/>
      <c r="AF2" s="2970"/>
      <c r="AG2" s="2970"/>
      <c r="AH2" s="2970"/>
      <c r="AI2" s="2970"/>
      <c r="AJ2" s="2970"/>
      <c r="AK2" s="2970"/>
      <c r="AL2" s="2971"/>
    </row>
    <row r="3" spans="1:40" ht="24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3"/>
      <c r="W3" s="2973"/>
      <c r="X3" s="2973"/>
      <c r="Y3" s="2973"/>
      <c r="Z3" s="2973"/>
      <c r="AA3" s="2973"/>
      <c r="AB3" s="2973"/>
      <c r="AC3" s="2973"/>
      <c r="AD3" s="2973"/>
      <c r="AE3" s="2973"/>
      <c r="AF3" s="2973"/>
      <c r="AG3" s="2973"/>
      <c r="AH3" s="2973"/>
      <c r="AI3" s="2973"/>
      <c r="AJ3" s="2973"/>
      <c r="AK3" s="2973"/>
      <c r="AL3" s="2974"/>
    </row>
    <row r="4" spans="1:40" ht="16.5" thickTop="1" x14ac:dyDescent="0.25">
      <c r="A4" s="2953" t="s">
        <v>959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5"/>
      <c r="W4" s="2975"/>
      <c r="X4" s="2975"/>
      <c r="Y4" s="2975"/>
      <c r="Z4" s="2975"/>
      <c r="AA4" s="2975"/>
      <c r="AB4" s="2975"/>
      <c r="AC4" s="2975"/>
      <c r="AD4" s="2975"/>
      <c r="AE4" s="2975"/>
      <c r="AF4" s="2975"/>
      <c r="AG4" s="2975"/>
      <c r="AH4" s="2975"/>
      <c r="AI4" s="2975"/>
      <c r="AJ4" s="2975"/>
      <c r="AK4" s="2975"/>
      <c r="AL4" s="2976"/>
    </row>
    <row r="5" spans="1:40" ht="15.75" x14ac:dyDescent="0.2">
      <c r="A5" s="2977" t="str">
        <f>"N° "&amp;'F-LSCD-013'!C26&amp;" ALEPH/GR/LSCD"</f>
        <v>N° 011-2021 ALEPH/GR/LSCD</v>
      </c>
      <c r="B5" s="2978"/>
      <c r="C5" s="2978"/>
      <c r="D5" s="2978"/>
      <c r="E5" s="2978"/>
      <c r="F5" s="2978"/>
      <c r="G5" s="2978"/>
      <c r="H5" s="2978"/>
      <c r="I5" s="2978"/>
      <c r="J5" s="2978"/>
      <c r="K5" s="2978"/>
      <c r="L5" s="2978"/>
      <c r="M5" s="2978"/>
      <c r="N5" s="2978"/>
      <c r="O5" s="2978"/>
      <c r="P5" s="2978"/>
      <c r="Q5" s="2978"/>
      <c r="R5" s="2978"/>
      <c r="S5" s="2978"/>
      <c r="T5" s="2978"/>
      <c r="U5" s="2978"/>
      <c r="V5" s="2978"/>
      <c r="W5" s="2978"/>
      <c r="X5" s="2978"/>
      <c r="Y5" s="2978"/>
      <c r="Z5" s="2978"/>
      <c r="AA5" s="2978"/>
      <c r="AB5" s="2978"/>
      <c r="AC5" s="2978"/>
      <c r="AD5" s="2978"/>
      <c r="AE5" s="2978"/>
      <c r="AF5" s="2978"/>
      <c r="AG5" s="2978"/>
      <c r="AH5" s="2978"/>
      <c r="AI5" s="2978"/>
      <c r="AJ5" s="2978"/>
      <c r="AK5" s="2978"/>
      <c r="AL5" s="2979"/>
      <c r="AN5" s="164"/>
    </row>
    <row r="6" spans="1:40" ht="15.75" x14ac:dyDescent="0.2">
      <c r="A6" s="2881" t="s">
        <v>253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0"/>
      <c r="W6" s="2980"/>
      <c r="X6" s="2980"/>
      <c r="Y6" s="2980"/>
      <c r="Z6" s="2980"/>
      <c r="AA6" s="2980"/>
      <c r="AB6" s="2980"/>
      <c r="AC6" s="2980"/>
      <c r="AD6" s="2980"/>
      <c r="AE6" s="2980"/>
      <c r="AF6" s="2980"/>
      <c r="AG6" s="2980"/>
      <c r="AH6" s="2980"/>
      <c r="AI6" s="2980"/>
      <c r="AJ6" s="2980"/>
      <c r="AK6" s="2980"/>
      <c r="AL6" s="2981"/>
    </row>
    <row r="7" spans="1:40" ht="15.75" x14ac:dyDescent="0.2">
      <c r="A7" s="2881" t="s">
        <v>275</v>
      </c>
      <c r="B7" s="2980"/>
      <c r="C7" s="2980"/>
      <c r="D7" s="2980"/>
      <c r="E7" s="2980"/>
      <c r="F7" s="2980"/>
      <c r="G7" s="2980"/>
      <c r="H7" s="2980"/>
      <c r="I7" s="2980"/>
      <c r="J7" s="2980"/>
      <c r="K7" s="2980"/>
      <c r="L7" s="2980"/>
      <c r="M7" s="2980"/>
      <c r="N7" s="2980"/>
      <c r="O7" s="2980"/>
      <c r="P7" s="2980"/>
      <c r="Q7" s="2980"/>
      <c r="R7" s="2980"/>
      <c r="S7" s="2980"/>
      <c r="T7" s="2980"/>
      <c r="U7" s="2980"/>
      <c r="V7" s="2980"/>
      <c r="W7" s="2980"/>
      <c r="X7" s="2980"/>
      <c r="Y7" s="2980"/>
      <c r="Z7" s="2980"/>
      <c r="AA7" s="2980"/>
      <c r="AB7" s="2980"/>
      <c r="AC7" s="2980"/>
      <c r="AD7" s="2980"/>
      <c r="AE7" s="2980"/>
      <c r="AF7" s="2980"/>
      <c r="AG7" s="2980"/>
      <c r="AH7" s="2980"/>
      <c r="AI7" s="2980"/>
      <c r="AJ7" s="2980"/>
      <c r="AK7" s="2980"/>
      <c r="AL7" s="1446"/>
    </row>
    <row r="8" spans="1:40" ht="3.75" customHeight="1" x14ac:dyDescent="0.2">
      <c r="A8" s="2982"/>
      <c r="B8" s="2983"/>
      <c r="C8" s="2983"/>
      <c r="D8" s="2983"/>
      <c r="E8" s="2983"/>
      <c r="F8" s="2983"/>
      <c r="G8" s="2983"/>
      <c r="H8" s="2983"/>
      <c r="I8" s="2983"/>
      <c r="J8" s="2983"/>
      <c r="K8" s="2983"/>
      <c r="L8" s="2983"/>
      <c r="M8" s="2983"/>
      <c r="N8" s="2983"/>
      <c r="O8" s="2983"/>
      <c r="P8" s="2983"/>
      <c r="Q8" s="2983"/>
      <c r="R8" s="2983"/>
      <c r="S8" s="2983"/>
      <c r="T8" s="2983"/>
      <c r="U8" s="2983"/>
      <c r="V8" s="2983"/>
      <c r="W8" s="2983"/>
      <c r="X8" s="2983"/>
      <c r="Y8" s="2983"/>
      <c r="Z8" s="2983"/>
      <c r="AA8" s="2983"/>
      <c r="AB8" s="2983"/>
      <c r="AC8" s="2983"/>
      <c r="AD8" s="2983"/>
      <c r="AE8" s="2983"/>
      <c r="AF8" s="2983"/>
      <c r="AG8" s="2983"/>
      <c r="AH8" s="2983"/>
      <c r="AI8" s="2983"/>
      <c r="AJ8" s="2983"/>
      <c r="AK8" s="2983"/>
      <c r="AL8" s="2984"/>
    </row>
    <row r="9" spans="1:40" ht="15" customHeight="1" x14ac:dyDescent="0.2">
      <c r="A9" s="165"/>
      <c r="B9" s="166" t="s">
        <v>217</v>
      </c>
      <c r="C9" s="166"/>
      <c r="D9" s="166"/>
      <c r="E9" s="166"/>
      <c r="F9" s="166"/>
      <c r="G9" s="166"/>
      <c r="H9" s="166"/>
      <c r="I9" s="166"/>
      <c r="J9" s="166"/>
      <c r="K9" s="166"/>
      <c r="L9" s="166" t="s">
        <v>218</v>
      </c>
      <c r="M9" s="163" t="s">
        <v>254</v>
      </c>
      <c r="AL9" s="167"/>
    </row>
    <row r="10" spans="1:40" ht="12.75" customHeight="1" x14ac:dyDescent="0.2">
      <c r="A10" s="165"/>
      <c r="L10" s="166"/>
      <c r="M10" s="163" t="s">
        <v>219</v>
      </c>
      <c r="AD10" s="1308"/>
      <c r="AE10" s="1308"/>
      <c r="AF10" s="1308"/>
      <c r="AG10" s="1308"/>
      <c r="AH10" s="1308"/>
      <c r="AI10" s="1308"/>
      <c r="AJ10" s="1308"/>
      <c r="AK10" s="1308"/>
      <c r="AL10" s="167"/>
    </row>
    <row r="11" spans="1:40" ht="3.75" customHeight="1" x14ac:dyDescent="0.2">
      <c r="A11" s="165"/>
      <c r="AD11" s="1308"/>
      <c r="AE11" s="1308"/>
      <c r="AF11" s="1308"/>
      <c r="AG11" s="1308"/>
      <c r="AH11" s="1308"/>
      <c r="AI11" s="1308"/>
      <c r="AJ11" s="1308"/>
      <c r="AK11" s="1308"/>
      <c r="AL11" s="167"/>
    </row>
    <row r="12" spans="1:40" ht="13.5" customHeight="1" x14ac:dyDescent="0.2">
      <c r="A12" s="165"/>
      <c r="B12" s="166" t="s">
        <v>220</v>
      </c>
      <c r="C12" s="166"/>
      <c r="D12" s="166"/>
      <c r="E12" s="166"/>
      <c r="F12" s="166"/>
      <c r="G12" s="166"/>
      <c r="H12" s="166"/>
      <c r="I12" s="166"/>
      <c r="J12" s="166"/>
      <c r="K12" s="166"/>
      <c r="L12" s="166" t="s">
        <v>218</v>
      </c>
      <c r="M12" s="163" t="str">
        <f>'F-LSCD-013'!C7</f>
        <v>ALEPH SAC</v>
      </c>
      <c r="AD12" s="2904" t="s">
        <v>960</v>
      </c>
      <c r="AE12" s="2905"/>
      <c r="AF12" s="2905"/>
      <c r="AG12" s="2905"/>
      <c r="AH12" s="2905"/>
      <c r="AI12" s="2905"/>
      <c r="AJ12" s="2905"/>
      <c r="AK12" s="2905"/>
      <c r="AL12" s="167"/>
    </row>
    <row r="13" spans="1:40" ht="15" customHeight="1" x14ac:dyDescent="0.2">
      <c r="A13" s="165"/>
      <c r="M13" s="163" t="str">
        <f>'F-LSCD-013'!C8</f>
        <v>Av. Rafael Escardo 154</v>
      </c>
      <c r="AD13" s="2904"/>
      <c r="AE13" s="2905"/>
      <c r="AF13" s="2905"/>
      <c r="AG13" s="2905"/>
      <c r="AH13" s="2905"/>
      <c r="AI13" s="2905"/>
      <c r="AJ13" s="2905"/>
      <c r="AK13" s="2905"/>
      <c r="AL13" s="167"/>
    </row>
    <row r="14" spans="1:40" ht="15" customHeight="1" x14ac:dyDescent="0.2">
      <c r="A14" s="165"/>
      <c r="M14" s="163" t="str">
        <f>'F-LSCD-013'!I8&amp;", "&amp;'F-LSCD-013'!M8&amp;", "&amp;'F-LSCD-013'!R8</f>
        <v>San Miguel, Lima, Lima</v>
      </c>
      <c r="AD14" s="2904"/>
      <c r="AE14" s="2905"/>
      <c r="AF14" s="2905"/>
      <c r="AG14" s="2905"/>
      <c r="AH14" s="2905"/>
      <c r="AI14" s="2905"/>
      <c r="AJ14" s="2905"/>
      <c r="AK14" s="2905"/>
      <c r="AL14" s="167"/>
    </row>
    <row r="15" spans="1:40" ht="3" customHeight="1" x14ac:dyDescent="0.2">
      <c r="A15" s="165"/>
      <c r="AD15" s="2904"/>
      <c r="AE15" s="2905"/>
      <c r="AF15" s="2905"/>
      <c r="AG15" s="2905"/>
      <c r="AH15" s="2905"/>
      <c r="AI15" s="2905"/>
      <c r="AJ15" s="2905"/>
      <c r="AK15" s="2905"/>
      <c r="AL15" s="167"/>
    </row>
    <row r="16" spans="1:40" x14ac:dyDescent="0.2">
      <c r="A16" s="165"/>
      <c r="B16" s="170" t="s">
        <v>222</v>
      </c>
      <c r="C16" s="170"/>
      <c r="D16" s="170"/>
      <c r="E16" s="170"/>
      <c r="F16" s="170"/>
      <c r="G16" s="170"/>
      <c r="H16" s="170"/>
      <c r="I16" s="170"/>
      <c r="J16" s="170"/>
      <c r="K16" s="170"/>
      <c r="L16" s="170" t="s">
        <v>218</v>
      </c>
      <c r="M16" s="3360" t="str">
        <f>'F-LSCD-013'!C6</f>
        <v>OT 111-12925</v>
      </c>
      <c r="N16" s="3360"/>
      <c r="O16" s="3360"/>
      <c r="P16" s="3360"/>
      <c r="Q16" s="3360"/>
      <c r="R16" s="3360"/>
      <c r="S16" s="3360"/>
      <c r="T16" s="3360"/>
      <c r="U16" s="3360"/>
      <c r="V16" s="3360"/>
      <c r="W16" s="3360"/>
      <c r="X16" s="3360"/>
      <c r="Y16" s="3360"/>
      <c r="Z16" s="3360"/>
      <c r="AA16" s="3360"/>
      <c r="AB16" s="3360"/>
      <c r="AC16" s="172"/>
      <c r="AD16" s="2904"/>
      <c r="AE16" s="2905"/>
      <c r="AF16" s="2905"/>
      <c r="AG16" s="2905"/>
      <c r="AH16" s="2905"/>
      <c r="AI16" s="2905"/>
      <c r="AJ16" s="2905"/>
      <c r="AK16" s="2905"/>
      <c r="AL16" s="167"/>
    </row>
    <row r="17" spans="1:38" ht="3" customHeight="1" x14ac:dyDescent="0.2">
      <c r="A17" s="165"/>
      <c r="AD17" s="2904"/>
      <c r="AE17" s="2905"/>
      <c r="AF17" s="2905"/>
      <c r="AG17" s="2905"/>
      <c r="AH17" s="2905"/>
      <c r="AI17" s="2905"/>
      <c r="AJ17" s="2905"/>
      <c r="AK17" s="2905"/>
      <c r="AL17" s="167"/>
    </row>
    <row r="18" spans="1:38" x14ac:dyDescent="0.2">
      <c r="A18" s="165"/>
      <c r="B18" s="166" t="s">
        <v>255</v>
      </c>
      <c r="C18" s="166"/>
      <c r="D18" s="166"/>
      <c r="E18" s="166"/>
      <c r="F18" s="166"/>
      <c r="G18" s="166"/>
      <c r="H18" s="166"/>
      <c r="I18" s="166"/>
      <c r="J18" s="166"/>
      <c r="K18" s="166"/>
      <c r="L18" s="166" t="s">
        <v>218</v>
      </c>
      <c r="M18" s="3361" t="str">
        <f>'F-LSCD-013'!C9</f>
        <v>Monitor de radiación (digital)</v>
      </c>
      <c r="N18" s="3361"/>
      <c r="O18" s="3361"/>
      <c r="P18" s="3361"/>
      <c r="Q18" s="3361"/>
      <c r="R18" s="3361"/>
      <c r="S18" s="3361"/>
      <c r="T18" s="3361"/>
      <c r="U18" s="3361"/>
      <c r="V18" s="3361"/>
      <c r="W18" s="3361"/>
      <c r="X18" s="1309"/>
      <c r="Y18" s="1309"/>
      <c r="Z18" s="1309"/>
      <c r="AA18" s="1309"/>
      <c r="AB18" s="1309"/>
      <c r="AC18" s="173"/>
      <c r="AD18" s="2904"/>
      <c r="AE18" s="2905"/>
      <c r="AF18" s="2905"/>
      <c r="AG18" s="2905"/>
      <c r="AH18" s="2905"/>
      <c r="AI18" s="2905"/>
      <c r="AJ18" s="2905"/>
      <c r="AK18" s="2905"/>
      <c r="AL18" s="167"/>
    </row>
    <row r="19" spans="1:38" x14ac:dyDescent="0.2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2993" t="str">
        <f>IF('F-LSCD-013'!C13="-","Marca monitor: "&amp;'F-LSCD-013'!C10,"Marca monitor: "&amp;'F-LSCD-013'!C10&amp;" / Marca sonda: "&amp;'F-LSCD-013'!C13)</f>
        <v>Marca monitor: MGP</v>
      </c>
      <c r="N19" s="2993"/>
      <c r="O19" s="2993"/>
      <c r="P19" s="2993"/>
      <c r="Q19" s="2993"/>
      <c r="R19" s="2993"/>
      <c r="S19" s="2993"/>
      <c r="T19" s="2993"/>
      <c r="U19" s="2993"/>
      <c r="V19" s="2993"/>
      <c r="W19" s="2993"/>
      <c r="X19" s="2993"/>
      <c r="Y19" s="2993"/>
      <c r="Z19" s="2993"/>
      <c r="AA19" s="2993"/>
      <c r="AB19" s="2993"/>
      <c r="AC19" s="173"/>
      <c r="AD19" s="228"/>
      <c r="AE19" s="229"/>
      <c r="AF19" s="229"/>
      <c r="AG19" s="229"/>
      <c r="AH19" s="229"/>
      <c r="AI19" s="229"/>
      <c r="AJ19" s="229"/>
      <c r="AK19" s="229"/>
      <c r="AL19" s="167"/>
    </row>
    <row r="20" spans="1:38" ht="15" customHeight="1" x14ac:dyDescent="0.2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3361" t="str">
        <f>IF('F-LSCD-013'!C13="-","Modelo monitor: "&amp;'F-LSCD-013'!C11,"Modelo monitor: "&amp;'F-LSCD-013'!C11&amp;" / Modelo sonda: "&amp;'F-LSCD-013'!C14)</f>
        <v>Modelo monitor: DMC 2000S</v>
      </c>
      <c r="N20" s="3361"/>
      <c r="O20" s="3361"/>
      <c r="P20" s="3361"/>
      <c r="Q20" s="3361"/>
      <c r="R20" s="3361"/>
      <c r="S20" s="3361"/>
      <c r="T20" s="3361"/>
      <c r="U20" s="3361"/>
      <c r="V20" s="3361"/>
      <c r="W20" s="3361"/>
      <c r="X20" s="3361"/>
      <c r="Y20" s="3361"/>
      <c r="Z20" s="3361"/>
      <c r="AA20" s="3361"/>
      <c r="AB20" s="3361"/>
      <c r="AC20" s="173"/>
      <c r="AD20" s="2904" t="s">
        <v>961</v>
      </c>
      <c r="AE20" s="2905"/>
      <c r="AF20" s="2905"/>
      <c r="AG20" s="2905"/>
      <c r="AH20" s="2905"/>
      <c r="AI20" s="2905"/>
      <c r="AJ20" s="2905"/>
      <c r="AK20" s="2905"/>
      <c r="AL20" s="167"/>
    </row>
    <row r="21" spans="1:38" ht="12.75" customHeight="1" x14ac:dyDescent="0.2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3361" t="str">
        <f>IF('F-LSCD-013'!C13="-","Serie monitor: "&amp;'F-LSCD-013'!C12,"Serie monitor: "&amp;'F-LSCD-013'!C12&amp;" / Serie sonda: "&amp;'F-LSCD-013'!C15)</f>
        <v>Serie monitor: 690384T</v>
      </c>
      <c r="N21" s="3361"/>
      <c r="O21" s="3361"/>
      <c r="P21" s="3361"/>
      <c r="Q21" s="3361"/>
      <c r="R21" s="3361"/>
      <c r="S21" s="3361"/>
      <c r="T21" s="3361"/>
      <c r="U21" s="3361"/>
      <c r="V21" s="3361"/>
      <c r="W21" s="3361"/>
      <c r="X21" s="3361"/>
      <c r="Y21" s="3361"/>
      <c r="Z21" s="3361"/>
      <c r="AA21" s="3361"/>
      <c r="AB21" s="3361"/>
      <c r="AC21" s="173"/>
      <c r="AD21" s="2904"/>
      <c r="AE21" s="2905"/>
      <c r="AF21" s="2905"/>
      <c r="AG21" s="2905"/>
      <c r="AH21" s="2905"/>
      <c r="AI21" s="2905"/>
      <c r="AJ21" s="2905"/>
      <c r="AK21" s="2905"/>
      <c r="AL21" s="167"/>
    </row>
    <row r="22" spans="1:38" ht="3" customHeight="1" x14ac:dyDescent="0.2">
      <c r="A22" s="165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3361"/>
      <c r="N22" s="3361"/>
      <c r="O22" s="3361"/>
      <c r="P22" s="3361"/>
      <c r="Q22" s="3361"/>
      <c r="R22" s="3361"/>
      <c r="S22" s="3361"/>
      <c r="T22" s="3361"/>
      <c r="U22" s="3361"/>
      <c r="V22" s="3361"/>
      <c r="W22" s="3361"/>
      <c r="X22" s="1309"/>
      <c r="Y22" s="1309"/>
      <c r="Z22" s="1309"/>
      <c r="AA22" s="1309"/>
      <c r="AB22" s="1309"/>
      <c r="AC22" s="173"/>
      <c r="AD22" s="2904"/>
      <c r="AE22" s="2905"/>
      <c r="AF22" s="2905"/>
      <c r="AG22" s="2905"/>
      <c r="AH22" s="2905"/>
      <c r="AI22" s="2905"/>
      <c r="AJ22" s="2905"/>
      <c r="AK22" s="2905"/>
      <c r="AL22" s="167"/>
    </row>
    <row r="23" spans="1:38" ht="12.75" customHeight="1" x14ac:dyDescent="0.2">
      <c r="A23" s="165"/>
      <c r="B23" s="175" t="s">
        <v>224</v>
      </c>
      <c r="C23" s="175"/>
      <c r="D23" s="175"/>
      <c r="E23" s="175"/>
      <c r="F23" s="175"/>
      <c r="G23" s="175"/>
      <c r="H23" s="175"/>
      <c r="I23" s="175"/>
      <c r="J23" s="175"/>
      <c r="K23" s="175"/>
      <c r="L23" s="175" t="s">
        <v>218</v>
      </c>
      <c r="M23" s="2991" t="str">
        <f>'F-LSCD-013'!C19</f>
        <v>Comparación, según ISO 7503-3 (2016), aplicado al PROC-LSCD-010 Calibración de monitores de contaminación de superficie (versión 07)</v>
      </c>
      <c r="N23" s="2991"/>
      <c r="O23" s="2991"/>
      <c r="P23" s="2991"/>
      <c r="Q23" s="2991"/>
      <c r="R23" s="2991"/>
      <c r="S23" s="2991"/>
      <c r="T23" s="2991"/>
      <c r="U23" s="2991"/>
      <c r="V23" s="2991"/>
      <c r="W23" s="2991"/>
      <c r="X23" s="2991"/>
      <c r="Y23" s="2991"/>
      <c r="Z23" s="2991"/>
      <c r="AA23" s="2991"/>
      <c r="AB23" s="2991"/>
      <c r="AC23" s="237"/>
      <c r="AD23" s="2904"/>
      <c r="AE23" s="2905"/>
      <c r="AF23" s="2905"/>
      <c r="AG23" s="2905"/>
      <c r="AH23" s="2905"/>
      <c r="AI23" s="2905"/>
      <c r="AJ23" s="2905"/>
      <c r="AK23" s="2905"/>
      <c r="AL23" s="167"/>
    </row>
    <row r="24" spans="1:38" x14ac:dyDescent="0.2">
      <c r="A24" s="165"/>
      <c r="M24" s="2991"/>
      <c r="N24" s="2991"/>
      <c r="O24" s="2991"/>
      <c r="P24" s="2991"/>
      <c r="Q24" s="2991"/>
      <c r="R24" s="2991"/>
      <c r="S24" s="2991"/>
      <c r="T24" s="2991"/>
      <c r="U24" s="2991"/>
      <c r="V24" s="2991"/>
      <c r="W24" s="2991"/>
      <c r="X24" s="2991"/>
      <c r="Y24" s="2991"/>
      <c r="Z24" s="2991"/>
      <c r="AA24" s="2991"/>
      <c r="AB24" s="2991"/>
      <c r="AC24" s="237"/>
      <c r="AD24" s="2904"/>
      <c r="AE24" s="2905"/>
      <c r="AF24" s="2905"/>
      <c r="AG24" s="2905"/>
      <c r="AH24" s="2905"/>
      <c r="AI24" s="2905"/>
      <c r="AJ24" s="2905"/>
      <c r="AK24" s="2905"/>
      <c r="AL24" s="167"/>
    </row>
    <row r="25" spans="1:38" ht="3" customHeight="1" x14ac:dyDescent="0.2">
      <c r="A25" s="165"/>
      <c r="M25" s="177"/>
      <c r="N25" s="177"/>
      <c r="O25" s="177"/>
      <c r="P25" s="177"/>
      <c r="Q25" s="177"/>
      <c r="R25" s="177"/>
      <c r="S25" s="177"/>
      <c r="T25" s="177"/>
      <c r="U25" s="177"/>
      <c r="V25" s="177"/>
      <c r="W25" s="177"/>
      <c r="X25" s="177"/>
      <c r="Y25" s="177"/>
      <c r="Z25" s="177"/>
      <c r="AA25" s="177"/>
      <c r="AB25" s="177"/>
      <c r="AC25" s="177"/>
      <c r="AD25" s="2904"/>
      <c r="AE25" s="2905"/>
      <c r="AF25" s="2905"/>
      <c r="AG25" s="2905"/>
      <c r="AH25" s="2905"/>
      <c r="AI25" s="2905"/>
      <c r="AJ25" s="2905"/>
      <c r="AK25" s="2905"/>
      <c r="AL25" s="167"/>
    </row>
    <row r="26" spans="1:38" x14ac:dyDescent="0.2">
      <c r="A26" s="165"/>
      <c r="B26" s="166" t="s">
        <v>226</v>
      </c>
      <c r="C26" s="166" t="s">
        <v>859</v>
      </c>
      <c r="D26" s="166"/>
      <c r="E26" s="166"/>
      <c r="F26" s="166"/>
      <c r="G26" s="166"/>
      <c r="H26" s="166"/>
      <c r="I26" s="166"/>
      <c r="J26" s="166"/>
      <c r="K26" s="166"/>
      <c r="L26" s="166" t="s">
        <v>218</v>
      </c>
      <c r="AD26" s="2904"/>
      <c r="AE26" s="2905"/>
      <c r="AF26" s="2905"/>
      <c r="AG26" s="2905"/>
      <c r="AH26" s="2905"/>
      <c r="AI26" s="2905"/>
      <c r="AJ26" s="2905"/>
      <c r="AK26" s="2905"/>
      <c r="AL26" s="167"/>
    </row>
    <row r="27" spans="1:38" ht="1.5" customHeight="1" x14ac:dyDescent="0.2">
      <c r="A27" s="165"/>
      <c r="M27" s="3462"/>
      <c r="N27" s="3462"/>
      <c r="O27" s="3462"/>
      <c r="P27" s="3462"/>
      <c r="Q27" s="3462"/>
      <c r="R27" s="3462"/>
      <c r="S27" s="3462"/>
      <c r="T27" s="3462"/>
      <c r="U27" s="3462"/>
      <c r="V27" s="3462"/>
      <c r="W27" s="3462"/>
      <c r="X27" s="1447"/>
      <c r="Y27" s="1447"/>
      <c r="Z27" s="1447"/>
      <c r="AA27" s="1447"/>
      <c r="AB27" s="1447"/>
      <c r="AD27" s="2904"/>
      <c r="AE27" s="2905"/>
      <c r="AF27" s="2905"/>
      <c r="AG27" s="2905"/>
      <c r="AH27" s="2905"/>
      <c r="AI27" s="2905"/>
      <c r="AJ27" s="2905"/>
      <c r="AK27" s="2905"/>
      <c r="AL27" s="167"/>
    </row>
    <row r="28" spans="1:38" x14ac:dyDescent="0.2">
      <c r="A28" s="165"/>
      <c r="C28" s="166" t="s">
        <v>276</v>
      </c>
      <c r="L28" s="1313" t="s">
        <v>218</v>
      </c>
      <c r="M28" s="3366" t="str">
        <f>'F-LSCD-013'!C20</f>
        <v>Fuentes patrones planas de clase 2:</v>
      </c>
      <c r="N28" s="3366"/>
      <c r="O28" s="3366"/>
      <c r="P28" s="3366"/>
      <c r="Q28" s="3366"/>
      <c r="R28" s="3366"/>
      <c r="S28" s="3366"/>
      <c r="T28" s="3366"/>
      <c r="U28" s="3366"/>
      <c r="V28" s="3366"/>
      <c r="W28" s="3366"/>
      <c r="X28" s="1448"/>
      <c r="Y28" s="1448"/>
      <c r="Z28" s="1448"/>
      <c r="AA28" s="1448"/>
      <c r="AB28" s="1448"/>
      <c r="AC28" s="179"/>
      <c r="AD28" s="2904"/>
      <c r="AE28" s="2905"/>
      <c r="AF28" s="2905"/>
      <c r="AG28" s="2905"/>
      <c r="AH28" s="2905"/>
      <c r="AI28" s="2905"/>
      <c r="AJ28" s="2905"/>
      <c r="AK28" s="2905"/>
      <c r="AL28" s="167"/>
    </row>
    <row r="29" spans="1:38" ht="38.25" hidden="1" customHeight="1" x14ac:dyDescent="0.2">
      <c r="A29" s="165"/>
      <c r="C29" s="226"/>
      <c r="D29" s="226"/>
      <c r="E29" s="226"/>
      <c r="F29" s="226"/>
      <c r="G29" s="226"/>
      <c r="H29" s="226"/>
      <c r="I29" s="226"/>
      <c r="J29" s="226"/>
      <c r="K29" s="226"/>
      <c r="L29" s="1317" t="s">
        <v>93</v>
      </c>
      <c r="M29" s="3367" t="str">
        <f>'F-LSCD-013'!C21</f>
        <v>²⁴¹Am (α); Marca: Eckert &amp; Ziegler; Modelo: AMR07032; Serie: AJ-4188; Certificado de calibración N°: 030516, con fecha 2017-01-18 (Eckert &amp; Ziegler); Trazable al PTB.</v>
      </c>
      <c r="N29" s="3367"/>
      <c r="O29" s="3367"/>
      <c r="P29" s="3367"/>
      <c r="Q29" s="3367"/>
      <c r="R29" s="3367"/>
      <c r="S29" s="3367"/>
      <c r="T29" s="3367"/>
      <c r="U29" s="3367"/>
      <c r="V29" s="3367"/>
      <c r="W29" s="3367"/>
      <c r="X29" s="3367"/>
      <c r="Y29" s="3367"/>
      <c r="Z29" s="3367"/>
      <c r="AA29" s="3367"/>
      <c r="AB29" s="3367"/>
      <c r="AC29" s="179"/>
      <c r="AD29" s="2904"/>
      <c r="AE29" s="2905"/>
      <c r="AF29" s="2905"/>
      <c r="AG29" s="2905"/>
      <c r="AH29" s="2905"/>
      <c r="AI29" s="2905"/>
      <c r="AJ29" s="2905"/>
      <c r="AK29" s="2905"/>
      <c r="AL29" s="167"/>
    </row>
    <row r="30" spans="1:38" ht="36.75" customHeight="1" x14ac:dyDescent="0.2">
      <c r="A30" s="165"/>
      <c r="C30" s="227"/>
      <c r="D30" s="227"/>
      <c r="E30" s="227"/>
      <c r="F30" s="227"/>
      <c r="G30" s="227"/>
      <c r="H30" s="227"/>
      <c r="I30" s="227"/>
      <c r="J30" s="227"/>
      <c r="K30" s="227"/>
      <c r="L30" s="1317" t="s">
        <v>93</v>
      </c>
      <c r="M30" s="3367" t="str">
        <f>'F-LSCD-013'!C22</f>
        <v>³⁶Cl (β); Marca: Eckert &amp; Ziegler; Modelo: CIR07032; Serie: AJ-4189; Certificado de calibración N°: 030515, con fecha 2017-01-17 (Eckert &amp; Ziegler); Trazable al PTB.</v>
      </c>
      <c r="N30" s="3367"/>
      <c r="O30" s="3367"/>
      <c r="P30" s="3367"/>
      <c r="Q30" s="3367"/>
      <c r="R30" s="3367"/>
      <c r="S30" s="3367"/>
      <c r="T30" s="3367"/>
      <c r="U30" s="3367"/>
      <c r="V30" s="3367"/>
      <c r="W30" s="3367"/>
      <c r="X30" s="3367"/>
      <c r="Y30" s="3367"/>
      <c r="Z30" s="3367"/>
      <c r="AA30" s="3367"/>
      <c r="AB30" s="3367"/>
      <c r="AC30" s="179"/>
      <c r="AD30" s="2904"/>
      <c r="AE30" s="2905"/>
      <c r="AF30" s="2905"/>
      <c r="AG30" s="2905"/>
      <c r="AH30" s="2905"/>
      <c r="AI30" s="2905"/>
      <c r="AJ30" s="2905"/>
      <c r="AK30" s="2905"/>
      <c r="AL30" s="167"/>
    </row>
    <row r="31" spans="1:38" ht="42.75" customHeight="1" x14ac:dyDescent="0.2">
      <c r="A31" s="165"/>
      <c r="C31" s="1314"/>
      <c r="D31" s="1314"/>
      <c r="E31" s="1314"/>
      <c r="F31" s="1314"/>
      <c r="G31" s="1314"/>
      <c r="H31" s="1314"/>
      <c r="I31" s="1314"/>
      <c r="J31" s="1314"/>
      <c r="K31" s="1314"/>
      <c r="L31" s="1318" t="s">
        <v>93</v>
      </c>
      <c r="M31" s="3368" t="str">
        <f>'F-LSCD-013'!C23</f>
        <v>⁹⁰Sr (β); Marca: Eckert &amp; Ziegler; Modelo: SIR07032; Serie: AJ-4190; Certificado de calibración N°: 030514, con fecha 2017-01-19 (Eckert &amp; Ziegler); Trazable al PTB.</v>
      </c>
      <c r="N31" s="3368"/>
      <c r="O31" s="3368"/>
      <c r="P31" s="3368"/>
      <c r="Q31" s="3368"/>
      <c r="R31" s="3368"/>
      <c r="S31" s="3368"/>
      <c r="T31" s="3368"/>
      <c r="U31" s="3368"/>
      <c r="V31" s="3368"/>
      <c r="W31" s="3368"/>
      <c r="X31" s="3368"/>
      <c r="Y31" s="3368"/>
      <c r="Z31" s="3368"/>
      <c r="AA31" s="3368"/>
      <c r="AB31" s="3368"/>
      <c r="AC31" s="179"/>
      <c r="AD31" s="2906" t="s">
        <v>962</v>
      </c>
      <c r="AE31" s="2907"/>
      <c r="AF31" s="2907"/>
      <c r="AG31" s="2907"/>
      <c r="AH31" s="2907"/>
      <c r="AI31" s="2907"/>
      <c r="AJ31" s="2907"/>
      <c r="AK31" s="2907"/>
      <c r="AL31" s="167"/>
    </row>
    <row r="32" spans="1:38" ht="15" customHeight="1" x14ac:dyDescent="0.2">
      <c r="A32" s="165"/>
      <c r="C32" s="1312" t="s">
        <v>228</v>
      </c>
      <c r="L32" s="227" t="s">
        <v>218</v>
      </c>
      <c r="M32" s="2910" t="str">
        <f>IF('F-LSCD-013'!D44="-","Temp (°C): "&amp;'F-LSCD-013'!D42&amp;"; Presión (hPa): "&amp;'F-LSCD-013'!H42&amp;"; HR(%): "&amp;'F-LSCD-013'!F42,"Temp (°C): "&amp;'F-LSCD-013'!D44&amp;"; Presión (hPa): "&amp;'F-LSCD-013'!H44&amp;"; HR(%): "&amp;'F-LSCD-013'!F44)</f>
        <v>Temp (°C): 20.4; Presión (hPa): 1007; HR(%): 52</v>
      </c>
      <c r="N32" s="2910"/>
      <c r="O32" s="2910"/>
      <c r="P32" s="2910"/>
      <c r="Q32" s="2910"/>
      <c r="R32" s="2910"/>
      <c r="S32" s="2910"/>
      <c r="T32" s="2910"/>
      <c r="U32" s="2910"/>
      <c r="V32" s="2910"/>
      <c r="W32" s="2910"/>
      <c r="X32" s="2910"/>
      <c r="Y32" s="2910"/>
      <c r="Z32" s="2910"/>
      <c r="AA32" s="2910"/>
      <c r="AB32" s="2910"/>
      <c r="AC32" s="180"/>
      <c r="AD32" s="2949" t="s">
        <v>876</v>
      </c>
      <c r="AE32" s="2987"/>
      <c r="AF32" s="2987"/>
      <c r="AG32" s="2987"/>
      <c r="AH32" s="2987"/>
      <c r="AI32" s="2987"/>
      <c r="AJ32" s="2987"/>
      <c r="AK32" s="2987"/>
      <c r="AL32" s="167"/>
    </row>
    <row r="33" spans="1:38" ht="12.75" customHeight="1" x14ac:dyDescent="0.2">
      <c r="A33" s="165"/>
      <c r="C33" s="1313" t="s">
        <v>277</v>
      </c>
      <c r="L33" s="227" t="s">
        <v>218</v>
      </c>
      <c r="M33" s="3349" t="str">
        <f>'F-LSCD-013'!C24</f>
        <v>Superficie del detector a 3 mm de la fuente plana</v>
      </c>
      <c r="N33" s="3349"/>
      <c r="O33" s="3349"/>
      <c r="P33" s="3349"/>
      <c r="Q33" s="3349"/>
      <c r="R33" s="3349"/>
      <c r="S33" s="3349"/>
      <c r="T33" s="3349"/>
      <c r="U33" s="3349"/>
      <c r="V33" s="3349"/>
      <c r="W33" s="3349"/>
      <c r="X33" s="3349"/>
      <c r="Y33" s="3349"/>
      <c r="Z33" s="3349"/>
      <c r="AA33" s="3349"/>
      <c r="AB33" s="3349"/>
      <c r="AC33" s="180"/>
      <c r="AD33" s="2949"/>
      <c r="AE33" s="2987"/>
      <c r="AF33" s="2987"/>
      <c r="AG33" s="2987"/>
      <c r="AH33" s="2987"/>
      <c r="AI33" s="2987"/>
      <c r="AJ33" s="2987"/>
      <c r="AK33" s="2987"/>
      <c r="AL33" s="167"/>
    </row>
    <row r="34" spans="1:38" x14ac:dyDescent="0.2">
      <c r="A34" s="165"/>
      <c r="C34" s="226" t="s">
        <v>256</v>
      </c>
      <c r="L34" s="227" t="s">
        <v>218</v>
      </c>
      <c r="M34" s="3349">
        <f>'F-LSCD-013'!C16</f>
        <v>44336</v>
      </c>
      <c r="N34" s="3349"/>
      <c r="O34" s="3349"/>
      <c r="P34" s="3349"/>
      <c r="Q34" s="3349"/>
      <c r="R34" s="3349"/>
      <c r="S34" s="183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2949"/>
      <c r="AE34" s="2987"/>
      <c r="AF34" s="2987"/>
      <c r="AG34" s="2987"/>
      <c r="AH34" s="2987"/>
      <c r="AI34" s="2987"/>
      <c r="AJ34" s="2987"/>
      <c r="AK34" s="2987"/>
      <c r="AL34" s="167"/>
    </row>
    <row r="35" spans="1:38" x14ac:dyDescent="0.2">
      <c r="A35" s="165"/>
      <c r="C35" s="166" t="s">
        <v>257</v>
      </c>
      <c r="L35" s="227" t="s">
        <v>218</v>
      </c>
      <c r="M35" s="3463">
        <f>'F-LSCD-013'!C18</f>
        <v>44251</v>
      </c>
      <c r="N35" s="3463"/>
      <c r="O35" s="3463"/>
      <c r="P35" s="3463"/>
      <c r="Q35" s="3463"/>
      <c r="R35" s="3463"/>
      <c r="S35" s="1310"/>
      <c r="T35" s="184"/>
      <c r="U35" s="184"/>
      <c r="V35" s="184"/>
      <c r="W35" s="184"/>
      <c r="X35" s="184"/>
      <c r="Y35" s="184"/>
      <c r="Z35" s="184"/>
      <c r="AA35" s="184"/>
      <c r="AB35" s="184"/>
      <c r="AC35" s="184"/>
      <c r="AD35" s="2949"/>
      <c r="AE35" s="2987"/>
      <c r="AF35" s="2987"/>
      <c r="AG35" s="2987"/>
      <c r="AH35" s="2987"/>
      <c r="AI35" s="2987"/>
      <c r="AJ35" s="2987"/>
      <c r="AK35" s="2987"/>
      <c r="AL35" s="167"/>
    </row>
    <row r="36" spans="1:38" ht="3.75" customHeight="1" x14ac:dyDescent="0.2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87"/>
      <c r="AL36" s="167"/>
    </row>
    <row r="37" spans="1:38" x14ac:dyDescent="0.2">
      <c r="A37" s="165"/>
      <c r="B37" s="166" t="s">
        <v>258</v>
      </c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86"/>
      <c r="N37" s="166"/>
      <c r="O37" s="166"/>
      <c r="P37" s="166"/>
      <c r="Q37" s="166"/>
      <c r="R37" s="166"/>
      <c r="S37" s="166"/>
      <c r="AL37" s="167"/>
    </row>
    <row r="38" spans="1:38" ht="4.5" customHeight="1" x14ac:dyDescent="0.2">
      <c r="A38" s="165"/>
      <c r="M38" s="188"/>
      <c r="AL38" s="167"/>
    </row>
    <row r="39" spans="1:38" ht="12.75" customHeight="1" x14ac:dyDescent="0.2">
      <c r="A39" s="165"/>
      <c r="C39" s="3037" t="s">
        <v>278</v>
      </c>
      <c r="D39" s="3037"/>
      <c r="E39" s="3037"/>
      <c r="F39" s="3037" t="s">
        <v>227</v>
      </c>
      <c r="G39" s="3037"/>
      <c r="H39" s="3037"/>
      <c r="I39" s="3037"/>
      <c r="J39" s="3037" t="s">
        <v>877</v>
      </c>
      <c r="K39" s="3037"/>
      <c r="L39" s="3037"/>
      <c r="M39" s="3037"/>
      <c r="N39" s="2853" t="s">
        <v>884</v>
      </c>
      <c r="O39" s="2854"/>
      <c r="P39" s="2854"/>
      <c r="Q39" s="2857"/>
      <c r="R39" s="3351" t="s">
        <v>885</v>
      </c>
      <c r="S39" s="3352"/>
      <c r="T39" s="3352"/>
      <c r="U39" s="3353"/>
      <c r="V39" s="3138" t="s">
        <v>890</v>
      </c>
      <c r="W39" s="3339"/>
      <c r="X39" s="3339"/>
      <c r="Y39" s="3339"/>
      <c r="Z39" s="3339"/>
      <c r="AA39" s="3339"/>
      <c r="AB39" s="3339"/>
      <c r="AC39" s="3340"/>
      <c r="AD39" s="3354" t="s">
        <v>259</v>
      </c>
      <c r="AE39" s="3355"/>
      <c r="AF39" s="3355"/>
      <c r="AG39" s="3356"/>
      <c r="AH39" s="1264"/>
      <c r="AI39" s="1264"/>
      <c r="AJ39" s="1264"/>
      <c r="AK39" s="1264"/>
      <c r="AL39" s="167"/>
    </row>
    <row r="40" spans="1:38" ht="16.5" customHeight="1" x14ac:dyDescent="0.2">
      <c r="A40" s="165"/>
      <c r="C40" s="3037"/>
      <c r="D40" s="3037"/>
      <c r="E40" s="3037"/>
      <c r="F40" s="3037"/>
      <c r="G40" s="3037"/>
      <c r="H40" s="3037"/>
      <c r="I40" s="3037"/>
      <c r="J40" s="3037"/>
      <c r="K40" s="3037"/>
      <c r="L40" s="3037"/>
      <c r="M40" s="3037"/>
      <c r="N40" s="3344" t="str">
        <f>'F-LSCD-013'!U48</f>
        <v>[s⁻¹.cm⁻²/(µSv/h)]</v>
      </c>
      <c r="O40" s="3014"/>
      <c r="P40" s="3014"/>
      <c r="Q40" s="3345"/>
      <c r="R40" s="3344" t="str">
        <f>'F-LSCD-013'!V48</f>
        <v>[Bq.cm⁻²/(µSv/h)]</v>
      </c>
      <c r="S40" s="3014"/>
      <c r="T40" s="3014"/>
      <c r="U40" s="3345"/>
      <c r="V40" s="3341" t="s">
        <v>902</v>
      </c>
      <c r="W40" s="3342"/>
      <c r="X40" s="3342"/>
      <c r="Y40" s="3342"/>
      <c r="Z40" s="3342"/>
      <c r="AA40" s="3342"/>
      <c r="AB40" s="3342"/>
      <c r="AC40" s="3343"/>
      <c r="AD40" s="3344"/>
      <c r="AE40" s="3014"/>
      <c r="AF40" s="3014"/>
      <c r="AG40" s="3345"/>
      <c r="AH40" s="1264"/>
      <c r="AI40" s="1264"/>
      <c r="AJ40" s="1264"/>
      <c r="AK40" s="1264"/>
      <c r="AL40" s="167"/>
    </row>
    <row r="41" spans="1:38" ht="14.25" hidden="1" customHeight="1" x14ac:dyDescent="0.2">
      <c r="A41" s="165"/>
      <c r="C41" s="2967">
        <v>5486</v>
      </c>
      <c r="D41" s="2967"/>
      <c r="E41" s="2967"/>
      <c r="F41" s="2792" t="s">
        <v>899</v>
      </c>
      <c r="G41" s="2792"/>
      <c r="H41" s="2792"/>
      <c r="I41" s="2792"/>
      <c r="J41" s="2792" t="s">
        <v>860</v>
      </c>
      <c r="K41" s="2792"/>
      <c r="L41" s="2792"/>
      <c r="M41" s="2792"/>
      <c r="N41" s="3334">
        <f>IF('F-LSCD-013'!U52="-",'F-LSCD-013'!U51,'F-LSCD-013'!U52)</f>
        <v>0.26631739794804626</v>
      </c>
      <c r="O41" s="3335"/>
      <c r="P41" s="3335"/>
      <c r="Q41" s="3336"/>
      <c r="R41" s="3334">
        <f>IF('F-LSCD-013'!V52="-",'F-LSCD-013'!V51,'F-LSCD-013'!V52)</f>
        <v>0.56028523612020664</v>
      </c>
      <c r="S41" s="3335"/>
      <c r="T41" s="3335"/>
      <c r="U41" s="3336"/>
      <c r="V41" s="3354" t="str">
        <f>"Lectura x "&amp;TEXT(R41,"#0,#####")</f>
        <v>Lectura x 01</v>
      </c>
      <c r="W41" s="3355"/>
      <c r="X41" s="3355"/>
      <c r="Y41" s="3355"/>
      <c r="Z41" s="3355"/>
      <c r="AA41" s="3355"/>
      <c r="AB41" s="3355"/>
      <c r="AC41" s="3356"/>
      <c r="AD41" s="3357">
        <f>'F-LSCD-013'!W51</f>
        <v>0.12</v>
      </c>
      <c r="AE41" s="3358"/>
      <c r="AF41" s="3358"/>
      <c r="AG41" s="3359"/>
      <c r="AH41" s="180"/>
      <c r="AI41" s="180"/>
      <c r="AJ41" s="180"/>
      <c r="AK41" s="180"/>
      <c r="AL41" s="167"/>
    </row>
    <row r="42" spans="1:38" ht="14.25" customHeight="1" x14ac:dyDescent="0.2">
      <c r="A42" s="165"/>
      <c r="C42" s="2967">
        <v>710</v>
      </c>
      <c r="D42" s="2967"/>
      <c r="E42" s="2967"/>
      <c r="F42" s="2792" t="s">
        <v>900</v>
      </c>
      <c r="G42" s="2792"/>
      <c r="H42" s="2792"/>
      <c r="I42" s="2792"/>
      <c r="J42" s="2792" t="s">
        <v>861</v>
      </c>
      <c r="K42" s="2792"/>
      <c r="L42" s="2792"/>
      <c r="M42" s="2792"/>
      <c r="N42" s="3334">
        <f>IF('F-LSCD-013'!U54="-",'F-LSCD-013'!U53,'F-LSCD-013'!U54)</f>
        <v>0.1366302814286775</v>
      </c>
      <c r="O42" s="3335"/>
      <c r="P42" s="3335"/>
      <c r="Q42" s="3336"/>
      <c r="R42" s="3334">
        <f>IF('F-LSCD-013'!V54="-",'F-LSCD-013'!V53,'F-LSCD-013'!V54)</f>
        <v>0.21831142793495209</v>
      </c>
      <c r="S42" s="3335"/>
      <c r="T42" s="3335"/>
      <c r="U42" s="3336"/>
      <c r="V42" s="3337" t="str">
        <f>"Lectura x "&amp;TEXT(R42,"#0,#####")</f>
        <v>Lectura x 0</v>
      </c>
      <c r="W42" s="2995"/>
      <c r="X42" s="2995"/>
      <c r="Y42" s="2995"/>
      <c r="Z42" s="2995"/>
      <c r="AA42" s="2995"/>
      <c r="AB42" s="2995"/>
      <c r="AC42" s="3338"/>
      <c r="AD42" s="3328">
        <f>'F-LSCD-013'!W53</f>
        <v>0.13</v>
      </c>
      <c r="AE42" s="3329"/>
      <c r="AF42" s="3329"/>
      <c r="AG42" s="3330"/>
      <c r="AH42" s="1264"/>
      <c r="AI42" s="1264"/>
      <c r="AJ42" s="1264"/>
      <c r="AK42" s="1264"/>
      <c r="AL42" s="167"/>
    </row>
    <row r="43" spans="1:38" ht="14.25" customHeight="1" x14ac:dyDescent="0.2">
      <c r="A43" s="165"/>
      <c r="C43" s="2967">
        <v>546</v>
      </c>
      <c r="D43" s="2967"/>
      <c r="E43" s="2967"/>
      <c r="F43" s="2792" t="s">
        <v>901</v>
      </c>
      <c r="G43" s="2792"/>
      <c r="H43" s="2792"/>
      <c r="I43" s="2792"/>
      <c r="J43" s="2792" t="s">
        <v>861</v>
      </c>
      <c r="K43" s="2792"/>
      <c r="L43" s="2792"/>
      <c r="M43" s="2792"/>
      <c r="N43" s="3334">
        <f>IF('F-LSCD-013'!U56="-",'F-LSCD-013'!U55,'F-LSCD-013'!U56)</f>
        <v>0.14424107751983312</v>
      </c>
      <c r="O43" s="3335"/>
      <c r="P43" s="3335"/>
      <c r="Q43" s="3336"/>
      <c r="R43" s="3334">
        <f>IF('F-LSCD-013'!V56="-",'F-LSCD-013'!V55,'F-LSCD-013'!V56)</f>
        <v>0.11227413601543768</v>
      </c>
      <c r="S43" s="3335"/>
      <c r="T43" s="3335"/>
      <c r="U43" s="3336"/>
      <c r="V43" s="3344" t="str">
        <f>"Lectura x "&amp;TEXT(R43,"#0,#####")</f>
        <v>Lectura x 0</v>
      </c>
      <c r="W43" s="3014"/>
      <c r="X43" s="3014"/>
      <c r="Y43" s="3014"/>
      <c r="Z43" s="3014"/>
      <c r="AA43" s="3014"/>
      <c r="AB43" s="3014"/>
      <c r="AC43" s="3345"/>
      <c r="AD43" s="3328">
        <f>'F-LSCD-013'!W55</f>
        <v>9.2999999999999999E-2</v>
      </c>
      <c r="AE43" s="3329"/>
      <c r="AF43" s="3329"/>
      <c r="AG43" s="3330"/>
      <c r="AH43" s="1264"/>
      <c r="AI43" s="1264"/>
      <c r="AJ43" s="1264"/>
      <c r="AK43" s="1264"/>
      <c r="AL43" s="167"/>
    </row>
    <row r="44" spans="1:38" x14ac:dyDescent="0.2">
      <c r="A44" s="165"/>
      <c r="B44" s="166"/>
      <c r="C44" s="3369" t="s">
        <v>886</v>
      </c>
      <c r="D44" s="3369"/>
      <c r="E44" s="3369"/>
      <c r="F44" s="3369"/>
      <c r="G44" s="3369"/>
      <c r="H44" s="3369"/>
      <c r="I44" s="3369"/>
      <c r="J44" s="3369"/>
      <c r="K44" s="3369"/>
      <c r="L44" s="3369"/>
      <c r="M44" s="3369"/>
      <c r="N44" s="3369"/>
      <c r="O44" s="3369"/>
      <c r="P44" s="3369"/>
      <c r="Q44" s="3369"/>
      <c r="R44" s="3369"/>
      <c r="S44" s="3369"/>
      <c r="T44" s="3369"/>
      <c r="U44" s="3369"/>
      <c r="V44" s="3369"/>
      <c r="W44" s="3369"/>
      <c r="X44" s="3369"/>
      <c r="Y44" s="3369"/>
      <c r="Z44" s="3369"/>
      <c r="AA44" s="3369"/>
      <c r="AB44" s="3369"/>
      <c r="AC44" s="3369"/>
      <c r="AD44" s="3369"/>
      <c r="AE44" s="3369"/>
      <c r="AF44" s="3369"/>
      <c r="AG44" s="3369"/>
      <c r="AL44" s="167"/>
    </row>
    <row r="45" spans="1:38" x14ac:dyDescent="0.2">
      <c r="A45" s="165"/>
      <c r="B45" s="166"/>
      <c r="C45" s="3124" t="s">
        <v>887</v>
      </c>
      <c r="D45" s="3124"/>
      <c r="E45" s="3124"/>
      <c r="F45" s="3124"/>
      <c r="G45" s="3124"/>
      <c r="H45" s="3124"/>
      <c r="I45" s="3124"/>
      <c r="J45" s="3124"/>
      <c r="K45" s="3124"/>
      <c r="L45" s="3124"/>
      <c r="M45" s="3124"/>
      <c r="N45" s="3124"/>
      <c r="O45" s="3124"/>
      <c r="P45" s="3124"/>
      <c r="Q45" s="3124"/>
      <c r="R45" s="3124"/>
      <c r="S45" s="3124"/>
      <c r="T45" s="3124"/>
      <c r="U45" s="3124"/>
      <c r="V45" s="3124"/>
      <c r="W45" s="3124"/>
      <c r="X45" s="3124"/>
      <c r="Y45" s="3124"/>
      <c r="Z45" s="3124"/>
      <c r="AA45" s="3124"/>
      <c r="AB45" s="3124"/>
      <c r="AC45" s="3124"/>
      <c r="AD45" s="3124"/>
      <c r="AE45" s="3124"/>
      <c r="AF45" s="3124"/>
      <c r="AG45" s="3124"/>
      <c r="AL45" s="167"/>
    </row>
    <row r="46" spans="1:38" ht="15.75" x14ac:dyDescent="0.3">
      <c r="A46" s="165"/>
      <c r="B46" s="166"/>
      <c r="C46" s="3124" t="s">
        <v>891</v>
      </c>
      <c r="D46" s="3124"/>
      <c r="E46" s="3124"/>
      <c r="F46" s="3124"/>
      <c r="G46" s="3124"/>
      <c r="H46" s="3124"/>
      <c r="I46" s="3124"/>
      <c r="J46" s="3124"/>
      <c r="K46" s="3124"/>
      <c r="L46" s="3124"/>
      <c r="M46" s="3124"/>
      <c r="N46" s="3124"/>
      <c r="O46" s="3124"/>
      <c r="P46" s="3124"/>
      <c r="Q46" s="3124"/>
      <c r="R46" s="3124"/>
      <c r="S46" s="3124"/>
      <c r="T46" s="3124"/>
      <c r="U46" s="3124"/>
      <c r="V46" s="3124"/>
      <c r="W46" s="3124"/>
      <c r="X46" s="3124"/>
      <c r="Y46" s="3124"/>
      <c r="Z46" s="3124"/>
      <c r="AA46" s="3124"/>
      <c r="AB46" s="3124"/>
      <c r="AC46" s="3124"/>
      <c r="AD46" s="3124"/>
      <c r="AE46" s="3124"/>
      <c r="AF46" s="3124"/>
      <c r="AG46" s="3124"/>
      <c r="AL46" s="167"/>
    </row>
    <row r="47" spans="1:38" x14ac:dyDescent="0.2">
      <c r="A47" s="165"/>
      <c r="B47" s="166"/>
      <c r="C47" s="3124" t="str">
        <f>IF('F-LSCD-013'!C25="cps","Lectura [cps] = Tasa de conteo total medido por el monitor - Tasa de conteo de fondo",IF('F-LSCD-013'!C25="cpm","Lectura [cps] = (Tasa de conteo total medido por el monitor - Tasa de conteo de fondo) ÷ 60","FALTA DEFINIR UNIDAD"))</f>
        <v>FALTA DEFINIR UNIDAD</v>
      </c>
      <c r="D47" s="3124"/>
      <c r="E47" s="3124"/>
      <c r="F47" s="3124"/>
      <c r="G47" s="3124"/>
      <c r="H47" s="3124"/>
      <c r="I47" s="3124"/>
      <c r="J47" s="3124"/>
      <c r="K47" s="3124"/>
      <c r="L47" s="3124"/>
      <c r="M47" s="3124"/>
      <c r="N47" s="3124"/>
      <c r="O47" s="3124"/>
      <c r="P47" s="3124"/>
      <c r="Q47" s="3124"/>
      <c r="R47" s="3124"/>
      <c r="S47" s="3124"/>
      <c r="T47" s="3124"/>
      <c r="U47" s="3124"/>
      <c r="V47" s="3124"/>
      <c r="W47" s="3124"/>
      <c r="X47" s="3124"/>
      <c r="Y47" s="3124"/>
      <c r="Z47" s="3124"/>
      <c r="AA47" s="3124"/>
      <c r="AB47" s="3124"/>
      <c r="AC47" s="3124"/>
      <c r="AD47" s="3124"/>
      <c r="AE47" s="3124"/>
      <c r="AF47" s="3124"/>
      <c r="AG47" s="3124"/>
      <c r="AL47" s="167"/>
    </row>
    <row r="48" spans="1:38" x14ac:dyDescent="0.2">
      <c r="A48" s="165"/>
      <c r="B48" s="166"/>
      <c r="C48" s="1355"/>
      <c r="D48" s="1355"/>
      <c r="E48" s="1355"/>
      <c r="F48" s="1355"/>
      <c r="G48" s="1355"/>
      <c r="H48" s="1355"/>
      <c r="I48" s="1355"/>
      <c r="J48" s="1355"/>
      <c r="K48" s="1355"/>
      <c r="L48" s="1355"/>
      <c r="M48" s="1355"/>
      <c r="N48" s="1355"/>
      <c r="O48" s="1355"/>
      <c r="P48" s="1355"/>
      <c r="Q48" s="1355"/>
      <c r="R48" s="1355"/>
      <c r="S48" s="1355"/>
      <c r="T48" s="1355"/>
      <c r="U48" s="1355"/>
      <c r="V48" s="1355"/>
      <c r="W48" s="1355"/>
      <c r="X48" s="1355"/>
      <c r="Y48" s="1355"/>
      <c r="Z48" s="1355"/>
      <c r="AA48" s="1355"/>
      <c r="AB48" s="1355"/>
      <c r="AC48" s="1355"/>
      <c r="AD48" s="1355"/>
      <c r="AE48" s="1355"/>
      <c r="AF48" s="1355"/>
      <c r="AG48" s="1355"/>
      <c r="AL48" s="167"/>
    </row>
    <row r="49" spans="1:38" x14ac:dyDescent="0.2">
      <c r="A49" s="165"/>
      <c r="B49" s="166" t="s">
        <v>963</v>
      </c>
      <c r="C49" s="166"/>
      <c r="D49" s="1355"/>
      <c r="E49" s="1355"/>
      <c r="F49" s="1355"/>
      <c r="G49" s="1355"/>
      <c r="H49" s="1355"/>
      <c r="I49" s="1355"/>
      <c r="J49" s="1355"/>
      <c r="K49" s="1355"/>
      <c r="L49" s="1355"/>
      <c r="M49" s="1355"/>
      <c r="N49" s="1355"/>
      <c r="O49" s="1355"/>
      <c r="P49" s="1355"/>
      <c r="Q49" s="1355"/>
      <c r="R49" s="1355"/>
      <c r="S49" s="1355"/>
      <c r="T49" s="1355"/>
      <c r="U49" s="1355"/>
      <c r="V49" s="1355"/>
      <c r="W49" s="1355"/>
      <c r="X49" s="1355"/>
      <c r="Y49" s="1355"/>
      <c r="Z49" s="1355"/>
      <c r="AA49" s="1355"/>
      <c r="AB49" s="1355"/>
      <c r="AC49" s="1355"/>
      <c r="AD49" s="1355"/>
      <c r="AE49" s="1355"/>
      <c r="AF49" s="1355"/>
      <c r="AG49" s="1355"/>
      <c r="AL49" s="167"/>
    </row>
    <row r="50" spans="1:38" x14ac:dyDescent="0.2">
      <c r="A50" s="165"/>
      <c r="B50" s="166"/>
      <c r="C50" s="1355"/>
      <c r="D50" s="1355"/>
      <c r="E50" s="1355"/>
      <c r="F50" s="1355"/>
      <c r="G50" s="1355"/>
      <c r="H50" s="1355"/>
      <c r="I50" s="1355"/>
      <c r="J50" s="1355"/>
      <c r="K50" s="1355"/>
      <c r="L50" s="1355"/>
      <c r="M50" s="1355"/>
      <c r="N50" s="1355"/>
      <c r="O50" s="1355"/>
      <c r="P50" s="1355"/>
      <c r="Q50" s="1355"/>
      <c r="R50" s="1355"/>
      <c r="S50" s="1355"/>
      <c r="T50" s="1355"/>
      <c r="U50" s="1355"/>
      <c r="V50" s="1355"/>
      <c r="W50" s="1355"/>
      <c r="X50" s="1355"/>
      <c r="Y50" s="1355"/>
      <c r="Z50" s="1355"/>
      <c r="AA50" s="1355"/>
      <c r="AB50" s="1355"/>
      <c r="AC50" s="1355"/>
      <c r="AD50" s="1355"/>
      <c r="AE50" s="1355"/>
      <c r="AF50" s="1355"/>
      <c r="AG50" s="1355"/>
      <c r="AL50" s="167"/>
    </row>
    <row r="51" spans="1:38" x14ac:dyDescent="0.2">
      <c r="A51" s="165"/>
      <c r="B51" s="166"/>
      <c r="C51" s="3362" t="s">
        <v>964</v>
      </c>
      <c r="D51" s="3362"/>
      <c r="E51" s="3362"/>
      <c r="F51" s="3362"/>
      <c r="G51" s="3362"/>
      <c r="H51" s="3362"/>
      <c r="I51" s="3362"/>
      <c r="J51" s="3362"/>
      <c r="K51" s="3362"/>
      <c r="L51" s="3362"/>
      <c r="M51" s="3362"/>
      <c r="N51" s="3362"/>
      <c r="O51" s="3362"/>
      <c r="P51" s="3362"/>
      <c r="Q51" s="3362"/>
      <c r="R51" s="3362"/>
      <c r="S51" s="3362"/>
      <c r="T51" s="3362"/>
      <c r="U51" s="3362"/>
      <c r="V51" s="3362"/>
      <c r="W51" s="3362"/>
      <c r="X51" s="3362"/>
      <c r="Y51" s="3362"/>
      <c r="Z51" s="3362"/>
      <c r="AA51" s="3362"/>
      <c r="AB51" s="3362"/>
      <c r="AC51" s="3362"/>
      <c r="AD51" s="3362"/>
      <c r="AE51" s="3362"/>
      <c r="AF51" s="3362"/>
      <c r="AG51" s="3362"/>
      <c r="AL51" s="167"/>
    </row>
    <row r="52" spans="1:38" x14ac:dyDescent="0.2">
      <c r="A52" s="165"/>
      <c r="B52" s="166"/>
      <c r="C52" s="3362"/>
      <c r="D52" s="3362"/>
      <c r="E52" s="3362"/>
      <c r="F52" s="3362"/>
      <c r="G52" s="3362"/>
      <c r="H52" s="3362"/>
      <c r="I52" s="3362"/>
      <c r="J52" s="3362"/>
      <c r="K52" s="3362"/>
      <c r="L52" s="3362"/>
      <c r="M52" s="3362"/>
      <c r="N52" s="3362"/>
      <c r="O52" s="3362"/>
      <c r="P52" s="3362"/>
      <c r="Q52" s="3362"/>
      <c r="R52" s="3362"/>
      <c r="S52" s="3362"/>
      <c r="T52" s="3362"/>
      <c r="U52" s="3362"/>
      <c r="V52" s="3362"/>
      <c r="W52" s="3362"/>
      <c r="X52" s="3362"/>
      <c r="Y52" s="3362"/>
      <c r="Z52" s="3362"/>
      <c r="AA52" s="3362"/>
      <c r="AB52" s="3362"/>
      <c r="AC52" s="3362"/>
      <c r="AD52" s="3362"/>
      <c r="AE52" s="3362"/>
      <c r="AF52" s="3362"/>
      <c r="AG52" s="3362"/>
      <c r="AL52" s="167"/>
    </row>
    <row r="53" spans="1:38" x14ac:dyDescent="0.2">
      <c r="A53" s="165"/>
      <c r="B53" s="166"/>
      <c r="C53" s="1355"/>
      <c r="D53" s="1355"/>
      <c r="E53" s="1355"/>
      <c r="F53" s="1355"/>
      <c r="G53" s="1355"/>
      <c r="H53" s="1355"/>
      <c r="I53" s="1355"/>
      <c r="J53" s="1355"/>
      <c r="K53" s="1355"/>
      <c r="L53" s="1355"/>
      <c r="M53" s="1355"/>
      <c r="N53" s="1355"/>
      <c r="O53" s="1355"/>
      <c r="P53" s="1355"/>
      <c r="Q53" s="1355"/>
      <c r="R53" s="1355"/>
      <c r="S53" s="1355"/>
      <c r="T53" s="1355"/>
      <c r="U53" s="1355"/>
      <c r="V53" s="1355"/>
      <c r="W53" s="1355"/>
      <c r="X53" s="1355"/>
      <c r="Y53" s="1355"/>
      <c r="Z53" s="1355"/>
      <c r="AA53" s="1355"/>
      <c r="AB53" s="1355"/>
      <c r="AC53" s="1355"/>
      <c r="AD53" s="1355"/>
      <c r="AE53" s="1355"/>
      <c r="AF53" s="1355"/>
      <c r="AG53" s="1355"/>
      <c r="AL53" s="167"/>
    </row>
    <row r="54" spans="1:38" ht="18" customHeight="1" x14ac:dyDescent="0.2">
      <c r="A54" s="165"/>
      <c r="B54" s="166"/>
      <c r="C54" s="238"/>
      <c r="D54" s="200"/>
      <c r="E54" s="200"/>
      <c r="F54" s="200"/>
      <c r="G54" s="200"/>
      <c r="H54" s="200"/>
      <c r="I54" s="200"/>
      <c r="J54" s="200"/>
      <c r="AL54" s="167"/>
    </row>
    <row r="55" spans="1:38" ht="12.75" customHeight="1" x14ac:dyDescent="0.2">
      <c r="A55" s="165"/>
      <c r="C55" s="1316">
        <f>'F-LSCD-013'!C27</f>
        <v>44252</v>
      </c>
      <c r="O55" s="1315"/>
      <c r="P55" s="1315"/>
      <c r="Q55" s="1315"/>
      <c r="R55" s="1315"/>
      <c r="S55" s="1315"/>
      <c r="T55" s="1315"/>
      <c r="U55" s="1315"/>
      <c r="V55" s="1315"/>
      <c r="W55" s="1315"/>
      <c r="X55" s="1315"/>
      <c r="Y55" s="1315"/>
      <c r="Z55" s="1315"/>
      <c r="AA55" s="1315"/>
      <c r="AB55" s="1315"/>
      <c r="AC55" s="1315"/>
      <c r="AD55" s="1315"/>
      <c r="AE55" s="1315"/>
      <c r="AF55" s="1315"/>
      <c r="AG55" s="1315"/>
      <c r="AH55" s="1315"/>
      <c r="AI55" s="1315"/>
      <c r="AJ55" s="1315"/>
      <c r="AK55" s="1315"/>
      <c r="AL55" s="167"/>
    </row>
    <row r="56" spans="1:38" ht="12.75" customHeight="1" x14ac:dyDescent="0.2">
      <c r="A56" s="165"/>
      <c r="C56" s="1316"/>
      <c r="O56" s="1315"/>
      <c r="P56" s="1315"/>
      <c r="Q56" s="1315"/>
      <c r="R56" s="1315"/>
      <c r="S56" s="1315"/>
      <c r="T56" s="1315"/>
      <c r="U56" s="1315"/>
      <c r="V56" s="1315"/>
      <c r="W56" s="1315"/>
      <c r="X56" s="1315"/>
      <c r="Y56" s="1315"/>
      <c r="Z56" s="1315"/>
      <c r="AA56" s="1315"/>
      <c r="AB56" s="1315"/>
      <c r="AC56" s="1315"/>
      <c r="AD56" s="1315"/>
      <c r="AE56" s="1315"/>
      <c r="AF56" s="1315"/>
      <c r="AG56" s="1315"/>
      <c r="AH56" s="1315"/>
      <c r="AI56" s="1315"/>
      <c r="AJ56" s="1315"/>
      <c r="AK56" s="1315"/>
      <c r="AL56" s="167"/>
    </row>
    <row r="57" spans="1:38" ht="38.25" customHeight="1" x14ac:dyDescent="0.2">
      <c r="A57" s="165"/>
      <c r="N57" s="1315"/>
      <c r="O57" s="1315"/>
      <c r="P57" s="1315"/>
      <c r="Q57" s="1315"/>
      <c r="R57" s="1315"/>
      <c r="S57" s="1315"/>
      <c r="T57" s="1315"/>
      <c r="U57" s="1315"/>
      <c r="V57" s="1315"/>
      <c r="W57" s="1315"/>
      <c r="X57" s="1315"/>
      <c r="Y57" s="1315"/>
      <c r="Z57" s="1315"/>
      <c r="AA57" s="1315"/>
      <c r="AB57" s="1315"/>
      <c r="AC57" s="1315"/>
      <c r="AD57" s="1315"/>
      <c r="AE57" s="1315"/>
      <c r="AF57" s="1315"/>
      <c r="AG57" s="1315"/>
      <c r="AH57" s="1315"/>
      <c r="AI57" s="1315"/>
      <c r="AJ57" s="1315"/>
      <c r="AK57" s="1315"/>
      <c r="AL57" s="167"/>
    </row>
    <row r="58" spans="1:38" ht="13.5" customHeight="1" x14ac:dyDescent="0.2">
      <c r="A58" s="165"/>
      <c r="N58" s="1407"/>
      <c r="O58" s="1407"/>
      <c r="P58" s="1407"/>
      <c r="Q58" s="1407"/>
      <c r="R58" s="1407"/>
      <c r="S58" s="1407"/>
      <c r="T58" s="1407"/>
      <c r="U58" s="1407"/>
      <c r="V58" s="1407"/>
      <c r="W58" s="1407"/>
      <c r="X58" s="1407"/>
      <c r="Y58" s="1407"/>
      <c r="Z58" s="1407"/>
      <c r="AA58" s="1407"/>
      <c r="AB58" s="1407"/>
      <c r="AC58" s="1407"/>
      <c r="AD58" s="1407"/>
      <c r="AE58" s="1407"/>
      <c r="AF58" s="1407"/>
      <c r="AG58" s="1407"/>
      <c r="AH58" s="1407"/>
      <c r="AI58" s="1407"/>
      <c r="AJ58" s="1407"/>
      <c r="AK58" s="1407"/>
      <c r="AL58" s="167"/>
    </row>
    <row r="59" spans="1:38" x14ac:dyDescent="0.2">
      <c r="A59" s="165"/>
      <c r="B59" s="168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75"/>
      <c r="O59" s="175"/>
      <c r="P59" s="175"/>
      <c r="Q59" s="175"/>
      <c r="R59" s="175"/>
      <c r="S59" s="1307"/>
      <c r="T59" s="226"/>
      <c r="U59" s="226"/>
      <c r="V59" s="226"/>
      <c r="W59" s="226"/>
      <c r="X59" s="226"/>
      <c r="Y59" s="226"/>
      <c r="Z59" s="226"/>
      <c r="AA59" s="226"/>
      <c r="AB59" s="226"/>
      <c r="AC59" s="226"/>
      <c r="AD59" s="226"/>
      <c r="AE59" s="226"/>
      <c r="AF59" s="226"/>
      <c r="AG59" s="226"/>
      <c r="AH59" s="226"/>
      <c r="AI59" s="226"/>
      <c r="AJ59" s="226"/>
      <c r="AK59" s="226"/>
      <c r="AL59" s="167"/>
    </row>
    <row r="60" spans="1:38" ht="3" customHeight="1" thickBot="1" x14ac:dyDescent="0.25">
      <c r="A60" s="195"/>
      <c r="B60" s="196"/>
      <c r="C60" s="196"/>
      <c r="D60" s="196"/>
      <c r="E60" s="196"/>
      <c r="F60" s="196"/>
      <c r="G60" s="196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7"/>
    </row>
    <row r="61" spans="1:38" ht="15.75" thickTop="1" x14ac:dyDescent="0.25">
      <c r="A61" s="3022" t="s">
        <v>260</v>
      </c>
      <c r="B61" s="3023"/>
      <c r="C61" s="3023"/>
      <c r="D61" s="3023"/>
      <c r="E61" s="3023"/>
      <c r="F61" s="3023"/>
      <c r="G61" s="3023"/>
      <c r="H61" s="3023"/>
      <c r="I61" s="3023"/>
      <c r="J61" s="3023"/>
      <c r="K61" s="3023"/>
      <c r="L61" s="3023"/>
      <c r="M61" s="3023"/>
      <c r="N61" s="3023"/>
      <c r="O61" s="3023"/>
      <c r="P61" s="3023"/>
      <c r="Q61" s="3023"/>
      <c r="R61" s="3023"/>
      <c r="S61" s="3023"/>
      <c r="T61" s="3023"/>
      <c r="U61" s="3023"/>
      <c r="V61" s="3023"/>
      <c r="W61" s="3023"/>
      <c r="X61" s="3023"/>
      <c r="Y61" s="3023"/>
      <c r="Z61" s="3023"/>
      <c r="AA61" s="3023"/>
      <c r="AB61" s="3023"/>
      <c r="AC61" s="3023"/>
      <c r="AD61" s="3023"/>
      <c r="AE61" s="3023"/>
      <c r="AF61" s="3023"/>
      <c r="AG61" s="3023"/>
      <c r="AH61" s="3023"/>
      <c r="AI61" s="3023"/>
      <c r="AJ61" s="3023"/>
      <c r="AK61" s="3023"/>
      <c r="AL61" s="3024"/>
    </row>
    <row r="62" spans="1:38" ht="11.25" customHeight="1" thickBot="1" x14ac:dyDescent="0.25">
      <c r="A62" s="3025" t="s">
        <v>279</v>
      </c>
      <c r="B62" s="3026"/>
      <c r="C62" s="3026"/>
      <c r="D62" s="3026"/>
      <c r="E62" s="3026"/>
      <c r="F62" s="3026"/>
      <c r="G62" s="3026"/>
      <c r="H62" s="3026"/>
      <c r="I62" s="3026"/>
      <c r="J62" s="3026"/>
      <c r="K62" s="3026"/>
      <c r="L62" s="3026"/>
      <c r="M62" s="3026"/>
      <c r="N62" s="3026"/>
      <c r="O62" s="3026"/>
      <c r="P62" s="3026"/>
      <c r="Q62" s="3026"/>
      <c r="R62" s="3026"/>
      <c r="S62" s="3026"/>
      <c r="T62" s="3026"/>
      <c r="U62" s="3026"/>
      <c r="V62" s="3026"/>
      <c r="W62" s="3026"/>
      <c r="X62" s="3026"/>
      <c r="Y62" s="3026"/>
      <c r="Z62" s="3026"/>
      <c r="AA62" s="3026"/>
      <c r="AB62" s="3026"/>
      <c r="AC62" s="3026"/>
      <c r="AD62" s="3026"/>
      <c r="AE62" s="3026"/>
      <c r="AF62" s="3026"/>
      <c r="AG62" s="3026"/>
      <c r="AH62" s="3026"/>
      <c r="AI62" s="3026"/>
      <c r="AJ62" s="3026"/>
      <c r="AK62" s="3026"/>
      <c r="AL62" s="3027"/>
    </row>
    <row r="63" spans="1:38" x14ac:dyDescent="0.2">
      <c r="A63" s="1356" t="s">
        <v>907</v>
      </c>
      <c r="AK63" s="1357" t="str">
        <f>A4&amp;" "&amp;A5</f>
        <v>REPORTE DE CALIBRACIÓN N° 011-2021 ALEPH/GR/LSCD</v>
      </c>
    </row>
  </sheetData>
  <mergeCells count="64">
    <mergeCell ref="A8:AL8"/>
    <mergeCell ref="A2:AL3"/>
    <mergeCell ref="A4:AL4"/>
    <mergeCell ref="A5:AL5"/>
    <mergeCell ref="A6:AL6"/>
    <mergeCell ref="A7:AK7"/>
    <mergeCell ref="AD12:AK18"/>
    <mergeCell ref="M16:AB16"/>
    <mergeCell ref="M18:W18"/>
    <mergeCell ref="M19:AB19"/>
    <mergeCell ref="M20:AB20"/>
    <mergeCell ref="AD20:AK30"/>
    <mergeCell ref="M21:AB21"/>
    <mergeCell ref="M22:W22"/>
    <mergeCell ref="M23:AB24"/>
    <mergeCell ref="M27:W27"/>
    <mergeCell ref="M28:W28"/>
    <mergeCell ref="M29:AB29"/>
    <mergeCell ref="M30:AB30"/>
    <mergeCell ref="M31:AB31"/>
    <mergeCell ref="AD31:AK31"/>
    <mergeCell ref="AD39:AG40"/>
    <mergeCell ref="N40:Q40"/>
    <mergeCell ref="R40:U40"/>
    <mergeCell ref="V40:AC40"/>
    <mergeCell ref="M32:AB32"/>
    <mergeCell ref="AD32:AK35"/>
    <mergeCell ref="M33:AB33"/>
    <mergeCell ref="M34:R34"/>
    <mergeCell ref="M35:R35"/>
    <mergeCell ref="V39:AC39"/>
    <mergeCell ref="C39:E40"/>
    <mergeCell ref="F39:I40"/>
    <mergeCell ref="J39:M40"/>
    <mergeCell ref="N39:Q39"/>
    <mergeCell ref="R39:U39"/>
    <mergeCell ref="AD41:AG41"/>
    <mergeCell ref="C42:E42"/>
    <mergeCell ref="F42:I42"/>
    <mergeCell ref="J42:M42"/>
    <mergeCell ref="N42:Q42"/>
    <mergeCell ref="R42:U42"/>
    <mergeCell ref="V42:AC42"/>
    <mergeCell ref="AD42:AG42"/>
    <mergeCell ref="V41:AC41"/>
    <mergeCell ref="C41:E41"/>
    <mergeCell ref="F41:I41"/>
    <mergeCell ref="J41:M41"/>
    <mergeCell ref="N41:Q41"/>
    <mergeCell ref="R41:U41"/>
    <mergeCell ref="A62:AL62"/>
    <mergeCell ref="C51:AG52"/>
    <mergeCell ref="AD43:AG43"/>
    <mergeCell ref="C44:AG44"/>
    <mergeCell ref="C45:AG45"/>
    <mergeCell ref="C46:AG46"/>
    <mergeCell ref="C47:AG47"/>
    <mergeCell ref="A61:AL61"/>
    <mergeCell ref="C43:E43"/>
    <mergeCell ref="F43:I43"/>
    <mergeCell ref="J43:M43"/>
    <mergeCell ref="N43:Q43"/>
    <mergeCell ref="R43:U43"/>
    <mergeCell ref="V43:AC43"/>
  </mergeCells>
  <conditionalFormatting sqref="AC32 M32:M35 T34:AC35 N12:AC14">
    <cfRule type="cellIs" dxfId="9" priority="5" operator="equal">
      <formula>0</formula>
    </cfRule>
  </conditionalFormatting>
  <conditionalFormatting sqref="AC33">
    <cfRule type="cellIs" dxfId="8" priority="4" operator="equal">
      <formula>0</formula>
    </cfRule>
  </conditionalFormatting>
  <conditionalFormatting sqref="M32:M35 AC32:AC35 T34:AB35 N12:AC14">
    <cfRule type="containsErrors" dxfId="7" priority="3">
      <formula>ISERROR(M12)</formula>
    </cfRule>
  </conditionalFormatting>
  <conditionalFormatting sqref="M12:M14">
    <cfRule type="cellIs" dxfId="6" priority="2" operator="equal">
      <formula>0</formula>
    </cfRule>
  </conditionalFormatting>
  <conditionalFormatting sqref="M12:M14">
    <cfRule type="containsErrors" dxfId="5" priority="1">
      <formula>ISERROR(M12)</formula>
    </cfRule>
  </conditionalFormatting>
  <pageMargins left="0.27559055118110237" right="7.874015748031496E-2" top="0.23622047244094491" bottom="0" header="0.31496062992125984" footer="0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51"/>
  <dimension ref="A1:AN58"/>
  <sheetViews>
    <sheetView view="pageBreakPreview" topLeftCell="A2" zoomScaleNormal="100" zoomScaleSheetLayoutView="100" workbookViewId="0">
      <selection activeCell="A2" sqref="A2:AL3"/>
    </sheetView>
  </sheetViews>
  <sheetFormatPr baseColWidth="10" defaultColWidth="11.42578125" defaultRowHeight="12.75" x14ac:dyDescent="0.2"/>
  <cols>
    <col min="1" max="1" width="2.7109375" style="163" customWidth="1"/>
    <col min="2" max="12" width="2.42578125" style="163" customWidth="1"/>
    <col min="13" max="15" width="3" style="163" customWidth="1"/>
    <col min="16" max="16" width="3.28515625" style="163" customWidth="1"/>
    <col min="17" max="17" width="3.7109375" style="163" customWidth="1"/>
    <col min="18" max="25" width="3" style="163" customWidth="1"/>
    <col min="26" max="27" width="2.7109375" style="163" customWidth="1"/>
    <col min="28" max="28" width="3" style="163" customWidth="1"/>
    <col min="29" max="29" width="1.28515625" style="163" customWidth="1"/>
    <col min="30" max="37" width="2.42578125" style="163" customWidth="1"/>
    <col min="38" max="38" width="1.140625" style="163" customWidth="1"/>
    <col min="39" max="39" width="11.42578125" style="163"/>
    <col min="40" max="40" width="11.85546875" style="163" customWidth="1"/>
    <col min="41" max="41" width="15.42578125" style="163" customWidth="1"/>
    <col min="42" max="281" width="11.42578125" style="163"/>
    <col min="282" max="282" width="2.28515625" style="163" customWidth="1"/>
    <col min="283" max="283" width="2.7109375" style="163" customWidth="1"/>
    <col min="284" max="284" width="2.42578125" style="163" customWidth="1"/>
    <col min="285" max="285" width="17.7109375" style="163" customWidth="1"/>
    <col min="286" max="286" width="1.5703125" style="163" customWidth="1"/>
    <col min="287" max="287" width="6.42578125" style="163" customWidth="1"/>
    <col min="288" max="288" width="13.140625" style="163" customWidth="1"/>
    <col min="289" max="289" width="1" style="163" customWidth="1"/>
    <col min="290" max="290" width="19.5703125" style="163" customWidth="1"/>
    <col min="291" max="291" width="0.85546875" style="163" customWidth="1"/>
    <col min="292" max="292" width="14.42578125" style="163" customWidth="1"/>
    <col min="293" max="293" width="12.85546875" style="163" customWidth="1"/>
    <col min="294" max="294" width="6.140625" style="163" customWidth="1"/>
    <col min="295" max="296" width="11.42578125" style="163"/>
    <col min="297" max="297" width="15.42578125" style="163" customWidth="1"/>
    <col min="298" max="537" width="11.42578125" style="163"/>
    <col min="538" max="538" width="2.28515625" style="163" customWidth="1"/>
    <col min="539" max="539" width="2.7109375" style="163" customWidth="1"/>
    <col min="540" max="540" width="2.42578125" style="163" customWidth="1"/>
    <col min="541" max="541" width="17.7109375" style="163" customWidth="1"/>
    <col min="542" max="542" width="1.5703125" style="163" customWidth="1"/>
    <col min="543" max="543" width="6.42578125" style="163" customWidth="1"/>
    <col min="544" max="544" width="13.140625" style="163" customWidth="1"/>
    <col min="545" max="545" width="1" style="163" customWidth="1"/>
    <col min="546" max="546" width="19.5703125" style="163" customWidth="1"/>
    <col min="547" max="547" width="0.85546875" style="163" customWidth="1"/>
    <col min="548" max="548" width="14.42578125" style="163" customWidth="1"/>
    <col min="549" max="549" width="12.85546875" style="163" customWidth="1"/>
    <col min="550" max="550" width="6.140625" style="163" customWidth="1"/>
    <col min="551" max="552" width="11.42578125" style="163"/>
    <col min="553" max="553" width="15.42578125" style="163" customWidth="1"/>
    <col min="554" max="793" width="11.42578125" style="163"/>
    <col min="794" max="794" width="2.28515625" style="163" customWidth="1"/>
    <col min="795" max="795" width="2.7109375" style="163" customWidth="1"/>
    <col min="796" max="796" width="2.42578125" style="163" customWidth="1"/>
    <col min="797" max="797" width="17.7109375" style="163" customWidth="1"/>
    <col min="798" max="798" width="1.5703125" style="163" customWidth="1"/>
    <col min="799" max="799" width="6.42578125" style="163" customWidth="1"/>
    <col min="800" max="800" width="13.140625" style="163" customWidth="1"/>
    <col min="801" max="801" width="1" style="163" customWidth="1"/>
    <col min="802" max="802" width="19.5703125" style="163" customWidth="1"/>
    <col min="803" max="803" width="0.85546875" style="163" customWidth="1"/>
    <col min="804" max="804" width="14.42578125" style="163" customWidth="1"/>
    <col min="805" max="805" width="12.85546875" style="163" customWidth="1"/>
    <col min="806" max="806" width="6.140625" style="163" customWidth="1"/>
    <col min="807" max="808" width="11.42578125" style="163"/>
    <col min="809" max="809" width="15.42578125" style="163" customWidth="1"/>
    <col min="810" max="1049" width="11.42578125" style="163"/>
    <col min="1050" max="1050" width="2.28515625" style="163" customWidth="1"/>
    <col min="1051" max="1051" width="2.7109375" style="163" customWidth="1"/>
    <col min="1052" max="1052" width="2.42578125" style="163" customWidth="1"/>
    <col min="1053" max="1053" width="17.7109375" style="163" customWidth="1"/>
    <col min="1054" max="1054" width="1.5703125" style="163" customWidth="1"/>
    <col min="1055" max="1055" width="6.42578125" style="163" customWidth="1"/>
    <col min="1056" max="1056" width="13.140625" style="163" customWidth="1"/>
    <col min="1057" max="1057" width="1" style="163" customWidth="1"/>
    <col min="1058" max="1058" width="19.5703125" style="163" customWidth="1"/>
    <col min="1059" max="1059" width="0.85546875" style="163" customWidth="1"/>
    <col min="1060" max="1060" width="14.42578125" style="163" customWidth="1"/>
    <col min="1061" max="1061" width="12.85546875" style="163" customWidth="1"/>
    <col min="1062" max="1062" width="6.140625" style="163" customWidth="1"/>
    <col min="1063" max="1064" width="11.42578125" style="163"/>
    <col min="1065" max="1065" width="15.42578125" style="163" customWidth="1"/>
    <col min="1066" max="1305" width="11.42578125" style="163"/>
    <col min="1306" max="1306" width="2.28515625" style="163" customWidth="1"/>
    <col min="1307" max="1307" width="2.7109375" style="163" customWidth="1"/>
    <col min="1308" max="1308" width="2.42578125" style="163" customWidth="1"/>
    <col min="1309" max="1309" width="17.7109375" style="163" customWidth="1"/>
    <col min="1310" max="1310" width="1.5703125" style="163" customWidth="1"/>
    <col min="1311" max="1311" width="6.42578125" style="163" customWidth="1"/>
    <col min="1312" max="1312" width="13.140625" style="163" customWidth="1"/>
    <col min="1313" max="1313" width="1" style="163" customWidth="1"/>
    <col min="1314" max="1314" width="19.5703125" style="163" customWidth="1"/>
    <col min="1315" max="1315" width="0.85546875" style="163" customWidth="1"/>
    <col min="1316" max="1316" width="14.42578125" style="163" customWidth="1"/>
    <col min="1317" max="1317" width="12.85546875" style="163" customWidth="1"/>
    <col min="1318" max="1318" width="6.140625" style="163" customWidth="1"/>
    <col min="1319" max="1320" width="11.42578125" style="163"/>
    <col min="1321" max="1321" width="15.42578125" style="163" customWidth="1"/>
    <col min="1322" max="1561" width="11.42578125" style="163"/>
    <col min="1562" max="1562" width="2.28515625" style="163" customWidth="1"/>
    <col min="1563" max="1563" width="2.7109375" style="163" customWidth="1"/>
    <col min="1564" max="1564" width="2.42578125" style="163" customWidth="1"/>
    <col min="1565" max="1565" width="17.7109375" style="163" customWidth="1"/>
    <col min="1566" max="1566" width="1.5703125" style="163" customWidth="1"/>
    <col min="1567" max="1567" width="6.42578125" style="163" customWidth="1"/>
    <col min="1568" max="1568" width="13.140625" style="163" customWidth="1"/>
    <col min="1569" max="1569" width="1" style="163" customWidth="1"/>
    <col min="1570" max="1570" width="19.5703125" style="163" customWidth="1"/>
    <col min="1571" max="1571" width="0.85546875" style="163" customWidth="1"/>
    <col min="1572" max="1572" width="14.42578125" style="163" customWidth="1"/>
    <col min="1573" max="1573" width="12.85546875" style="163" customWidth="1"/>
    <col min="1574" max="1574" width="6.140625" style="163" customWidth="1"/>
    <col min="1575" max="1576" width="11.42578125" style="163"/>
    <col min="1577" max="1577" width="15.42578125" style="163" customWidth="1"/>
    <col min="1578" max="1817" width="11.42578125" style="163"/>
    <col min="1818" max="1818" width="2.28515625" style="163" customWidth="1"/>
    <col min="1819" max="1819" width="2.7109375" style="163" customWidth="1"/>
    <col min="1820" max="1820" width="2.42578125" style="163" customWidth="1"/>
    <col min="1821" max="1821" width="17.7109375" style="163" customWidth="1"/>
    <col min="1822" max="1822" width="1.5703125" style="163" customWidth="1"/>
    <col min="1823" max="1823" width="6.42578125" style="163" customWidth="1"/>
    <col min="1824" max="1824" width="13.140625" style="163" customWidth="1"/>
    <col min="1825" max="1825" width="1" style="163" customWidth="1"/>
    <col min="1826" max="1826" width="19.5703125" style="163" customWidth="1"/>
    <col min="1827" max="1827" width="0.85546875" style="163" customWidth="1"/>
    <col min="1828" max="1828" width="14.42578125" style="163" customWidth="1"/>
    <col min="1829" max="1829" width="12.85546875" style="163" customWidth="1"/>
    <col min="1830" max="1830" width="6.140625" style="163" customWidth="1"/>
    <col min="1831" max="1832" width="11.42578125" style="163"/>
    <col min="1833" max="1833" width="15.42578125" style="163" customWidth="1"/>
    <col min="1834" max="2073" width="11.42578125" style="163"/>
    <col min="2074" max="2074" width="2.28515625" style="163" customWidth="1"/>
    <col min="2075" max="2075" width="2.7109375" style="163" customWidth="1"/>
    <col min="2076" max="2076" width="2.42578125" style="163" customWidth="1"/>
    <col min="2077" max="2077" width="17.7109375" style="163" customWidth="1"/>
    <col min="2078" max="2078" width="1.5703125" style="163" customWidth="1"/>
    <col min="2079" max="2079" width="6.42578125" style="163" customWidth="1"/>
    <col min="2080" max="2080" width="13.140625" style="163" customWidth="1"/>
    <col min="2081" max="2081" width="1" style="163" customWidth="1"/>
    <col min="2082" max="2082" width="19.5703125" style="163" customWidth="1"/>
    <col min="2083" max="2083" width="0.85546875" style="163" customWidth="1"/>
    <col min="2084" max="2084" width="14.42578125" style="163" customWidth="1"/>
    <col min="2085" max="2085" width="12.85546875" style="163" customWidth="1"/>
    <col min="2086" max="2086" width="6.140625" style="163" customWidth="1"/>
    <col min="2087" max="2088" width="11.42578125" style="163"/>
    <col min="2089" max="2089" width="15.42578125" style="163" customWidth="1"/>
    <col min="2090" max="2329" width="11.42578125" style="163"/>
    <col min="2330" max="2330" width="2.28515625" style="163" customWidth="1"/>
    <col min="2331" max="2331" width="2.7109375" style="163" customWidth="1"/>
    <col min="2332" max="2332" width="2.42578125" style="163" customWidth="1"/>
    <col min="2333" max="2333" width="17.7109375" style="163" customWidth="1"/>
    <col min="2334" max="2334" width="1.5703125" style="163" customWidth="1"/>
    <col min="2335" max="2335" width="6.42578125" style="163" customWidth="1"/>
    <col min="2336" max="2336" width="13.140625" style="163" customWidth="1"/>
    <col min="2337" max="2337" width="1" style="163" customWidth="1"/>
    <col min="2338" max="2338" width="19.5703125" style="163" customWidth="1"/>
    <col min="2339" max="2339" width="0.85546875" style="163" customWidth="1"/>
    <col min="2340" max="2340" width="14.42578125" style="163" customWidth="1"/>
    <col min="2341" max="2341" width="12.85546875" style="163" customWidth="1"/>
    <col min="2342" max="2342" width="6.140625" style="163" customWidth="1"/>
    <col min="2343" max="2344" width="11.42578125" style="163"/>
    <col min="2345" max="2345" width="15.42578125" style="163" customWidth="1"/>
    <col min="2346" max="2585" width="11.42578125" style="163"/>
    <col min="2586" max="2586" width="2.28515625" style="163" customWidth="1"/>
    <col min="2587" max="2587" width="2.7109375" style="163" customWidth="1"/>
    <col min="2588" max="2588" width="2.42578125" style="163" customWidth="1"/>
    <col min="2589" max="2589" width="17.7109375" style="163" customWidth="1"/>
    <col min="2590" max="2590" width="1.5703125" style="163" customWidth="1"/>
    <col min="2591" max="2591" width="6.42578125" style="163" customWidth="1"/>
    <col min="2592" max="2592" width="13.140625" style="163" customWidth="1"/>
    <col min="2593" max="2593" width="1" style="163" customWidth="1"/>
    <col min="2594" max="2594" width="19.5703125" style="163" customWidth="1"/>
    <col min="2595" max="2595" width="0.85546875" style="163" customWidth="1"/>
    <col min="2596" max="2596" width="14.42578125" style="163" customWidth="1"/>
    <col min="2597" max="2597" width="12.85546875" style="163" customWidth="1"/>
    <col min="2598" max="2598" width="6.140625" style="163" customWidth="1"/>
    <col min="2599" max="2600" width="11.42578125" style="163"/>
    <col min="2601" max="2601" width="15.42578125" style="163" customWidth="1"/>
    <col min="2602" max="2841" width="11.42578125" style="163"/>
    <col min="2842" max="2842" width="2.28515625" style="163" customWidth="1"/>
    <col min="2843" max="2843" width="2.7109375" style="163" customWidth="1"/>
    <col min="2844" max="2844" width="2.42578125" style="163" customWidth="1"/>
    <col min="2845" max="2845" width="17.7109375" style="163" customWidth="1"/>
    <col min="2846" max="2846" width="1.5703125" style="163" customWidth="1"/>
    <col min="2847" max="2847" width="6.42578125" style="163" customWidth="1"/>
    <col min="2848" max="2848" width="13.140625" style="163" customWidth="1"/>
    <col min="2849" max="2849" width="1" style="163" customWidth="1"/>
    <col min="2850" max="2850" width="19.5703125" style="163" customWidth="1"/>
    <col min="2851" max="2851" width="0.85546875" style="163" customWidth="1"/>
    <col min="2852" max="2852" width="14.42578125" style="163" customWidth="1"/>
    <col min="2853" max="2853" width="12.85546875" style="163" customWidth="1"/>
    <col min="2854" max="2854" width="6.140625" style="163" customWidth="1"/>
    <col min="2855" max="2856" width="11.42578125" style="163"/>
    <col min="2857" max="2857" width="15.42578125" style="163" customWidth="1"/>
    <col min="2858" max="3097" width="11.42578125" style="163"/>
    <col min="3098" max="3098" width="2.28515625" style="163" customWidth="1"/>
    <col min="3099" max="3099" width="2.7109375" style="163" customWidth="1"/>
    <col min="3100" max="3100" width="2.42578125" style="163" customWidth="1"/>
    <col min="3101" max="3101" width="17.7109375" style="163" customWidth="1"/>
    <col min="3102" max="3102" width="1.5703125" style="163" customWidth="1"/>
    <col min="3103" max="3103" width="6.42578125" style="163" customWidth="1"/>
    <col min="3104" max="3104" width="13.140625" style="163" customWidth="1"/>
    <col min="3105" max="3105" width="1" style="163" customWidth="1"/>
    <col min="3106" max="3106" width="19.5703125" style="163" customWidth="1"/>
    <col min="3107" max="3107" width="0.85546875" style="163" customWidth="1"/>
    <col min="3108" max="3108" width="14.42578125" style="163" customWidth="1"/>
    <col min="3109" max="3109" width="12.85546875" style="163" customWidth="1"/>
    <col min="3110" max="3110" width="6.140625" style="163" customWidth="1"/>
    <col min="3111" max="3112" width="11.42578125" style="163"/>
    <col min="3113" max="3113" width="15.42578125" style="163" customWidth="1"/>
    <col min="3114" max="3353" width="11.42578125" style="163"/>
    <col min="3354" max="3354" width="2.28515625" style="163" customWidth="1"/>
    <col min="3355" max="3355" width="2.7109375" style="163" customWidth="1"/>
    <col min="3356" max="3356" width="2.42578125" style="163" customWidth="1"/>
    <col min="3357" max="3357" width="17.7109375" style="163" customWidth="1"/>
    <col min="3358" max="3358" width="1.5703125" style="163" customWidth="1"/>
    <col min="3359" max="3359" width="6.42578125" style="163" customWidth="1"/>
    <col min="3360" max="3360" width="13.140625" style="163" customWidth="1"/>
    <col min="3361" max="3361" width="1" style="163" customWidth="1"/>
    <col min="3362" max="3362" width="19.5703125" style="163" customWidth="1"/>
    <col min="3363" max="3363" width="0.85546875" style="163" customWidth="1"/>
    <col min="3364" max="3364" width="14.42578125" style="163" customWidth="1"/>
    <col min="3365" max="3365" width="12.85546875" style="163" customWidth="1"/>
    <col min="3366" max="3366" width="6.140625" style="163" customWidth="1"/>
    <col min="3367" max="3368" width="11.42578125" style="163"/>
    <col min="3369" max="3369" width="15.42578125" style="163" customWidth="1"/>
    <col min="3370" max="3609" width="11.42578125" style="163"/>
    <col min="3610" max="3610" width="2.28515625" style="163" customWidth="1"/>
    <col min="3611" max="3611" width="2.7109375" style="163" customWidth="1"/>
    <col min="3612" max="3612" width="2.42578125" style="163" customWidth="1"/>
    <col min="3613" max="3613" width="17.7109375" style="163" customWidth="1"/>
    <col min="3614" max="3614" width="1.5703125" style="163" customWidth="1"/>
    <col min="3615" max="3615" width="6.42578125" style="163" customWidth="1"/>
    <col min="3616" max="3616" width="13.140625" style="163" customWidth="1"/>
    <col min="3617" max="3617" width="1" style="163" customWidth="1"/>
    <col min="3618" max="3618" width="19.5703125" style="163" customWidth="1"/>
    <col min="3619" max="3619" width="0.85546875" style="163" customWidth="1"/>
    <col min="3620" max="3620" width="14.42578125" style="163" customWidth="1"/>
    <col min="3621" max="3621" width="12.85546875" style="163" customWidth="1"/>
    <col min="3622" max="3622" width="6.140625" style="163" customWidth="1"/>
    <col min="3623" max="3624" width="11.42578125" style="163"/>
    <col min="3625" max="3625" width="15.42578125" style="163" customWidth="1"/>
    <col min="3626" max="3865" width="11.42578125" style="163"/>
    <col min="3866" max="3866" width="2.28515625" style="163" customWidth="1"/>
    <col min="3867" max="3867" width="2.7109375" style="163" customWidth="1"/>
    <col min="3868" max="3868" width="2.42578125" style="163" customWidth="1"/>
    <col min="3869" max="3869" width="17.7109375" style="163" customWidth="1"/>
    <col min="3870" max="3870" width="1.5703125" style="163" customWidth="1"/>
    <col min="3871" max="3871" width="6.42578125" style="163" customWidth="1"/>
    <col min="3872" max="3872" width="13.140625" style="163" customWidth="1"/>
    <col min="3873" max="3873" width="1" style="163" customWidth="1"/>
    <col min="3874" max="3874" width="19.5703125" style="163" customWidth="1"/>
    <col min="3875" max="3875" width="0.85546875" style="163" customWidth="1"/>
    <col min="3876" max="3876" width="14.42578125" style="163" customWidth="1"/>
    <col min="3877" max="3877" width="12.85546875" style="163" customWidth="1"/>
    <col min="3878" max="3878" width="6.140625" style="163" customWidth="1"/>
    <col min="3879" max="3880" width="11.42578125" style="163"/>
    <col min="3881" max="3881" width="15.42578125" style="163" customWidth="1"/>
    <col min="3882" max="4121" width="11.42578125" style="163"/>
    <col min="4122" max="4122" width="2.28515625" style="163" customWidth="1"/>
    <col min="4123" max="4123" width="2.7109375" style="163" customWidth="1"/>
    <col min="4124" max="4124" width="2.42578125" style="163" customWidth="1"/>
    <col min="4125" max="4125" width="17.7109375" style="163" customWidth="1"/>
    <col min="4126" max="4126" width="1.5703125" style="163" customWidth="1"/>
    <col min="4127" max="4127" width="6.42578125" style="163" customWidth="1"/>
    <col min="4128" max="4128" width="13.140625" style="163" customWidth="1"/>
    <col min="4129" max="4129" width="1" style="163" customWidth="1"/>
    <col min="4130" max="4130" width="19.5703125" style="163" customWidth="1"/>
    <col min="4131" max="4131" width="0.85546875" style="163" customWidth="1"/>
    <col min="4132" max="4132" width="14.42578125" style="163" customWidth="1"/>
    <col min="4133" max="4133" width="12.85546875" style="163" customWidth="1"/>
    <col min="4134" max="4134" width="6.140625" style="163" customWidth="1"/>
    <col min="4135" max="4136" width="11.42578125" style="163"/>
    <col min="4137" max="4137" width="15.42578125" style="163" customWidth="1"/>
    <col min="4138" max="4377" width="11.42578125" style="163"/>
    <col min="4378" max="4378" width="2.28515625" style="163" customWidth="1"/>
    <col min="4379" max="4379" width="2.7109375" style="163" customWidth="1"/>
    <col min="4380" max="4380" width="2.42578125" style="163" customWidth="1"/>
    <col min="4381" max="4381" width="17.7109375" style="163" customWidth="1"/>
    <col min="4382" max="4382" width="1.5703125" style="163" customWidth="1"/>
    <col min="4383" max="4383" width="6.42578125" style="163" customWidth="1"/>
    <col min="4384" max="4384" width="13.140625" style="163" customWidth="1"/>
    <col min="4385" max="4385" width="1" style="163" customWidth="1"/>
    <col min="4386" max="4386" width="19.5703125" style="163" customWidth="1"/>
    <col min="4387" max="4387" width="0.85546875" style="163" customWidth="1"/>
    <col min="4388" max="4388" width="14.42578125" style="163" customWidth="1"/>
    <col min="4389" max="4389" width="12.85546875" style="163" customWidth="1"/>
    <col min="4390" max="4390" width="6.140625" style="163" customWidth="1"/>
    <col min="4391" max="4392" width="11.42578125" style="163"/>
    <col min="4393" max="4393" width="15.42578125" style="163" customWidth="1"/>
    <col min="4394" max="4633" width="11.42578125" style="163"/>
    <col min="4634" max="4634" width="2.28515625" style="163" customWidth="1"/>
    <col min="4635" max="4635" width="2.7109375" style="163" customWidth="1"/>
    <col min="4636" max="4636" width="2.42578125" style="163" customWidth="1"/>
    <col min="4637" max="4637" width="17.7109375" style="163" customWidth="1"/>
    <col min="4638" max="4638" width="1.5703125" style="163" customWidth="1"/>
    <col min="4639" max="4639" width="6.42578125" style="163" customWidth="1"/>
    <col min="4640" max="4640" width="13.140625" style="163" customWidth="1"/>
    <col min="4641" max="4641" width="1" style="163" customWidth="1"/>
    <col min="4642" max="4642" width="19.5703125" style="163" customWidth="1"/>
    <col min="4643" max="4643" width="0.85546875" style="163" customWidth="1"/>
    <col min="4644" max="4644" width="14.42578125" style="163" customWidth="1"/>
    <col min="4645" max="4645" width="12.85546875" style="163" customWidth="1"/>
    <col min="4646" max="4646" width="6.140625" style="163" customWidth="1"/>
    <col min="4647" max="4648" width="11.42578125" style="163"/>
    <col min="4649" max="4649" width="15.42578125" style="163" customWidth="1"/>
    <col min="4650" max="4889" width="11.42578125" style="163"/>
    <col min="4890" max="4890" width="2.28515625" style="163" customWidth="1"/>
    <col min="4891" max="4891" width="2.7109375" style="163" customWidth="1"/>
    <col min="4892" max="4892" width="2.42578125" style="163" customWidth="1"/>
    <col min="4893" max="4893" width="17.7109375" style="163" customWidth="1"/>
    <col min="4894" max="4894" width="1.5703125" style="163" customWidth="1"/>
    <col min="4895" max="4895" width="6.42578125" style="163" customWidth="1"/>
    <col min="4896" max="4896" width="13.140625" style="163" customWidth="1"/>
    <col min="4897" max="4897" width="1" style="163" customWidth="1"/>
    <col min="4898" max="4898" width="19.5703125" style="163" customWidth="1"/>
    <col min="4899" max="4899" width="0.85546875" style="163" customWidth="1"/>
    <col min="4900" max="4900" width="14.42578125" style="163" customWidth="1"/>
    <col min="4901" max="4901" width="12.85546875" style="163" customWidth="1"/>
    <col min="4902" max="4902" width="6.140625" style="163" customWidth="1"/>
    <col min="4903" max="4904" width="11.42578125" style="163"/>
    <col min="4905" max="4905" width="15.42578125" style="163" customWidth="1"/>
    <col min="4906" max="5145" width="11.42578125" style="163"/>
    <col min="5146" max="5146" width="2.28515625" style="163" customWidth="1"/>
    <col min="5147" max="5147" width="2.7109375" style="163" customWidth="1"/>
    <col min="5148" max="5148" width="2.42578125" style="163" customWidth="1"/>
    <col min="5149" max="5149" width="17.7109375" style="163" customWidth="1"/>
    <col min="5150" max="5150" width="1.5703125" style="163" customWidth="1"/>
    <col min="5151" max="5151" width="6.42578125" style="163" customWidth="1"/>
    <col min="5152" max="5152" width="13.140625" style="163" customWidth="1"/>
    <col min="5153" max="5153" width="1" style="163" customWidth="1"/>
    <col min="5154" max="5154" width="19.5703125" style="163" customWidth="1"/>
    <col min="5155" max="5155" width="0.85546875" style="163" customWidth="1"/>
    <col min="5156" max="5156" width="14.42578125" style="163" customWidth="1"/>
    <col min="5157" max="5157" width="12.85546875" style="163" customWidth="1"/>
    <col min="5158" max="5158" width="6.140625" style="163" customWidth="1"/>
    <col min="5159" max="5160" width="11.42578125" style="163"/>
    <col min="5161" max="5161" width="15.42578125" style="163" customWidth="1"/>
    <col min="5162" max="5401" width="11.42578125" style="163"/>
    <col min="5402" max="5402" width="2.28515625" style="163" customWidth="1"/>
    <col min="5403" max="5403" width="2.7109375" style="163" customWidth="1"/>
    <col min="5404" max="5404" width="2.42578125" style="163" customWidth="1"/>
    <col min="5405" max="5405" width="17.7109375" style="163" customWidth="1"/>
    <col min="5406" max="5406" width="1.5703125" style="163" customWidth="1"/>
    <col min="5407" max="5407" width="6.42578125" style="163" customWidth="1"/>
    <col min="5408" max="5408" width="13.140625" style="163" customWidth="1"/>
    <col min="5409" max="5409" width="1" style="163" customWidth="1"/>
    <col min="5410" max="5410" width="19.5703125" style="163" customWidth="1"/>
    <col min="5411" max="5411" width="0.85546875" style="163" customWidth="1"/>
    <col min="5412" max="5412" width="14.42578125" style="163" customWidth="1"/>
    <col min="5413" max="5413" width="12.85546875" style="163" customWidth="1"/>
    <col min="5414" max="5414" width="6.140625" style="163" customWidth="1"/>
    <col min="5415" max="5416" width="11.42578125" style="163"/>
    <col min="5417" max="5417" width="15.42578125" style="163" customWidth="1"/>
    <col min="5418" max="5657" width="11.42578125" style="163"/>
    <col min="5658" max="5658" width="2.28515625" style="163" customWidth="1"/>
    <col min="5659" max="5659" width="2.7109375" style="163" customWidth="1"/>
    <col min="5660" max="5660" width="2.42578125" style="163" customWidth="1"/>
    <col min="5661" max="5661" width="17.7109375" style="163" customWidth="1"/>
    <col min="5662" max="5662" width="1.5703125" style="163" customWidth="1"/>
    <col min="5663" max="5663" width="6.42578125" style="163" customWidth="1"/>
    <col min="5664" max="5664" width="13.140625" style="163" customWidth="1"/>
    <col min="5665" max="5665" width="1" style="163" customWidth="1"/>
    <col min="5666" max="5666" width="19.5703125" style="163" customWidth="1"/>
    <col min="5667" max="5667" width="0.85546875" style="163" customWidth="1"/>
    <col min="5668" max="5668" width="14.42578125" style="163" customWidth="1"/>
    <col min="5669" max="5669" width="12.85546875" style="163" customWidth="1"/>
    <col min="5670" max="5670" width="6.140625" style="163" customWidth="1"/>
    <col min="5671" max="5672" width="11.42578125" style="163"/>
    <col min="5673" max="5673" width="15.42578125" style="163" customWidth="1"/>
    <col min="5674" max="5913" width="11.42578125" style="163"/>
    <col min="5914" max="5914" width="2.28515625" style="163" customWidth="1"/>
    <col min="5915" max="5915" width="2.7109375" style="163" customWidth="1"/>
    <col min="5916" max="5916" width="2.42578125" style="163" customWidth="1"/>
    <col min="5917" max="5917" width="17.7109375" style="163" customWidth="1"/>
    <col min="5918" max="5918" width="1.5703125" style="163" customWidth="1"/>
    <col min="5919" max="5919" width="6.42578125" style="163" customWidth="1"/>
    <col min="5920" max="5920" width="13.140625" style="163" customWidth="1"/>
    <col min="5921" max="5921" width="1" style="163" customWidth="1"/>
    <col min="5922" max="5922" width="19.5703125" style="163" customWidth="1"/>
    <col min="5923" max="5923" width="0.85546875" style="163" customWidth="1"/>
    <col min="5924" max="5924" width="14.42578125" style="163" customWidth="1"/>
    <col min="5925" max="5925" width="12.85546875" style="163" customWidth="1"/>
    <col min="5926" max="5926" width="6.140625" style="163" customWidth="1"/>
    <col min="5927" max="5928" width="11.42578125" style="163"/>
    <col min="5929" max="5929" width="15.42578125" style="163" customWidth="1"/>
    <col min="5930" max="6169" width="11.42578125" style="163"/>
    <col min="6170" max="6170" width="2.28515625" style="163" customWidth="1"/>
    <col min="6171" max="6171" width="2.7109375" style="163" customWidth="1"/>
    <col min="6172" max="6172" width="2.42578125" style="163" customWidth="1"/>
    <col min="6173" max="6173" width="17.7109375" style="163" customWidth="1"/>
    <col min="6174" max="6174" width="1.5703125" style="163" customWidth="1"/>
    <col min="6175" max="6175" width="6.42578125" style="163" customWidth="1"/>
    <col min="6176" max="6176" width="13.140625" style="163" customWidth="1"/>
    <col min="6177" max="6177" width="1" style="163" customWidth="1"/>
    <col min="6178" max="6178" width="19.5703125" style="163" customWidth="1"/>
    <col min="6179" max="6179" width="0.85546875" style="163" customWidth="1"/>
    <col min="6180" max="6180" width="14.42578125" style="163" customWidth="1"/>
    <col min="6181" max="6181" width="12.85546875" style="163" customWidth="1"/>
    <col min="6182" max="6182" width="6.140625" style="163" customWidth="1"/>
    <col min="6183" max="6184" width="11.42578125" style="163"/>
    <col min="6185" max="6185" width="15.42578125" style="163" customWidth="1"/>
    <col min="6186" max="6425" width="11.42578125" style="163"/>
    <col min="6426" max="6426" width="2.28515625" style="163" customWidth="1"/>
    <col min="6427" max="6427" width="2.7109375" style="163" customWidth="1"/>
    <col min="6428" max="6428" width="2.42578125" style="163" customWidth="1"/>
    <col min="6429" max="6429" width="17.7109375" style="163" customWidth="1"/>
    <col min="6430" max="6430" width="1.5703125" style="163" customWidth="1"/>
    <col min="6431" max="6431" width="6.42578125" style="163" customWidth="1"/>
    <col min="6432" max="6432" width="13.140625" style="163" customWidth="1"/>
    <col min="6433" max="6433" width="1" style="163" customWidth="1"/>
    <col min="6434" max="6434" width="19.5703125" style="163" customWidth="1"/>
    <col min="6435" max="6435" width="0.85546875" style="163" customWidth="1"/>
    <col min="6436" max="6436" width="14.42578125" style="163" customWidth="1"/>
    <col min="6437" max="6437" width="12.85546875" style="163" customWidth="1"/>
    <col min="6438" max="6438" width="6.140625" style="163" customWidth="1"/>
    <col min="6439" max="6440" width="11.42578125" style="163"/>
    <col min="6441" max="6441" width="15.42578125" style="163" customWidth="1"/>
    <col min="6442" max="6681" width="11.42578125" style="163"/>
    <col min="6682" max="6682" width="2.28515625" style="163" customWidth="1"/>
    <col min="6683" max="6683" width="2.7109375" style="163" customWidth="1"/>
    <col min="6684" max="6684" width="2.42578125" style="163" customWidth="1"/>
    <col min="6685" max="6685" width="17.7109375" style="163" customWidth="1"/>
    <col min="6686" max="6686" width="1.5703125" style="163" customWidth="1"/>
    <col min="6687" max="6687" width="6.42578125" style="163" customWidth="1"/>
    <col min="6688" max="6688" width="13.140625" style="163" customWidth="1"/>
    <col min="6689" max="6689" width="1" style="163" customWidth="1"/>
    <col min="6690" max="6690" width="19.5703125" style="163" customWidth="1"/>
    <col min="6691" max="6691" width="0.85546875" style="163" customWidth="1"/>
    <col min="6692" max="6692" width="14.42578125" style="163" customWidth="1"/>
    <col min="6693" max="6693" width="12.85546875" style="163" customWidth="1"/>
    <col min="6694" max="6694" width="6.140625" style="163" customWidth="1"/>
    <col min="6695" max="6696" width="11.42578125" style="163"/>
    <col min="6697" max="6697" width="15.42578125" style="163" customWidth="1"/>
    <col min="6698" max="6937" width="11.42578125" style="163"/>
    <col min="6938" max="6938" width="2.28515625" style="163" customWidth="1"/>
    <col min="6939" max="6939" width="2.7109375" style="163" customWidth="1"/>
    <col min="6940" max="6940" width="2.42578125" style="163" customWidth="1"/>
    <col min="6941" max="6941" width="17.7109375" style="163" customWidth="1"/>
    <col min="6942" max="6942" width="1.5703125" style="163" customWidth="1"/>
    <col min="6943" max="6943" width="6.42578125" style="163" customWidth="1"/>
    <col min="6944" max="6944" width="13.140625" style="163" customWidth="1"/>
    <col min="6945" max="6945" width="1" style="163" customWidth="1"/>
    <col min="6946" max="6946" width="19.5703125" style="163" customWidth="1"/>
    <col min="6947" max="6947" width="0.85546875" style="163" customWidth="1"/>
    <col min="6948" max="6948" width="14.42578125" style="163" customWidth="1"/>
    <col min="6949" max="6949" width="12.85546875" style="163" customWidth="1"/>
    <col min="6950" max="6950" width="6.140625" style="163" customWidth="1"/>
    <col min="6951" max="6952" width="11.42578125" style="163"/>
    <col min="6953" max="6953" width="15.42578125" style="163" customWidth="1"/>
    <col min="6954" max="7193" width="11.42578125" style="163"/>
    <col min="7194" max="7194" width="2.28515625" style="163" customWidth="1"/>
    <col min="7195" max="7195" width="2.7109375" style="163" customWidth="1"/>
    <col min="7196" max="7196" width="2.42578125" style="163" customWidth="1"/>
    <col min="7197" max="7197" width="17.7109375" style="163" customWidth="1"/>
    <col min="7198" max="7198" width="1.5703125" style="163" customWidth="1"/>
    <col min="7199" max="7199" width="6.42578125" style="163" customWidth="1"/>
    <col min="7200" max="7200" width="13.140625" style="163" customWidth="1"/>
    <col min="7201" max="7201" width="1" style="163" customWidth="1"/>
    <col min="7202" max="7202" width="19.5703125" style="163" customWidth="1"/>
    <col min="7203" max="7203" width="0.85546875" style="163" customWidth="1"/>
    <col min="7204" max="7204" width="14.42578125" style="163" customWidth="1"/>
    <col min="7205" max="7205" width="12.85546875" style="163" customWidth="1"/>
    <col min="7206" max="7206" width="6.140625" style="163" customWidth="1"/>
    <col min="7207" max="7208" width="11.42578125" style="163"/>
    <col min="7209" max="7209" width="15.42578125" style="163" customWidth="1"/>
    <col min="7210" max="7449" width="11.42578125" style="163"/>
    <col min="7450" max="7450" width="2.28515625" style="163" customWidth="1"/>
    <col min="7451" max="7451" width="2.7109375" style="163" customWidth="1"/>
    <col min="7452" max="7452" width="2.42578125" style="163" customWidth="1"/>
    <col min="7453" max="7453" width="17.7109375" style="163" customWidth="1"/>
    <col min="7454" max="7454" width="1.5703125" style="163" customWidth="1"/>
    <col min="7455" max="7455" width="6.42578125" style="163" customWidth="1"/>
    <col min="7456" max="7456" width="13.140625" style="163" customWidth="1"/>
    <col min="7457" max="7457" width="1" style="163" customWidth="1"/>
    <col min="7458" max="7458" width="19.5703125" style="163" customWidth="1"/>
    <col min="7459" max="7459" width="0.85546875" style="163" customWidth="1"/>
    <col min="7460" max="7460" width="14.42578125" style="163" customWidth="1"/>
    <col min="7461" max="7461" width="12.85546875" style="163" customWidth="1"/>
    <col min="7462" max="7462" width="6.140625" style="163" customWidth="1"/>
    <col min="7463" max="7464" width="11.42578125" style="163"/>
    <col min="7465" max="7465" width="15.42578125" style="163" customWidth="1"/>
    <col min="7466" max="7705" width="11.42578125" style="163"/>
    <col min="7706" max="7706" width="2.28515625" style="163" customWidth="1"/>
    <col min="7707" max="7707" width="2.7109375" style="163" customWidth="1"/>
    <col min="7708" max="7708" width="2.42578125" style="163" customWidth="1"/>
    <col min="7709" max="7709" width="17.7109375" style="163" customWidth="1"/>
    <col min="7710" max="7710" width="1.5703125" style="163" customWidth="1"/>
    <col min="7711" max="7711" width="6.42578125" style="163" customWidth="1"/>
    <col min="7712" max="7712" width="13.140625" style="163" customWidth="1"/>
    <col min="7713" max="7713" width="1" style="163" customWidth="1"/>
    <col min="7714" max="7714" width="19.5703125" style="163" customWidth="1"/>
    <col min="7715" max="7715" width="0.85546875" style="163" customWidth="1"/>
    <col min="7716" max="7716" width="14.42578125" style="163" customWidth="1"/>
    <col min="7717" max="7717" width="12.85546875" style="163" customWidth="1"/>
    <col min="7718" max="7718" width="6.140625" style="163" customWidth="1"/>
    <col min="7719" max="7720" width="11.42578125" style="163"/>
    <col min="7721" max="7721" width="15.42578125" style="163" customWidth="1"/>
    <col min="7722" max="7961" width="11.42578125" style="163"/>
    <col min="7962" max="7962" width="2.28515625" style="163" customWidth="1"/>
    <col min="7963" max="7963" width="2.7109375" style="163" customWidth="1"/>
    <col min="7964" max="7964" width="2.42578125" style="163" customWidth="1"/>
    <col min="7965" max="7965" width="17.7109375" style="163" customWidth="1"/>
    <col min="7966" max="7966" width="1.5703125" style="163" customWidth="1"/>
    <col min="7967" max="7967" width="6.42578125" style="163" customWidth="1"/>
    <col min="7968" max="7968" width="13.140625" style="163" customWidth="1"/>
    <col min="7969" max="7969" width="1" style="163" customWidth="1"/>
    <col min="7970" max="7970" width="19.5703125" style="163" customWidth="1"/>
    <col min="7971" max="7971" width="0.85546875" style="163" customWidth="1"/>
    <col min="7972" max="7972" width="14.42578125" style="163" customWidth="1"/>
    <col min="7973" max="7973" width="12.85546875" style="163" customWidth="1"/>
    <col min="7974" max="7974" width="6.140625" style="163" customWidth="1"/>
    <col min="7975" max="7976" width="11.42578125" style="163"/>
    <col min="7977" max="7977" width="15.42578125" style="163" customWidth="1"/>
    <col min="7978" max="8217" width="11.42578125" style="163"/>
    <col min="8218" max="8218" width="2.28515625" style="163" customWidth="1"/>
    <col min="8219" max="8219" width="2.7109375" style="163" customWidth="1"/>
    <col min="8220" max="8220" width="2.42578125" style="163" customWidth="1"/>
    <col min="8221" max="8221" width="17.7109375" style="163" customWidth="1"/>
    <col min="8222" max="8222" width="1.5703125" style="163" customWidth="1"/>
    <col min="8223" max="8223" width="6.42578125" style="163" customWidth="1"/>
    <col min="8224" max="8224" width="13.140625" style="163" customWidth="1"/>
    <col min="8225" max="8225" width="1" style="163" customWidth="1"/>
    <col min="8226" max="8226" width="19.5703125" style="163" customWidth="1"/>
    <col min="8227" max="8227" width="0.85546875" style="163" customWidth="1"/>
    <col min="8228" max="8228" width="14.42578125" style="163" customWidth="1"/>
    <col min="8229" max="8229" width="12.85546875" style="163" customWidth="1"/>
    <col min="8230" max="8230" width="6.140625" style="163" customWidth="1"/>
    <col min="8231" max="8232" width="11.42578125" style="163"/>
    <col min="8233" max="8233" width="15.42578125" style="163" customWidth="1"/>
    <col min="8234" max="8473" width="11.42578125" style="163"/>
    <col min="8474" max="8474" width="2.28515625" style="163" customWidth="1"/>
    <col min="8475" max="8475" width="2.7109375" style="163" customWidth="1"/>
    <col min="8476" max="8476" width="2.42578125" style="163" customWidth="1"/>
    <col min="8477" max="8477" width="17.7109375" style="163" customWidth="1"/>
    <col min="8478" max="8478" width="1.5703125" style="163" customWidth="1"/>
    <col min="8479" max="8479" width="6.42578125" style="163" customWidth="1"/>
    <col min="8480" max="8480" width="13.140625" style="163" customWidth="1"/>
    <col min="8481" max="8481" width="1" style="163" customWidth="1"/>
    <col min="8482" max="8482" width="19.5703125" style="163" customWidth="1"/>
    <col min="8483" max="8483" width="0.85546875" style="163" customWidth="1"/>
    <col min="8484" max="8484" width="14.42578125" style="163" customWidth="1"/>
    <col min="8485" max="8485" width="12.85546875" style="163" customWidth="1"/>
    <col min="8486" max="8486" width="6.140625" style="163" customWidth="1"/>
    <col min="8487" max="8488" width="11.42578125" style="163"/>
    <col min="8489" max="8489" width="15.42578125" style="163" customWidth="1"/>
    <col min="8490" max="8729" width="11.42578125" style="163"/>
    <col min="8730" max="8730" width="2.28515625" style="163" customWidth="1"/>
    <col min="8731" max="8731" width="2.7109375" style="163" customWidth="1"/>
    <col min="8732" max="8732" width="2.42578125" style="163" customWidth="1"/>
    <col min="8733" max="8733" width="17.7109375" style="163" customWidth="1"/>
    <col min="8734" max="8734" width="1.5703125" style="163" customWidth="1"/>
    <col min="8735" max="8735" width="6.42578125" style="163" customWidth="1"/>
    <col min="8736" max="8736" width="13.140625" style="163" customWidth="1"/>
    <col min="8737" max="8737" width="1" style="163" customWidth="1"/>
    <col min="8738" max="8738" width="19.5703125" style="163" customWidth="1"/>
    <col min="8739" max="8739" width="0.85546875" style="163" customWidth="1"/>
    <col min="8740" max="8740" width="14.42578125" style="163" customWidth="1"/>
    <col min="8741" max="8741" width="12.85546875" style="163" customWidth="1"/>
    <col min="8742" max="8742" width="6.140625" style="163" customWidth="1"/>
    <col min="8743" max="8744" width="11.42578125" style="163"/>
    <col min="8745" max="8745" width="15.42578125" style="163" customWidth="1"/>
    <col min="8746" max="8985" width="11.42578125" style="163"/>
    <col min="8986" max="8986" width="2.28515625" style="163" customWidth="1"/>
    <col min="8987" max="8987" width="2.7109375" style="163" customWidth="1"/>
    <col min="8988" max="8988" width="2.42578125" style="163" customWidth="1"/>
    <col min="8989" max="8989" width="17.7109375" style="163" customWidth="1"/>
    <col min="8990" max="8990" width="1.5703125" style="163" customWidth="1"/>
    <col min="8991" max="8991" width="6.42578125" style="163" customWidth="1"/>
    <col min="8992" max="8992" width="13.140625" style="163" customWidth="1"/>
    <col min="8993" max="8993" width="1" style="163" customWidth="1"/>
    <col min="8994" max="8994" width="19.5703125" style="163" customWidth="1"/>
    <col min="8995" max="8995" width="0.85546875" style="163" customWidth="1"/>
    <col min="8996" max="8996" width="14.42578125" style="163" customWidth="1"/>
    <col min="8997" max="8997" width="12.85546875" style="163" customWidth="1"/>
    <col min="8998" max="8998" width="6.140625" style="163" customWidth="1"/>
    <col min="8999" max="9000" width="11.42578125" style="163"/>
    <col min="9001" max="9001" width="15.42578125" style="163" customWidth="1"/>
    <col min="9002" max="9241" width="11.42578125" style="163"/>
    <col min="9242" max="9242" width="2.28515625" style="163" customWidth="1"/>
    <col min="9243" max="9243" width="2.7109375" style="163" customWidth="1"/>
    <col min="9244" max="9244" width="2.42578125" style="163" customWidth="1"/>
    <col min="9245" max="9245" width="17.7109375" style="163" customWidth="1"/>
    <col min="9246" max="9246" width="1.5703125" style="163" customWidth="1"/>
    <col min="9247" max="9247" width="6.42578125" style="163" customWidth="1"/>
    <col min="9248" max="9248" width="13.140625" style="163" customWidth="1"/>
    <col min="9249" max="9249" width="1" style="163" customWidth="1"/>
    <col min="9250" max="9250" width="19.5703125" style="163" customWidth="1"/>
    <col min="9251" max="9251" width="0.85546875" style="163" customWidth="1"/>
    <col min="9252" max="9252" width="14.42578125" style="163" customWidth="1"/>
    <col min="9253" max="9253" width="12.85546875" style="163" customWidth="1"/>
    <col min="9254" max="9254" width="6.140625" style="163" customWidth="1"/>
    <col min="9255" max="9256" width="11.42578125" style="163"/>
    <col min="9257" max="9257" width="15.42578125" style="163" customWidth="1"/>
    <col min="9258" max="9497" width="11.42578125" style="163"/>
    <col min="9498" max="9498" width="2.28515625" style="163" customWidth="1"/>
    <col min="9499" max="9499" width="2.7109375" style="163" customWidth="1"/>
    <col min="9500" max="9500" width="2.42578125" style="163" customWidth="1"/>
    <col min="9501" max="9501" width="17.7109375" style="163" customWidth="1"/>
    <col min="9502" max="9502" width="1.5703125" style="163" customWidth="1"/>
    <col min="9503" max="9503" width="6.42578125" style="163" customWidth="1"/>
    <col min="9504" max="9504" width="13.140625" style="163" customWidth="1"/>
    <col min="9505" max="9505" width="1" style="163" customWidth="1"/>
    <col min="9506" max="9506" width="19.5703125" style="163" customWidth="1"/>
    <col min="9507" max="9507" width="0.85546875" style="163" customWidth="1"/>
    <col min="9508" max="9508" width="14.42578125" style="163" customWidth="1"/>
    <col min="9509" max="9509" width="12.85546875" style="163" customWidth="1"/>
    <col min="9510" max="9510" width="6.140625" style="163" customWidth="1"/>
    <col min="9511" max="9512" width="11.42578125" style="163"/>
    <col min="9513" max="9513" width="15.42578125" style="163" customWidth="1"/>
    <col min="9514" max="9753" width="11.42578125" style="163"/>
    <col min="9754" max="9754" width="2.28515625" style="163" customWidth="1"/>
    <col min="9755" max="9755" width="2.7109375" style="163" customWidth="1"/>
    <col min="9756" max="9756" width="2.42578125" style="163" customWidth="1"/>
    <col min="9757" max="9757" width="17.7109375" style="163" customWidth="1"/>
    <col min="9758" max="9758" width="1.5703125" style="163" customWidth="1"/>
    <col min="9759" max="9759" width="6.42578125" style="163" customWidth="1"/>
    <col min="9760" max="9760" width="13.140625" style="163" customWidth="1"/>
    <col min="9761" max="9761" width="1" style="163" customWidth="1"/>
    <col min="9762" max="9762" width="19.5703125" style="163" customWidth="1"/>
    <col min="9763" max="9763" width="0.85546875" style="163" customWidth="1"/>
    <col min="9764" max="9764" width="14.42578125" style="163" customWidth="1"/>
    <col min="9765" max="9765" width="12.85546875" style="163" customWidth="1"/>
    <col min="9766" max="9766" width="6.140625" style="163" customWidth="1"/>
    <col min="9767" max="9768" width="11.42578125" style="163"/>
    <col min="9769" max="9769" width="15.42578125" style="163" customWidth="1"/>
    <col min="9770" max="10009" width="11.42578125" style="163"/>
    <col min="10010" max="10010" width="2.28515625" style="163" customWidth="1"/>
    <col min="10011" max="10011" width="2.7109375" style="163" customWidth="1"/>
    <col min="10012" max="10012" width="2.42578125" style="163" customWidth="1"/>
    <col min="10013" max="10013" width="17.7109375" style="163" customWidth="1"/>
    <col min="10014" max="10014" width="1.5703125" style="163" customWidth="1"/>
    <col min="10015" max="10015" width="6.42578125" style="163" customWidth="1"/>
    <col min="10016" max="10016" width="13.140625" style="163" customWidth="1"/>
    <col min="10017" max="10017" width="1" style="163" customWidth="1"/>
    <col min="10018" max="10018" width="19.5703125" style="163" customWidth="1"/>
    <col min="10019" max="10019" width="0.85546875" style="163" customWidth="1"/>
    <col min="10020" max="10020" width="14.42578125" style="163" customWidth="1"/>
    <col min="10021" max="10021" width="12.85546875" style="163" customWidth="1"/>
    <col min="10022" max="10022" width="6.140625" style="163" customWidth="1"/>
    <col min="10023" max="10024" width="11.42578125" style="163"/>
    <col min="10025" max="10025" width="15.42578125" style="163" customWidth="1"/>
    <col min="10026" max="10265" width="11.42578125" style="163"/>
    <col min="10266" max="10266" width="2.28515625" style="163" customWidth="1"/>
    <col min="10267" max="10267" width="2.7109375" style="163" customWidth="1"/>
    <col min="10268" max="10268" width="2.42578125" style="163" customWidth="1"/>
    <col min="10269" max="10269" width="17.7109375" style="163" customWidth="1"/>
    <col min="10270" max="10270" width="1.5703125" style="163" customWidth="1"/>
    <col min="10271" max="10271" width="6.42578125" style="163" customWidth="1"/>
    <col min="10272" max="10272" width="13.140625" style="163" customWidth="1"/>
    <col min="10273" max="10273" width="1" style="163" customWidth="1"/>
    <col min="10274" max="10274" width="19.5703125" style="163" customWidth="1"/>
    <col min="10275" max="10275" width="0.85546875" style="163" customWidth="1"/>
    <col min="10276" max="10276" width="14.42578125" style="163" customWidth="1"/>
    <col min="10277" max="10277" width="12.85546875" style="163" customWidth="1"/>
    <col min="10278" max="10278" width="6.140625" style="163" customWidth="1"/>
    <col min="10279" max="10280" width="11.42578125" style="163"/>
    <col min="10281" max="10281" width="15.42578125" style="163" customWidth="1"/>
    <col min="10282" max="10521" width="11.42578125" style="163"/>
    <col min="10522" max="10522" width="2.28515625" style="163" customWidth="1"/>
    <col min="10523" max="10523" width="2.7109375" style="163" customWidth="1"/>
    <col min="10524" max="10524" width="2.42578125" style="163" customWidth="1"/>
    <col min="10525" max="10525" width="17.7109375" style="163" customWidth="1"/>
    <col min="10526" max="10526" width="1.5703125" style="163" customWidth="1"/>
    <col min="10527" max="10527" width="6.42578125" style="163" customWidth="1"/>
    <col min="10528" max="10528" width="13.140625" style="163" customWidth="1"/>
    <col min="10529" max="10529" width="1" style="163" customWidth="1"/>
    <col min="10530" max="10530" width="19.5703125" style="163" customWidth="1"/>
    <col min="10531" max="10531" width="0.85546875" style="163" customWidth="1"/>
    <col min="10532" max="10532" width="14.42578125" style="163" customWidth="1"/>
    <col min="10533" max="10533" width="12.85546875" style="163" customWidth="1"/>
    <col min="10534" max="10534" width="6.140625" style="163" customWidth="1"/>
    <col min="10535" max="10536" width="11.42578125" style="163"/>
    <col min="10537" max="10537" width="15.42578125" style="163" customWidth="1"/>
    <col min="10538" max="10777" width="11.42578125" style="163"/>
    <col min="10778" max="10778" width="2.28515625" style="163" customWidth="1"/>
    <col min="10779" max="10779" width="2.7109375" style="163" customWidth="1"/>
    <col min="10780" max="10780" width="2.42578125" style="163" customWidth="1"/>
    <col min="10781" max="10781" width="17.7109375" style="163" customWidth="1"/>
    <col min="10782" max="10782" width="1.5703125" style="163" customWidth="1"/>
    <col min="10783" max="10783" width="6.42578125" style="163" customWidth="1"/>
    <col min="10784" max="10784" width="13.140625" style="163" customWidth="1"/>
    <col min="10785" max="10785" width="1" style="163" customWidth="1"/>
    <col min="10786" max="10786" width="19.5703125" style="163" customWidth="1"/>
    <col min="10787" max="10787" width="0.85546875" style="163" customWidth="1"/>
    <col min="10788" max="10788" width="14.42578125" style="163" customWidth="1"/>
    <col min="10789" max="10789" width="12.85546875" style="163" customWidth="1"/>
    <col min="10790" max="10790" width="6.140625" style="163" customWidth="1"/>
    <col min="10791" max="10792" width="11.42578125" style="163"/>
    <col min="10793" max="10793" width="15.42578125" style="163" customWidth="1"/>
    <col min="10794" max="11033" width="11.42578125" style="163"/>
    <col min="11034" max="11034" width="2.28515625" style="163" customWidth="1"/>
    <col min="11035" max="11035" width="2.7109375" style="163" customWidth="1"/>
    <col min="11036" max="11036" width="2.42578125" style="163" customWidth="1"/>
    <col min="11037" max="11037" width="17.7109375" style="163" customWidth="1"/>
    <col min="11038" max="11038" width="1.5703125" style="163" customWidth="1"/>
    <col min="11039" max="11039" width="6.42578125" style="163" customWidth="1"/>
    <col min="11040" max="11040" width="13.140625" style="163" customWidth="1"/>
    <col min="11041" max="11041" width="1" style="163" customWidth="1"/>
    <col min="11042" max="11042" width="19.5703125" style="163" customWidth="1"/>
    <col min="11043" max="11043" width="0.85546875" style="163" customWidth="1"/>
    <col min="11044" max="11044" width="14.42578125" style="163" customWidth="1"/>
    <col min="11045" max="11045" width="12.85546875" style="163" customWidth="1"/>
    <col min="11046" max="11046" width="6.140625" style="163" customWidth="1"/>
    <col min="11047" max="11048" width="11.42578125" style="163"/>
    <col min="11049" max="11049" width="15.42578125" style="163" customWidth="1"/>
    <col min="11050" max="11289" width="11.42578125" style="163"/>
    <col min="11290" max="11290" width="2.28515625" style="163" customWidth="1"/>
    <col min="11291" max="11291" width="2.7109375" style="163" customWidth="1"/>
    <col min="11292" max="11292" width="2.42578125" style="163" customWidth="1"/>
    <col min="11293" max="11293" width="17.7109375" style="163" customWidth="1"/>
    <col min="11294" max="11294" width="1.5703125" style="163" customWidth="1"/>
    <col min="11295" max="11295" width="6.42578125" style="163" customWidth="1"/>
    <col min="11296" max="11296" width="13.140625" style="163" customWidth="1"/>
    <col min="11297" max="11297" width="1" style="163" customWidth="1"/>
    <col min="11298" max="11298" width="19.5703125" style="163" customWidth="1"/>
    <col min="11299" max="11299" width="0.85546875" style="163" customWidth="1"/>
    <col min="11300" max="11300" width="14.42578125" style="163" customWidth="1"/>
    <col min="11301" max="11301" width="12.85546875" style="163" customWidth="1"/>
    <col min="11302" max="11302" width="6.140625" style="163" customWidth="1"/>
    <col min="11303" max="11304" width="11.42578125" style="163"/>
    <col min="11305" max="11305" width="15.42578125" style="163" customWidth="1"/>
    <col min="11306" max="11545" width="11.42578125" style="163"/>
    <col min="11546" max="11546" width="2.28515625" style="163" customWidth="1"/>
    <col min="11547" max="11547" width="2.7109375" style="163" customWidth="1"/>
    <col min="11548" max="11548" width="2.42578125" style="163" customWidth="1"/>
    <col min="11549" max="11549" width="17.7109375" style="163" customWidth="1"/>
    <col min="11550" max="11550" width="1.5703125" style="163" customWidth="1"/>
    <col min="11551" max="11551" width="6.42578125" style="163" customWidth="1"/>
    <col min="11552" max="11552" width="13.140625" style="163" customWidth="1"/>
    <col min="11553" max="11553" width="1" style="163" customWidth="1"/>
    <col min="11554" max="11554" width="19.5703125" style="163" customWidth="1"/>
    <col min="11555" max="11555" width="0.85546875" style="163" customWidth="1"/>
    <col min="11556" max="11556" width="14.42578125" style="163" customWidth="1"/>
    <col min="11557" max="11557" width="12.85546875" style="163" customWidth="1"/>
    <col min="11558" max="11558" width="6.140625" style="163" customWidth="1"/>
    <col min="11559" max="11560" width="11.42578125" style="163"/>
    <col min="11561" max="11561" width="15.42578125" style="163" customWidth="1"/>
    <col min="11562" max="11801" width="11.42578125" style="163"/>
    <col min="11802" max="11802" width="2.28515625" style="163" customWidth="1"/>
    <col min="11803" max="11803" width="2.7109375" style="163" customWidth="1"/>
    <col min="11804" max="11804" width="2.42578125" style="163" customWidth="1"/>
    <col min="11805" max="11805" width="17.7109375" style="163" customWidth="1"/>
    <col min="11806" max="11806" width="1.5703125" style="163" customWidth="1"/>
    <col min="11807" max="11807" width="6.42578125" style="163" customWidth="1"/>
    <col min="11808" max="11808" width="13.140625" style="163" customWidth="1"/>
    <col min="11809" max="11809" width="1" style="163" customWidth="1"/>
    <col min="11810" max="11810" width="19.5703125" style="163" customWidth="1"/>
    <col min="11811" max="11811" width="0.85546875" style="163" customWidth="1"/>
    <col min="11812" max="11812" width="14.42578125" style="163" customWidth="1"/>
    <col min="11813" max="11813" width="12.85546875" style="163" customWidth="1"/>
    <col min="11814" max="11814" width="6.140625" style="163" customWidth="1"/>
    <col min="11815" max="11816" width="11.42578125" style="163"/>
    <col min="11817" max="11817" width="15.42578125" style="163" customWidth="1"/>
    <col min="11818" max="12057" width="11.42578125" style="163"/>
    <col min="12058" max="12058" width="2.28515625" style="163" customWidth="1"/>
    <col min="12059" max="12059" width="2.7109375" style="163" customWidth="1"/>
    <col min="12060" max="12060" width="2.42578125" style="163" customWidth="1"/>
    <col min="12061" max="12061" width="17.7109375" style="163" customWidth="1"/>
    <col min="12062" max="12062" width="1.5703125" style="163" customWidth="1"/>
    <col min="12063" max="12063" width="6.42578125" style="163" customWidth="1"/>
    <col min="12064" max="12064" width="13.140625" style="163" customWidth="1"/>
    <col min="12065" max="12065" width="1" style="163" customWidth="1"/>
    <col min="12066" max="12066" width="19.5703125" style="163" customWidth="1"/>
    <col min="12067" max="12067" width="0.85546875" style="163" customWidth="1"/>
    <col min="12068" max="12068" width="14.42578125" style="163" customWidth="1"/>
    <col min="12069" max="12069" width="12.85546875" style="163" customWidth="1"/>
    <col min="12070" max="12070" width="6.140625" style="163" customWidth="1"/>
    <col min="12071" max="12072" width="11.42578125" style="163"/>
    <col min="12073" max="12073" width="15.42578125" style="163" customWidth="1"/>
    <col min="12074" max="12313" width="11.42578125" style="163"/>
    <col min="12314" max="12314" width="2.28515625" style="163" customWidth="1"/>
    <col min="12315" max="12315" width="2.7109375" style="163" customWidth="1"/>
    <col min="12316" max="12316" width="2.42578125" style="163" customWidth="1"/>
    <col min="12317" max="12317" width="17.7109375" style="163" customWidth="1"/>
    <col min="12318" max="12318" width="1.5703125" style="163" customWidth="1"/>
    <col min="12319" max="12319" width="6.42578125" style="163" customWidth="1"/>
    <col min="12320" max="12320" width="13.140625" style="163" customWidth="1"/>
    <col min="12321" max="12321" width="1" style="163" customWidth="1"/>
    <col min="12322" max="12322" width="19.5703125" style="163" customWidth="1"/>
    <col min="12323" max="12323" width="0.85546875" style="163" customWidth="1"/>
    <col min="12324" max="12324" width="14.42578125" style="163" customWidth="1"/>
    <col min="12325" max="12325" width="12.85546875" style="163" customWidth="1"/>
    <col min="12326" max="12326" width="6.140625" style="163" customWidth="1"/>
    <col min="12327" max="12328" width="11.42578125" style="163"/>
    <col min="12329" max="12329" width="15.42578125" style="163" customWidth="1"/>
    <col min="12330" max="12569" width="11.42578125" style="163"/>
    <col min="12570" max="12570" width="2.28515625" style="163" customWidth="1"/>
    <col min="12571" max="12571" width="2.7109375" style="163" customWidth="1"/>
    <col min="12572" max="12572" width="2.42578125" style="163" customWidth="1"/>
    <col min="12573" max="12573" width="17.7109375" style="163" customWidth="1"/>
    <col min="12574" max="12574" width="1.5703125" style="163" customWidth="1"/>
    <col min="12575" max="12575" width="6.42578125" style="163" customWidth="1"/>
    <col min="12576" max="12576" width="13.140625" style="163" customWidth="1"/>
    <col min="12577" max="12577" width="1" style="163" customWidth="1"/>
    <col min="12578" max="12578" width="19.5703125" style="163" customWidth="1"/>
    <col min="12579" max="12579" width="0.85546875" style="163" customWidth="1"/>
    <col min="12580" max="12580" width="14.42578125" style="163" customWidth="1"/>
    <col min="12581" max="12581" width="12.85546875" style="163" customWidth="1"/>
    <col min="12582" max="12582" width="6.140625" style="163" customWidth="1"/>
    <col min="12583" max="12584" width="11.42578125" style="163"/>
    <col min="12585" max="12585" width="15.42578125" style="163" customWidth="1"/>
    <col min="12586" max="12825" width="11.42578125" style="163"/>
    <col min="12826" max="12826" width="2.28515625" style="163" customWidth="1"/>
    <col min="12827" max="12827" width="2.7109375" style="163" customWidth="1"/>
    <col min="12828" max="12828" width="2.42578125" style="163" customWidth="1"/>
    <col min="12829" max="12829" width="17.7109375" style="163" customWidth="1"/>
    <col min="12830" max="12830" width="1.5703125" style="163" customWidth="1"/>
    <col min="12831" max="12831" width="6.42578125" style="163" customWidth="1"/>
    <col min="12832" max="12832" width="13.140625" style="163" customWidth="1"/>
    <col min="12833" max="12833" width="1" style="163" customWidth="1"/>
    <col min="12834" max="12834" width="19.5703125" style="163" customWidth="1"/>
    <col min="12835" max="12835" width="0.85546875" style="163" customWidth="1"/>
    <col min="12836" max="12836" width="14.42578125" style="163" customWidth="1"/>
    <col min="12837" max="12837" width="12.85546875" style="163" customWidth="1"/>
    <col min="12838" max="12838" width="6.140625" style="163" customWidth="1"/>
    <col min="12839" max="12840" width="11.42578125" style="163"/>
    <col min="12841" max="12841" width="15.42578125" style="163" customWidth="1"/>
    <col min="12842" max="13081" width="11.42578125" style="163"/>
    <col min="13082" max="13082" width="2.28515625" style="163" customWidth="1"/>
    <col min="13083" max="13083" width="2.7109375" style="163" customWidth="1"/>
    <col min="13084" max="13084" width="2.42578125" style="163" customWidth="1"/>
    <col min="13085" max="13085" width="17.7109375" style="163" customWidth="1"/>
    <col min="13086" max="13086" width="1.5703125" style="163" customWidth="1"/>
    <col min="13087" max="13087" width="6.42578125" style="163" customWidth="1"/>
    <col min="13088" max="13088" width="13.140625" style="163" customWidth="1"/>
    <col min="13089" max="13089" width="1" style="163" customWidth="1"/>
    <col min="13090" max="13090" width="19.5703125" style="163" customWidth="1"/>
    <col min="13091" max="13091" width="0.85546875" style="163" customWidth="1"/>
    <col min="13092" max="13092" width="14.42578125" style="163" customWidth="1"/>
    <col min="13093" max="13093" width="12.85546875" style="163" customWidth="1"/>
    <col min="13094" max="13094" width="6.140625" style="163" customWidth="1"/>
    <col min="13095" max="13096" width="11.42578125" style="163"/>
    <col min="13097" max="13097" width="15.42578125" style="163" customWidth="1"/>
    <col min="13098" max="13337" width="11.42578125" style="163"/>
    <col min="13338" max="13338" width="2.28515625" style="163" customWidth="1"/>
    <col min="13339" max="13339" width="2.7109375" style="163" customWidth="1"/>
    <col min="13340" max="13340" width="2.42578125" style="163" customWidth="1"/>
    <col min="13341" max="13341" width="17.7109375" style="163" customWidth="1"/>
    <col min="13342" max="13342" width="1.5703125" style="163" customWidth="1"/>
    <col min="13343" max="13343" width="6.42578125" style="163" customWidth="1"/>
    <col min="13344" max="13344" width="13.140625" style="163" customWidth="1"/>
    <col min="13345" max="13345" width="1" style="163" customWidth="1"/>
    <col min="13346" max="13346" width="19.5703125" style="163" customWidth="1"/>
    <col min="13347" max="13347" width="0.85546875" style="163" customWidth="1"/>
    <col min="13348" max="13348" width="14.42578125" style="163" customWidth="1"/>
    <col min="13349" max="13349" width="12.85546875" style="163" customWidth="1"/>
    <col min="13350" max="13350" width="6.140625" style="163" customWidth="1"/>
    <col min="13351" max="13352" width="11.42578125" style="163"/>
    <col min="13353" max="13353" width="15.42578125" style="163" customWidth="1"/>
    <col min="13354" max="13593" width="11.42578125" style="163"/>
    <col min="13594" max="13594" width="2.28515625" style="163" customWidth="1"/>
    <col min="13595" max="13595" width="2.7109375" style="163" customWidth="1"/>
    <col min="13596" max="13596" width="2.42578125" style="163" customWidth="1"/>
    <col min="13597" max="13597" width="17.7109375" style="163" customWidth="1"/>
    <col min="13598" max="13598" width="1.5703125" style="163" customWidth="1"/>
    <col min="13599" max="13599" width="6.42578125" style="163" customWidth="1"/>
    <col min="13600" max="13600" width="13.140625" style="163" customWidth="1"/>
    <col min="13601" max="13601" width="1" style="163" customWidth="1"/>
    <col min="13602" max="13602" width="19.5703125" style="163" customWidth="1"/>
    <col min="13603" max="13603" width="0.85546875" style="163" customWidth="1"/>
    <col min="13604" max="13604" width="14.42578125" style="163" customWidth="1"/>
    <col min="13605" max="13605" width="12.85546875" style="163" customWidth="1"/>
    <col min="13606" max="13606" width="6.140625" style="163" customWidth="1"/>
    <col min="13607" max="13608" width="11.42578125" style="163"/>
    <col min="13609" max="13609" width="15.42578125" style="163" customWidth="1"/>
    <col min="13610" max="13849" width="11.42578125" style="163"/>
    <col min="13850" max="13850" width="2.28515625" style="163" customWidth="1"/>
    <col min="13851" max="13851" width="2.7109375" style="163" customWidth="1"/>
    <col min="13852" max="13852" width="2.42578125" style="163" customWidth="1"/>
    <col min="13853" max="13853" width="17.7109375" style="163" customWidth="1"/>
    <col min="13854" max="13854" width="1.5703125" style="163" customWidth="1"/>
    <col min="13855" max="13855" width="6.42578125" style="163" customWidth="1"/>
    <col min="13856" max="13856" width="13.140625" style="163" customWidth="1"/>
    <col min="13857" max="13857" width="1" style="163" customWidth="1"/>
    <col min="13858" max="13858" width="19.5703125" style="163" customWidth="1"/>
    <col min="13859" max="13859" width="0.85546875" style="163" customWidth="1"/>
    <col min="13860" max="13860" width="14.42578125" style="163" customWidth="1"/>
    <col min="13861" max="13861" width="12.85546875" style="163" customWidth="1"/>
    <col min="13862" max="13862" width="6.140625" style="163" customWidth="1"/>
    <col min="13863" max="13864" width="11.42578125" style="163"/>
    <col min="13865" max="13865" width="15.42578125" style="163" customWidth="1"/>
    <col min="13866" max="14105" width="11.42578125" style="163"/>
    <col min="14106" max="14106" width="2.28515625" style="163" customWidth="1"/>
    <col min="14107" max="14107" width="2.7109375" style="163" customWidth="1"/>
    <col min="14108" max="14108" width="2.42578125" style="163" customWidth="1"/>
    <col min="14109" max="14109" width="17.7109375" style="163" customWidth="1"/>
    <col min="14110" max="14110" width="1.5703125" style="163" customWidth="1"/>
    <col min="14111" max="14111" width="6.42578125" style="163" customWidth="1"/>
    <col min="14112" max="14112" width="13.140625" style="163" customWidth="1"/>
    <col min="14113" max="14113" width="1" style="163" customWidth="1"/>
    <col min="14114" max="14114" width="19.5703125" style="163" customWidth="1"/>
    <col min="14115" max="14115" width="0.85546875" style="163" customWidth="1"/>
    <col min="14116" max="14116" width="14.42578125" style="163" customWidth="1"/>
    <col min="14117" max="14117" width="12.85546875" style="163" customWidth="1"/>
    <col min="14118" max="14118" width="6.140625" style="163" customWidth="1"/>
    <col min="14119" max="14120" width="11.42578125" style="163"/>
    <col min="14121" max="14121" width="15.42578125" style="163" customWidth="1"/>
    <col min="14122" max="14361" width="11.42578125" style="163"/>
    <col min="14362" max="14362" width="2.28515625" style="163" customWidth="1"/>
    <col min="14363" max="14363" width="2.7109375" style="163" customWidth="1"/>
    <col min="14364" max="14364" width="2.42578125" style="163" customWidth="1"/>
    <col min="14365" max="14365" width="17.7109375" style="163" customWidth="1"/>
    <col min="14366" max="14366" width="1.5703125" style="163" customWidth="1"/>
    <col min="14367" max="14367" width="6.42578125" style="163" customWidth="1"/>
    <col min="14368" max="14368" width="13.140625" style="163" customWidth="1"/>
    <col min="14369" max="14369" width="1" style="163" customWidth="1"/>
    <col min="14370" max="14370" width="19.5703125" style="163" customWidth="1"/>
    <col min="14371" max="14371" width="0.85546875" style="163" customWidth="1"/>
    <col min="14372" max="14372" width="14.42578125" style="163" customWidth="1"/>
    <col min="14373" max="14373" width="12.85546875" style="163" customWidth="1"/>
    <col min="14374" max="14374" width="6.140625" style="163" customWidth="1"/>
    <col min="14375" max="14376" width="11.42578125" style="163"/>
    <col min="14377" max="14377" width="15.42578125" style="163" customWidth="1"/>
    <col min="14378" max="14617" width="11.42578125" style="163"/>
    <col min="14618" max="14618" width="2.28515625" style="163" customWidth="1"/>
    <col min="14619" max="14619" width="2.7109375" style="163" customWidth="1"/>
    <col min="14620" max="14620" width="2.42578125" style="163" customWidth="1"/>
    <col min="14621" max="14621" width="17.7109375" style="163" customWidth="1"/>
    <col min="14622" max="14622" width="1.5703125" style="163" customWidth="1"/>
    <col min="14623" max="14623" width="6.42578125" style="163" customWidth="1"/>
    <col min="14624" max="14624" width="13.140625" style="163" customWidth="1"/>
    <col min="14625" max="14625" width="1" style="163" customWidth="1"/>
    <col min="14626" max="14626" width="19.5703125" style="163" customWidth="1"/>
    <col min="14627" max="14627" width="0.85546875" style="163" customWidth="1"/>
    <col min="14628" max="14628" width="14.42578125" style="163" customWidth="1"/>
    <col min="14629" max="14629" width="12.85546875" style="163" customWidth="1"/>
    <col min="14630" max="14630" width="6.140625" style="163" customWidth="1"/>
    <col min="14631" max="14632" width="11.42578125" style="163"/>
    <col min="14633" max="14633" width="15.42578125" style="163" customWidth="1"/>
    <col min="14634" max="14873" width="11.42578125" style="163"/>
    <col min="14874" max="14874" width="2.28515625" style="163" customWidth="1"/>
    <col min="14875" max="14875" width="2.7109375" style="163" customWidth="1"/>
    <col min="14876" max="14876" width="2.42578125" style="163" customWidth="1"/>
    <col min="14877" max="14877" width="17.7109375" style="163" customWidth="1"/>
    <col min="14878" max="14878" width="1.5703125" style="163" customWidth="1"/>
    <col min="14879" max="14879" width="6.42578125" style="163" customWidth="1"/>
    <col min="14880" max="14880" width="13.140625" style="163" customWidth="1"/>
    <col min="14881" max="14881" width="1" style="163" customWidth="1"/>
    <col min="14882" max="14882" width="19.5703125" style="163" customWidth="1"/>
    <col min="14883" max="14883" width="0.85546875" style="163" customWidth="1"/>
    <col min="14884" max="14884" width="14.42578125" style="163" customWidth="1"/>
    <col min="14885" max="14885" width="12.85546875" style="163" customWidth="1"/>
    <col min="14886" max="14886" width="6.140625" style="163" customWidth="1"/>
    <col min="14887" max="14888" width="11.42578125" style="163"/>
    <col min="14889" max="14889" width="15.42578125" style="163" customWidth="1"/>
    <col min="14890" max="15129" width="11.42578125" style="163"/>
    <col min="15130" max="15130" width="2.28515625" style="163" customWidth="1"/>
    <col min="15131" max="15131" width="2.7109375" style="163" customWidth="1"/>
    <col min="15132" max="15132" width="2.42578125" style="163" customWidth="1"/>
    <col min="15133" max="15133" width="17.7109375" style="163" customWidth="1"/>
    <col min="15134" max="15134" width="1.5703125" style="163" customWidth="1"/>
    <col min="15135" max="15135" width="6.42578125" style="163" customWidth="1"/>
    <col min="15136" max="15136" width="13.140625" style="163" customWidth="1"/>
    <col min="15137" max="15137" width="1" style="163" customWidth="1"/>
    <col min="15138" max="15138" width="19.5703125" style="163" customWidth="1"/>
    <col min="15139" max="15139" width="0.85546875" style="163" customWidth="1"/>
    <col min="15140" max="15140" width="14.42578125" style="163" customWidth="1"/>
    <col min="15141" max="15141" width="12.85546875" style="163" customWidth="1"/>
    <col min="15142" max="15142" width="6.140625" style="163" customWidth="1"/>
    <col min="15143" max="15144" width="11.42578125" style="163"/>
    <col min="15145" max="15145" width="15.42578125" style="163" customWidth="1"/>
    <col min="15146" max="15385" width="11.42578125" style="163"/>
    <col min="15386" max="15386" width="2.28515625" style="163" customWidth="1"/>
    <col min="15387" max="15387" width="2.7109375" style="163" customWidth="1"/>
    <col min="15388" max="15388" width="2.42578125" style="163" customWidth="1"/>
    <col min="15389" max="15389" width="17.7109375" style="163" customWidth="1"/>
    <col min="15390" max="15390" width="1.5703125" style="163" customWidth="1"/>
    <col min="15391" max="15391" width="6.42578125" style="163" customWidth="1"/>
    <col min="15392" max="15392" width="13.140625" style="163" customWidth="1"/>
    <col min="15393" max="15393" width="1" style="163" customWidth="1"/>
    <col min="15394" max="15394" width="19.5703125" style="163" customWidth="1"/>
    <col min="15395" max="15395" width="0.85546875" style="163" customWidth="1"/>
    <col min="15396" max="15396" width="14.42578125" style="163" customWidth="1"/>
    <col min="15397" max="15397" width="12.85546875" style="163" customWidth="1"/>
    <col min="15398" max="15398" width="6.140625" style="163" customWidth="1"/>
    <col min="15399" max="15400" width="11.42578125" style="163"/>
    <col min="15401" max="15401" width="15.42578125" style="163" customWidth="1"/>
    <col min="15402" max="15641" width="11.42578125" style="163"/>
    <col min="15642" max="15642" width="2.28515625" style="163" customWidth="1"/>
    <col min="15643" max="15643" width="2.7109375" style="163" customWidth="1"/>
    <col min="15644" max="15644" width="2.42578125" style="163" customWidth="1"/>
    <col min="15645" max="15645" width="17.7109375" style="163" customWidth="1"/>
    <col min="15646" max="15646" width="1.5703125" style="163" customWidth="1"/>
    <col min="15647" max="15647" width="6.42578125" style="163" customWidth="1"/>
    <col min="15648" max="15648" width="13.140625" style="163" customWidth="1"/>
    <col min="15649" max="15649" width="1" style="163" customWidth="1"/>
    <col min="15650" max="15650" width="19.5703125" style="163" customWidth="1"/>
    <col min="15651" max="15651" width="0.85546875" style="163" customWidth="1"/>
    <col min="15652" max="15652" width="14.42578125" style="163" customWidth="1"/>
    <col min="15653" max="15653" width="12.85546875" style="163" customWidth="1"/>
    <col min="15654" max="15654" width="6.140625" style="163" customWidth="1"/>
    <col min="15655" max="15656" width="11.42578125" style="163"/>
    <col min="15657" max="15657" width="15.42578125" style="163" customWidth="1"/>
    <col min="15658" max="15897" width="11.42578125" style="163"/>
    <col min="15898" max="15898" width="2.28515625" style="163" customWidth="1"/>
    <col min="15899" max="15899" width="2.7109375" style="163" customWidth="1"/>
    <col min="15900" max="15900" width="2.42578125" style="163" customWidth="1"/>
    <col min="15901" max="15901" width="17.7109375" style="163" customWidth="1"/>
    <col min="15902" max="15902" width="1.5703125" style="163" customWidth="1"/>
    <col min="15903" max="15903" width="6.42578125" style="163" customWidth="1"/>
    <col min="15904" max="15904" width="13.140625" style="163" customWidth="1"/>
    <col min="15905" max="15905" width="1" style="163" customWidth="1"/>
    <col min="15906" max="15906" width="19.5703125" style="163" customWidth="1"/>
    <col min="15907" max="15907" width="0.85546875" style="163" customWidth="1"/>
    <col min="15908" max="15908" width="14.42578125" style="163" customWidth="1"/>
    <col min="15909" max="15909" width="12.85546875" style="163" customWidth="1"/>
    <col min="15910" max="15910" width="6.140625" style="163" customWidth="1"/>
    <col min="15911" max="15912" width="11.42578125" style="163"/>
    <col min="15913" max="15913" width="15.42578125" style="163" customWidth="1"/>
    <col min="15914" max="16153" width="11.42578125" style="163"/>
    <col min="16154" max="16154" width="2.28515625" style="163" customWidth="1"/>
    <col min="16155" max="16155" width="2.7109375" style="163" customWidth="1"/>
    <col min="16156" max="16156" width="2.42578125" style="163" customWidth="1"/>
    <col min="16157" max="16157" width="17.7109375" style="163" customWidth="1"/>
    <col min="16158" max="16158" width="1.5703125" style="163" customWidth="1"/>
    <col min="16159" max="16159" width="6.42578125" style="163" customWidth="1"/>
    <col min="16160" max="16160" width="13.140625" style="163" customWidth="1"/>
    <col min="16161" max="16161" width="1" style="163" customWidth="1"/>
    <col min="16162" max="16162" width="19.5703125" style="163" customWidth="1"/>
    <col min="16163" max="16163" width="0.85546875" style="163" customWidth="1"/>
    <col min="16164" max="16164" width="14.42578125" style="163" customWidth="1"/>
    <col min="16165" max="16165" width="12.85546875" style="163" customWidth="1"/>
    <col min="16166" max="16166" width="6.140625" style="163" customWidth="1"/>
    <col min="16167" max="16168" width="11.42578125" style="163"/>
    <col min="16169" max="16169" width="15.42578125" style="163" customWidth="1"/>
    <col min="16170" max="16384" width="11.42578125" style="163"/>
  </cols>
  <sheetData>
    <row r="1" spans="1:40" ht="9" hidden="1" customHeight="1" x14ac:dyDescent="0.2"/>
    <row r="2" spans="1:40" ht="51" customHeight="1" x14ac:dyDescent="0.2">
      <c r="A2" s="2969" t="s">
        <v>280</v>
      </c>
      <c r="B2" s="2970"/>
      <c r="C2" s="2970"/>
      <c r="D2" s="2970"/>
      <c r="E2" s="2970"/>
      <c r="F2" s="2970"/>
      <c r="G2" s="2970"/>
      <c r="H2" s="2970"/>
      <c r="I2" s="2970"/>
      <c r="J2" s="2970"/>
      <c r="K2" s="2970"/>
      <c r="L2" s="2970"/>
      <c r="M2" s="2970"/>
      <c r="N2" s="2970"/>
      <c r="O2" s="2970"/>
      <c r="P2" s="2970"/>
      <c r="Q2" s="2970"/>
      <c r="R2" s="2970"/>
      <c r="S2" s="2970"/>
      <c r="T2" s="2970"/>
      <c r="U2" s="2970"/>
      <c r="V2" s="2970"/>
      <c r="W2" s="2970"/>
      <c r="X2" s="2970"/>
      <c r="Y2" s="2970"/>
      <c r="Z2" s="2970"/>
      <c r="AA2" s="2970"/>
      <c r="AB2" s="2970"/>
      <c r="AC2" s="2970"/>
      <c r="AD2" s="2970"/>
      <c r="AE2" s="2970"/>
      <c r="AF2" s="2970"/>
      <c r="AG2" s="2970"/>
      <c r="AH2" s="2970"/>
      <c r="AI2" s="2970"/>
      <c r="AJ2" s="2970"/>
      <c r="AK2" s="2970"/>
      <c r="AL2" s="2971"/>
    </row>
    <row r="3" spans="1:40" ht="24.75" customHeight="1" thickBot="1" x14ac:dyDescent="0.25">
      <c r="A3" s="2972"/>
      <c r="B3" s="2973"/>
      <c r="C3" s="2973"/>
      <c r="D3" s="2973"/>
      <c r="E3" s="2973"/>
      <c r="F3" s="2973"/>
      <c r="G3" s="2973"/>
      <c r="H3" s="2973"/>
      <c r="I3" s="2973"/>
      <c r="J3" s="2973"/>
      <c r="K3" s="2973"/>
      <c r="L3" s="2973"/>
      <c r="M3" s="2973"/>
      <c r="N3" s="2973"/>
      <c r="O3" s="2973"/>
      <c r="P3" s="2973"/>
      <c r="Q3" s="2973"/>
      <c r="R3" s="2973"/>
      <c r="S3" s="2973"/>
      <c r="T3" s="2973"/>
      <c r="U3" s="2973"/>
      <c r="V3" s="2973"/>
      <c r="W3" s="2973"/>
      <c r="X3" s="2973"/>
      <c r="Y3" s="2973"/>
      <c r="Z3" s="2973"/>
      <c r="AA3" s="2973"/>
      <c r="AB3" s="2973"/>
      <c r="AC3" s="2973"/>
      <c r="AD3" s="2973"/>
      <c r="AE3" s="2973"/>
      <c r="AF3" s="2973"/>
      <c r="AG3" s="2973"/>
      <c r="AH3" s="2973"/>
      <c r="AI3" s="2973"/>
      <c r="AJ3" s="2973"/>
      <c r="AK3" s="2973"/>
      <c r="AL3" s="2974"/>
    </row>
    <row r="4" spans="1:40" ht="16.5" thickTop="1" x14ac:dyDescent="0.25">
      <c r="A4" s="2953" t="s">
        <v>1076</v>
      </c>
      <c r="B4" s="2975"/>
      <c r="C4" s="2975"/>
      <c r="D4" s="2975"/>
      <c r="E4" s="2975"/>
      <c r="F4" s="2975"/>
      <c r="G4" s="2975"/>
      <c r="H4" s="2975"/>
      <c r="I4" s="2975"/>
      <c r="J4" s="2975"/>
      <c r="K4" s="2975"/>
      <c r="L4" s="2975"/>
      <c r="M4" s="2975"/>
      <c r="N4" s="2975"/>
      <c r="O4" s="2975"/>
      <c r="P4" s="2975"/>
      <c r="Q4" s="2975"/>
      <c r="R4" s="2975"/>
      <c r="S4" s="2975"/>
      <c r="T4" s="2975"/>
      <c r="U4" s="2975"/>
      <c r="V4" s="2975"/>
      <c r="W4" s="2975"/>
      <c r="X4" s="2975"/>
      <c r="Y4" s="2975"/>
      <c r="Z4" s="2975"/>
      <c r="AA4" s="2975"/>
      <c r="AB4" s="2975"/>
      <c r="AC4" s="2975"/>
      <c r="AD4" s="2975"/>
      <c r="AE4" s="2975"/>
      <c r="AF4" s="2975"/>
      <c r="AG4" s="2975"/>
      <c r="AH4" s="2975"/>
      <c r="AI4" s="2975"/>
      <c r="AJ4" s="2975"/>
      <c r="AK4" s="2975"/>
      <c r="AL4" s="2976"/>
    </row>
    <row r="5" spans="1:40" ht="15.75" x14ac:dyDescent="0.2">
      <c r="A5" s="2977" t="str">
        <f>"N° "&amp;'F-LSCD-013'!C26&amp;" ALEPH/GR/LSCD"</f>
        <v>N° 011-2021 ALEPH/GR/LSCD</v>
      </c>
      <c r="B5" s="2978"/>
      <c r="C5" s="2978"/>
      <c r="D5" s="2978"/>
      <c r="E5" s="2978"/>
      <c r="F5" s="2978"/>
      <c r="G5" s="2978"/>
      <c r="H5" s="2978"/>
      <c r="I5" s="2978"/>
      <c r="J5" s="2978"/>
      <c r="K5" s="2978"/>
      <c r="L5" s="2978"/>
      <c r="M5" s="2978"/>
      <c r="N5" s="2978"/>
      <c r="O5" s="2978"/>
      <c r="P5" s="2978"/>
      <c r="Q5" s="2978"/>
      <c r="R5" s="2978"/>
      <c r="S5" s="2978"/>
      <c r="T5" s="2978"/>
      <c r="U5" s="2978"/>
      <c r="V5" s="2978"/>
      <c r="W5" s="2978"/>
      <c r="X5" s="2978"/>
      <c r="Y5" s="2978"/>
      <c r="Z5" s="2978"/>
      <c r="AA5" s="2978"/>
      <c r="AB5" s="2978"/>
      <c r="AC5" s="2978"/>
      <c r="AD5" s="2978"/>
      <c r="AE5" s="2978"/>
      <c r="AF5" s="2978"/>
      <c r="AG5" s="2978"/>
      <c r="AH5" s="2978"/>
      <c r="AI5" s="2978"/>
      <c r="AJ5" s="2978"/>
      <c r="AK5" s="2978"/>
      <c r="AL5" s="2979"/>
      <c r="AN5" s="164"/>
    </row>
    <row r="6" spans="1:40" ht="15.75" x14ac:dyDescent="0.2">
      <c r="A6" s="2881" t="s">
        <v>253</v>
      </c>
      <c r="B6" s="2980"/>
      <c r="C6" s="2980"/>
      <c r="D6" s="2980"/>
      <c r="E6" s="2980"/>
      <c r="F6" s="2980"/>
      <c r="G6" s="2980"/>
      <c r="H6" s="2980"/>
      <c r="I6" s="2980"/>
      <c r="J6" s="2980"/>
      <c r="K6" s="2980"/>
      <c r="L6" s="2980"/>
      <c r="M6" s="2980"/>
      <c r="N6" s="2980"/>
      <c r="O6" s="2980"/>
      <c r="P6" s="2980"/>
      <c r="Q6" s="2980"/>
      <c r="R6" s="2980"/>
      <c r="S6" s="2980"/>
      <c r="T6" s="2980"/>
      <c r="U6" s="2980"/>
      <c r="V6" s="2980"/>
      <c r="W6" s="2980"/>
      <c r="X6" s="2980"/>
      <c r="Y6" s="2980"/>
      <c r="Z6" s="2980"/>
      <c r="AA6" s="2980"/>
      <c r="AB6" s="2980"/>
      <c r="AC6" s="2980"/>
      <c r="AD6" s="2980"/>
      <c r="AE6" s="2980"/>
      <c r="AF6" s="2980"/>
      <c r="AG6" s="2980"/>
      <c r="AH6" s="2980"/>
      <c r="AI6" s="2980"/>
      <c r="AJ6" s="2980"/>
      <c r="AK6" s="2980"/>
      <c r="AL6" s="2981"/>
    </row>
    <row r="7" spans="1:40" ht="15.75" x14ac:dyDescent="0.2">
      <c r="A7" s="2881" t="s">
        <v>275</v>
      </c>
      <c r="B7" s="2980"/>
      <c r="C7" s="2980"/>
      <c r="D7" s="2980"/>
      <c r="E7" s="2980"/>
      <c r="F7" s="2980"/>
      <c r="G7" s="2980"/>
      <c r="H7" s="2980"/>
      <c r="I7" s="2980"/>
      <c r="J7" s="2980"/>
      <c r="K7" s="2980"/>
      <c r="L7" s="2980"/>
      <c r="M7" s="2980"/>
      <c r="N7" s="2980"/>
      <c r="O7" s="2980"/>
      <c r="P7" s="2980"/>
      <c r="Q7" s="2980"/>
      <c r="R7" s="2980"/>
      <c r="S7" s="2980"/>
      <c r="T7" s="2980"/>
      <c r="U7" s="2980"/>
      <c r="V7" s="2980"/>
      <c r="W7" s="2980"/>
      <c r="X7" s="2980"/>
      <c r="Y7" s="2980"/>
      <c r="Z7" s="2980"/>
      <c r="AA7" s="2980"/>
      <c r="AB7" s="2980"/>
      <c r="AC7" s="2980"/>
      <c r="AD7" s="2980"/>
      <c r="AE7" s="2980"/>
      <c r="AF7" s="2980"/>
      <c r="AG7" s="2980"/>
      <c r="AH7" s="2980"/>
      <c r="AI7" s="2980"/>
      <c r="AJ7" s="2980"/>
      <c r="AK7" s="2980"/>
      <c r="AL7" s="1446"/>
    </row>
    <row r="8" spans="1:40" ht="3.75" customHeight="1" x14ac:dyDescent="0.2">
      <c r="A8" s="2982"/>
      <c r="B8" s="2983"/>
      <c r="C8" s="2983"/>
      <c r="D8" s="2983"/>
      <c r="E8" s="2983"/>
      <c r="F8" s="2983"/>
      <c r="G8" s="2983"/>
      <c r="H8" s="2983"/>
      <c r="I8" s="2983"/>
      <c r="J8" s="2983"/>
      <c r="K8" s="2983"/>
      <c r="L8" s="2983"/>
      <c r="M8" s="2983"/>
      <c r="N8" s="2983"/>
      <c r="O8" s="2983"/>
      <c r="P8" s="2983"/>
      <c r="Q8" s="2983"/>
      <c r="R8" s="2983"/>
      <c r="S8" s="2983"/>
      <c r="T8" s="2983"/>
      <c r="U8" s="2983"/>
      <c r="V8" s="2983"/>
      <c r="W8" s="2983"/>
      <c r="X8" s="2983"/>
      <c r="Y8" s="2983"/>
      <c r="Z8" s="2983"/>
      <c r="AA8" s="2983"/>
      <c r="AB8" s="2983"/>
      <c r="AC8" s="2983"/>
      <c r="AD8" s="2983"/>
      <c r="AE8" s="2983"/>
      <c r="AF8" s="2983"/>
      <c r="AG8" s="2983"/>
      <c r="AH8" s="2983"/>
      <c r="AI8" s="2983"/>
      <c r="AJ8" s="2983"/>
      <c r="AK8" s="2983"/>
      <c r="AL8" s="2984"/>
    </row>
    <row r="9" spans="1:40" ht="15" customHeight="1" x14ac:dyDescent="0.2">
      <c r="A9" s="165"/>
      <c r="B9" s="166" t="s">
        <v>217</v>
      </c>
      <c r="C9" s="166"/>
      <c r="D9" s="166"/>
      <c r="E9" s="166"/>
      <c r="F9" s="166"/>
      <c r="G9" s="166"/>
      <c r="H9" s="166"/>
      <c r="I9" s="166"/>
      <c r="J9" s="166"/>
      <c r="K9" s="166"/>
      <c r="L9" s="166" t="s">
        <v>218</v>
      </c>
      <c r="M9" s="163" t="s">
        <v>1053</v>
      </c>
      <c r="AL9" s="167"/>
    </row>
    <row r="10" spans="1:40" ht="12.75" customHeight="1" x14ac:dyDescent="0.2">
      <c r="A10" s="165"/>
      <c r="L10" s="166"/>
      <c r="M10" s="163" t="s">
        <v>219</v>
      </c>
      <c r="AD10" s="1308"/>
      <c r="AE10" s="1308"/>
      <c r="AF10" s="1308"/>
      <c r="AG10" s="1308"/>
      <c r="AH10" s="1308"/>
      <c r="AI10" s="1308"/>
      <c r="AJ10" s="1308"/>
      <c r="AK10" s="1308"/>
      <c r="AL10" s="167"/>
    </row>
    <row r="11" spans="1:40" ht="3.75" customHeight="1" x14ac:dyDescent="0.2">
      <c r="A11" s="165"/>
      <c r="AD11" s="1308"/>
      <c r="AE11" s="1308"/>
      <c r="AF11" s="1308"/>
      <c r="AG11" s="1308"/>
      <c r="AH11" s="1308"/>
      <c r="AI11" s="1308"/>
      <c r="AJ11" s="1308"/>
      <c r="AK11" s="1308"/>
      <c r="AL11" s="167"/>
    </row>
    <row r="12" spans="1:40" ht="13.5" customHeight="1" x14ac:dyDescent="0.2">
      <c r="A12" s="165"/>
      <c r="B12" s="166" t="s">
        <v>220</v>
      </c>
      <c r="C12" s="166"/>
      <c r="D12" s="166"/>
      <c r="E12" s="166"/>
      <c r="F12" s="166"/>
      <c r="G12" s="166"/>
      <c r="H12" s="166"/>
      <c r="I12" s="166"/>
      <c r="J12" s="166"/>
      <c r="K12" s="166"/>
      <c r="L12" s="166" t="s">
        <v>218</v>
      </c>
      <c r="M12" s="163" t="str">
        <f>'F-LSCD-013'!C7</f>
        <v>ALEPH SAC</v>
      </c>
      <c r="AD12" s="2904" t="s">
        <v>862</v>
      </c>
      <c r="AE12" s="2905"/>
      <c r="AF12" s="2905"/>
      <c r="AG12" s="2905"/>
      <c r="AH12" s="2905"/>
      <c r="AI12" s="2905"/>
      <c r="AJ12" s="2905"/>
      <c r="AK12" s="2905"/>
      <c r="AL12" s="167"/>
    </row>
    <row r="13" spans="1:40" x14ac:dyDescent="0.2">
      <c r="A13" s="165"/>
      <c r="M13" s="163" t="str">
        <f>'F-LSCD-013'!C8</f>
        <v>Av. Rafael Escardo 154</v>
      </c>
      <c r="AD13" s="2904"/>
      <c r="AE13" s="2905"/>
      <c r="AF13" s="2905"/>
      <c r="AG13" s="2905"/>
      <c r="AH13" s="2905"/>
      <c r="AI13" s="2905"/>
      <c r="AJ13" s="2905"/>
      <c r="AK13" s="2905"/>
      <c r="AL13" s="167"/>
    </row>
    <row r="14" spans="1:40" x14ac:dyDescent="0.2">
      <c r="A14" s="165"/>
      <c r="M14" s="163" t="str">
        <f>'F-LSCD-013'!I8&amp;", "&amp;'F-LSCD-013'!M8&amp;", "&amp;'F-LSCD-013'!R8</f>
        <v>San Miguel, Lima, Lima</v>
      </c>
      <c r="AD14" s="2904"/>
      <c r="AE14" s="2905"/>
      <c r="AF14" s="2905"/>
      <c r="AG14" s="2905"/>
      <c r="AH14" s="2905"/>
      <c r="AI14" s="2905"/>
      <c r="AJ14" s="2905"/>
      <c r="AK14" s="2905"/>
      <c r="AL14" s="167"/>
    </row>
    <row r="15" spans="1:40" ht="3" customHeight="1" x14ac:dyDescent="0.2">
      <c r="A15" s="165"/>
      <c r="AD15" s="2904"/>
      <c r="AE15" s="2905"/>
      <c r="AF15" s="2905"/>
      <c r="AG15" s="2905"/>
      <c r="AH15" s="2905"/>
      <c r="AI15" s="2905"/>
      <c r="AJ15" s="2905"/>
      <c r="AK15" s="2905"/>
      <c r="AL15" s="167"/>
    </row>
    <row r="16" spans="1:40" x14ac:dyDescent="0.2">
      <c r="A16" s="165"/>
      <c r="B16" s="170" t="s">
        <v>222</v>
      </c>
      <c r="C16" s="170"/>
      <c r="D16" s="170"/>
      <c r="E16" s="170"/>
      <c r="F16" s="170"/>
      <c r="G16" s="170"/>
      <c r="H16" s="170"/>
      <c r="I16" s="170"/>
      <c r="J16" s="170"/>
      <c r="K16" s="170"/>
      <c r="L16" s="170" t="s">
        <v>218</v>
      </c>
      <c r="M16" s="3360" t="str">
        <f>'F-LSCD-013'!C6</f>
        <v>OT 111-12925</v>
      </c>
      <c r="N16" s="3360"/>
      <c r="O16" s="3360"/>
      <c r="P16" s="3360"/>
      <c r="Q16" s="3360"/>
      <c r="R16" s="3360"/>
      <c r="S16" s="3360"/>
      <c r="T16" s="3360"/>
      <c r="U16" s="3360"/>
      <c r="V16" s="3360"/>
      <c r="W16" s="3360"/>
      <c r="X16" s="3360"/>
      <c r="Y16" s="3360"/>
      <c r="Z16" s="3360"/>
      <c r="AA16" s="3360"/>
      <c r="AB16" s="3360"/>
      <c r="AC16" s="172"/>
      <c r="AD16" s="2904"/>
      <c r="AE16" s="2905"/>
      <c r="AF16" s="2905"/>
      <c r="AG16" s="2905"/>
      <c r="AH16" s="2905"/>
      <c r="AI16" s="2905"/>
      <c r="AJ16" s="2905"/>
      <c r="AK16" s="2905"/>
      <c r="AL16" s="167"/>
    </row>
    <row r="17" spans="1:38" ht="3" customHeight="1" x14ac:dyDescent="0.2">
      <c r="A17" s="165"/>
      <c r="AD17" s="2904"/>
      <c r="AE17" s="2905"/>
      <c r="AF17" s="2905"/>
      <c r="AG17" s="2905"/>
      <c r="AH17" s="2905"/>
      <c r="AI17" s="2905"/>
      <c r="AJ17" s="2905"/>
      <c r="AK17" s="2905"/>
      <c r="AL17" s="167"/>
    </row>
    <row r="18" spans="1:38" x14ac:dyDescent="0.2">
      <c r="A18" s="165"/>
      <c r="B18" s="166" t="s">
        <v>255</v>
      </c>
      <c r="C18" s="166"/>
      <c r="D18" s="166"/>
      <c r="E18" s="166"/>
      <c r="F18" s="166"/>
      <c r="G18" s="166"/>
      <c r="H18" s="166"/>
      <c r="I18" s="166"/>
      <c r="J18" s="166"/>
      <c r="K18" s="166"/>
      <c r="L18" s="166" t="s">
        <v>218</v>
      </c>
      <c r="M18" s="3361" t="str">
        <f>'F-LSCD-013'!C9</f>
        <v>Monitor de radiación (digital)</v>
      </c>
      <c r="N18" s="3361"/>
      <c r="O18" s="3361"/>
      <c r="P18" s="3361"/>
      <c r="Q18" s="3361"/>
      <c r="R18" s="3361"/>
      <c r="S18" s="3361"/>
      <c r="T18" s="3361"/>
      <c r="U18" s="3361"/>
      <c r="V18" s="3361"/>
      <c r="W18" s="3361"/>
      <c r="X18" s="1309"/>
      <c r="Y18" s="1309"/>
      <c r="Z18" s="1309"/>
      <c r="AA18" s="1309"/>
      <c r="AB18" s="1309"/>
      <c r="AC18" s="173"/>
      <c r="AD18" s="2904"/>
      <c r="AE18" s="2905"/>
      <c r="AF18" s="2905"/>
      <c r="AG18" s="2905"/>
      <c r="AH18" s="2905"/>
      <c r="AI18" s="2905"/>
      <c r="AJ18" s="2905"/>
      <c r="AK18" s="2905"/>
      <c r="AL18" s="167"/>
    </row>
    <row r="19" spans="1:38" ht="24.75" customHeight="1" x14ac:dyDescent="0.2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2993" t="str">
        <f>IF('F-LSCD-013'!C13="-","Marca monitor: "&amp;'F-LSCD-013'!C10,"Marca monitor: "&amp;'F-LSCD-013'!C10&amp;" / Marca sonda: "&amp;'F-LSCD-013'!C13)</f>
        <v>Marca monitor: MGP</v>
      </c>
      <c r="N19" s="2993"/>
      <c r="O19" s="2993"/>
      <c r="P19" s="2993"/>
      <c r="Q19" s="2993"/>
      <c r="R19" s="2993"/>
      <c r="S19" s="2993"/>
      <c r="T19" s="2993"/>
      <c r="U19" s="2993"/>
      <c r="V19" s="2993"/>
      <c r="W19" s="2993"/>
      <c r="X19" s="2993"/>
      <c r="Y19" s="2993"/>
      <c r="Z19" s="2993"/>
      <c r="AA19" s="2993"/>
      <c r="AB19" s="2993"/>
      <c r="AC19" s="173"/>
      <c r="AD19" s="228"/>
      <c r="AE19" s="229"/>
      <c r="AF19" s="229"/>
      <c r="AG19" s="229"/>
      <c r="AH19" s="229"/>
      <c r="AI19" s="229"/>
      <c r="AJ19" s="229"/>
      <c r="AK19" s="229"/>
      <c r="AL19" s="167"/>
    </row>
    <row r="20" spans="1:38" ht="15" customHeight="1" x14ac:dyDescent="0.2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3361" t="str">
        <f>IF('F-LSCD-013'!C13="-","Modelo monitor: "&amp;'F-LSCD-013'!C11,"Modelo monitor: "&amp;'F-LSCD-013'!C11&amp;" / Modelo sonda: "&amp;'F-LSCD-013'!C14)</f>
        <v>Modelo monitor: DMC 2000S</v>
      </c>
      <c r="N20" s="3361"/>
      <c r="O20" s="3361"/>
      <c r="P20" s="3361"/>
      <c r="Q20" s="3361"/>
      <c r="R20" s="3361"/>
      <c r="S20" s="3361"/>
      <c r="T20" s="3361"/>
      <c r="U20" s="3361"/>
      <c r="V20" s="3361"/>
      <c r="W20" s="3361"/>
      <c r="X20" s="3361"/>
      <c r="Y20" s="3361"/>
      <c r="Z20" s="3361"/>
      <c r="AA20" s="3361"/>
      <c r="AB20" s="3361"/>
      <c r="AC20" s="173"/>
      <c r="AD20" s="2904" t="s">
        <v>1077</v>
      </c>
      <c r="AE20" s="2905"/>
      <c r="AF20" s="2905"/>
      <c r="AG20" s="2905"/>
      <c r="AH20" s="2905"/>
      <c r="AI20" s="2905"/>
      <c r="AJ20" s="2905"/>
      <c r="AK20" s="2905"/>
      <c r="AL20" s="167"/>
    </row>
    <row r="21" spans="1:38" ht="12.75" customHeight="1" x14ac:dyDescent="0.2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3361" t="str">
        <f>IF('F-LSCD-013'!C13="-","Serie monitor: "&amp;'F-LSCD-013'!C12,"Serie monitor: "&amp;'F-LSCD-013'!C12&amp;" / Serie sonda: "&amp;'F-LSCD-013'!C15)</f>
        <v>Serie monitor: 690384T</v>
      </c>
      <c r="N21" s="3361"/>
      <c r="O21" s="3361"/>
      <c r="P21" s="3361"/>
      <c r="Q21" s="3361"/>
      <c r="R21" s="3361"/>
      <c r="S21" s="3361"/>
      <c r="T21" s="3361"/>
      <c r="U21" s="3361"/>
      <c r="V21" s="3361"/>
      <c r="W21" s="3361"/>
      <c r="X21" s="3361"/>
      <c r="Y21" s="3361"/>
      <c r="Z21" s="3361"/>
      <c r="AA21" s="3361"/>
      <c r="AB21" s="3361"/>
      <c r="AC21" s="173"/>
      <c r="AD21" s="2904"/>
      <c r="AE21" s="2905"/>
      <c r="AF21" s="2905"/>
      <c r="AG21" s="2905"/>
      <c r="AH21" s="2905"/>
      <c r="AI21" s="2905"/>
      <c r="AJ21" s="2905"/>
      <c r="AK21" s="2905"/>
      <c r="AL21" s="167"/>
    </row>
    <row r="22" spans="1:38" ht="3" customHeight="1" x14ac:dyDescent="0.2">
      <c r="A22" s="165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3361"/>
      <c r="N22" s="3361"/>
      <c r="O22" s="3361"/>
      <c r="P22" s="3361"/>
      <c r="Q22" s="3361"/>
      <c r="R22" s="3361"/>
      <c r="S22" s="3361"/>
      <c r="T22" s="3361"/>
      <c r="U22" s="3361"/>
      <c r="V22" s="3361"/>
      <c r="W22" s="3361"/>
      <c r="X22" s="1309"/>
      <c r="Y22" s="1309"/>
      <c r="Z22" s="1309"/>
      <c r="AA22" s="1309"/>
      <c r="AB22" s="1309"/>
      <c r="AC22" s="173"/>
      <c r="AD22" s="2904"/>
      <c r="AE22" s="2905"/>
      <c r="AF22" s="2905"/>
      <c r="AG22" s="2905"/>
      <c r="AH22" s="2905"/>
      <c r="AI22" s="2905"/>
      <c r="AJ22" s="2905"/>
      <c r="AK22" s="2905"/>
      <c r="AL22" s="167"/>
    </row>
    <row r="23" spans="1:38" ht="12.75" customHeight="1" x14ac:dyDescent="0.2">
      <c r="A23" s="165"/>
      <c r="B23" s="175" t="s">
        <v>224</v>
      </c>
      <c r="C23" s="175"/>
      <c r="D23" s="175"/>
      <c r="E23" s="175"/>
      <c r="F23" s="175"/>
      <c r="G23" s="175"/>
      <c r="H23" s="175"/>
      <c r="I23" s="175"/>
      <c r="J23" s="175"/>
      <c r="K23" s="175"/>
      <c r="L23" s="175" t="s">
        <v>218</v>
      </c>
      <c r="M23" s="2991" t="str">
        <f>'F-LSCD-013'!C19</f>
        <v>Comparación, según ISO 7503-3 (2016), aplicado al PROC-LSCD-010 Calibración de monitores de contaminación de superficie (versión 07)</v>
      </c>
      <c r="N23" s="2991"/>
      <c r="O23" s="2991"/>
      <c r="P23" s="2991"/>
      <c r="Q23" s="2991"/>
      <c r="R23" s="2991"/>
      <c r="S23" s="2991"/>
      <c r="T23" s="2991"/>
      <c r="U23" s="2991"/>
      <c r="V23" s="2991"/>
      <c r="W23" s="2991"/>
      <c r="X23" s="2991"/>
      <c r="Y23" s="2991"/>
      <c r="Z23" s="2991"/>
      <c r="AA23" s="2991"/>
      <c r="AB23" s="2991"/>
      <c r="AC23" s="237"/>
      <c r="AD23" s="2904"/>
      <c r="AE23" s="2905"/>
      <c r="AF23" s="2905"/>
      <c r="AG23" s="2905"/>
      <c r="AH23" s="2905"/>
      <c r="AI23" s="2905"/>
      <c r="AJ23" s="2905"/>
      <c r="AK23" s="2905"/>
      <c r="AL23" s="167"/>
    </row>
    <row r="24" spans="1:38" x14ac:dyDescent="0.2">
      <c r="A24" s="165"/>
      <c r="M24" s="2991"/>
      <c r="N24" s="2991"/>
      <c r="O24" s="2991"/>
      <c r="P24" s="2991"/>
      <c r="Q24" s="2991"/>
      <c r="R24" s="2991"/>
      <c r="S24" s="2991"/>
      <c r="T24" s="2991"/>
      <c r="U24" s="2991"/>
      <c r="V24" s="2991"/>
      <c r="W24" s="2991"/>
      <c r="X24" s="2991"/>
      <c r="Y24" s="2991"/>
      <c r="Z24" s="2991"/>
      <c r="AA24" s="2991"/>
      <c r="AB24" s="2991"/>
      <c r="AC24" s="237"/>
      <c r="AD24" s="2904"/>
      <c r="AE24" s="2905"/>
      <c r="AF24" s="2905"/>
      <c r="AG24" s="2905"/>
      <c r="AH24" s="2905"/>
      <c r="AI24" s="2905"/>
      <c r="AJ24" s="2905"/>
      <c r="AK24" s="2905"/>
      <c r="AL24" s="167"/>
    </row>
    <row r="25" spans="1:38" ht="3" customHeight="1" x14ac:dyDescent="0.2">
      <c r="A25" s="165"/>
      <c r="M25" s="177"/>
      <c r="N25" s="177"/>
      <c r="O25" s="177"/>
      <c r="P25" s="177"/>
      <c r="Q25" s="177"/>
      <c r="R25" s="177"/>
      <c r="S25" s="177"/>
      <c r="T25" s="177"/>
      <c r="U25" s="177"/>
      <c r="V25" s="177"/>
      <c r="W25" s="177"/>
      <c r="X25" s="177"/>
      <c r="Y25" s="177"/>
      <c r="Z25" s="177"/>
      <c r="AA25" s="177"/>
      <c r="AB25" s="177"/>
      <c r="AC25" s="177"/>
      <c r="AD25" s="2904"/>
      <c r="AE25" s="2905"/>
      <c r="AF25" s="2905"/>
      <c r="AG25" s="2905"/>
      <c r="AH25" s="2905"/>
      <c r="AI25" s="2905"/>
      <c r="AJ25" s="2905"/>
      <c r="AK25" s="2905"/>
      <c r="AL25" s="167"/>
    </row>
    <row r="26" spans="1:38" x14ac:dyDescent="0.2">
      <c r="A26" s="165"/>
      <c r="B26" s="166" t="s">
        <v>226</v>
      </c>
      <c r="C26" s="166" t="s">
        <v>859</v>
      </c>
      <c r="D26" s="166"/>
      <c r="E26" s="166"/>
      <c r="F26" s="166"/>
      <c r="G26" s="166"/>
      <c r="H26" s="166"/>
      <c r="I26" s="166"/>
      <c r="J26" s="166"/>
      <c r="K26" s="166"/>
      <c r="L26" s="166" t="s">
        <v>218</v>
      </c>
      <c r="AD26" s="2904"/>
      <c r="AE26" s="2905"/>
      <c r="AF26" s="2905"/>
      <c r="AG26" s="2905"/>
      <c r="AH26" s="2905"/>
      <c r="AI26" s="2905"/>
      <c r="AJ26" s="2905"/>
      <c r="AK26" s="2905"/>
      <c r="AL26" s="167"/>
    </row>
    <row r="27" spans="1:38" ht="1.5" customHeight="1" x14ac:dyDescent="0.2">
      <c r="A27" s="165"/>
      <c r="M27" s="3462"/>
      <c r="N27" s="3462"/>
      <c r="O27" s="3462"/>
      <c r="P27" s="3462"/>
      <c r="Q27" s="3462"/>
      <c r="R27" s="3462"/>
      <c r="S27" s="3462"/>
      <c r="T27" s="3462"/>
      <c r="U27" s="3462"/>
      <c r="V27" s="3462"/>
      <c r="W27" s="3462"/>
      <c r="X27" s="1447"/>
      <c r="Y27" s="1447"/>
      <c r="Z27" s="1447"/>
      <c r="AA27" s="1447"/>
      <c r="AB27" s="1447"/>
      <c r="AD27" s="2904"/>
      <c r="AE27" s="2905"/>
      <c r="AF27" s="2905"/>
      <c r="AG27" s="2905"/>
      <c r="AH27" s="2905"/>
      <c r="AI27" s="2905"/>
      <c r="AJ27" s="2905"/>
      <c r="AK27" s="2905"/>
      <c r="AL27" s="167"/>
    </row>
    <row r="28" spans="1:38" x14ac:dyDescent="0.2">
      <c r="A28" s="165"/>
      <c r="C28" s="166" t="s">
        <v>276</v>
      </c>
      <c r="L28" s="1313" t="s">
        <v>218</v>
      </c>
      <c r="M28" s="3366" t="str">
        <f>'F-LSCD-013'!C20</f>
        <v>Fuentes patrones planas de clase 2:</v>
      </c>
      <c r="N28" s="3366"/>
      <c r="O28" s="3366"/>
      <c r="P28" s="3366"/>
      <c r="Q28" s="3366"/>
      <c r="R28" s="3366"/>
      <c r="S28" s="3366"/>
      <c r="T28" s="3366"/>
      <c r="U28" s="3366"/>
      <c r="V28" s="3366"/>
      <c r="W28" s="3366"/>
      <c r="X28" s="1448"/>
      <c r="Y28" s="1448"/>
      <c r="Z28" s="1448"/>
      <c r="AA28" s="1448"/>
      <c r="AB28" s="1448"/>
      <c r="AC28" s="179"/>
      <c r="AD28" s="2904"/>
      <c r="AE28" s="2905"/>
      <c r="AF28" s="2905"/>
      <c r="AG28" s="2905"/>
      <c r="AH28" s="2905"/>
      <c r="AI28" s="2905"/>
      <c r="AJ28" s="2905"/>
      <c r="AK28" s="2905"/>
      <c r="AL28" s="167"/>
    </row>
    <row r="29" spans="1:38" ht="38.25" customHeight="1" x14ac:dyDescent="0.2">
      <c r="A29" s="165"/>
      <c r="C29" s="226"/>
      <c r="D29" s="226"/>
      <c r="E29" s="226"/>
      <c r="F29" s="226"/>
      <c r="G29" s="226"/>
      <c r="H29" s="226"/>
      <c r="I29" s="226"/>
      <c r="J29" s="226"/>
      <c r="K29" s="226"/>
      <c r="L29" s="1317" t="s">
        <v>93</v>
      </c>
      <c r="M29" s="3367" t="str">
        <f>'F-LSCD-013'!C21</f>
        <v>²⁴¹Am (α); Marca: Eckert &amp; Ziegler; Modelo: AMR07032; Serie: AJ-4188; Certificado de calibración N°: 030516, con fecha 2017-01-18 (Eckert &amp; Ziegler); Trazable al PTB.</v>
      </c>
      <c r="N29" s="3367"/>
      <c r="O29" s="3367"/>
      <c r="P29" s="3367"/>
      <c r="Q29" s="3367"/>
      <c r="R29" s="3367"/>
      <c r="S29" s="3367"/>
      <c r="T29" s="3367"/>
      <c r="U29" s="3367"/>
      <c r="V29" s="3367"/>
      <c r="W29" s="3367"/>
      <c r="X29" s="3367"/>
      <c r="Y29" s="3367"/>
      <c r="Z29" s="3367"/>
      <c r="AA29" s="3367"/>
      <c r="AB29" s="3367"/>
      <c r="AC29" s="179"/>
      <c r="AD29" s="2904"/>
      <c r="AE29" s="2905"/>
      <c r="AF29" s="2905"/>
      <c r="AG29" s="2905"/>
      <c r="AH29" s="2905"/>
      <c r="AI29" s="2905"/>
      <c r="AJ29" s="2905"/>
      <c r="AK29" s="2905"/>
      <c r="AL29" s="167"/>
    </row>
    <row r="30" spans="1:38" ht="36.75" customHeight="1" x14ac:dyDescent="0.2">
      <c r="A30" s="165"/>
      <c r="C30" s="227"/>
      <c r="D30" s="227"/>
      <c r="E30" s="227"/>
      <c r="F30" s="227"/>
      <c r="G30" s="227"/>
      <c r="H30" s="227"/>
      <c r="I30" s="227"/>
      <c r="J30" s="227"/>
      <c r="K30" s="227"/>
      <c r="L30" s="1317" t="s">
        <v>93</v>
      </c>
      <c r="M30" s="3367" t="str">
        <f>'F-LSCD-013'!C22</f>
        <v>³⁶Cl (β); Marca: Eckert &amp; Ziegler; Modelo: CIR07032; Serie: AJ-4189; Certificado de calibración N°: 030515, con fecha 2017-01-17 (Eckert &amp; Ziegler); Trazable al PTB.</v>
      </c>
      <c r="N30" s="3367"/>
      <c r="O30" s="3367"/>
      <c r="P30" s="3367"/>
      <c r="Q30" s="3367"/>
      <c r="R30" s="3367"/>
      <c r="S30" s="3367"/>
      <c r="T30" s="3367"/>
      <c r="U30" s="3367"/>
      <c r="V30" s="3367"/>
      <c r="W30" s="3367"/>
      <c r="X30" s="3367"/>
      <c r="Y30" s="3367"/>
      <c r="Z30" s="3367"/>
      <c r="AA30" s="3367"/>
      <c r="AB30" s="3367"/>
      <c r="AC30" s="179"/>
      <c r="AD30" s="2904"/>
      <c r="AE30" s="2905"/>
      <c r="AF30" s="2905"/>
      <c r="AG30" s="2905"/>
      <c r="AH30" s="2905"/>
      <c r="AI30" s="2905"/>
      <c r="AJ30" s="2905"/>
      <c r="AK30" s="2905"/>
      <c r="AL30" s="167"/>
    </row>
    <row r="31" spans="1:38" ht="42.75" customHeight="1" x14ac:dyDescent="0.2">
      <c r="A31" s="165"/>
      <c r="C31" s="1314"/>
      <c r="D31" s="1314"/>
      <c r="E31" s="1314"/>
      <c r="F31" s="1314"/>
      <c r="G31" s="1314"/>
      <c r="H31" s="1314"/>
      <c r="I31" s="1314"/>
      <c r="J31" s="1314"/>
      <c r="K31" s="1314"/>
      <c r="L31" s="1318" t="s">
        <v>93</v>
      </c>
      <c r="M31" s="3368" t="str">
        <f>'F-LSCD-013'!C23</f>
        <v>⁹⁰Sr (β); Marca: Eckert &amp; Ziegler; Modelo: SIR07032; Serie: AJ-4190; Certificado de calibración N°: 030514, con fecha 2017-01-19 (Eckert &amp; Ziegler); Trazable al PTB.</v>
      </c>
      <c r="N31" s="3368"/>
      <c r="O31" s="3368"/>
      <c r="P31" s="3368"/>
      <c r="Q31" s="3368"/>
      <c r="R31" s="3368"/>
      <c r="S31" s="3368"/>
      <c r="T31" s="3368"/>
      <c r="U31" s="3368"/>
      <c r="V31" s="3368"/>
      <c r="W31" s="3368"/>
      <c r="X31" s="3368"/>
      <c r="Y31" s="3368"/>
      <c r="Z31" s="3368"/>
      <c r="AA31" s="3368"/>
      <c r="AB31" s="3368"/>
      <c r="AC31" s="179"/>
      <c r="AD31" s="2906" t="s">
        <v>230</v>
      </c>
      <c r="AE31" s="2907"/>
      <c r="AF31" s="2907"/>
      <c r="AG31" s="2907"/>
      <c r="AH31" s="2907"/>
      <c r="AI31" s="2907"/>
      <c r="AJ31" s="2907"/>
      <c r="AK31" s="2907"/>
      <c r="AL31" s="167"/>
    </row>
    <row r="32" spans="1:38" ht="15" customHeight="1" x14ac:dyDescent="0.2">
      <c r="A32" s="165"/>
      <c r="C32" s="1312" t="s">
        <v>228</v>
      </c>
      <c r="L32" s="227" t="s">
        <v>218</v>
      </c>
      <c r="M32" s="2910" t="str">
        <f>IF('F-LSCD-013'!D44="-","Temp (°C): "&amp;'F-LSCD-013'!D42&amp;"; Presión (hPa): "&amp;'F-LSCD-013'!H42&amp;"; HR(%): "&amp;'F-LSCD-013'!F42,"Temp (°C): "&amp;'F-LSCD-013'!D44&amp;"; Presión (hPa): "&amp;'F-LSCD-013'!H44&amp;"; HR(%): "&amp;'F-LSCD-013'!F44)</f>
        <v>Temp (°C): 20.4; Presión (hPa): 1007; HR(%): 52</v>
      </c>
      <c r="N32" s="2910"/>
      <c r="O32" s="2910"/>
      <c r="P32" s="2910"/>
      <c r="Q32" s="2910"/>
      <c r="R32" s="2910"/>
      <c r="S32" s="2910"/>
      <c r="T32" s="2910"/>
      <c r="U32" s="2910"/>
      <c r="V32" s="2910"/>
      <c r="W32" s="2910"/>
      <c r="X32" s="2910"/>
      <c r="Y32" s="2910"/>
      <c r="Z32" s="2910"/>
      <c r="AA32" s="2910"/>
      <c r="AB32" s="2910"/>
      <c r="AC32" s="180"/>
      <c r="AD32" s="2949" t="s">
        <v>876</v>
      </c>
      <c r="AE32" s="2987"/>
      <c r="AF32" s="2987"/>
      <c r="AG32" s="2987"/>
      <c r="AH32" s="2987"/>
      <c r="AI32" s="2987"/>
      <c r="AJ32" s="2987"/>
      <c r="AK32" s="2987"/>
      <c r="AL32" s="167"/>
    </row>
    <row r="33" spans="1:38" ht="12.75" customHeight="1" x14ac:dyDescent="0.2">
      <c r="A33" s="165"/>
      <c r="C33" s="1313" t="s">
        <v>277</v>
      </c>
      <c r="L33" s="227" t="s">
        <v>218</v>
      </c>
      <c r="M33" s="3349" t="str">
        <f>'F-LSCD-013'!C24</f>
        <v>Superficie del detector a 3 mm de la fuente plana</v>
      </c>
      <c r="N33" s="3349"/>
      <c r="O33" s="3349"/>
      <c r="P33" s="3349"/>
      <c r="Q33" s="3349"/>
      <c r="R33" s="3349"/>
      <c r="S33" s="3349"/>
      <c r="T33" s="3349"/>
      <c r="U33" s="3349"/>
      <c r="V33" s="3349"/>
      <c r="W33" s="3349"/>
      <c r="X33" s="3349"/>
      <c r="Y33" s="3349"/>
      <c r="Z33" s="3349"/>
      <c r="AA33" s="3349"/>
      <c r="AB33" s="3349"/>
      <c r="AC33" s="180"/>
      <c r="AD33" s="2949"/>
      <c r="AE33" s="2987"/>
      <c r="AF33" s="2987"/>
      <c r="AG33" s="2987"/>
      <c r="AH33" s="2987"/>
      <c r="AI33" s="2987"/>
      <c r="AJ33" s="2987"/>
      <c r="AK33" s="2987"/>
      <c r="AL33" s="167"/>
    </row>
    <row r="34" spans="1:38" x14ac:dyDescent="0.2">
      <c r="A34" s="165"/>
      <c r="C34" s="226" t="s">
        <v>256</v>
      </c>
      <c r="L34" s="227" t="s">
        <v>218</v>
      </c>
      <c r="M34" s="3349">
        <f>'F-LSCD-013'!C16</f>
        <v>44336</v>
      </c>
      <c r="N34" s="3349"/>
      <c r="O34" s="3349"/>
      <c r="P34" s="3349"/>
      <c r="Q34" s="3349"/>
      <c r="R34" s="3349"/>
      <c r="S34" s="183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2949"/>
      <c r="AE34" s="2987"/>
      <c r="AF34" s="2987"/>
      <c r="AG34" s="2987"/>
      <c r="AH34" s="2987"/>
      <c r="AI34" s="2987"/>
      <c r="AJ34" s="2987"/>
      <c r="AK34" s="2987"/>
      <c r="AL34" s="167"/>
    </row>
    <row r="35" spans="1:38" x14ac:dyDescent="0.2">
      <c r="A35" s="165"/>
      <c r="C35" s="166" t="s">
        <v>257</v>
      </c>
      <c r="L35" s="227" t="s">
        <v>218</v>
      </c>
      <c r="M35" s="3463">
        <f>'F-LSCD-013'!C18</f>
        <v>44251</v>
      </c>
      <c r="N35" s="3463"/>
      <c r="O35" s="3463"/>
      <c r="P35" s="3463"/>
      <c r="Q35" s="3463"/>
      <c r="R35" s="3463"/>
      <c r="S35" s="1310"/>
      <c r="T35" s="184"/>
      <c r="U35" s="184"/>
      <c r="V35" s="184"/>
      <c r="W35" s="184"/>
      <c r="X35" s="184"/>
      <c r="Y35" s="184"/>
      <c r="Z35" s="184"/>
      <c r="AA35" s="184"/>
      <c r="AB35" s="184"/>
      <c r="AC35" s="184"/>
      <c r="AD35" s="2949"/>
      <c r="AE35" s="2987"/>
      <c r="AF35" s="2987"/>
      <c r="AG35" s="2987"/>
      <c r="AH35" s="2987"/>
      <c r="AI35" s="2987"/>
      <c r="AJ35" s="2987"/>
      <c r="AK35" s="2987"/>
      <c r="AL35" s="167"/>
    </row>
    <row r="36" spans="1:38" ht="3.75" customHeight="1" x14ac:dyDescent="0.2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87"/>
      <c r="AL36" s="167"/>
    </row>
    <row r="37" spans="1:38" x14ac:dyDescent="0.2">
      <c r="A37" s="165"/>
      <c r="B37" s="166" t="s">
        <v>258</v>
      </c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86"/>
      <c r="N37" s="166"/>
      <c r="O37" s="166"/>
      <c r="P37" s="166"/>
      <c r="Q37" s="166"/>
      <c r="R37" s="166"/>
      <c r="S37" s="166"/>
      <c r="AL37" s="167"/>
    </row>
    <row r="38" spans="1:38" ht="4.5" customHeight="1" x14ac:dyDescent="0.2">
      <c r="A38" s="165"/>
      <c r="M38" s="188"/>
      <c r="AL38" s="167"/>
    </row>
    <row r="39" spans="1:38" ht="12.75" customHeight="1" x14ac:dyDescent="0.2">
      <c r="A39" s="165"/>
      <c r="C39" s="3037" t="s">
        <v>278</v>
      </c>
      <c r="D39" s="3037"/>
      <c r="E39" s="3037"/>
      <c r="F39" s="3037" t="s">
        <v>227</v>
      </c>
      <c r="G39" s="3037"/>
      <c r="H39" s="3037"/>
      <c r="I39" s="3037"/>
      <c r="J39" s="3037" t="s">
        <v>877</v>
      </c>
      <c r="K39" s="3037"/>
      <c r="L39" s="3037"/>
      <c r="M39" s="3037"/>
      <c r="N39" s="2853" t="s">
        <v>884</v>
      </c>
      <c r="O39" s="2854"/>
      <c r="P39" s="2854"/>
      <c r="Q39" s="2857"/>
      <c r="R39" s="3351" t="s">
        <v>885</v>
      </c>
      <c r="S39" s="3352"/>
      <c r="T39" s="3352"/>
      <c r="U39" s="3353"/>
      <c r="V39" s="3138" t="s">
        <v>890</v>
      </c>
      <c r="W39" s="3339"/>
      <c r="X39" s="3339"/>
      <c r="Y39" s="3339"/>
      <c r="Z39" s="3339"/>
      <c r="AA39" s="3339"/>
      <c r="AB39" s="3339"/>
      <c r="AC39" s="3340"/>
      <c r="AD39" s="3354" t="s">
        <v>259</v>
      </c>
      <c r="AE39" s="3355"/>
      <c r="AF39" s="3355"/>
      <c r="AG39" s="3356"/>
      <c r="AH39" s="1264"/>
      <c r="AI39" s="1264"/>
      <c r="AJ39" s="1264"/>
      <c r="AK39" s="1264"/>
      <c r="AL39" s="167"/>
    </row>
    <row r="40" spans="1:38" ht="16.5" customHeight="1" x14ac:dyDescent="0.2">
      <c r="A40" s="165"/>
      <c r="C40" s="3037"/>
      <c r="D40" s="3037"/>
      <c r="E40" s="3037"/>
      <c r="F40" s="3037"/>
      <c r="G40" s="3037"/>
      <c r="H40" s="3037"/>
      <c r="I40" s="3037"/>
      <c r="J40" s="3037"/>
      <c r="K40" s="3037"/>
      <c r="L40" s="3037"/>
      <c r="M40" s="3037"/>
      <c r="N40" s="3344" t="str">
        <f>'F-LSCD-013'!U48</f>
        <v>[s⁻¹.cm⁻²/(µSv/h)]</v>
      </c>
      <c r="O40" s="3014"/>
      <c r="P40" s="3014"/>
      <c r="Q40" s="3345"/>
      <c r="R40" s="3344" t="str">
        <f>'F-LSCD-013'!V48</f>
        <v>[Bq.cm⁻²/(µSv/h)]</v>
      </c>
      <c r="S40" s="3014"/>
      <c r="T40" s="3014"/>
      <c r="U40" s="3345"/>
      <c r="V40" s="3341" t="s">
        <v>1040</v>
      </c>
      <c r="W40" s="3342"/>
      <c r="X40" s="3342"/>
      <c r="Y40" s="3342"/>
      <c r="Z40" s="3342"/>
      <c r="AA40" s="3342"/>
      <c r="AB40" s="3342"/>
      <c r="AC40" s="3343"/>
      <c r="AD40" s="3344"/>
      <c r="AE40" s="3014"/>
      <c r="AF40" s="3014"/>
      <c r="AG40" s="3345"/>
      <c r="AH40" s="1264"/>
      <c r="AI40" s="1264"/>
      <c r="AJ40" s="1264"/>
      <c r="AK40" s="1264"/>
      <c r="AL40" s="167"/>
    </row>
    <row r="41" spans="1:38" ht="14.25" customHeight="1" x14ac:dyDescent="0.2">
      <c r="A41" s="165"/>
      <c r="C41" s="2967">
        <v>5486</v>
      </c>
      <c r="D41" s="2967"/>
      <c r="E41" s="2967"/>
      <c r="F41" s="2792" t="s">
        <v>899</v>
      </c>
      <c r="G41" s="2792"/>
      <c r="H41" s="2792"/>
      <c r="I41" s="2792"/>
      <c r="J41" s="2792" t="s">
        <v>860</v>
      </c>
      <c r="K41" s="2792"/>
      <c r="L41" s="2792"/>
      <c r="M41" s="2792"/>
      <c r="N41" s="3334">
        <f>IF('F-LSCD-013'!U52="-",'F-LSCD-013'!U51,'F-LSCD-013'!U52)</f>
        <v>0.26631739794804626</v>
      </c>
      <c r="O41" s="3335"/>
      <c r="P41" s="3335"/>
      <c r="Q41" s="3336"/>
      <c r="R41" s="3334">
        <f>IF('F-LSCD-013'!V52="-",'F-LSCD-013'!V51,'F-LSCD-013'!V52)</f>
        <v>0.56028523612020664</v>
      </c>
      <c r="S41" s="3335"/>
      <c r="T41" s="3335"/>
      <c r="U41" s="3336"/>
      <c r="V41" s="3354" t="str">
        <f>"Lectura x "&amp;TEXT(R41,"#0,#####")</f>
        <v>Lectura x 01</v>
      </c>
      <c r="W41" s="3355"/>
      <c r="X41" s="3355"/>
      <c r="Y41" s="3355"/>
      <c r="Z41" s="3355"/>
      <c r="AA41" s="3355"/>
      <c r="AB41" s="3355"/>
      <c r="AC41" s="3356"/>
      <c r="AD41" s="3357">
        <f>'F-LSCD-013'!W51</f>
        <v>0.12</v>
      </c>
      <c r="AE41" s="3358"/>
      <c r="AF41" s="3358"/>
      <c r="AG41" s="3359"/>
      <c r="AH41" s="180"/>
      <c r="AI41" s="180"/>
      <c r="AJ41" s="180"/>
      <c r="AK41" s="180"/>
      <c r="AL41" s="167"/>
    </row>
    <row r="42" spans="1:38" ht="14.25" customHeight="1" x14ac:dyDescent="0.2">
      <c r="A42" s="165"/>
      <c r="C42" s="2967">
        <v>710</v>
      </c>
      <c r="D42" s="2967"/>
      <c r="E42" s="2967"/>
      <c r="F42" s="2792" t="s">
        <v>900</v>
      </c>
      <c r="G42" s="2792"/>
      <c r="H42" s="2792"/>
      <c r="I42" s="2792"/>
      <c r="J42" s="2792" t="s">
        <v>861</v>
      </c>
      <c r="K42" s="2792"/>
      <c r="L42" s="2792"/>
      <c r="M42" s="2792"/>
      <c r="N42" s="3334">
        <f>IF('F-LSCD-013'!U54="-",'F-LSCD-013'!U53,'F-LSCD-013'!U54)</f>
        <v>0.1366302814286775</v>
      </c>
      <c r="O42" s="3335"/>
      <c r="P42" s="3335"/>
      <c r="Q42" s="3336"/>
      <c r="R42" s="3334">
        <f>IF('F-LSCD-013'!V54="-",'F-LSCD-013'!V53,'F-LSCD-013'!V54)</f>
        <v>0.21831142793495209</v>
      </c>
      <c r="S42" s="3335"/>
      <c r="T42" s="3335"/>
      <c r="U42" s="3336"/>
      <c r="V42" s="3337" t="str">
        <f>"Lectura x "&amp;TEXT(R42,"#0,#####")</f>
        <v>Lectura x 0</v>
      </c>
      <c r="W42" s="2995"/>
      <c r="X42" s="2995"/>
      <c r="Y42" s="2995"/>
      <c r="Z42" s="2995"/>
      <c r="AA42" s="2995"/>
      <c r="AB42" s="2995"/>
      <c r="AC42" s="3338"/>
      <c r="AD42" s="3328">
        <f>'F-LSCD-013'!W53</f>
        <v>0.13</v>
      </c>
      <c r="AE42" s="3329"/>
      <c r="AF42" s="3329"/>
      <c r="AG42" s="3330"/>
      <c r="AH42" s="1264"/>
      <c r="AI42" s="1264"/>
      <c r="AJ42" s="1264"/>
      <c r="AK42" s="1264"/>
      <c r="AL42" s="167"/>
    </row>
    <row r="43" spans="1:38" ht="14.25" customHeight="1" x14ac:dyDescent="0.2">
      <c r="A43" s="165"/>
      <c r="C43" s="2967">
        <v>546</v>
      </c>
      <c r="D43" s="2967"/>
      <c r="E43" s="2967"/>
      <c r="F43" s="2792" t="s">
        <v>901</v>
      </c>
      <c r="G43" s="2792"/>
      <c r="H43" s="2792"/>
      <c r="I43" s="2792"/>
      <c r="J43" s="2792" t="s">
        <v>861</v>
      </c>
      <c r="K43" s="2792"/>
      <c r="L43" s="2792"/>
      <c r="M43" s="2792"/>
      <c r="N43" s="3334">
        <f>IF('F-LSCD-013'!U56="-",'F-LSCD-013'!U55,'F-LSCD-013'!U56)</f>
        <v>0.14424107751983312</v>
      </c>
      <c r="O43" s="3335"/>
      <c r="P43" s="3335"/>
      <c r="Q43" s="3336"/>
      <c r="R43" s="3334">
        <f>IF('F-LSCD-013'!V56="-",'F-LSCD-013'!V55,'F-LSCD-013'!V56)</f>
        <v>0.11227413601543768</v>
      </c>
      <c r="S43" s="3335"/>
      <c r="T43" s="3335"/>
      <c r="U43" s="3336"/>
      <c r="V43" s="3344" t="str">
        <f>"Lectura x "&amp;TEXT(R43,"#0,#####")</f>
        <v>Lectura x 0</v>
      </c>
      <c r="W43" s="3014"/>
      <c r="X43" s="3014"/>
      <c r="Y43" s="3014"/>
      <c r="Z43" s="3014"/>
      <c r="AA43" s="3014"/>
      <c r="AB43" s="3014"/>
      <c r="AC43" s="3345"/>
      <c r="AD43" s="3328">
        <f>'F-LSCD-013'!W55</f>
        <v>9.2999999999999999E-2</v>
      </c>
      <c r="AE43" s="3329"/>
      <c r="AF43" s="3329"/>
      <c r="AG43" s="3330"/>
      <c r="AH43" s="1264"/>
      <c r="AI43" s="1264"/>
      <c r="AJ43" s="1264"/>
      <c r="AK43" s="1264"/>
      <c r="AL43" s="167"/>
    </row>
    <row r="44" spans="1:38" x14ac:dyDescent="0.2">
      <c r="A44" s="165"/>
      <c r="B44" s="166"/>
      <c r="C44" s="3369" t="s">
        <v>886</v>
      </c>
      <c r="D44" s="3369"/>
      <c r="E44" s="3369"/>
      <c r="F44" s="3369"/>
      <c r="G44" s="3369"/>
      <c r="H44" s="3369"/>
      <c r="I44" s="3369"/>
      <c r="J44" s="3369"/>
      <c r="K44" s="3369"/>
      <c r="L44" s="3369"/>
      <c r="M44" s="3369"/>
      <c r="N44" s="3369"/>
      <c r="O44" s="3369"/>
      <c r="P44" s="3369"/>
      <c r="Q44" s="3369"/>
      <c r="R44" s="3369"/>
      <c r="S44" s="3369"/>
      <c r="T44" s="3369"/>
      <c r="U44" s="3369"/>
      <c r="V44" s="3369"/>
      <c r="W44" s="3369"/>
      <c r="X44" s="3369"/>
      <c r="Y44" s="3369"/>
      <c r="Z44" s="3369"/>
      <c r="AA44" s="3369"/>
      <c r="AB44" s="3369"/>
      <c r="AC44" s="3369"/>
      <c r="AD44" s="3369"/>
      <c r="AE44" s="3369"/>
      <c r="AF44" s="3369"/>
      <c r="AG44" s="3369"/>
      <c r="AL44" s="167"/>
    </row>
    <row r="45" spans="1:38" x14ac:dyDescent="0.2">
      <c r="A45" s="165"/>
      <c r="B45" s="166"/>
      <c r="C45" s="3124" t="s">
        <v>887</v>
      </c>
      <c r="D45" s="3124"/>
      <c r="E45" s="3124"/>
      <c r="F45" s="3124"/>
      <c r="G45" s="3124"/>
      <c r="H45" s="3124"/>
      <c r="I45" s="3124"/>
      <c r="J45" s="3124"/>
      <c r="K45" s="3124"/>
      <c r="L45" s="3124"/>
      <c r="M45" s="3124"/>
      <c r="N45" s="3124"/>
      <c r="O45" s="3124"/>
      <c r="P45" s="3124"/>
      <c r="Q45" s="3124"/>
      <c r="R45" s="3124"/>
      <c r="S45" s="3124"/>
      <c r="T45" s="3124"/>
      <c r="U45" s="3124"/>
      <c r="V45" s="3124"/>
      <c r="W45" s="3124"/>
      <c r="X45" s="3124"/>
      <c r="Y45" s="3124"/>
      <c r="Z45" s="3124"/>
      <c r="AA45" s="3124"/>
      <c r="AB45" s="3124"/>
      <c r="AC45" s="3124"/>
      <c r="AD45" s="3124"/>
      <c r="AE45" s="3124"/>
      <c r="AF45" s="3124"/>
      <c r="AG45" s="3124"/>
      <c r="AL45" s="167"/>
    </row>
    <row r="46" spans="1:38" ht="15.75" x14ac:dyDescent="0.3">
      <c r="A46" s="165"/>
      <c r="B46" s="166"/>
      <c r="C46" s="3124" t="s">
        <v>891</v>
      </c>
      <c r="D46" s="3124"/>
      <c r="E46" s="3124"/>
      <c r="F46" s="3124"/>
      <c r="G46" s="3124"/>
      <c r="H46" s="3124"/>
      <c r="I46" s="3124"/>
      <c r="J46" s="3124"/>
      <c r="K46" s="3124"/>
      <c r="L46" s="3124"/>
      <c r="M46" s="3124"/>
      <c r="N46" s="3124"/>
      <c r="O46" s="3124"/>
      <c r="P46" s="3124"/>
      <c r="Q46" s="3124"/>
      <c r="R46" s="3124"/>
      <c r="S46" s="3124"/>
      <c r="T46" s="3124"/>
      <c r="U46" s="3124"/>
      <c r="V46" s="3124"/>
      <c r="W46" s="3124"/>
      <c r="X46" s="3124"/>
      <c r="Y46" s="3124"/>
      <c r="Z46" s="3124"/>
      <c r="AA46" s="3124"/>
      <c r="AB46" s="3124"/>
      <c r="AC46" s="3124"/>
      <c r="AD46" s="3124"/>
      <c r="AE46" s="3124"/>
      <c r="AF46" s="3124"/>
      <c r="AG46" s="3124"/>
      <c r="AL46" s="167"/>
    </row>
    <row r="47" spans="1:38" x14ac:dyDescent="0.2">
      <c r="A47" s="165"/>
      <c r="B47" s="166"/>
      <c r="C47" s="3124" t="str">
        <f>IF('F-LSCD-013'!C25="cps","Lectura [cps] = Tasa de conteo total medido por el monitor - Tasa de conteo de fondo",IF('F-LSCD-013'!C25="cpm","Lectura [cps] = (Tasa de conteo total medido por el monitor - Tasa de conteo de fondo) ÷ 60",IF('F-LSCD-013'!C25="cuentas","Lectura [cps] = (cuentas totales medido por el monitor/t) - (cuentas de fondo/t); t = tiempo medición en seg.","FALTA DEFINIR UNIDAD")))</f>
        <v>FALTA DEFINIR UNIDAD</v>
      </c>
      <c r="D47" s="3124"/>
      <c r="E47" s="3124"/>
      <c r="F47" s="3124"/>
      <c r="G47" s="3124"/>
      <c r="H47" s="3124"/>
      <c r="I47" s="3124"/>
      <c r="J47" s="3124"/>
      <c r="K47" s="3124"/>
      <c r="L47" s="3124"/>
      <c r="M47" s="3124"/>
      <c r="N47" s="3124"/>
      <c r="O47" s="3124"/>
      <c r="P47" s="3124"/>
      <c r="Q47" s="3124"/>
      <c r="R47" s="3124"/>
      <c r="S47" s="3124"/>
      <c r="T47" s="3124"/>
      <c r="U47" s="3124"/>
      <c r="V47" s="3124"/>
      <c r="W47" s="3124"/>
      <c r="X47" s="3124"/>
      <c r="Y47" s="3124"/>
      <c r="Z47" s="3124"/>
      <c r="AA47" s="3124"/>
      <c r="AB47" s="3124"/>
      <c r="AC47" s="3124"/>
      <c r="AD47" s="3124"/>
      <c r="AE47" s="3124"/>
      <c r="AF47" s="3124"/>
      <c r="AG47" s="3124"/>
      <c r="AL47" s="167"/>
    </row>
    <row r="48" spans="1:38" x14ac:dyDescent="0.2">
      <c r="A48" s="165"/>
      <c r="B48" s="166"/>
      <c r="C48" s="1355"/>
      <c r="D48" s="1355"/>
      <c r="E48" s="1355"/>
      <c r="F48" s="1355"/>
      <c r="G48" s="1355"/>
      <c r="H48" s="1355"/>
      <c r="I48" s="1355"/>
      <c r="J48" s="1355"/>
      <c r="K48" s="1355"/>
      <c r="L48" s="1355"/>
      <c r="M48" s="1355"/>
      <c r="N48" s="1355"/>
      <c r="O48" s="1355"/>
      <c r="P48" s="1355"/>
      <c r="Q48" s="1355"/>
      <c r="R48" s="1355"/>
      <c r="S48" s="1355"/>
      <c r="T48" s="1355"/>
      <c r="U48" s="1355"/>
      <c r="V48" s="1355"/>
      <c r="W48" s="1355"/>
      <c r="X48" s="1355"/>
      <c r="Y48" s="1355"/>
      <c r="Z48" s="1355"/>
      <c r="AA48" s="1355"/>
      <c r="AB48" s="1355"/>
      <c r="AC48" s="1355"/>
      <c r="AD48" s="1355"/>
      <c r="AE48" s="1355"/>
      <c r="AF48" s="1355"/>
      <c r="AG48" s="1355"/>
      <c r="AL48" s="167"/>
    </row>
    <row r="49" spans="1:38" x14ac:dyDescent="0.2">
      <c r="A49" s="165"/>
      <c r="B49" s="166"/>
      <c r="C49" s="238"/>
      <c r="D49" s="200"/>
      <c r="E49" s="200"/>
      <c r="F49" s="200"/>
      <c r="G49" s="200"/>
      <c r="H49" s="200"/>
      <c r="I49" s="200"/>
      <c r="J49" s="200"/>
      <c r="AL49" s="167"/>
    </row>
    <row r="50" spans="1:38" ht="12.75" customHeight="1" x14ac:dyDescent="0.2">
      <c r="A50" s="165"/>
      <c r="C50" s="1316">
        <f>'F-LSCD-013'!C27</f>
        <v>44252</v>
      </c>
      <c r="O50" s="1315"/>
      <c r="P50" s="1315"/>
      <c r="Q50" s="1315"/>
      <c r="R50" s="1315"/>
      <c r="S50" s="1315"/>
      <c r="T50" s="1315"/>
      <c r="U50" s="1315"/>
      <c r="V50" s="1315"/>
      <c r="W50" s="1315"/>
      <c r="X50" s="1315"/>
      <c r="Y50" s="1315"/>
      <c r="Z50" s="1315"/>
      <c r="AA50" s="1315"/>
      <c r="AB50" s="1315"/>
      <c r="AC50" s="1315"/>
      <c r="AD50" s="1315"/>
      <c r="AE50" s="1315"/>
      <c r="AF50" s="1315"/>
      <c r="AG50" s="1315"/>
      <c r="AH50" s="1315"/>
      <c r="AI50" s="1315"/>
      <c r="AJ50" s="1315"/>
      <c r="AK50" s="1315"/>
      <c r="AL50" s="167"/>
    </row>
    <row r="51" spans="1:38" ht="12.75" customHeight="1" x14ac:dyDescent="0.2">
      <c r="A51" s="165"/>
      <c r="C51" s="1316"/>
      <c r="O51" s="1315"/>
      <c r="P51" s="1315"/>
      <c r="Q51" s="1315"/>
      <c r="R51" s="1315"/>
      <c r="S51" s="1315"/>
      <c r="T51" s="1315"/>
      <c r="U51" s="1315"/>
      <c r="V51" s="1315"/>
      <c r="W51" s="1315"/>
      <c r="X51" s="1315"/>
      <c r="Y51" s="1315"/>
      <c r="Z51" s="1315"/>
      <c r="AA51" s="1315"/>
      <c r="AB51" s="1315"/>
      <c r="AC51" s="1315"/>
      <c r="AD51" s="1315"/>
      <c r="AE51" s="1315"/>
      <c r="AF51" s="1315"/>
      <c r="AG51" s="1315"/>
      <c r="AH51" s="1315"/>
      <c r="AI51" s="1315"/>
      <c r="AJ51" s="1315"/>
      <c r="AK51" s="1315"/>
      <c r="AL51" s="167"/>
    </row>
    <row r="52" spans="1:38" ht="45.75" customHeight="1" x14ac:dyDescent="0.2">
      <c r="A52" s="165"/>
      <c r="N52" s="1315"/>
      <c r="O52" s="1315"/>
      <c r="P52" s="1315"/>
      <c r="Q52" s="1315"/>
      <c r="R52" s="1315"/>
      <c r="S52" s="1315"/>
      <c r="T52" s="1315"/>
      <c r="U52" s="1315"/>
      <c r="V52" s="1315"/>
      <c r="W52" s="1315"/>
      <c r="X52" s="1315"/>
      <c r="Y52" s="1315"/>
      <c r="Z52" s="1315"/>
      <c r="AA52" s="1315"/>
      <c r="AB52" s="1315"/>
      <c r="AC52" s="1315"/>
      <c r="AD52" s="1315"/>
      <c r="AE52" s="1315"/>
      <c r="AF52" s="1315"/>
      <c r="AG52" s="1315"/>
      <c r="AH52" s="1315"/>
      <c r="AI52" s="1315"/>
      <c r="AJ52" s="1315"/>
      <c r="AK52" s="1315"/>
      <c r="AL52" s="167"/>
    </row>
    <row r="53" spans="1:38" ht="13.5" customHeight="1" x14ac:dyDescent="0.2">
      <c r="A53" s="165"/>
      <c r="N53" s="1407"/>
      <c r="O53" s="1407"/>
      <c r="P53" s="1407"/>
      <c r="Q53" s="1407"/>
      <c r="R53" s="1407"/>
      <c r="S53" s="1407"/>
      <c r="T53" s="1407"/>
      <c r="U53" s="1407"/>
      <c r="V53" s="1407"/>
      <c r="W53" s="1407"/>
      <c r="X53" s="1407"/>
      <c r="Y53" s="1407"/>
      <c r="Z53" s="1407"/>
      <c r="AA53" s="1407"/>
      <c r="AB53" s="1407"/>
      <c r="AC53" s="1407"/>
      <c r="AD53" s="1407"/>
      <c r="AE53" s="1407"/>
      <c r="AF53" s="1407"/>
      <c r="AG53" s="1407"/>
      <c r="AH53" s="1407"/>
      <c r="AI53" s="1407"/>
      <c r="AJ53" s="1407"/>
      <c r="AK53" s="1407"/>
      <c r="AL53" s="167"/>
    </row>
    <row r="54" spans="1:38" x14ac:dyDescent="0.2">
      <c r="A54" s="165"/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75"/>
      <c r="O54" s="175"/>
      <c r="P54" s="175"/>
      <c r="Q54" s="175"/>
      <c r="R54" s="175"/>
      <c r="S54" s="1307"/>
      <c r="T54" s="226"/>
      <c r="U54" s="226"/>
      <c r="V54" s="226"/>
      <c r="W54" s="226"/>
      <c r="X54" s="226"/>
      <c r="Y54" s="226"/>
      <c r="Z54" s="226"/>
      <c r="AA54" s="226"/>
      <c r="AB54" s="226"/>
      <c r="AC54" s="226"/>
      <c r="AD54" s="226"/>
      <c r="AE54" s="226"/>
      <c r="AF54" s="226"/>
      <c r="AG54" s="226"/>
      <c r="AH54" s="226"/>
      <c r="AI54" s="226"/>
      <c r="AJ54" s="226"/>
      <c r="AK54" s="226"/>
      <c r="AL54" s="167"/>
    </row>
    <row r="55" spans="1:38" ht="3" customHeight="1" thickBot="1" x14ac:dyDescent="0.25">
      <c r="A55" s="195"/>
      <c r="B55" s="196"/>
      <c r="C55" s="196"/>
      <c r="D55" s="196"/>
      <c r="E55" s="196"/>
      <c r="F55" s="196"/>
      <c r="G55" s="196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7"/>
    </row>
    <row r="56" spans="1:38" ht="15.75" thickTop="1" x14ac:dyDescent="0.25">
      <c r="A56" s="3022" t="s">
        <v>260</v>
      </c>
      <c r="B56" s="3023"/>
      <c r="C56" s="3023"/>
      <c r="D56" s="3023"/>
      <c r="E56" s="3023"/>
      <c r="F56" s="3023"/>
      <c r="G56" s="3023"/>
      <c r="H56" s="3023"/>
      <c r="I56" s="3023"/>
      <c r="J56" s="3023"/>
      <c r="K56" s="3023"/>
      <c r="L56" s="3023"/>
      <c r="M56" s="3023"/>
      <c r="N56" s="3023"/>
      <c r="O56" s="3023"/>
      <c r="P56" s="3023"/>
      <c r="Q56" s="3023"/>
      <c r="R56" s="3023"/>
      <c r="S56" s="3023"/>
      <c r="T56" s="3023"/>
      <c r="U56" s="3023"/>
      <c r="V56" s="3023"/>
      <c r="W56" s="3023"/>
      <c r="X56" s="3023"/>
      <c r="Y56" s="3023"/>
      <c r="Z56" s="3023"/>
      <c r="AA56" s="3023"/>
      <c r="AB56" s="3023"/>
      <c r="AC56" s="3023"/>
      <c r="AD56" s="3023"/>
      <c r="AE56" s="3023"/>
      <c r="AF56" s="3023"/>
      <c r="AG56" s="3023"/>
      <c r="AH56" s="3023"/>
      <c r="AI56" s="3023"/>
      <c r="AJ56" s="3023"/>
      <c r="AK56" s="3023"/>
      <c r="AL56" s="3024"/>
    </row>
    <row r="57" spans="1:38" ht="11.25" customHeight="1" thickBot="1" x14ac:dyDescent="0.25">
      <c r="A57" s="3025" t="s">
        <v>279</v>
      </c>
      <c r="B57" s="3026"/>
      <c r="C57" s="3026"/>
      <c r="D57" s="3026"/>
      <c r="E57" s="3026"/>
      <c r="F57" s="3026"/>
      <c r="G57" s="3026"/>
      <c r="H57" s="3026"/>
      <c r="I57" s="3026"/>
      <c r="J57" s="3026"/>
      <c r="K57" s="3026"/>
      <c r="L57" s="3026"/>
      <c r="M57" s="3026"/>
      <c r="N57" s="3026"/>
      <c r="O57" s="3026"/>
      <c r="P57" s="3026"/>
      <c r="Q57" s="3026"/>
      <c r="R57" s="3026"/>
      <c r="S57" s="3026"/>
      <c r="T57" s="3026"/>
      <c r="U57" s="3026"/>
      <c r="V57" s="3026"/>
      <c r="W57" s="3026"/>
      <c r="X57" s="3026"/>
      <c r="Y57" s="3026"/>
      <c r="Z57" s="3026"/>
      <c r="AA57" s="3026"/>
      <c r="AB57" s="3026"/>
      <c r="AC57" s="3026"/>
      <c r="AD57" s="3026"/>
      <c r="AE57" s="3026"/>
      <c r="AF57" s="3026"/>
      <c r="AG57" s="3026"/>
      <c r="AH57" s="3026"/>
      <c r="AI57" s="3026"/>
      <c r="AJ57" s="3026"/>
      <c r="AK57" s="3026"/>
      <c r="AL57" s="3027"/>
    </row>
    <row r="58" spans="1:38" x14ac:dyDescent="0.2">
      <c r="A58" s="1356" t="s">
        <v>907</v>
      </c>
      <c r="AK58" s="1357" t="str">
        <f>A4&amp;" "&amp;A5</f>
        <v>INFORME DE CALIBRACIÓN N° 011-2021 ALEPH/GR/LSCD</v>
      </c>
    </row>
  </sheetData>
  <mergeCells count="63">
    <mergeCell ref="A8:AL8"/>
    <mergeCell ref="A2:AL3"/>
    <mergeCell ref="A4:AL4"/>
    <mergeCell ref="A5:AL5"/>
    <mergeCell ref="A6:AL6"/>
    <mergeCell ref="A7:AK7"/>
    <mergeCell ref="AD12:AK18"/>
    <mergeCell ref="M16:AB16"/>
    <mergeCell ref="M18:W18"/>
    <mergeCell ref="M19:AB19"/>
    <mergeCell ref="M20:AB20"/>
    <mergeCell ref="AD20:AK30"/>
    <mergeCell ref="M21:AB21"/>
    <mergeCell ref="M22:W22"/>
    <mergeCell ref="M23:AB24"/>
    <mergeCell ref="M27:W27"/>
    <mergeCell ref="M28:W28"/>
    <mergeCell ref="M29:AB29"/>
    <mergeCell ref="M30:AB30"/>
    <mergeCell ref="M31:AB31"/>
    <mergeCell ref="AD31:AK31"/>
    <mergeCell ref="AD39:AG40"/>
    <mergeCell ref="N40:Q40"/>
    <mergeCell ref="R40:U40"/>
    <mergeCell ref="V40:AC40"/>
    <mergeCell ref="M32:AB32"/>
    <mergeCell ref="AD32:AK35"/>
    <mergeCell ref="M33:AB33"/>
    <mergeCell ref="M34:R34"/>
    <mergeCell ref="M35:R35"/>
    <mergeCell ref="V39:AC39"/>
    <mergeCell ref="C39:E40"/>
    <mergeCell ref="F39:I40"/>
    <mergeCell ref="J39:M40"/>
    <mergeCell ref="N39:Q39"/>
    <mergeCell ref="R39:U39"/>
    <mergeCell ref="AD41:AG41"/>
    <mergeCell ref="C42:E42"/>
    <mergeCell ref="F42:I42"/>
    <mergeCell ref="J42:M42"/>
    <mergeCell ref="N42:Q42"/>
    <mergeCell ref="R42:U42"/>
    <mergeCell ref="V42:AC42"/>
    <mergeCell ref="AD42:AG42"/>
    <mergeCell ref="V41:AC41"/>
    <mergeCell ref="C41:E41"/>
    <mergeCell ref="F41:I41"/>
    <mergeCell ref="J41:M41"/>
    <mergeCell ref="N41:Q41"/>
    <mergeCell ref="R41:U41"/>
    <mergeCell ref="A57:AL57"/>
    <mergeCell ref="AD43:AG43"/>
    <mergeCell ref="C44:AG44"/>
    <mergeCell ref="C45:AG45"/>
    <mergeCell ref="C46:AG46"/>
    <mergeCell ref="C47:AG47"/>
    <mergeCell ref="A56:AL56"/>
    <mergeCell ref="C43:E43"/>
    <mergeCell ref="F43:I43"/>
    <mergeCell ref="J43:M43"/>
    <mergeCell ref="N43:Q43"/>
    <mergeCell ref="R43:U43"/>
    <mergeCell ref="V43:AC43"/>
  </mergeCells>
  <conditionalFormatting sqref="AC32 M32:M35 T34:AC35 N12:AC14">
    <cfRule type="cellIs" dxfId="4" priority="5" operator="equal">
      <formula>0</formula>
    </cfRule>
  </conditionalFormatting>
  <conditionalFormatting sqref="AC33">
    <cfRule type="cellIs" dxfId="3" priority="4" operator="equal">
      <formula>0</formula>
    </cfRule>
  </conditionalFormatting>
  <conditionalFormatting sqref="M32:M35 AC32:AC35 T34:AB35 N12:AC14">
    <cfRule type="containsErrors" dxfId="2" priority="3">
      <formula>ISERROR(M12)</formula>
    </cfRule>
  </conditionalFormatting>
  <conditionalFormatting sqref="M12:M14">
    <cfRule type="cellIs" dxfId="1" priority="2" operator="equal">
      <formula>0</formula>
    </cfRule>
  </conditionalFormatting>
  <conditionalFormatting sqref="M12:M14">
    <cfRule type="containsErrors" dxfId="0" priority="1">
      <formula>ISERROR(M12)</formula>
    </cfRule>
  </conditionalFormatting>
  <pageMargins left="0.27559055118110237" right="7.874015748031496E-2" top="0.23622047244094491" bottom="0" header="0.31496062992125984" footer="0"/>
  <pageSetup paperSize="9" scale="95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2">
    <pageSetUpPr fitToPage="1"/>
  </sheetPr>
  <dimension ref="A1:TY287"/>
  <sheetViews>
    <sheetView zoomScale="60" zoomScaleNormal="60" workbookViewId="0"/>
  </sheetViews>
  <sheetFormatPr baseColWidth="10" defaultColWidth="11.42578125" defaultRowHeight="15" x14ac:dyDescent="0.25"/>
  <cols>
    <col min="1" max="1" width="11.42578125" style="560"/>
    <col min="2" max="2" width="13.28515625" style="560" customWidth="1"/>
    <col min="3" max="3" width="12.28515625" style="560" customWidth="1"/>
    <col min="4" max="4" width="12.7109375" style="560" customWidth="1"/>
    <col min="5" max="5" width="14.28515625" style="560" customWidth="1"/>
    <col min="6" max="6" width="11.85546875" style="560" customWidth="1"/>
    <col min="7" max="7" width="13.42578125" style="560" customWidth="1"/>
    <col min="8" max="8" width="14.42578125" style="560" customWidth="1"/>
    <col min="9" max="9" width="10.42578125" style="560" customWidth="1"/>
    <col min="10" max="10" width="14.28515625" style="560" customWidth="1"/>
    <col min="11" max="12" width="13.85546875" style="560" customWidth="1"/>
    <col min="13" max="21" width="11.42578125" style="560"/>
    <col min="22" max="22" width="14.28515625" style="560" customWidth="1"/>
    <col min="23" max="23" width="9" style="560" customWidth="1"/>
    <col min="24" max="25" width="14.28515625" style="560" customWidth="1"/>
    <col min="26" max="26" width="11.42578125" style="560"/>
    <col min="27" max="27" width="14.28515625" style="560" customWidth="1"/>
    <col min="28" max="28" width="14.5703125" style="560" customWidth="1"/>
    <col min="29" max="29" width="14.28515625" style="560" customWidth="1"/>
    <col min="30" max="38" width="11.42578125" style="560"/>
    <col min="39" max="39" width="15.140625" style="560" customWidth="1"/>
    <col min="40" max="40" width="10.7109375" style="560" customWidth="1"/>
    <col min="41" max="42" width="15.140625" style="560" customWidth="1"/>
    <col min="43" max="43" width="11.42578125" style="560"/>
    <col min="44" max="44" width="14.140625" style="560" customWidth="1"/>
    <col min="45" max="45" width="14.28515625" style="560" customWidth="1"/>
    <col min="46" max="46" width="14" style="560" customWidth="1"/>
    <col min="47" max="55" width="11.42578125" style="560"/>
    <col min="56" max="56" width="14.28515625" style="560" customWidth="1"/>
    <col min="57" max="57" width="10.85546875" style="560" customWidth="1"/>
    <col min="58" max="59" width="14.28515625" style="560" customWidth="1"/>
    <col min="60" max="60" width="11.42578125" style="560"/>
    <col min="61" max="61" width="14.28515625" style="560" customWidth="1"/>
    <col min="62" max="62" width="13.85546875" style="560" customWidth="1"/>
    <col min="63" max="63" width="13.5703125" style="560" customWidth="1"/>
    <col min="64" max="66" width="10.28515625" style="560" customWidth="1"/>
    <col min="67" max="67" width="11.42578125" style="560"/>
    <col min="68" max="69" width="10.28515625" style="560" customWidth="1"/>
    <col min="70" max="71" width="8.7109375" style="560" bestFit="1" customWidth="1"/>
    <col min="72" max="72" width="13" style="560" customWidth="1"/>
    <col min="73" max="73" width="14.5703125" style="560" customWidth="1"/>
    <col min="74" max="74" width="10.28515625" style="560" customWidth="1"/>
    <col min="75" max="75" width="14.140625" style="560" customWidth="1"/>
    <col min="76" max="76" width="14.7109375" style="560" customWidth="1"/>
    <col min="77" max="77" width="10.42578125" style="560" customWidth="1"/>
    <col min="78" max="78" width="14.140625" style="560" customWidth="1"/>
    <col min="79" max="79" width="13.85546875" style="560" customWidth="1"/>
    <col min="80" max="80" width="10.28515625" style="560" bestFit="1" customWidth="1"/>
    <col min="81" max="83" width="10.28515625" style="560" customWidth="1"/>
    <col min="84" max="84" width="11.42578125" style="560"/>
    <col min="85" max="86" width="10.28515625" style="560" customWidth="1"/>
    <col min="87" max="89" width="11.42578125" style="560"/>
    <col min="90" max="90" width="15" style="560" customWidth="1"/>
    <col min="91" max="91" width="10.42578125" style="560" customWidth="1"/>
    <col min="92" max="93" width="15" style="560" customWidth="1"/>
    <col min="94" max="94" width="11.42578125" style="560"/>
    <col min="95" max="95" width="14.42578125" style="560" customWidth="1"/>
    <col min="96" max="97" width="14.28515625" style="560" customWidth="1"/>
    <col min="98" max="100" width="10.28515625" style="560" customWidth="1"/>
    <col min="101" max="101" width="11.42578125" style="560"/>
    <col min="102" max="103" width="10.28515625" style="560" customWidth="1"/>
    <col min="104" max="105" width="8.7109375" style="560" bestFit="1" customWidth="1"/>
    <col min="106" max="106" width="11.5703125" style="560" customWidth="1"/>
    <col min="107" max="107" width="14.28515625" style="560" customWidth="1"/>
    <col min="108" max="108" width="10.140625" style="560" customWidth="1"/>
    <col min="109" max="109" width="13.85546875" style="560" customWidth="1"/>
    <col min="110" max="110" width="14.42578125" style="560" customWidth="1"/>
    <col min="111" max="111" width="8.7109375" style="560" bestFit="1" customWidth="1"/>
    <col min="112" max="112" width="13.85546875" style="560" customWidth="1"/>
    <col min="113" max="113" width="16.140625" style="560" customWidth="1"/>
    <col min="114" max="115" width="10.28515625" style="560" bestFit="1" customWidth="1"/>
    <col min="116" max="117" width="10.28515625" style="560" customWidth="1"/>
    <col min="118" max="118" width="11.42578125" style="560"/>
    <col min="119" max="120" width="10.28515625" style="560" customWidth="1"/>
    <col min="121" max="122" width="8.7109375" style="560" bestFit="1" customWidth="1"/>
    <col min="123" max="123" width="13" style="560" customWidth="1"/>
    <col min="124" max="124" width="14.42578125" style="560" customWidth="1"/>
    <col min="125" max="125" width="9.140625" style="560" customWidth="1"/>
    <col min="126" max="127" width="14.42578125" style="560" customWidth="1"/>
    <col min="128" max="128" width="8.7109375" style="560" bestFit="1" customWidth="1"/>
    <col min="129" max="129" width="14.42578125" style="560" customWidth="1"/>
    <col min="130" max="130" width="15.5703125" style="560" customWidth="1"/>
    <col min="131" max="132" width="10.28515625" style="560" bestFit="1" customWidth="1"/>
    <col min="133" max="134" width="10.28515625" style="560" customWidth="1"/>
    <col min="135" max="135" width="11.42578125" style="560"/>
    <col min="136" max="137" width="10.28515625" style="560" customWidth="1"/>
    <col min="138" max="140" width="11.42578125" style="560"/>
    <col min="141" max="141" width="16.140625" style="560" customWidth="1"/>
    <col min="142" max="142" width="9.85546875" style="560" customWidth="1"/>
    <col min="143" max="143" width="14.140625" style="560" customWidth="1"/>
    <col min="144" max="144" width="14.85546875" style="560" customWidth="1"/>
    <col min="145" max="145" width="11.42578125" style="560"/>
    <col min="146" max="146" width="14.28515625" style="560" customWidth="1"/>
    <col min="147" max="147" width="14.5703125" style="560" customWidth="1"/>
    <col min="148" max="148" width="13.7109375" style="560" customWidth="1"/>
    <col min="149" max="157" width="11.42578125" style="560"/>
    <col min="158" max="158" width="14.28515625" style="560" customWidth="1"/>
    <col min="159" max="159" width="9.85546875" style="560" customWidth="1"/>
    <col min="160" max="161" width="14.28515625" style="560" customWidth="1"/>
    <col min="162" max="162" width="11.42578125" style="560"/>
    <col min="163" max="163" width="14.28515625" style="560" customWidth="1"/>
    <col min="164" max="164" width="14.7109375" style="560" customWidth="1"/>
    <col min="165" max="165" width="13" style="560" customWidth="1"/>
    <col min="166" max="168" width="10.28515625" style="560" customWidth="1"/>
    <col min="169" max="169" width="11.42578125" style="560"/>
    <col min="170" max="171" width="10.28515625" style="560" customWidth="1"/>
    <col min="172" max="173" width="8.7109375" style="560" bestFit="1" customWidth="1"/>
    <col min="174" max="174" width="11.5703125" style="560" customWidth="1"/>
    <col min="175" max="175" width="14.85546875" style="560" customWidth="1"/>
    <col min="176" max="176" width="9.5703125" style="560" customWidth="1"/>
    <col min="177" max="177" width="14.140625" style="560" customWidth="1"/>
    <col min="178" max="178" width="16.140625" style="560" customWidth="1"/>
    <col min="179" max="179" width="8.7109375" style="560" bestFit="1" customWidth="1"/>
    <col min="180" max="180" width="14.140625" style="560" customWidth="1"/>
    <col min="181" max="181" width="15.85546875" style="560" customWidth="1"/>
    <col min="182" max="183" width="10.28515625" style="560" bestFit="1" customWidth="1"/>
    <col min="184" max="185" width="10.28515625" style="560" customWidth="1"/>
    <col min="186" max="186" width="11.42578125" style="560"/>
    <col min="187" max="188" width="10.28515625" style="560" customWidth="1"/>
    <col min="189" max="190" width="8.7109375" style="560" bestFit="1" customWidth="1"/>
    <col min="191" max="191" width="12.28515625" style="560" customWidth="1"/>
    <col min="192" max="192" width="14.7109375" style="560" customWidth="1"/>
    <col min="193" max="193" width="9.85546875" style="560" customWidth="1"/>
    <col min="194" max="194" width="14.140625" style="560" customWidth="1"/>
    <col min="195" max="195" width="15.140625" style="560" customWidth="1"/>
    <col min="196" max="196" width="8.7109375" style="560" bestFit="1" customWidth="1"/>
    <col min="197" max="197" width="14.140625" style="560" customWidth="1"/>
    <col min="198" max="198" width="13.28515625" style="560" customWidth="1"/>
    <col min="199" max="200" width="10.28515625" style="560" bestFit="1" customWidth="1"/>
    <col min="201" max="202" width="10.28515625" style="560" customWidth="1"/>
    <col min="203" max="203" width="11.42578125" style="560"/>
    <col min="204" max="205" width="10.28515625" style="560" customWidth="1"/>
    <col min="206" max="207" width="8.7109375" style="560" bestFit="1" customWidth="1"/>
    <col min="208" max="208" width="12.5703125" style="560" customWidth="1"/>
    <col min="209" max="209" width="14.42578125" style="560" customWidth="1"/>
    <col min="210" max="210" width="10.28515625" style="560" customWidth="1"/>
    <col min="211" max="212" width="14.42578125" style="560" customWidth="1"/>
    <col min="213" max="213" width="8.7109375" style="560" bestFit="1" customWidth="1"/>
    <col min="214" max="215" width="14.42578125" style="560" customWidth="1"/>
    <col min="216" max="217" width="10.28515625" style="560" bestFit="1" customWidth="1"/>
    <col min="218" max="219" width="10.28515625" style="560" customWidth="1"/>
    <col min="220" max="220" width="11.42578125" style="560"/>
    <col min="221" max="222" width="10.28515625" style="560" customWidth="1"/>
    <col min="223" max="224" width="8.7109375" style="560" bestFit="1" customWidth="1"/>
    <col min="225" max="225" width="12" style="560" customWidth="1"/>
    <col min="226" max="226" width="14.28515625" style="560" customWidth="1"/>
    <col min="227" max="227" width="10.42578125" style="560" customWidth="1"/>
    <col min="228" max="228" width="13.85546875" style="560" customWidth="1"/>
    <col min="229" max="229" width="15.140625" style="560" customWidth="1"/>
    <col min="230" max="230" width="8.7109375" style="560" bestFit="1" customWidth="1"/>
    <col min="231" max="231" width="13.85546875" style="560" customWidth="1"/>
    <col min="232" max="232" width="14.5703125" style="560" customWidth="1"/>
    <col min="233" max="234" width="10.28515625" style="560" bestFit="1" customWidth="1"/>
    <col min="235" max="236" width="10.28515625" style="560" customWidth="1"/>
    <col min="237" max="237" width="11.42578125" style="560"/>
    <col min="238" max="239" width="10.28515625" style="560" customWidth="1"/>
    <col min="240" max="241" width="8.7109375" style="560" bestFit="1" customWidth="1"/>
    <col min="242" max="242" width="9.7109375" style="560" customWidth="1"/>
    <col min="243" max="243" width="15.85546875" style="560" customWidth="1"/>
    <col min="244" max="244" width="9.7109375" style="560" customWidth="1"/>
    <col min="245" max="245" width="14" style="560" customWidth="1"/>
    <col min="246" max="246" width="14.85546875" style="560" customWidth="1"/>
    <col min="247" max="247" width="8.7109375" style="560" bestFit="1" customWidth="1"/>
    <col min="248" max="249" width="14" style="560" customWidth="1"/>
    <col min="250" max="251" width="10.28515625" style="560" bestFit="1" customWidth="1"/>
    <col min="252" max="253" width="10.28515625" style="560" customWidth="1"/>
    <col min="254" max="254" width="11.42578125" style="560"/>
    <col min="255" max="256" width="10.28515625" style="560" customWidth="1"/>
    <col min="257" max="258" width="8.7109375" style="560" bestFit="1" customWidth="1"/>
    <col min="259" max="259" width="11.5703125" style="560" customWidth="1"/>
    <col min="260" max="260" width="14.85546875" style="560" customWidth="1"/>
    <col min="261" max="261" width="9.42578125" style="560" customWidth="1"/>
    <col min="262" max="262" width="14" style="560" customWidth="1"/>
    <col min="263" max="263" width="14.85546875" style="560" customWidth="1"/>
    <col min="264" max="264" width="8.7109375" style="560" bestFit="1" customWidth="1"/>
    <col min="265" max="265" width="14" style="560" customWidth="1"/>
    <col min="266" max="266" width="14.28515625" style="560" customWidth="1"/>
    <col min="267" max="268" width="10.28515625" style="560" bestFit="1" customWidth="1"/>
    <col min="269" max="270" width="10.28515625" style="560" customWidth="1"/>
    <col min="271" max="271" width="11.42578125" style="560"/>
    <col min="272" max="273" width="10.28515625" style="560" customWidth="1"/>
    <col min="274" max="275" width="8.7109375" style="560" bestFit="1" customWidth="1"/>
    <col min="276" max="276" width="12.42578125" style="560" customWidth="1"/>
    <col min="277" max="277" width="14.7109375" style="560" customWidth="1"/>
    <col min="278" max="278" width="10" style="560" customWidth="1"/>
    <col min="279" max="280" width="14.7109375" style="560" customWidth="1"/>
    <col min="281" max="281" width="8.7109375" style="560" bestFit="1" customWidth="1"/>
    <col min="282" max="282" width="14.28515625" style="560" customWidth="1"/>
    <col min="283" max="283" width="13.7109375" style="560" customWidth="1"/>
    <col min="284" max="285" width="10.28515625" style="560" bestFit="1" customWidth="1"/>
    <col min="286" max="287" width="10.28515625" style="560" customWidth="1"/>
    <col min="288" max="288" width="11.42578125" style="560"/>
    <col min="289" max="290" width="10.28515625" style="560" customWidth="1"/>
    <col min="291" max="292" width="8.7109375" style="560" bestFit="1" customWidth="1"/>
    <col min="293" max="293" width="10.5703125" style="560" customWidth="1"/>
    <col min="294" max="294" width="14.42578125" style="560" customWidth="1"/>
    <col min="295" max="295" width="10.28515625" style="560" customWidth="1"/>
    <col min="296" max="296" width="14.140625" style="560" customWidth="1"/>
    <col min="297" max="297" width="15.140625" style="560" customWidth="1"/>
    <col min="298" max="298" width="8.7109375" style="560" bestFit="1" customWidth="1"/>
    <col min="299" max="299" width="14.140625" style="560" customWidth="1"/>
    <col min="300" max="300" width="13.28515625" style="560" customWidth="1"/>
    <col min="301" max="302" width="10.28515625" style="560" bestFit="1" customWidth="1"/>
    <col min="303" max="304" width="10.28515625" style="560" customWidth="1"/>
    <col min="305" max="305" width="11.42578125" style="560"/>
    <col min="306" max="307" width="10.28515625" style="560" customWidth="1"/>
    <col min="308" max="309" width="8.7109375" style="560" bestFit="1" customWidth="1"/>
    <col min="310" max="310" width="10.42578125" style="560" customWidth="1"/>
    <col min="311" max="311" width="14.5703125" style="560" customWidth="1"/>
    <col min="312" max="312" width="9.42578125" style="560" customWidth="1"/>
    <col min="313" max="314" width="14.5703125" style="560" customWidth="1"/>
    <col min="315" max="315" width="8.7109375" style="560" bestFit="1" customWidth="1"/>
    <col min="316" max="316" width="14.5703125" style="560" customWidth="1"/>
    <col min="317" max="317" width="13.7109375" style="560" customWidth="1"/>
    <col min="318" max="319" width="10.28515625" style="560" bestFit="1" customWidth="1"/>
    <col min="320" max="321" width="10.28515625" style="560" customWidth="1"/>
    <col min="322" max="322" width="11.42578125" style="560"/>
    <col min="323" max="324" width="10.28515625" style="560" customWidth="1"/>
    <col min="325" max="326" width="8.7109375" style="560" bestFit="1" customWidth="1"/>
    <col min="327" max="327" width="9.5703125" style="560" customWidth="1"/>
    <col min="328" max="328" width="14.85546875" style="560" customWidth="1"/>
    <col min="329" max="329" width="10" style="560" customWidth="1"/>
    <col min="330" max="330" width="14.140625" style="560" customWidth="1"/>
    <col min="331" max="331" width="15.28515625" style="560" customWidth="1"/>
    <col min="332" max="332" width="8.7109375" style="560" bestFit="1" customWidth="1"/>
    <col min="333" max="333" width="14.140625" style="560" customWidth="1"/>
    <col min="334" max="334" width="14.42578125" style="560" customWidth="1"/>
    <col min="335" max="336" width="10.28515625" style="560" bestFit="1" customWidth="1"/>
    <col min="337" max="338" width="10.28515625" style="560" customWidth="1"/>
    <col min="339" max="339" width="11.42578125" style="560"/>
    <col min="340" max="341" width="10.28515625" style="560" customWidth="1"/>
    <col min="342" max="344" width="11.42578125" style="560"/>
    <col min="345" max="345" width="14.28515625" style="560" customWidth="1"/>
    <col min="346" max="346" width="8.85546875" style="560" customWidth="1"/>
    <col min="347" max="348" width="14.28515625" style="560" customWidth="1"/>
    <col min="349" max="349" width="11.42578125" style="560"/>
    <col min="350" max="350" width="14.28515625" style="560" customWidth="1"/>
    <col min="351" max="351" width="15.140625" style="560" customWidth="1"/>
    <col min="352" max="352" width="13.85546875" style="560" customWidth="1"/>
    <col min="353" max="355" width="10.28515625" style="560" customWidth="1"/>
    <col min="356" max="356" width="11.42578125" style="560"/>
    <col min="357" max="358" width="10.28515625" style="560" customWidth="1"/>
    <col min="359" max="360" width="8.7109375" style="560" bestFit="1" customWidth="1"/>
    <col min="361" max="361" width="10.28515625" style="560" customWidth="1"/>
    <col min="362" max="362" width="15.5703125" style="560" customWidth="1"/>
    <col min="363" max="363" width="9.85546875" style="560" customWidth="1"/>
    <col min="364" max="364" width="14.140625" style="560" customWidth="1"/>
    <col min="365" max="365" width="15" style="560" customWidth="1"/>
    <col min="366" max="366" width="10.140625" style="560" customWidth="1"/>
    <col min="367" max="367" width="14.140625" style="560" customWidth="1"/>
    <col min="368" max="368" width="13.5703125" style="560" customWidth="1"/>
    <col min="369" max="370" width="10.28515625" style="560" bestFit="1" customWidth="1"/>
    <col min="371" max="372" width="10.28515625" style="560" customWidth="1"/>
    <col min="373" max="373" width="11.42578125" style="560"/>
    <col min="374" max="375" width="10.28515625" style="560" customWidth="1"/>
    <col min="376" max="377" width="8.7109375" style="560" bestFit="1" customWidth="1"/>
    <col min="378" max="378" width="9.85546875" style="560" customWidth="1"/>
    <col min="379" max="382" width="14.5703125" style="560" customWidth="1"/>
    <col min="383" max="383" width="8.7109375" style="560" bestFit="1" customWidth="1"/>
    <col min="384" max="384" width="14.5703125" style="560" customWidth="1"/>
    <col min="385" max="385" width="14" style="560" customWidth="1"/>
    <col min="386" max="387" width="10.5703125" style="560" bestFit="1" customWidth="1"/>
    <col min="388" max="389" width="10.5703125" style="560" customWidth="1"/>
    <col min="390" max="390" width="11.42578125" style="560"/>
    <col min="391" max="392" width="10.5703125" style="560" customWidth="1"/>
    <col min="393" max="395" width="11.42578125" style="560"/>
    <col min="396" max="396" width="15.42578125" style="560" customWidth="1"/>
    <col min="397" max="397" width="10.28515625" style="560" customWidth="1"/>
    <col min="398" max="398" width="14.140625" style="560" customWidth="1"/>
    <col min="399" max="399" width="14.7109375" style="560" customWidth="1"/>
    <col min="400" max="400" width="11.42578125" style="560"/>
    <col min="401" max="401" width="14.140625" style="560" customWidth="1"/>
    <col min="402" max="402" width="14.7109375" style="560" customWidth="1"/>
    <col min="403" max="403" width="14.85546875" style="560" customWidth="1"/>
    <col min="404" max="406" width="10.28515625" style="560" customWidth="1"/>
    <col min="407" max="407" width="11.42578125" style="560"/>
    <col min="408" max="409" width="10.28515625" style="560" customWidth="1"/>
    <col min="410" max="411" width="8.7109375" style="560" bestFit="1" customWidth="1"/>
    <col min="412" max="412" width="14" style="560" bestFit="1" customWidth="1"/>
    <col min="413" max="413" width="14.5703125" style="560" customWidth="1"/>
    <col min="414" max="414" width="9.85546875" style="560" customWidth="1"/>
    <col min="415" max="416" width="14.5703125" style="560" customWidth="1"/>
    <col min="417" max="417" width="8.7109375" style="560" bestFit="1" customWidth="1"/>
    <col min="418" max="418" width="14.5703125" style="560" customWidth="1"/>
    <col min="419" max="419" width="14.28515625" style="560" customWidth="1"/>
    <col min="420" max="421" width="10.28515625" style="560" bestFit="1" customWidth="1"/>
    <col min="422" max="423" width="10.28515625" style="560" customWidth="1"/>
    <col min="424" max="424" width="11.42578125" style="560"/>
    <col min="425" max="426" width="10.28515625" style="560" customWidth="1"/>
    <col min="427" max="428" width="8.7109375" style="560" bestFit="1" customWidth="1"/>
    <col min="429" max="429" width="9.42578125" style="560" customWidth="1"/>
    <col min="430" max="430" width="14.28515625" style="560" customWidth="1"/>
    <col min="431" max="431" width="8.7109375" style="560" customWidth="1"/>
    <col min="432" max="433" width="14.28515625" style="560" customWidth="1"/>
    <col min="434" max="434" width="8.7109375" style="560" bestFit="1" customWidth="1"/>
    <col min="435" max="435" width="14.28515625" style="560" customWidth="1"/>
    <col min="436" max="436" width="14.85546875" style="560" customWidth="1"/>
    <col min="437" max="438" width="10.5703125" style="560" bestFit="1" customWidth="1"/>
    <col min="439" max="440" width="10.5703125" style="560" customWidth="1"/>
    <col min="441" max="441" width="11.42578125" style="560"/>
    <col min="442" max="443" width="10.5703125" style="560" customWidth="1"/>
    <col min="444" max="445" width="8.7109375" style="560" bestFit="1" customWidth="1"/>
    <col min="446" max="446" width="10.7109375" style="560" customWidth="1"/>
    <col min="447" max="447" width="14.7109375" style="560" customWidth="1"/>
    <col min="448" max="448" width="10.28515625" style="560" customWidth="1"/>
    <col min="449" max="449" width="14.140625" style="560" customWidth="1"/>
    <col min="450" max="450" width="15.5703125" style="560" customWidth="1"/>
    <col min="451" max="451" width="8.7109375" style="560" bestFit="1" customWidth="1"/>
    <col min="452" max="452" width="14.140625" style="560" customWidth="1"/>
    <col min="453" max="453" width="13.28515625" style="560" customWidth="1"/>
    <col min="454" max="455" width="10.28515625" style="560" bestFit="1" customWidth="1"/>
    <col min="456" max="457" width="10.28515625" style="560" customWidth="1"/>
    <col min="458" max="458" width="11.42578125" style="560"/>
    <col min="459" max="460" width="10.28515625" style="560" customWidth="1"/>
    <col min="461" max="462" width="8.7109375" style="560" bestFit="1" customWidth="1"/>
    <col min="463" max="463" width="10.28515625" style="560" customWidth="1"/>
    <col min="464" max="464" width="14.28515625" style="560" customWidth="1"/>
    <col min="465" max="465" width="10" style="560" customWidth="1"/>
    <col min="466" max="467" width="14.28515625" style="560" customWidth="1"/>
    <col min="468" max="468" width="8.7109375" style="560" bestFit="1" customWidth="1"/>
    <col min="469" max="469" width="14.28515625" style="560" customWidth="1"/>
    <col min="470" max="470" width="14.85546875" style="560" customWidth="1"/>
    <col min="471" max="472" width="10.28515625" style="560" bestFit="1" customWidth="1"/>
    <col min="473" max="474" width="10.28515625" style="560" customWidth="1"/>
    <col min="475" max="475" width="11.42578125" style="560"/>
    <col min="476" max="477" width="10.28515625" style="560" customWidth="1"/>
    <col min="478" max="479" width="8.7109375" style="560" bestFit="1" customWidth="1"/>
    <col min="480" max="480" width="11.7109375" style="560" customWidth="1"/>
    <col min="481" max="481" width="14.42578125" style="560" customWidth="1"/>
    <col min="482" max="482" width="10" style="560" customWidth="1"/>
    <col min="483" max="483" width="13.85546875" style="560" customWidth="1"/>
    <col min="484" max="484" width="14.7109375" style="560" customWidth="1"/>
    <col min="485" max="485" width="11.140625" style="560" customWidth="1"/>
    <col min="486" max="486" width="13.85546875" style="560" customWidth="1"/>
    <col min="487" max="487" width="14" style="560" customWidth="1"/>
    <col min="488" max="489" width="10.28515625" style="560" bestFit="1" customWidth="1"/>
    <col min="490" max="491" width="10.28515625" style="560" customWidth="1"/>
    <col min="492" max="492" width="11.42578125" style="560"/>
    <col min="493" max="494" width="10.28515625" style="560" customWidth="1"/>
    <col min="495" max="497" width="11.42578125" style="560"/>
    <col min="498" max="498" width="14.42578125" style="560" customWidth="1"/>
    <col min="499" max="499" width="10" style="560" customWidth="1"/>
    <col min="500" max="500" width="13.85546875" style="560" customWidth="1"/>
    <col min="501" max="501" width="14.85546875" style="560" customWidth="1"/>
    <col min="502" max="502" width="11.42578125" style="560"/>
    <col min="503" max="503" width="13.85546875" style="560" customWidth="1"/>
    <col min="504" max="504" width="14.28515625" style="560" customWidth="1"/>
    <col min="505" max="505" width="14.7109375" style="560" customWidth="1"/>
    <col min="506" max="508" width="10.28515625" style="560" customWidth="1"/>
    <col min="509" max="509" width="11.42578125" style="560"/>
    <col min="510" max="511" width="10.28515625" style="560" customWidth="1"/>
    <col min="512" max="513" width="8.7109375" style="560" bestFit="1" customWidth="1"/>
    <col min="514" max="514" width="14" style="560" bestFit="1" customWidth="1"/>
    <col min="515" max="515" width="14.85546875" style="560" customWidth="1"/>
    <col min="516" max="516" width="10.140625" style="560" customWidth="1"/>
    <col min="517" max="518" width="14.85546875" style="560" customWidth="1"/>
    <col min="519" max="519" width="8.7109375" style="560" bestFit="1" customWidth="1"/>
    <col min="520" max="520" width="14.28515625" style="560" customWidth="1"/>
    <col min="521" max="521" width="15.140625" style="560" customWidth="1"/>
    <col min="522" max="523" width="10.5703125" style="560" bestFit="1" customWidth="1"/>
    <col min="524" max="525" width="10.5703125" style="560" customWidth="1"/>
    <col min="526" max="526" width="11.42578125" style="560"/>
    <col min="527" max="528" width="10.5703125" style="560" customWidth="1"/>
    <col min="529" max="531" width="11.42578125" style="560"/>
    <col min="532" max="532" width="14.7109375" style="560" customWidth="1"/>
    <col min="533" max="533" width="9.85546875" style="560" customWidth="1"/>
    <col min="534" max="534" width="13.85546875" style="560" customWidth="1"/>
    <col min="535" max="535" width="14.42578125" style="560" customWidth="1"/>
    <col min="536" max="536" width="11.42578125" style="560"/>
    <col min="537" max="538" width="13.85546875" style="560" customWidth="1"/>
    <col min="539" max="16384" width="11.42578125" style="560"/>
  </cols>
  <sheetData>
    <row r="1" spans="2:18" ht="15" customHeight="1" x14ac:dyDescent="0.25">
      <c r="B1" s="2247"/>
      <c r="C1" s="2248"/>
      <c r="D1" s="1567"/>
      <c r="E1" s="2253" t="s">
        <v>1082</v>
      </c>
      <c r="F1" s="2254"/>
      <c r="G1" s="2254"/>
      <c r="H1" s="2254"/>
      <c r="I1" s="2254"/>
      <c r="J1" s="2254"/>
      <c r="K1" s="2254"/>
      <c r="L1" s="2254"/>
      <c r="M1" s="2254"/>
      <c r="N1" s="2254"/>
      <c r="O1" s="2255"/>
      <c r="P1" s="559" t="s">
        <v>68</v>
      </c>
      <c r="Q1" s="1570" t="s">
        <v>240</v>
      </c>
      <c r="R1" s="1567"/>
    </row>
    <row r="2" spans="2:18" ht="15" customHeight="1" x14ac:dyDescent="0.25">
      <c r="B2" s="2249"/>
      <c r="C2" s="2250"/>
      <c r="D2" s="1572"/>
      <c r="E2" s="2256"/>
      <c r="F2" s="2257"/>
      <c r="G2" s="2257"/>
      <c r="H2" s="2257"/>
      <c r="I2" s="2257"/>
      <c r="J2" s="2257"/>
      <c r="K2" s="2257"/>
      <c r="L2" s="2257"/>
      <c r="M2" s="2257"/>
      <c r="N2" s="2257"/>
      <c r="O2" s="2258"/>
      <c r="P2" s="561" t="s">
        <v>69</v>
      </c>
      <c r="Q2" t="s">
        <v>1081</v>
      </c>
      <c r="R2" s="1568"/>
    </row>
    <row r="3" spans="2:18" ht="15" customHeight="1" x14ac:dyDescent="0.25">
      <c r="B3" s="2249"/>
      <c r="C3" s="2250"/>
      <c r="D3" s="1572"/>
      <c r="E3" s="2256"/>
      <c r="F3" s="2257"/>
      <c r="G3" s="2257"/>
      <c r="H3" s="2257"/>
      <c r="I3" s="2257"/>
      <c r="J3" s="2257"/>
      <c r="K3" s="2257"/>
      <c r="L3" s="2257"/>
      <c r="M3" s="2257"/>
      <c r="N3" s="2257"/>
      <c r="O3" s="2258"/>
      <c r="P3" s="561" t="s">
        <v>70</v>
      </c>
      <c r="Q3" t="s">
        <v>858</v>
      </c>
      <c r="R3" s="1568"/>
    </row>
    <row r="4" spans="2:18" ht="15" customHeight="1" x14ac:dyDescent="0.25">
      <c r="B4" s="2251"/>
      <c r="C4" s="2252"/>
      <c r="D4" s="1573"/>
      <c r="E4" s="2259"/>
      <c r="F4" s="2260"/>
      <c r="G4" s="2260"/>
      <c r="H4" s="2260"/>
      <c r="I4" s="2260"/>
      <c r="J4" s="2260"/>
      <c r="K4" s="2260"/>
      <c r="L4" s="2260"/>
      <c r="M4" s="2260"/>
      <c r="N4" s="2260"/>
      <c r="O4" s="2261"/>
      <c r="P4" s="562" t="s">
        <v>71</v>
      </c>
      <c r="Q4" s="1571" t="s">
        <v>73</v>
      </c>
      <c r="R4" s="1569"/>
    </row>
    <row r="6" spans="2:18" ht="15.75" thickBot="1" x14ac:dyDescent="0.3"/>
    <row r="7" spans="2:18" ht="15" customHeight="1" x14ac:dyDescent="0.25">
      <c r="B7" s="2273" t="s">
        <v>595</v>
      </c>
      <c r="C7" s="2274"/>
      <c r="D7" s="2274"/>
      <c r="E7" s="2274"/>
      <c r="F7" s="2274"/>
      <c r="G7" s="2275"/>
      <c r="L7" s="563"/>
    </row>
    <row r="8" spans="2:18" ht="15.75" customHeight="1" thickBot="1" x14ac:dyDescent="0.3">
      <c r="B8" s="2276"/>
      <c r="C8" s="2277"/>
      <c r="D8" s="2277"/>
      <c r="E8" s="2277"/>
      <c r="F8" s="2277"/>
      <c r="G8" s="2278"/>
      <c r="L8" s="563"/>
    </row>
    <row r="9" spans="2:18" ht="15.75" customHeight="1" thickBot="1" x14ac:dyDescent="0.3">
      <c r="B9" s="563"/>
      <c r="C9" s="563"/>
      <c r="D9" s="563"/>
      <c r="E9" s="563"/>
      <c r="F9" s="563"/>
      <c r="G9" s="563"/>
      <c r="L9" s="563"/>
    </row>
    <row r="10" spans="2:18" ht="15.75" thickBot="1" x14ac:dyDescent="0.3">
      <c r="B10" s="2279" t="s">
        <v>0</v>
      </c>
      <c r="C10" s="2280"/>
      <c r="D10" s="2280"/>
      <c r="E10" s="2281"/>
    </row>
    <row r="11" spans="2:18" x14ac:dyDescent="0.25">
      <c r="B11" s="564" t="s">
        <v>2</v>
      </c>
      <c r="C11" s="565" t="s">
        <v>3</v>
      </c>
      <c r="D11" s="566" t="s">
        <v>4</v>
      </c>
      <c r="E11" s="565" t="s">
        <v>5</v>
      </c>
    </row>
    <row r="12" spans="2:18" ht="15.75" thickBot="1" x14ac:dyDescent="0.3">
      <c r="B12" s="567"/>
      <c r="C12" s="568"/>
      <c r="D12" s="569"/>
      <c r="E12" s="570"/>
    </row>
    <row r="13" spans="2:18" ht="15.75" thickBot="1" x14ac:dyDescent="0.3"/>
    <row r="14" spans="2:18" ht="15" customHeight="1" x14ac:dyDescent="0.25">
      <c r="B14" s="2282" t="s">
        <v>1</v>
      </c>
      <c r="C14" s="2283"/>
    </row>
    <row r="15" spans="2:18" ht="15.75" thickBot="1" x14ac:dyDescent="0.3">
      <c r="B15" s="2284"/>
      <c r="C15" s="2285"/>
    </row>
    <row r="16" spans="2:18" x14ac:dyDescent="0.25">
      <c r="B16" s="2" t="s">
        <v>956</v>
      </c>
      <c r="C16" s="571"/>
    </row>
    <row r="17" spans="2:7" x14ac:dyDescent="0.25">
      <c r="B17" s="572" t="s">
        <v>14</v>
      </c>
      <c r="C17" s="573"/>
    </row>
    <row r="18" spans="2:7" x14ac:dyDescent="0.25">
      <c r="B18" s="572" t="s">
        <v>17</v>
      </c>
      <c r="C18" s="573"/>
    </row>
    <row r="19" spans="2:7" x14ac:dyDescent="0.25">
      <c r="B19" s="574" t="s">
        <v>18</v>
      </c>
      <c r="C19" s="575"/>
    </row>
    <row r="20" spans="2:7" ht="15.75" thickBot="1" x14ac:dyDescent="0.3">
      <c r="B20" s="576" t="s">
        <v>19</v>
      </c>
      <c r="C20" s="577"/>
    </row>
    <row r="22" spans="2:7" ht="15.75" thickBot="1" x14ac:dyDescent="0.3"/>
    <row r="23" spans="2:7" ht="15.75" thickBot="1" x14ac:dyDescent="0.3">
      <c r="B23" s="2294" t="s">
        <v>1052</v>
      </c>
      <c r="C23" s="2280"/>
      <c r="D23" s="2280"/>
      <c r="E23" s="2281"/>
    </row>
    <row r="24" spans="2:7" x14ac:dyDescent="0.25">
      <c r="B24" s="2295"/>
      <c r="C24" s="2296"/>
      <c r="D24" s="2296"/>
      <c r="E24" s="2297"/>
    </row>
    <row r="25" spans="2:7" x14ac:dyDescent="0.25">
      <c r="B25" s="2298"/>
      <c r="C25" s="2299"/>
      <c r="D25" s="2299"/>
      <c r="E25" s="2300"/>
    </row>
    <row r="26" spans="2:7" x14ac:dyDescent="0.25">
      <c r="B26" s="2298"/>
      <c r="C26" s="2299"/>
      <c r="D26" s="2299"/>
      <c r="E26" s="2300"/>
    </row>
    <row r="27" spans="2:7" ht="15.75" thickBot="1" x14ac:dyDescent="0.3">
      <c r="B27" s="2301"/>
      <c r="C27" s="2302"/>
      <c r="D27" s="2302"/>
      <c r="E27" s="2303"/>
    </row>
    <row r="28" spans="2:7" ht="15.75" thickBot="1" x14ac:dyDescent="0.3"/>
    <row r="29" spans="2:7" ht="15" customHeight="1" x14ac:dyDescent="0.25">
      <c r="B29" s="2239" t="s">
        <v>1047</v>
      </c>
      <c r="C29" s="3482"/>
      <c r="D29" s="2305"/>
      <c r="F29" s="2304" t="s">
        <v>385</v>
      </c>
      <c r="G29" s="2305"/>
    </row>
    <row r="30" spans="2:7" ht="33.75" customHeight="1" thickBot="1" x14ac:dyDescent="0.3">
      <c r="B30" s="2308"/>
      <c r="C30" s="3483"/>
      <c r="D30" s="2309"/>
      <c r="F30" s="2308"/>
      <c r="G30" s="2309"/>
    </row>
    <row r="31" spans="2:7" ht="15.75" thickBot="1" x14ac:dyDescent="0.3">
      <c r="B31" s="578" t="s">
        <v>349</v>
      </c>
      <c r="C31" s="3484">
        <v>43334</v>
      </c>
      <c r="D31" s="3485"/>
      <c r="F31" s="579"/>
      <c r="G31" s="580" t="s">
        <v>12</v>
      </c>
    </row>
    <row r="32" spans="2:7" ht="15.75" thickBot="1" x14ac:dyDescent="0.3">
      <c r="B32" s="581" t="s">
        <v>118</v>
      </c>
      <c r="C32" s="582" t="s">
        <v>104</v>
      </c>
      <c r="D32" s="583" t="s">
        <v>435</v>
      </c>
      <c r="F32" s="567"/>
      <c r="G32" s="584" t="s">
        <v>16</v>
      </c>
    </row>
    <row r="33" spans="2:12" x14ac:dyDescent="0.25">
      <c r="B33" s="585"/>
      <c r="C33" s="586"/>
      <c r="D33" s="587"/>
    </row>
    <row r="34" spans="2:12" x14ac:dyDescent="0.25">
      <c r="B34" s="588"/>
      <c r="C34" s="589"/>
      <c r="D34" s="590"/>
    </row>
    <row r="35" spans="2:12" ht="15.75" thickBot="1" x14ac:dyDescent="0.3">
      <c r="B35" s="591"/>
      <c r="C35" s="592"/>
      <c r="D35" s="593"/>
    </row>
    <row r="37" spans="2:12" ht="15.75" thickBot="1" x14ac:dyDescent="0.3"/>
    <row r="38" spans="2:12" ht="15" customHeight="1" x14ac:dyDescent="0.25">
      <c r="B38" s="2239" t="s">
        <v>1048</v>
      </c>
      <c r="C38" s="3482"/>
      <c r="D38" s="3482"/>
      <c r="E38" s="3482"/>
      <c r="F38" s="3482"/>
      <c r="G38" s="2305"/>
      <c r="I38" s="2304" t="s">
        <v>266</v>
      </c>
      <c r="J38" s="2305"/>
    </row>
    <row r="39" spans="2:12" ht="15.75" thickBot="1" x14ac:dyDescent="0.3">
      <c r="B39" s="2308"/>
      <c r="C39" s="3483"/>
      <c r="D39" s="3483"/>
      <c r="E39" s="3483"/>
      <c r="F39" s="3483"/>
      <c r="G39" s="2309"/>
      <c r="I39" s="2308"/>
      <c r="J39" s="2309"/>
    </row>
    <row r="40" spans="2:12" ht="42.75" customHeight="1" thickBot="1" x14ac:dyDescent="0.3">
      <c r="B40" s="3478" t="s">
        <v>265</v>
      </c>
      <c r="C40" s="3479" t="s">
        <v>6</v>
      </c>
      <c r="D40" s="2639" t="s">
        <v>1043</v>
      </c>
      <c r="E40" s="3479" t="s">
        <v>310</v>
      </c>
      <c r="F40" s="3480" t="s">
        <v>271</v>
      </c>
      <c r="G40" s="3481"/>
      <c r="I40" s="594" t="s">
        <v>567</v>
      </c>
      <c r="J40" s="595"/>
      <c r="L40" s="642"/>
    </row>
    <row r="41" spans="2:12" ht="60.75" thickBot="1" x14ac:dyDescent="0.3">
      <c r="B41" s="2289"/>
      <c r="C41" s="2291"/>
      <c r="D41" s="2293"/>
      <c r="E41" s="2291"/>
      <c r="F41" s="596" t="s">
        <v>272</v>
      </c>
      <c r="G41" s="597" t="s">
        <v>273</v>
      </c>
      <c r="I41" s="594" t="s">
        <v>568</v>
      </c>
      <c r="J41" s="595"/>
    </row>
    <row r="42" spans="2:12" ht="15" customHeight="1" x14ac:dyDescent="0.25">
      <c r="B42" s="598" t="s">
        <v>267</v>
      </c>
      <c r="C42" s="599" t="s">
        <v>268</v>
      </c>
      <c r="D42" s="600"/>
      <c r="E42" s="1530"/>
      <c r="F42" s="601"/>
      <c r="G42" s="602"/>
    </row>
    <row r="43" spans="2:12" ht="15" customHeight="1" x14ac:dyDescent="0.25">
      <c r="B43" s="1528" t="s">
        <v>267</v>
      </c>
      <c r="C43" s="1529" t="s">
        <v>1042</v>
      </c>
      <c r="D43" s="1525"/>
      <c r="E43" s="1531"/>
      <c r="F43" s="1526"/>
      <c r="G43" s="1527"/>
    </row>
    <row r="44" spans="2:12" ht="15.75" thickBot="1" x14ac:dyDescent="0.3">
      <c r="B44" s="603" t="s">
        <v>267</v>
      </c>
      <c r="C44" s="604" t="s">
        <v>269</v>
      </c>
      <c r="D44" s="605"/>
      <c r="E44" s="1532"/>
      <c r="F44" s="606"/>
      <c r="G44" s="607"/>
    </row>
    <row r="46" spans="2:12" ht="15.75" thickBot="1" x14ac:dyDescent="0.3"/>
    <row r="47" spans="2:12" ht="15" customHeight="1" x14ac:dyDescent="0.25">
      <c r="B47" s="2631" t="s">
        <v>1050</v>
      </c>
      <c r="C47" s="3473"/>
      <c r="D47" s="3473"/>
      <c r="E47" s="3473"/>
      <c r="F47" s="3473"/>
      <c r="G47" s="3474"/>
    </row>
    <row r="48" spans="2:12" ht="15.75" thickBot="1" x14ac:dyDescent="0.3">
      <c r="B48" s="3475"/>
      <c r="C48" s="3476"/>
      <c r="D48" s="3476"/>
      <c r="E48" s="3476"/>
      <c r="F48" s="3476"/>
      <c r="G48" s="3477"/>
    </row>
    <row r="49" spans="2:7" ht="30.75" thickBot="1" x14ac:dyDescent="0.3">
      <c r="B49" s="608" t="s">
        <v>138</v>
      </c>
      <c r="C49" s="609" t="s">
        <v>437</v>
      </c>
      <c r="D49" s="609" t="s">
        <v>117</v>
      </c>
      <c r="E49" s="609" t="s">
        <v>434</v>
      </c>
      <c r="F49" s="609" t="s">
        <v>435</v>
      </c>
      <c r="G49" s="610" t="s">
        <v>436</v>
      </c>
    </row>
    <row r="50" spans="2:7" x14ac:dyDescent="0.25">
      <c r="B50" s="611" t="s">
        <v>431</v>
      </c>
      <c r="C50" s="612" t="s">
        <v>438</v>
      </c>
      <c r="D50" s="612"/>
      <c r="E50" s="612"/>
      <c r="F50" s="612"/>
      <c r="G50" s="580"/>
    </row>
    <row r="51" spans="2:7" x14ac:dyDescent="0.25">
      <c r="B51" s="613" t="s">
        <v>431</v>
      </c>
      <c r="C51" s="614" t="s">
        <v>439</v>
      </c>
      <c r="D51" s="614"/>
      <c r="E51" s="614"/>
      <c r="F51" s="614"/>
      <c r="G51" s="615"/>
    </row>
    <row r="52" spans="2:7" ht="15.75" thickBot="1" x14ac:dyDescent="0.3">
      <c r="B52" s="603" t="s">
        <v>433</v>
      </c>
      <c r="C52" s="605" t="s">
        <v>93</v>
      </c>
      <c r="D52" s="605"/>
      <c r="E52" s="605"/>
      <c r="F52" s="1533"/>
      <c r="G52" s="584"/>
    </row>
    <row r="54" spans="2:7" ht="15.75" thickBot="1" x14ac:dyDescent="0.3"/>
    <row r="55" spans="2:7" ht="15" customHeight="1" x14ac:dyDescent="0.25">
      <c r="B55" s="2631" t="s">
        <v>1049</v>
      </c>
      <c r="C55" s="3473"/>
      <c r="D55" s="3473"/>
      <c r="E55" s="3473"/>
      <c r="F55" s="3473"/>
      <c r="G55" s="3474"/>
    </row>
    <row r="56" spans="2:7" ht="36" customHeight="1" thickBot="1" x14ac:dyDescent="0.3">
      <c r="B56" s="3475"/>
      <c r="C56" s="3476"/>
      <c r="D56" s="3476"/>
      <c r="E56" s="3476"/>
      <c r="F56" s="3476"/>
      <c r="G56" s="3477"/>
    </row>
    <row r="57" spans="2:7" ht="30.75" thickBot="1" x14ac:dyDescent="0.3">
      <c r="B57" s="608" t="s">
        <v>138</v>
      </c>
      <c r="C57" s="609" t="s">
        <v>437</v>
      </c>
      <c r="D57" s="609" t="s">
        <v>117</v>
      </c>
      <c r="E57" s="609" t="s">
        <v>434</v>
      </c>
      <c r="F57" s="609" t="s">
        <v>435</v>
      </c>
      <c r="G57" s="610" t="s">
        <v>436</v>
      </c>
    </row>
    <row r="58" spans="2:7" ht="15.75" thickBot="1" x14ac:dyDescent="0.3">
      <c r="B58" s="608" t="s">
        <v>444</v>
      </c>
      <c r="C58" s="609"/>
      <c r="D58" s="281"/>
      <c r="E58" s="609"/>
      <c r="F58" s="609"/>
      <c r="G58" s="282"/>
    </row>
    <row r="60" spans="2:7" ht="15.75" thickBot="1" x14ac:dyDescent="0.3"/>
    <row r="61" spans="2:7" ht="15" customHeight="1" x14ac:dyDescent="0.25">
      <c r="B61" s="2631" t="s">
        <v>1051</v>
      </c>
      <c r="C61" s="3473"/>
      <c r="D61" s="3473"/>
      <c r="E61" s="3473"/>
      <c r="F61" s="3474"/>
      <c r="G61" s="616"/>
    </row>
    <row r="62" spans="2:7" ht="15.75" thickBot="1" x14ac:dyDescent="0.3">
      <c r="B62" s="3475"/>
      <c r="C62" s="3476"/>
      <c r="D62" s="3476"/>
      <c r="E62" s="3476"/>
      <c r="F62" s="3477"/>
      <c r="G62" s="616"/>
    </row>
    <row r="63" spans="2:7" ht="30.75" thickBot="1" x14ac:dyDescent="0.3">
      <c r="B63" s="608" t="s">
        <v>138</v>
      </c>
      <c r="C63" s="609" t="s">
        <v>117</v>
      </c>
      <c r="D63" s="609" t="s">
        <v>434</v>
      </c>
      <c r="E63" s="609" t="s">
        <v>435</v>
      </c>
      <c r="F63" s="610" t="s">
        <v>436</v>
      </c>
    </row>
    <row r="64" spans="2:7" ht="15.75" thickBot="1" x14ac:dyDescent="0.3">
      <c r="B64" s="608" t="s">
        <v>448</v>
      </c>
      <c r="C64" s="609"/>
      <c r="D64" s="609"/>
      <c r="E64" s="609"/>
      <c r="F64" s="610"/>
    </row>
    <row r="67" spans="2:6" x14ac:dyDescent="0.25">
      <c r="B67" s="2323" t="s">
        <v>110</v>
      </c>
      <c r="C67" s="2323"/>
      <c r="D67" s="2323"/>
      <c r="E67" s="2323"/>
      <c r="F67" s="2323"/>
    </row>
    <row r="68" spans="2:6" x14ac:dyDescent="0.25">
      <c r="B68" s="3467" t="s">
        <v>102</v>
      </c>
      <c r="C68" s="2319"/>
      <c r="D68" s="617" t="s">
        <v>103</v>
      </c>
      <c r="E68" s="617" t="s">
        <v>104</v>
      </c>
      <c r="F68" s="617" t="s">
        <v>105</v>
      </c>
    </row>
    <row r="69" spans="2:6" ht="18" x14ac:dyDescent="0.25">
      <c r="B69" s="2325" t="s">
        <v>98</v>
      </c>
      <c r="C69" s="2325"/>
      <c r="D69" s="614" t="s">
        <v>143</v>
      </c>
      <c r="E69" s="614" t="s">
        <v>108</v>
      </c>
      <c r="F69" s="618" t="s">
        <v>109</v>
      </c>
    </row>
    <row r="70" spans="2:6" ht="18" x14ac:dyDescent="0.25">
      <c r="B70" s="2325"/>
      <c r="C70" s="2325"/>
      <c r="D70" s="614" t="s">
        <v>106</v>
      </c>
      <c r="E70" s="614" t="s">
        <v>108</v>
      </c>
      <c r="F70" s="619">
        <v>1.2</v>
      </c>
    </row>
    <row r="71" spans="2:6" ht="24" customHeight="1" x14ac:dyDescent="0.25">
      <c r="B71" s="2323" t="s">
        <v>101</v>
      </c>
      <c r="C71" s="2323"/>
      <c r="D71" s="620" t="s">
        <v>144</v>
      </c>
      <c r="E71" s="614" t="s">
        <v>108</v>
      </c>
      <c r="F71" s="614">
        <v>1.25</v>
      </c>
    </row>
    <row r="72" spans="2:6" ht="20.25" customHeight="1" x14ac:dyDescent="0.25">
      <c r="B72" s="2323"/>
      <c r="C72" s="2323"/>
      <c r="D72" s="614" t="s">
        <v>107</v>
      </c>
      <c r="E72" s="614" t="s">
        <v>108</v>
      </c>
      <c r="F72" s="614">
        <v>1.21</v>
      </c>
    </row>
    <row r="73" spans="2:6" ht="18" x14ac:dyDescent="0.25">
      <c r="B73" s="3467" t="s">
        <v>99</v>
      </c>
      <c r="C73" s="2319"/>
      <c r="D73" s="614" t="s">
        <v>144</v>
      </c>
      <c r="E73" s="614" t="s">
        <v>108</v>
      </c>
      <c r="F73" s="618" t="s">
        <v>109</v>
      </c>
    </row>
    <row r="74" spans="2:6" ht="18" x14ac:dyDescent="0.25">
      <c r="B74" s="3467" t="s">
        <v>100</v>
      </c>
      <c r="C74" s="2319"/>
      <c r="D74" s="614" t="s">
        <v>144</v>
      </c>
      <c r="E74" s="614" t="s">
        <v>108</v>
      </c>
      <c r="F74" s="618" t="s">
        <v>109</v>
      </c>
    </row>
    <row r="75" spans="2:6" ht="45.75" customHeight="1" x14ac:dyDescent="0.25">
      <c r="B75" s="3468" t="s">
        <v>101</v>
      </c>
      <c r="C75" s="3469"/>
      <c r="D75" s="71" t="s">
        <v>1045</v>
      </c>
      <c r="E75" s="71" t="s">
        <v>93</v>
      </c>
      <c r="F75" s="618">
        <v>1.21</v>
      </c>
    </row>
    <row r="77" spans="2:6" x14ac:dyDescent="0.25">
      <c r="B77" s="2325" t="s">
        <v>122</v>
      </c>
      <c r="C77" s="2325"/>
      <c r="D77" s="2325"/>
    </row>
    <row r="78" spans="2:6" x14ac:dyDescent="0.25">
      <c r="B78" s="621" t="s">
        <v>120</v>
      </c>
      <c r="C78" s="622">
        <v>0.877</v>
      </c>
      <c r="D78" s="623" t="s">
        <v>116</v>
      </c>
    </row>
    <row r="79" spans="2:6" x14ac:dyDescent="0.25">
      <c r="B79" s="624" t="s">
        <v>121</v>
      </c>
      <c r="C79" s="622">
        <v>100</v>
      </c>
      <c r="D79" s="623" t="s">
        <v>116</v>
      </c>
    </row>
    <row r="80" spans="2:6" ht="15.75" thickBot="1" x14ac:dyDescent="0.3"/>
    <row r="81" spans="1:545" ht="15.75" thickBot="1" x14ac:dyDescent="0.3">
      <c r="B81" s="625" t="s">
        <v>23</v>
      </c>
      <c r="C81" s="626"/>
      <c r="D81" s="626"/>
      <c r="E81" s="626"/>
      <c r="F81" s="627"/>
      <c r="G81" s="628">
        <v>1.5</v>
      </c>
    </row>
    <row r="83" spans="1:545" ht="15.75" thickBot="1" x14ac:dyDescent="0.3"/>
    <row r="84" spans="1:545" x14ac:dyDescent="0.25">
      <c r="C84" s="629" t="s">
        <v>20</v>
      </c>
      <c r="D84" s="630"/>
      <c r="E84" s="630"/>
      <c r="F84" s="631"/>
    </row>
    <row r="85" spans="1:545" x14ac:dyDescent="0.25">
      <c r="C85" s="632" t="s">
        <v>21</v>
      </c>
      <c r="D85" s="633"/>
      <c r="E85" s="633"/>
      <c r="F85" s="634"/>
    </row>
    <row r="86" spans="1:545" x14ac:dyDescent="0.25">
      <c r="C86" s="632" t="s">
        <v>76</v>
      </c>
      <c r="D86" s="633"/>
      <c r="E86" s="635"/>
      <c r="F86" s="636"/>
      <c r="CI86" s="56"/>
      <c r="CL86" s="56"/>
      <c r="CN86" s="56"/>
      <c r="CO86" s="56"/>
      <c r="TI86" s="56"/>
      <c r="TL86" s="56"/>
      <c r="TN86" s="56"/>
    </row>
    <row r="87" spans="1:545" x14ac:dyDescent="0.25">
      <c r="C87" s="632" t="s">
        <v>77</v>
      </c>
      <c r="D87" s="633"/>
      <c r="E87" s="637"/>
      <c r="F87" s="638"/>
      <c r="BA87" s="56"/>
      <c r="BD87" s="56"/>
      <c r="BF87" s="56"/>
      <c r="BG87" s="56"/>
      <c r="BR87" s="56"/>
      <c r="BU87" s="56"/>
      <c r="BW87" s="56"/>
      <c r="BX87" s="56"/>
      <c r="CB87" s="56"/>
      <c r="CD87" s="56"/>
      <c r="CE87" s="56"/>
      <c r="CF87" s="56"/>
      <c r="CG87" s="56"/>
      <c r="CI87" s="721"/>
      <c r="CJ87" s="1546"/>
      <c r="CK87" s="1546"/>
      <c r="CL87" s="719"/>
      <c r="CM87" s="1558"/>
      <c r="CN87" s="719"/>
      <c r="CO87" s="719"/>
      <c r="CP87" s="696"/>
      <c r="OC87" s="56"/>
      <c r="OF87" s="56"/>
      <c r="OH87" s="56"/>
      <c r="RJ87" s="56"/>
      <c r="RM87" s="56"/>
      <c r="RO87" s="56"/>
      <c r="SA87" s="56"/>
      <c r="SD87" s="56"/>
      <c r="SF87" s="56"/>
      <c r="TI87" s="721"/>
      <c r="TJ87" s="1546"/>
      <c r="TK87" s="1546"/>
      <c r="TL87" s="719"/>
      <c r="TM87" s="1558"/>
      <c r="TN87" s="719"/>
    </row>
    <row r="88" spans="1:545" x14ac:dyDescent="0.25">
      <c r="C88" s="632" t="s">
        <v>75</v>
      </c>
      <c r="D88" s="633"/>
      <c r="E88" s="637"/>
      <c r="F88" s="638"/>
      <c r="BA88" s="721"/>
      <c r="BB88" s="1546"/>
      <c r="BC88" s="1546"/>
      <c r="BD88" s="719"/>
      <c r="BE88" s="1558"/>
      <c r="BF88" s="719"/>
      <c r="BG88" s="719"/>
      <c r="BR88" s="721"/>
      <c r="BS88" s="1546"/>
      <c r="BT88" s="1546"/>
      <c r="BU88" s="719"/>
      <c r="BV88" s="1558"/>
      <c r="BW88" s="719"/>
      <c r="BX88" s="719"/>
      <c r="BY88" s="696"/>
      <c r="BZ88" s="642"/>
      <c r="CA88" s="642"/>
      <c r="CB88" s="719"/>
      <c r="CC88" s="1546"/>
      <c r="CD88" s="719"/>
      <c r="CE88" s="642"/>
      <c r="CF88" s="642"/>
      <c r="CG88" s="642"/>
      <c r="CH88" s="642"/>
      <c r="CI88" s="721"/>
      <c r="CJ88" s="1546"/>
      <c r="CK88" s="1546"/>
      <c r="CL88" s="719"/>
      <c r="CM88" s="1558"/>
      <c r="CN88" s="719"/>
      <c r="CO88" s="719"/>
      <c r="CP88" s="696"/>
      <c r="EH88" s="56"/>
      <c r="EK88" s="56"/>
      <c r="EM88" s="56"/>
      <c r="MU88" s="56"/>
      <c r="MX88" s="56"/>
      <c r="MZ88" s="56"/>
      <c r="OC88" s="721"/>
      <c r="OD88" s="1546"/>
      <c r="OE88" s="1546"/>
      <c r="OF88" s="719"/>
      <c r="OG88" s="1558"/>
      <c r="OH88" s="719"/>
      <c r="RJ88" s="721"/>
      <c r="RK88" s="1546"/>
      <c r="RL88" s="1546"/>
      <c r="RM88" s="719"/>
      <c r="RN88" s="1558"/>
      <c r="RO88" s="719"/>
      <c r="SA88" s="721"/>
      <c r="SB88" s="1546"/>
      <c r="SC88" s="1546"/>
      <c r="SD88" s="719"/>
      <c r="SE88" s="1558"/>
      <c r="SF88" s="719"/>
      <c r="TI88" s="721"/>
      <c r="TJ88" s="1546"/>
      <c r="TK88" s="1546"/>
      <c r="TL88" s="719"/>
      <c r="TM88" s="1558"/>
      <c r="TN88" s="719"/>
    </row>
    <row r="89" spans="1:545" x14ac:dyDescent="0.25">
      <c r="C89" s="632" t="s">
        <v>22</v>
      </c>
      <c r="D89" s="633"/>
      <c r="E89" s="633"/>
      <c r="F89" s="634"/>
      <c r="H89" s="13"/>
      <c r="BA89" s="721"/>
      <c r="BB89" s="1546"/>
      <c r="BC89" s="1546"/>
      <c r="BD89" s="719"/>
      <c r="BE89" s="1558"/>
      <c r="BF89" s="719"/>
      <c r="BG89" s="719"/>
      <c r="BR89" s="721"/>
      <c r="BS89" s="1546"/>
      <c r="BT89" s="1546"/>
      <c r="BU89" s="719"/>
      <c r="BV89" s="1558"/>
      <c r="BW89" s="719"/>
      <c r="BX89" s="719"/>
      <c r="BY89" s="696"/>
      <c r="BZ89" s="642"/>
      <c r="CA89" s="642"/>
      <c r="CB89" s="719"/>
      <c r="CC89" s="1546"/>
      <c r="CD89" s="719"/>
      <c r="CE89" s="642"/>
      <c r="CF89" s="642"/>
      <c r="CG89" s="642"/>
      <c r="CH89" s="642"/>
      <c r="EH89" s="721"/>
      <c r="EI89" s="1546"/>
      <c r="EJ89" s="1546"/>
      <c r="EK89" s="719"/>
      <c r="EL89" s="1558"/>
      <c r="EM89" s="719"/>
      <c r="MU89" s="721"/>
      <c r="MV89" s="1546"/>
      <c r="MW89" s="1546"/>
      <c r="MX89" s="719"/>
      <c r="MY89" s="1558"/>
      <c r="MZ89" s="719"/>
      <c r="OC89" s="721"/>
      <c r="OD89" s="1546"/>
      <c r="OE89" s="1546"/>
      <c r="OF89" s="719"/>
      <c r="OG89" s="1558"/>
      <c r="OH89" s="719"/>
      <c r="RJ89" s="721"/>
      <c r="RK89" s="1546"/>
      <c r="RL89" s="1546"/>
      <c r="RM89" s="719"/>
      <c r="RN89" s="1558"/>
      <c r="RO89" s="719"/>
      <c r="SA89" s="721"/>
      <c r="SB89" s="1546"/>
      <c r="SC89" s="1546"/>
      <c r="SD89" s="719"/>
      <c r="SE89" s="1558"/>
      <c r="SF89" s="719"/>
    </row>
    <row r="90" spans="1:545" ht="15.75" thickBot="1" x14ac:dyDescent="0.3">
      <c r="C90" s="639" t="s">
        <v>64</v>
      </c>
      <c r="D90" s="640"/>
      <c r="E90" s="640"/>
      <c r="F90" s="641"/>
      <c r="H90" s="56"/>
      <c r="J90" s="1557"/>
      <c r="EH90" s="721"/>
      <c r="EI90" s="1546"/>
      <c r="EJ90" s="1546"/>
      <c r="EK90" s="719"/>
      <c r="EL90" s="1558"/>
      <c r="EM90" s="719"/>
      <c r="MU90" s="721"/>
      <c r="MV90" s="1546"/>
      <c r="MW90" s="1546"/>
      <c r="MX90" s="719"/>
      <c r="MY90" s="1558"/>
      <c r="MZ90" s="719"/>
    </row>
    <row r="92" spans="1:545" ht="15.75" thickBot="1" x14ac:dyDescent="0.3"/>
    <row r="93" spans="1:545" ht="45.75" thickBot="1" x14ac:dyDescent="0.3">
      <c r="B93" s="98" t="s">
        <v>57</v>
      </c>
      <c r="C93" s="645" t="s">
        <v>58</v>
      </c>
      <c r="D93" s="645" t="s">
        <v>59</v>
      </c>
      <c r="E93" s="100" t="s">
        <v>1060</v>
      </c>
      <c r="F93" s="100" t="s">
        <v>1054</v>
      </c>
      <c r="G93" s="645" t="s">
        <v>60</v>
      </c>
      <c r="H93" s="100" t="s">
        <v>1061</v>
      </c>
      <c r="I93" s="100" t="s">
        <v>1073</v>
      </c>
      <c r="J93" s="645" t="s">
        <v>57</v>
      </c>
      <c r="K93" s="645" t="s">
        <v>58</v>
      </c>
      <c r="L93" s="645" t="s">
        <v>59</v>
      </c>
      <c r="M93" s="100" t="s">
        <v>1062</v>
      </c>
      <c r="N93" s="99" t="s">
        <v>1055</v>
      </c>
      <c r="O93" s="645" t="s">
        <v>60</v>
      </c>
      <c r="P93" s="100" t="s">
        <v>1063</v>
      </c>
      <c r="Q93" s="99" t="s">
        <v>300</v>
      </c>
      <c r="R93" s="99" t="s">
        <v>1056</v>
      </c>
      <c r="S93" s="56"/>
      <c r="T93" s="56"/>
      <c r="U93" s="56"/>
      <c r="V93" s="56"/>
      <c r="W93" s="56"/>
      <c r="X93" s="56"/>
      <c r="BA93" s="98" t="s">
        <v>57</v>
      </c>
      <c r="BB93" s="645" t="s">
        <v>58</v>
      </c>
      <c r="BC93" s="645" t="s">
        <v>59</v>
      </c>
      <c r="BD93" s="100" t="s">
        <v>1060</v>
      </c>
      <c r="BE93" s="100" t="s">
        <v>1054</v>
      </c>
      <c r="BF93" s="645" t="s">
        <v>60</v>
      </c>
      <c r="BG93" s="100" t="s">
        <v>1061</v>
      </c>
      <c r="BH93" s="100" t="s">
        <v>1073</v>
      </c>
      <c r="BI93" s="645" t="s">
        <v>57</v>
      </c>
      <c r="BJ93" s="645" t="s">
        <v>58</v>
      </c>
      <c r="BK93" s="645" t="s">
        <v>59</v>
      </c>
      <c r="BL93" s="100" t="s">
        <v>1062</v>
      </c>
      <c r="BM93" s="99" t="s">
        <v>1055</v>
      </c>
      <c r="BN93" s="645" t="s">
        <v>60</v>
      </c>
      <c r="BO93" s="100" t="s">
        <v>1063</v>
      </c>
      <c r="BP93" s="99" t="s">
        <v>300</v>
      </c>
      <c r="BQ93" s="99" t="s">
        <v>1056</v>
      </c>
      <c r="BR93" s="98" t="s">
        <v>57</v>
      </c>
      <c r="BS93" s="645" t="s">
        <v>58</v>
      </c>
      <c r="BT93" s="645" t="s">
        <v>59</v>
      </c>
      <c r="BU93" s="100" t="s">
        <v>1060</v>
      </c>
      <c r="BV93" s="100" t="s">
        <v>1054</v>
      </c>
      <c r="BW93" s="645" t="s">
        <v>60</v>
      </c>
      <c r="BX93" s="100" t="s">
        <v>1061</v>
      </c>
      <c r="BY93" s="100" t="s">
        <v>1073</v>
      </c>
      <c r="BZ93" s="645" t="s">
        <v>57</v>
      </c>
      <c r="CA93" s="645" t="s">
        <v>58</v>
      </c>
      <c r="CB93" s="645" t="s">
        <v>59</v>
      </c>
      <c r="CC93" s="100" t="s">
        <v>1062</v>
      </c>
      <c r="CD93" s="99" t="s">
        <v>1055</v>
      </c>
      <c r="CE93" s="645" t="s">
        <v>60</v>
      </c>
      <c r="CF93" s="100" t="s">
        <v>1063</v>
      </c>
      <c r="CG93" s="99" t="s">
        <v>300</v>
      </c>
      <c r="CH93" s="99" t="s">
        <v>1056</v>
      </c>
      <c r="CI93" s="98" t="s">
        <v>57</v>
      </c>
      <c r="CJ93" s="645" t="s">
        <v>58</v>
      </c>
      <c r="CK93" s="645" t="s">
        <v>59</v>
      </c>
      <c r="CL93" s="100" t="s">
        <v>1060</v>
      </c>
      <c r="CM93" s="100" t="s">
        <v>1054</v>
      </c>
      <c r="CN93" s="645" t="s">
        <v>60</v>
      </c>
      <c r="CO93" s="100" t="s">
        <v>1061</v>
      </c>
      <c r="CP93" s="100" t="s">
        <v>1073</v>
      </c>
      <c r="CQ93" s="645" t="s">
        <v>57</v>
      </c>
      <c r="CR93" s="645" t="s">
        <v>58</v>
      </c>
      <c r="CS93" s="645" t="s">
        <v>59</v>
      </c>
      <c r="CT93" s="100" t="s">
        <v>1062</v>
      </c>
      <c r="CU93" s="99" t="s">
        <v>1055</v>
      </c>
      <c r="CV93" s="645" t="s">
        <v>60</v>
      </c>
      <c r="CW93" s="100" t="s">
        <v>1063</v>
      </c>
      <c r="CX93" s="99" t="s">
        <v>300</v>
      </c>
      <c r="CY93" s="101" t="s">
        <v>1056</v>
      </c>
      <c r="EH93" s="98" t="s">
        <v>57</v>
      </c>
      <c r="EI93" s="645" t="s">
        <v>58</v>
      </c>
      <c r="EJ93" s="645" t="s">
        <v>59</v>
      </c>
      <c r="EK93" s="100" t="s">
        <v>1060</v>
      </c>
      <c r="EL93" s="100" t="s">
        <v>1054</v>
      </c>
      <c r="EM93" s="645" t="s">
        <v>60</v>
      </c>
      <c r="EN93" s="100" t="s">
        <v>1061</v>
      </c>
      <c r="EO93" s="100" t="s">
        <v>1073</v>
      </c>
      <c r="EP93" s="645" t="s">
        <v>57</v>
      </c>
      <c r="EQ93" s="645" t="s">
        <v>58</v>
      </c>
      <c r="ER93" s="645" t="s">
        <v>59</v>
      </c>
      <c r="ES93" s="100" t="s">
        <v>1062</v>
      </c>
      <c r="ET93" s="99" t="s">
        <v>1055</v>
      </c>
      <c r="EU93" s="645" t="s">
        <v>60</v>
      </c>
      <c r="EV93" s="100" t="s">
        <v>1063</v>
      </c>
      <c r="EW93" s="99" t="s">
        <v>300</v>
      </c>
      <c r="EX93" s="101" t="s">
        <v>1056</v>
      </c>
      <c r="MU93" s="98" t="s">
        <v>57</v>
      </c>
      <c r="MV93" s="645" t="s">
        <v>58</v>
      </c>
      <c r="MW93" s="645" t="s">
        <v>59</v>
      </c>
      <c r="MX93" s="100" t="s">
        <v>1060</v>
      </c>
      <c r="MY93" s="100" t="s">
        <v>1054</v>
      </c>
      <c r="MZ93" s="645" t="s">
        <v>60</v>
      </c>
      <c r="NA93" s="100" t="s">
        <v>1061</v>
      </c>
      <c r="NB93" s="100" t="s">
        <v>1073</v>
      </c>
      <c r="NC93" s="645" t="s">
        <v>57</v>
      </c>
      <c r="ND93" s="645" t="s">
        <v>58</v>
      </c>
      <c r="NE93" s="645" t="s">
        <v>59</v>
      </c>
      <c r="NF93" s="100" t="s">
        <v>1062</v>
      </c>
      <c r="NG93" s="99" t="s">
        <v>1055</v>
      </c>
      <c r="NH93" s="645" t="s">
        <v>60</v>
      </c>
      <c r="NI93" s="100" t="s">
        <v>1063</v>
      </c>
      <c r="NJ93" s="99" t="s">
        <v>300</v>
      </c>
      <c r="NK93" s="101" t="s">
        <v>1056</v>
      </c>
      <c r="OC93" s="98" t="s">
        <v>57</v>
      </c>
      <c r="OD93" s="645" t="s">
        <v>58</v>
      </c>
      <c r="OE93" s="645" t="s">
        <v>59</v>
      </c>
      <c r="OF93" s="100" t="s">
        <v>1060</v>
      </c>
      <c r="OG93" s="100" t="s">
        <v>1054</v>
      </c>
      <c r="OH93" s="645" t="s">
        <v>60</v>
      </c>
      <c r="OI93" s="100" t="s">
        <v>1061</v>
      </c>
      <c r="OJ93" s="100" t="s">
        <v>1073</v>
      </c>
      <c r="OK93" s="645" t="s">
        <v>57</v>
      </c>
      <c r="OL93" s="645" t="s">
        <v>58</v>
      </c>
      <c r="OM93" s="645" t="s">
        <v>59</v>
      </c>
      <c r="ON93" s="100" t="s">
        <v>1062</v>
      </c>
      <c r="OO93" s="99" t="s">
        <v>1055</v>
      </c>
      <c r="OP93" s="645" t="s">
        <v>60</v>
      </c>
      <c r="OQ93" s="100" t="s">
        <v>1063</v>
      </c>
      <c r="OR93" s="99" t="s">
        <v>300</v>
      </c>
      <c r="OS93" s="101" t="s">
        <v>1056</v>
      </c>
      <c r="RJ93" s="98" t="s">
        <v>57</v>
      </c>
      <c r="RK93" s="645" t="s">
        <v>58</v>
      </c>
      <c r="RL93" s="645" t="s">
        <v>59</v>
      </c>
      <c r="RM93" s="100" t="s">
        <v>1060</v>
      </c>
      <c r="RN93" s="100" t="s">
        <v>1054</v>
      </c>
      <c r="RO93" s="645" t="s">
        <v>60</v>
      </c>
      <c r="RP93" s="100" t="s">
        <v>1061</v>
      </c>
      <c r="RQ93" s="100" t="s">
        <v>1073</v>
      </c>
      <c r="RR93" s="645" t="s">
        <v>57</v>
      </c>
      <c r="RS93" s="645" t="s">
        <v>58</v>
      </c>
      <c r="RT93" s="645" t="s">
        <v>59</v>
      </c>
      <c r="RU93" s="100" t="s">
        <v>1062</v>
      </c>
      <c r="RV93" s="99" t="s">
        <v>1055</v>
      </c>
      <c r="RW93" s="645" t="s">
        <v>60</v>
      </c>
      <c r="RX93" s="100" t="s">
        <v>1063</v>
      </c>
      <c r="RY93" s="99" t="s">
        <v>300</v>
      </c>
      <c r="RZ93" s="101" t="s">
        <v>1056</v>
      </c>
      <c r="SA93" s="98" t="s">
        <v>57</v>
      </c>
      <c r="SB93" s="645" t="s">
        <v>58</v>
      </c>
      <c r="SC93" s="645" t="s">
        <v>59</v>
      </c>
      <c r="SD93" s="100" t="s">
        <v>1060</v>
      </c>
      <c r="SE93" s="100" t="s">
        <v>1054</v>
      </c>
      <c r="SF93" s="645" t="s">
        <v>60</v>
      </c>
      <c r="SG93" s="100" t="s">
        <v>1061</v>
      </c>
      <c r="SH93" s="100" t="s">
        <v>1073</v>
      </c>
      <c r="SI93" s="645" t="s">
        <v>57</v>
      </c>
      <c r="SJ93" s="645" t="s">
        <v>58</v>
      </c>
      <c r="SK93" s="645" t="s">
        <v>59</v>
      </c>
      <c r="SL93" s="100" t="s">
        <v>1062</v>
      </c>
      <c r="SM93" s="99" t="s">
        <v>1055</v>
      </c>
      <c r="SN93" s="645" t="s">
        <v>60</v>
      </c>
      <c r="SO93" s="100" t="s">
        <v>1063</v>
      </c>
      <c r="SP93" s="99" t="s">
        <v>300</v>
      </c>
      <c r="SQ93" s="101" t="s">
        <v>1056</v>
      </c>
      <c r="TI93" s="98" t="s">
        <v>57</v>
      </c>
      <c r="TJ93" s="645" t="s">
        <v>58</v>
      </c>
      <c r="TK93" s="645" t="s">
        <v>59</v>
      </c>
      <c r="TL93" s="100" t="s">
        <v>1060</v>
      </c>
      <c r="TM93" s="100" t="s">
        <v>1054</v>
      </c>
      <c r="TN93" s="645" t="s">
        <v>60</v>
      </c>
      <c r="TO93" s="100" t="s">
        <v>1061</v>
      </c>
      <c r="TP93" s="100" t="s">
        <v>1073</v>
      </c>
      <c r="TQ93" s="645" t="s">
        <v>57</v>
      </c>
      <c r="TR93" s="645" t="s">
        <v>58</v>
      </c>
      <c r="TS93" s="645" t="s">
        <v>59</v>
      </c>
      <c r="TT93" s="100" t="s">
        <v>1062</v>
      </c>
      <c r="TU93" s="99" t="s">
        <v>1055</v>
      </c>
      <c r="TV93" s="645" t="s">
        <v>60</v>
      </c>
      <c r="TW93" s="100" t="s">
        <v>1063</v>
      </c>
      <c r="TX93" s="99" t="s">
        <v>300</v>
      </c>
      <c r="TY93" s="101" t="s">
        <v>1056</v>
      </c>
    </row>
    <row r="94" spans="1:545" ht="30" x14ac:dyDescent="0.25">
      <c r="A94" s="56" t="s">
        <v>1057</v>
      </c>
      <c r="B94" s="654"/>
      <c r="C94" s="655"/>
      <c r="D94" s="655"/>
      <c r="E94" s="649"/>
      <c r="F94" s="655"/>
      <c r="G94" s="1548"/>
      <c r="H94" s="649"/>
      <c r="I94" s="657"/>
      <c r="J94" s="702"/>
      <c r="K94" s="1540"/>
      <c r="L94" s="703"/>
      <c r="M94" s="649"/>
      <c r="N94" s="599"/>
      <c r="O94" s="1548"/>
      <c r="P94" s="649"/>
      <c r="Q94" s="599"/>
      <c r="R94" s="599"/>
      <c r="S94" s="56"/>
      <c r="T94" s="56"/>
      <c r="U94" s="56"/>
      <c r="V94" s="56"/>
      <c r="W94" s="56"/>
      <c r="X94" s="56"/>
      <c r="BA94" s="654">
        <v>20.5</v>
      </c>
      <c r="BB94" s="655">
        <v>53</v>
      </c>
      <c r="BC94" s="655">
        <v>1009</v>
      </c>
      <c r="BD94" s="649">
        <v>-8.4839999999999999E-10</v>
      </c>
      <c r="BE94" s="655">
        <v>60</v>
      </c>
      <c r="BF94" s="1548">
        <f t="shared" ref="BF94:BF95" si="0">((273.2+BA94)*$F$32/((273.2+$F$31)*BC94))</f>
        <v>0</v>
      </c>
      <c r="BG94" s="649" t="str">
        <f t="shared" ref="BG94:BG95" si="1">IF(AND(ABS(BD94)&gt;=$F$42,ABS(BD94)&lt;=$G$42),BD94*$D$42*BF94,IF(AND(ABS(BD94)&gt;=$F$43,ABS(BD94)&lt;=$G$43),BD94*$D$43*BF94,IF(AND(ABS(BD94)&gt;=$F$44,ABS(BD94)&lt;=$G$44),BD94*$D$44*BF94,"rango cal. out")))</f>
        <v>rango cal. out</v>
      </c>
      <c r="BH94" s="657" t="e">
        <f t="shared" ref="BH94:BH95" si="2">BG94/BE94</f>
        <v>#VALUE!</v>
      </c>
      <c r="BI94" s="702">
        <v>20.3</v>
      </c>
      <c r="BJ94" s="1540">
        <v>52</v>
      </c>
      <c r="BK94" s="703">
        <v>1009</v>
      </c>
      <c r="BL94" s="649">
        <v>-8.4880000000000001E-10</v>
      </c>
      <c r="BM94" s="599">
        <v>180</v>
      </c>
      <c r="BN94" s="1548">
        <f t="shared" ref="BN94:BN95" si="3">((273.2+BI94)*$F$32/((273.2+$F$31)*BK94))</f>
        <v>0</v>
      </c>
      <c r="BO94" s="649" t="str">
        <f t="shared" ref="BO94:BO95" si="4">IF(AND(ABS(BL94)&gt;=$F$42,ABS(BL94)&lt;=$G$42),BL94*$D$42*BN94,IF(AND(ABS(BL94)&gt;=$F$43,ABS(BL94)&lt;=$G$43),BL94*$D$43*BN94,IF(AND(ABS(BL94)&gt;=$F$44,ABS(BL94)&lt;=$G$44),BL94*$D$44*BN94,"rango cal. out")))</f>
        <v>rango cal. out</v>
      </c>
      <c r="BP94" s="599">
        <f t="shared" ref="BP94:BP95" si="5">BM94-BE94</f>
        <v>120</v>
      </c>
      <c r="BQ94" s="599" t="e">
        <f t="shared" ref="BQ94:BQ95" si="6">(BO94-BG94)/BP94</f>
        <v>#VALUE!</v>
      </c>
      <c r="BR94" s="654">
        <v>20.5</v>
      </c>
      <c r="BS94" s="655">
        <v>52</v>
      </c>
      <c r="BT94" s="655">
        <v>1008</v>
      </c>
      <c r="BU94" s="649">
        <v>-3.3599999999999999E-11</v>
      </c>
      <c r="BV94" s="655">
        <v>60</v>
      </c>
      <c r="BW94" s="1548">
        <f t="shared" ref="BW94:BW95" si="7">((273.2+BR94)*$F$32/((273.2+$F$31)*BT94))</f>
        <v>0</v>
      </c>
      <c r="BX94" s="649" t="str">
        <f t="shared" ref="BX94:BX95" si="8">IF(AND(ABS(BU94)&gt;=$F$42,ABS(BU94)&lt;=$G$42),BU94*$D$42*BW94,IF(AND(ABS(BU94)&gt;=$F$43,ABS(BU94)&lt;=$G$43),BU94*$D$43*BW94,IF(AND(ABS(BU94)&gt;=$F$44,ABS(BU94)&lt;=$G$44),BU94*$D$44*BW94,"rango cal. out")))</f>
        <v>rango cal. out</v>
      </c>
      <c r="BY94" s="657" t="e">
        <f t="shared" ref="BY94:BY95" si="9">BX94/BV94</f>
        <v>#VALUE!</v>
      </c>
      <c r="BZ94" s="702">
        <v>20.8</v>
      </c>
      <c r="CA94" s="1540">
        <v>51</v>
      </c>
      <c r="CB94" s="703">
        <v>1008</v>
      </c>
      <c r="CC94" s="649">
        <v>-3.3800000000000002E-11</v>
      </c>
      <c r="CD94" s="599">
        <v>180</v>
      </c>
      <c r="CE94" s="1548">
        <f t="shared" ref="CE94:CE95" si="10">((273.2+BZ94)*$F$32/((273.2+$F$31)*CB94))</f>
        <v>0</v>
      </c>
      <c r="CF94" s="649" t="str">
        <f t="shared" ref="CF94:CF95" si="11">IF(AND(ABS(CC94)&gt;=$F$42,ABS(CC94)&lt;=$G$42),CC94*$D$42*CE94,IF(AND(ABS(CC94)&gt;=$F$43,ABS(CC94)&lt;=$G$43),CC94*$D$43*CE94,IF(AND(ABS(CC94)&gt;=$F$44,ABS(CC94)&lt;=$G$44),CC94*$D$44*CE94,"rango cal. out")))</f>
        <v>rango cal. out</v>
      </c>
      <c r="CG94" s="599">
        <f t="shared" ref="CG94:CG95" si="12">CD94-BV94</f>
        <v>120</v>
      </c>
      <c r="CH94" s="599" t="e">
        <f t="shared" ref="CH94:CH95" si="13">(CF94-BX94)/CG94</f>
        <v>#VALUE!</v>
      </c>
      <c r="CI94" s="654">
        <v>20.5</v>
      </c>
      <c r="CJ94" s="655">
        <v>52</v>
      </c>
      <c r="CK94" s="655">
        <v>1007</v>
      </c>
      <c r="CL94" s="649">
        <v>-2.005E-9</v>
      </c>
      <c r="CM94" s="655">
        <v>60</v>
      </c>
      <c r="CN94" s="1548">
        <f t="shared" ref="CN94:CN95" si="14">((273.2+CI94)*$F$32/((273.2+$F$31)*CK94))</f>
        <v>0</v>
      </c>
      <c r="CO94" s="649" t="str">
        <f t="shared" ref="CO94:CO95" si="15">IF(AND(ABS(CL94)&gt;=$F$42,ABS(CL94)&lt;=$G$42),CL94*$D$42*CN94,IF(AND(ABS(CL94)&gt;=$F$43,ABS(CL94)&lt;=$G$43),CL94*$D$43*CN94,IF(AND(ABS(CL94)&gt;=$F$44,ABS(CL94)&lt;=$G$44),CL94*$D$44*CN94,"rango cal. out")))</f>
        <v>rango cal. out</v>
      </c>
      <c r="CP94" s="657" t="e">
        <f t="shared" ref="CP94:CP95" si="16">CO94/CM94</f>
        <v>#VALUE!</v>
      </c>
      <c r="CQ94" s="702">
        <v>20.7</v>
      </c>
      <c r="CR94" s="1540">
        <v>52</v>
      </c>
      <c r="CS94" s="703">
        <v>1007</v>
      </c>
      <c r="CT94" s="649">
        <v>-2.0059999999999999E-9</v>
      </c>
      <c r="CU94" s="599">
        <v>180</v>
      </c>
      <c r="CV94" s="1548">
        <f t="shared" ref="CV94:CV95" si="17">((273.2+CQ94)*$F$32/((273.2+$F$31)*CS94))</f>
        <v>0</v>
      </c>
      <c r="CW94" s="649" t="str">
        <f t="shared" ref="CW94:CW95" si="18">IF(AND(ABS(CT94)&gt;=$F$42,ABS(CT94)&lt;=$G$42),CT94*$D$42*CV94,IF(AND(ABS(CT94)&gt;=$F$43,ABS(CT94)&lt;=$G$43),CT94*$D$43*CV94,IF(AND(ABS(CT94)&gt;=$F$44,ABS(CT94)&lt;=$G$44),CT94*$D$44*CV94,"rango cal. out")))</f>
        <v>rango cal. out</v>
      </c>
      <c r="CX94" s="599">
        <f t="shared" ref="CX94:CX95" si="19">CU94-CM94</f>
        <v>120</v>
      </c>
      <c r="CY94" s="599" t="e">
        <f t="shared" ref="CY94:CY95" si="20">(CW94-CO94)/CX94</f>
        <v>#VALUE!</v>
      </c>
      <c r="EH94" s="654">
        <v>20.399999999999999</v>
      </c>
      <c r="EI94" s="655">
        <v>52</v>
      </c>
      <c r="EJ94" s="655">
        <v>1007</v>
      </c>
      <c r="EK94" s="649">
        <v>-2.4200000000000002E-12</v>
      </c>
      <c r="EL94" s="655">
        <v>60</v>
      </c>
      <c r="EM94" s="1548">
        <f t="shared" ref="EM94:EM95" si="21">((273.2+EH94)*$F$32/((273.2+$F$31)*EJ94))</f>
        <v>0</v>
      </c>
      <c r="EN94" s="649" t="str">
        <f t="shared" ref="EN94:EN95" si="22">IF(AND(ABS(EK94)&gt;=$F$42,ABS(EK94)&lt;=$G$42),EK94*$D$42*EM94,IF(AND(ABS(EK94)&gt;=$F$43,ABS(EK94)&lt;=$G$43),EK94*$D$43*EM94,IF(AND(ABS(EK94)&gt;=$F$44,ABS(EK94)&lt;=$G$44),EK94*$D$44*EM94,"rango cal. out")))</f>
        <v>rango cal. out</v>
      </c>
      <c r="EO94" s="657" t="e">
        <f t="shared" ref="EO94:EO95" si="23">EN94/EL94</f>
        <v>#VALUE!</v>
      </c>
      <c r="EP94" s="702">
        <v>20.5</v>
      </c>
      <c r="EQ94" s="1540">
        <v>53</v>
      </c>
      <c r="ER94" s="703">
        <v>1007</v>
      </c>
      <c r="ES94" s="649">
        <v>-2.0600000000000001E-12</v>
      </c>
      <c r="ET94" s="599">
        <v>180</v>
      </c>
      <c r="EU94" s="1548">
        <f t="shared" ref="EU94:EU95" si="24">((273.2+EP94)*$F$32/((273.2+$F$31)*ER94))</f>
        <v>0</v>
      </c>
      <c r="EV94" s="649" t="str">
        <f t="shared" ref="EV94:EV95" si="25">IF(AND(ABS(ES94)&gt;=$F$42,ABS(ES94)&lt;=$G$42),ES94*$D$42*EU94,IF(AND(ABS(ES94)&gt;=$F$43,ABS(ES94)&lt;=$G$43),ES94*$D$43*EU94,IF(AND(ABS(ES94)&gt;=$F$44,ABS(ES94)&lt;=$G$44),ES94*$D$44*EU94,"rango cal. out")))</f>
        <v>rango cal. out</v>
      </c>
      <c r="EW94" s="599">
        <f t="shared" ref="EW94:EW95" si="26">ET94-EL94</f>
        <v>120</v>
      </c>
      <c r="EX94" s="599" t="e">
        <f t="shared" ref="EX94:EX95" si="27">(EV94-EN94)/EW94</f>
        <v>#VALUE!</v>
      </c>
      <c r="MU94" s="654">
        <v>20.5</v>
      </c>
      <c r="MV94" s="655">
        <v>52</v>
      </c>
      <c r="MW94" s="655">
        <v>1007</v>
      </c>
      <c r="MX94" s="649">
        <v>-5.7619999999999997E-11</v>
      </c>
      <c r="MY94" s="655">
        <v>60</v>
      </c>
      <c r="MZ94" s="1548">
        <f t="shared" ref="MZ94:MZ95" si="28">((273.2+MU94)*$F$32/((273.2+$F$31)*MW94))</f>
        <v>0</v>
      </c>
      <c r="NA94" s="649" t="str">
        <f t="shared" ref="NA94:NA95" si="29">IF(AND(ABS(MX94)&gt;=$F$42,ABS(MX94)&lt;=$G$42),MX94*$D$42*MZ94,IF(AND(ABS(MX94)&gt;=$F$43,ABS(MX94)&lt;=$G$43),MX94*$D$43*MZ94,IF(AND(ABS(MX94)&gt;=$F$44,ABS(MX94)&lt;=$G$44),MX94*$D$44*MZ94,"rango cal. out")))</f>
        <v>rango cal. out</v>
      </c>
      <c r="NB94" s="657" t="e">
        <f t="shared" ref="NB94:NB95" si="30">NA94/MY94</f>
        <v>#VALUE!</v>
      </c>
      <c r="NC94" s="702">
        <v>20.399999999999999</v>
      </c>
      <c r="ND94" s="1540">
        <v>54</v>
      </c>
      <c r="NE94" s="703">
        <v>1007</v>
      </c>
      <c r="NF94" s="649">
        <v>-5.8099999999999998E-11</v>
      </c>
      <c r="NG94" s="599">
        <v>180</v>
      </c>
      <c r="NH94" s="1548">
        <f t="shared" ref="NH94:NH95" si="31">((273.2+NC94)*$F$32/((273.2+$F$31)*NE94))</f>
        <v>0</v>
      </c>
      <c r="NI94" s="649" t="str">
        <f t="shared" ref="NI94:NI95" si="32">IF(AND(ABS(NF94)&gt;=$F$42,ABS(NF94)&lt;=$G$42),NF94*$D$42*NH94,IF(AND(ABS(NF94)&gt;=$F$43,ABS(NF94)&lt;=$G$43),NF94*$D$43*NH94,IF(AND(ABS(NF94)&gt;=$F$44,ABS(NF94)&lt;=$G$44),NF94*$D$44*NH94,"rango cal. out")))</f>
        <v>rango cal. out</v>
      </c>
      <c r="NJ94" s="599">
        <f t="shared" ref="NJ94:NJ95" si="33">NG94-MY94</f>
        <v>120</v>
      </c>
      <c r="NK94" s="599" t="e">
        <f t="shared" ref="NK94:NK95" si="34">(NI94-NA94)/NJ94</f>
        <v>#VALUE!</v>
      </c>
      <c r="OC94" s="654">
        <v>20.5</v>
      </c>
      <c r="OD94" s="655">
        <v>53</v>
      </c>
      <c r="OE94" s="655">
        <v>1007</v>
      </c>
      <c r="OF94" s="649">
        <v>-1.297E-10</v>
      </c>
      <c r="OG94" s="655">
        <v>60</v>
      </c>
      <c r="OH94" s="1548">
        <f t="shared" ref="OH94:OH95" si="35">((273.2+OC94)*$F$32/((273.2+$F$31)*OE94))</f>
        <v>0</v>
      </c>
      <c r="OI94" s="649" t="str">
        <f t="shared" ref="OI94:OI95" si="36">IF(AND(ABS(OF94)&gt;=$F$42,ABS(OF94)&lt;=$G$42),OF94*$D$42*OH94,IF(AND(ABS(OF94)&gt;=$F$43,ABS(OF94)&lt;=$G$43),OF94*$D$43*OH94,IF(AND(ABS(OF94)&gt;=$F$44,ABS(OF94)&lt;=$G$44),OF94*$D$44*OH94,"rango cal. out")))</f>
        <v>rango cal. out</v>
      </c>
      <c r="OJ94" s="657" t="e">
        <f t="shared" ref="OJ94:OJ95" si="37">OI94/OG94</f>
        <v>#VALUE!</v>
      </c>
      <c r="OK94" s="702">
        <v>20.5</v>
      </c>
      <c r="OL94" s="1540">
        <v>54</v>
      </c>
      <c r="OM94" s="703">
        <v>1007</v>
      </c>
      <c r="ON94" s="649">
        <v>-1.2990000000000001E-10</v>
      </c>
      <c r="OO94" s="599">
        <v>180</v>
      </c>
      <c r="OP94" s="1548">
        <f t="shared" ref="OP94:OP95" si="38">((273.2+OK94)*$F$32/((273.2+$F$31)*OM94))</f>
        <v>0</v>
      </c>
      <c r="OQ94" s="649" t="str">
        <f t="shared" ref="OQ94:OQ95" si="39">IF(AND(ABS(ON94)&gt;=$F$42,ABS(ON94)&lt;=$G$42),ON94*$D$42*OP94,IF(AND(ABS(ON94)&gt;=$F$43,ABS(ON94)&lt;=$G$43),ON94*$D$43*OP94,IF(AND(ABS(ON94)&gt;=$F$44,ABS(ON94)&lt;=$G$44),ON94*$D$44*OP94,"rango cal. out")))</f>
        <v>rango cal. out</v>
      </c>
      <c r="OR94" s="599">
        <f t="shared" ref="OR94:OR95" si="40">OO94-OG94</f>
        <v>120</v>
      </c>
      <c r="OS94" s="599" t="e">
        <f t="shared" ref="OS94:OS95" si="41">(OQ94-OI94)/OR94</f>
        <v>#VALUE!</v>
      </c>
      <c r="RJ94" s="654">
        <v>20.5</v>
      </c>
      <c r="RK94" s="655">
        <v>55</v>
      </c>
      <c r="RL94" s="655">
        <v>1007</v>
      </c>
      <c r="RM94" s="649">
        <v>-5.8900000000000001E-12</v>
      </c>
      <c r="RN94" s="655">
        <v>60</v>
      </c>
      <c r="RO94" s="1548">
        <f t="shared" ref="RO94:RO95" si="42">((273.2+RJ94)*$F$32/((273.2+$F$31)*RL94))</f>
        <v>0</v>
      </c>
      <c r="RP94" s="649" t="str">
        <f t="shared" ref="RP94:RP95" si="43">IF(AND(ABS(RM94)&gt;=$F$42,ABS(RM94)&lt;=$G$42),RM94*$D$42*RO94,IF(AND(ABS(RM94)&gt;=$F$43,ABS(RM94)&lt;=$G$43),RM94*$D$43*RO94,IF(AND(ABS(RM94)&gt;=$F$44,ABS(RM94)&lt;=$G$44),RM94*$D$44*RO94,"rango cal. out")))</f>
        <v>rango cal. out</v>
      </c>
      <c r="RQ94" s="657" t="e">
        <f t="shared" ref="RQ94:RQ95" si="44">RP94/RN94</f>
        <v>#VALUE!</v>
      </c>
      <c r="RR94" s="702">
        <v>20.6</v>
      </c>
      <c r="RS94" s="1540">
        <v>54</v>
      </c>
      <c r="RT94" s="703">
        <v>1007</v>
      </c>
      <c r="RU94" s="649">
        <v>-6.1900000000000001E-12</v>
      </c>
      <c r="RV94" s="599">
        <v>180</v>
      </c>
      <c r="RW94" s="1548">
        <f t="shared" ref="RW94:RW95" si="45">((273.2+RR94)*$F$32/((273.2+$F$31)*RT94))</f>
        <v>0</v>
      </c>
      <c r="RX94" s="649" t="str">
        <f t="shared" ref="RX94:RX95" si="46">IF(AND(ABS(RU94)&gt;=$F$42,ABS(RU94)&lt;=$G$42),RU94*$D$42*RW94,IF(AND(ABS(RU94)&gt;=$F$43,ABS(RU94)&lt;=$G$43),RU94*$D$43*RW94,IF(AND(ABS(RU94)&gt;=$F$44,ABS(RU94)&lt;=$G$44),RU94*$D$44*RW94,"rango cal. out")))</f>
        <v>rango cal. out</v>
      </c>
      <c r="RY94" s="599">
        <f t="shared" ref="RY94:RY95" si="47">RV94-RN94</f>
        <v>120</v>
      </c>
      <c r="RZ94" s="599" t="e">
        <f t="shared" ref="RZ94:RZ95" si="48">(RX94-RP94)/RY94</f>
        <v>#VALUE!</v>
      </c>
      <c r="SA94" s="654">
        <v>20.5</v>
      </c>
      <c r="SB94" s="655">
        <v>55</v>
      </c>
      <c r="SC94" s="655">
        <v>1008</v>
      </c>
      <c r="SD94" s="649">
        <v>-3.1890000000000001E-10</v>
      </c>
      <c r="SE94" s="655">
        <v>60</v>
      </c>
      <c r="SF94" s="1548">
        <f t="shared" ref="SF94:SF95" si="49">((273.2+SA94)*$F$32/((273.2+$F$31)*SC94))</f>
        <v>0</v>
      </c>
      <c r="SG94" s="649" t="str">
        <f t="shared" ref="SG94:SG95" si="50">IF(AND(ABS(SD94)&gt;=$F$42,ABS(SD94)&lt;=$G$42),SD94*$D$42*SF94,IF(AND(ABS(SD94)&gt;=$F$43,ABS(SD94)&lt;=$G$43),SD94*$D$43*SF94,IF(AND(ABS(SD94)&gt;=$F$44,ABS(SD94)&lt;=$G$44),SD94*$D$44*SF94,"rango cal. out")))</f>
        <v>rango cal. out</v>
      </c>
      <c r="SH94" s="657" t="e">
        <f t="shared" ref="SH94:SH95" si="51">SG94/SE94</f>
        <v>#VALUE!</v>
      </c>
      <c r="SI94" s="702">
        <v>20.5</v>
      </c>
      <c r="SJ94" s="1540">
        <v>55</v>
      </c>
      <c r="SK94" s="703">
        <v>1008</v>
      </c>
      <c r="SL94" s="649">
        <v>-3.1910000000000001E-10</v>
      </c>
      <c r="SM94" s="599">
        <v>180</v>
      </c>
      <c r="SN94" s="1548">
        <f t="shared" ref="SN94:SN95" si="52">((273.2+SI94)*$F$32/((273.2+$F$31)*SK94))</f>
        <v>0</v>
      </c>
      <c r="SO94" s="649" t="str">
        <f t="shared" ref="SO94:SO95" si="53">IF(AND(ABS(SL94)&gt;=$F$42,ABS(SL94)&lt;=$G$42),SL94*$D$42*SN94,IF(AND(ABS(SL94)&gt;=$F$43,ABS(SL94)&lt;=$G$43),SL94*$D$43*SN94,IF(AND(ABS(SL94)&gt;=$F$44,ABS(SL94)&lt;=$G$44),SL94*$D$44*SN94,"rango cal. out")))</f>
        <v>rango cal. out</v>
      </c>
      <c r="SP94" s="599">
        <f t="shared" ref="SP94:SP95" si="54">SM94-SE94</f>
        <v>120</v>
      </c>
      <c r="SQ94" s="599" t="e">
        <f t="shared" ref="SQ94:SQ95" si="55">(SO94-SG94)/SP94</f>
        <v>#VALUE!</v>
      </c>
      <c r="TI94" s="654">
        <v>20.399999999999999</v>
      </c>
      <c r="TJ94" s="655">
        <v>56</v>
      </c>
      <c r="TK94" s="655">
        <v>1008</v>
      </c>
      <c r="TL94" s="649">
        <v>-1.3330000000000001E-11</v>
      </c>
      <c r="TM94" s="655">
        <v>60</v>
      </c>
      <c r="TN94" s="1548">
        <f t="shared" ref="TN94:TN95" si="56">((273.2+TI94)*$F$32/((273.2+$F$31)*TK94))</f>
        <v>0</v>
      </c>
      <c r="TO94" s="649" t="str">
        <f t="shared" ref="TO94:TO95" si="57">IF(AND(ABS(TL94)&gt;=$F$42,ABS(TL94)&lt;=$G$42),TL94*$D$42*TN94,IF(AND(ABS(TL94)&gt;=$F$43,ABS(TL94)&lt;=$G$43),TL94*$D$43*TN94,IF(AND(ABS(TL94)&gt;=$F$44,ABS(TL94)&lt;=$G$44),TL94*$D$44*TN94,"rango cal. out")))</f>
        <v>rango cal. out</v>
      </c>
      <c r="TP94" s="657" t="e">
        <f t="shared" ref="TP94:TP95" si="58">TO94/TM94</f>
        <v>#VALUE!</v>
      </c>
      <c r="TQ94" s="702">
        <v>20.5</v>
      </c>
      <c r="TR94" s="1540">
        <v>56</v>
      </c>
      <c r="TS94" s="703">
        <v>1008</v>
      </c>
      <c r="TT94" s="649">
        <v>-1.3339999999999999E-11</v>
      </c>
      <c r="TU94" s="599">
        <v>180</v>
      </c>
      <c r="TV94" s="1548">
        <f t="shared" ref="TV94:TV95" si="59">((273.2+TQ94)*$F$32/((273.2+$F$31)*TS94))</f>
        <v>0</v>
      </c>
      <c r="TW94" s="649" t="str">
        <f t="shared" ref="TW94:TW95" si="60">IF(AND(ABS(TT94)&gt;=$F$42,ABS(TT94)&lt;=$G$42),TT94*$D$42*TV94,IF(AND(ABS(TT94)&gt;=$F$43,ABS(TT94)&lt;=$G$43),TT94*$D$43*TV94,IF(AND(ABS(TT94)&gt;=$F$44,ABS(TT94)&lt;=$G$44),TT94*$D$44*TV94,"rango cal. out")))</f>
        <v>rango cal. out</v>
      </c>
      <c r="TX94" s="599">
        <f t="shared" ref="TX94:TX95" si="61">TU94-TM94</f>
        <v>120</v>
      </c>
      <c r="TY94" s="599" t="e">
        <f t="shared" ref="TY94:TY95" si="62">(TW94-TO94)/TX94</f>
        <v>#VALUE!</v>
      </c>
    </row>
    <row r="95" spans="1:545" ht="30" x14ac:dyDescent="0.25">
      <c r="A95" s="56" t="s">
        <v>1058</v>
      </c>
      <c r="B95" s="664"/>
      <c r="C95" s="667"/>
      <c r="D95" s="667"/>
      <c r="E95" s="651"/>
      <c r="F95" s="667"/>
      <c r="G95" s="1549"/>
      <c r="H95" s="651"/>
      <c r="I95" s="657"/>
      <c r="J95" s="652"/>
      <c r="K95" s="653"/>
      <c r="L95" s="599"/>
      <c r="M95" s="651"/>
      <c r="N95" s="599"/>
      <c r="O95" s="1549"/>
      <c r="P95" s="651"/>
      <c r="Q95" s="599"/>
      <c r="R95" s="599"/>
      <c r="S95" s="56"/>
      <c r="T95" s="56"/>
      <c r="U95" s="56"/>
      <c r="V95" s="56"/>
      <c r="W95" s="56"/>
      <c r="X95" s="56"/>
      <c r="BA95" s="664">
        <v>20.6</v>
      </c>
      <c r="BB95" s="667">
        <v>51</v>
      </c>
      <c r="BC95" s="667">
        <v>1009</v>
      </c>
      <c r="BD95" s="651">
        <v>-8.5560000000000002E-10</v>
      </c>
      <c r="BE95" s="667">
        <v>60</v>
      </c>
      <c r="BF95" s="1549">
        <f t="shared" si="0"/>
        <v>0</v>
      </c>
      <c r="BG95" s="651" t="str">
        <f t="shared" si="1"/>
        <v>rango cal. out</v>
      </c>
      <c r="BH95" s="657" t="e">
        <f t="shared" si="2"/>
        <v>#VALUE!</v>
      </c>
      <c r="BI95" s="652">
        <v>20.6</v>
      </c>
      <c r="BJ95" s="653">
        <v>53</v>
      </c>
      <c r="BK95" s="599">
        <v>1009</v>
      </c>
      <c r="BL95" s="651">
        <v>-8.5609999999999997E-10</v>
      </c>
      <c r="BM95" s="599">
        <v>180</v>
      </c>
      <c r="BN95" s="1549">
        <f t="shared" si="3"/>
        <v>0</v>
      </c>
      <c r="BO95" s="651" t="str">
        <f t="shared" si="4"/>
        <v>rango cal. out</v>
      </c>
      <c r="BP95" s="599">
        <f t="shared" si="5"/>
        <v>120</v>
      </c>
      <c r="BQ95" s="599" t="e">
        <f t="shared" si="6"/>
        <v>#VALUE!</v>
      </c>
      <c r="BR95" s="664">
        <v>20.7</v>
      </c>
      <c r="BS95" s="667">
        <v>50</v>
      </c>
      <c r="BT95" s="667">
        <v>1007</v>
      </c>
      <c r="BU95" s="651">
        <v>-3.4799999999999999E-11</v>
      </c>
      <c r="BV95" s="667">
        <v>60</v>
      </c>
      <c r="BW95" s="1549">
        <f t="shared" si="7"/>
        <v>0</v>
      </c>
      <c r="BX95" s="651" t="str">
        <f t="shared" si="8"/>
        <v>rango cal. out</v>
      </c>
      <c r="BY95" s="657" t="e">
        <f t="shared" si="9"/>
        <v>#VALUE!</v>
      </c>
      <c r="BZ95" s="652">
        <v>20.5</v>
      </c>
      <c r="CA95" s="653">
        <v>49</v>
      </c>
      <c r="CB95" s="599">
        <v>1007</v>
      </c>
      <c r="CC95" s="651">
        <v>-3.5019999999999999E-11</v>
      </c>
      <c r="CD95" s="599">
        <v>180</v>
      </c>
      <c r="CE95" s="1549">
        <f t="shared" si="10"/>
        <v>0</v>
      </c>
      <c r="CF95" s="651" t="str">
        <f t="shared" si="11"/>
        <v>rango cal. out</v>
      </c>
      <c r="CG95" s="599">
        <f t="shared" si="12"/>
        <v>120</v>
      </c>
      <c r="CH95" s="599" t="e">
        <f t="shared" si="13"/>
        <v>#VALUE!</v>
      </c>
      <c r="CI95" s="664">
        <v>20.5</v>
      </c>
      <c r="CJ95" s="667">
        <v>53</v>
      </c>
      <c r="CK95" s="667">
        <v>1007</v>
      </c>
      <c r="CL95" s="651">
        <v>-1.9610000000000002E-9</v>
      </c>
      <c r="CM95" s="667">
        <v>60</v>
      </c>
      <c r="CN95" s="1549">
        <f t="shared" si="14"/>
        <v>0</v>
      </c>
      <c r="CO95" s="651" t="str">
        <f t="shared" si="15"/>
        <v>rango cal. out</v>
      </c>
      <c r="CP95" s="657" t="e">
        <f t="shared" si="16"/>
        <v>#VALUE!</v>
      </c>
      <c r="CQ95" s="652">
        <v>20.399999999999999</v>
      </c>
      <c r="CR95" s="653">
        <v>51</v>
      </c>
      <c r="CS95" s="599">
        <v>1007</v>
      </c>
      <c r="CT95" s="651">
        <v>-1.962E-9</v>
      </c>
      <c r="CU95" s="599">
        <v>180</v>
      </c>
      <c r="CV95" s="1549">
        <f t="shared" si="17"/>
        <v>0</v>
      </c>
      <c r="CW95" s="651" t="str">
        <f t="shared" si="18"/>
        <v>rango cal. out</v>
      </c>
      <c r="CX95" s="599">
        <f t="shared" si="19"/>
        <v>120</v>
      </c>
      <c r="CY95" s="599" t="e">
        <f t="shared" si="20"/>
        <v>#VALUE!</v>
      </c>
      <c r="EH95" s="664">
        <v>20.5</v>
      </c>
      <c r="EI95" s="667">
        <v>53</v>
      </c>
      <c r="EJ95" s="667">
        <v>1007</v>
      </c>
      <c r="EK95" s="651">
        <v>-2.5400000000000001E-12</v>
      </c>
      <c r="EL95" s="667">
        <v>60</v>
      </c>
      <c r="EM95" s="1549">
        <f t="shared" si="21"/>
        <v>0</v>
      </c>
      <c r="EN95" s="651" t="str">
        <f t="shared" si="22"/>
        <v>rango cal. out</v>
      </c>
      <c r="EO95" s="657" t="e">
        <f t="shared" si="23"/>
        <v>#VALUE!</v>
      </c>
      <c r="EP95" s="652">
        <v>20.6</v>
      </c>
      <c r="EQ95" s="653">
        <v>54</v>
      </c>
      <c r="ER95" s="599">
        <v>1007</v>
      </c>
      <c r="ES95" s="651">
        <v>-2.6400000000000001E-12</v>
      </c>
      <c r="ET95" s="599">
        <v>180</v>
      </c>
      <c r="EU95" s="1549">
        <f t="shared" si="24"/>
        <v>0</v>
      </c>
      <c r="EV95" s="651" t="str">
        <f t="shared" si="25"/>
        <v>rango cal. out</v>
      </c>
      <c r="EW95" s="599">
        <f t="shared" si="26"/>
        <v>120</v>
      </c>
      <c r="EX95" s="599" t="e">
        <f t="shared" si="27"/>
        <v>#VALUE!</v>
      </c>
      <c r="MU95" s="664">
        <v>20.5</v>
      </c>
      <c r="MV95" s="667">
        <v>53</v>
      </c>
      <c r="MW95" s="667">
        <v>1007</v>
      </c>
      <c r="MX95" s="651">
        <v>-5.538E-11</v>
      </c>
      <c r="MY95" s="667">
        <v>60</v>
      </c>
      <c r="MZ95" s="1549">
        <f t="shared" si="28"/>
        <v>0</v>
      </c>
      <c r="NA95" s="651" t="str">
        <f t="shared" si="29"/>
        <v>rango cal. out</v>
      </c>
      <c r="NB95" s="657" t="e">
        <f t="shared" si="30"/>
        <v>#VALUE!</v>
      </c>
      <c r="NC95" s="652">
        <v>20.5</v>
      </c>
      <c r="ND95" s="653">
        <v>54</v>
      </c>
      <c r="NE95" s="599">
        <v>1007</v>
      </c>
      <c r="NF95" s="651">
        <v>-5.4740000000000003E-11</v>
      </c>
      <c r="NG95" s="599">
        <v>180</v>
      </c>
      <c r="NH95" s="1549">
        <f t="shared" si="31"/>
        <v>0</v>
      </c>
      <c r="NI95" s="651" t="str">
        <f t="shared" si="32"/>
        <v>rango cal. out</v>
      </c>
      <c r="NJ95" s="599">
        <f t="shared" si="33"/>
        <v>120</v>
      </c>
      <c r="NK95" s="599" t="e">
        <f t="shared" si="34"/>
        <v>#VALUE!</v>
      </c>
      <c r="OC95" s="664">
        <v>20.399999999999999</v>
      </c>
      <c r="OD95" s="667">
        <v>53</v>
      </c>
      <c r="OE95" s="667">
        <v>1007</v>
      </c>
      <c r="OF95" s="651">
        <v>-1.312E-10</v>
      </c>
      <c r="OG95" s="667">
        <v>60</v>
      </c>
      <c r="OH95" s="1549">
        <f t="shared" si="35"/>
        <v>0</v>
      </c>
      <c r="OI95" s="651" t="str">
        <f t="shared" si="36"/>
        <v>rango cal. out</v>
      </c>
      <c r="OJ95" s="657" t="e">
        <f t="shared" si="37"/>
        <v>#VALUE!</v>
      </c>
      <c r="OK95" s="652">
        <v>20.399999999999999</v>
      </c>
      <c r="OL95" s="653">
        <v>54</v>
      </c>
      <c r="OM95" s="599">
        <v>1007</v>
      </c>
      <c r="ON95" s="651">
        <v>-1.3140000000000001E-10</v>
      </c>
      <c r="OO95" s="599">
        <v>180</v>
      </c>
      <c r="OP95" s="1549">
        <f t="shared" si="38"/>
        <v>0</v>
      </c>
      <c r="OQ95" s="651" t="str">
        <f t="shared" si="39"/>
        <v>rango cal. out</v>
      </c>
      <c r="OR95" s="599">
        <f t="shared" si="40"/>
        <v>120</v>
      </c>
      <c r="OS95" s="599" t="e">
        <f t="shared" si="41"/>
        <v>#VALUE!</v>
      </c>
      <c r="RJ95" s="664">
        <v>20.5</v>
      </c>
      <c r="RK95" s="667">
        <v>53</v>
      </c>
      <c r="RL95" s="667">
        <v>1008</v>
      </c>
      <c r="RM95" s="651">
        <v>-6.0599999999999996E-12</v>
      </c>
      <c r="RN95" s="667">
        <v>60</v>
      </c>
      <c r="RO95" s="1549">
        <f t="shared" si="42"/>
        <v>0</v>
      </c>
      <c r="RP95" s="651" t="str">
        <f t="shared" si="43"/>
        <v>rango cal. out</v>
      </c>
      <c r="RQ95" s="657" t="e">
        <f t="shared" si="44"/>
        <v>#VALUE!</v>
      </c>
      <c r="RR95" s="652">
        <v>20.5</v>
      </c>
      <c r="RS95" s="653">
        <v>54</v>
      </c>
      <c r="RT95" s="599">
        <v>1008</v>
      </c>
      <c r="RU95" s="651">
        <v>-6.2199999999999997E-12</v>
      </c>
      <c r="RV95" s="599">
        <v>180</v>
      </c>
      <c r="RW95" s="1549">
        <f t="shared" si="45"/>
        <v>0</v>
      </c>
      <c r="RX95" s="651" t="str">
        <f t="shared" si="46"/>
        <v>rango cal. out</v>
      </c>
      <c r="RY95" s="599">
        <f t="shared" si="47"/>
        <v>120</v>
      </c>
      <c r="RZ95" s="599" t="e">
        <f t="shared" si="48"/>
        <v>#VALUE!</v>
      </c>
      <c r="SA95" s="664">
        <v>20.5</v>
      </c>
      <c r="SB95" s="667">
        <v>54</v>
      </c>
      <c r="SC95" s="667">
        <v>1008</v>
      </c>
      <c r="SD95" s="651">
        <v>-3.2990000000000002E-10</v>
      </c>
      <c r="SE95" s="667">
        <v>60</v>
      </c>
      <c r="SF95" s="1549">
        <f t="shared" si="49"/>
        <v>0</v>
      </c>
      <c r="SG95" s="651" t="str">
        <f t="shared" si="50"/>
        <v>rango cal. out</v>
      </c>
      <c r="SH95" s="657" t="e">
        <f t="shared" si="51"/>
        <v>#VALUE!</v>
      </c>
      <c r="SI95" s="652">
        <v>20.399999999999999</v>
      </c>
      <c r="SJ95" s="653">
        <v>55</v>
      </c>
      <c r="SK95" s="599">
        <v>1008</v>
      </c>
      <c r="SL95" s="651">
        <v>-3.2990000000000002E-10</v>
      </c>
      <c r="SM95" s="599">
        <v>180</v>
      </c>
      <c r="SN95" s="1549">
        <f t="shared" si="52"/>
        <v>0</v>
      </c>
      <c r="SO95" s="651" t="str">
        <f t="shared" si="53"/>
        <v>rango cal. out</v>
      </c>
      <c r="SP95" s="599">
        <f t="shared" si="54"/>
        <v>120</v>
      </c>
      <c r="SQ95" s="599" t="e">
        <f t="shared" si="55"/>
        <v>#VALUE!</v>
      </c>
      <c r="TI95" s="664">
        <v>20.399999999999999</v>
      </c>
      <c r="TJ95" s="667">
        <v>55</v>
      </c>
      <c r="TK95" s="667">
        <v>1008</v>
      </c>
      <c r="TL95" s="651">
        <v>-1.2729999999999999E-11</v>
      </c>
      <c r="TM95" s="667">
        <v>60</v>
      </c>
      <c r="TN95" s="1549">
        <f t="shared" si="56"/>
        <v>0</v>
      </c>
      <c r="TO95" s="651" t="str">
        <f t="shared" si="57"/>
        <v>rango cal. out</v>
      </c>
      <c r="TP95" s="657" t="e">
        <f t="shared" si="58"/>
        <v>#VALUE!</v>
      </c>
      <c r="TQ95" s="652">
        <v>20.5</v>
      </c>
      <c r="TR95" s="653">
        <v>55</v>
      </c>
      <c r="TS95" s="599">
        <v>1008</v>
      </c>
      <c r="TT95" s="651">
        <v>-1.275E-11</v>
      </c>
      <c r="TU95" s="599">
        <v>180</v>
      </c>
      <c r="TV95" s="1549">
        <f t="shared" si="59"/>
        <v>0</v>
      </c>
      <c r="TW95" s="651" t="str">
        <f t="shared" si="60"/>
        <v>rango cal. out</v>
      </c>
      <c r="TX95" s="599">
        <f t="shared" si="61"/>
        <v>120</v>
      </c>
      <c r="TY95" s="599" t="e">
        <f t="shared" si="62"/>
        <v>#VALUE!</v>
      </c>
    </row>
    <row r="96" spans="1:545" ht="15.75" thickBot="1" x14ac:dyDescent="0.3">
      <c r="M96" s="642"/>
      <c r="R96" s="642"/>
    </row>
    <row r="97" spans="1:545" ht="15.75" customHeight="1" thickBot="1" x14ac:dyDescent="0.3">
      <c r="B97" s="3470" t="s">
        <v>24</v>
      </c>
      <c r="C97" s="3471"/>
      <c r="D97" s="3471"/>
      <c r="E97" s="3471"/>
      <c r="F97" s="3471"/>
      <c r="G97" s="3471"/>
      <c r="H97" s="3471"/>
      <c r="I97" s="3471"/>
      <c r="J97" s="3471"/>
      <c r="K97" s="3471"/>
      <c r="L97" s="3471"/>
      <c r="M97" s="3471"/>
      <c r="N97" s="3471"/>
      <c r="O97" s="3471"/>
      <c r="P97" s="3471"/>
      <c r="Q97" s="3471"/>
      <c r="R97" s="3472"/>
      <c r="S97" s="2207" t="s">
        <v>25</v>
      </c>
      <c r="T97" s="2208"/>
      <c r="U97" s="2208"/>
      <c r="V97" s="2208"/>
      <c r="W97" s="2208"/>
      <c r="X97" s="2208"/>
      <c r="Y97" s="2208"/>
      <c r="Z97" s="2208"/>
      <c r="AA97" s="2208"/>
      <c r="AB97" s="2208"/>
      <c r="AC97" s="2208"/>
      <c r="AD97" s="2208"/>
      <c r="AE97" s="2208"/>
      <c r="AF97" s="2208"/>
      <c r="AG97" s="2208"/>
      <c r="AH97" s="2208"/>
      <c r="AI97" s="2209"/>
      <c r="AJ97" s="2207" t="s">
        <v>26</v>
      </c>
      <c r="AK97" s="2208"/>
      <c r="AL97" s="2208"/>
      <c r="AM97" s="2208"/>
      <c r="AN97" s="2208"/>
      <c r="AO97" s="2208"/>
      <c r="AP97" s="2208"/>
      <c r="AQ97" s="2208"/>
      <c r="AR97" s="2208"/>
      <c r="AS97" s="2208"/>
      <c r="AT97" s="2208"/>
      <c r="AU97" s="2208"/>
      <c r="AV97" s="2208"/>
      <c r="AW97" s="2208"/>
      <c r="AX97" s="2208"/>
      <c r="AY97" s="2208"/>
      <c r="AZ97" s="2209"/>
      <c r="BA97" s="2210" t="s">
        <v>27</v>
      </c>
      <c r="BB97" s="2211"/>
      <c r="BC97" s="2211"/>
      <c r="BD97" s="2211"/>
      <c r="BE97" s="2211"/>
      <c r="BF97" s="2211"/>
      <c r="BG97" s="2211"/>
      <c r="BH97" s="2211"/>
      <c r="BI97" s="2211"/>
      <c r="BJ97" s="2211"/>
      <c r="BK97" s="2211"/>
      <c r="BL97" s="2211"/>
      <c r="BM97" s="2211"/>
      <c r="BN97" s="2211"/>
      <c r="BO97" s="2211"/>
      <c r="BP97" s="2211"/>
      <c r="BQ97" s="2212"/>
      <c r="BR97" s="2210" t="s">
        <v>28</v>
      </c>
      <c r="BS97" s="2211"/>
      <c r="BT97" s="2211"/>
      <c r="BU97" s="2211"/>
      <c r="BV97" s="2211"/>
      <c r="BW97" s="2211"/>
      <c r="BX97" s="2211"/>
      <c r="BY97" s="2211"/>
      <c r="BZ97" s="2211"/>
      <c r="CA97" s="2211"/>
      <c r="CB97" s="2211"/>
      <c r="CC97" s="2211"/>
      <c r="CD97" s="2211"/>
      <c r="CE97" s="2211"/>
      <c r="CF97" s="2211"/>
      <c r="CG97" s="2211"/>
      <c r="CH97" s="2212"/>
      <c r="CI97" s="2210" t="s">
        <v>29</v>
      </c>
      <c r="CJ97" s="2211"/>
      <c r="CK97" s="2211"/>
      <c r="CL97" s="2211"/>
      <c r="CM97" s="2211"/>
      <c r="CN97" s="2211"/>
      <c r="CO97" s="2211"/>
      <c r="CP97" s="2211"/>
      <c r="CQ97" s="2211"/>
      <c r="CR97" s="2211"/>
      <c r="CS97" s="2211"/>
      <c r="CT97" s="2211"/>
      <c r="CU97" s="2211"/>
      <c r="CV97" s="2211"/>
      <c r="CW97" s="2211"/>
      <c r="CX97" s="2211"/>
      <c r="CY97" s="2212"/>
      <c r="CZ97" s="2207" t="s">
        <v>30</v>
      </c>
      <c r="DA97" s="2208"/>
      <c r="DB97" s="2208"/>
      <c r="DC97" s="2208"/>
      <c r="DD97" s="2208"/>
      <c r="DE97" s="2208"/>
      <c r="DF97" s="2208"/>
      <c r="DG97" s="2208"/>
      <c r="DH97" s="2208"/>
      <c r="DI97" s="2208"/>
      <c r="DJ97" s="2208"/>
      <c r="DK97" s="2208"/>
      <c r="DL97" s="2208"/>
      <c r="DM97" s="2208"/>
      <c r="DN97" s="2208"/>
      <c r="DO97" s="2208"/>
      <c r="DP97" s="2209"/>
      <c r="DQ97" s="2207" t="s">
        <v>31</v>
      </c>
      <c r="DR97" s="2208"/>
      <c r="DS97" s="2208"/>
      <c r="DT97" s="2208"/>
      <c r="DU97" s="2208"/>
      <c r="DV97" s="2208"/>
      <c r="DW97" s="2208"/>
      <c r="DX97" s="2208"/>
      <c r="DY97" s="2208"/>
      <c r="DZ97" s="2208"/>
      <c r="EA97" s="2208"/>
      <c r="EB97" s="2208"/>
      <c r="EC97" s="2208"/>
      <c r="ED97" s="2208"/>
      <c r="EE97" s="2208"/>
      <c r="EF97" s="2208"/>
      <c r="EG97" s="2209"/>
      <c r="EH97" s="2210" t="s">
        <v>32</v>
      </c>
      <c r="EI97" s="2211"/>
      <c r="EJ97" s="2211"/>
      <c r="EK97" s="2211"/>
      <c r="EL97" s="2211"/>
      <c r="EM97" s="2211"/>
      <c r="EN97" s="2211"/>
      <c r="EO97" s="2211"/>
      <c r="EP97" s="2211"/>
      <c r="EQ97" s="2211"/>
      <c r="ER97" s="2211"/>
      <c r="ES97" s="2211"/>
      <c r="ET97" s="2211"/>
      <c r="EU97" s="2211"/>
      <c r="EV97" s="2211"/>
      <c r="EW97" s="2211"/>
      <c r="EX97" s="2212"/>
      <c r="EY97" s="2207" t="s">
        <v>33</v>
      </c>
      <c r="EZ97" s="2208"/>
      <c r="FA97" s="2208"/>
      <c r="FB97" s="2208"/>
      <c r="FC97" s="2208"/>
      <c r="FD97" s="2208"/>
      <c r="FE97" s="2208"/>
      <c r="FF97" s="2208"/>
      <c r="FG97" s="2208"/>
      <c r="FH97" s="2208"/>
      <c r="FI97" s="2208"/>
      <c r="FJ97" s="2208"/>
      <c r="FK97" s="2208"/>
      <c r="FL97" s="2208"/>
      <c r="FM97" s="2208"/>
      <c r="FN97" s="2208"/>
      <c r="FO97" s="2209"/>
      <c r="FP97" s="2207" t="s">
        <v>34</v>
      </c>
      <c r="FQ97" s="2208"/>
      <c r="FR97" s="2208"/>
      <c r="FS97" s="2208"/>
      <c r="FT97" s="2208"/>
      <c r="FU97" s="2208"/>
      <c r="FV97" s="2208"/>
      <c r="FW97" s="2208"/>
      <c r="FX97" s="2208"/>
      <c r="FY97" s="2208"/>
      <c r="FZ97" s="2208"/>
      <c r="GA97" s="2208"/>
      <c r="GB97" s="2208"/>
      <c r="GC97" s="2208"/>
      <c r="GD97" s="2208"/>
      <c r="GE97" s="2208"/>
      <c r="GF97" s="2209"/>
      <c r="GG97" s="2207" t="s">
        <v>35</v>
      </c>
      <c r="GH97" s="2208"/>
      <c r="GI97" s="2208"/>
      <c r="GJ97" s="2208"/>
      <c r="GK97" s="2208"/>
      <c r="GL97" s="2208"/>
      <c r="GM97" s="2208"/>
      <c r="GN97" s="2208"/>
      <c r="GO97" s="2208"/>
      <c r="GP97" s="2208"/>
      <c r="GQ97" s="2208"/>
      <c r="GR97" s="2208"/>
      <c r="GS97" s="2208"/>
      <c r="GT97" s="2208"/>
      <c r="GU97" s="2208"/>
      <c r="GV97" s="2208"/>
      <c r="GW97" s="2209"/>
      <c r="GX97" s="2207" t="s">
        <v>36</v>
      </c>
      <c r="GY97" s="2208"/>
      <c r="GZ97" s="2208"/>
      <c r="HA97" s="2208"/>
      <c r="HB97" s="2208"/>
      <c r="HC97" s="2208"/>
      <c r="HD97" s="2208"/>
      <c r="HE97" s="2208"/>
      <c r="HF97" s="2208"/>
      <c r="HG97" s="2208"/>
      <c r="HH97" s="2208"/>
      <c r="HI97" s="2208"/>
      <c r="HJ97" s="2208"/>
      <c r="HK97" s="2208"/>
      <c r="HL97" s="2208"/>
      <c r="HM97" s="2208"/>
      <c r="HN97" s="2209"/>
      <c r="HO97" s="2207" t="s">
        <v>37</v>
      </c>
      <c r="HP97" s="2208"/>
      <c r="HQ97" s="2208"/>
      <c r="HR97" s="2208"/>
      <c r="HS97" s="2208"/>
      <c r="HT97" s="2208"/>
      <c r="HU97" s="2208"/>
      <c r="HV97" s="2208"/>
      <c r="HW97" s="2208"/>
      <c r="HX97" s="2208"/>
      <c r="HY97" s="2208"/>
      <c r="HZ97" s="2208"/>
      <c r="IA97" s="2208"/>
      <c r="IB97" s="2208"/>
      <c r="IC97" s="2208"/>
      <c r="ID97" s="2208"/>
      <c r="IE97" s="2209"/>
      <c r="IF97" s="2207" t="s">
        <v>38</v>
      </c>
      <c r="IG97" s="2208"/>
      <c r="IH97" s="2208"/>
      <c r="II97" s="2208"/>
      <c r="IJ97" s="2208"/>
      <c r="IK97" s="2208"/>
      <c r="IL97" s="2208"/>
      <c r="IM97" s="2208"/>
      <c r="IN97" s="2208"/>
      <c r="IO97" s="2208"/>
      <c r="IP97" s="2208"/>
      <c r="IQ97" s="2208"/>
      <c r="IR97" s="2208"/>
      <c r="IS97" s="2208"/>
      <c r="IT97" s="2208"/>
      <c r="IU97" s="2208"/>
      <c r="IV97" s="2209"/>
      <c r="IW97" s="2207" t="s">
        <v>39</v>
      </c>
      <c r="IX97" s="2208"/>
      <c r="IY97" s="2208"/>
      <c r="IZ97" s="2208"/>
      <c r="JA97" s="2208"/>
      <c r="JB97" s="2208"/>
      <c r="JC97" s="2208"/>
      <c r="JD97" s="2208"/>
      <c r="JE97" s="2208"/>
      <c r="JF97" s="2208"/>
      <c r="JG97" s="2208"/>
      <c r="JH97" s="2208"/>
      <c r="JI97" s="2208"/>
      <c r="JJ97" s="2208"/>
      <c r="JK97" s="2208"/>
      <c r="JL97" s="2208"/>
      <c r="JM97" s="2209"/>
      <c r="JN97" s="2207" t="s">
        <v>40</v>
      </c>
      <c r="JO97" s="2208"/>
      <c r="JP97" s="2208"/>
      <c r="JQ97" s="2208"/>
      <c r="JR97" s="2208"/>
      <c r="JS97" s="2208"/>
      <c r="JT97" s="2208"/>
      <c r="JU97" s="2208"/>
      <c r="JV97" s="2208"/>
      <c r="JW97" s="2208"/>
      <c r="JX97" s="2208"/>
      <c r="JY97" s="2208"/>
      <c r="JZ97" s="2208"/>
      <c r="KA97" s="2208"/>
      <c r="KB97" s="2208"/>
      <c r="KC97" s="2208"/>
      <c r="KD97" s="2209"/>
      <c r="KE97" s="2207" t="s">
        <v>41</v>
      </c>
      <c r="KF97" s="2208"/>
      <c r="KG97" s="2208"/>
      <c r="KH97" s="2208"/>
      <c r="KI97" s="2208"/>
      <c r="KJ97" s="2208"/>
      <c r="KK97" s="2208"/>
      <c r="KL97" s="2208"/>
      <c r="KM97" s="2208"/>
      <c r="KN97" s="2208"/>
      <c r="KO97" s="2208"/>
      <c r="KP97" s="2208"/>
      <c r="KQ97" s="2208"/>
      <c r="KR97" s="2208"/>
      <c r="KS97" s="2208"/>
      <c r="KT97" s="2208"/>
      <c r="KU97" s="2209"/>
      <c r="KV97" s="2207" t="s">
        <v>42</v>
      </c>
      <c r="KW97" s="2208"/>
      <c r="KX97" s="2208"/>
      <c r="KY97" s="2208"/>
      <c r="KZ97" s="2208"/>
      <c r="LA97" s="2208"/>
      <c r="LB97" s="2208"/>
      <c r="LC97" s="2208"/>
      <c r="LD97" s="2208"/>
      <c r="LE97" s="2208"/>
      <c r="LF97" s="2208"/>
      <c r="LG97" s="2208"/>
      <c r="LH97" s="2208"/>
      <c r="LI97" s="2208"/>
      <c r="LJ97" s="2208"/>
      <c r="LK97" s="2208"/>
      <c r="LL97" s="2209"/>
      <c r="LM97" s="2207" t="s">
        <v>43</v>
      </c>
      <c r="LN97" s="2208"/>
      <c r="LO97" s="2208"/>
      <c r="LP97" s="2208"/>
      <c r="LQ97" s="2208"/>
      <c r="LR97" s="2208"/>
      <c r="LS97" s="2208"/>
      <c r="LT97" s="2208"/>
      <c r="LU97" s="2208"/>
      <c r="LV97" s="2208"/>
      <c r="LW97" s="2208"/>
      <c r="LX97" s="2208"/>
      <c r="LY97" s="2208"/>
      <c r="LZ97" s="2208"/>
      <c r="MA97" s="2208"/>
      <c r="MB97" s="2208"/>
      <c r="MC97" s="2209"/>
      <c r="MD97" s="2207" t="s">
        <v>44</v>
      </c>
      <c r="ME97" s="2208"/>
      <c r="MF97" s="2208"/>
      <c r="MG97" s="2208"/>
      <c r="MH97" s="2208"/>
      <c r="MI97" s="2208"/>
      <c r="MJ97" s="2208"/>
      <c r="MK97" s="2208"/>
      <c r="ML97" s="2208"/>
      <c r="MM97" s="2208"/>
      <c r="MN97" s="2208"/>
      <c r="MO97" s="2208"/>
      <c r="MP97" s="2208"/>
      <c r="MQ97" s="2208"/>
      <c r="MR97" s="2208"/>
      <c r="MS97" s="2208"/>
      <c r="MT97" s="2209"/>
      <c r="MU97" s="2210" t="s">
        <v>45</v>
      </c>
      <c r="MV97" s="2211"/>
      <c r="MW97" s="2211"/>
      <c r="MX97" s="2211"/>
      <c r="MY97" s="2211"/>
      <c r="MZ97" s="2211"/>
      <c r="NA97" s="2211"/>
      <c r="NB97" s="2211"/>
      <c r="NC97" s="2211"/>
      <c r="ND97" s="2211"/>
      <c r="NE97" s="2211"/>
      <c r="NF97" s="2211"/>
      <c r="NG97" s="2211"/>
      <c r="NH97" s="2211"/>
      <c r="NI97" s="2211"/>
      <c r="NJ97" s="2211"/>
      <c r="NK97" s="2212"/>
      <c r="NL97" s="2207" t="s">
        <v>46</v>
      </c>
      <c r="NM97" s="2208"/>
      <c r="NN97" s="2208"/>
      <c r="NO97" s="2208"/>
      <c r="NP97" s="2208"/>
      <c r="NQ97" s="2208"/>
      <c r="NR97" s="2208"/>
      <c r="NS97" s="2208"/>
      <c r="NT97" s="2208"/>
      <c r="NU97" s="2208"/>
      <c r="NV97" s="2208"/>
      <c r="NW97" s="2208"/>
      <c r="NX97" s="2208"/>
      <c r="NY97" s="2208"/>
      <c r="NZ97" s="2208"/>
      <c r="OA97" s="2208"/>
      <c r="OB97" s="2209"/>
      <c r="OC97" s="2210" t="s">
        <v>47</v>
      </c>
      <c r="OD97" s="2211"/>
      <c r="OE97" s="2211"/>
      <c r="OF97" s="2211"/>
      <c r="OG97" s="2211"/>
      <c r="OH97" s="2211"/>
      <c r="OI97" s="2211"/>
      <c r="OJ97" s="2211"/>
      <c r="OK97" s="2211"/>
      <c r="OL97" s="2211"/>
      <c r="OM97" s="2211"/>
      <c r="ON97" s="2211"/>
      <c r="OO97" s="2211"/>
      <c r="OP97" s="2211"/>
      <c r="OQ97" s="2211"/>
      <c r="OR97" s="2211"/>
      <c r="OS97" s="2212"/>
      <c r="OT97" s="2207" t="s">
        <v>48</v>
      </c>
      <c r="OU97" s="2208"/>
      <c r="OV97" s="2208"/>
      <c r="OW97" s="2208"/>
      <c r="OX97" s="2208"/>
      <c r="OY97" s="2208"/>
      <c r="OZ97" s="2208"/>
      <c r="PA97" s="2208"/>
      <c r="PB97" s="2208"/>
      <c r="PC97" s="2208"/>
      <c r="PD97" s="2208"/>
      <c r="PE97" s="2208"/>
      <c r="PF97" s="2208"/>
      <c r="PG97" s="2208"/>
      <c r="PH97" s="2208"/>
      <c r="PI97" s="2208"/>
      <c r="PJ97" s="2209"/>
      <c r="PK97" s="2207" t="s">
        <v>49</v>
      </c>
      <c r="PL97" s="2208"/>
      <c r="PM97" s="2208"/>
      <c r="PN97" s="2208"/>
      <c r="PO97" s="2208"/>
      <c r="PP97" s="2208"/>
      <c r="PQ97" s="2208"/>
      <c r="PR97" s="2208"/>
      <c r="PS97" s="2208"/>
      <c r="PT97" s="2208"/>
      <c r="PU97" s="2208"/>
      <c r="PV97" s="2208"/>
      <c r="PW97" s="2208"/>
      <c r="PX97" s="2208"/>
      <c r="PY97" s="2208"/>
      <c r="PZ97" s="2208"/>
      <c r="QA97" s="2209"/>
      <c r="QB97" s="2207" t="s">
        <v>50</v>
      </c>
      <c r="QC97" s="2208"/>
      <c r="QD97" s="2208"/>
      <c r="QE97" s="2208"/>
      <c r="QF97" s="2208"/>
      <c r="QG97" s="2208"/>
      <c r="QH97" s="2208"/>
      <c r="QI97" s="2208"/>
      <c r="QJ97" s="2208"/>
      <c r="QK97" s="2208"/>
      <c r="QL97" s="2208"/>
      <c r="QM97" s="2208"/>
      <c r="QN97" s="2208"/>
      <c r="QO97" s="2208"/>
      <c r="QP97" s="2208"/>
      <c r="QQ97" s="2208"/>
      <c r="QR97" s="2209"/>
      <c r="QS97" s="2207" t="s">
        <v>51</v>
      </c>
      <c r="QT97" s="2208"/>
      <c r="QU97" s="2208"/>
      <c r="QV97" s="2208"/>
      <c r="QW97" s="2208"/>
      <c r="QX97" s="2208"/>
      <c r="QY97" s="2208"/>
      <c r="QZ97" s="2208"/>
      <c r="RA97" s="2208"/>
      <c r="RB97" s="2208"/>
      <c r="RC97" s="2208"/>
      <c r="RD97" s="2208"/>
      <c r="RE97" s="2208"/>
      <c r="RF97" s="2208"/>
      <c r="RG97" s="2208"/>
      <c r="RH97" s="2208"/>
      <c r="RI97" s="2209"/>
      <c r="RJ97" s="2210" t="s">
        <v>52</v>
      </c>
      <c r="RK97" s="2211"/>
      <c r="RL97" s="2211"/>
      <c r="RM97" s="2211"/>
      <c r="RN97" s="2211"/>
      <c r="RO97" s="2211"/>
      <c r="RP97" s="2211"/>
      <c r="RQ97" s="2211"/>
      <c r="RR97" s="2211"/>
      <c r="RS97" s="2211"/>
      <c r="RT97" s="2211"/>
      <c r="RU97" s="2211"/>
      <c r="RV97" s="2211"/>
      <c r="RW97" s="2211"/>
      <c r="RX97" s="2211"/>
      <c r="RY97" s="2211"/>
      <c r="RZ97" s="2212"/>
      <c r="SA97" s="2210" t="s">
        <v>53</v>
      </c>
      <c r="SB97" s="2211"/>
      <c r="SC97" s="2211"/>
      <c r="SD97" s="2211"/>
      <c r="SE97" s="2211"/>
      <c r="SF97" s="2211"/>
      <c r="SG97" s="2211"/>
      <c r="SH97" s="2211"/>
      <c r="SI97" s="2211"/>
      <c r="SJ97" s="2211"/>
      <c r="SK97" s="2211"/>
      <c r="SL97" s="2211"/>
      <c r="SM97" s="2211"/>
      <c r="SN97" s="2211"/>
      <c r="SO97" s="2211"/>
      <c r="SP97" s="2211"/>
      <c r="SQ97" s="2212"/>
      <c r="SR97" s="2207" t="s">
        <v>54</v>
      </c>
      <c r="SS97" s="2208"/>
      <c r="ST97" s="2208"/>
      <c r="SU97" s="2208"/>
      <c r="SV97" s="2208"/>
      <c r="SW97" s="2208"/>
      <c r="SX97" s="2208"/>
      <c r="SY97" s="2208"/>
      <c r="SZ97" s="2208"/>
      <c r="TA97" s="2208"/>
      <c r="TB97" s="2208"/>
      <c r="TC97" s="2208"/>
      <c r="TD97" s="2208"/>
      <c r="TE97" s="2208"/>
      <c r="TF97" s="2208"/>
      <c r="TG97" s="2208"/>
      <c r="TH97" s="2209"/>
      <c r="TI97" s="2210" t="s">
        <v>55</v>
      </c>
      <c r="TJ97" s="2211"/>
      <c r="TK97" s="2211"/>
      <c r="TL97" s="2211"/>
      <c r="TM97" s="2211"/>
      <c r="TN97" s="2211"/>
      <c r="TO97" s="2211"/>
      <c r="TP97" s="2211"/>
      <c r="TQ97" s="2211"/>
      <c r="TR97" s="2211"/>
      <c r="TS97" s="2211"/>
      <c r="TT97" s="2211"/>
      <c r="TU97" s="2211"/>
      <c r="TV97" s="2211"/>
      <c r="TW97" s="2211"/>
      <c r="TX97" s="2211"/>
      <c r="TY97" s="2212"/>
    </row>
    <row r="98" spans="1:545" ht="30.75" thickBot="1" x14ac:dyDescent="0.3">
      <c r="A98" s="643" t="s">
        <v>56</v>
      </c>
      <c r="B98" s="644" t="s">
        <v>57</v>
      </c>
      <c r="C98" s="645" t="s">
        <v>58</v>
      </c>
      <c r="D98" s="645" t="s">
        <v>59</v>
      </c>
      <c r="E98" s="646" t="s">
        <v>264</v>
      </c>
      <c r="F98" s="645" t="s">
        <v>91</v>
      </c>
      <c r="G98" s="645" t="s">
        <v>92</v>
      </c>
      <c r="H98" s="645" t="s">
        <v>263</v>
      </c>
      <c r="I98" s="645" t="s">
        <v>60</v>
      </c>
      <c r="J98" s="646" t="s">
        <v>274</v>
      </c>
      <c r="K98" s="645" t="s">
        <v>94</v>
      </c>
      <c r="L98" s="645" t="s">
        <v>7</v>
      </c>
      <c r="M98" s="645" t="s">
        <v>8</v>
      </c>
      <c r="N98" s="645" t="s">
        <v>119</v>
      </c>
      <c r="O98" s="645" t="s">
        <v>97</v>
      </c>
      <c r="P98" s="99" t="s">
        <v>1046</v>
      </c>
      <c r="Q98" s="645" t="s">
        <v>95</v>
      </c>
      <c r="R98" s="647" t="s">
        <v>96</v>
      </c>
      <c r="S98" s="648" t="s">
        <v>57</v>
      </c>
      <c r="T98" s="645" t="s">
        <v>58</v>
      </c>
      <c r="U98" s="645" t="s">
        <v>59</v>
      </c>
      <c r="V98" s="646" t="s">
        <v>264</v>
      </c>
      <c r="W98" s="645" t="s">
        <v>91</v>
      </c>
      <c r="X98" s="645" t="s">
        <v>92</v>
      </c>
      <c r="Y98" s="645" t="s">
        <v>263</v>
      </c>
      <c r="Z98" s="645" t="s">
        <v>60</v>
      </c>
      <c r="AA98" s="646" t="s">
        <v>274</v>
      </c>
      <c r="AB98" s="645" t="s">
        <v>94</v>
      </c>
      <c r="AC98" s="645" t="s">
        <v>7</v>
      </c>
      <c r="AD98" s="646" t="s">
        <v>8</v>
      </c>
      <c r="AE98" s="645" t="s">
        <v>119</v>
      </c>
      <c r="AF98" s="645" t="s">
        <v>97</v>
      </c>
      <c r="AG98" s="99" t="s">
        <v>1046</v>
      </c>
      <c r="AH98" s="645" t="s">
        <v>95</v>
      </c>
      <c r="AI98" s="647" t="s">
        <v>96</v>
      </c>
      <c r="AJ98" s="644" t="s">
        <v>57</v>
      </c>
      <c r="AK98" s="645" t="s">
        <v>58</v>
      </c>
      <c r="AL98" s="645" t="s">
        <v>59</v>
      </c>
      <c r="AM98" s="646" t="s">
        <v>264</v>
      </c>
      <c r="AN98" s="645" t="s">
        <v>91</v>
      </c>
      <c r="AO98" s="645" t="s">
        <v>92</v>
      </c>
      <c r="AP98" s="645" t="s">
        <v>263</v>
      </c>
      <c r="AQ98" s="645" t="s">
        <v>60</v>
      </c>
      <c r="AR98" s="646" t="s">
        <v>274</v>
      </c>
      <c r="AS98" s="645" t="s">
        <v>94</v>
      </c>
      <c r="AT98" s="645" t="s">
        <v>7</v>
      </c>
      <c r="AU98" s="646" t="s">
        <v>8</v>
      </c>
      <c r="AV98" s="645" t="s">
        <v>119</v>
      </c>
      <c r="AW98" s="645" t="s">
        <v>97</v>
      </c>
      <c r="AX98" s="99" t="s">
        <v>1046</v>
      </c>
      <c r="AY98" s="645" t="s">
        <v>95</v>
      </c>
      <c r="AZ98" s="647" t="s">
        <v>96</v>
      </c>
      <c r="BA98" s="644" t="s">
        <v>57</v>
      </c>
      <c r="BB98" s="645" t="s">
        <v>58</v>
      </c>
      <c r="BC98" s="645" t="s">
        <v>59</v>
      </c>
      <c r="BD98" s="646" t="s">
        <v>264</v>
      </c>
      <c r="BE98" s="645" t="s">
        <v>91</v>
      </c>
      <c r="BF98" s="645" t="s">
        <v>92</v>
      </c>
      <c r="BG98" s="645" t="s">
        <v>263</v>
      </c>
      <c r="BH98" s="645" t="s">
        <v>60</v>
      </c>
      <c r="BI98" s="646" t="s">
        <v>274</v>
      </c>
      <c r="BJ98" s="99" t="s">
        <v>94</v>
      </c>
      <c r="BK98" s="645" t="s">
        <v>7</v>
      </c>
      <c r="BL98" s="646" t="s">
        <v>8</v>
      </c>
      <c r="BM98" s="645" t="s">
        <v>119</v>
      </c>
      <c r="BN98" s="645" t="s">
        <v>97</v>
      </c>
      <c r="BO98" s="99" t="s">
        <v>1046</v>
      </c>
      <c r="BP98" s="645" t="s">
        <v>95</v>
      </c>
      <c r="BQ98" s="647" t="s">
        <v>96</v>
      </c>
      <c r="BR98" s="644" t="s">
        <v>57</v>
      </c>
      <c r="BS98" s="645" t="s">
        <v>58</v>
      </c>
      <c r="BT98" s="645" t="s">
        <v>59</v>
      </c>
      <c r="BU98" s="646" t="s">
        <v>264</v>
      </c>
      <c r="BV98" s="645" t="s">
        <v>91</v>
      </c>
      <c r="BW98" s="645" t="s">
        <v>92</v>
      </c>
      <c r="BX98" s="645" t="s">
        <v>263</v>
      </c>
      <c r="BY98" s="645" t="s">
        <v>60</v>
      </c>
      <c r="BZ98" s="646" t="s">
        <v>274</v>
      </c>
      <c r="CA98" s="645" t="s">
        <v>94</v>
      </c>
      <c r="CB98" s="645" t="s">
        <v>7</v>
      </c>
      <c r="CC98" s="646" t="s">
        <v>8</v>
      </c>
      <c r="CD98" s="645" t="s">
        <v>119</v>
      </c>
      <c r="CE98" s="645" t="s">
        <v>97</v>
      </c>
      <c r="CF98" s="99" t="s">
        <v>1046</v>
      </c>
      <c r="CG98" s="645" t="s">
        <v>95</v>
      </c>
      <c r="CH98" s="647" t="s">
        <v>96</v>
      </c>
      <c r="CI98" s="644" t="s">
        <v>57</v>
      </c>
      <c r="CJ98" s="645" t="s">
        <v>58</v>
      </c>
      <c r="CK98" s="645" t="s">
        <v>59</v>
      </c>
      <c r="CL98" s="646" t="s">
        <v>264</v>
      </c>
      <c r="CM98" s="645" t="s">
        <v>91</v>
      </c>
      <c r="CN98" s="645" t="s">
        <v>92</v>
      </c>
      <c r="CO98" s="645" t="s">
        <v>263</v>
      </c>
      <c r="CP98" s="645" t="s">
        <v>60</v>
      </c>
      <c r="CQ98" s="646" t="s">
        <v>274</v>
      </c>
      <c r="CR98" s="645" t="s">
        <v>94</v>
      </c>
      <c r="CS98" s="645" t="s">
        <v>7</v>
      </c>
      <c r="CT98" s="646" t="s">
        <v>8</v>
      </c>
      <c r="CU98" s="645" t="s">
        <v>119</v>
      </c>
      <c r="CV98" s="645" t="s">
        <v>97</v>
      </c>
      <c r="CW98" s="99" t="s">
        <v>1046</v>
      </c>
      <c r="CX98" s="645" t="s">
        <v>95</v>
      </c>
      <c r="CY98" s="647" t="s">
        <v>96</v>
      </c>
      <c r="CZ98" s="644" t="s">
        <v>57</v>
      </c>
      <c r="DA98" s="645" t="s">
        <v>58</v>
      </c>
      <c r="DB98" s="645" t="s">
        <v>59</v>
      </c>
      <c r="DC98" s="646" t="s">
        <v>264</v>
      </c>
      <c r="DD98" s="645" t="s">
        <v>91</v>
      </c>
      <c r="DE98" s="645" t="s">
        <v>92</v>
      </c>
      <c r="DF98" s="645" t="s">
        <v>263</v>
      </c>
      <c r="DG98" s="645" t="s">
        <v>60</v>
      </c>
      <c r="DH98" s="646" t="s">
        <v>274</v>
      </c>
      <c r="DI98" s="645" t="s">
        <v>94</v>
      </c>
      <c r="DJ98" s="645" t="s">
        <v>7</v>
      </c>
      <c r="DK98" s="646" t="s">
        <v>8</v>
      </c>
      <c r="DL98" s="645" t="s">
        <v>119</v>
      </c>
      <c r="DM98" s="645" t="s">
        <v>97</v>
      </c>
      <c r="DN98" s="99" t="s">
        <v>1046</v>
      </c>
      <c r="DO98" s="645" t="s">
        <v>95</v>
      </c>
      <c r="DP98" s="647" t="s">
        <v>96</v>
      </c>
      <c r="DQ98" s="644" t="s">
        <v>57</v>
      </c>
      <c r="DR98" s="645" t="s">
        <v>58</v>
      </c>
      <c r="DS98" s="645" t="s">
        <v>59</v>
      </c>
      <c r="DT98" s="646" t="s">
        <v>264</v>
      </c>
      <c r="DU98" s="645" t="s">
        <v>91</v>
      </c>
      <c r="DV98" s="645" t="s">
        <v>92</v>
      </c>
      <c r="DW98" s="645" t="s">
        <v>263</v>
      </c>
      <c r="DX98" s="645" t="s">
        <v>60</v>
      </c>
      <c r="DY98" s="646" t="s">
        <v>274</v>
      </c>
      <c r="DZ98" s="645" t="s">
        <v>94</v>
      </c>
      <c r="EA98" s="645" t="s">
        <v>7</v>
      </c>
      <c r="EB98" s="646" t="s">
        <v>8</v>
      </c>
      <c r="EC98" s="645" t="s">
        <v>119</v>
      </c>
      <c r="ED98" s="645" t="s">
        <v>97</v>
      </c>
      <c r="EE98" s="99" t="s">
        <v>1046</v>
      </c>
      <c r="EF98" s="645" t="s">
        <v>95</v>
      </c>
      <c r="EG98" s="647" t="s">
        <v>96</v>
      </c>
      <c r="EH98" s="644" t="s">
        <v>57</v>
      </c>
      <c r="EI98" s="645" t="s">
        <v>58</v>
      </c>
      <c r="EJ98" s="645" t="s">
        <v>59</v>
      </c>
      <c r="EK98" s="646" t="s">
        <v>264</v>
      </c>
      <c r="EL98" s="645" t="s">
        <v>91</v>
      </c>
      <c r="EM98" s="645" t="s">
        <v>92</v>
      </c>
      <c r="EN98" s="645" t="s">
        <v>263</v>
      </c>
      <c r="EO98" s="645" t="s">
        <v>60</v>
      </c>
      <c r="EP98" s="646" t="s">
        <v>274</v>
      </c>
      <c r="EQ98" s="645" t="s">
        <v>94</v>
      </c>
      <c r="ER98" s="645" t="s">
        <v>7</v>
      </c>
      <c r="ES98" s="646" t="s">
        <v>8</v>
      </c>
      <c r="ET98" s="645" t="s">
        <v>119</v>
      </c>
      <c r="EU98" s="645" t="s">
        <v>97</v>
      </c>
      <c r="EV98" s="99" t="s">
        <v>1046</v>
      </c>
      <c r="EW98" s="645" t="s">
        <v>95</v>
      </c>
      <c r="EX98" s="647" t="s">
        <v>96</v>
      </c>
      <c r="EY98" s="644" t="s">
        <v>57</v>
      </c>
      <c r="EZ98" s="645" t="s">
        <v>58</v>
      </c>
      <c r="FA98" s="645" t="s">
        <v>59</v>
      </c>
      <c r="FB98" s="646" t="s">
        <v>264</v>
      </c>
      <c r="FC98" s="645" t="s">
        <v>91</v>
      </c>
      <c r="FD98" s="645" t="s">
        <v>92</v>
      </c>
      <c r="FE98" s="645" t="s">
        <v>263</v>
      </c>
      <c r="FF98" s="645" t="s">
        <v>60</v>
      </c>
      <c r="FG98" s="646" t="s">
        <v>274</v>
      </c>
      <c r="FH98" s="645" t="s">
        <v>94</v>
      </c>
      <c r="FI98" s="645" t="s">
        <v>7</v>
      </c>
      <c r="FJ98" s="646" t="s">
        <v>8</v>
      </c>
      <c r="FK98" s="645" t="s">
        <v>119</v>
      </c>
      <c r="FL98" s="645" t="s">
        <v>97</v>
      </c>
      <c r="FM98" s="99" t="s">
        <v>1046</v>
      </c>
      <c r="FN98" s="645" t="s">
        <v>95</v>
      </c>
      <c r="FO98" s="647" t="s">
        <v>96</v>
      </c>
      <c r="FP98" s="644" t="s">
        <v>57</v>
      </c>
      <c r="FQ98" s="645" t="s">
        <v>58</v>
      </c>
      <c r="FR98" s="645" t="s">
        <v>59</v>
      </c>
      <c r="FS98" s="646" t="s">
        <v>264</v>
      </c>
      <c r="FT98" s="645" t="s">
        <v>91</v>
      </c>
      <c r="FU98" s="645" t="s">
        <v>92</v>
      </c>
      <c r="FV98" s="645" t="s">
        <v>263</v>
      </c>
      <c r="FW98" s="645" t="s">
        <v>60</v>
      </c>
      <c r="FX98" s="646" t="s">
        <v>274</v>
      </c>
      <c r="FY98" s="645" t="s">
        <v>94</v>
      </c>
      <c r="FZ98" s="645" t="s">
        <v>7</v>
      </c>
      <c r="GA98" s="646" t="s">
        <v>8</v>
      </c>
      <c r="GB98" s="645" t="s">
        <v>119</v>
      </c>
      <c r="GC98" s="645" t="s">
        <v>97</v>
      </c>
      <c r="GD98" s="99" t="s">
        <v>1046</v>
      </c>
      <c r="GE98" s="645" t="s">
        <v>95</v>
      </c>
      <c r="GF98" s="647" t="s">
        <v>96</v>
      </c>
      <c r="GG98" s="644" t="s">
        <v>57</v>
      </c>
      <c r="GH98" s="645" t="s">
        <v>58</v>
      </c>
      <c r="GI98" s="645" t="s">
        <v>59</v>
      </c>
      <c r="GJ98" s="646" t="s">
        <v>264</v>
      </c>
      <c r="GK98" s="645" t="s">
        <v>91</v>
      </c>
      <c r="GL98" s="645" t="s">
        <v>92</v>
      </c>
      <c r="GM98" s="645" t="s">
        <v>263</v>
      </c>
      <c r="GN98" s="645" t="s">
        <v>60</v>
      </c>
      <c r="GO98" s="646" t="s">
        <v>274</v>
      </c>
      <c r="GP98" s="645" t="s">
        <v>94</v>
      </c>
      <c r="GQ98" s="645" t="s">
        <v>7</v>
      </c>
      <c r="GR98" s="646" t="s">
        <v>8</v>
      </c>
      <c r="GS98" s="645" t="s">
        <v>119</v>
      </c>
      <c r="GT98" s="645" t="s">
        <v>97</v>
      </c>
      <c r="GU98" s="99" t="s">
        <v>1046</v>
      </c>
      <c r="GV98" s="645" t="s">
        <v>95</v>
      </c>
      <c r="GW98" s="647" t="s">
        <v>96</v>
      </c>
      <c r="GX98" s="644" t="s">
        <v>57</v>
      </c>
      <c r="GY98" s="645" t="s">
        <v>58</v>
      </c>
      <c r="GZ98" s="645" t="s">
        <v>59</v>
      </c>
      <c r="HA98" s="646" t="s">
        <v>264</v>
      </c>
      <c r="HB98" s="645" t="s">
        <v>91</v>
      </c>
      <c r="HC98" s="645" t="s">
        <v>92</v>
      </c>
      <c r="HD98" s="645" t="s">
        <v>263</v>
      </c>
      <c r="HE98" s="645" t="s">
        <v>60</v>
      </c>
      <c r="HF98" s="646" t="s">
        <v>274</v>
      </c>
      <c r="HG98" s="645" t="s">
        <v>94</v>
      </c>
      <c r="HH98" s="645" t="s">
        <v>7</v>
      </c>
      <c r="HI98" s="646" t="s">
        <v>8</v>
      </c>
      <c r="HJ98" s="645" t="s">
        <v>119</v>
      </c>
      <c r="HK98" s="645" t="s">
        <v>97</v>
      </c>
      <c r="HL98" s="99" t="s">
        <v>1046</v>
      </c>
      <c r="HM98" s="645" t="s">
        <v>95</v>
      </c>
      <c r="HN98" s="647" t="s">
        <v>96</v>
      </c>
      <c r="HO98" s="644" t="s">
        <v>57</v>
      </c>
      <c r="HP98" s="645" t="s">
        <v>58</v>
      </c>
      <c r="HQ98" s="645" t="s">
        <v>59</v>
      </c>
      <c r="HR98" s="646" t="s">
        <v>264</v>
      </c>
      <c r="HS98" s="645" t="s">
        <v>91</v>
      </c>
      <c r="HT98" s="645" t="s">
        <v>92</v>
      </c>
      <c r="HU98" s="645" t="s">
        <v>263</v>
      </c>
      <c r="HV98" s="645" t="s">
        <v>60</v>
      </c>
      <c r="HW98" s="646" t="s">
        <v>274</v>
      </c>
      <c r="HX98" s="645" t="s">
        <v>94</v>
      </c>
      <c r="HY98" s="645" t="s">
        <v>7</v>
      </c>
      <c r="HZ98" s="646" t="s">
        <v>8</v>
      </c>
      <c r="IA98" s="645" t="s">
        <v>119</v>
      </c>
      <c r="IB98" s="645" t="s">
        <v>97</v>
      </c>
      <c r="IC98" s="99" t="s">
        <v>1046</v>
      </c>
      <c r="ID98" s="645" t="s">
        <v>95</v>
      </c>
      <c r="IE98" s="647" t="s">
        <v>96</v>
      </c>
      <c r="IF98" s="644" t="s">
        <v>57</v>
      </c>
      <c r="IG98" s="645" t="s">
        <v>58</v>
      </c>
      <c r="IH98" s="645" t="s">
        <v>59</v>
      </c>
      <c r="II98" s="646" t="s">
        <v>264</v>
      </c>
      <c r="IJ98" s="645" t="s">
        <v>91</v>
      </c>
      <c r="IK98" s="645" t="s">
        <v>92</v>
      </c>
      <c r="IL98" s="645" t="s">
        <v>263</v>
      </c>
      <c r="IM98" s="645" t="s">
        <v>60</v>
      </c>
      <c r="IN98" s="646" t="s">
        <v>274</v>
      </c>
      <c r="IO98" s="645" t="s">
        <v>94</v>
      </c>
      <c r="IP98" s="645" t="s">
        <v>7</v>
      </c>
      <c r="IQ98" s="646" t="s">
        <v>8</v>
      </c>
      <c r="IR98" s="645" t="s">
        <v>119</v>
      </c>
      <c r="IS98" s="645" t="s">
        <v>97</v>
      </c>
      <c r="IT98" s="99" t="s">
        <v>1046</v>
      </c>
      <c r="IU98" s="645" t="s">
        <v>95</v>
      </c>
      <c r="IV98" s="647" t="s">
        <v>96</v>
      </c>
      <c r="IW98" s="644" t="s">
        <v>57</v>
      </c>
      <c r="IX98" s="645" t="s">
        <v>58</v>
      </c>
      <c r="IY98" s="645" t="s">
        <v>59</v>
      </c>
      <c r="IZ98" s="646" t="s">
        <v>264</v>
      </c>
      <c r="JA98" s="645" t="s">
        <v>91</v>
      </c>
      <c r="JB98" s="645" t="s">
        <v>92</v>
      </c>
      <c r="JC98" s="645" t="s">
        <v>263</v>
      </c>
      <c r="JD98" s="645" t="s">
        <v>60</v>
      </c>
      <c r="JE98" s="646" t="s">
        <v>274</v>
      </c>
      <c r="JF98" s="645" t="s">
        <v>94</v>
      </c>
      <c r="JG98" s="645" t="s">
        <v>7</v>
      </c>
      <c r="JH98" s="646" t="s">
        <v>8</v>
      </c>
      <c r="JI98" s="645" t="s">
        <v>119</v>
      </c>
      <c r="JJ98" s="645" t="s">
        <v>97</v>
      </c>
      <c r="JK98" s="99" t="s">
        <v>1046</v>
      </c>
      <c r="JL98" s="645" t="s">
        <v>95</v>
      </c>
      <c r="JM98" s="647" t="s">
        <v>96</v>
      </c>
      <c r="JN98" s="644" t="s">
        <v>57</v>
      </c>
      <c r="JO98" s="645" t="s">
        <v>58</v>
      </c>
      <c r="JP98" s="645" t="s">
        <v>59</v>
      </c>
      <c r="JQ98" s="646" t="s">
        <v>264</v>
      </c>
      <c r="JR98" s="645" t="s">
        <v>91</v>
      </c>
      <c r="JS98" s="645" t="s">
        <v>92</v>
      </c>
      <c r="JT98" s="645" t="s">
        <v>263</v>
      </c>
      <c r="JU98" s="645" t="s">
        <v>60</v>
      </c>
      <c r="JV98" s="646" t="s">
        <v>274</v>
      </c>
      <c r="JW98" s="645" t="s">
        <v>94</v>
      </c>
      <c r="JX98" s="645" t="s">
        <v>7</v>
      </c>
      <c r="JY98" s="646" t="s">
        <v>8</v>
      </c>
      <c r="JZ98" s="645" t="s">
        <v>119</v>
      </c>
      <c r="KA98" s="645" t="s">
        <v>97</v>
      </c>
      <c r="KB98" s="99" t="s">
        <v>1046</v>
      </c>
      <c r="KC98" s="645" t="s">
        <v>95</v>
      </c>
      <c r="KD98" s="647" t="s">
        <v>96</v>
      </c>
      <c r="KE98" s="644" t="s">
        <v>57</v>
      </c>
      <c r="KF98" s="645" t="s">
        <v>58</v>
      </c>
      <c r="KG98" s="645" t="s">
        <v>59</v>
      </c>
      <c r="KH98" s="646" t="s">
        <v>264</v>
      </c>
      <c r="KI98" s="645" t="s">
        <v>91</v>
      </c>
      <c r="KJ98" s="645" t="s">
        <v>92</v>
      </c>
      <c r="KK98" s="645" t="s">
        <v>263</v>
      </c>
      <c r="KL98" s="645" t="s">
        <v>60</v>
      </c>
      <c r="KM98" s="646" t="s">
        <v>274</v>
      </c>
      <c r="KN98" s="645" t="s">
        <v>94</v>
      </c>
      <c r="KO98" s="645" t="s">
        <v>7</v>
      </c>
      <c r="KP98" s="646" t="s">
        <v>8</v>
      </c>
      <c r="KQ98" s="645" t="s">
        <v>119</v>
      </c>
      <c r="KR98" s="645" t="s">
        <v>97</v>
      </c>
      <c r="KS98" s="99" t="s">
        <v>1046</v>
      </c>
      <c r="KT98" s="645" t="s">
        <v>95</v>
      </c>
      <c r="KU98" s="647" t="s">
        <v>96</v>
      </c>
      <c r="KV98" s="644" t="s">
        <v>57</v>
      </c>
      <c r="KW98" s="645" t="s">
        <v>58</v>
      </c>
      <c r="KX98" s="645" t="s">
        <v>59</v>
      </c>
      <c r="KY98" s="646" t="s">
        <v>264</v>
      </c>
      <c r="KZ98" s="645" t="s">
        <v>91</v>
      </c>
      <c r="LA98" s="645" t="s">
        <v>92</v>
      </c>
      <c r="LB98" s="645" t="s">
        <v>263</v>
      </c>
      <c r="LC98" s="645" t="s">
        <v>60</v>
      </c>
      <c r="LD98" s="646" t="s">
        <v>274</v>
      </c>
      <c r="LE98" s="645" t="s">
        <v>94</v>
      </c>
      <c r="LF98" s="645" t="s">
        <v>7</v>
      </c>
      <c r="LG98" s="646" t="s">
        <v>8</v>
      </c>
      <c r="LH98" s="645" t="s">
        <v>119</v>
      </c>
      <c r="LI98" s="645" t="s">
        <v>97</v>
      </c>
      <c r="LJ98" s="99" t="s">
        <v>1046</v>
      </c>
      <c r="LK98" s="645" t="s">
        <v>95</v>
      </c>
      <c r="LL98" s="647" t="s">
        <v>96</v>
      </c>
      <c r="LM98" s="644" t="s">
        <v>57</v>
      </c>
      <c r="LN98" s="645" t="s">
        <v>58</v>
      </c>
      <c r="LO98" s="645" t="s">
        <v>59</v>
      </c>
      <c r="LP98" s="646" t="s">
        <v>264</v>
      </c>
      <c r="LQ98" s="645" t="s">
        <v>91</v>
      </c>
      <c r="LR98" s="645" t="s">
        <v>92</v>
      </c>
      <c r="LS98" s="645" t="s">
        <v>263</v>
      </c>
      <c r="LT98" s="645" t="s">
        <v>60</v>
      </c>
      <c r="LU98" s="646" t="s">
        <v>274</v>
      </c>
      <c r="LV98" s="645" t="s">
        <v>94</v>
      </c>
      <c r="LW98" s="645" t="s">
        <v>7</v>
      </c>
      <c r="LX98" s="646" t="s">
        <v>8</v>
      </c>
      <c r="LY98" s="645" t="s">
        <v>119</v>
      </c>
      <c r="LZ98" s="645" t="s">
        <v>97</v>
      </c>
      <c r="MA98" s="99" t="s">
        <v>1046</v>
      </c>
      <c r="MB98" s="645" t="s">
        <v>95</v>
      </c>
      <c r="MC98" s="647" t="s">
        <v>96</v>
      </c>
      <c r="MD98" s="644" t="s">
        <v>57</v>
      </c>
      <c r="ME98" s="645" t="s">
        <v>58</v>
      </c>
      <c r="MF98" s="645" t="s">
        <v>59</v>
      </c>
      <c r="MG98" s="646" t="s">
        <v>264</v>
      </c>
      <c r="MH98" s="645" t="s">
        <v>91</v>
      </c>
      <c r="MI98" s="645" t="s">
        <v>92</v>
      </c>
      <c r="MJ98" s="645" t="s">
        <v>263</v>
      </c>
      <c r="MK98" s="645" t="s">
        <v>60</v>
      </c>
      <c r="ML98" s="646" t="s">
        <v>274</v>
      </c>
      <c r="MM98" s="645" t="s">
        <v>94</v>
      </c>
      <c r="MN98" s="645" t="s">
        <v>7</v>
      </c>
      <c r="MO98" s="646" t="s">
        <v>8</v>
      </c>
      <c r="MP98" s="645" t="s">
        <v>119</v>
      </c>
      <c r="MQ98" s="645" t="s">
        <v>97</v>
      </c>
      <c r="MR98" s="99" t="s">
        <v>1046</v>
      </c>
      <c r="MS98" s="645" t="s">
        <v>95</v>
      </c>
      <c r="MT98" s="647" t="s">
        <v>96</v>
      </c>
      <c r="MU98" s="644" t="s">
        <v>57</v>
      </c>
      <c r="MV98" s="645" t="s">
        <v>58</v>
      </c>
      <c r="MW98" s="645" t="s">
        <v>59</v>
      </c>
      <c r="MX98" s="646" t="s">
        <v>264</v>
      </c>
      <c r="MY98" s="645" t="s">
        <v>91</v>
      </c>
      <c r="MZ98" s="645" t="s">
        <v>92</v>
      </c>
      <c r="NA98" s="645" t="s">
        <v>263</v>
      </c>
      <c r="NB98" s="645" t="s">
        <v>60</v>
      </c>
      <c r="NC98" s="646" t="s">
        <v>274</v>
      </c>
      <c r="ND98" s="645" t="s">
        <v>94</v>
      </c>
      <c r="NE98" s="645" t="s">
        <v>7</v>
      </c>
      <c r="NF98" s="646" t="s">
        <v>8</v>
      </c>
      <c r="NG98" s="645" t="s">
        <v>119</v>
      </c>
      <c r="NH98" s="645" t="s">
        <v>97</v>
      </c>
      <c r="NI98" s="99" t="s">
        <v>1046</v>
      </c>
      <c r="NJ98" s="645" t="s">
        <v>95</v>
      </c>
      <c r="NK98" s="647" t="s">
        <v>96</v>
      </c>
      <c r="NL98" s="644" t="s">
        <v>57</v>
      </c>
      <c r="NM98" s="645" t="s">
        <v>58</v>
      </c>
      <c r="NN98" s="646" t="s">
        <v>59</v>
      </c>
      <c r="NO98" s="646" t="s">
        <v>264</v>
      </c>
      <c r="NP98" s="645" t="s">
        <v>91</v>
      </c>
      <c r="NQ98" s="645" t="s">
        <v>92</v>
      </c>
      <c r="NR98" s="645" t="s">
        <v>263</v>
      </c>
      <c r="NS98" s="645" t="s">
        <v>60</v>
      </c>
      <c r="NT98" s="646" t="s">
        <v>274</v>
      </c>
      <c r="NU98" s="645" t="s">
        <v>94</v>
      </c>
      <c r="NV98" s="645" t="s">
        <v>7</v>
      </c>
      <c r="NW98" s="646" t="s">
        <v>8</v>
      </c>
      <c r="NX98" s="645" t="s">
        <v>119</v>
      </c>
      <c r="NY98" s="645" t="s">
        <v>97</v>
      </c>
      <c r="NZ98" s="99" t="s">
        <v>1046</v>
      </c>
      <c r="OA98" s="645" t="s">
        <v>95</v>
      </c>
      <c r="OB98" s="647" t="s">
        <v>96</v>
      </c>
      <c r="OC98" s="644" t="s">
        <v>57</v>
      </c>
      <c r="OD98" s="645" t="s">
        <v>58</v>
      </c>
      <c r="OE98" s="646" t="s">
        <v>59</v>
      </c>
      <c r="OF98" s="646" t="s">
        <v>264</v>
      </c>
      <c r="OG98" s="645" t="s">
        <v>91</v>
      </c>
      <c r="OH98" s="645" t="s">
        <v>92</v>
      </c>
      <c r="OI98" s="645" t="s">
        <v>263</v>
      </c>
      <c r="OJ98" s="645" t="s">
        <v>60</v>
      </c>
      <c r="OK98" s="646" t="s">
        <v>274</v>
      </c>
      <c r="OL98" s="645" t="s">
        <v>94</v>
      </c>
      <c r="OM98" s="645" t="s">
        <v>7</v>
      </c>
      <c r="ON98" s="646" t="s">
        <v>8</v>
      </c>
      <c r="OO98" s="645" t="s">
        <v>119</v>
      </c>
      <c r="OP98" s="645" t="s">
        <v>97</v>
      </c>
      <c r="OQ98" s="99" t="s">
        <v>1046</v>
      </c>
      <c r="OR98" s="645" t="s">
        <v>95</v>
      </c>
      <c r="OS98" s="647" t="s">
        <v>96</v>
      </c>
      <c r="OT98" s="644" t="s">
        <v>57</v>
      </c>
      <c r="OU98" s="645" t="s">
        <v>58</v>
      </c>
      <c r="OV98" s="646" t="s">
        <v>59</v>
      </c>
      <c r="OW98" s="646" t="s">
        <v>264</v>
      </c>
      <c r="OX98" s="645" t="s">
        <v>91</v>
      </c>
      <c r="OY98" s="645" t="s">
        <v>92</v>
      </c>
      <c r="OZ98" s="645" t="s">
        <v>263</v>
      </c>
      <c r="PA98" s="645" t="s">
        <v>60</v>
      </c>
      <c r="PB98" s="646" t="s">
        <v>274</v>
      </c>
      <c r="PC98" s="645" t="s">
        <v>94</v>
      </c>
      <c r="PD98" s="645" t="s">
        <v>7</v>
      </c>
      <c r="PE98" s="646" t="s">
        <v>8</v>
      </c>
      <c r="PF98" s="645" t="s">
        <v>119</v>
      </c>
      <c r="PG98" s="645" t="s">
        <v>97</v>
      </c>
      <c r="PH98" s="99" t="s">
        <v>1046</v>
      </c>
      <c r="PI98" s="645" t="s">
        <v>95</v>
      </c>
      <c r="PJ98" s="647" t="s">
        <v>96</v>
      </c>
      <c r="PK98" s="644" t="s">
        <v>57</v>
      </c>
      <c r="PL98" s="645" t="s">
        <v>58</v>
      </c>
      <c r="PM98" s="646" t="s">
        <v>59</v>
      </c>
      <c r="PN98" s="646" t="s">
        <v>264</v>
      </c>
      <c r="PO98" s="645" t="s">
        <v>91</v>
      </c>
      <c r="PP98" s="645" t="s">
        <v>92</v>
      </c>
      <c r="PQ98" s="645" t="s">
        <v>263</v>
      </c>
      <c r="PR98" s="645" t="s">
        <v>60</v>
      </c>
      <c r="PS98" s="646" t="s">
        <v>274</v>
      </c>
      <c r="PT98" s="645" t="s">
        <v>94</v>
      </c>
      <c r="PU98" s="645" t="s">
        <v>7</v>
      </c>
      <c r="PV98" s="646" t="s">
        <v>8</v>
      </c>
      <c r="PW98" s="645" t="s">
        <v>119</v>
      </c>
      <c r="PX98" s="645" t="s">
        <v>97</v>
      </c>
      <c r="PY98" s="99" t="s">
        <v>1046</v>
      </c>
      <c r="PZ98" s="645" t="s">
        <v>95</v>
      </c>
      <c r="QA98" s="647" t="s">
        <v>96</v>
      </c>
      <c r="QB98" s="644" t="s">
        <v>57</v>
      </c>
      <c r="QC98" s="645" t="s">
        <v>58</v>
      </c>
      <c r="QD98" s="646" t="s">
        <v>59</v>
      </c>
      <c r="QE98" s="646" t="s">
        <v>264</v>
      </c>
      <c r="QF98" s="645" t="s">
        <v>91</v>
      </c>
      <c r="QG98" s="645" t="s">
        <v>92</v>
      </c>
      <c r="QH98" s="645" t="s">
        <v>263</v>
      </c>
      <c r="QI98" s="645" t="s">
        <v>60</v>
      </c>
      <c r="QJ98" s="646" t="s">
        <v>274</v>
      </c>
      <c r="QK98" s="645" t="s">
        <v>94</v>
      </c>
      <c r="QL98" s="645" t="s">
        <v>7</v>
      </c>
      <c r="QM98" s="646" t="s">
        <v>8</v>
      </c>
      <c r="QN98" s="645" t="s">
        <v>119</v>
      </c>
      <c r="QO98" s="645" t="s">
        <v>97</v>
      </c>
      <c r="QP98" s="99" t="s">
        <v>1046</v>
      </c>
      <c r="QQ98" s="645" t="s">
        <v>95</v>
      </c>
      <c r="QR98" s="647" t="s">
        <v>96</v>
      </c>
      <c r="QS98" s="644" t="s">
        <v>57</v>
      </c>
      <c r="QT98" s="645" t="s">
        <v>58</v>
      </c>
      <c r="QU98" s="646" t="s">
        <v>59</v>
      </c>
      <c r="QV98" s="646" t="s">
        <v>264</v>
      </c>
      <c r="QW98" s="645" t="s">
        <v>91</v>
      </c>
      <c r="QX98" s="645" t="s">
        <v>92</v>
      </c>
      <c r="QY98" s="645" t="s">
        <v>263</v>
      </c>
      <c r="QZ98" s="645" t="s">
        <v>60</v>
      </c>
      <c r="RA98" s="646" t="s">
        <v>274</v>
      </c>
      <c r="RB98" s="645" t="s">
        <v>94</v>
      </c>
      <c r="RC98" s="645" t="s">
        <v>7</v>
      </c>
      <c r="RD98" s="646" t="s">
        <v>8</v>
      </c>
      <c r="RE98" s="645" t="s">
        <v>119</v>
      </c>
      <c r="RF98" s="645" t="s">
        <v>97</v>
      </c>
      <c r="RG98" s="99" t="s">
        <v>1046</v>
      </c>
      <c r="RH98" s="645" t="s">
        <v>95</v>
      </c>
      <c r="RI98" s="647" t="s">
        <v>96</v>
      </c>
      <c r="RJ98" s="644" t="s">
        <v>57</v>
      </c>
      <c r="RK98" s="645" t="s">
        <v>58</v>
      </c>
      <c r="RL98" s="646" t="s">
        <v>59</v>
      </c>
      <c r="RM98" s="646" t="s">
        <v>264</v>
      </c>
      <c r="RN98" s="645" t="s">
        <v>91</v>
      </c>
      <c r="RO98" s="645" t="s">
        <v>92</v>
      </c>
      <c r="RP98" s="645" t="s">
        <v>263</v>
      </c>
      <c r="RQ98" s="645" t="s">
        <v>60</v>
      </c>
      <c r="RR98" s="646" t="s">
        <v>274</v>
      </c>
      <c r="RS98" s="645" t="s">
        <v>94</v>
      </c>
      <c r="RT98" s="645" t="s">
        <v>7</v>
      </c>
      <c r="RU98" s="646" t="s">
        <v>8</v>
      </c>
      <c r="RV98" s="645" t="s">
        <v>119</v>
      </c>
      <c r="RW98" s="645" t="s">
        <v>97</v>
      </c>
      <c r="RX98" s="99" t="s">
        <v>1046</v>
      </c>
      <c r="RY98" s="645" t="s">
        <v>95</v>
      </c>
      <c r="RZ98" s="647" t="s">
        <v>96</v>
      </c>
      <c r="SA98" s="644" t="s">
        <v>57</v>
      </c>
      <c r="SB98" s="645" t="s">
        <v>58</v>
      </c>
      <c r="SC98" s="646" t="s">
        <v>59</v>
      </c>
      <c r="SD98" s="646" t="s">
        <v>264</v>
      </c>
      <c r="SE98" s="645" t="s">
        <v>91</v>
      </c>
      <c r="SF98" s="645" t="s">
        <v>92</v>
      </c>
      <c r="SG98" s="645" t="s">
        <v>263</v>
      </c>
      <c r="SH98" s="645" t="s">
        <v>60</v>
      </c>
      <c r="SI98" s="646" t="s">
        <v>274</v>
      </c>
      <c r="SJ98" s="645" t="s">
        <v>94</v>
      </c>
      <c r="SK98" s="645" t="s">
        <v>7</v>
      </c>
      <c r="SL98" s="646" t="s">
        <v>8</v>
      </c>
      <c r="SM98" s="645" t="s">
        <v>119</v>
      </c>
      <c r="SN98" s="645" t="s">
        <v>97</v>
      </c>
      <c r="SO98" s="99" t="s">
        <v>1046</v>
      </c>
      <c r="SP98" s="645" t="s">
        <v>95</v>
      </c>
      <c r="SQ98" s="647" t="s">
        <v>96</v>
      </c>
      <c r="SR98" s="644" t="s">
        <v>57</v>
      </c>
      <c r="SS98" s="645" t="s">
        <v>58</v>
      </c>
      <c r="ST98" s="646" t="s">
        <v>59</v>
      </c>
      <c r="SU98" s="646" t="s">
        <v>264</v>
      </c>
      <c r="SV98" s="645" t="s">
        <v>91</v>
      </c>
      <c r="SW98" s="645" t="s">
        <v>92</v>
      </c>
      <c r="SX98" s="645" t="s">
        <v>263</v>
      </c>
      <c r="SY98" s="645" t="s">
        <v>60</v>
      </c>
      <c r="SZ98" s="646" t="s">
        <v>274</v>
      </c>
      <c r="TA98" s="645" t="s">
        <v>94</v>
      </c>
      <c r="TB98" s="645" t="s">
        <v>7</v>
      </c>
      <c r="TC98" s="646" t="s">
        <v>8</v>
      </c>
      <c r="TD98" s="645" t="s">
        <v>119</v>
      </c>
      <c r="TE98" s="645" t="s">
        <v>97</v>
      </c>
      <c r="TF98" s="99" t="s">
        <v>1046</v>
      </c>
      <c r="TG98" s="645" t="s">
        <v>95</v>
      </c>
      <c r="TH98" s="647" t="s">
        <v>96</v>
      </c>
      <c r="TI98" s="644" t="s">
        <v>57</v>
      </c>
      <c r="TJ98" s="645" t="s">
        <v>58</v>
      </c>
      <c r="TK98" s="646" t="s">
        <v>59</v>
      </c>
      <c r="TL98" s="646" t="s">
        <v>264</v>
      </c>
      <c r="TM98" s="645" t="s">
        <v>91</v>
      </c>
      <c r="TN98" s="645" t="s">
        <v>92</v>
      </c>
      <c r="TO98" s="645" t="s">
        <v>263</v>
      </c>
      <c r="TP98" s="645" t="s">
        <v>60</v>
      </c>
      <c r="TQ98" s="646" t="s">
        <v>274</v>
      </c>
      <c r="TR98" s="645" t="s">
        <v>94</v>
      </c>
      <c r="TS98" s="645" t="s">
        <v>7</v>
      </c>
      <c r="TT98" s="646" t="s">
        <v>8</v>
      </c>
      <c r="TU98" s="645" t="s">
        <v>119</v>
      </c>
      <c r="TV98" s="645" t="s">
        <v>97</v>
      </c>
      <c r="TW98" s="99" t="s">
        <v>1046</v>
      </c>
      <c r="TX98" s="645" t="s">
        <v>95</v>
      </c>
      <c r="TY98" s="647" t="s">
        <v>96</v>
      </c>
    </row>
    <row r="99" spans="1:545" ht="15.75" customHeight="1" x14ac:dyDescent="0.25">
      <c r="A99" s="3464">
        <v>0.85</v>
      </c>
      <c r="B99" s="654"/>
      <c r="C99" s="655"/>
      <c r="D99" s="667"/>
      <c r="E99" s="651"/>
      <c r="F99" s="667"/>
      <c r="G99" s="663"/>
      <c r="H99" s="651"/>
      <c r="I99" s="652"/>
      <c r="J99" s="653"/>
      <c r="K99" s="599"/>
      <c r="L99" s="599"/>
      <c r="M99" s="657"/>
      <c r="N99" s="599"/>
      <c r="O99" s="599"/>
      <c r="P99" s="600"/>
      <c r="Q99" s="599"/>
      <c r="R99" s="658"/>
      <c r="S99" s="659"/>
      <c r="T99" s="660"/>
      <c r="U99" s="661"/>
      <c r="V99" s="651"/>
      <c r="W99" s="662"/>
      <c r="X99" s="663"/>
      <c r="Y99" s="651">
        <f>IF(AND(ABS(V99)&gt;=$F$42,ABS(V99)&lt;=$G$42),V99*$D$42,IF(AND(ABS(V99)&gt;=$F$43,ABS(V99)&lt;=$G$43),V99*$D$43,IF(AND(ABS(V99)&gt;=$F$44,ABS(V99)&lt;=$G$44),V99*$D$44,"rango cal. out")))</f>
        <v>0</v>
      </c>
      <c r="Z99" s="652" t="e">
        <f>((273.2+S99)*$F$32/((273.2+$F$31)*U99))</f>
        <v>#DIV/0!</v>
      </c>
      <c r="AA99" s="653" t="e">
        <f>Y99/W99*Z99*EXP(-LN(2)/10990*($F$88-X99))</f>
        <v>#DIV/0!</v>
      </c>
      <c r="AB99" s="599" t="e">
        <f>AA99-AVERAGE(AI94:AI95)</f>
        <v>#DIV/0!</v>
      </c>
      <c r="AC99" s="599" t="e">
        <f>ABS($B$33*AB99*3600)</f>
        <v>#DIV/0!</v>
      </c>
      <c r="AD99" s="657" t="e">
        <f>ABS($B$34*AB99*3600)</f>
        <v>#DIV/0!</v>
      </c>
      <c r="AE99" s="599" t="e">
        <f>AD99*$C$79</f>
        <v>#DIV/0!</v>
      </c>
      <c r="AF99" s="599" t="e">
        <f>AD99*$F$70</f>
        <v>#DIV/0!</v>
      </c>
      <c r="AG99" s="600" t="e">
        <f>AD99*$F$75</f>
        <v>#DIV/0!</v>
      </c>
      <c r="AH99" s="599" t="e">
        <f>AD99*$F$72</f>
        <v>#DIV/0!</v>
      </c>
      <c r="AI99" s="658" t="e">
        <f>AD99*$F$71</f>
        <v>#DIV/0!</v>
      </c>
      <c r="AJ99" s="664"/>
      <c r="AK99" s="660"/>
      <c r="AL99" s="661"/>
      <c r="AM99" s="651"/>
      <c r="AN99" s="662"/>
      <c r="AO99" s="663"/>
      <c r="AP99" s="651">
        <f>IF(AND(ABS(AM99)&gt;=$F$42,ABS(AM99)&lt;=$G$42),AM99*$D$42,IF(AND(ABS(AM99)&gt;=$F$43,ABS(AM99)&lt;=$G$43),AM99*$D$43,IF(AND(ABS(AM99)&gt;=$F$44,ABS(AM99)&lt;=$G$44),AM99*$D$44,"rango cal. out")))</f>
        <v>0</v>
      </c>
      <c r="AQ99" s="652" t="e">
        <f>((273.2+AJ99)*$F$32/((273.2+$F$31)*AL99))</f>
        <v>#DIV/0!</v>
      </c>
      <c r="AR99" s="653" t="e">
        <f>AP99/AN99*AQ99*EXP(-LN(2)/10990*($F$88-AO99))</f>
        <v>#DIV/0!</v>
      </c>
      <c r="AS99" s="599" t="e">
        <f>AR99-AVERAGE(AZ94:AZ95)</f>
        <v>#DIV/0!</v>
      </c>
      <c r="AT99" s="599" t="e">
        <f>ABS($B$33*AS99*3600)</f>
        <v>#DIV/0!</v>
      </c>
      <c r="AU99" s="657" t="e">
        <f>ABS($B$34*AS99*3600)</f>
        <v>#DIV/0!</v>
      </c>
      <c r="AV99" s="599" t="e">
        <f>AU99*$C$79</f>
        <v>#DIV/0!</v>
      </c>
      <c r="AW99" s="599" t="e">
        <f>AU99*$F$70</f>
        <v>#DIV/0!</v>
      </c>
      <c r="AX99" s="600" t="e">
        <f>AU99*$F$75</f>
        <v>#DIV/0!</v>
      </c>
      <c r="AY99" s="599" t="e">
        <f>AU99*$F$72</f>
        <v>#DIV/0!</v>
      </c>
      <c r="AZ99" s="658" t="e">
        <f>AU99*$F$71</f>
        <v>#DIV/0!</v>
      </c>
      <c r="BA99" s="664"/>
      <c r="BB99" s="660"/>
      <c r="BC99" s="661"/>
      <c r="BD99" s="651"/>
      <c r="BE99" s="662"/>
      <c r="BF99" s="663"/>
      <c r="BG99" s="651">
        <f>IF(AND(ABS(BD99)&gt;=$F$42,ABS(BD99)&lt;=$G$42),BD99*$D$42,IF(AND(ABS(BD99)&gt;=$F$43,ABS(BD99)&lt;=$G$43),BD99*$D$43,IF(AND(ABS(BD99)&gt;=$F$44,ABS(BD99)&lt;=$G$44),BD99*$D$44,"rango cal. out")))</f>
        <v>0</v>
      </c>
      <c r="BH99" s="652" t="e">
        <f>((273.2+BA99)*$F$32/((273.2+$F$31)*BC99))</f>
        <v>#DIV/0!</v>
      </c>
      <c r="BI99" s="653" t="e">
        <f>BG99/BE99*BH99*EXP(-LN(2)/10990*($F$88-BF99))</f>
        <v>#DIV/0!</v>
      </c>
      <c r="BJ99" s="599" t="e">
        <f>BI99-AVERAGE(BQ94:BQ95)</f>
        <v>#DIV/0!</v>
      </c>
      <c r="BK99" s="599" t="e">
        <f>ABS($B$33*BJ99*3600)</f>
        <v>#DIV/0!</v>
      </c>
      <c r="BL99" s="657" t="e">
        <f>ABS($B$34*BJ99*3600)</f>
        <v>#DIV/0!</v>
      </c>
      <c r="BM99" s="599" t="e">
        <f>BL99*$C$79</f>
        <v>#DIV/0!</v>
      </c>
      <c r="BN99" s="599" t="e">
        <f>BL99*$F$70</f>
        <v>#DIV/0!</v>
      </c>
      <c r="BO99" s="600" t="e">
        <f>BL99*$F$75</f>
        <v>#DIV/0!</v>
      </c>
      <c r="BP99" s="599" t="e">
        <f>BL99*$F$72</f>
        <v>#DIV/0!</v>
      </c>
      <c r="BQ99" s="658" t="e">
        <f>BL99*$F$71</f>
        <v>#DIV/0!</v>
      </c>
      <c r="BR99" s="664"/>
      <c r="BS99" s="660"/>
      <c r="BT99" s="661"/>
      <c r="BU99" s="651"/>
      <c r="BV99" s="662"/>
      <c r="BW99" s="663"/>
      <c r="BX99" s="651">
        <f>IF(AND(ABS(BU99)&gt;=$F$42,ABS(BU99)&lt;=$G$42),BU99*$D$42,IF(AND(ABS(BU99)&gt;=$F$43,ABS(BU99)&lt;=$G$43),BU99*$D$43,IF(AND(ABS(BU99)&gt;=$F$44,ABS(BU99)&lt;=$G$44),BU99*$D$44,"rango cal. out")))</f>
        <v>0</v>
      </c>
      <c r="BY99" s="652" t="e">
        <f>((273.2+BR99)*$F$32/((273.2+$F$31)*BT99))</f>
        <v>#DIV/0!</v>
      </c>
      <c r="BZ99" s="653" t="e">
        <f>BX99/BV99*BY99*EXP(-LN(2)/10990*($F$88-BW99))</f>
        <v>#DIV/0!</v>
      </c>
      <c r="CA99" s="599" t="e">
        <f>BZ99-AVERAGE(CH94:CH95)</f>
        <v>#DIV/0!</v>
      </c>
      <c r="CB99" s="599" t="e">
        <f>ABS($B$33*CA99*3600)</f>
        <v>#DIV/0!</v>
      </c>
      <c r="CC99" s="657" t="e">
        <f>ABS($B$34*CA99*3600)</f>
        <v>#DIV/0!</v>
      </c>
      <c r="CD99" s="599" t="e">
        <f>CC99*$C$79</f>
        <v>#DIV/0!</v>
      </c>
      <c r="CE99" s="599" t="e">
        <f>CC99*$F$70</f>
        <v>#DIV/0!</v>
      </c>
      <c r="CF99" s="600" t="e">
        <f>CC99*$F$75</f>
        <v>#DIV/0!</v>
      </c>
      <c r="CG99" s="599" t="e">
        <f>CC99*$F$72</f>
        <v>#DIV/0!</v>
      </c>
      <c r="CH99" s="658" t="e">
        <f>CC99*$F$71</f>
        <v>#DIV/0!</v>
      </c>
      <c r="CI99" s="664"/>
      <c r="CJ99" s="660"/>
      <c r="CK99" s="661"/>
      <c r="CL99" s="651"/>
      <c r="CM99" s="662"/>
      <c r="CN99" s="663"/>
      <c r="CO99" s="651">
        <f>IF(AND(ABS(CL99)&gt;=$F$42,ABS(CL99)&lt;=$G$42),CL99*$D$42,IF(AND(ABS(CL99)&gt;=$F$43,ABS(CL99)&lt;=$G$43),CL99*$D$43,IF(AND(ABS(CL99)&gt;=$F$44,ABS(CL99)&lt;=$G$44),CL99*$D$44,"rango cal. out")))</f>
        <v>0</v>
      </c>
      <c r="CP99" s="652" t="e">
        <f>((273.2+CI99)*$F$32/((273.2+$F$31)*CK99))</f>
        <v>#DIV/0!</v>
      </c>
      <c r="CQ99" s="653" t="e">
        <f>CO99/CM99*CP99*EXP(-LN(2)/10990*($F$88-CN99))</f>
        <v>#DIV/0!</v>
      </c>
      <c r="CR99" s="599" t="e">
        <f>CQ99-AVERAGE(CY94:CY95)</f>
        <v>#DIV/0!</v>
      </c>
      <c r="CS99" s="599" t="e">
        <f>ABS($B$33*CR99*3600)</f>
        <v>#DIV/0!</v>
      </c>
      <c r="CT99" s="657" t="e">
        <f>ABS($B$34*CR99*3600)</f>
        <v>#DIV/0!</v>
      </c>
      <c r="CU99" s="599" t="e">
        <f>CT99*$C$79</f>
        <v>#DIV/0!</v>
      </c>
      <c r="CV99" s="599" t="e">
        <f>CT99*$F$70</f>
        <v>#DIV/0!</v>
      </c>
      <c r="CW99" s="600" t="e">
        <f>CT99*$F$75</f>
        <v>#DIV/0!</v>
      </c>
      <c r="CX99" s="599" t="e">
        <f>CT99*$F$72</f>
        <v>#DIV/0!</v>
      </c>
      <c r="CY99" s="658" t="e">
        <f>CT99*$F$71</f>
        <v>#DIV/0!</v>
      </c>
      <c r="CZ99" s="664"/>
      <c r="DA99" s="660"/>
      <c r="DB99" s="661"/>
      <c r="DC99" s="651"/>
      <c r="DD99" s="662"/>
      <c r="DE99" s="663"/>
      <c r="DF99" s="651">
        <f>IF(AND(ABS(DC99)&gt;=$F$42,ABS(DC99)&lt;=$G$42),DC99*$D$42,IF(AND(ABS(DC99)&gt;=$F$43,ABS(DC99)&lt;=$G$43),DC99*$D$43,IF(AND(ABS(DC99)&gt;=$F$44,ABS(DC99)&lt;=$G$44),DC99*$D$44,"rango cal. out")))</f>
        <v>0</v>
      </c>
      <c r="DG99" s="652" t="e">
        <f>((273.2+CZ99)*$F$32/((273.2+$F$31)*DB99))</f>
        <v>#DIV/0!</v>
      </c>
      <c r="DH99" s="653" t="e">
        <f>DF99/DD99*DG99*EXP(-LN(2)/10990*($F$88-DE99))</f>
        <v>#DIV/0!</v>
      </c>
      <c r="DI99" s="599" t="e">
        <f>DH99-AVERAGE(DP94:DP95)</f>
        <v>#DIV/0!</v>
      </c>
      <c r="DJ99" s="599" t="e">
        <f>ABS($B$33*DI99*3600)</f>
        <v>#DIV/0!</v>
      </c>
      <c r="DK99" s="657" t="e">
        <f>ABS($B$34*DI99*3600)</f>
        <v>#DIV/0!</v>
      </c>
      <c r="DL99" s="599" t="e">
        <f>DK99*$C$79</f>
        <v>#DIV/0!</v>
      </c>
      <c r="DM99" s="599" t="e">
        <f>DK99*$F$70</f>
        <v>#DIV/0!</v>
      </c>
      <c r="DN99" s="600" t="e">
        <f>DK99*$F$75</f>
        <v>#DIV/0!</v>
      </c>
      <c r="DO99" s="599" t="e">
        <f>DK99*$F$72</f>
        <v>#DIV/0!</v>
      </c>
      <c r="DP99" s="658" t="e">
        <f>DK99*$F$71</f>
        <v>#DIV/0!</v>
      </c>
      <c r="DQ99" s="664"/>
      <c r="DR99" s="660"/>
      <c r="DS99" s="659"/>
      <c r="DT99" s="665"/>
      <c r="DU99" s="662"/>
      <c r="DV99" s="663"/>
      <c r="DW99" s="651">
        <f>IF(AND(ABS(DT99)&gt;=$F$42,ABS(DT99)&lt;=$G$42),DT99*$D$42,IF(AND(ABS(DT99)&gt;=$F$43,ABS(DT99)&lt;=$G$43),DT99*$D$43,IF(AND(ABS(DT99)&gt;=$F$44,ABS(DT99)&lt;=$G$44),DT99*$D$44,"rango cal. out")))</f>
        <v>0</v>
      </c>
      <c r="DX99" s="652" t="e">
        <f>((273.2+DQ99)*$F$32/((273.2+$F$31)*DS99))</f>
        <v>#DIV/0!</v>
      </c>
      <c r="DY99" s="653" t="e">
        <f>DW99/DU99*DX99*EXP(-LN(2)/10990*($F$88-DV99))</f>
        <v>#DIV/0!</v>
      </c>
      <c r="DZ99" s="599" t="e">
        <f>DY99-AVERAGE(EG94:EG95)</f>
        <v>#DIV/0!</v>
      </c>
      <c r="EA99" s="599" t="e">
        <f>ABS($B$33*DZ99*3600)</f>
        <v>#DIV/0!</v>
      </c>
      <c r="EB99" s="657" t="e">
        <f>ABS($B$34*DZ99*3600)</f>
        <v>#DIV/0!</v>
      </c>
      <c r="EC99" s="599" t="e">
        <f>EB99*$C$79</f>
        <v>#DIV/0!</v>
      </c>
      <c r="ED99" s="599" t="e">
        <f>EB99*$F$70</f>
        <v>#DIV/0!</v>
      </c>
      <c r="EE99" s="600" t="e">
        <f>EB99*$F$75</f>
        <v>#DIV/0!</v>
      </c>
      <c r="EF99" s="599" t="e">
        <f>EB99*$F$72</f>
        <v>#DIV/0!</v>
      </c>
      <c r="EG99" s="658" t="e">
        <f>EB99*$F$71</f>
        <v>#DIV/0!</v>
      </c>
      <c r="EH99" s="664"/>
      <c r="EI99" s="660"/>
      <c r="EJ99" s="661"/>
      <c r="EK99" s="651"/>
      <c r="EL99" s="662"/>
      <c r="EM99" s="663"/>
      <c r="EN99" s="651">
        <f>IF(AND(ABS(EK99)&gt;=$F$42,ABS(EK99)&lt;=$G$42),EK99*$D$42,IF(AND(ABS(EK99)&gt;=$F$43,ABS(EK99)&lt;=$G$43),EK99*$D$43,IF(AND(ABS(EK99)&gt;=$F$44,ABS(EK99)&lt;=$G$44),EK99*$D$44,"rango cal. out")))</f>
        <v>0</v>
      </c>
      <c r="EO99" s="652" t="e">
        <f>((273.2+EH99)*$F$32/((273.2+$F$31)*EJ99))</f>
        <v>#DIV/0!</v>
      </c>
      <c r="EP99" s="653" t="e">
        <f>EN99/EL99*EO99*EXP(-LN(2)/10990*($F$88-EM99))</f>
        <v>#DIV/0!</v>
      </c>
      <c r="EQ99" s="599" t="e">
        <f>EP99-AVERAGE(EX94:EX95)</f>
        <v>#DIV/0!</v>
      </c>
      <c r="ER99" s="599" t="e">
        <f>ABS($B$33*EQ99*3600)</f>
        <v>#DIV/0!</v>
      </c>
      <c r="ES99" s="657" t="e">
        <f>ABS($B$34*EQ99*3600)</f>
        <v>#DIV/0!</v>
      </c>
      <c r="ET99" s="599" t="e">
        <f>ES99*$C$79</f>
        <v>#DIV/0!</v>
      </c>
      <c r="EU99" s="599" t="e">
        <f>ES99*$F$70</f>
        <v>#DIV/0!</v>
      </c>
      <c r="EV99" s="600" t="e">
        <f>ES99*$F$75</f>
        <v>#DIV/0!</v>
      </c>
      <c r="EW99" s="599" t="e">
        <f>ES99*$F$72</f>
        <v>#DIV/0!</v>
      </c>
      <c r="EX99" s="658" t="e">
        <f>ES99*$F$71</f>
        <v>#DIV/0!</v>
      </c>
      <c r="EY99" s="664"/>
      <c r="EZ99" s="660"/>
      <c r="FA99" s="661"/>
      <c r="FB99" s="651"/>
      <c r="FC99" s="662"/>
      <c r="FD99" s="663"/>
      <c r="FE99" s="651">
        <f>IF(AND(ABS(FB99)&gt;=$F$42,ABS(FB99)&lt;=$G$42),FB99*$D$42,IF(AND(ABS(FB99)&gt;=$F$43,ABS(FB99)&lt;=$G$43),FB99*$D$43,IF(AND(ABS(FB99)&gt;=$F$44,ABS(FB99)&lt;=$G$44),FB99*$D$44,"rango cal. out")))</f>
        <v>0</v>
      </c>
      <c r="FF99" s="652" t="e">
        <f>((273.2+EY99)*$F$32/((273.2+$F$31)*FA99))</f>
        <v>#DIV/0!</v>
      </c>
      <c r="FG99" s="653" t="e">
        <f>FE99/FC99*FF99*EXP(-LN(2)/10990*($F$88-FD99))</f>
        <v>#DIV/0!</v>
      </c>
      <c r="FH99" s="599" t="e">
        <f>FG99-AVERAGE(FO94:FO95)</f>
        <v>#DIV/0!</v>
      </c>
      <c r="FI99" s="599" t="e">
        <f>ABS($B$33*FH99*3600)</f>
        <v>#DIV/0!</v>
      </c>
      <c r="FJ99" s="657" t="e">
        <f>ABS($B$34*FH99*3600)</f>
        <v>#DIV/0!</v>
      </c>
      <c r="FK99" s="599" t="e">
        <f>FJ99*$C$79</f>
        <v>#DIV/0!</v>
      </c>
      <c r="FL99" s="599" t="e">
        <f>FJ99*$F$70</f>
        <v>#DIV/0!</v>
      </c>
      <c r="FM99" s="600" t="e">
        <f>FJ99*$F$75</f>
        <v>#DIV/0!</v>
      </c>
      <c r="FN99" s="599" t="e">
        <f>FJ99*$F$72</f>
        <v>#DIV/0!</v>
      </c>
      <c r="FO99" s="658" t="e">
        <f>FJ99*$F$71</f>
        <v>#DIV/0!</v>
      </c>
      <c r="FP99" s="664"/>
      <c r="FQ99" s="660"/>
      <c r="FR99" s="661"/>
      <c r="FS99" s="651"/>
      <c r="FT99" s="662"/>
      <c r="FU99" s="663"/>
      <c r="FV99" s="651">
        <f>IF(AND(ABS(FS99)&gt;=$F$42,ABS(FS99)&lt;=$G$42),FS99*$D$42,IF(AND(ABS(FS99)&gt;=$F$43,ABS(FS99)&lt;=$G$43),FS99*$D$43,IF(AND(ABS(FS99)&gt;=$F$44,ABS(FS99)&lt;=$G$44),FS99*$D$44,"rango cal. out")))</f>
        <v>0</v>
      </c>
      <c r="FW99" s="652" t="e">
        <f>((273.2+FP99)*$F$32/((273.2+$F$31)*FR99))</f>
        <v>#DIV/0!</v>
      </c>
      <c r="FX99" s="653" t="e">
        <f>FV99/FT99*FW99*EXP(-LN(2)/10990*($F$88-FU99))</f>
        <v>#DIV/0!</v>
      </c>
      <c r="FY99" s="599" t="e">
        <f>FX99-AVERAGE(GF94:GF95)</f>
        <v>#DIV/0!</v>
      </c>
      <c r="FZ99" s="599" t="e">
        <f>ABS($B$33*FY99*3600)</f>
        <v>#DIV/0!</v>
      </c>
      <c r="GA99" s="657" t="e">
        <f>ABS($B$34*FY99*3600)</f>
        <v>#DIV/0!</v>
      </c>
      <c r="GB99" s="599" t="e">
        <f>GA99*$C$79</f>
        <v>#DIV/0!</v>
      </c>
      <c r="GC99" s="599" t="e">
        <f>GA99*$F$70</f>
        <v>#DIV/0!</v>
      </c>
      <c r="GD99" s="600" t="e">
        <f>GA99*$F$75</f>
        <v>#DIV/0!</v>
      </c>
      <c r="GE99" s="599" t="e">
        <f>GA99*$F$72</f>
        <v>#DIV/0!</v>
      </c>
      <c r="GF99" s="658" t="e">
        <f>GA99*$F$71</f>
        <v>#DIV/0!</v>
      </c>
      <c r="GG99" s="664"/>
      <c r="GH99" s="660"/>
      <c r="GI99" s="659"/>
      <c r="GJ99" s="665"/>
      <c r="GK99" s="662"/>
      <c r="GL99" s="663"/>
      <c r="GM99" s="651">
        <f>IF(AND(ABS(GJ99)&gt;=$F$42,ABS(GJ99)&lt;=$G$42),GJ99*$D$42,IF(AND(ABS(GJ99)&gt;=$F$43,ABS(GJ99)&lt;=$G$43),GJ99*$D$43,IF(AND(ABS(GJ99)&gt;=$F$44,ABS(GJ99)&lt;=$G$44),GJ99*$D$44,"rango cal. out")))</f>
        <v>0</v>
      </c>
      <c r="GN99" s="652" t="e">
        <f>((273.2+GG99)*$F$32/((273.2+$F$31)*GI99))</f>
        <v>#DIV/0!</v>
      </c>
      <c r="GO99" s="653" t="e">
        <f>GM99/GK99*GN99*EXP(-LN(2)/10990*($F$88-GL99))</f>
        <v>#DIV/0!</v>
      </c>
      <c r="GP99" s="599" t="e">
        <f>GO99-AVERAGE(GW94:GW95)</f>
        <v>#DIV/0!</v>
      </c>
      <c r="GQ99" s="599" t="e">
        <f>ABS($B$33*GP99*3600)</f>
        <v>#DIV/0!</v>
      </c>
      <c r="GR99" s="657" t="e">
        <f>ABS($B$34*GP99*3600)</f>
        <v>#DIV/0!</v>
      </c>
      <c r="GS99" s="599" t="e">
        <f>GR99*$C$79</f>
        <v>#DIV/0!</v>
      </c>
      <c r="GT99" s="599" t="e">
        <f>GR99*$F$70</f>
        <v>#DIV/0!</v>
      </c>
      <c r="GU99" s="600" t="e">
        <f>GR99*$F$75</f>
        <v>#DIV/0!</v>
      </c>
      <c r="GV99" s="599" t="e">
        <f>GR99*$F$72</f>
        <v>#DIV/0!</v>
      </c>
      <c r="GW99" s="658" t="e">
        <f>GR99*$F$71</f>
        <v>#DIV/0!</v>
      </c>
      <c r="GX99" s="664"/>
      <c r="GY99" s="660"/>
      <c r="GZ99" s="661"/>
      <c r="HA99" s="651"/>
      <c r="HB99" s="662"/>
      <c r="HC99" s="663"/>
      <c r="HD99" s="651">
        <f>IF(AND(ABS(HA99)&gt;=$F$42,ABS(HA99)&lt;=$G$42),HA99*$D$42,IF(AND(ABS(HA99)&gt;=$F$43,ABS(HA99)&lt;=$G$43),HA99*$D$43,IF(AND(ABS(HA99)&gt;=$F$44,ABS(HA99)&lt;=$G$44),HA99*$D$44,"rango cal. out")))</f>
        <v>0</v>
      </c>
      <c r="HE99" s="652" t="e">
        <f>((273.2+GX99)*$F$32/((273.2+$F$31)*GZ99))</f>
        <v>#DIV/0!</v>
      </c>
      <c r="HF99" s="653" t="e">
        <f>HD99/HB99*HE99*EXP(-LN(2)/10990*($F$88-HC99))</f>
        <v>#DIV/0!</v>
      </c>
      <c r="HG99" s="599" t="e">
        <f>HF99-AVERAGE(HN94:HN95)</f>
        <v>#DIV/0!</v>
      </c>
      <c r="HH99" s="599" t="e">
        <f>ABS($B$33*HG99*3600)</f>
        <v>#DIV/0!</v>
      </c>
      <c r="HI99" s="657" t="e">
        <f>ABS($B$34*HG99*3600)</f>
        <v>#DIV/0!</v>
      </c>
      <c r="HJ99" s="599" t="e">
        <f>HI99*$C$79</f>
        <v>#DIV/0!</v>
      </c>
      <c r="HK99" s="599" t="e">
        <f>HI99*$F$70</f>
        <v>#DIV/0!</v>
      </c>
      <c r="HL99" s="600" t="e">
        <f>HI99*$F$75</f>
        <v>#DIV/0!</v>
      </c>
      <c r="HM99" s="599" t="e">
        <f>HI99*$F$72</f>
        <v>#DIV/0!</v>
      </c>
      <c r="HN99" s="658" t="e">
        <f>HI99*$F$71</f>
        <v>#DIV/0!</v>
      </c>
      <c r="HO99" s="664"/>
      <c r="HP99" s="660"/>
      <c r="HQ99" s="661"/>
      <c r="HR99" s="651"/>
      <c r="HS99" s="662"/>
      <c r="HT99" s="663"/>
      <c r="HU99" s="651">
        <f>IF(AND(ABS(HR99)&gt;=$F$42,ABS(HR99)&lt;=$G$42),HR99*$D$42,IF(AND(ABS(HR99)&gt;=$F$43,ABS(HR99)&lt;=$G$43),HR99*$D$43,IF(AND(ABS(HR99)&gt;=$F$44,ABS(HR99)&lt;=$G$44),HR99*$D$44,"rango cal. out")))</f>
        <v>0</v>
      </c>
      <c r="HV99" s="652" t="e">
        <f>((273.2+HO99)*$F$32/((273.2+$F$31)*HQ99))</f>
        <v>#DIV/0!</v>
      </c>
      <c r="HW99" s="653" t="e">
        <f>HU99/HS99*HV99*EXP(-LN(2)/10990*($F$88-HT99))</f>
        <v>#DIV/0!</v>
      </c>
      <c r="HX99" s="599" t="e">
        <f>HW99-AVERAGE(IE94:IE95)</f>
        <v>#DIV/0!</v>
      </c>
      <c r="HY99" s="599" t="e">
        <f>ABS($B$33*HX99*3600)</f>
        <v>#DIV/0!</v>
      </c>
      <c r="HZ99" s="657" t="e">
        <f>ABS($B$34*HX99*3600)</f>
        <v>#DIV/0!</v>
      </c>
      <c r="IA99" s="599" t="e">
        <f>HZ99*$C$79</f>
        <v>#DIV/0!</v>
      </c>
      <c r="IB99" s="599" t="e">
        <f>HZ99*$F$70</f>
        <v>#DIV/0!</v>
      </c>
      <c r="IC99" s="600" t="e">
        <f>HZ99*$F$75</f>
        <v>#DIV/0!</v>
      </c>
      <c r="ID99" s="599" t="e">
        <f>HZ99*$F$72</f>
        <v>#DIV/0!</v>
      </c>
      <c r="IE99" s="658" t="e">
        <f>HZ99*$F$71</f>
        <v>#DIV/0!</v>
      </c>
      <c r="IF99" s="664"/>
      <c r="IG99" s="660"/>
      <c r="IH99" s="661"/>
      <c r="II99" s="651"/>
      <c r="IJ99" s="662"/>
      <c r="IK99" s="663"/>
      <c r="IL99" s="651">
        <f>IF(AND(ABS(II99)&gt;=$F$42,ABS(II99)&lt;=$G$42),II99*$D$42,IF(AND(ABS(II99)&gt;=$F$43,ABS(II99)&lt;=$G$43),II99*$D$43,IF(AND(ABS(II99)&gt;=$F$44,ABS(II99)&lt;=$G$44),II99*$D$44,"rango cal. out")))</f>
        <v>0</v>
      </c>
      <c r="IM99" s="652" t="e">
        <f>((273.2+IF99)*$F$32/((273.2+$F$31)*IH99))</f>
        <v>#DIV/0!</v>
      </c>
      <c r="IN99" s="653" t="e">
        <f>IL99/IJ99*IM99*EXP(-LN(2)/10990*($F$88-IK99))</f>
        <v>#DIV/0!</v>
      </c>
      <c r="IO99" s="599" t="e">
        <f>IN99-AVERAGE(IV94:IV95)</f>
        <v>#DIV/0!</v>
      </c>
      <c r="IP99" s="599" t="e">
        <f>ABS($B$33*IO99*3600)</f>
        <v>#DIV/0!</v>
      </c>
      <c r="IQ99" s="657" t="e">
        <f>ABS($B$34*IO99*3600)</f>
        <v>#DIV/0!</v>
      </c>
      <c r="IR99" s="599" t="e">
        <f>IQ99*$C$79</f>
        <v>#DIV/0!</v>
      </c>
      <c r="IS99" s="599" t="e">
        <f>IQ99*$F$70</f>
        <v>#DIV/0!</v>
      </c>
      <c r="IT99" s="600" t="e">
        <f>IQ99*$F$75</f>
        <v>#DIV/0!</v>
      </c>
      <c r="IU99" s="599" t="e">
        <f>IQ99*$F$72</f>
        <v>#DIV/0!</v>
      </c>
      <c r="IV99" s="658" t="e">
        <f>IQ99*$F$71</f>
        <v>#DIV/0!</v>
      </c>
      <c r="IW99" s="664"/>
      <c r="IX99" s="660"/>
      <c r="IY99" s="661"/>
      <c r="IZ99" s="651"/>
      <c r="JA99" s="662"/>
      <c r="JB99" s="663"/>
      <c r="JC99" s="651">
        <f>IF(AND(ABS(IZ99)&gt;=$F$42,ABS(IZ99)&lt;=$G$42),IZ99*$D$42,IF(AND(ABS(IZ99)&gt;=$F$43,ABS(IZ99)&lt;=$G$43),IZ99*$D$43,IF(AND(ABS(IZ99)&gt;=$F$44,ABS(IZ99)&lt;=$G$44),IZ99*$D$44,"rango cal. out")))</f>
        <v>0</v>
      </c>
      <c r="JD99" s="652" t="e">
        <f>((273.2+IW99)*$F$32/((273.2+$F$31)*IY99))</f>
        <v>#DIV/0!</v>
      </c>
      <c r="JE99" s="653" t="e">
        <f>JC99/JA99*JD99*EXP(-LN(2)/10990*($F$88-JB99))</f>
        <v>#DIV/0!</v>
      </c>
      <c r="JF99" s="599" t="e">
        <f>JE99-AVERAGE(JM94:JM95)</f>
        <v>#DIV/0!</v>
      </c>
      <c r="JG99" s="599" t="e">
        <f>ABS($B$33*JF99*3600)</f>
        <v>#DIV/0!</v>
      </c>
      <c r="JH99" s="657" t="e">
        <f>ABS($B$34*JF99*3600)</f>
        <v>#DIV/0!</v>
      </c>
      <c r="JI99" s="599" t="e">
        <f>JH99*$C$79</f>
        <v>#DIV/0!</v>
      </c>
      <c r="JJ99" s="599" t="e">
        <f>JH99*$F$70</f>
        <v>#DIV/0!</v>
      </c>
      <c r="JK99" s="600" t="e">
        <f>JH99*$F$75</f>
        <v>#DIV/0!</v>
      </c>
      <c r="JL99" s="599" t="e">
        <f>JH99*$F$72</f>
        <v>#DIV/0!</v>
      </c>
      <c r="JM99" s="658" t="e">
        <f>JH99*$F$71</f>
        <v>#DIV/0!</v>
      </c>
      <c r="JN99" s="664"/>
      <c r="JO99" s="660"/>
      <c r="JP99" s="661"/>
      <c r="JQ99" s="651"/>
      <c r="JR99" s="662"/>
      <c r="JS99" s="663"/>
      <c r="JT99" s="651">
        <f>IF(AND(ABS(JQ99)&gt;=$F$42,ABS(JQ99)&lt;=$G$42),JQ99*$D$42,IF(AND(ABS(JQ99)&gt;=$F$43,ABS(JQ99)&lt;=$G$43),JQ99*$D$43,IF(AND(ABS(JQ99)&gt;=$F$44,ABS(JQ99)&lt;=$G$44),JQ99*$D$44,"rango cal. out")))</f>
        <v>0</v>
      </c>
      <c r="JU99" s="652" t="e">
        <f>((273.2+JN99)*$F$32/((273.2+$F$31)*JP99))</f>
        <v>#DIV/0!</v>
      </c>
      <c r="JV99" s="653" t="e">
        <f>JT99/JR99*JU99*EXP(-LN(2)/10990*($F$88-JS99))</f>
        <v>#DIV/0!</v>
      </c>
      <c r="JW99" s="599" t="e">
        <f>JV99-AVERAGE(KD94:KD95)</f>
        <v>#DIV/0!</v>
      </c>
      <c r="JX99" s="599" t="e">
        <f>ABS($B$33*JW99*3600)</f>
        <v>#DIV/0!</v>
      </c>
      <c r="JY99" s="657" t="e">
        <f>ABS($B$34*JW99*3600)</f>
        <v>#DIV/0!</v>
      </c>
      <c r="JZ99" s="599" t="e">
        <f>JY99*$C$79</f>
        <v>#DIV/0!</v>
      </c>
      <c r="KA99" s="599" t="e">
        <f>JY99*$F$70</f>
        <v>#DIV/0!</v>
      </c>
      <c r="KB99" s="600" t="e">
        <f>JY99*$F$75</f>
        <v>#DIV/0!</v>
      </c>
      <c r="KC99" s="599" t="e">
        <f>JY99*$F$72</f>
        <v>#DIV/0!</v>
      </c>
      <c r="KD99" s="658" t="e">
        <f>JY99*$F$71</f>
        <v>#DIV/0!</v>
      </c>
      <c r="KE99" s="664"/>
      <c r="KF99" s="660"/>
      <c r="KG99" s="661"/>
      <c r="KH99" s="651"/>
      <c r="KI99" s="662"/>
      <c r="KJ99" s="663"/>
      <c r="KK99" s="651">
        <f>IF(AND(ABS(KH99)&gt;=$F$42,ABS(KH99)&lt;=$G$42),KH99*$D$42,IF(AND(ABS(KH99)&gt;=$F$43,ABS(KH99)&lt;=$G$43),KH99*$D$43,IF(AND(ABS(KH99)&gt;=$F$44,ABS(KH99)&lt;=$G$44),KH99*$D$44,"rango cal. out")))</f>
        <v>0</v>
      </c>
      <c r="KL99" s="652" t="e">
        <f>((273.2+KE99)*$F$32/((273.2+$F$31)*KG99))</f>
        <v>#DIV/0!</v>
      </c>
      <c r="KM99" s="653" t="e">
        <f>KK99/KI99*KL99*EXP(-LN(2)/10990*($F$88-KJ99))</f>
        <v>#DIV/0!</v>
      </c>
      <c r="KN99" s="599" t="e">
        <f>KM99-AVERAGE(KU94:KU95)</f>
        <v>#DIV/0!</v>
      </c>
      <c r="KO99" s="599" t="e">
        <f>ABS($B$33*KN99*3600)</f>
        <v>#DIV/0!</v>
      </c>
      <c r="KP99" s="657" t="e">
        <f>ABS($B$34*KN99*3600)</f>
        <v>#DIV/0!</v>
      </c>
      <c r="KQ99" s="599" t="e">
        <f>KP99*$C$79</f>
        <v>#DIV/0!</v>
      </c>
      <c r="KR99" s="599" t="e">
        <f>KP99*$F$70</f>
        <v>#DIV/0!</v>
      </c>
      <c r="KS99" s="600" t="e">
        <f>KP99*$F$75</f>
        <v>#DIV/0!</v>
      </c>
      <c r="KT99" s="599" t="e">
        <f>KP99*$F$72</f>
        <v>#DIV/0!</v>
      </c>
      <c r="KU99" s="658" t="e">
        <f>KP99*$F$71</f>
        <v>#DIV/0!</v>
      </c>
      <c r="KV99" s="664"/>
      <c r="KW99" s="660"/>
      <c r="KX99" s="661"/>
      <c r="KY99" s="651"/>
      <c r="KZ99" s="662"/>
      <c r="LA99" s="663"/>
      <c r="LB99" s="651">
        <f>IF(AND(ABS(KY99)&gt;=$F$42,ABS(KY99)&lt;=$G$42),KY99*$D$42,IF(AND(ABS(KY99)&gt;=$F$43,ABS(KY99)&lt;=$G$43),KY99*$D$43,IF(AND(ABS(KY99)&gt;=$F$44,ABS(KY99)&lt;=$G$44),KY99*$D$44,"rango cal. out")))</f>
        <v>0</v>
      </c>
      <c r="LC99" s="652" t="e">
        <f>((273.2+KV99)*$F$32/((273.2+$F$31)*KX99))</f>
        <v>#DIV/0!</v>
      </c>
      <c r="LD99" s="653" t="e">
        <f>LB99/KZ99*LC99*EXP(-LN(2)/10990*($F$88-LA99))</f>
        <v>#DIV/0!</v>
      </c>
      <c r="LE99" s="599" t="e">
        <f>LD99-AVERAGE(LL94:LL95)</f>
        <v>#DIV/0!</v>
      </c>
      <c r="LF99" s="599" t="e">
        <f>ABS($B$33*LE99*3600)</f>
        <v>#DIV/0!</v>
      </c>
      <c r="LG99" s="657" t="e">
        <f>ABS($B$34*LE99*3600)</f>
        <v>#DIV/0!</v>
      </c>
      <c r="LH99" s="599" t="e">
        <f>LG99*$C$79</f>
        <v>#DIV/0!</v>
      </c>
      <c r="LI99" s="599" t="e">
        <f>LG99*$F$70</f>
        <v>#DIV/0!</v>
      </c>
      <c r="LJ99" s="600" t="e">
        <f>LG99*$F$75</f>
        <v>#DIV/0!</v>
      </c>
      <c r="LK99" s="599" t="e">
        <f>LG99*$F$72</f>
        <v>#DIV/0!</v>
      </c>
      <c r="LL99" s="658" t="e">
        <f>LG99*$F$71</f>
        <v>#DIV/0!</v>
      </c>
      <c r="LM99" s="664"/>
      <c r="LN99" s="660"/>
      <c r="LO99" s="661"/>
      <c r="LP99" s="651"/>
      <c r="LQ99" s="662"/>
      <c r="LR99" s="663"/>
      <c r="LS99" s="651">
        <f>IF(AND(ABS(LP99)&gt;=$F$42,ABS(LP99)&lt;=$G$42),LP99*$D$42,IF(AND(ABS(LP99)&gt;=$F$43,ABS(LP99)&lt;=$G$43),LP99*$D$43,IF(AND(ABS(LP99)&gt;=$F$44,ABS(LP99)&lt;=$G$44),LP99*$D$44,"rango cal. out")))</f>
        <v>0</v>
      </c>
      <c r="LT99" s="652" t="e">
        <f>((273.2+LM99)*$F$32/((273.2+$F$31)*LO99))</f>
        <v>#DIV/0!</v>
      </c>
      <c r="LU99" s="653" t="e">
        <f>LS99/LQ99*LT99*EXP(-LN(2)/10990*($F$88-LR99))</f>
        <v>#DIV/0!</v>
      </c>
      <c r="LV99" s="599" t="e">
        <f>LU99-AVERAGE(MC94:MC95)</f>
        <v>#DIV/0!</v>
      </c>
      <c r="LW99" s="599" t="e">
        <f>ABS($B$33*LV99*3600)</f>
        <v>#DIV/0!</v>
      </c>
      <c r="LX99" s="657" t="e">
        <f>ABS($B$34*LV99*3600)</f>
        <v>#DIV/0!</v>
      </c>
      <c r="LY99" s="599" t="e">
        <f>LX99*$C$79</f>
        <v>#DIV/0!</v>
      </c>
      <c r="LZ99" s="599" t="e">
        <f>LX99*$F$70</f>
        <v>#DIV/0!</v>
      </c>
      <c r="MA99" s="600" t="e">
        <f>LX99*$F$75</f>
        <v>#DIV/0!</v>
      </c>
      <c r="MB99" s="599" t="e">
        <f>LX99*$F$72</f>
        <v>#DIV/0!</v>
      </c>
      <c r="MC99" s="658" t="e">
        <f>LX99*$F$71</f>
        <v>#DIV/0!</v>
      </c>
      <c r="MD99" s="664"/>
      <c r="ME99" s="660"/>
      <c r="MF99" s="666"/>
      <c r="MG99" s="651"/>
      <c r="MH99" s="667"/>
      <c r="MI99" s="663"/>
      <c r="MJ99" s="651">
        <f>IF(AND(ABS(MG99)&gt;=$F$42,ABS(MG99)&lt;=$G$42),MG99*$D$42,IF(AND(ABS(MG99)&gt;=$F$43,ABS(MG99)&lt;=$G$43),MG99*$D$43,IF(AND(ABS(MG99)&gt;=$F$44,ABS(MG99)&lt;=$G$44),MG99*$D$44,"rango cal. out")))</f>
        <v>0</v>
      </c>
      <c r="MK99" s="652" t="e">
        <f>((273.2+MD99)*$F$32/((273.2+$F$31)*MF99))</f>
        <v>#DIV/0!</v>
      </c>
      <c r="ML99" s="653" t="e">
        <f>MJ99/MH99*MK99*EXP(-LN(2)/10990*($F$88-MI99))</f>
        <v>#DIV/0!</v>
      </c>
      <c r="MM99" s="599" t="e">
        <f>ML99-AVERAGE(MT94:MT95)</f>
        <v>#DIV/0!</v>
      </c>
      <c r="MN99" s="599" t="e">
        <f>ABS($B$33*MM99*3600)</f>
        <v>#DIV/0!</v>
      </c>
      <c r="MO99" s="657" t="e">
        <f>ABS($B$34*MM99*3600)</f>
        <v>#DIV/0!</v>
      </c>
      <c r="MP99" s="599" t="e">
        <f>MO99*$C$79</f>
        <v>#DIV/0!</v>
      </c>
      <c r="MQ99" s="599" t="e">
        <f>MO99*$F$70</f>
        <v>#DIV/0!</v>
      </c>
      <c r="MR99" s="600" t="e">
        <f>MO99*$F$75</f>
        <v>#DIV/0!</v>
      </c>
      <c r="MS99" s="599" t="e">
        <f>MO99*$F$72</f>
        <v>#DIV/0!</v>
      </c>
      <c r="MT99" s="658" t="e">
        <f>MO99*$F$71</f>
        <v>#DIV/0!</v>
      </c>
      <c r="MU99" s="664"/>
      <c r="MV99" s="660"/>
      <c r="MW99" s="661"/>
      <c r="MX99" s="651"/>
      <c r="MY99" s="662"/>
      <c r="MZ99" s="663"/>
      <c r="NA99" s="651">
        <f>IF(AND(ABS(MX99)&gt;=$F$42,ABS(MX99)&lt;=$G$42),MX99*$D$42,IF(AND(ABS(MX99)&gt;=$F$43,ABS(MX99)&lt;=$G$43),MX99*$D$43,IF(AND(ABS(MX99)&gt;=$F$44,ABS(MX99)&lt;=$G$44),MX99*$D$44,"rango cal. out")))</f>
        <v>0</v>
      </c>
      <c r="NB99" s="652" t="e">
        <f>((273.2+MU99)*$F$32/((273.2+$F$31)*MW99))</f>
        <v>#DIV/0!</v>
      </c>
      <c r="NC99" s="653" t="e">
        <f>NA99/MY99*NB99*EXP(-LN(2)/10990*($F$88-MZ99))</f>
        <v>#DIV/0!</v>
      </c>
      <c r="ND99" s="599" t="e">
        <f>NC99-AVERAGE(NK94:NK95)</f>
        <v>#DIV/0!</v>
      </c>
      <c r="NE99" s="599" t="e">
        <f>ABS($B$33*ND99*3600)</f>
        <v>#DIV/0!</v>
      </c>
      <c r="NF99" s="657" t="e">
        <f>ABS($B$34*ND99*3600)</f>
        <v>#DIV/0!</v>
      </c>
      <c r="NG99" s="599" t="e">
        <f>NF99*$C$79</f>
        <v>#DIV/0!</v>
      </c>
      <c r="NH99" s="599" t="e">
        <f>NF99*$F$70</f>
        <v>#DIV/0!</v>
      </c>
      <c r="NI99" s="600" t="e">
        <f>NF99*$F$75</f>
        <v>#DIV/0!</v>
      </c>
      <c r="NJ99" s="599" t="e">
        <f>NF99*$F$72</f>
        <v>#DIV/0!</v>
      </c>
      <c r="NK99" s="658" t="e">
        <f>NF99*$F$71</f>
        <v>#DIV/0!</v>
      </c>
      <c r="NL99" s="664"/>
      <c r="NM99" s="660"/>
      <c r="NN99" s="661"/>
      <c r="NO99" s="651"/>
      <c r="NP99" s="662"/>
      <c r="NQ99" s="663"/>
      <c r="NR99" s="651">
        <f>IF(AND(ABS(NO99)&gt;=$F$42,ABS(NO99)&lt;=$G$42),NO99*$D$42,IF(AND(ABS(NO99)&gt;=$F$43,ABS(NO99)&lt;=$G$43),NO99*$D$43,IF(AND(ABS(NO99)&gt;=$F$44,ABS(NO99)&lt;=$G$44),NO99*$D$44,"rango cal. out")))</f>
        <v>0</v>
      </c>
      <c r="NS99" s="652" t="e">
        <f>((273.2+NL99)*$F$32/((273.2+$F$31)*NN99))</f>
        <v>#DIV/0!</v>
      </c>
      <c r="NT99" s="653" t="e">
        <f>NR99/NP99*NS99*EXP(-LN(2)/10990*($F$88-NQ99))</f>
        <v>#DIV/0!</v>
      </c>
      <c r="NU99" s="599" t="e">
        <f>NT99-AVERAGE(OB94:OB95)</f>
        <v>#DIV/0!</v>
      </c>
      <c r="NV99" s="599" t="e">
        <f>ABS($B$33*NU99*3600)</f>
        <v>#DIV/0!</v>
      </c>
      <c r="NW99" s="657" t="e">
        <f>ABS($B$34*NU99*3600)</f>
        <v>#DIV/0!</v>
      </c>
      <c r="NX99" s="599" t="e">
        <f>NW99*$C$79</f>
        <v>#DIV/0!</v>
      </c>
      <c r="NY99" s="599" t="e">
        <f>NW99*$F$70</f>
        <v>#DIV/0!</v>
      </c>
      <c r="NZ99" s="600" t="e">
        <f>NW99*$F$75</f>
        <v>#DIV/0!</v>
      </c>
      <c r="OA99" s="599" t="e">
        <f>NW99*$F$72</f>
        <v>#DIV/0!</v>
      </c>
      <c r="OB99" s="658" t="e">
        <f>NW99*$F$71</f>
        <v>#DIV/0!</v>
      </c>
      <c r="OC99" s="664"/>
      <c r="OD99" s="660"/>
      <c r="OE99" s="661"/>
      <c r="OF99" s="651"/>
      <c r="OG99" s="662"/>
      <c r="OH99" s="663"/>
      <c r="OI99" s="651">
        <f>IF(AND(ABS(OF99)&gt;=$F$42,ABS(OF99)&lt;=$G$42),OF99*$D$42,IF(AND(ABS(OF99)&gt;=$F$43,ABS(OF99)&lt;=$G$43),OF99*$D$43,IF(AND(ABS(OF99)&gt;=$F$44,ABS(OF99)&lt;=$G$44),OF99*$D$44,"rango cal. out")))</f>
        <v>0</v>
      </c>
      <c r="OJ99" s="652" t="e">
        <f>((273.2+OC99)*$F$32/((273.2+$F$31)*OE99))</f>
        <v>#DIV/0!</v>
      </c>
      <c r="OK99" s="653" t="e">
        <f>OI99/OG99*OJ99*EXP(-LN(2)/10990*($F$88-OH99))</f>
        <v>#DIV/0!</v>
      </c>
      <c r="OL99" s="599" t="e">
        <f>OK99-AVERAGE(OS94:OS95)</f>
        <v>#DIV/0!</v>
      </c>
      <c r="OM99" s="599" t="e">
        <f>ABS($B$33*OL99*3600)</f>
        <v>#DIV/0!</v>
      </c>
      <c r="ON99" s="657" t="e">
        <f>ABS($B$34*OL99*3600)</f>
        <v>#DIV/0!</v>
      </c>
      <c r="OO99" s="599" t="e">
        <f>ON99*$C$79</f>
        <v>#DIV/0!</v>
      </c>
      <c r="OP99" s="599" t="e">
        <f>ON99*$F$70</f>
        <v>#DIV/0!</v>
      </c>
      <c r="OQ99" s="600" t="e">
        <f>ON99*$F$75</f>
        <v>#DIV/0!</v>
      </c>
      <c r="OR99" s="599" t="e">
        <f>ON99*$F$72</f>
        <v>#DIV/0!</v>
      </c>
      <c r="OS99" s="658" t="e">
        <f>ON99*$F$71</f>
        <v>#DIV/0!</v>
      </c>
      <c r="OT99" s="664"/>
      <c r="OU99" s="660"/>
      <c r="OV99" s="661"/>
      <c r="OW99" s="651"/>
      <c r="OX99" s="662"/>
      <c r="OY99" s="663"/>
      <c r="OZ99" s="651">
        <f>IF(AND(ABS(OW99)&gt;=$F$42,ABS(OW99)&lt;=$G$42),OW99*$D$42,IF(AND(ABS(OW99)&gt;=$F$43,ABS(OW99)&lt;=$G$43),OW99*$D$43,IF(AND(ABS(OW99)&gt;=$F$44,ABS(OW99)&lt;=$G$44),OW99*$D$44,"rango cal. out")))</f>
        <v>0</v>
      </c>
      <c r="PA99" s="652" t="e">
        <f>((273.2+OT99)*$F$32/((273.2+$F$31)*OV99))</f>
        <v>#DIV/0!</v>
      </c>
      <c r="PB99" s="653" t="e">
        <f>OZ99/OX99*PA99*EXP(-LN(2)/10990*($F$88-OY99))</f>
        <v>#DIV/0!</v>
      </c>
      <c r="PC99" s="599" t="e">
        <f>PB99-AVERAGE(PJ94:PJ95)</f>
        <v>#DIV/0!</v>
      </c>
      <c r="PD99" s="599" t="e">
        <f>ABS($B$33*PC99*3600)</f>
        <v>#DIV/0!</v>
      </c>
      <c r="PE99" s="657" t="e">
        <f>ABS($B$34*PC99*3600)</f>
        <v>#DIV/0!</v>
      </c>
      <c r="PF99" s="599" t="e">
        <f>PE99*$C$79</f>
        <v>#DIV/0!</v>
      </c>
      <c r="PG99" s="599" t="e">
        <f>PE99*$F$70</f>
        <v>#DIV/0!</v>
      </c>
      <c r="PH99" s="600" t="e">
        <f>PE99*$F$75</f>
        <v>#DIV/0!</v>
      </c>
      <c r="PI99" s="599" t="e">
        <f>PE99*$F$72</f>
        <v>#DIV/0!</v>
      </c>
      <c r="PJ99" s="658" t="e">
        <f>PE99*$F$71</f>
        <v>#DIV/0!</v>
      </c>
      <c r="PK99" s="664"/>
      <c r="PL99" s="660"/>
      <c r="PM99" s="661"/>
      <c r="PN99" s="651"/>
      <c r="PO99" s="662"/>
      <c r="PP99" s="663"/>
      <c r="PQ99" s="651">
        <f>IF(AND(ABS(PN99)&gt;=$F$42,ABS(PN99)&lt;=$G$42),PN99*$D$42,IF(AND(ABS(PN99)&gt;=$F$43,ABS(PN99)&lt;=$G$43),PN99*$D$43,IF(AND(ABS(PN99)&gt;=$F$44,ABS(PN99)&lt;=$G$44),PN99*$D$44,"rango cal. out")))</f>
        <v>0</v>
      </c>
      <c r="PR99" s="652" t="e">
        <f>((273.2+PK99)*$F$32/((273.2+$F$31)*PM99))</f>
        <v>#DIV/0!</v>
      </c>
      <c r="PS99" s="653" t="e">
        <f>PQ99/PO99*PR99*EXP(-LN(2)/10990*($F$88-PP99))</f>
        <v>#DIV/0!</v>
      </c>
      <c r="PT99" s="599" t="e">
        <f>PS99-AVERAGE(QA94:QA95)</f>
        <v>#DIV/0!</v>
      </c>
      <c r="PU99" s="599" t="e">
        <f>ABS($B$33*PT99*3600)</f>
        <v>#DIV/0!</v>
      </c>
      <c r="PV99" s="657" t="e">
        <f>ABS($B$34*PT99*3600)</f>
        <v>#DIV/0!</v>
      </c>
      <c r="PW99" s="599" t="e">
        <f>PV99*$C$79</f>
        <v>#DIV/0!</v>
      </c>
      <c r="PX99" s="599" t="e">
        <f>PV99*$F$70</f>
        <v>#DIV/0!</v>
      </c>
      <c r="PY99" s="600" t="e">
        <f>PV99*$F$75</f>
        <v>#DIV/0!</v>
      </c>
      <c r="PZ99" s="599" t="e">
        <f>PV99*$F$72</f>
        <v>#DIV/0!</v>
      </c>
      <c r="QA99" s="658" t="e">
        <f>PV99*$F$71</f>
        <v>#DIV/0!</v>
      </c>
      <c r="QB99" s="664"/>
      <c r="QC99" s="660"/>
      <c r="QD99" s="661"/>
      <c r="QE99" s="651"/>
      <c r="QF99" s="667"/>
      <c r="QG99" s="663"/>
      <c r="QH99" s="651">
        <f>IF(AND(ABS(QE99)&gt;=$F$42,ABS(QE99)&lt;=$G$42),QE99*$D$42,IF(AND(ABS(QE99)&gt;=$F$43,ABS(QE99)&lt;=$G$43),QE99*$D$43,IF(AND(ABS(QE99)&gt;=$F$44,ABS(QE99)&lt;=$G$44),QE99*$D$44,"rango cal. out")))</f>
        <v>0</v>
      </c>
      <c r="QI99" s="652" t="e">
        <f>((273.2+QB99)*$F$32/((273.2+$F$31)*QD99))</f>
        <v>#DIV/0!</v>
      </c>
      <c r="QJ99" s="653" t="e">
        <f>QH99/QF99*QI99*EXP(-LN(2)/10990*($F$88-QG99))</f>
        <v>#DIV/0!</v>
      </c>
      <c r="QK99" s="599" t="e">
        <f>QJ99-AVERAGE(QR94:QR95)</f>
        <v>#DIV/0!</v>
      </c>
      <c r="QL99" s="599" t="e">
        <f>ABS($B$33*QK99*3600)</f>
        <v>#DIV/0!</v>
      </c>
      <c r="QM99" s="657" t="e">
        <f>ABS($B$34*QK99*3600)</f>
        <v>#DIV/0!</v>
      </c>
      <c r="QN99" s="599" t="e">
        <f>QM99*$C$79</f>
        <v>#DIV/0!</v>
      </c>
      <c r="QO99" s="599" t="e">
        <f>QM99*$F$70</f>
        <v>#DIV/0!</v>
      </c>
      <c r="QP99" s="600" t="e">
        <f>QM99*$F$75</f>
        <v>#DIV/0!</v>
      </c>
      <c r="QQ99" s="599" t="e">
        <f>QM99*$F$72</f>
        <v>#DIV/0!</v>
      </c>
      <c r="QR99" s="658" t="e">
        <f>QM99*$F$71</f>
        <v>#DIV/0!</v>
      </c>
      <c r="QS99" s="664"/>
      <c r="QT99" s="660"/>
      <c r="QU99" s="659"/>
      <c r="QV99" s="665"/>
      <c r="QW99" s="662"/>
      <c r="QX99" s="663"/>
      <c r="QY99" s="651">
        <f>IF(AND(ABS(QV99)&gt;=$F$42,ABS(QV99)&lt;=$G$42),QV99*$D$42,IF(AND(ABS(QV99)&gt;=$F$43,ABS(QV99)&lt;=$G$43),QV99*$D$43,IF(AND(ABS(QV99)&gt;=$F$44,ABS(QV99)&lt;=$G$44),QV99*$D$44,"rango cal. out")))</f>
        <v>0</v>
      </c>
      <c r="QZ99" s="652" t="e">
        <f>((273.2+QS99)*$F$32/((273.2+$F$31)*QU99))</f>
        <v>#DIV/0!</v>
      </c>
      <c r="RA99" s="653" t="e">
        <f>QY99/QW99*QZ99*EXP(-LN(2)/10990*($F$88-QX99))</f>
        <v>#DIV/0!</v>
      </c>
      <c r="RB99" s="599" t="e">
        <f>RA99-AVERAGE(RI94:RI95)</f>
        <v>#DIV/0!</v>
      </c>
      <c r="RC99" s="599" t="e">
        <f>ABS($B$33*RB99*3600)</f>
        <v>#DIV/0!</v>
      </c>
      <c r="RD99" s="657" t="e">
        <f>ABS($B$34*RB99*3600)</f>
        <v>#DIV/0!</v>
      </c>
      <c r="RE99" s="599" t="e">
        <f>RD99*$C$79</f>
        <v>#DIV/0!</v>
      </c>
      <c r="RF99" s="599" t="e">
        <f>RD99*$F$70</f>
        <v>#DIV/0!</v>
      </c>
      <c r="RG99" s="600" t="e">
        <f>RD99*$F$75</f>
        <v>#DIV/0!</v>
      </c>
      <c r="RH99" s="599" t="e">
        <f>RD99*$F$72</f>
        <v>#DIV/0!</v>
      </c>
      <c r="RI99" s="658" t="e">
        <f>RD99*$F$71</f>
        <v>#DIV/0!</v>
      </c>
      <c r="RJ99" s="664"/>
      <c r="RK99" s="660"/>
      <c r="RL99" s="661"/>
      <c r="RM99" s="651"/>
      <c r="RN99" s="662"/>
      <c r="RO99" s="663"/>
      <c r="RP99" s="651">
        <f>IF(AND(ABS(RM99)&gt;=$F$42,ABS(RM99)&lt;=$G$42),RM99*$D$42,IF(AND(ABS(RM99)&gt;=$F$43,ABS(RM99)&lt;=$G$43),RM99*$D$43,IF(AND(ABS(RM99)&gt;=$F$44,ABS(RM99)&lt;=$G$44),RM99*$D$44,"rango cal. out")))</f>
        <v>0</v>
      </c>
      <c r="RQ99" s="652" t="e">
        <f>((273.2+RJ99)*$F$32/((273.2+$F$31)*RL99))</f>
        <v>#DIV/0!</v>
      </c>
      <c r="RR99" s="653" t="e">
        <f>RP99/RN99*RQ99*EXP(-LN(2)/10990*($F$88-RO99))</f>
        <v>#DIV/0!</v>
      </c>
      <c r="RS99" s="599" t="e">
        <f>RR99-AVERAGE(RZ94:RZ95)</f>
        <v>#DIV/0!</v>
      </c>
      <c r="RT99" s="599" t="e">
        <f>ABS($B$33*RS99*3600)</f>
        <v>#DIV/0!</v>
      </c>
      <c r="RU99" s="657" t="e">
        <f>ABS($B$34*RS99*3600)</f>
        <v>#DIV/0!</v>
      </c>
      <c r="RV99" s="599" t="e">
        <f>RU99*$C$79</f>
        <v>#DIV/0!</v>
      </c>
      <c r="RW99" s="599" t="e">
        <f>RU99*$F$70</f>
        <v>#DIV/0!</v>
      </c>
      <c r="RX99" s="600" t="e">
        <f>RU99*$F$75</f>
        <v>#DIV/0!</v>
      </c>
      <c r="RY99" s="599" t="e">
        <f>RU99*$F$72</f>
        <v>#DIV/0!</v>
      </c>
      <c r="RZ99" s="658" t="e">
        <f>RU99*$F$71</f>
        <v>#DIV/0!</v>
      </c>
      <c r="SA99" s="664"/>
      <c r="SB99" s="660"/>
      <c r="SC99" s="661"/>
      <c r="SD99" s="649"/>
      <c r="SE99" s="662"/>
      <c r="SF99" s="663"/>
      <c r="SG99" s="651">
        <f>IF(AND(ABS(SD99)&gt;=$F$42,ABS(SD99)&lt;=$G$42),SD99*$D$42,IF(AND(ABS(SD99)&gt;=$F$43,ABS(SD99)&lt;=$G$43),SD99*$D$43,IF(AND(ABS(SD99)&gt;=$F$44,ABS(SD99)&lt;=$G$44),SD99*$D$44,"rango cal. out")))</f>
        <v>0</v>
      </c>
      <c r="SH99" s="652" t="e">
        <f>((273.2+SA99)*$F$32/((273.2+$F$31)*SC99))</f>
        <v>#DIV/0!</v>
      </c>
      <c r="SI99" s="653" t="e">
        <f>SG99/SE99*SH99*EXP(-LN(2)/10990*($F$88-SF99))</f>
        <v>#DIV/0!</v>
      </c>
      <c r="SJ99" s="599" t="e">
        <f>SI99-AVERAGE(SQ94:SQ95)</f>
        <v>#DIV/0!</v>
      </c>
      <c r="SK99" s="599" t="e">
        <f>ABS($B$33*SJ99*3600)</f>
        <v>#DIV/0!</v>
      </c>
      <c r="SL99" s="657" t="e">
        <f>ABS($B$34*SJ99*3600)</f>
        <v>#DIV/0!</v>
      </c>
      <c r="SM99" s="599" t="e">
        <f>SL99*$C$79</f>
        <v>#DIV/0!</v>
      </c>
      <c r="SN99" s="599" t="e">
        <f>SL99*$F$70</f>
        <v>#DIV/0!</v>
      </c>
      <c r="SO99" s="600" t="e">
        <f>SL99*$F$75</f>
        <v>#DIV/0!</v>
      </c>
      <c r="SP99" s="599" t="e">
        <f>SL99*$F$72</f>
        <v>#DIV/0!</v>
      </c>
      <c r="SQ99" s="658" t="e">
        <f>SL99*$F$71</f>
        <v>#DIV/0!</v>
      </c>
      <c r="SR99" s="664"/>
      <c r="SS99" s="660"/>
      <c r="ST99" s="661"/>
      <c r="SU99" s="651"/>
      <c r="SV99" s="662"/>
      <c r="SW99" s="663"/>
      <c r="SX99" s="651">
        <f>IF(AND(ABS(SU99)&gt;=$F$42,ABS(SU99)&lt;=$G$42),SU99*$D$42,IF(AND(ABS(SU99)&gt;=$F$43,ABS(SU99)&lt;=$G$43),SU99*$D$43,IF(AND(ABS(SU99)&gt;=$F$44,ABS(SU99)&lt;=$G$44),SU99*$D$44,"rango cal. out")))</f>
        <v>0</v>
      </c>
      <c r="SY99" s="652" t="e">
        <f>((273.2+SR99)*$F$32/((273.2+$F$31)*ST99))</f>
        <v>#DIV/0!</v>
      </c>
      <c r="SZ99" s="653" t="e">
        <f>SX99/SV99*SY99*EXP(-LN(2)/10990*($F$88-SW99))</f>
        <v>#DIV/0!</v>
      </c>
      <c r="TA99" s="599" t="e">
        <f>SZ99-AVERAGE(TH94:TH95)</f>
        <v>#DIV/0!</v>
      </c>
      <c r="TB99" s="599" t="e">
        <f>ABS($B$33*TA99*3600)</f>
        <v>#DIV/0!</v>
      </c>
      <c r="TC99" s="657" t="e">
        <f>ABS($B$34*TA99*3600)</f>
        <v>#DIV/0!</v>
      </c>
      <c r="TD99" s="599" t="e">
        <f>TC99*$C$79</f>
        <v>#DIV/0!</v>
      </c>
      <c r="TE99" s="599" t="e">
        <f>TC99*$F$70</f>
        <v>#DIV/0!</v>
      </c>
      <c r="TF99" s="600" t="e">
        <f>TC99*$F$75</f>
        <v>#DIV/0!</v>
      </c>
      <c r="TG99" s="599" t="e">
        <f>TC99*$F$72</f>
        <v>#DIV/0!</v>
      </c>
      <c r="TH99" s="658" t="e">
        <f>TC99*$F$71</f>
        <v>#DIV/0!</v>
      </c>
      <c r="TI99" s="664"/>
      <c r="TJ99" s="660"/>
      <c r="TK99" s="661"/>
      <c r="TL99" s="649"/>
      <c r="TM99" s="662"/>
      <c r="TN99" s="663"/>
      <c r="TO99" s="651">
        <f>IF(AND(ABS(TL99)&gt;=$F$42,ABS(TL99)&lt;=$G$42),TL99*$D$42,IF(AND(ABS(TL99)&gt;=$F$43,ABS(TL99)&lt;=$G$43),TL99*$D$43,IF(AND(ABS(TL99)&gt;=$F$44,ABS(TL99)&lt;=$G$44),TL99*$D$44,"rango cal. out")))</f>
        <v>0</v>
      </c>
      <c r="TP99" s="652" t="e">
        <f>((273.2+TI99)*$F$32/((273.2+$F$31)*TK99))</f>
        <v>#DIV/0!</v>
      </c>
      <c r="TQ99" s="653" t="e">
        <f>TO99/TM99*TP99*EXP(-LN(2)/10990*($F$88-TN99))</f>
        <v>#DIV/0!</v>
      </c>
      <c r="TR99" s="599" t="e">
        <f>TQ99-AVERAGE(TY94:TY95)</f>
        <v>#DIV/0!</v>
      </c>
      <c r="TS99" s="599" t="e">
        <f>ABS($B$33*TR99*3600)</f>
        <v>#DIV/0!</v>
      </c>
      <c r="TT99" s="657" t="e">
        <f>ABS($B$34*TR99*3600)</f>
        <v>#DIV/0!</v>
      </c>
      <c r="TU99" s="599" t="e">
        <f>TT99*$C$79</f>
        <v>#DIV/0!</v>
      </c>
      <c r="TV99" s="599" t="e">
        <f>TT99*$F$70</f>
        <v>#DIV/0!</v>
      </c>
      <c r="TW99" s="600" t="e">
        <f>TT99*$F$75</f>
        <v>#DIV/0!</v>
      </c>
      <c r="TX99" s="599" t="e">
        <f>TT99*$F$72</f>
        <v>#DIV/0!</v>
      </c>
      <c r="TY99" s="658" t="e">
        <f>TT99*$F$71</f>
        <v>#DIV/0!</v>
      </c>
    </row>
    <row r="100" spans="1:545" x14ac:dyDescent="0.25">
      <c r="A100" s="3465"/>
      <c r="B100" s="668"/>
      <c r="C100" s="673"/>
      <c r="D100" s="673"/>
      <c r="E100" s="671"/>
      <c r="F100" s="673"/>
      <c r="G100" s="650"/>
      <c r="H100" s="651"/>
      <c r="I100" s="619"/>
      <c r="J100" s="674"/>
      <c r="K100" s="599"/>
      <c r="L100" s="672"/>
      <c r="M100" s="675"/>
      <c r="N100" s="614"/>
      <c r="O100" s="672"/>
      <c r="P100" s="600"/>
      <c r="Q100" s="672"/>
      <c r="R100" s="676"/>
      <c r="S100" s="677"/>
      <c r="T100" s="669"/>
      <c r="U100" s="670"/>
      <c r="V100" s="671"/>
      <c r="W100" s="678"/>
      <c r="X100" s="650"/>
      <c r="Y100" s="651">
        <f t="shared" ref="Y100:Y103" si="63">IF(AND(ABS(V100)&gt;=$F$42,ABS(V100)&lt;=$G$42),V100*$D$42,IF(AND(ABS(V100)&gt;=$F$43,ABS(V100)&lt;=$G$43),V100*$D$43,IF(AND(ABS(V100)&gt;=$F$44,ABS(V100)&lt;=$G$44),V100*$D$44,"rango cal. out")))</f>
        <v>0</v>
      </c>
      <c r="Z100" s="619" t="e">
        <f>((273.2+S100)*$F$32/((273.2+$F$31)*U100))</f>
        <v>#DIV/0!</v>
      </c>
      <c r="AA100" s="674" t="e">
        <f>Y100/W100*Z100*EXP(-LN(2)/10990*($F$88-X100))</f>
        <v>#DIV/0!</v>
      </c>
      <c r="AB100" s="599" t="e">
        <f>AA100-AVERAGE(AI94:AI95)</f>
        <v>#DIV/0!</v>
      </c>
      <c r="AC100" s="672" t="e">
        <f>ABS($B$33*AB100*3600)</f>
        <v>#DIV/0!</v>
      </c>
      <c r="AD100" s="675" t="e">
        <f>ABS($B$34*AB100*3600)</f>
        <v>#DIV/0!</v>
      </c>
      <c r="AE100" s="614" t="e">
        <f>AD100*$C$79</f>
        <v>#DIV/0!</v>
      </c>
      <c r="AF100" s="672" t="e">
        <f>AD100*$F$70</f>
        <v>#DIV/0!</v>
      </c>
      <c r="AG100" s="599" t="e">
        <f>AD100*$F$75</f>
        <v>#DIV/0!</v>
      </c>
      <c r="AH100" s="672" t="e">
        <f>AD100*$F$72</f>
        <v>#DIV/0!</v>
      </c>
      <c r="AI100" s="676" t="e">
        <f>AD100*$F$71</f>
        <v>#DIV/0!</v>
      </c>
      <c r="AJ100" s="668"/>
      <c r="AK100" s="669"/>
      <c r="AL100" s="670"/>
      <c r="AM100" s="671"/>
      <c r="AN100" s="678"/>
      <c r="AO100" s="650"/>
      <c r="AP100" s="651">
        <f t="shared" ref="AP100:AP103" si="64">IF(AND(ABS(AM100)&gt;=$F$42,ABS(AM100)&lt;=$G$42),AM100*$D$42,IF(AND(ABS(AM100)&gt;=$F$43,ABS(AM100)&lt;=$G$43),AM100*$D$43,IF(AND(ABS(AM100)&gt;=$F$44,ABS(AM100)&lt;=$G$44),AM100*$D$44,"rango cal. out")))</f>
        <v>0</v>
      </c>
      <c r="AQ100" s="619" t="e">
        <f>((273.2+AJ100)*$F$32/((273.2+$F$31)*AL100))</f>
        <v>#DIV/0!</v>
      </c>
      <c r="AR100" s="674" t="e">
        <f>AP100/AN100*AQ100*EXP(-LN(2)/10990*($F$88-AO100))</f>
        <v>#DIV/0!</v>
      </c>
      <c r="AS100" s="599" t="e">
        <f>AR100-AVERAGE(AZ94:AZ95)</f>
        <v>#DIV/0!</v>
      </c>
      <c r="AT100" s="672" t="e">
        <f>ABS($B$33*AS100*3600)</f>
        <v>#DIV/0!</v>
      </c>
      <c r="AU100" s="675" t="e">
        <f>ABS($B$34*AS100*3600)</f>
        <v>#DIV/0!</v>
      </c>
      <c r="AV100" s="614" t="e">
        <f>AU100*$C$79</f>
        <v>#DIV/0!</v>
      </c>
      <c r="AW100" s="672" t="e">
        <f>AU100*$F$70</f>
        <v>#DIV/0!</v>
      </c>
      <c r="AX100" s="599" t="e">
        <f>AU100*$F$75</f>
        <v>#DIV/0!</v>
      </c>
      <c r="AY100" s="672" t="e">
        <f>AU100*$F$72</f>
        <v>#DIV/0!</v>
      </c>
      <c r="AZ100" s="676" t="e">
        <f>AU100*$F$71</f>
        <v>#DIV/0!</v>
      </c>
      <c r="BA100" s="668"/>
      <c r="BB100" s="669"/>
      <c r="BC100" s="670"/>
      <c r="BD100" s="671"/>
      <c r="BE100" s="678"/>
      <c r="BF100" s="650"/>
      <c r="BG100" s="651">
        <f t="shared" ref="BG100:BG103" si="65">IF(AND(ABS(BD100)&gt;=$F$42,ABS(BD100)&lt;=$G$42),BD100*$D$42,IF(AND(ABS(BD100)&gt;=$F$43,ABS(BD100)&lt;=$G$43),BD100*$D$43,IF(AND(ABS(BD100)&gt;=$F$44,ABS(BD100)&lt;=$G$44),BD100*$D$44,"rango cal. out")))</f>
        <v>0</v>
      </c>
      <c r="BH100" s="619" t="e">
        <f>((273.2+BA100)*$F$32/((273.2+$F$31)*BC100))</f>
        <v>#DIV/0!</v>
      </c>
      <c r="BI100" s="674" t="e">
        <f>BG100/BE100*BH100*EXP(-LN(2)/10990*($F$88-BF100))</f>
        <v>#DIV/0!</v>
      </c>
      <c r="BJ100" s="599" t="e">
        <f>BI100-AVERAGE(BQ94:BQ95)</f>
        <v>#DIV/0!</v>
      </c>
      <c r="BK100" s="672" t="e">
        <f>ABS($B$33*BJ100*3600)</f>
        <v>#DIV/0!</v>
      </c>
      <c r="BL100" s="675" t="e">
        <f>ABS($B$34*BJ100*3600)</f>
        <v>#DIV/0!</v>
      </c>
      <c r="BM100" s="614" t="e">
        <f>BL100*$C$79</f>
        <v>#DIV/0!</v>
      </c>
      <c r="BN100" s="672" t="e">
        <f>BL100*$F$70</f>
        <v>#DIV/0!</v>
      </c>
      <c r="BO100" s="599" t="e">
        <f>BL100*$F$75</f>
        <v>#DIV/0!</v>
      </c>
      <c r="BP100" s="672" t="e">
        <f>BL100*$F$72</f>
        <v>#DIV/0!</v>
      </c>
      <c r="BQ100" s="676" t="e">
        <f>BL100*$F$71</f>
        <v>#DIV/0!</v>
      </c>
      <c r="BR100" s="668"/>
      <c r="BS100" s="669"/>
      <c r="BT100" s="670"/>
      <c r="BU100" s="671"/>
      <c r="BV100" s="678"/>
      <c r="BW100" s="650"/>
      <c r="BX100" s="651">
        <f t="shared" ref="BX100:BX103" si="66">IF(AND(ABS(BU100)&gt;=$F$42,ABS(BU100)&lt;=$G$42),BU100*$D$42,IF(AND(ABS(BU100)&gt;=$F$43,ABS(BU100)&lt;=$G$43),BU100*$D$43,IF(AND(ABS(BU100)&gt;=$F$44,ABS(BU100)&lt;=$G$44),BU100*$D$44,"rango cal. out")))</f>
        <v>0</v>
      </c>
      <c r="BY100" s="619" t="e">
        <f>((273.2+BR100)*$F$32/((273.2+$F$31)*BT100))</f>
        <v>#DIV/0!</v>
      </c>
      <c r="BZ100" s="674" t="e">
        <f>BX100/BV100*BY100*EXP(-LN(2)/10990*($F$88-BW100))</f>
        <v>#DIV/0!</v>
      </c>
      <c r="CA100" s="599" t="e">
        <f>BZ100-AVERAGE(CH94:CH95)</f>
        <v>#DIV/0!</v>
      </c>
      <c r="CB100" s="672" t="e">
        <f>ABS($B$33*CA100*3600)</f>
        <v>#DIV/0!</v>
      </c>
      <c r="CC100" s="675" t="e">
        <f>ABS($B$34*CA100*3600)</f>
        <v>#DIV/0!</v>
      </c>
      <c r="CD100" s="614" t="e">
        <f>CC100*$C$79</f>
        <v>#DIV/0!</v>
      </c>
      <c r="CE100" s="672" t="e">
        <f>CC100*$F$70</f>
        <v>#DIV/0!</v>
      </c>
      <c r="CF100" s="599" t="e">
        <f>CC100*$F$75</f>
        <v>#DIV/0!</v>
      </c>
      <c r="CG100" s="672" t="e">
        <f>CC100*$F$72</f>
        <v>#DIV/0!</v>
      </c>
      <c r="CH100" s="676" t="e">
        <f>CC100*$F$71</f>
        <v>#DIV/0!</v>
      </c>
      <c r="CI100" s="668"/>
      <c r="CJ100" s="669"/>
      <c r="CK100" s="670"/>
      <c r="CL100" s="671"/>
      <c r="CM100" s="678"/>
      <c r="CN100" s="650"/>
      <c r="CO100" s="651">
        <f t="shared" ref="CO100:CO103" si="67">IF(AND(ABS(CL100)&gt;=$F$42,ABS(CL100)&lt;=$G$42),CL100*$D$42,IF(AND(ABS(CL100)&gt;=$F$43,ABS(CL100)&lt;=$G$43),CL100*$D$43,IF(AND(ABS(CL100)&gt;=$F$44,ABS(CL100)&lt;=$G$44),CL100*$D$44,"rango cal. out")))</f>
        <v>0</v>
      </c>
      <c r="CP100" s="619" t="e">
        <f>((273.2+CI100)*$F$32/((273.2+$F$31)*CK100))</f>
        <v>#DIV/0!</v>
      </c>
      <c r="CQ100" s="674" t="e">
        <f>CO100/CM100*CP100*EXP(-LN(2)/10990*($F$88-CN100))</f>
        <v>#DIV/0!</v>
      </c>
      <c r="CR100" s="599" t="e">
        <f>CQ100-AVERAGE(CY94:CY95)</f>
        <v>#DIV/0!</v>
      </c>
      <c r="CS100" s="672" t="e">
        <f>ABS($B$33*CR100*3600)</f>
        <v>#DIV/0!</v>
      </c>
      <c r="CT100" s="675" t="e">
        <f>ABS($B$34*CR100*3600)</f>
        <v>#DIV/0!</v>
      </c>
      <c r="CU100" s="614" t="e">
        <f>CT100*$C$79</f>
        <v>#DIV/0!</v>
      </c>
      <c r="CV100" s="672" t="e">
        <f>CT100*$F$70</f>
        <v>#DIV/0!</v>
      </c>
      <c r="CW100" s="599" t="e">
        <f>CT100*$F$75</f>
        <v>#DIV/0!</v>
      </c>
      <c r="CX100" s="672" t="e">
        <f>CT100*$F$72</f>
        <v>#DIV/0!</v>
      </c>
      <c r="CY100" s="676" t="e">
        <f>CT100*$F$71</f>
        <v>#DIV/0!</v>
      </c>
      <c r="CZ100" s="668"/>
      <c r="DA100" s="669"/>
      <c r="DB100" s="670"/>
      <c r="DC100" s="671"/>
      <c r="DD100" s="678"/>
      <c r="DE100" s="650"/>
      <c r="DF100" s="651">
        <f t="shared" ref="DF100:DF103" si="68">IF(AND(ABS(DC100)&gt;=$F$42,ABS(DC100)&lt;=$G$42),DC100*$D$42,IF(AND(ABS(DC100)&gt;=$F$43,ABS(DC100)&lt;=$G$43),DC100*$D$43,IF(AND(ABS(DC100)&gt;=$F$44,ABS(DC100)&lt;=$G$44),DC100*$D$44,"rango cal. out")))</f>
        <v>0</v>
      </c>
      <c r="DG100" s="619" t="e">
        <f>((273.2+CZ100)*$F$32/((273.2+$F$31)*DB100))</f>
        <v>#DIV/0!</v>
      </c>
      <c r="DH100" s="674" t="e">
        <f>DF100/DD100*DG100*EXP(-LN(2)/10990*($F$88-DE100))</f>
        <v>#DIV/0!</v>
      </c>
      <c r="DI100" s="599" t="e">
        <f>DH100-AVERAGE(DP94:DP95)</f>
        <v>#DIV/0!</v>
      </c>
      <c r="DJ100" s="672" t="e">
        <f>ABS($B$33*DI100*3600)</f>
        <v>#DIV/0!</v>
      </c>
      <c r="DK100" s="675" t="e">
        <f>ABS($B$34*DI100*3600)</f>
        <v>#DIV/0!</v>
      </c>
      <c r="DL100" s="614" t="e">
        <f>DK100*$C$79</f>
        <v>#DIV/0!</v>
      </c>
      <c r="DM100" s="672" t="e">
        <f>DK100*$F$70</f>
        <v>#DIV/0!</v>
      </c>
      <c r="DN100" s="599" t="e">
        <f>DK100*$F$75</f>
        <v>#DIV/0!</v>
      </c>
      <c r="DO100" s="672" t="e">
        <f>DK100*$F$72</f>
        <v>#DIV/0!</v>
      </c>
      <c r="DP100" s="676" t="e">
        <f>DK100*$F$71</f>
        <v>#DIV/0!</v>
      </c>
      <c r="DQ100" s="668"/>
      <c r="DR100" s="669"/>
      <c r="DS100" s="677"/>
      <c r="DT100" s="679"/>
      <c r="DU100" s="678"/>
      <c r="DV100" s="650"/>
      <c r="DW100" s="651">
        <f t="shared" ref="DW100:DW103" si="69">IF(AND(ABS(DT100)&gt;=$F$42,ABS(DT100)&lt;=$G$42),DT100*$D$42,IF(AND(ABS(DT100)&gt;=$F$43,ABS(DT100)&lt;=$G$43),DT100*$D$43,IF(AND(ABS(DT100)&gt;=$F$44,ABS(DT100)&lt;=$G$44),DT100*$D$44,"rango cal. out")))</f>
        <v>0</v>
      </c>
      <c r="DX100" s="619" t="e">
        <f>((273.2+DQ100)*$F$32/((273.2+$F$31)*DS100))</f>
        <v>#DIV/0!</v>
      </c>
      <c r="DY100" s="674" t="e">
        <f>DW100/DU100*DX100*EXP(-LN(2)/10990*($F$88-DV100))</f>
        <v>#DIV/0!</v>
      </c>
      <c r="DZ100" s="599" t="e">
        <f>DY100-AVERAGE(EG94:EG95)</f>
        <v>#DIV/0!</v>
      </c>
      <c r="EA100" s="672" t="e">
        <f>ABS($B$33*DZ100*3600)</f>
        <v>#DIV/0!</v>
      </c>
      <c r="EB100" s="675" t="e">
        <f>ABS($B$34*DZ100*3600)</f>
        <v>#DIV/0!</v>
      </c>
      <c r="EC100" s="614" t="e">
        <f>EB100*$C$79</f>
        <v>#DIV/0!</v>
      </c>
      <c r="ED100" s="672" t="e">
        <f>EB100*$F$70</f>
        <v>#DIV/0!</v>
      </c>
      <c r="EE100" s="599" t="e">
        <f>EB100*$F$75</f>
        <v>#DIV/0!</v>
      </c>
      <c r="EF100" s="672" t="e">
        <f>EB100*$F$72</f>
        <v>#DIV/0!</v>
      </c>
      <c r="EG100" s="676" t="e">
        <f>EB100*$F$71</f>
        <v>#DIV/0!</v>
      </c>
      <c r="EH100" s="668"/>
      <c r="EI100" s="669"/>
      <c r="EJ100" s="670"/>
      <c r="EK100" s="671"/>
      <c r="EL100" s="678"/>
      <c r="EM100" s="650"/>
      <c r="EN100" s="651">
        <f t="shared" ref="EN100:EN103" si="70">IF(AND(ABS(EK100)&gt;=$F$42,ABS(EK100)&lt;=$G$42),EK100*$D$42,IF(AND(ABS(EK100)&gt;=$F$43,ABS(EK100)&lt;=$G$43),EK100*$D$43,IF(AND(ABS(EK100)&gt;=$F$44,ABS(EK100)&lt;=$G$44),EK100*$D$44,"rango cal. out")))</f>
        <v>0</v>
      </c>
      <c r="EO100" s="619" t="e">
        <f>((273.2+EH100)*$F$32/((273.2+$F$31)*EJ100))</f>
        <v>#DIV/0!</v>
      </c>
      <c r="EP100" s="674" t="e">
        <f>EN100/EL100*EO100*EXP(-LN(2)/10990*($F$88-EM100))</f>
        <v>#DIV/0!</v>
      </c>
      <c r="EQ100" s="599" t="e">
        <f>EP100-AVERAGE(EX94:EX95)</f>
        <v>#DIV/0!</v>
      </c>
      <c r="ER100" s="672" t="e">
        <f>ABS($B$33*EQ100*3600)</f>
        <v>#DIV/0!</v>
      </c>
      <c r="ES100" s="675" t="e">
        <f>ABS($B$34*EQ100*3600)</f>
        <v>#DIV/0!</v>
      </c>
      <c r="ET100" s="614" t="e">
        <f>ES100*$C$79</f>
        <v>#DIV/0!</v>
      </c>
      <c r="EU100" s="672" t="e">
        <f>ES100*$F$70</f>
        <v>#DIV/0!</v>
      </c>
      <c r="EV100" s="599" t="e">
        <f>ES100*$F$75</f>
        <v>#DIV/0!</v>
      </c>
      <c r="EW100" s="672" t="e">
        <f>ES100*$F$72</f>
        <v>#DIV/0!</v>
      </c>
      <c r="EX100" s="676" t="e">
        <f>ES100*$F$71</f>
        <v>#DIV/0!</v>
      </c>
      <c r="EY100" s="668"/>
      <c r="EZ100" s="669"/>
      <c r="FA100" s="670"/>
      <c r="FB100" s="671"/>
      <c r="FC100" s="678"/>
      <c r="FD100" s="650"/>
      <c r="FE100" s="651">
        <f t="shared" ref="FE100:FE103" si="71">IF(AND(ABS(FB100)&gt;=$F$42,ABS(FB100)&lt;=$G$42),FB100*$D$42,IF(AND(ABS(FB100)&gt;=$F$43,ABS(FB100)&lt;=$G$43),FB100*$D$43,IF(AND(ABS(FB100)&gt;=$F$44,ABS(FB100)&lt;=$G$44),FB100*$D$44,"rango cal. out")))</f>
        <v>0</v>
      </c>
      <c r="FF100" s="619" t="e">
        <f>((273.2+EY100)*$F$32/((273.2+$F$31)*FA100))</f>
        <v>#DIV/0!</v>
      </c>
      <c r="FG100" s="674" t="e">
        <f>FE100/FC100*FF100*EXP(-LN(2)/10990*($F$88-FD100))</f>
        <v>#DIV/0!</v>
      </c>
      <c r="FH100" s="599" t="e">
        <f>FG100-AVERAGE(FO94:FO95)</f>
        <v>#DIV/0!</v>
      </c>
      <c r="FI100" s="672" t="e">
        <f>ABS($B$33*FH100*3600)</f>
        <v>#DIV/0!</v>
      </c>
      <c r="FJ100" s="675" t="e">
        <f>ABS($B$34*FH100*3600)</f>
        <v>#DIV/0!</v>
      </c>
      <c r="FK100" s="614" t="e">
        <f>FJ100*$C$79</f>
        <v>#DIV/0!</v>
      </c>
      <c r="FL100" s="672" t="e">
        <f>FJ100*$F$70</f>
        <v>#DIV/0!</v>
      </c>
      <c r="FM100" s="599" t="e">
        <f>FJ100*$F$75</f>
        <v>#DIV/0!</v>
      </c>
      <c r="FN100" s="672" t="e">
        <f>FJ100*$F$72</f>
        <v>#DIV/0!</v>
      </c>
      <c r="FO100" s="676" t="e">
        <f>FJ100*$F$71</f>
        <v>#DIV/0!</v>
      </c>
      <c r="FP100" s="668"/>
      <c r="FQ100" s="669"/>
      <c r="FR100" s="670"/>
      <c r="FS100" s="671"/>
      <c r="FT100" s="678"/>
      <c r="FU100" s="650"/>
      <c r="FV100" s="651">
        <f t="shared" ref="FV100:FV103" si="72">IF(AND(ABS(FS100)&gt;=$F$42,ABS(FS100)&lt;=$G$42),FS100*$D$42,IF(AND(ABS(FS100)&gt;=$F$43,ABS(FS100)&lt;=$G$43),FS100*$D$43,IF(AND(ABS(FS100)&gt;=$F$44,ABS(FS100)&lt;=$G$44),FS100*$D$44,"rango cal. out")))</f>
        <v>0</v>
      </c>
      <c r="FW100" s="619" t="e">
        <f>((273.2+FP100)*$F$32/((273.2+$F$31)*FR100))</f>
        <v>#DIV/0!</v>
      </c>
      <c r="FX100" s="674" t="e">
        <f>FV100/FT100*FW100*EXP(-LN(2)/10990*($F$88-FU100))</f>
        <v>#DIV/0!</v>
      </c>
      <c r="FY100" s="599" t="e">
        <f>FX100-AVERAGE(GF94:GF95)</f>
        <v>#DIV/0!</v>
      </c>
      <c r="FZ100" s="672" t="e">
        <f>ABS($B$33*FY100*3600)</f>
        <v>#DIV/0!</v>
      </c>
      <c r="GA100" s="675" t="e">
        <f>ABS($B$34*FY100*3600)</f>
        <v>#DIV/0!</v>
      </c>
      <c r="GB100" s="614" t="e">
        <f>GA100*$C$79</f>
        <v>#DIV/0!</v>
      </c>
      <c r="GC100" s="672" t="e">
        <f>GA100*$F$70</f>
        <v>#DIV/0!</v>
      </c>
      <c r="GD100" s="599" t="e">
        <f>GA100*$F$75</f>
        <v>#DIV/0!</v>
      </c>
      <c r="GE100" s="672" t="e">
        <f>GA100*$F$72</f>
        <v>#DIV/0!</v>
      </c>
      <c r="GF100" s="676" t="e">
        <f>GA100*$F$71</f>
        <v>#DIV/0!</v>
      </c>
      <c r="GG100" s="668"/>
      <c r="GH100" s="669"/>
      <c r="GI100" s="677"/>
      <c r="GJ100" s="679"/>
      <c r="GK100" s="678"/>
      <c r="GL100" s="650"/>
      <c r="GM100" s="651">
        <f t="shared" ref="GM100:GM103" si="73">IF(AND(ABS(GJ100)&gt;=$F$42,ABS(GJ100)&lt;=$G$42),GJ100*$D$42,IF(AND(ABS(GJ100)&gt;=$F$43,ABS(GJ100)&lt;=$G$43),GJ100*$D$43,IF(AND(ABS(GJ100)&gt;=$F$44,ABS(GJ100)&lt;=$G$44),GJ100*$D$44,"rango cal. out")))</f>
        <v>0</v>
      </c>
      <c r="GN100" s="619" t="e">
        <f>((273.2+GG100)*$F$32/((273.2+$F$31)*GI100))</f>
        <v>#DIV/0!</v>
      </c>
      <c r="GO100" s="674" t="e">
        <f>GM100/GK100*GN100*EXP(-LN(2)/10990*($F$88-GL100))</f>
        <v>#DIV/0!</v>
      </c>
      <c r="GP100" s="599" t="e">
        <f>GO100-AVERAGE(GW94:GW95)</f>
        <v>#DIV/0!</v>
      </c>
      <c r="GQ100" s="672" t="e">
        <f>ABS($B$33*GP100*3600)</f>
        <v>#DIV/0!</v>
      </c>
      <c r="GR100" s="675" t="e">
        <f>ABS($B$34*GP100*3600)</f>
        <v>#DIV/0!</v>
      </c>
      <c r="GS100" s="614" t="e">
        <f>GR100*$C$79</f>
        <v>#DIV/0!</v>
      </c>
      <c r="GT100" s="672" t="e">
        <f>GR100*$F$70</f>
        <v>#DIV/0!</v>
      </c>
      <c r="GU100" s="599" t="e">
        <f>GR100*$F$75</f>
        <v>#DIV/0!</v>
      </c>
      <c r="GV100" s="672" t="e">
        <f>GR100*$F$72</f>
        <v>#DIV/0!</v>
      </c>
      <c r="GW100" s="676" t="e">
        <f>GR100*$F$71</f>
        <v>#DIV/0!</v>
      </c>
      <c r="GX100" s="668"/>
      <c r="GY100" s="669"/>
      <c r="GZ100" s="670"/>
      <c r="HA100" s="671"/>
      <c r="HB100" s="678"/>
      <c r="HC100" s="650"/>
      <c r="HD100" s="651">
        <f t="shared" ref="HD100:HD103" si="74">IF(AND(ABS(HA100)&gt;=$F$42,ABS(HA100)&lt;=$G$42),HA100*$D$42,IF(AND(ABS(HA100)&gt;=$F$43,ABS(HA100)&lt;=$G$43),HA100*$D$43,IF(AND(ABS(HA100)&gt;=$F$44,ABS(HA100)&lt;=$G$44),HA100*$D$44,"rango cal. out")))</f>
        <v>0</v>
      </c>
      <c r="HE100" s="619" t="e">
        <f>((273.2+GX100)*$F$32/((273.2+$F$31)*GZ100))</f>
        <v>#DIV/0!</v>
      </c>
      <c r="HF100" s="674" t="e">
        <f>HD100/HB100*HE100*EXP(-LN(2)/10990*($F$88-HC100))</f>
        <v>#DIV/0!</v>
      </c>
      <c r="HG100" s="599" t="e">
        <f>HF100-AVERAGE(HN94:HN95)</f>
        <v>#DIV/0!</v>
      </c>
      <c r="HH100" s="672" t="e">
        <f>ABS($B$33*HG100*3600)</f>
        <v>#DIV/0!</v>
      </c>
      <c r="HI100" s="675" t="e">
        <f>ABS($B$34*HG100*3600)</f>
        <v>#DIV/0!</v>
      </c>
      <c r="HJ100" s="614" t="e">
        <f>HI100*$C$79</f>
        <v>#DIV/0!</v>
      </c>
      <c r="HK100" s="672" t="e">
        <f>HI100*$F$70</f>
        <v>#DIV/0!</v>
      </c>
      <c r="HL100" s="599" t="e">
        <f>HI100*$F$75</f>
        <v>#DIV/0!</v>
      </c>
      <c r="HM100" s="672" t="e">
        <f>HI100*$F$72</f>
        <v>#DIV/0!</v>
      </c>
      <c r="HN100" s="676" t="e">
        <f>HI100*$F$71</f>
        <v>#DIV/0!</v>
      </c>
      <c r="HO100" s="668"/>
      <c r="HP100" s="669"/>
      <c r="HQ100" s="670"/>
      <c r="HR100" s="671"/>
      <c r="HS100" s="678"/>
      <c r="HT100" s="650"/>
      <c r="HU100" s="651">
        <f t="shared" ref="HU100:HU103" si="75">IF(AND(ABS(HR100)&gt;=$F$42,ABS(HR100)&lt;=$G$42),HR100*$D$42,IF(AND(ABS(HR100)&gt;=$F$43,ABS(HR100)&lt;=$G$43),HR100*$D$43,IF(AND(ABS(HR100)&gt;=$F$44,ABS(HR100)&lt;=$G$44),HR100*$D$44,"rango cal. out")))</f>
        <v>0</v>
      </c>
      <c r="HV100" s="619" t="e">
        <f>((273.2+HO100)*$F$32/((273.2+$F$31)*HQ100))</f>
        <v>#DIV/0!</v>
      </c>
      <c r="HW100" s="674" t="e">
        <f>HU100/HS100*HV100*EXP(-LN(2)/10990*($F$88-HT100))</f>
        <v>#DIV/0!</v>
      </c>
      <c r="HX100" s="599" t="e">
        <f>HW100-AVERAGE(IE94:IE95)</f>
        <v>#DIV/0!</v>
      </c>
      <c r="HY100" s="672" t="e">
        <f>ABS($B$33*HX100*3600)</f>
        <v>#DIV/0!</v>
      </c>
      <c r="HZ100" s="675" t="e">
        <f>ABS($B$34*HX100*3600)</f>
        <v>#DIV/0!</v>
      </c>
      <c r="IA100" s="614" t="e">
        <f>HZ100*$C$79</f>
        <v>#DIV/0!</v>
      </c>
      <c r="IB100" s="672" t="e">
        <f>HZ100*$F$70</f>
        <v>#DIV/0!</v>
      </c>
      <c r="IC100" s="599" t="e">
        <f>HZ100*$F$75</f>
        <v>#DIV/0!</v>
      </c>
      <c r="ID100" s="672" t="e">
        <f>HZ100*$F$72</f>
        <v>#DIV/0!</v>
      </c>
      <c r="IE100" s="676" t="e">
        <f>HZ100*$F$71</f>
        <v>#DIV/0!</v>
      </c>
      <c r="IF100" s="668"/>
      <c r="IG100" s="669"/>
      <c r="IH100" s="670"/>
      <c r="II100" s="671"/>
      <c r="IJ100" s="678"/>
      <c r="IK100" s="650"/>
      <c r="IL100" s="651">
        <f t="shared" ref="IL100:IL103" si="76">IF(AND(ABS(II100)&gt;=$F$42,ABS(II100)&lt;=$G$42),II100*$D$42,IF(AND(ABS(II100)&gt;=$F$43,ABS(II100)&lt;=$G$43),II100*$D$43,IF(AND(ABS(II100)&gt;=$F$44,ABS(II100)&lt;=$G$44),II100*$D$44,"rango cal. out")))</f>
        <v>0</v>
      </c>
      <c r="IM100" s="619" t="e">
        <f>((273.2+IF100)*$F$32/((273.2+$F$31)*IH100))</f>
        <v>#DIV/0!</v>
      </c>
      <c r="IN100" s="674" t="e">
        <f>IL100/IJ100*IM100*EXP(-LN(2)/10990*($F$88-IK100))</f>
        <v>#DIV/0!</v>
      </c>
      <c r="IO100" s="599" t="e">
        <f>IN100-AVERAGE(IV94:IV95)</f>
        <v>#DIV/0!</v>
      </c>
      <c r="IP100" s="672" t="e">
        <f>ABS($B$33*IO100*3600)</f>
        <v>#DIV/0!</v>
      </c>
      <c r="IQ100" s="675" t="e">
        <f>ABS($B$34*IO100*3600)</f>
        <v>#DIV/0!</v>
      </c>
      <c r="IR100" s="614" t="e">
        <f>IQ100*$C$79</f>
        <v>#DIV/0!</v>
      </c>
      <c r="IS100" s="672" t="e">
        <f>IQ100*$F$70</f>
        <v>#DIV/0!</v>
      </c>
      <c r="IT100" s="599" t="e">
        <f>IQ100*$F$75</f>
        <v>#DIV/0!</v>
      </c>
      <c r="IU100" s="672" t="e">
        <f>IQ100*$F$72</f>
        <v>#DIV/0!</v>
      </c>
      <c r="IV100" s="676" t="e">
        <f>IQ100*$F$71</f>
        <v>#DIV/0!</v>
      </c>
      <c r="IW100" s="668"/>
      <c r="IX100" s="669"/>
      <c r="IY100" s="670"/>
      <c r="IZ100" s="671"/>
      <c r="JA100" s="678"/>
      <c r="JB100" s="650"/>
      <c r="JC100" s="651">
        <f t="shared" ref="JC100:JC103" si="77">IF(AND(ABS(IZ100)&gt;=$F$42,ABS(IZ100)&lt;=$G$42),IZ100*$D$42,IF(AND(ABS(IZ100)&gt;=$F$43,ABS(IZ100)&lt;=$G$43),IZ100*$D$43,IF(AND(ABS(IZ100)&gt;=$F$44,ABS(IZ100)&lt;=$G$44),IZ100*$D$44,"rango cal. out")))</f>
        <v>0</v>
      </c>
      <c r="JD100" s="619" t="e">
        <f>((273.2+IW100)*$F$32/((273.2+$F$31)*IY100))</f>
        <v>#DIV/0!</v>
      </c>
      <c r="JE100" s="674" t="e">
        <f>JC100/JA100*JD100*EXP(-LN(2)/10990*($F$88-JB100))</f>
        <v>#DIV/0!</v>
      </c>
      <c r="JF100" s="599" t="e">
        <f>JE100-AVERAGE(JM94:JM95)</f>
        <v>#DIV/0!</v>
      </c>
      <c r="JG100" s="672" t="e">
        <f>ABS($B$33*JF100*3600)</f>
        <v>#DIV/0!</v>
      </c>
      <c r="JH100" s="675" t="e">
        <f>ABS($B$34*JF100*3600)</f>
        <v>#DIV/0!</v>
      </c>
      <c r="JI100" s="614" t="e">
        <f>JH100*$C$79</f>
        <v>#DIV/0!</v>
      </c>
      <c r="JJ100" s="672" t="e">
        <f>JH100*$F$70</f>
        <v>#DIV/0!</v>
      </c>
      <c r="JK100" s="599" t="e">
        <f>JH100*$F$75</f>
        <v>#DIV/0!</v>
      </c>
      <c r="JL100" s="672" t="e">
        <f>JH100*$F$72</f>
        <v>#DIV/0!</v>
      </c>
      <c r="JM100" s="676" t="e">
        <f>JH100*$F$71</f>
        <v>#DIV/0!</v>
      </c>
      <c r="JN100" s="668"/>
      <c r="JO100" s="669"/>
      <c r="JP100" s="670"/>
      <c r="JQ100" s="671"/>
      <c r="JR100" s="678"/>
      <c r="JS100" s="650"/>
      <c r="JT100" s="651">
        <f t="shared" ref="JT100:JT103" si="78">IF(AND(ABS(JQ100)&gt;=$F$42,ABS(JQ100)&lt;=$G$42),JQ100*$D$42,IF(AND(ABS(JQ100)&gt;=$F$43,ABS(JQ100)&lt;=$G$43),JQ100*$D$43,IF(AND(ABS(JQ100)&gt;=$F$44,ABS(JQ100)&lt;=$G$44),JQ100*$D$44,"rango cal. out")))</f>
        <v>0</v>
      </c>
      <c r="JU100" s="619" t="e">
        <f>((273.2+JN100)*$F$32/((273.2+$F$31)*JP100))</f>
        <v>#DIV/0!</v>
      </c>
      <c r="JV100" s="674" t="e">
        <f>JT100/JR100*JU100*EXP(-LN(2)/10990*($F$88-JS100))</f>
        <v>#DIV/0!</v>
      </c>
      <c r="JW100" s="599" t="e">
        <f>JV100-AVERAGE(KD94:KD95)</f>
        <v>#DIV/0!</v>
      </c>
      <c r="JX100" s="672" t="e">
        <f>ABS($B$33*JW100*3600)</f>
        <v>#DIV/0!</v>
      </c>
      <c r="JY100" s="675" t="e">
        <f>ABS($B$34*JW100*3600)</f>
        <v>#DIV/0!</v>
      </c>
      <c r="JZ100" s="614" t="e">
        <f>JY100*$C$79</f>
        <v>#DIV/0!</v>
      </c>
      <c r="KA100" s="672" t="e">
        <f>JY100*$F$70</f>
        <v>#DIV/0!</v>
      </c>
      <c r="KB100" s="599" t="e">
        <f>JY100*$F$75</f>
        <v>#DIV/0!</v>
      </c>
      <c r="KC100" s="672" t="e">
        <f>JY100*$F$72</f>
        <v>#DIV/0!</v>
      </c>
      <c r="KD100" s="676" t="e">
        <f>JY100*$F$71</f>
        <v>#DIV/0!</v>
      </c>
      <c r="KE100" s="668"/>
      <c r="KF100" s="669"/>
      <c r="KG100" s="670"/>
      <c r="KH100" s="671"/>
      <c r="KI100" s="678"/>
      <c r="KJ100" s="650"/>
      <c r="KK100" s="651">
        <f t="shared" ref="KK100:KK103" si="79">IF(AND(ABS(KH100)&gt;=$F$42,ABS(KH100)&lt;=$G$42),KH100*$D$42,IF(AND(ABS(KH100)&gt;=$F$43,ABS(KH100)&lt;=$G$43),KH100*$D$43,IF(AND(ABS(KH100)&gt;=$F$44,ABS(KH100)&lt;=$G$44),KH100*$D$44,"rango cal. out")))</f>
        <v>0</v>
      </c>
      <c r="KL100" s="619" t="e">
        <f>((273.2+KE100)*$F$32/((273.2+$F$31)*KG100))</f>
        <v>#DIV/0!</v>
      </c>
      <c r="KM100" s="674" t="e">
        <f>KK100/KI100*KL100*EXP(-LN(2)/10990*($F$88-KJ100))</f>
        <v>#DIV/0!</v>
      </c>
      <c r="KN100" s="599" t="e">
        <f>KM100-AVERAGE(KU94:KU95)</f>
        <v>#DIV/0!</v>
      </c>
      <c r="KO100" s="672" t="e">
        <f>ABS($B$33*KN100*3600)</f>
        <v>#DIV/0!</v>
      </c>
      <c r="KP100" s="675" t="e">
        <f>ABS($B$34*KN100*3600)</f>
        <v>#DIV/0!</v>
      </c>
      <c r="KQ100" s="614" t="e">
        <f>KP100*$C$79</f>
        <v>#DIV/0!</v>
      </c>
      <c r="KR100" s="672" t="e">
        <f>KP100*$F$70</f>
        <v>#DIV/0!</v>
      </c>
      <c r="KS100" s="599" t="e">
        <f>KP100*$F$75</f>
        <v>#DIV/0!</v>
      </c>
      <c r="KT100" s="672" t="e">
        <f>KP100*$F$72</f>
        <v>#DIV/0!</v>
      </c>
      <c r="KU100" s="676" t="e">
        <f>KP100*$F$71</f>
        <v>#DIV/0!</v>
      </c>
      <c r="KV100" s="668"/>
      <c r="KW100" s="669"/>
      <c r="KX100" s="670"/>
      <c r="KY100" s="671"/>
      <c r="KZ100" s="678"/>
      <c r="LA100" s="650"/>
      <c r="LB100" s="651">
        <f t="shared" ref="LB100:LB103" si="80">IF(AND(ABS(KY100)&gt;=$F$42,ABS(KY100)&lt;=$G$42),KY100*$D$42,IF(AND(ABS(KY100)&gt;=$F$43,ABS(KY100)&lt;=$G$43),KY100*$D$43,IF(AND(ABS(KY100)&gt;=$F$44,ABS(KY100)&lt;=$G$44),KY100*$D$44,"rango cal. out")))</f>
        <v>0</v>
      </c>
      <c r="LC100" s="619" t="e">
        <f>((273.2+KV100)*$F$32/((273.2+$F$31)*KX100))</f>
        <v>#DIV/0!</v>
      </c>
      <c r="LD100" s="674" t="e">
        <f>LB100/KZ100*LC100*EXP(-LN(2)/10990*($F$88-LA100))</f>
        <v>#DIV/0!</v>
      </c>
      <c r="LE100" s="599" t="e">
        <f>LD100-AVERAGE(LL94:LL95)</f>
        <v>#DIV/0!</v>
      </c>
      <c r="LF100" s="672" t="e">
        <f>ABS($B$33*LE100*3600)</f>
        <v>#DIV/0!</v>
      </c>
      <c r="LG100" s="675" t="e">
        <f>ABS($B$34*LE100*3600)</f>
        <v>#DIV/0!</v>
      </c>
      <c r="LH100" s="614" t="e">
        <f>LG100*$C$79</f>
        <v>#DIV/0!</v>
      </c>
      <c r="LI100" s="672" t="e">
        <f>LG100*$F$70</f>
        <v>#DIV/0!</v>
      </c>
      <c r="LJ100" s="599" t="e">
        <f>LG100*$F$75</f>
        <v>#DIV/0!</v>
      </c>
      <c r="LK100" s="672" t="e">
        <f>LG100*$F$72</f>
        <v>#DIV/0!</v>
      </c>
      <c r="LL100" s="676" t="e">
        <f>LG100*$F$71</f>
        <v>#DIV/0!</v>
      </c>
      <c r="LM100" s="668"/>
      <c r="LN100" s="669"/>
      <c r="LO100" s="670"/>
      <c r="LP100" s="671"/>
      <c r="LQ100" s="678"/>
      <c r="LR100" s="650"/>
      <c r="LS100" s="651">
        <f t="shared" ref="LS100:LS103" si="81">IF(AND(ABS(LP100)&gt;=$F$42,ABS(LP100)&lt;=$G$42),LP100*$D$42,IF(AND(ABS(LP100)&gt;=$F$43,ABS(LP100)&lt;=$G$43),LP100*$D$43,IF(AND(ABS(LP100)&gt;=$F$44,ABS(LP100)&lt;=$G$44),LP100*$D$44,"rango cal. out")))</f>
        <v>0</v>
      </c>
      <c r="LT100" s="619" t="e">
        <f>((273.2+LM100)*$F$32/((273.2+$F$31)*LO100))</f>
        <v>#DIV/0!</v>
      </c>
      <c r="LU100" s="674" t="e">
        <f>LS100/LQ100*LT100*EXP(-LN(2)/10990*($F$88-LR100))</f>
        <v>#DIV/0!</v>
      </c>
      <c r="LV100" s="599" t="e">
        <f>LU100-AVERAGE(MC94:MC95)</f>
        <v>#DIV/0!</v>
      </c>
      <c r="LW100" s="672" t="e">
        <f>ABS($B$33*LV100*3600)</f>
        <v>#DIV/0!</v>
      </c>
      <c r="LX100" s="675" t="e">
        <f>ABS($B$34*LV100*3600)</f>
        <v>#DIV/0!</v>
      </c>
      <c r="LY100" s="614" t="e">
        <f>LX100*$C$79</f>
        <v>#DIV/0!</v>
      </c>
      <c r="LZ100" s="672" t="e">
        <f>LX100*$F$70</f>
        <v>#DIV/0!</v>
      </c>
      <c r="MA100" s="599" t="e">
        <f>LX100*$F$75</f>
        <v>#DIV/0!</v>
      </c>
      <c r="MB100" s="672" t="e">
        <f>LX100*$F$72</f>
        <v>#DIV/0!</v>
      </c>
      <c r="MC100" s="676" t="e">
        <f>LX100*$F$71</f>
        <v>#DIV/0!</v>
      </c>
      <c r="MD100" s="668"/>
      <c r="ME100" s="669"/>
      <c r="MF100" s="680"/>
      <c r="MG100" s="671"/>
      <c r="MH100" s="673"/>
      <c r="MI100" s="650"/>
      <c r="MJ100" s="651">
        <f t="shared" ref="MJ100:MJ103" si="82">IF(AND(ABS(MG100)&gt;=$F$42,ABS(MG100)&lt;=$G$42),MG100*$D$42,IF(AND(ABS(MG100)&gt;=$F$43,ABS(MG100)&lt;=$G$43),MG100*$D$43,IF(AND(ABS(MG100)&gt;=$F$44,ABS(MG100)&lt;=$G$44),MG100*$D$44,"rango cal. out")))</f>
        <v>0</v>
      </c>
      <c r="MK100" s="619" t="e">
        <f>((273.2+MD100)*$F$32/((273.2+$F$31)*MF100))</f>
        <v>#DIV/0!</v>
      </c>
      <c r="ML100" s="674" t="e">
        <f>MJ100/MH100*MK100*EXP(-LN(2)/10990*($F$88-MI100))</f>
        <v>#DIV/0!</v>
      </c>
      <c r="MM100" s="599" t="e">
        <f>ML100-AVERAGE(MT94:MT95)</f>
        <v>#DIV/0!</v>
      </c>
      <c r="MN100" s="672" t="e">
        <f>ABS($B$33*MM100*3600)</f>
        <v>#DIV/0!</v>
      </c>
      <c r="MO100" s="675" t="e">
        <f>ABS($B$34*MM100*3600)</f>
        <v>#DIV/0!</v>
      </c>
      <c r="MP100" s="614" t="e">
        <f>MO100*$C$79</f>
        <v>#DIV/0!</v>
      </c>
      <c r="MQ100" s="672" t="e">
        <f>MO100*$F$70</f>
        <v>#DIV/0!</v>
      </c>
      <c r="MR100" s="599" t="e">
        <f>MO100*$F$75</f>
        <v>#DIV/0!</v>
      </c>
      <c r="MS100" s="672" t="e">
        <f>MO100*$F$72</f>
        <v>#DIV/0!</v>
      </c>
      <c r="MT100" s="676" t="e">
        <f>MO100*$F$71</f>
        <v>#DIV/0!</v>
      </c>
      <c r="MU100" s="668"/>
      <c r="MV100" s="669"/>
      <c r="MW100" s="670"/>
      <c r="MX100" s="671"/>
      <c r="MY100" s="678"/>
      <c r="MZ100" s="650"/>
      <c r="NA100" s="651">
        <f t="shared" ref="NA100:NA103" si="83">IF(AND(ABS(MX100)&gt;=$F$42,ABS(MX100)&lt;=$G$42),MX100*$D$42,IF(AND(ABS(MX100)&gt;=$F$43,ABS(MX100)&lt;=$G$43),MX100*$D$43,IF(AND(ABS(MX100)&gt;=$F$44,ABS(MX100)&lt;=$G$44),MX100*$D$44,"rango cal. out")))</f>
        <v>0</v>
      </c>
      <c r="NB100" s="619" t="e">
        <f>((273.2+MU100)*$F$32/((273.2+$F$31)*MW100))</f>
        <v>#DIV/0!</v>
      </c>
      <c r="NC100" s="674" t="e">
        <f>NA100/MY100*NB100*EXP(-LN(2)/10990*($F$88-MZ100))</f>
        <v>#DIV/0!</v>
      </c>
      <c r="ND100" s="599" t="e">
        <f>NC100-AVERAGE(NK94:NK95)</f>
        <v>#DIV/0!</v>
      </c>
      <c r="NE100" s="672" t="e">
        <f>ABS($B$33*ND100*3600)</f>
        <v>#DIV/0!</v>
      </c>
      <c r="NF100" s="675" t="e">
        <f>ABS($B$34*ND100*3600)</f>
        <v>#DIV/0!</v>
      </c>
      <c r="NG100" s="614" t="e">
        <f>NF100*$C$79</f>
        <v>#DIV/0!</v>
      </c>
      <c r="NH100" s="672" t="e">
        <f>NF100*$F$70</f>
        <v>#DIV/0!</v>
      </c>
      <c r="NI100" s="599" t="e">
        <f>NF100*$F$75</f>
        <v>#DIV/0!</v>
      </c>
      <c r="NJ100" s="672" t="e">
        <f>NF100*$F$72</f>
        <v>#DIV/0!</v>
      </c>
      <c r="NK100" s="676" t="e">
        <f>NF100*$F$71</f>
        <v>#DIV/0!</v>
      </c>
      <c r="NL100" s="668"/>
      <c r="NM100" s="669"/>
      <c r="NN100" s="670"/>
      <c r="NO100" s="671"/>
      <c r="NP100" s="678"/>
      <c r="NQ100" s="650"/>
      <c r="NR100" s="651">
        <f t="shared" ref="NR100:NR103" si="84">IF(AND(ABS(NO100)&gt;=$F$42,ABS(NO100)&lt;=$G$42),NO100*$D$42,IF(AND(ABS(NO100)&gt;=$F$43,ABS(NO100)&lt;=$G$43),NO100*$D$43,IF(AND(ABS(NO100)&gt;=$F$44,ABS(NO100)&lt;=$G$44),NO100*$D$44,"rango cal. out")))</f>
        <v>0</v>
      </c>
      <c r="NS100" s="619" t="e">
        <f>((273.2+NL100)*$F$32/((273.2+$F$31)*NN100))</f>
        <v>#DIV/0!</v>
      </c>
      <c r="NT100" s="674" t="e">
        <f>NR100/NP100*NS100*EXP(-LN(2)/10990*($F$88-NQ100))</f>
        <v>#DIV/0!</v>
      </c>
      <c r="NU100" s="599" t="e">
        <f>NT100-AVERAGE(OB94:OB95)</f>
        <v>#DIV/0!</v>
      </c>
      <c r="NV100" s="672" t="e">
        <f>ABS($B$33*NU100*3600)</f>
        <v>#DIV/0!</v>
      </c>
      <c r="NW100" s="675" t="e">
        <f>ABS($B$34*NU100*3600)</f>
        <v>#DIV/0!</v>
      </c>
      <c r="NX100" s="614" t="e">
        <f>NW100*$C$79</f>
        <v>#DIV/0!</v>
      </c>
      <c r="NY100" s="672" t="e">
        <f>NW100*$F$70</f>
        <v>#DIV/0!</v>
      </c>
      <c r="NZ100" s="599" t="e">
        <f>NW100*$F$75</f>
        <v>#DIV/0!</v>
      </c>
      <c r="OA100" s="672" t="e">
        <f>NW100*$F$72</f>
        <v>#DIV/0!</v>
      </c>
      <c r="OB100" s="676" t="e">
        <f>NW100*$F$71</f>
        <v>#DIV/0!</v>
      </c>
      <c r="OC100" s="668"/>
      <c r="OD100" s="669"/>
      <c r="OE100" s="670"/>
      <c r="OF100" s="671"/>
      <c r="OG100" s="678"/>
      <c r="OH100" s="650"/>
      <c r="OI100" s="651">
        <f t="shared" ref="OI100:OI103" si="85">IF(AND(ABS(OF100)&gt;=$F$42,ABS(OF100)&lt;=$G$42),OF100*$D$42,IF(AND(ABS(OF100)&gt;=$F$43,ABS(OF100)&lt;=$G$43),OF100*$D$43,IF(AND(ABS(OF100)&gt;=$F$44,ABS(OF100)&lt;=$G$44),OF100*$D$44,"rango cal. out")))</f>
        <v>0</v>
      </c>
      <c r="OJ100" s="619" t="e">
        <f>((273.2+OC100)*$F$32/((273.2+$F$31)*OE100))</f>
        <v>#DIV/0!</v>
      </c>
      <c r="OK100" s="674" t="e">
        <f>OI100/OG100*OJ100*EXP(-LN(2)/10990*($F$88-OH100))</f>
        <v>#DIV/0!</v>
      </c>
      <c r="OL100" s="599" t="e">
        <f>OK100-AVERAGE(OS94:OS95)</f>
        <v>#DIV/0!</v>
      </c>
      <c r="OM100" s="672" t="e">
        <f>ABS($B$33*OL100*3600)</f>
        <v>#DIV/0!</v>
      </c>
      <c r="ON100" s="675" t="e">
        <f>ABS($B$34*OL100*3600)</f>
        <v>#DIV/0!</v>
      </c>
      <c r="OO100" s="614" t="e">
        <f>ON100*$C$79</f>
        <v>#DIV/0!</v>
      </c>
      <c r="OP100" s="672" t="e">
        <f>ON100*$F$70</f>
        <v>#DIV/0!</v>
      </c>
      <c r="OQ100" s="599" t="e">
        <f>ON100*$F$75</f>
        <v>#DIV/0!</v>
      </c>
      <c r="OR100" s="672" t="e">
        <f>ON100*$F$72</f>
        <v>#DIV/0!</v>
      </c>
      <c r="OS100" s="676" t="e">
        <f>ON100*$F$71</f>
        <v>#DIV/0!</v>
      </c>
      <c r="OT100" s="668"/>
      <c r="OU100" s="669"/>
      <c r="OV100" s="670"/>
      <c r="OW100" s="671"/>
      <c r="OX100" s="678"/>
      <c r="OY100" s="650"/>
      <c r="OZ100" s="651">
        <f t="shared" ref="OZ100:OZ103" si="86">IF(AND(ABS(OW100)&gt;=$F$42,ABS(OW100)&lt;=$G$42),OW100*$D$42,IF(AND(ABS(OW100)&gt;=$F$43,ABS(OW100)&lt;=$G$43),OW100*$D$43,IF(AND(ABS(OW100)&gt;=$F$44,ABS(OW100)&lt;=$G$44),OW100*$D$44,"rango cal. out")))</f>
        <v>0</v>
      </c>
      <c r="PA100" s="619" t="e">
        <f>((273.2+OT100)*$F$32/((273.2+$F$31)*OV100))</f>
        <v>#DIV/0!</v>
      </c>
      <c r="PB100" s="674" t="e">
        <f>OZ100/OX100*PA100*EXP(-LN(2)/10990*($F$88-OY100))</f>
        <v>#DIV/0!</v>
      </c>
      <c r="PC100" s="599" t="e">
        <f>PB100-AVERAGE(PJ94:PJ95)</f>
        <v>#DIV/0!</v>
      </c>
      <c r="PD100" s="672" t="e">
        <f>ABS($B$33*PC100*3600)</f>
        <v>#DIV/0!</v>
      </c>
      <c r="PE100" s="675" t="e">
        <f>ABS($B$34*PC100*3600)</f>
        <v>#DIV/0!</v>
      </c>
      <c r="PF100" s="614" t="e">
        <f>PE100*$C$79</f>
        <v>#DIV/0!</v>
      </c>
      <c r="PG100" s="672" t="e">
        <f>PE100*$F$70</f>
        <v>#DIV/0!</v>
      </c>
      <c r="PH100" s="599" t="e">
        <f>PE100*$F$75</f>
        <v>#DIV/0!</v>
      </c>
      <c r="PI100" s="672" t="e">
        <f>PE100*$F$72</f>
        <v>#DIV/0!</v>
      </c>
      <c r="PJ100" s="676" t="e">
        <f>PE100*$F$71</f>
        <v>#DIV/0!</v>
      </c>
      <c r="PK100" s="668"/>
      <c r="PL100" s="669"/>
      <c r="PM100" s="670"/>
      <c r="PN100" s="671"/>
      <c r="PO100" s="678"/>
      <c r="PP100" s="650"/>
      <c r="PQ100" s="651">
        <f t="shared" ref="PQ100:PQ103" si="87">IF(AND(ABS(PN100)&gt;=$F$42,ABS(PN100)&lt;=$G$42),PN100*$D$42,IF(AND(ABS(PN100)&gt;=$F$43,ABS(PN100)&lt;=$G$43),PN100*$D$43,IF(AND(ABS(PN100)&gt;=$F$44,ABS(PN100)&lt;=$G$44),PN100*$D$44,"rango cal. out")))</f>
        <v>0</v>
      </c>
      <c r="PR100" s="619" t="e">
        <f>((273.2+PK100)*$F$32/((273.2+$F$31)*PM100))</f>
        <v>#DIV/0!</v>
      </c>
      <c r="PS100" s="674" t="e">
        <f>PQ100/PO100*PR100*EXP(-LN(2)/10990*($F$88-PP100))</f>
        <v>#DIV/0!</v>
      </c>
      <c r="PT100" s="599" t="e">
        <f>PS100-AVERAGE(QA94:QA95)</f>
        <v>#DIV/0!</v>
      </c>
      <c r="PU100" s="672" t="e">
        <f>ABS($B$33*PT100*3600)</f>
        <v>#DIV/0!</v>
      </c>
      <c r="PV100" s="675" t="e">
        <f>ABS($B$34*PT100*3600)</f>
        <v>#DIV/0!</v>
      </c>
      <c r="PW100" s="614" t="e">
        <f>PV100*$C$79</f>
        <v>#DIV/0!</v>
      </c>
      <c r="PX100" s="672" t="e">
        <f>PV100*$F$70</f>
        <v>#DIV/0!</v>
      </c>
      <c r="PY100" s="599" t="e">
        <f>PV100*$F$75</f>
        <v>#DIV/0!</v>
      </c>
      <c r="PZ100" s="672" t="e">
        <f>PV100*$F$72</f>
        <v>#DIV/0!</v>
      </c>
      <c r="QA100" s="676" t="e">
        <f>PV100*$F$71</f>
        <v>#DIV/0!</v>
      </c>
      <c r="QB100" s="668"/>
      <c r="QC100" s="669"/>
      <c r="QD100" s="670"/>
      <c r="QE100" s="671"/>
      <c r="QF100" s="673"/>
      <c r="QG100" s="650"/>
      <c r="QH100" s="651">
        <f t="shared" ref="QH100:QH103" si="88">IF(AND(ABS(QE100)&gt;=$F$42,ABS(QE100)&lt;=$G$42),QE100*$D$42,IF(AND(ABS(QE100)&gt;=$F$43,ABS(QE100)&lt;=$G$43),QE100*$D$43,IF(AND(ABS(QE100)&gt;=$F$44,ABS(QE100)&lt;=$G$44),QE100*$D$44,"rango cal. out")))</f>
        <v>0</v>
      </c>
      <c r="QI100" s="619" t="e">
        <f>((273.2+QB100)*$F$32/((273.2+$F$31)*QD100))</f>
        <v>#DIV/0!</v>
      </c>
      <c r="QJ100" s="674" t="e">
        <f>QH100/QF100*QI100*EXP(-LN(2)/10990*($F$88-QG100))</f>
        <v>#DIV/0!</v>
      </c>
      <c r="QK100" s="599" t="e">
        <f>QJ100-AVERAGE(QR94:QR95)</f>
        <v>#DIV/0!</v>
      </c>
      <c r="QL100" s="672" t="e">
        <f>ABS($B$33*QK100*3600)</f>
        <v>#DIV/0!</v>
      </c>
      <c r="QM100" s="675" t="e">
        <f>ABS($B$34*QK100*3600)</f>
        <v>#DIV/0!</v>
      </c>
      <c r="QN100" s="614" t="e">
        <f>QM100*$C$79</f>
        <v>#DIV/0!</v>
      </c>
      <c r="QO100" s="672" t="e">
        <f>QM100*$F$70</f>
        <v>#DIV/0!</v>
      </c>
      <c r="QP100" s="599" t="e">
        <f>QM100*$F$75</f>
        <v>#DIV/0!</v>
      </c>
      <c r="QQ100" s="672" t="e">
        <f>QM100*$F$72</f>
        <v>#DIV/0!</v>
      </c>
      <c r="QR100" s="676" t="e">
        <f>QM100*$F$71</f>
        <v>#DIV/0!</v>
      </c>
      <c r="QS100" s="668"/>
      <c r="QT100" s="669"/>
      <c r="QU100" s="677"/>
      <c r="QV100" s="679"/>
      <c r="QW100" s="678"/>
      <c r="QX100" s="650"/>
      <c r="QY100" s="651">
        <f t="shared" ref="QY100:QY103" si="89">IF(AND(ABS(QV100)&gt;=$F$42,ABS(QV100)&lt;=$G$42),QV100*$D$42,IF(AND(ABS(QV100)&gt;=$F$43,ABS(QV100)&lt;=$G$43),QV100*$D$43,IF(AND(ABS(QV100)&gt;=$F$44,ABS(QV100)&lt;=$G$44),QV100*$D$44,"rango cal. out")))</f>
        <v>0</v>
      </c>
      <c r="QZ100" s="619" t="e">
        <f>((273.2+QS100)*$F$32/((273.2+$F$31)*QU100))</f>
        <v>#DIV/0!</v>
      </c>
      <c r="RA100" s="674" t="e">
        <f>QY100/QW100*QZ100*EXP(-LN(2)/10990*($F$88-QX100))</f>
        <v>#DIV/0!</v>
      </c>
      <c r="RB100" s="599" t="e">
        <f>RA100-AVERAGE(RI94:RI95)</f>
        <v>#DIV/0!</v>
      </c>
      <c r="RC100" s="672" t="e">
        <f>ABS($B$33*RB100*3600)</f>
        <v>#DIV/0!</v>
      </c>
      <c r="RD100" s="675" t="e">
        <f>ABS($B$34*RB100*3600)</f>
        <v>#DIV/0!</v>
      </c>
      <c r="RE100" s="614" t="e">
        <f>RD100*$C$79</f>
        <v>#DIV/0!</v>
      </c>
      <c r="RF100" s="672" t="e">
        <f>RD100*$F$70</f>
        <v>#DIV/0!</v>
      </c>
      <c r="RG100" s="599" t="e">
        <f>RD100*$F$75</f>
        <v>#DIV/0!</v>
      </c>
      <c r="RH100" s="672" t="e">
        <f>RD100*$F$72</f>
        <v>#DIV/0!</v>
      </c>
      <c r="RI100" s="676" t="e">
        <f>RD100*$F$71</f>
        <v>#DIV/0!</v>
      </c>
      <c r="RJ100" s="668"/>
      <c r="RK100" s="669"/>
      <c r="RL100" s="670"/>
      <c r="RM100" s="671"/>
      <c r="RN100" s="678"/>
      <c r="RO100" s="650"/>
      <c r="RP100" s="651">
        <f t="shared" ref="RP100:RP103" si="90">IF(AND(ABS(RM100)&gt;=$F$42,ABS(RM100)&lt;=$G$42),RM100*$D$42,IF(AND(ABS(RM100)&gt;=$F$43,ABS(RM100)&lt;=$G$43),RM100*$D$43,IF(AND(ABS(RM100)&gt;=$F$44,ABS(RM100)&lt;=$G$44),RM100*$D$44,"rango cal. out")))</f>
        <v>0</v>
      </c>
      <c r="RQ100" s="619" t="e">
        <f>((273.2+RJ100)*$F$32/((273.2+$F$31)*RL100))</f>
        <v>#DIV/0!</v>
      </c>
      <c r="RR100" s="674" t="e">
        <f>RP100/RN100*RQ100*EXP(-LN(2)/10990*($F$88-RO100))</f>
        <v>#DIV/0!</v>
      </c>
      <c r="RS100" s="599" t="e">
        <f>RR100-AVERAGE(RZ94:RZ95)</f>
        <v>#DIV/0!</v>
      </c>
      <c r="RT100" s="672" t="e">
        <f>ABS($B$33*RS100*3600)</f>
        <v>#DIV/0!</v>
      </c>
      <c r="RU100" s="675" t="e">
        <f>ABS($B$34*RS100*3600)</f>
        <v>#DIV/0!</v>
      </c>
      <c r="RV100" s="614" t="e">
        <f>RU100*$C$79</f>
        <v>#DIV/0!</v>
      </c>
      <c r="RW100" s="672" t="e">
        <f>RU100*$F$70</f>
        <v>#DIV/0!</v>
      </c>
      <c r="RX100" s="599" t="e">
        <f>RU100*$F$75</f>
        <v>#DIV/0!</v>
      </c>
      <c r="RY100" s="672" t="e">
        <f>RU100*$F$72</f>
        <v>#DIV/0!</v>
      </c>
      <c r="RZ100" s="676" t="e">
        <f>RU100*$F$71</f>
        <v>#DIV/0!</v>
      </c>
      <c r="SA100" s="668"/>
      <c r="SB100" s="669"/>
      <c r="SC100" s="670"/>
      <c r="SD100" s="671"/>
      <c r="SE100" s="678"/>
      <c r="SF100" s="650"/>
      <c r="SG100" s="651">
        <f t="shared" ref="SG100:SG103" si="91">IF(AND(ABS(SD100)&gt;=$F$42,ABS(SD100)&lt;=$G$42),SD100*$D$42,IF(AND(ABS(SD100)&gt;=$F$43,ABS(SD100)&lt;=$G$43),SD100*$D$43,IF(AND(ABS(SD100)&gt;=$F$44,ABS(SD100)&lt;=$G$44),SD100*$D$44,"rango cal. out")))</f>
        <v>0</v>
      </c>
      <c r="SH100" s="619" t="e">
        <f>((273.2+SA100)*$F$32/((273.2+$F$31)*SC100))</f>
        <v>#DIV/0!</v>
      </c>
      <c r="SI100" s="674" t="e">
        <f>SG100/SE100*SH100*EXP(-LN(2)/10990*($F$88-SF100))</f>
        <v>#DIV/0!</v>
      </c>
      <c r="SJ100" s="599" t="e">
        <f>SI100-AVERAGE(SQ94:SQ95)</f>
        <v>#DIV/0!</v>
      </c>
      <c r="SK100" s="672" t="e">
        <f>ABS($B$33*SJ100*3600)</f>
        <v>#DIV/0!</v>
      </c>
      <c r="SL100" s="675" t="e">
        <f>ABS($B$34*SJ100*3600)</f>
        <v>#DIV/0!</v>
      </c>
      <c r="SM100" s="614" t="e">
        <f>SL100*$C$79</f>
        <v>#DIV/0!</v>
      </c>
      <c r="SN100" s="672" t="e">
        <f>SL100*$F$70</f>
        <v>#DIV/0!</v>
      </c>
      <c r="SO100" s="599" t="e">
        <f>SL100*$F$75</f>
        <v>#DIV/0!</v>
      </c>
      <c r="SP100" s="672" t="e">
        <f>SL100*$F$72</f>
        <v>#DIV/0!</v>
      </c>
      <c r="SQ100" s="676" t="e">
        <f>SL100*$F$71</f>
        <v>#DIV/0!</v>
      </c>
      <c r="SR100" s="668"/>
      <c r="SS100" s="669"/>
      <c r="ST100" s="670"/>
      <c r="SU100" s="671"/>
      <c r="SV100" s="678"/>
      <c r="SW100" s="650"/>
      <c r="SX100" s="651">
        <f t="shared" ref="SX100:SX103" si="92">IF(AND(ABS(SU100)&gt;=$F$42,ABS(SU100)&lt;=$G$42),SU100*$D$42,IF(AND(ABS(SU100)&gt;=$F$43,ABS(SU100)&lt;=$G$43),SU100*$D$43,IF(AND(ABS(SU100)&gt;=$F$44,ABS(SU100)&lt;=$G$44),SU100*$D$44,"rango cal. out")))</f>
        <v>0</v>
      </c>
      <c r="SY100" s="619" t="e">
        <f>((273.2+SR100)*$F$32/((273.2+$F$31)*ST100))</f>
        <v>#DIV/0!</v>
      </c>
      <c r="SZ100" s="674" t="e">
        <f>SX100/SV100*SY100*EXP(-LN(2)/10990*($F$88-SW100))</f>
        <v>#DIV/0!</v>
      </c>
      <c r="TA100" s="599" t="e">
        <f>SZ100-AVERAGE(TH94:TH95)</f>
        <v>#DIV/0!</v>
      </c>
      <c r="TB100" s="672" t="e">
        <f>ABS($B$33*TA100*3600)</f>
        <v>#DIV/0!</v>
      </c>
      <c r="TC100" s="675" t="e">
        <f>ABS($B$34*TA100*3600)</f>
        <v>#DIV/0!</v>
      </c>
      <c r="TD100" s="614" t="e">
        <f>TC100*$C$79</f>
        <v>#DIV/0!</v>
      </c>
      <c r="TE100" s="672" t="e">
        <f>TC100*$F$70</f>
        <v>#DIV/0!</v>
      </c>
      <c r="TF100" s="599" t="e">
        <f>TC100*$F$75</f>
        <v>#DIV/0!</v>
      </c>
      <c r="TG100" s="672" t="e">
        <f>TC100*$F$72</f>
        <v>#DIV/0!</v>
      </c>
      <c r="TH100" s="676" t="e">
        <f>TC100*$F$71</f>
        <v>#DIV/0!</v>
      </c>
      <c r="TI100" s="668"/>
      <c r="TJ100" s="669"/>
      <c r="TK100" s="670"/>
      <c r="TL100" s="671"/>
      <c r="TM100" s="678"/>
      <c r="TN100" s="650"/>
      <c r="TO100" s="651">
        <f t="shared" ref="TO100:TO103" si="93">IF(AND(ABS(TL100)&gt;=$F$42,ABS(TL100)&lt;=$G$42),TL100*$D$42,IF(AND(ABS(TL100)&gt;=$F$43,ABS(TL100)&lt;=$G$43),TL100*$D$43,IF(AND(ABS(TL100)&gt;=$F$44,ABS(TL100)&lt;=$G$44),TL100*$D$44,"rango cal. out")))</f>
        <v>0</v>
      </c>
      <c r="TP100" s="619" t="e">
        <f>((273.2+TI100)*$F$32/((273.2+$F$31)*TK100))</f>
        <v>#DIV/0!</v>
      </c>
      <c r="TQ100" s="674" t="e">
        <f>TO100/TM100*TP100*EXP(-LN(2)/10990*($F$88-TN100))</f>
        <v>#DIV/0!</v>
      </c>
      <c r="TR100" s="599" t="e">
        <f>TQ100-AVERAGE(TY94:TY95)</f>
        <v>#DIV/0!</v>
      </c>
      <c r="TS100" s="672" t="e">
        <f>ABS($B$33*TR100*3600)</f>
        <v>#DIV/0!</v>
      </c>
      <c r="TT100" s="675" t="e">
        <f>ABS($B$34*TR100*3600)</f>
        <v>#DIV/0!</v>
      </c>
      <c r="TU100" s="614" t="e">
        <f>TT100*$C$79</f>
        <v>#DIV/0!</v>
      </c>
      <c r="TV100" s="672" t="e">
        <f>TT100*$F$70</f>
        <v>#DIV/0!</v>
      </c>
      <c r="TW100" s="599" t="e">
        <f>TT100*$F$75</f>
        <v>#DIV/0!</v>
      </c>
      <c r="TX100" s="672" t="e">
        <f>TT100*$F$72</f>
        <v>#DIV/0!</v>
      </c>
      <c r="TY100" s="676" t="e">
        <f>TT100*$F$71</f>
        <v>#DIV/0!</v>
      </c>
    </row>
    <row r="101" spans="1:545" x14ac:dyDescent="0.25">
      <c r="A101" s="3465"/>
      <c r="B101" s="668"/>
      <c r="C101" s="673"/>
      <c r="D101" s="673"/>
      <c r="E101" s="671"/>
      <c r="F101" s="673"/>
      <c r="G101" s="650"/>
      <c r="H101" s="651"/>
      <c r="I101" s="619"/>
      <c r="J101" s="674"/>
      <c r="K101" s="599"/>
      <c r="L101" s="672"/>
      <c r="M101" s="675"/>
      <c r="N101" s="672"/>
      <c r="O101" s="672"/>
      <c r="P101" s="600"/>
      <c r="Q101" s="672"/>
      <c r="R101" s="676"/>
      <c r="S101" s="677"/>
      <c r="T101" s="669"/>
      <c r="U101" s="670"/>
      <c r="V101" s="671"/>
      <c r="W101" s="678"/>
      <c r="X101" s="650"/>
      <c r="Y101" s="651">
        <f t="shared" si="63"/>
        <v>0</v>
      </c>
      <c r="Z101" s="619" t="e">
        <f>((273.2+S101)*$F$32/((273.2+$F$31)*U101))</f>
        <v>#DIV/0!</v>
      </c>
      <c r="AA101" s="674" t="e">
        <f>Y101/W101*Z101*EXP(-LN(2)/10990*($F$88-X101))</f>
        <v>#DIV/0!</v>
      </c>
      <c r="AB101" s="599" t="e">
        <f>AA101-AVERAGE(AI94:AI95)</f>
        <v>#DIV/0!</v>
      </c>
      <c r="AC101" s="672" t="e">
        <f>ABS($B$33*AB101*3600)</f>
        <v>#DIV/0!</v>
      </c>
      <c r="AD101" s="675" t="e">
        <f>ABS($B$34*AB101*3600)</f>
        <v>#DIV/0!</v>
      </c>
      <c r="AE101" s="672" t="e">
        <f>AD101*$C$79</f>
        <v>#DIV/0!</v>
      </c>
      <c r="AF101" s="672" t="e">
        <f>AD101*$F$70</f>
        <v>#DIV/0!</v>
      </c>
      <c r="AG101" s="600" t="e">
        <f t="shared" ref="AG101:AG103" si="94">AD101*$F$75</f>
        <v>#DIV/0!</v>
      </c>
      <c r="AH101" s="672" t="e">
        <f>AD101*$F$72</f>
        <v>#DIV/0!</v>
      </c>
      <c r="AI101" s="676" t="e">
        <f>AD101*$F$71</f>
        <v>#DIV/0!</v>
      </c>
      <c r="AJ101" s="668"/>
      <c r="AK101" s="669"/>
      <c r="AL101" s="670"/>
      <c r="AM101" s="671"/>
      <c r="AN101" s="678"/>
      <c r="AO101" s="650"/>
      <c r="AP101" s="651">
        <f t="shared" si="64"/>
        <v>0</v>
      </c>
      <c r="AQ101" s="619" t="e">
        <f>((273.2+AJ101)*$F$32/((273.2+$F$31)*AL101))</f>
        <v>#DIV/0!</v>
      </c>
      <c r="AR101" s="674" t="e">
        <f>AP101/AN101*AQ101*EXP(-LN(2)/10990*($F$88-AO101))</f>
        <v>#DIV/0!</v>
      </c>
      <c r="AS101" s="599" t="e">
        <f>AR101-AVERAGE(AZ94:AZ95)</f>
        <v>#DIV/0!</v>
      </c>
      <c r="AT101" s="672" t="e">
        <f>ABS($B$33*AS101*3600)</f>
        <v>#DIV/0!</v>
      </c>
      <c r="AU101" s="675" t="e">
        <f>ABS($B$34*AS101*3600)</f>
        <v>#DIV/0!</v>
      </c>
      <c r="AV101" s="672" t="e">
        <f>AU101*$C$79</f>
        <v>#DIV/0!</v>
      </c>
      <c r="AW101" s="672" t="e">
        <f>AU101*$F$70</f>
        <v>#DIV/0!</v>
      </c>
      <c r="AX101" s="600" t="e">
        <f t="shared" ref="AX101:AX103" si="95">AU101*$F$75</f>
        <v>#DIV/0!</v>
      </c>
      <c r="AY101" s="672" t="e">
        <f>AU101*$F$72</f>
        <v>#DIV/0!</v>
      </c>
      <c r="AZ101" s="676" t="e">
        <f>AU101*$F$71</f>
        <v>#DIV/0!</v>
      </c>
      <c r="BA101" s="668"/>
      <c r="BB101" s="669"/>
      <c r="BC101" s="670"/>
      <c r="BD101" s="671"/>
      <c r="BE101" s="678"/>
      <c r="BF101" s="650"/>
      <c r="BG101" s="651">
        <f t="shared" si="65"/>
        <v>0</v>
      </c>
      <c r="BH101" s="619" t="e">
        <f>((273.2+BA101)*$F$32/((273.2+$F$31)*BC101))</f>
        <v>#DIV/0!</v>
      </c>
      <c r="BI101" s="674" t="e">
        <f>BG101/BE101*BH101*EXP(-LN(2)/10990*($F$88-BF101))</f>
        <v>#DIV/0!</v>
      </c>
      <c r="BJ101" s="599" t="e">
        <f>BI101-AVERAGE(BQ94:BQ95)</f>
        <v>#DIV/0!</v>
      </c>
      <c r="BK101" s="672" t="e">
        <f>ABS($B$33*BJ101*3600)</f>
        <v>#DIV/0!</v>
      </c>
      <c r="BL101" s="675" t="e">
        <f>ABS($B$34*BJ101*3600)</f>
        <v>#DIV/0!</v>
      </c>
      <c r="BM101" s="672" t="e">
        <f>BL101*$C$79</f>
        <v>#DIV/0!</v>
      </c>
      <c r="BN101" s="672" t="e">
        <f>BL101*$F$70</f>
        <v>#DIV/0!</v>
      </c>
      <c r="BO101" s="600" t="e">
        <f t="shared" ref="BO101:BO103" si="96">BL101*$F$75</f>
        <v>#DIV/0!</v>
      </c>
      <c r="BP101" s="672" t="e">
        <f>BL101*$F$72</f>
        <v>#DIV/0!</v>
      </c>
      <c r="BQ101" s="676" t="e">
        <f>BL101*$F$71</f>
        <v>#DIV/0!</v>
      </c>
      <c r="BR101" s="668"/>
      <c r="BS101" s="669"/>
      <c r="BT101" s="670"/>
      <c r="BU101" s="671"/>
      <c r="BV101" s="678"/>
      <c r="BW101" s="650"/>
      <c r="BX101" s="651">
        <f t="shared" si="66"/>
        <v>0</v>
      </c>
      <c r="BY101" s="619" t="e">
        <f>((273.2+BR101)*$F$32/((273.2+$F$31)*BT101))</f>
        <v>#DIV/0!</v>
      </c>
      <c r="BZ101" s="674" t="e">
        <f>BX101/BV101*BY101*EXP(-LN(2)/10990*($F$88-BW101))</f>
        <v>#DIV/0!</v>
      </c>
      <c r="CA101" s="599" t="e">
        <f>BZ101-AVERAGE(CH94:CH95)</f>
        <v>#DIV/0!</v>
      </c>
      <c r="CB101" s="672" t="e">
        <f>ABS($B$33*CA101*3600)</f>
        <v>#DIV/0!</v>
      </c>
      <c r="CC101" s="675" t="e">
        <f>ABS($B$34*CA101*3600)</f>
        <v>#DIV/0!</v>
      </c>
      <c r="CD101" s="672" t="e">
        <f>CC101*$C$79</f>
        <v>#DIV/0!</v>
      </c>
      <c r="CE101" s="672" t="e">
        <f>CC101*$F$70</f>
        <v>#DIV/0!</v>
      </c>
      <c r="CF101" s="600" t="e">
        <f t="shared" ref="CF101:CF103" si="97">CC101*$F$75</f>
        <v>#DIV/0!</v>
      </c>
      <c r="CG101" s="672" t="e">
        <f>CC101*$F$72</f>
        <v>#DIV/0!</v>
      </c>
      <c r="CH101" s="676" t="e">
        <f>CC101*$F$71</f>
        <v>#DIV/0!</v>
      </c>
      <c r="CI101" s="668"/>
      <c r="CJ101" s="669"/>
      <c r="CK101" s="670"/>
      <c r="CL101" s="671"/>
      <c r="CM101" s="678"/>
      <c r="CN101" s="650"/>
      <c r="CO101" s="651">
        <f t="shared" si="67"/>
        <v>0</v>
      </c>
      <c r="CP101" s="619" t="e">
        <f>((273.2+CI101)*$F$32/((273.2+$F$31)*CK101))</f>
        <v>#DIV/0!</v>
      </c>
      <c r="CQ101" s="674" t="e">
        <f>CO101/CM101*CP101*EXP(-LN(2)/10990*($F$88-CN101))</f>
        <v>#DIV/0!</v>
      </c>
      <c r="CR101" s="599" t="e">
        <f>CQ101-AVERAGE(CY94:CY95)</f>
        <v>#DIV/0!</v>
      </c>
      <c r="CS101" s="672" t="e">
        <f>ABS($B$33*CR101*3600)</f>
        <v>#DIV/0!</v>
      </c>
      <c r="CT101" s="675" t="e">
        <f>ABS($B$34*CR101*3600)</f>
        <v>#DIV/0!</v>
      </c>
      <c r="CU101" s="672" t="e">
        <f>CT101*$C$79</f>
        <v>#DIV/0!</v>
      </c>
      <c r="CV101" s="672" t="e">
        <f>CT101*$F$70</f>
        <v>#DIV/0!</v>
      </c>
      <c r="CW101" s="600" t="e">
        <f t="shared" ref="CW101:CW103" si="98">CT101*$F$75</f>
        <v>#DIV/0!</v>
      </c>
      <c r="CX101" s="672" t="e">
        <f>CT101*$F$72</f>
        <v>#DIV/0!</v>
      </c>
      <c r="CY101" s="676" t="e">
        <f>CT101*$F$71</f>
        <v>#DIV/0!</v>
      </c>
      <c r="CZ101" s="668"/>
      <c r="DA101" s="669"/>
      <c r="DB101" s="670"/>
      <c r="DC101" s="671"/>
      <c r="DD101" s="678"/>
      <c r="DE101" s="650"/>
      <c r="DF101" s="651">
        <f t="shared" si="68"/>
        <v>0</v>
      </c>
      <c r="DG101" s="619" t="e">
        <f>((273.2+CZ101)*$F$32/((273.2+$F$31)*DB101))</f>
        <v>#DIV/0!</v>
      </c>
      <c r="DH101" s="674" t="e">
        <f>DF101/DD101*DG101*EXP(-LN(2)/10990*($F$88-DE101))</f>
        <v>#DIV/0!</v>
      </c>
      <c r="DI101" s="599" t="e">
        <f>DH101-AVERAGE(DP94:DP95)</f>
        <v>#DIV/0!</v>
      </c>
      <c r="DJ101" s="672" t="e">
        <f>ABS($B$33*DI101*3600)</f>
        <v>#DIV/0!</v>
      </c>
      <c r="DK101" s="675" t="e">
        <f>ABS($B$34*DI101*3600)</f>
        <v>#DIV/0!</v>
      </c>
      <c r="DL101" s="672" t="e">
        <f>DK101*$C$79</f>
        <v>#DIV/0!</v>
      </c>
      <c r="DM101" s="672" t="e">
        <f>DK101*$F$70</f>
        <v>#DIV/0!</v>
      </c>
      <c r="DN101" s="600" t="e">
        <f t="shared" ref="DN101:DN103" si="99">DK101*$F$75</f>
        <v>#DIV/0!</v>
      </c>
      <c r="DO101" s="672" t="e">
        <f>DK101*$F$72</f>
        <v>#DIV/0!</v>
      </c>
      <c r="DP101" s="676" t="e">
        <f>DK101*$F$71</f>
        <v>#DIV/0!</v>
      </c>
      <c r="DQ101" s="668"/>
      <c r="DR101" s="669"/>
      <c r="DS101" s="677"/>
      <c r="DT101" s="679"/>
      <c r="DU101" s="678"/>
      <c r="DV101" s="650"/>
      <c r="DW101" s="651">
        <f t="shared" si="69"/>
        <v>0</v>
      </c>
      <c r="DX101" s="619" t="e">
        <f>((273.2+DQ101)*$F$32/((273.2+$F$31)*DS101))</f>
        <v>#DIV/0!</v>
      </c>
      <c r="DY101" s="674" t="e">
        <f>DW101/DU101*DX101*EXP(-LN(2)/10990*($F$88-DV101))</f>
        <v>#DIV/0!</v>
      </c>
      <c r="DZ101" s="599" t="e">
        <f>DY101-AVERAGE(EG94:EG95)</f>
        <v>#DIV/0!</v>
      </c>
      <c r="EA101" s="672" t="e">
        <f>ABS($B$33*DZ101*3600)</f>
        <v>#DIV/0!</v>
      </c>
      <c r="EB101" s="675" t="e">
        <f>ABS($B$34*DZ101*3600)</f>
        <v>#DIV/0!</v>
      </c>
      <c r="EC101" s="672" t="e">
        <f>EB101*$C$79</f>
        <v>#DIV/0!</v>
      </c>
      <c r="ED101" s="672" t="e">
        <f>EB101*$F$70</f>
        <v>#DIV/0!</v>
      </c>
      <c r="EE101" s="600" t="e">
        <f t="shared" ref="EE101:EE103" si="100">EB101*$F$75</f>
        <v>#DIV/0!</v>
      </c>
      <c r="EF101" s="672" t="e">
        <f>EB101*$F$72</f>
        <v>#DIV/0!</v>
      </c>
      <c r="EG101" s="676" t="e">
        <f>EB101*$F$71</f>
        <v>#DIV/0!</v>
      </c>
      <c r="EH101" s="668"/>
      <c r="EI101" s="669"/>
      <c r="EJ101" s="670"/>
      <c r="EK101" s="671"/>
      <c r="EL101" s="678"/>
      <c r="EM101" s="650"/>
      <c r="EN101" s="651">
        <f t="shared" si="70"/>
        <v>0</v>
      </c>
      <c r="EO101" s="619" t="e">
        <f>((273.2+EH101)*$F$32/((273.2+$F$31)*EJ101))</f>
        <v>#DIV/0!</v>
      </c>
      <c r="EP101" s="674" t="e">
        <f>EN101/EL101*EO101*EXP(-LN(2)/10990*($F$88-EM101))</f>
        <v>#DIV/0!</v>
      </c>
      <c r="EQ101" s="599" t="e">
        <f>EP101-AVERAGE(EX94:EX95)</f>
        <v>#DIV/0!</v>
      </c>
      <c r="ER101" s="672" t="e">
        <f>ABS($B$33*EQ101*3600)</f>
        <v>#DIV/0!</v>
      </c>
      <c r="ES101" s="675" t="e">
        <f>ABS($B$34*EQ101*3600)</f>
        <v>#DIV/0!</v>
      </c>
      <c r="ET101" s="672" t="e">
        <f>ES101*$C$79</f>
        <v>#DIV/0!</v>
      </c>
      <c r="EU101" s="672" t="e">
        <f>ES101*$F$70</f>
        <v>#DIV/0!</v>
      </c>
      <c r="EV101" s="600" t="e">
        <f t="shared" ref="EV101:EV103" si="101">ES101*$F$75</f>
        <v>#DIV/0!</v>
      </c>
      <c r="EW101" s="672" t="e">
        <f>ES101*$F$72</f>
        <v>#DIV/0!</v>
      </c>
      <c r="EX101" s="676" t="e">
        <f>ES101*$F$71</f>
        <v>#DIV/0!</v>
      </c>
      <c r="EY101" s="668"/>
      <c r="EZ101" s="669"/>
      <c r="FA101" s="670"/>
      <c r="FB101" s="671"/>
      <c r="FC101" s="678"/>
      <c r="FD101" s="650"/>
      <c r="FE101" s="651">
        <f t="shared" si="71"/>
        <v>0</v>
      </c>
      <c r="FF101" s="619" t="e">
        <f>((273.2+EY101)*$F$32/((273.2+$F$31)*FA101))</f>
        <v>#DIV/0!</v>
      </c>
      <c r="FG101" s="674" t="e">
        <f>FE101/FC101*FF101*EXP(-LN(2)/10990*($F$88-FD101))</f>
        <v>#DIV/0!</v>
      </c>
      <c r="FH101" s="599" t="e">
        <f>FG101-AVERAGE(FO94:FO95)</f>
        <v>#DIV/0!</v>
      </c>
      <c r="FI101" s="672" t="e">
        <f>ABS($B$33*FH101*3600)</f>
        <v>#DIV/0!</v>
      </c>
      <c r="FJ101" s="675" t="e">
        <f>ABS($B$34*FH101*3600)</f>
        <v>#DIV/0!</v>
      </c>
      <c r="FK101" s="672" t="e">
        <f>FJ101*$C$79</f>
        <v>#DIV/0!</v>
      </c>
      <c r="FL101" s="672" t="e">
        <f>FJ101*$F$70</f>
        <v>#DIV/0!</v>
      </c>
      <c r="FM101" s="600" t="e">
        <f t="shared" ref="FM101:FM103" si="102">FJ101*$F$75</f>
        <v>#DIV/0!</v>
      </c>
      <c r="FN101" s="672" t="e">
        <f>FJ101*$F$72</f>
        <v>#DIV/0!</v>
      </c>
      <c r="FO101" s="676" t="e">
        <f>FJ101*$F$71</f>
        <v>#DIV/0!</v>
      </c>
      <c r="FP101" s="668"/>
      <c r="FQ101" s="669"/>
      <c r="FR101" s="670"/>
      <c r="FS101" s="671"/>
      <c r="FT101" s="678"/>
      <c r="FU101" s="650"/>
      <c r="FV101" s="651">
        <f t="shared" si="72"/>
        <v>0</v>
      </c>
      <c r="FW101" s="619" t="e">
        <f>((273.2+FP101)*$F$32/((273.2+$F$31)*FR101))</f>
        <v>#DIV/0!</v>
      </c>
      <c r="FX101" s="674" t="e">
        <f>FV101/FT101*FW101*EXP(-LN(2)/10990*($F$88-FU101))</f>
        <v>#DIV/0!</v>
      </c>
      <c r="FY101" s="599" t="e">
        <f>FX101-AVERAGE(GF94:GF95)</f>
        <v>#DIV/0!</v>
      </c>
      <c r="FZ101" s="672" t="e">
        <f>ABS($B$33*FY101*3600)</f>
        <v>#DIV/0!</v>
      </c>
      <c r="GA101" s="675" t="e">
        <f>ABS($B$34*FY101*3600)</f>
        <v>#DIV/0!</v>
      </c>
      <c r="GB101" s="672" t="e">
        <f>GA101*$C$79</f>
        <v>#DIV/0!</v>
      </c>
      <c r="GC101" s="672" t="e">
        <f>GA101*$F$70</f>
        <v>#DIV/0!</v>
      </c>
      <c r="GD101" s="600" t="e">
        <f t="shared" ref="GD101:GD103" si="103">GA101*$F$75</f>
        <v>#DIV/0!</v>
      </c>
      <c r="GE101" s="672" t="e">
        <f>GA101*$F$72</f>
        <v>#DIV/0!</v>
      </c>
      <c r="GF101" s="676" t="e">
        <f>GA101*$F$71</f>
        <v>#DIV/0!</v>
      </c>
      <c r="GG101" s="668"/>
      <c r="GH101" s="669"/>
      <c r="GI101" s="677"/>
      <c r="GJ101" s="679"/>
      <c r="GK101" s="678"/>
      <c r="GL101" s="650"/>
      <c r="GM101" s="651">
        <f t="shared" si="73"/>
        <v>0</v>
      </c>
      <c r="GN101" s="619" t="e">
        <f>((273.2+GG101)*$F$32/((273.2+$F$31)*GI101))</f>
        <v>#DIV/0!</v>
      </c>
      <c r="GO101" s="674" t="e">
        <f>GM101/GK101*GN101*EXP(-LN(2)/10990*($F$88-GL101))</f>
        <v>#DIV/0!</v>
      </c>
      <c r="GP101" s="599" t="e">
        <f>GO101-AVERAGE(GW94:GW95)</f>
        <v>#DIV/0!</v>
      </c>
      <c r="GQ101" s="672" t="e">
        <f>ABS($B$33*GP101*3600)</f>
        <v>#DIV/0!</v>
      </c>
      <c r="GR101" s="675" t="e">
        <f>ABS($B$34*GP101*3600)</f>
        <v>#DIV/0!</v>
      </c>
      <c r="GS101" s="672" t="e">
        <f>GR101*$C$79</f>
        <v>#DIV/0!</v>
      </c>
      <c r="GT101" s="672" t="e">
        <f>GR101*$F$70</f>
        <v>#DIV/0!</v>
      </c>
      <c r="GU101" s="600" t="e">
        <f t="shared" ref="GU101:GU103" si="104">GR101*$F$75</f>
        <v>#DIV/0!</v>
      </c>
      <c r="GV101" s="672" t="e">
        <f>GR101*$F$72</f>
        <v>#DIV/0!</v>
      </c>
      <c r="GW101" s="676" t="e">
        <f>GR101*$F$71</f>
        <v>#DIV/0!</v>
      </c>
      <c r="GX101" s="668"/>
      <c r="GY101" s="669"/>
      <c r="GZ101" s="670"/>
      <c r="HA101" s="671"/>
      <c r="HB101" s="678"/>
      <c r="HC101" s="650"/>
      <c r="HD101" s="651">
        <f t="shared" si="74"/>
        <v>0</v>
      </c>
      <c r="HE101" s="619" t="e">
        <f>((273.2+GX101)*$F$32/((273.2+$F$31)*GZ101))</f>
        <v>#DIV/0!</v>
      </c>
      <c r="HF101" s="674" t="e">
        <f>HD101/HB101*HE101*EXP(-LN(2)/10990*($F$88-HC101))</f>
        <v>#DIV/0!</v>
      </c>
      <c r="HG101" s="599" t="e">
        <f>HF101-AVERAGE(HN94:HN95)</f>
        <v>#DIV/0!</v>
      </c>
      <c r="HH101" s="672" t="e">
        <f>ABS($B$33*HG101*3600)</f>
        <v>#DIV/0!</v>
      </c>
      <c r="HI101" s="675" t="e">
        <f>ABS($B$34*HG101*3600)</f>
        <v>#DIV/0!</v>
      </c>
      <c r="HJ101" s="672" t="e">
        <f>HI101*$C$79</f>
        <v>#DIV/0!</v>
      </c>
      <c r="HK101" s="672" t="e">
        <f>HI101*$F$70</f>
        <v>#DIV/0!</v>
      </c>
      <c r="HL101" s="600" t="e">
        <f t="shared" ref="HL101:HL103" si="105">HI101*$F$75</f>
        <v>#DIV/0!</v>
      </c>
      <c r="HM101" s="672" t="e">
        <f>HI101*$F$72</f>
        <v>#DIV/0!</v>
      </c>
      <c r="HN101" s="676" t="e">
        <f>HI101*$F$71</f>
        <v>#DIV/0!</v>
      </c>
      <c r="HO101" s="668"/>
      <c r="HP101" s="669"/>
      <c r="HQ101" s="670"/>
      <c r="HR101" s="671"/>
      <c r="HS101" s="678"/>
      <c r="HT101" s="650"/>
      <c r="HU101" s="651">
        <f t="shared" si="75"/>
        <v>0</v>
      </c>
      <c r="HV101" s="619" t="e">
        <f>((273.2+HO101)*$F$32/((273.2+$F$31)*HQ101))</f>
        <v>#DIV/0!</v>
      </c>
      <c r="HW101" s="674" t="e">
        <f>HU101/HS101*HV101*EXP(-LN(2)/10990*($F$88-HT101))</f>
        <v>#DIV/0!</v>
      </c>
      <c r="HX101" s="599" t="e">
        <f>HW101-AVERAGE(IE94:IE95)</f>
        <v>#DIV/0!</v>
      </c>
      <c r="HY101" s="672" t="e">
        <f>ABS($B$33*HX101*3600)</f>
        <v>#DIV/0!</v>
      </c>
      <c r="HZ101" s="675" t="e">
        <f>ABS($B$34*HX101*3600)</f>
        <v>#DIV/0!</v>
      </c>
      <c r="IA101" s="672" t="e">
        <f>HZ101*$C$79</f>
        <v>#DIV/0!</v>
      </c>
      <c r="IB101" s="672" t="e">
        <f>HZ101*$F$70</f>
        <v>#DIV/0!</v>
      </c>
      <c r="IC101" s="600" t="e">
        <f t="shared" ref="IC101:IC103" si="106">HZ101*$F$75</f>
        <v>#DIV/0!</v>
      </c>
      <c r="ID101" s="672" t="e">
        <f>HZ101*$F$72</f>
        <v>#DIV/0!</v>
      </c>
      <c r="IE101" s="676" t="e">
        <f>HZ101*$F$71</f>
        <v>#DIV/0!</v>
      </c>
      <c r="IF101" s="668"/>
      <c r="IG101" s="669"/>
      <c r="IH101" s="670"/>
      <c r="II101" s="671"/>
      <c r="IJ101" s="678"/>
      <c r="IK101" s="650"/>
      <c r="IL101" s="651">
        <f t="shared" si="76"/>
        <v>0</v>
      </c>
      <c r="IM101" s="619" t="e">
        <f>((273.2+IF101)*$F$32/((273.2+$F$31)*IH101))</f>
        <v>#DIV/0!</v>
      </c>
      <c r="IN101" s="674" t="e">
        <f>IL101/IJ101*IM101*EXP(-LN(2)/10990*($F$88-IK101))</f>
        <v>#DIV/0!</v>
      </c>
      <c r="IO101" s="599" t="e">
        <f>IN101-AVERAGE(IV94:IV95)</f>
        <v>#DIV/0!</v>
      </c>
      <c r="IP101" s="672" t="e">
        <f>ABS($B$33*IO101*3600)</f>
        <v>#DIV/0!</v>
      </c>
      <c r="IQ101" s="675" t="e">
        <f>ABS($B$34*IO101*3600)</f>
        <v>#DIV/0!</v>
      </c>
      <c r="IR101" s="672" t="e">
        <f>IQ101*$C$79</f>
        <v>#DIV/0!</v>
      </c>
      <c r="IS101" s="672" t="e">
        <f>IQ101*$F$70</f>
        <v>#DIV/0!</v>
      </c>
      <c r="IT101" s="600" t="e">
        <f t="shared" ref="IT101:IT103" si="107">IQ101*$F$75</f>
        <v>#DIV/0!</v>
      </c>
      <c r="IU101" s="672" t="e">
        <f>IQ101*$F$72</f>
        <v>#DIV/0!</v>
      </c>
      <c r="IV101" s="676" t="e">
        <f>IQ101*$F$71</f>
        <v>#DIV/0!</v>
      </c>
      <c r="IW101" s="668"/>
      <c r="IX101" s="669"/>
      <c r="IY101" s="670"/>
      <c r="IZ101" s="671"/>
      <c r="JA101" s="678"/>
      <c r="JB101" s="650"/>
      <c r="JC101" s="651">
        <f t="shared" si="77"/>
        <v>0</v>
      </c>
      <c r="JD101" s="619" t="e">
        <f>((273.2+IW101)*$F$32/((273.2+$F$31)*IY101))</f>
        <v>#DIV/0!</v>
      </c>
      <c r="JE101" s="674" t="e">
        <f>JC101/JA101*JD101*EXP(-LN(2)/10990*($F$88-JB101))</f>
        <v>#DIV/0!</v>
      </c>
      <c r="JF101" s="599" t="e">
        <f>JE101-AVERAGE(JM94:JM95)</f>
        <v>#DIV/0!</v>
      </c>
      <c r="JG101" s="672" t="e">
        <f>ABS($B$33*JF101*3600)</f>
        <v>#DIV/0!</v>
      </c>
      <c r="JH101" s="675" t="e">
        <f>ABS($B$34*JF101*3600)</f>
        <v>#DIV/0!</v>
      </c>
      <c r="JI101" s="672" t="e">
        <f>JH101*$C$79</f>
        <v>#DIV/0!</v>
      </c>
      <c r="JJ101" s="672" t="e">
        <f>JH101*$F$70</f>
        <v>#DIV/0!</v>
      </c>
      <c r="JK101" s="600" t="e">
        <f t="shared" ref="JK101:JK103" si="108">JH101*$F$75</f>
        <v>#DIV/0!</v>
      </c>
      <c r="JL101" s="672" t="e">
        <f>JH101*$F$72</f>
        <v>#DIV/0!</v>
      </c>
      <c r="JM101" s="676" t="e">
        <f>JH101*$F$71</f>
        <v>#DIV/0!</v>
      </c>
      <c r="JN101" s="668"/>
      <c r="JO101" s="669"/>
      <c r="JP101" s="670"/>
      <c r="JQ101" s="671"/>
      <c r="JR101" s="678"/>
      <c r="JS101" s="650"/>
      <c r="JT101" s="651">
        <f t="shared" si="78"/>
        <v>0</v>
      </c>
      <c r="JU101" s="619" t="e">
        <f>((273.2+JN101)*$F$32/((273.2+$F$31)*JP101))</f>
        <v>#DIV/0!</v>
      </c>
      <c r="JV101" s="674" t="e">
        <f>JT101/JR101*JU101*EXP(-LN(2)/10990*($F$88-JS101))</f>
        <v>#DIV/0!</v>
      </c>
      <c r="JW101" s="599" t="e">
        <f>JV101-AVERAGE(KD94:KD95)</f>
        <v>#DIV/0!</v>
      </c>
      <c r="JX101" s="672" t="e">
        <f>ABS($B$33*JW101*3600)</f>
        <v>#DIV/0!</v>
      </c>
      <c r="JY101" s="675" t="e">
        <f>ABS($B$34*JW101*3600)</f>
        <v>#DIV/0!</v>
      </c>
      <c r="JZ101" s="672" t="e">
        <f>JY101*$C$79</f>
        <v>#DIV/0!</v>
      </c>
      <c r="KA101" s="672" t="e">
        <f>JY101*$F$70</f>
        <v>#DIV/0!</v>
      </c>
      <c r="KB101" s="600" t="e">
        <f t="shared" ref="KB101:KB103" si="109">JY101*$F$75</f>
        <v>#DIV/0!</v>
      </c>
      <c r="KC101" s="672" t="e">
        <f>JY101*$F$72</f>
        <v>#DIV/0!</v>
      </c>
      <c r="KD101" s="676" t="e">
        <f>JY101*$F$71</f>
        <v>#DIV/0!</v>
      </c>
      <c r="KE101" s="668"/>
      <c r="KF101" s="669"/>
      <c r="KG101" s="670"/>
      <c r="KH101" s="671"/>
      <c r="KI101" s="678"/>
      <c r="KJ101" s="650"/>
      <c r="KK101" s="651">
        <f t="shared" si="79"/>
        <v>0</v>
      </c>
      <c r="KL101" s="619" t="e">
        <f>((273.2+KE101)*$F$32/((273.2+$F$31)*KG101))</f>
        <v>#DIV/0!</v>
      </c>
      <c r="KM101" s="674" t="e">
        <f>KK101/KI101*KL101*EXP(-LN(2)/10990*($F$88-KJ101))</f>
        <v>#DIV/0!</v>
      </c>
      <c r="KN101" s="599" t="e">
        <f>KM101-AVERAGE(KU94:KU95)</f>
        <v>#DIV/0!</v>
      </c>
      <c r="KO101" s="672" t="e">
        <f>ABS($B$33*KN101*3600)</f>
        <v>#DIV/0!</v>
      </c>
      <c r="KP101" s="675" t="e">
        <f>ABS($B$34*KN101*3600)</f>
        <v>#DIV/0!</v>
      </c>
      <c r="KQ101" s="672" t="e">
        <f>KP101*$C$79</f>
        <v>#DIV/0!</v>
      </c>
      <c r="KR101" s="672" t="e">
        <f>KP101*$F$70</f>
        <v>#DIV/0!</v>
      </c>
      <c r="KS101" s="600" t="e">
        <f t="shared" ref="KS101:KS103" si="110">KP101*$F$75</f>
        <v>#DIV/0!</v>
      </c>
      <c r="KT101" s="672" t="e">
        <f>KP101*$F$72</f>
        <v>#DIV/0!</v>
      </c>
      <c r="KU101" s="676" t="e">
        <f>KP101*$F$71</f>
        <v>#DIV/0!</v>
      </c>
      <c r="KV101" s="668"/>
      <c r="KW101" s="669"/>
      <c r="KX101" s="670"/>
      <c r="KY101" s="671"/>
      <c r="KZ101" s="678"/>
      <c r="LA101" s="650"/>
      <c r="LB101" s="651">
        <f t="shared" si="80"/>
        <v>0</v>
      </c>
      <c r="LC101" s="619" t="e">
        <f>((273.2+KV101)*$F$32/((273.2+$F$31)*KX101))</f>
        <v>#DIV/0!</v>
      </c>
      <c r="LD101" s="674" t="e">
        <f>LB101/KZ101*LC101*EXP(-LN(2)/10990*($F$88-LA101))</f>
        <v>#DIV/0!</v>
      </c>
      <c r="LE101" s="599" t="e">
        <f>LD101-AVERAGE(LL94:LL95)</f>
        <v>#DIV/0!</v>
      </c>
      <c r="LF101" s="672" t="e">
        <f>ABS($B$33*LE101*3600)</f>
        <v>#DIV/0!</v>
      </c>
      <c r="LG101" s="675" t="e">
        <f>ABS($B$34*LE101*3600)</f>
        <v>#DIV/0!</v>
      </c>
      <c r="LH101" s="672" t="e">
        <f>LG101*$C$79</f>
        <v>#DIV/0!</v>
      </c>
      <c r="LI101" s="672" t="e">
        <f>LG101*$F$70</f>
        <v>#DIV/0!</v>
      </c>
      <c r="LJ101" s="600" t="e">
        <f t="shared" ref="LJ101:LJ103" si="111">LG101*$F$75</f>
        <v>#DIV/0!</v>
      </c>
      <c r="LK101" s="672" t="e">
        <f>LG101*$F$72</f>
        <v>#DIV/0!</v>
      </c>
      <c r="LL101" s="676" t="e">
        <f>LG101*$F$71</f>
        <v>#DIV/0!</v>
      </c>
      <c r="LM101" s="668"/>
      <c r="LN101" s="669"/>
      <c r="LO101" s="670"/>
      <c r="LP101" s="671"/>
      <c r="LQ101" s="678"/>
      <c r="LR101" s="650"/>
      <c r="LS101" s="651">
        <f t="shared" si="81"/>
        <v>0</v>
      </c>
      <c r="LT101" s="619" t="e">
        <f>((273.2+LM101)*$F$32/((273.2+$F$31)*LO101))</f>
        <v>#DIV/0!</v>
      </c>
      <c r="LU101" s="674" t="e">
        <f>LS101/LQ101*LT101*EXP(-LN(2)/10990*($F$88-LR101))</f>
        <v>#DIV/0!</v>
      </c>
      <c r="LV101" s="599" t="e">
        <f>LU101-AVERAGE(MC94:MC95)</f>
        <v>#DIV/0!</v>
      </c>
      <c r="LW101" s="672" t="e">
        <f>ABS($B$33*LV101*3600)</f>
        <v>#DIV/0!</v>
      </c>
      <c r="LX101" s="675" t="e">
        <f>ABS($B$34*LV101*3600)</f>
        <v>#DIV/0!</v>
      </c>
      <c r="LY101" s="672" t="e">
        <f>LX101*$C$79</f>
        <v>#DIV/0!</v>
      </c>
      <c r="LZ101" s="672" t="e">
        <f>LX101*$F$70</f>
        <v>#DIV/0!</v>
      </c>
      <c r="MA101" s="600" t="e">
        <f t="shared" ref="MA101:MA103" si="112">LX101*$F$75</f>
        <v>#DIV/0!</v>
      </c>
      <c r="MB101" s="672" t="e">
        <f>LX101*$F$72</f>
        <v>#DIV/0!</v>
      </c>
      <c r="MC101" s="676" t="e">
        <f>LX101*$F$71</f>
        <v>#DIV/0!</v>
      </c>
      <c r="MD101" s="668"/>
      <c r="ME101" s="669"/>
      <c r="MF101" s="680"/>
      <c r="MG101" s="671"/>
      <c r="MH101" s="673"/>
      <c r="MI101" s="650"/>
      <c r="MJ101" s="651">
        <f t="shared" si="82"/>
        <v>0</v>
      </c>
      <c r="MK101" s="619" t="e">
        <f>((273.2+MD101)*$F$32/((273.2+$F$31)*MF101))</f>
        <v>#DIV/0!</v>
      </c>
      <c r="ML101" s="674" t="e">
        <f>MJ101/MH101*MK101*EXP(-LN(2)/10990*($F$88-MI101))</f>
        <v>#DIV/0!</v>
      </c>
      <c r="MM101" s="599" t="e">
        <f>ML101-AVERAGE(MT94:MT95)</f>
        <v>#DIV/0!</v>
      </c>
      <c r="MN101" s="672" t="e">
        <f>ABS($B$33*MM101*3600)</f>
        <v>#DIV/0!</v>
      </c>
      <c r="MO101" s="675" t="e">
        <f>ABS($B$34*MM101*3600)</f>
        <v>#DIV/0!</v>
      </c>
      <c r="MP101" s="672" t="e">
        <f>MO101*$C$79</f>
        <v>#DIV/0!</v>
      </c>
      <c r="MQ101" s="672" t="e">
        <f>MO101*$F$70</f>
        <v>#DIV/0!</v>
      </c>
      <c r="MR101" s="600" t="e">
        <f t="shared" ref="MR101:MR103" si="113">MO101*$F$75</f>
        <v>#DIV/0!</v>
      </c>
      <c r="MS101" s="672" t="e">
        <f>MO101*$F$72</f>
        <v>#DIV/0!</v>
      </c>
      <c r="MT101" s="676" t="e">
        <f>MO101*$F$71</f>
        <v>#DIV/0!</v>
      </c>
      <c r="MU101" s="668"/>
      <c r="MV101" s="669"/>
      <c r="MW101" s="670"/>
      <c r="MX101" s="671"/>
      <c r="MY101" s="678"/>
      <c r="MZ101" s="650"/>
      <c r="NA101" s="651">
        <f t="shared" si="83"/>
        <v>0</v>
      </c>
      <c r="NB101" s="619" t="e">
        <f>((273.2+MU101)*$F$32/((273.2+$F$31)*MW101))</f>
        <v>#DIV/0!</v>
      </c>
      <c r="NC101" s="674" t="e">
        <f>NA101/MY101*NB101*EXP(-LN(2)/10990*($F$88-MZ101))</f>
        <v>#DIV/0!</v>
      </c>
      <c r="ND101" s="599" t="e">
        <f>NC101-AVERAGE(NK94:NK95)</f>
        <v>#DIV/0!</v>
      </c>
      <c r="NE101" s="672" t="e">
        <f>ABS($B$33*ND101*3600)</f>
        <v>#DIV/0!</v>
      </c>
      <c r="NF101" s="675" t="e">
        <f>ABS($B$34*ND101*3600)</f>
        <v>#DIV/0!</v>
      </c>
      <c r="NG101" s="672" t="e">
        <f>NF101*$C$79</f>
        <v>#DIV/0!</v>
      </c>
      <c r="NH101" s="672" t="e">
        <f>NF101*$F$70</f>
        <v>#DIV/0!</v>
      </c>
      <c r="NI101" s="600" t="e">
        <f t="shared" ref="NI101:NI103" si="114">NF101*$F$75</f>
        <v>#DIV/0!</v>
      </c>
      <c r="NJ101" s="672" t="e">
        <f>NF101*$F$72</f>
        <v>#DIV/0!</v>
      </c>
      <c r="NK101" s="676" t="e">
        <f>NF101*$F$71</f>
        <v>#DIV/0!</v>
      </c>
      <c r="NL101" s="668"/>
      <c r="NM101" s="669"/>
      <c r="NN101" s="670"/>
      <c r="NO101" s="671"/>
      <c r="NP101" s="678"/>
      <c r="NQ101" s="650"/>
      <c r="NR101" s="651">
        <f t="shared" si="84"/>
        <v>0</v>
      </c>
      <c r="NS101" s="619" t="e">
        <f>((273.2+NL101)*$F$32/((273.2+$F$31)*NN101))</f>
        <v>#DIV/0!</v>
      </c>
      <c r="NT101" s="674" t="e">
        <f>NR101/NP101*NS101*EXP(-LN(2)/10990*($F$88-NQ101))</f>
        <v>#DIV/0!</v>
      </c>
      <c r="NU101" s="599" t="e">
        <f>NT101-AVERAGE(OB94:OB95)</f>
        <v>#DIV/0!</v>
      </c>
      <c r="NV101" s="672" t="e">
        <f>ABS($B$33*NU101*3600)</f>
        <v>#DIV/0!</v>
      </c>
      <c r="NW101" s="675" t="e">
        <f>ABS($B$34*NU101*3600)</f>
        <v>#DIV/0!</v>
      </c>
      <c r="NX101" s="672" t="e">
        <f>NW101*$C$79</f>
        <v>#DIV/0!</v>
      </c>
      <c r="NY101" s="672" t="e">
        <f>NW101*$F$70</f>
        <v>#DIV/0!</v>
      </c>
      <c r="NZ101" s="600" t="e">
        <f t="shared" ref="NZ101:NZ103" si="115">NW101*$F$75</f>
        <v>#DIV/0!</v>
      </c>
      <c r="OA101" s="672" t="e">
        <f>NW101*$F$72</f>
        <v>#DIV/0!</v>
      </c>
      <c r="OB101" s="676" t="e">
        <f>NW101*$F$71</f>
        <v>#DIV/0!</v>
      </c>
      <c r="OC101" s="668"/>
      <c r="OD101" s="669"/>
      <c r="OE101" s="670"/>
      <c r="OF101" s="671"/>
      <c r="OG101" s="678"/>
      <c r="OH101" s="650"/>
      <c r="OI101" s="651">
        <f t="shared" si="85"/>
        <v>0</v>
      </c>
      <c r="OJ101" s="619" t="e">
        <f>((273.2+OC101)*$F$32/((273.2+$F$31)*OE101))</f>
        <v>#DIV/0!</v>
      </c>
      <c r="OK101" s="674" t="e">
        <f>OI101/OG101*OJ101*EXP(-LN(2)/10990*($F$88-OH101))</f>
        <v>#DIV/0!</v>
      </c>
      <c r="OL101" s="599" t="e">
        <f>OK101-AVERAGE(OS94:OS95)</f>
        <v>#DIV/0!</v>
      </c>
      <c r="OM101" s="672" t="e">
        <f>ABS($B$33*OL101*3600)</f>
        <v>#DIV/0!</v>
      </c>
      <c r="ON101" s="675" t="e">
        <f>ABS($B$34*OL101*3600)</f>
        <v>#DIV/0!</v>
      </c>
      <c r="OO101" s="672" t="e">
        <f>ON101*$C$79</f>
        <v>#DIV/0!</v>
      </c>
      <c r="OP101" s="672" t="e">
        <f>ON101*$F$70</f>
        <v>#DIV/0!</v>
      </c>
      <c r="OQ101" s="600" t="e">
        <f t="shared" ref="OQ101:OQ103" si="116">ON101*$F$75</f>
        <v>#DIV/0!</v>
      </c>
      <c r="OR101" s="672" t="e">
        <f>ON101*$F$72</f>
        <v>#DIV/0!</v>
      </c>
      <c r="OS101" s="676" t="e">
        <f>ON101*$F$71</f>
        <v>#DIV/0!</v>
      </c>
      <c r="OT101" s="668"/>
      <c r="OU101" s="669"/>
      <c r="OV101" s="670"/>
      <c r="OW101" s="671"/>
      <c r="OX101" s="678"/>
      <c r="OY101" s="650"/>
      <c r="OZ101" s="651">
        <f t="shared" si="86"/>
        <v>0</v>
      </c>
      <c r="PA101" s="619" t="e">
        <f>((273.2+OT101)*$F$32/((273.2+$F$31)*OV101))</f>
        <v>#DIV/0!</v>
      </c>
      <c r="PB101" s="674" t="e">
        <f>OZ101/OX101*PA101*EXP(-LN(2)/10990*($F$88-OY101))</f>
        <v>#DIV/0!</v>
      </c>
      <c r="PC101" s="599" t="e">
        <f>PB101-AVERAGE(PJ94:PJ95)</f>
        <v>#DIV/0!</v>
      </c>
      <c r="PD101" s="672" t="e">
        <f>ABS($B$33*PC101*3600)</f>
        <v>#DIV/0!</v>
      </c>
      <c r="PE101" s="675" t="e">
        <f>ABS($B$34*PC101*3600)</f>
        <v>#DIV/0!</v>
      </c>
      <c r="PF101" s="672" t="e">
        <f>PE101*$C$79</f>
        <v>#DIV/0!</v>
      </c>
      <c r="PG101" s="672" t="e">
        <f>PE101*$F$70</f>
        <v>#DIV/0!</v>
      </c>
      <c r="PH101" s="600" t="e">
        <f t="shared" ref="PH101:PH103" si="117">PE101*$F$75</f>
        <v>#DIV/0!</v>
      </c>
      <c r="PI101" s="672" t="e">
        <f>PE101*$F$72</f>
        <v>#DIV/0!</v>
      </c>
      <c r="PJ101" s="676" t="e">
        <f>PE101*$F$71</f>
        <v>#DIV/0!</v>
      </c>
      <c r="PK101" s="668"/>
      <c r="PL101" s="669"/>
      <c r="PM101" s="670"/>
      <c r="PN101" s="671"/>
      <c r="PO101" s="678"/>
      <c r="PP101" s="650"/>
      <c r="PQ101" s="651">
        <f t="shared" si="87"/>
        <v>0</v>
      </c>
      <c r="PR101" s="619" t="e">
        <f>((273.2+PK101)*$F$32/((273.2+$F$31)*PM101))</f>
        <v>#DIV/0!</v>
      </c>
      <c r="PS101" s="674" t="e">
        <f>PQ101/PO101*PR101*EXP(-LN(2)/10990*($F$88-PP101))</f>
        <v>#DIV/0!</v>
      </c>
      <c r="PT101" s="599" t="e">
        <f>PS101-AVERAGE(QA94:QA95)</f>
        <v>#DIV/0!</v>
      </c>
      <c r="PU101" s="672" t="e">
        <f>ABS($B$33*PT101*3600)</f>
        <v>#DIV/0!</v>
      </c>
      <c r="PV101" s="675" t="e">
        <f>ABS($B$34*PT101*3600)</f>
        <v>#DIV/0!</v>
      </c>
      <c r="PW101" s="672" t="e">
        <f>PV101*$C$79</f>
        <v>#DIV/0!</v>
      </c>
      <c r="PX101" s="672" t="e">
        <f>PV101*$F$70</f>
        <v>#DIV/0!</v>
      </c>
      <c r="PY101" s="600" t="e">
        <f t="shared" ref="PY101:PY103" si="118">PV101*$F$75</f>
        <v>#DIV/0!</v>
      </c>
      <c r="PZ101" s="672" t="e">
        <f>PV101*$F$72</f>
        <v>#DIV/0!</v>
      </c>
      <c r="QA101" s="676" t="e">
        <f>PV101*$F$71</f>
        <v>#DIV/0!</v>
      </c>
      <c r="QB101" s="668"/>
      <c r="QC101" s="669"/>
      <c r="QD101" s="670"/>
      <c r="QE101" s="671"/>
      <c r="QF101" s="673"/>
      <c r="QG101" s="650"/>
      <c r="QH101" s="651">
        <f t="shared" si="88"/>
        <v>0</v>
      </c>
      <c r="QI101" s="619" t="e">
        <f>((273.2+QB101)*$F$32/((273.2+$F$31)*QD101))</f>
        <v>#DIV/0!</v>
      </c>
      <c r="QJ101" s="674" t="e">
        <f>QH101/QF101*QI101*EXP(-LN(2)/10990*($F$88-QG101))</f>
        <v>#DIV/0!</v>
      </c>
      <c r="QK101" s="599" t="e">
        <f>QJ101-AVERAGE(QR94:QR95)</f>
        <v>#DIV/0!</v>
      </c>
      <c r="QL101" s="672" t="e">
        <f>ABS($B$33*QK101*3600)</f>
        <v>#DIV/0!</v>
      </c>
      <c r="QM101" s="675" t="e">
        <f>ABS($B$34*QK101*3600)</f>
        <v>#DIV/0!</v>
      </c>
      <c r="QN101" s="672" t="e">
        <f>QM101*$C$79</f>
        <v>#DIV/0!</v>
      </c>
      <c r="QO101" s="672" t="e">
        <f>QM101*$F$70</f>
        <v>#DIV/0!</v>
      </c>
      <c r="QP101" s="600" t="e">
        <f t="shared" ref="QP101:QP103" si="119">QM101*$F$75</f>
        <v>#DIV/0!</v>
      </c>
      <c r="QQ101" s="672" t="e">
        <f>QM101*$F$72</f>
        <v>#DIV/0!</v>
      </c>
      <c r="QR101" s="676" t="e">
        <f>QM101*$F$71</f>
        <v>#DIV/0!</v>
      </c>
      <c r="QS101" s="668"/>
      <c r="QT101" s="669"/>
      <c r="QU101" s="677"/>
      <c r="QV101" s="679"/>
      <c r="QW101" s="678"/>
      <c r="QX101" s="650"/>
      <c r="QY101" s="651">
        <f t="shared" si="89"/>
        <v>0</v>
      </c>
      <c r="QZ101" s="619" t="e">
        <f>((273.2+QS101)*$F$32/((273.2+$F$31)*QU101))</f>
        <v>#DIV/0!</v>
      </c>
      <c r="RA101" s="674" t="e">
        <f>QY101/QW101*QZ101*EXP(-LN(2)/10990*($F$88-QX101))</f>
        <v>#DIV/0!</v>
      </c>
      <c r="RB101" s="599" t="e">
        <f>RA101-AVERAGE(RI94:RI95)</f>
        <v>#DIV/0!</v>
      </c>
      <c r="RC101" s="672" t="e">
        <f>ABS($B$33*RB101*3600)</f>
        <v>#DIV/0!</v>
      </c>
      <c r="RD101" s="675" t="e">
        <f>ABS($B$34*RB101*3600)</f>
        <v>#DIV/0!</v>
      </c>
      <c r="RE101" s="672" t="e">
        <f>RD101*$C$79</f>
        <v>#DIV/0!</v>
      </c>
      <c r="RF101" s="672" t="e">
        <f>RD101*$F$70</f>
        <v>#DIV/0!</v>
      </c>
      <c r="RG101" s="600" t="e">
        <f t="shared" ref="RG101:RG103" si="120">RD101*$F$75</f>
        <v>#DIV/0!</v>
      </c>
      <c r="RH101" s="672" t="e">
        <f>RD101*$F$72</f>
        <v>#DIV/0!</v>
      </c>
      <c r="RI101" s="676" t="e">
        <f>RD101*$F$71</f>
        <v>#DIV/0!</v>
      </c>
      <c r="RJ101" s="668"/>
      <c r="RK101" s="669"/>
      <c r="RL101" s="670"/>
      <c r="RM101" s="671"/>
      <c r="RN101" s="678"/>
      <c r="RO101" s="650"/>
      <c r="RP101" s="651">
        <f t="shared" si="90"/>
        <v>0</v>
      </c>
      <c r="RQ101" s="619" t="e">
        <f>((273.2+RJ101)*$F$32/((273.2+$F$31)*RL101))</f>
        <v>#DIV/0!</v>
      </c>
      <c r="RR101" s="674" t="e">
        <f>RP101/RN101*RQ101*EXP(-LN(2)/10990*($F$88-RO101))</f>
        <v>#DIV/0!</v>
      </c>
      <c r="RS101" s="599" t="e">
        <f>RR101-AVERAGE(RZ94:RZ95)</f>
        <v>#DIV/0!</v>
      </c>
      <c r="RT101" s="672" t="e">
        <f>ABS($B$33*RS101*3600)</f>
        <v>#DIV/0!</v>
      </c>
      <c r="RU101" s="675" t="e">
        <f>ABS($B$34*RS101*3600)</f>
        <v>#DIV/0!</v>
      </c>
      <c r="RV101" s="672" t="e">
        <f>RU101*$C$79</f>
        <v>#DIV/0!</v>
      </c>
      <c r="RW101" s="672" t="e">
        <f>RU101*$F$70</f>
        <v>#DIV/0!</v>
      </c>
      <c r="RX101" s="600" t="e">
        <f t="shared" ref="RX101:RX103" si="121">RU101*$F$75</f>
        <v>#DIV/0!</v>
      </c>
      <c r="RY101" s="672" t="e">
        <f>RU101*$F$72</f>
        <v>#DIV/0!</v>
      </c>
      <c r="RZ101" s="676" t="e">
        <f>RU101*$F$71</f>
        <v>#DIV/0!</v>
      </c>
      <c r="SA101" s="668"/>
      <c r="SB101" s="669"/>
      <c r="SC101" s="670"/>
      <c r="SD101" s="671"/>
      <c r="SE101" s="678"/>
      <c r="SF101" s="650"/>
      <c r="SG101" s="651">
        <f t="shared" si="91"/>
        <v>0</v>
      </c>
      <c r="SH101" s="619" t="e">
        <f>((273.2+SA101)*$F$32/((273.2+$F$31)*SC101))</f>
        <v>#DIV/0!</v>
      </c>
      <c r="SI101" s="674" t="e">
        <f>SG101/SE101*SH101*EXP(-LN(2)/10990*($F$88-SF101))</f>
        <v>#DIV/0!</v>
      </c>
      <c r="SJ101" s="599" t="e">
        <f>SI101-AVERAGE(SQ94:SQ95)</f>
        <v>#DIV/0!</v>
      </c>
      <c r="SK101" s="672" t="e">
        <f>ABS($B$33*SJ101*3600)</f>
        <v>#DIV/0!</v>
      </c>
      <c r="SL101" s="675" t="e">
        <f>ABS($B$34*SJ101*3600)</f>
        <v>#DIV/0!</v>
      </c>
      <c r="SM101" s="672" t="e">
        <f>SL101*$C$79</f>
        <v>#DIV/0!</v>
      </c>
      <c r="SN101" s="672" t="e">
        <f>SL101*$F$70</f>
        <v>#DIV/0!</v>
      </c>
      <c r="SO101" s="600" t="e">
        <f t="shared" ref="SO101:SO103" si="122">SL101*$F$75</f>
        <v>#DIV/0!</v>
      </c>
      <c r="SP101" s="672" t="e">
        <f>SL101*$F$72</f>
        <v>#DIV/0!</v>
      </c>
      <c r="SQ101" s="676" t="e">
        <f>SL101*$F$71</f>
        <v>#DIV/0!</v>
      </c>
      <c r="SR101" s="668"/>
      <c r="SS101" s="669"/>
      <c r="ST101" s="670"/>
      <c r="SU101" s="671"/>
      <c r="SV101" s="678"/>
      <c r="SW101" s="650"/>
      <c r="SX101" s="651">
        <f t="shared" si="92"/>
        <v>0</v>
      </c>
      <c r="SY101" s="619" t="e">
        <f>((273.2+SR101)*$F$32/((273.2+$F$31)*ST101))</f>
        <v>#DIV/0!</v>
      </c>
      <c r="SZ101" s="674" t="e">
        <f>SX101/SV101*SY101*EXP(-LN(2)/10990*($F$88-SW101))</f>
        <v>#DIV/0!</v>
      </c>
      <c r="TA101" s="599" t="e">
        <f>SZ101-AVERAGE(TH94:TH95)</f>
        <v>#DIV/0!</v>
      </c>
      <c r="TB101" s="672" t="e">
        <f>ABS($B$33*TA101*3600)</f>
        <v>#DIV/0!</v>
      </c>
      <c r="TC101" s="675" t="e">
        <f>ABS($B$34*TA101*3600)</f>
        <v>#DIV/0!</v>
      </c>
      <c r="TD101" s="672" t="e">
        <f>TC101*$C$79</f>
        <v>#DIV/0!</v>
      </c>
      <c r="TE101" s="672" t="e">
        <f>TC101*$F$70</f>
        <v>#DIV/0!</v>
      </c>
      <c r="TF101" s="600" t="e">
        <f t="shared" ref="TF101:TF103" si="123">TC101*$F$75</f>
        <v>#DIV/0!</v>
      </c>
      <c r="TG101" s="672" t="e">
        <f>TC101*$F$72</f>
        <v>#DIV/0!</v>
      </c>
      <c r="TH101" s="676" t="e">
        <f>TC101*$F$71</f>
        <v>#DIV/0!</v>
      </c>
      <c r="TI101" s="668"/>
      <c r="TJ101" s="669"/>
      <c r="TK101" s="670"/>
      <c r="TL101" s="671"/>
      <c r="TM101" s="678"/>
      <c r="TN101" s="650"/>
      <c r="TO101" s="651">
        <f t="shared" si="93"/>
        <v>0</v>
      </c>
      <c r="TP101" s="619" t="e">
        <f>((273.2+TI101)*$F$32/((273.2+$F$31)*TK101))</f>
        <v>#DIV/0!</v>
      </c>
      <c r="TQ101" s="674" t="e">
        <f>TO101/TM101*TP101*EXP(-LN(2)/10990*($F$88-TN101))</f>
        <v>#DIV/0!</v>
      </c>
      <c r="TR101" s="599" t="e">
        <f>TQ101-AVERAGE(TY94:TY95)</f>
        <v>#DIV/0!</v>
      </c>
      <c r="TS101" s="672" t="e">
        <f>ABS($B$33*TR101*3600)</f>
        <v>#DIV/0!</v>
      </c>
      <c r="TT101" s="675" t="e">
        <f>ABS($B$34*TR101*3600)</f>
        <v>#DIV/0!</v>
      </c>
      <c r="TU101" s="672" t="e">
        <f>TT101*$C$79</f>
        <v>#DIV/0!</v>
      </c>
      <c r="TV101" s="672" t="e">
        <f>TT101*$F$70</f>
        <v>#DIV/0!</v>
      </c>
      <c r="TW101" s="600" t="e">
        <f t="shared" ref="TW101:TW103" si="124">TT101*$F$75</f>
        <v>#DIV/0!</v>
      </c>
      <c r="TX101" s="672" t="e">
        <f>TT101*$F$72</f>
        <v>#DIV/0!</v>
      </c>
      <c r="TY101" s="676" t="e">
        <f>TT101*$F$71</f>
        <v>#DIV/0!</v>
      </c>
    </row>
    <row r="102" spans="1:545" x14ac:dyDescent="0.25">
      <c r="A102" s="3465"/>
      <c r="B102" s="668"/>
      <c r="C102" s="673"/>
      <c r="D102" s="673"/>
      <c r="E102" s="671"/>
      <c r="F102" s="673"/>
      <c r="G102" s="650"/>
      <c r="H102" s="651"/>
      <c r="I102" s="619"/>
      <c r="J102" s="674"/>
      <c r="K102" s="599"/>
      <c r="L102" s="672"/>
      <c r="M102" s="675"/>
      <c r="N102" s="614"/>
      <c r="O102" s="672"/>
      <c r="P102" s="600"/>
      <c r="Q102" s="672"/>
      <c r="R102" s="676"/>
      <c r="S102" s="677"/>
      <c r="T102" s="669"/>
      <c r="U102" s="670"/>
      <c r="V102" s="671"/>
      <c r="W102" s="678"/>
      <c r="X102" s="650"/>
      <c r="Y102" s="651">
        <f t="shared" si="63"/>
        <v>0</v>
      </c>
      <c r="Z102" s="619" t="e">
        <f>((273.2+S102)*$F$32/((273.2+$F$31)*U102))</f>
        <v>#DIV/0!</v>
      </c>
      <c r="AA102" s="674" t="e">
        <f>Y102/W102*Z102*EXP(-LN(2)/10990*($F$88-X102))</f>
        <v>#DIV/0!</v>
      </c>
      <c r="AB102" s="599" t="e">
        <f>AA102-AVERAGE(AI94:AI95)</f>
        <v>#DIV/0!</v>
      </c>
      <c r="AC102" s="672" t="e">
        <f>ABS($B$33*AB102*3600)</f>
        <v>#DIV/0!</v>
      </c>
      <c r="AD102" s="675" t="e">
        <f>ABS($B$34*AB102*3600)</f>
        <v>#DIV/0!</v>
      </c>
      <c r="AE102" s="614" t="e">
        <f>AD102*$C$79</f>
        <v>#DIV/0!</v>
      </c>
      <c r="AF102" s="672" t="e">
        <f>AD102*$F$70</f>
        <v>#DIV/0!</v>
      </c>
      <c r="AG102" s="600" t="e">
        <f>AD102*$F$75</f>
        <v>#DIV/0!</v>
      </c>
      <c r="AH102" s="672" t="e">
        <f>AD102*$F$72</f>
        <v>#DIV/0!</v>
      </c>
      <c r="AI102" s="676" t="e">
        <f>AD102*$F$71</f>
        <v>#DIV/0!</v>
      </c>
      <c r="AJ102" s="668"/>
      <c r="AK102" s="669"/>
      <c r="AL102" s="670"/>
      <c r="AM102" s="671"/>
      <c r="AN102" s="678"/>
      <c r="AO102" s="650"/>
      <c r="AP102" s="651">
        <f t="shared" si="64"/>
        <v>0</v>
      </c>
      <c r="AQ102" s="619" t="e">
        <f>((273.2+AJ102)*$F$32/((273.2+$F$31)*AL102))</f>
        <v>#DIV/0!</v>
      </c>
      <c r="AR102" s="674" t="e">
        <f>AP102/AN102*AQ102*EXP(-LN(2)/10990*($F$88-AO102))</f>
        <v>#DIV/0!</v>
      </c>
      <c r="AS102" s="599" t="e">
        <f>AR102-AVERAGE(AZ94:AZ95)</f>
        <v>#DIV/0!</v>
      </c>
      <c r="AT102" s="672" t="e">
        <f>ABS($B$33*AS102*3600)</f>
        <v>#DIV/0!</v>
      </c>
      <c r="AU102" s="675" t="e">
        <f>ABS($B$34*AS102*3600)</f>
        <v>#DIV/0!</v>
      </c>
      <c r="AV102" s="614" t="e">
        <f>AU102*$C$79</f>
        <v>#DIV/0!</v>
      </c>
      <c r="AW102" s="672" t="e">
        <f>AU102*$F$70</f>
        <v>#DIV/0!</v>
      </c>
      <c r="AX102" s="600" t="e">
        <f>AU102*$F$75</f>
        <v>#DIV/0!</v>
      </c>
      <c r="AY102" s="672" t="e">
        <f>AU102*$F$72</f>
        <v>#DIV/0!</v>
      </c>
      <c r="AZ102" s="676" t="e">
        <f>AU102*$F$71</f>
        <v>#DIV/0!</v>
      </c>
      <c r="BA102" s="668"/>
      <c r="BB102" s="669"/>
      <c r="BC102" s="670"/>
      <c r="BD102" s="671"/>
      <c r="BE102" s="678"/>
      <c r="BF102" s="650"/>
      <c r="BG102" s="651">
        <f t="shared" si="65"/>
        <v>0</v>
      </c>
      <c r="BH102" s="619" t="e">
        <f>((273.2+BA102)*$F$32/((273.2+$F$31)*BC102))</f>
        <v>#DIV/0!</v>
      </c>
      <c r="BI102" s="674" t="e">
        <f>BG102/BE102*BH102*EXP(-LN(2)/10990*($F$88-BF102))</f>
        <v>#DIV/0!</v>
      </c>
      <c r="BJ102" s="599" t="e">
        <f>BI102-AVERAGE(BQ94:BQ95)</f>
        <v>#DIV/0!</v>
      </c>
      <c r="BK102" s="672" t="e">
        <f>ABS($B$33*BJ102*3600)</f>
        <v>#DIV/0!</v>
      </c>
      <c r="BL102" s="675" t="e">
        <f>ABS($B$34*BJ102*3600)</f>
        <v>#DIV/0!</v>
      </c>
      <c r="BM102" s="614" t="e">
        <f>BL102*$C$79</f>
        <v>#DIV/0!</v>
      </c>
      <c r="BN102" s="672" t="e">
        <f>BL102*$F$70</f>
        <v>#DIV/0!</v>
      </c>
      <c r="BO102" s="600" t="e">
        <f>BL102*$F$75</f>
        <v>#DIV/0!</v>
      </c>
      <c r="BP102" s="672" t="e">
        <f>BL102*$F$72</f>
        <v>#DIV/0!</v>
      </c>
      <c r="BQ102" s="676" t="e">
        <f>BL102*$F$71</f>
        <v>#DIV/0!</v>
      </c>
      <c r="BR102" s="668"/>
      <c r="BS102" s="669"/>
      <c r="BT102" s="670"/>
      <c r="BU102" s="671"/>
      <c r="BV102" s="678"/>
      <c r="BW102" s="650"/>
      <c r="BX102" s="651">
        <f t="shared" si="66"/>
        <v>0</v>
      </c>
      <c r="BY102" s="619" t="e">
        <f>((273.2+BR102)*$F$32/((273.2+$F$31)*BT102))</f>
        <v>#DIV/0!</v>
      </c>
      <c r="BZ102" s="674" t="e">
        <f>BX102/BV102*BY102*EXP(-LN(2)/10990*($F$88-BW102))</f>
        <v>#DIV/0!</v>
      </c>
      <c r="CA102" s="599" t="e">
        <f>BZ102-AVERAGE(CH94:CH95)</f>
        <v>#DIV/0!</v>
      </c>
      <c r="CB102" s="672" t="e">
        <f>ABS($B$33*CA102*3600)</f>
        <v>#DIV/0!</v>
      </c>
      <c r="CC102" s="675" t="e">
        <f>ABS($B$34*CA102*3600)</f>
        <v>#DIV/0!</v>
      </c>
      <c r="CD102" s="614" t="e">
        <f>CC102*$C$79</f>
        <v>#DIV/0!</v>
      </c>
      <c r="CE102" s="672" t="e">
        <f>CC102*$F$70</f>
        <v>#DIV/0!</v>
      </c>
      <c r="CF102" s="600" t="e">
        <f>CC102*$F$75</f>
        <v>#DIV/0!</v>
      </c>
      <c r="CG102" s="672" t="e">
        <f>CC102*$F$72</f>
        <v>#DIV/0!</v>
      </c>
      <c r="CH102" s="676" t="e">
        <f>CC102*$F$71</f>
        <v>#DIV/0!</v>
      </c>
      <c r="CI102" s="668"/>
      <c r="CJ102" s="669"/>
      <c r="CK102" s="670"/>
      <c r="CL102" s="671"/>
      <c r="CM102" s="678"/>
      <c r="CN102" s="650"/>
      <c r="CO102" s="651">
        <f t="shared" si="67"/>
        <v>0</v>
      </c>
      <c r="CP102" s="619" t="e">
        <f>((273.2+CI102)*$F$32/((273.2+$F$31)*CK102))</f>
        <v>#DIV/0!</v>
      </c>
      <c r="CQ102" s="674" t="e">
        <f>CO102/CM102*CP102*EXP(-LN(2)/10990*($F$88-CN102))</f>
        <v>#DIV/0!</v>
      </c>
      <c r="CR102" s="599" t="e">
        <f>CQ102-AVERAGE(CY94:CY95)</f>
        <v>#DIV/0!</v>
      </c>
      <c r="CS102" s="672" t="e">
        <f>ABS($B$33*CR102*3600)</f>
        <v>#DIV/0!</v>
      </c>
      <c r="CT102" s="675" t="e">
        <f>ABS($B$34*CR102*3600)</f>
        <v>#DIV/0!</v>
      </c>
      <c r="CU102" s="614" t="e">
        <f>CT102*$C$79</f>
        <v>#DIV/0!</v>
      </c>
      <c r="CV102" s="672" t="e">
        <f>CT102*$F$70</f>
        <v>#DIV/0!</v>
      </c>
      <c r="CW102" s="600" t="e">
        <f>CT102*$F$75</f>
        <v>#DIV/0!</v>
      </c>
      <c r="CX102" s="672" t="e">
        <f>CT102*$F$72</f>
        <v>#DIV/0!</v>
      </c>
      <c r="CY102" s="676" t="e">
        <f>CT102*$F$71</f>
        <v>#DIV/0!</v>
      </c>
      <c r="CZ102" s="668"/>
      <c r="DA102" s="669"/>
      <c r="DB102" s="670"/>
      <c r="DC102" s="671"/>
      <c r="DD102" s="678"/>
      <c r="DE102" s="650"/>
      <c r="DF102" s="651">
        <f t="shared" si="68"/>
        <v>0</v>
      </c>
      <c r="DG102" s="619" t="e">
        <f>((273.2+CZ102)*$F$32/((273.2+$F$31)*DB102))</f>
        <v>#DIV/0!</v>
      </c>
      <c r="DH102" s="674" t="e">
        <f>DF102/DD102*DG102*EXP(-LN(2)/10990*($F$88-DE102))</f>
        <v>#DIV/0!</v>
      </c>
      <c r="DI102" s="599" t="e">
        <f>DH102-AVERAGE(DP94:DP95)</f>
        <v>#DIV/0!</v>
      </c>
      <c r="DJ102" s="672" t="e">
        <f>ABS($B$33*DI102*3600)</f>
        <v>#DIV/0!</v>
      </c>
      <c r="DK102" s="675" t="e">
        <f>ABS($B$34*DI102*3600)</f>
        <v>#DIV/0!</v>
      </c>
      <c r="DL102" s="614" t="e">
        <f>DK102*$C$79</f>
        <v>#DIV/0!</v>
      </c>
      <c r="DM102" s="672" t="e">
        <f>DK102*$F$70</f>
        <v>#DIV/0!</v>
      </c>
      <c r="DN102" s="600" t="e">
        <f>DK102*$F$75</f>
        <v>#DIV/0!</v>
      </c>
      <c r="DO102" s="672" t="e">
        <f>DK102*$F$72</f>
        <v>#DIV/0!</v>
      </c>
      <c r="DP102" s="676" t="e">
        <f>DK102*$F$71</f>
        <v>#DIV/0!</v>
      </c>
      <c r="DQ102" s="668"/>
      <c r="DR102" s="669"/>
      <c r="DS102" s="677"/>
      <c r="DT102" s="679"/>
      <c r="DU102" s="678"/>
      <c r="DV102" s="650"/>
      <c r="DW102" s="651">
        <f t="shared" si="69"/>
        <v>0</v>
      </c>
      <c r="DX102" s="619" t="e">
        <f>((273.2+DQ102)*$F$32/((273.2+$F$31)*DS102))</f>
        <v>#DIV/0!</v>
      </c>
      <c r="DY102" s="674" t="e">
        <f>DW102/DU102*DX102*EXP(-LN(2)/10990*($F$88-DV102))</f>
        <v>#DIV/0!</v>
      </c>
      <c r="DZ102" s="599" t="e">
        <f>DY102-AVERAGE(EG94:EG95)</f>
        <v>#DIV/0!</v>
      </c>
      <c r="EA102" s="672" t="e">
        <f>ABS($B$33*DZ102*3600)</f>
        <v>#DIV/0!</v>
      </c>
      <c r="EB102" s="675" t="e">
        <f>ABS($B$34*DZ102*3600)</f>
        <v>#DIV/0!</v>
      </c>
      <c r="EC102" s="614" t="e">
        <f>EB102*$C$79</f>
        <v>#DIV/0!</v>
      </c>
      <c r="ED102" s="672" t="e">
        <f>EB102*$F$70</f>
        <v>#DIV/0!</v>
      </c>
      <c r="EE102" s="600" t="e">
        <f>EB102*$F$75</f>
        <v>#DIV/0!</v>
      </c>
      <c r="EF102" s="672" t="e">
        <f>EB102*$F$72</f>
        <v>#DIV/0!</v>
      </c>
      <c r="EG102" s="676" t="e">
        <f>EB102*$F$71</f>
        <v>#DIV/0!</v>
      </c>
      <c r="EH102" s="668"/>
      <c r="EI102" s="669"/>
      <c r="EJ102" s="670"/>
      <c r="EK102" s="671"/>
      <c r="EL102" s="678"/>
      <c r="EM102" s="650"/>
      <c r="EN102" s="651">
        <f t="shared" si="70"/>
        <v>0</v>
      </c>
      <c r="EO102" s="619" t="e">
        <f>((273.2+EH102)*$F$32/((273.2+$F$31)*EJ102))</f>
        <v>#DIV/0!</v>
      </c>
      <c r="EP102" s="674" t="e">
        <f>EN102/EL102*EO102*EXP(-LN(2)/10990*($F$88-EM102))</f>
        <v>#DIV/0!</v>
      </c>
      <c r="EQ102" s="599" t="e">
        <f>EP102-AVERAGE(EX94:EX95)</f>
        <v>#DIV/0!</v>
      </c>
      <c r="ER102" s="672" t="e">
        <f>ABS($B$33*EQ102*3600)</f>
        <v>#DIV/0!</v>
      </c>
      <c r="ES102" s="675" t="e">
        <f>ABS($B$34*EQ102*3600)</f>
        <v>#DIV/0!</v>
      </c>
      <c r="ET102" s="614" t="e">
        <f>ES102*$C$79</f>
        <v>#DIV/0!</v>
      </c>
      <c r="EU102" s="672" t="e">
        <f>ES102*$F$70</f>
        <v>#DIV/0!</v>
      </c>
      <c r="EV102" s="600" t="e">
        <f>ES102*$F$75</f>
        <v>#DIV/0!</v>
      </c>
      <c r="EW102" s="672" t="e">
        <f>ES102*$F$72</f>
        <v>#DIV/0!</v>
      </c>
      <c r="EX102" s="676" t="e">
        <f>ES102*$F$71</f>
        <v>#DIV/0!</v>
      </c>
      <c r="EY102" s="668"/>
      <c r="EZ102" s="669"/>
      <c r="FA102" s="670"/>
      <c r="FB102" s="671"/>
      <c r="FC102" s="678"/>
      <c r="FD102" s="650"/>
      <c r="FE102" s="651">
        <f t="shared" si="71"/>
        <v>0</v>
      </c>
      <c r="FF102" s="619" t="e">
        <f>((273.2+EY102)*$F$32/((273.2+$F$31)*FA102))</f>
        <v>#DIV/0!</v>
      </c>
      <c r="FG102" s="674" t="e">
        <f>FE102/FC102*FF102*EXP(-LN(2)/10990*($F$88-FD102))</f>
        <v>#DIV/0!</v>
      </c>
      <c r="FH102" s="599" t="e">
        <f>FG102-AVERAGE(FO94:FO95)</f>
        <v>#DIV/0!</v>
      </c>
      <c r="FI102" s="672" t="e">
        <f>ABS($B$33*FH102*3600)</f>
        <v>#DIV/0!</v>
      </c>
      <c r="FJ102" s="675" t="e">
        <f>ABS($B$34*FH102*3600)</f>
        <v>#DIV/0!</v>
      </c>
      <c r="FK102" s="614" t="e">
        <f>FJ102*$C$79</f>
        <v>#DIV/0!</v>
      </c>
      <c r="FL102" s="672" t="e">
        <f>FJ102*$F$70</f>
        <v>#DIV/0!</v>
      </c>
      <c r="FM102" s="600" t="e">
        <f>FJ102*$F$75</f>
        <v>#DIV/0!</v>
      </c>
      <c r="FN102" s="672" t="e">
        <f>FJ102*$F$72</f>
        <v>#DIV/0!</v>
      </c>
      <c r="FO102" s="676" t="e">
        <f>FJ102*$F$71</f>
        <v>#DIV/0!</v>
      </c>
      <c r="FP102" s="668"/>
      <c r="FQ102" s="669"/>
      <c r="FR102" s="670"/>
      <c r="FS102" s="671"/>
      <c r="FT102" s="678"/>
      <c r="FU102" s="650"/>
      <c r="FV102" s="651">
        <f t="shared" si="72"/>
        <v>0</v>
      </c>
      <c r="FW102" s="619" t="e">
        <f>((273.2+FP102)*$F$32/((273.2+$F$31)*FR102))</f>
        <v>#DIV/0!</v>
      </c>
      <c r="FX102" s="674" t="e">
        <f>FV102/FT102*FW102*EXP(-LN(2)/10990*($F$88-FU102))</f>
        <v>#DIV/0!</v>
      </c>
      <c r="FY102" s="599" t="e">
        <f>FX102-AVERAGE(GF94:GF95)</f>
        <v>#DIV/0!</v>
      </c>
      <c r="FZ102" s="672" t="e">
        <f>ABS($B$33*FY102*3600)</f>
        <v>#DIV/0!</v>
      </c>
      <c r="GA102" s="675" t="e">
        <f>ABS($B$34*FY102*3600)</f>
        <v>#DIV/0!</v>
      </c>
      <c r="GB102" s="614" t="e">
        <f>GA102*$C$79</f>
        <v>#DIV/0!</v>
      </c>
      <c r="GC102" s="672" t="e">
        <f>GA102*$F$70</f>
        <v>#DIV/0!</v>
      </c>
      <c r="GD102" s="600" t="e">
        <f>GA102*$F$75</f>
        <v>#DIV/0!</v>
      </c>
      <c r="GE102" s="672" t="e">
        <f>GA102*$F$72</f>
        <v>#DIV/0!</v>
      </c>
      <c r="GF102" s="676" t="e">
        <f>GA102*$F$71</f>
        <v>#DIV/0!</v>
      </c>
      <c r="GG102" s="668"/>
      <c r="GH102" s="669"/>
      <c r="GI102" s="677"/>
      <c r="GJ102" s="679"/>
      <c r="GK102" s="678"/>
      <c r="GL102" s="650"/>
      <c r="GM102" s="651">
        <f t="shared" si="73"/>
        <v>0</v>
      </c>
      <c r="GN102" s="619" t="e">
        <f>((273.2+GG102)*$F$32/((273.2+$F$31)*GI102))</f>
        <v>#DIV/0!</v>
      </c>
      <c r="GO102" s="674" t="e">
        <f>GM102/GK102*GN102*EXP(-LN(2)/10990*($F$88-GL102))</f>
        <v>#DIV/0!</v>
      </c>
      <c r="GP102" s="599" t="e">
        <f>GO102-AVERAGE(GW94:GW95)</f>
        <v>#DIV/0!</v>
      </c>
      <c r="GQ102" s="672" t="e">
        <f>ABS($B$33*GP102*3600)</f>
        <v>#DIV/0!</v>
      </c>
      <c r="GR102" s="675" t="e">
        <f>ABS($B$34*GP102*3600)</f>
        <v>#DIV/0!</v>
      </c>
      <c r="GS102" s="614" t="e">
        <f>GR102*$C$79</f>
        <v>#DIV/0!</v>
      </c>
      <c r="GT102" s="672" t="e">
        <f>GR102*$F$70</f>
        <v>#DIV/0!</v>
      </c>
      <c r="GU102" s="600" t="e">
        <f>GR102*$F$75</f>
        <v>#DIV/0!</v>
      </c>
      <c r="GV102" s="672" t="e">
        <f>GR102*$F$72</f>
        <v>#DIV/0!</v>
      </c>
      <c r="GW102" s="676" t="e">
        <f>GR102*$F$71</f>
        <v>#DIV/0!</v>
      </c>
      <c r="GX102" s="668"/>
      <c r="GY102" s="669"/>
      <c r="GZ102" s="670"/>
      <c r="HA102" s="671"/>
      <c r="HB102" s="678"/>
      <c r="HC102" s="650"/>
      <c r="HD102" s="651">
        <f t="shared" si="74"/>
        <v>0</v>
      </c>
      <c r="HE102" s="619" t="e">
        <f>((273.2+GX102)*$F$32/((273.2+$F$31)*GZ102))</f>
        <v>#DIV/0!</v>
      </c>
      <c r="HF102" s="674" t="e">
        <f>HD102/HB102*HE102*EXP(-LN(2)/10990*($F$88-HC102))</f>
        <v>#DIV/0!</v>
      </c>
      <c r="HG102" s="599" t="e">
        <f>HF102-AVERAGE(HN94:HN95)</f>
        <v>#DIV/0!</v>
      </c>
      <c r="HH102" s="672" t="e">
        <f>ABS($B$33*HG102*3600)</f>
        <v>#DIV/0!</v>
      </c>
      <c r="HI102" s="675" t="e">
        <f>ABS($B$34*HG102*3600)</f>
        <v>#DIV/0!</v>
      </c>
      <c r="HJ102" s="614" t="e">
        <f>HI102*$C$79</f>
        <v>#DIV/0!</v>
      </c>
      <c r="HK102" s="672" t="e">
        <f>HI102*$F$70</f>
        <v>#DIV/0!</v>
      </c>
      <c r="HL102" s="600" t="e">
        <f>HI102*$F$75</f>
        <v>#DIV/0!</v>
      </c>
      <c r="HM102" s="672" t="e">
        <f>HI102*$F$72</f>
        <v>#DIV/0!</v>
      </c>
      <c r="HN102" s="676" t="e">
        <f>HI102*$F$71</f>
        <v>#DIV/0!</v>
      </c>
      <c r="HO102" s="668"/>
      <c r="HP102" s="669"/>
      <c r="HQ102" s="670"/>
      <c r="HR102" s="671"/>
      <c r="HS102" s="678"/>
      <c r="HT102" s="650"/>
      <c r="HU102" s="651">
        <f t="shared" si="75"/>
        <v>0</v>
      </c>
      <c r="HV102" s="619" t="e">
        <f>((273.2+HO102)*$F$32/((273.2+$F$31)*HQ102))</f>
        <v>#DIV/0!</v>
      </c>
      <c r="HW102" s="674" t="e">
        <f>HU102/HS102*HV102*EXP(-LN(2)/10990*($F$88-HT102))</f>
        <v>#DIV/0!</v>
      </c>
      <c r="HX102" s="599" t="e">
        <f>HW102-AVERAGE(IE94:IE95)</f>
        <v>#DIV/0!</v>
      </c>
      <c r="HY102" s="672" t="e">
        <f>ABS($B$33*HX102*3600)</f>
        <v>#DIV/0!</v>
      </c>
      <c r="HZ102" s="675" t="e">
        <f>ABS($B$34*HX102*3600)</f>
        <v>#DIV/0!</v>
      </c>
      <c r="IA102" s="614" t="e">
        <f>HZ102*$C$79</f>
        <v>#DIV/0!</v>
      </c>
      <c r="IB102" s="672" t="e">
        <f>HZ102*$F$70</f>
        <v>#DIV/0!</v>
      </c>
      <c r="IC102" s="600" t="e">
        <f>HZ102*$F$75</f>
        <v>#DIV/0!</v>
      </c>
      <c r="ID102" s="672" t="e">
        <f>HZ102*$F$72</f>
        <v>#DIV/0!</v>
      </c>
      <c r="IE102" s="676" t="e">
        <f>HZ102*$F$71</f>
        <v>#DIV/0!</v>
      </c>
      <c r="IF102" s="668"/>
      <c r="IG102" s="669"/>
      <c r="IH102" s="670"/>
      <c r="II102" s="671"/>
      <c r="IJ102" s="678"/>
      <c r="IK102" s="650"/>
      <c r="IL102" s="651">
        <f t="shared" si="76"/>
        <v>0</v>
      </c>
      <c r="IM102" s="619" t="e">
        <f>((273.2+IF102)*$F$32/((273.2+$F$31)*IH102))</f>
        <v>#DIV/0!</v>
      </c>
      <c r="IN102" s="674" t="e">
        <f>IL102/IJ102*IM102*EXP(-LN(2)/10990*($F$88-IK102))</f>
        <v>#DIV/0!</v>
      </c>
      <c r="IO102" s="599" t="e">
        <f>IN102-AVERAGE(IV94:IV95)</f>
        <v>#DIV/0!</v>
      </c>
      <c r="IP102" s="672" t="e">
        <f>ABS($B$33*IO102*3600)</f>
        <v>#DIV/0!</v>
      </c>
      <c r="IQ102" s="675" t="e">
        <f>ABS($B$34*IO102*3600)</f>
        <v>#DIV/0!</v>
      </c>
      <c r="IR102" s="614" t="e">
        <f>IQ102*$C$79</f>
        <v>#DIV/0!</v>
      </c>
      <c r="IS102" s="672" t="e">
        <f>IQ102*$F$70</f>
        <v>#DIV/0!</v>
      </c>
      <c r="IT102" s="600" t="e">
        <f>IQ102*$F$75</f>
        <v>#DIV/0!</v>
      </c>
      <c r="IU102" s="672" t="e">
        <f>IQ102*$F$72</f>
        <v>#DIV/0!</v>
      </c>
      <c r="IV102" s="676" t="e">
        <f>IQ102*$F$71</f>
        <v>#DIV/0!</v>
      </c>
      <c r="IW102" s="668"/>
      <c r="IX102" s="669"/>
      <c r="IY102" s="670"/>
      <c r="IZ102" s="671"/>
      <c r="JA102" s="678"/>
      <c r="JB102" s="650"/>
      <c r="JC102" s="651">
        <f t="shared" si="77"/>
        <v>0</v>
      </c>
      <c r="JD102" s="619" t="e">
        <f>((273.2+IW102)*$F$32/((273.2+$F$31)*IY102))</f>
        <v>#DIV/0!</v>
      </c>
      <c r="JE102" s="674" t="e">
        <f>JC102/JA102*JD102*EXP(-LN(2)/10990*($F$88-JB102))</f>
        <v>#DIV/0!</v>
      </c>
      <c r="JF102" s="599" t="e">
        <f>JE102-AVERAGE(JM94:JM95)</f>
        <v>#DIV/0!</v>
      </c>
      <c r="JG102" s="672" t="e">
        <f>ABS($B$33*JF102*3600)</f>
        <v>#DIV/0!</v>
      </c>
      <c r="JH102" s="675" t="e">
        <f>ABS($B$34*JF102*3600)</f>
        <v>#DIV/0!</v>
      </c>
      <c r="JI102" s="614" t="e">
        <f>JH102*$C$79</f>
        <v>#DIV/0!</v>
      </c>
      <c r="JJ102" s="672" t="e">
        <f>JH102*$F$70</f>
        <v>#DIV/0!</v>
      </c>
      <c r="JK102" s="600" t="e">
        <f>JH102*$F$75</f>
        <v>#DIV/0!</v>
      </c>
      <c r="JL102" s="672" t="e">
        <f>JH102*$F$72</f>
        <v>#DIV/0!</v>
      </c>
      <c r="JM102" s="676" t="e">
        <f>JH102*$F$71</f>
        <v>#DIV/0!</v>
      </c>
      <c r="JN102" s="668"/>
      <c r="JO102" s="669"/>
      <c r="JP102" s="670"/>
      <c r="JQ102" s="671"/>
      <c r="JR102" s="678"/>
      <c r="JS102" s="650"/>
      <c r="JT102" s="651">
        <f t="shared" si="78"/>
        <v>0</v>
      </c>
      <c r="JU102" s="619" t="e">
        <f>((273.2+JN102)*$F$32/((273.2+$F$31)*JP102))</f>
        <v>#DIV/0!</v>
      </c>
      <c r="JV102" s="674" t="e">
        <f>JT102/JR102*JU102*EXP(-LN(2)/10990*($F$88-JS102))</f>
        <v>#DIV/0!</v>
      </c>
      <c r="JW102" s="599" t="e">
        <f>JV102-AVERAGE(KD94:KD95)</f>
        <v>#DIV/0!</v>
      </c>
      <c r="JX102" s="672" t="e">
        <f>ABS($B$33*JW102*3600)</f>
        <v>#DIV/0!</v>
      </c>
      <c r="JY102" s="675" t="e">
        <f>ABS($B$34*JW102*3600)</f>
        <v>#DIV/0!</v>
      </c>
      <c r="JZ102" s="614" t="e">
        <f>JY102*$C$79</f>
        <v>#DIV/0!</v>
      </c>
      <c r="KA102" s="672" t="e">
        <f>JY102*$F$70</f>
        <v>#DIV/0!</v>
      </c>
      <c r="KB102" s="600" t="e">
        <f>JY102*$F$75</f>
        <v>#DIV/0!</v>
      </c>
      <c r="KC102" s="672" t="e">
        <f>JY102*$F$72</f>
        <v>#DIV/0!</v>
      </c>
      <c r="KD102" s="676" t="e">
        <f>JY102*$F$71</f>
        <v>#DIV/0!</v>
      </c>
      <c r="KE102" s="668"/>
      <c r="KF102" s="669"/>
      <c r="KG102" s="670"/>
      <c r="KH102" s="671"/>
      <c r="KI102" s="678"/>
      <c r="KJ102" s="650"/>
      <c r="KK102" s="651">
        <f t="shared" si="79"/>
        <v>0</v>
      </c>
      <c r="KL102" s="619" t="e">
        <f>((273.2+KE102)*$F$32/((273.2+$F$31)*KG102))</f>
        <v>#DIV/0!</v>
      </c>
      <c r="KM102" s="674" t="e">
        <f>KK102/KI102*KL102*EXP(-LN(2)/10990*($F$88-KJ102))</f>
        <v>#DIV/0!</v>
      </c>
      <c r="KN102" s="599" t="e">
        <f>KM102-AVERAGE(KU94:KU95)</f>
        <v>#DIV/0!</v>
      </c>
      <c r="KO102" s="672" t="e">
        <f>ABS($B$33*KN102*3600)</f>
        <v>#DIV/0!</v>
      </c>
      <c r="KP102" s="675" t="e">
        <f>ABS($B$34*KN102*3600)</f>
        <v>#DIV/0!</v>
      </c>
      <c r="KQ102" s="614" t="e">
        <f>KP102*$C$79</f>
        <v>#DIV/0!</v>
      </c>
      <c r="KR102" s="672" t="e">
        <f>KP102*$F$70</f>
        <v>#DIV/0!</v>
      </c>
      <c r="KS102" s="600" t="e">
        <f>KP102*$F$75</f>
        <v>#DIV/0!</v>
      </c>
      <c r="KT102" s="672" t="e">
        <f>KP102*$F$72</f>
        <v>#DIV/0!</v>
      </c>
      <c r="KU102" s="676" t="e">
        <f>KP102*$F$71</f>
        <v>#DIV/0!</v>
      </c>
      <c r="KV102" s="668"/>
      <c r="KW102" s="669"/>
      <c r="KX102" s="670"/>
      <c r="KY102" s="671"/>
      <c r="KZ102" s="678"/>
      <c r="LA102" s="650"/>
      <c r="LB102" s="651">
        <f t="shared" si="80"/>
        <v>0</v>
      </c>
      <c r="LC102" s="619" t="e">
        <f>((273.2+KV102)*$F$32/((273.2+$F$31)*KX102))</f>
        <v>#DIV/0!</v>
      </c>
      <c r="LD102" s="674" t="e">
        <f>LB102/KZ102*LC102*EXP(-LN(2)/10990*($F$88-LA102))</f>
        <v>#DIV/0!</v>
      </c>
      <c r="LE102" s="599" t="e">
        <f>LD102-AVERAGE(LL94:LL95)</f>
        <v>#DIV/0!</v>
      </c>
      <c r="LF102" s="672" t="e">
        <f>ABS($B$33*LE102*3600)</f>
        <v>#DIV/0!</v>
      </c>
      <c r="LG102" s="675" t="e">
        <f>ABS($B$34*LE102*3600)</f>
        <v>#DIV/0!</v>
      </c>
      <c r="LH102" s="614" t="e">
        <f>LG102*$C$79</f>
        <v>#DIV/0!</v>
      </c>
      <c r="LI102" s="672" t="e">
        <f>LG102*$F$70</f>
        <v>#DIV/0!</v>
      </c>
      <c r="LJ102" s="600" t="e">
        <f>LG102*$F$75</f>
        <v>#DIV/0!</v>
      </c>
      <c r="LK102" s="672" t="e">
        <f>LG102*$F$72</f>
        <v>#DIV/0!</v>
      </c>
      <c r="LL102" s="676" t="e">
        <f>LG102*$F$71</f>
        <v>#DIV/0!</v>
      </c>
      <c r="LM102" s="668"/>
      <c r="LN102" s="669"/>
      <c r="LO102" s="670"/>
      <c r="LP102" s="671"/>
      <c r="LQ102" s="678"/>
      <c r="LR102" s="650"/>
      <c r="LS102" s="651">
        <f t="shared" si="81"/>
        <v>0</v>
      </c>
      <c r="LT102" s="619" t="e">
        <f>((273.2+LM102)*$F$32/((273.2+$F$31)*LO102))</f>
        <v>#DIV/0!</v>
      </c>
      <c r="LU102" s="674" t="e">
        <f>LS102/LQ102*LT102*EXP(-LN(2)/10990*($F$88-LR102))</f>
        <v>#DIV/0!</v>
      </c>
      <c r="LV102" s="599" t="e">
        <f>LU102-AVERAGE(MC94:MC95)</f>
        <v>#DIV/0!</v>
      </c>
      <c r="LW102" s="672" t="e">
        <f>ABS($B$33*LV102*3600)</f>
        <v>#DIV/0!</v>
      </c>
      <c r="LX102" s="675" t="e">
        <f>ABS($B$34*LV102*3600)</f>
        <v>#DIV/0!</v>
      </c>
      <c r="LY102" s="614" t="e">
        <f>LX102*$C$79</f>
        <v>#DIV/0!</v>
      </c>
      <c r="LZ102" s="672" t="e">
        <f>LX102*$F$70</f>
        <v>#DIV/0!</v>
      </c>
      <c r="MA102" s="600" t="e">
        <f>LX102*$F$75</f>
        <v>#DIV/0!</v>
      </c>
      <c r="MB102" s="672" t="e">
        <f>LX102*$F$72</f>
        <v>#DIV/0!</v>
      </c>
      <c r="MC102" s="676" t="e">
        <f>LX102*$F$71</f>
        <v>#DIV/0!</v>
      </c>
      <c r="MD102" s="668"/>
      <c r="ME102" s="669"/>
      <c r="MF102" s="680"/>
      <c r="MG102" s="671"/>
      <c r="MH102" s="673"/>
      <c r="MI102" s="650"/>
      <c r="MJ102" s="651">
        <f t="shared" si="82"/>
        <v>0</v>
      </c>
      <c r="MK102" s="619" t="e">
        <f>((273.2+MD102)*$F$32/((273.2+$F$31)*MF102))</f>
        <v>#DIV/0!</v>
      </c>
      <c r="ML102" s="674" t="e">
        <f>MJ102/MH102*MK102*EXP(-LN(2)/10990*($F$88-MI102))</f>
        <v>#DIV/0!</v>
      </c>
      <c r="MM102" s="599" t="e">
        <f>ML102-AVERAGE(MT94:MT95)</f>
        <v>#DIV/0!</v>
      </c>
      <c r="MN102" s="672" t="e">
        <f>ABS($B$33*MM102*3600)</f>
        <v>#DIV/0!</v>
      </c>
      <c r="MO102" s="675" t="e">
        <f>ABS($B$34*MM102*3600)</f>
        <v>#DIV/0!</v>
      </c>
      <c r="MP102" s="614" t="e">
        <f>MO102*$C$79</f>
        <v>#DIV/0!</v>
      </c>
      <c r="MQ102" s="672" t="e">
        <f>MO102*$F$70</f>
        <v>#DIV/0!</v>
      </c>
      <c r="MR102" s="600" t="e">
        <f>MO102*$F$75</f>
        <v>#DIV/0!</v>
      </c>
      <c r="MS102" s="672" t="e">
        <f>MO102*$F$72</f>
        <v>#DIV/0!</v>
      </c>
      <c r="MT102" s="676" t="e">
        <f>MO102*$F$71</f>
        <v>#DIV/0!</v>
      </c>
      <c r="MU102" s="668"/>
      <c r="MV102" s="669"/>
      <c r="MW102" s="670"/>
      <c r="MX102" s="671"/>
      <c r="MY102" s="678"/>
      <c r="MZ102" s="650"/>
      <c r="NA102" s="651">
        <f t="shared" si="83"/>
        <v>0</v>
      </c>
      <c r="NB102" s="619" t="e">
        <f>((273.2+MU102)*$F$32/((273.2+$F$31)*MW102))</f>
        <v>#DIV/0!</v>
      </c>
      <c r="NC102" s="674" t="e">
        <f>NA102/MY102*NB102*EXP(-LN(2)/10990*($F$88-MZ102))</f>
        <v>#DIV/0!</v>
      </c>
      <c r="ND102" s="599" t="e">
        <f>NC102-AVERAGE(NK94:NK95)</f>
        <v>#DIV/0!</v>
      </c>
      <c r="NE102" s="672" t="e">
        <f>ABS($B$33*ND102*3600)</f>
        <v>#DIV/0!</v>
      </c>
      <c r="NF102" s="675" t="e">
        <f>ABS($B$34*ND102*3600)</f>
        <v>#DIV/0!</v>
      </c>
      <c r="NG102" s="614" t="e">
        <f>NF102*$C$79</f>
        <v>#DIV/0!</v>
      </c>
      <c r="NH102" s="672" t="e">
        <f>NF102*$F$70</f>
        <v>#DIV/0!</v>
      </c>
      <c r="NI102" s="600" t="e">
        <f>NF102*$F$75</f>
        <v>#DIV/0!</v>
      </c>
      <c r="NJ102" s="672" t="e">
        <f>NF102*$F$72</f>
        <v>#DIV/0!</v>
      </c>
      <c r="NK102" s="676" t="e">
        <f>NF102*$F$71</f>
        <v>#DIV/0!</v>
      </c>
      <c r="NL102" s="668"/>
      <c r="NM102" s="669"/>
      <c r="NN102" s="670"/>
      <c r="NO102" s="671"/>
      <c r="NP102" s="678"/>
      <c r="NQ102" s="650"/>
      <c r="NR102" s="651">
        <f t="shared" si="84"/>
        <v>0</v>
      </c>
      <c r="NS102" s="619" t="e">
        <f>((273.2+NL102)*$F$32/((273.2+$F$31)*NN102))</f>
        <v>#DIV/0!</v>
      </c>
      <c r="NT102" s="674" t="e">
        <f>NR102/NP102*NS102*EXP(-LN(2)/10990*($F$88-NQ102))</f>
        <v>#DIV/0!</v>
      </c>
      <c r="NU102" s="599" t="e">
        <f>NT102-AVERAGE(OB94:OB95)</f>
        <v>#DIV/0!</v>
      </c>
      <c r="NV102" s="672" t="e">
        <f>ABS($B$33*NU102*3600)</f>
        <v>#DIV/0!</v>
      </c>
      <c r="NW102" s="675" t="e">
        <f>ABS($B$34*NU102*3600)</f>
        <v>#DIV/0!</v>
      </c>
      <c r="NX102" s="614" t="e">
        <f>NW102*$C$79</f>
        <v>#DIV/0!</v>
      </c>
      <c r="NY102" s="672" t="e">
        <f>NW102*$F$70</f>
        <v>#DIV/0!</v>
      </c>
      <c r="NZ102" s="600" t="e">
        <f>NW102*$F$75</f>
        <v>#DIV/0!</v>
      </c>
      <c r="OA102" s="672" t="e">
        <f>NW102*$F$72</f>
        <v>#DIV/0!</v>
      </c>
      <c r="OB102" s="676" t="e">
        <f>NW102*$F$71</f>
        <v>#DIV/0!</v>
      </c>
      <c r="OC102" s="668"/>
      <c r="OD102" s="669"/>
      <c r="OE102" s="670"/>
      <c r="OF102" s="671"/>
      <c r="OG102" s="678"/>
      <c r="OH102" s="650"/>
      <c r="OI102" s="651">
        <f t="shared" si="85"/>
        <v>0</v>
      </c>
      <c r="OJ102" s="619" t="e">
        <f>((273.2+OC102)*$F$32/((273.2+$F$31)*OE102))</f>
        <v>#DIV/0!</v>
      </c>
      <c r="OK102" s="674" t="e">
        <f>OI102/OG102*OJ102*EXP(-LN(2)/10990*($F$88-OH102))</f>
        <v>#DIV/0!</v>
      </c>
      <c r="OL102" s="599" t="e">
        <f>OK102-AVERAGE(OS94:OS95)</f>
        <v>#DIV/0!</v>
      </c>
      <c r="OM102" s="672" t="e">
        <f>ABS($B$33*OL102*3600)</f>
        <v>#DIV/0!</v>
      </c>
      <c r="ON102" s="675" t="e">
        <f>ABS($B$34*OL102*3600)</f>
        <v>#DIV/0!</v>
      </c>
      <c r="OO102" s="614" t="e">
        <f>ON102*$C$79</f>
        <v>#DIV/0!</v>
      </c>
      <c r="OP102" s="672" t="e">
        <f>ON102*$F$70</f>
        <v>#DIV/0!</v>
      </c>
      <c r="OQ102" s="600" t="e">
        <f>ON102*$F$75</f>
        <v>#DIV/0!</v>
      </c>
      <c r="OR102" s="672" t="e">
        <f>ON102*$F$72</f>
        <v>#DIV/0!</v>
      </c>
      <c r="OS102" s="676" t="e">
        <f>ON102*$F$71</f>
        <v>#DIV/0!</v>
      </c>
      <c r="OT102" s="668"/>
      <c r="OU102" s="669"/>
      <c r="OV102" s="670"/>
      <c r="OW102" s="671"/>
      <c r="OX102" s="678"/>
      <c r="OY102" s="650"/>
      <c r="OZ102" s="651">
        <f t="shared" si="86"/>
        <v>0</v>
      </c>
      <c r="PA102" s="619" t="e">
        <f>((273.2+OT102)*$F$32/((273.2+$F$31)*OV102))</f>
        <v>#DIV/0!</v>
      </c>
      <c r="PB102" s="674" t="e">
        <f>OZ102/OX102*PA102*EXP(-LN(2)/10990*($F$88-OY102))</f>
        <v>#DIV/0!</v>
      </c>
      <c r="PC102" s="599" t="e">
        <f>PB102-AVERAGE(PJ94:PJ95)</f>
        <v>#DIV/0!</v>
      </c>
      <c r="PD102" s="672" t="e">
        <f>ABS($B$33*PC102*3600)</f>
        <v>#DIV/0!</v>
      </c>
      <c r="PE102" s="675" t="e">
        <f>ABS($B$34*PC102*3600)</f>
        <v>#DIV/0!</v>
      </c>
      <c r="PF102" s="614" t="e">
        <f>PE102*$C$79</f>
        <v>#DIV/0!</v>
      </c>
      <c r="PG102" s="672" t="e">
        <f>PE102*$F$70</f>
        <v>#DIV/0!</v>
      </c>
      <c r="PH102" s="600" t="e">
        <f>PE102*$F$75</f>
        <v>#DIV/0!</v>
      </c>
      <c r="PI102" s="672" t="e">
        <f>PE102*$F$72</f>
        <v>#DIV/0!</v>
      </c>
      <c r="PJ102" s="676" t="e">
        <f>PE102*$F$71</f>
        <v>#DIV/0!</v>
      </c>
      <c r="PK102" s="668"/>
      <c r="PL102" s="669"/>
      <c r="PM102" s="670"/>
      <c r="PN102" s="671"/>
      <c r="PO102" s="678"/>
      <c r="PP102" s="650"/>
      <c r="PQ102" s="651">
        <f t="shared" si="87"/>
        <v>0</v>
      </c>
      <c r="PR102" s="619" t="e">
        <f>((273.2+PK102)*$F$32/((273.2+$F$31)*PM102))</f>
        <v>#DIV/0!</v>
      </c>
      <c r="PS102" s="674" t="e">
        <f>PQ102/PO102*PR102*EXP(-LN(2)/10990*($F$88-PP102))</f>
        <v>#DIV/0!</v>
      </c>
      <c r="PT102" s="599" t="e">
        <f>PS102-AVERAGE(QA94:QA95)</f>
        <v>#DIV/0!</v>
      </c>
      <c r="PU102" s="672" t="e">
        <f>ABS($B$33*PT102*3600)</f>
        <v>#DIV/0!</v>
      </c>
      <c r="PV102" s="675" t="e">
        <f>ABS($B$34*PT102*3600)</f>
        <v>#DIV/0!</v>
      </c>
      <c r="PW102" s="614" t="e">
        <f>PV102*$C$79</f>
        <v>#DIV/0!</v>
      </c>
      <c r="PX102" s="672" t="e">
        <f>PV102*$F$70</f>
        <v>#DIV/0!</v>
      </c>
      <c r="PY102" s="600" t="e">
        <f>PV102*$F$75</f>
        <v>#DIV/0!</v>
      </c>
      <c r="PZ102" s="672" t="e">
        <f>PV102*$F$72</f>
        <v>#DIV/0!</v>
      </c>
      <c r="QA102" s="676" t="e">
        <f>PV102*$F$71</f>
        <v>#DIV/0!</v>
      </c>
      <c r="QB102" s="668"/>
      <c r="QC102" s="669"/>
      <c r="QD102" s="670"/>
      <c r="QE102" s="671"/>
      <c r="QF102" s="673"/>
      <c r="QG102" s="650"/>
      <c r="QH102" s="651">
        <f t="shared" si="88"/>
        <v>0</v>
      </c>
      <c r="QI102" s="619" t="e">
        <f>((273.2+QB102)*$F$32/((273.2+$F$31)*QD102))</f>
        <v>#DIV/0!</v>
      </c>
      <c r="QJ102" s="674" t="e">
        <f>QH102/QF102*QI102*EXP(-LN(2)/10990*($F$88-QG102))</f>
        <v>#DIV/0!</v>
      </c>
      <c r="QK102" s="599" t="e">
        <f>QJ102-AVERAGE(QR94:QR95)</f>
        <v>#DIV/0!</v>
      </c>
      <c r="QL102" s="672" t="e">
        <f>ABS($B$33*QK102*3600)</f>
        <v>#DIV/0!</v>
      </c>
      <c r="QM102" s="675" t="e">
        <f>ABS($B$34*QK102*3600)</f>
        <v>#DIV/0!</v>
      </c>
      <c r="QN102" s="614" t="e">
        <f>QM102*$C$79</f>
        <v>#DIV/0!</v>
      </c>
      <c r="QO102" s="672" t="e">
        <f>QM102*$F$70</f>
        <v>#DIV/0!</v>
      </c>
      <c r="QP102" s="600" t="e">
        <f>QM102*$F$75</f>
        <v>#DIV/0!</v>
      </c>
      <c r="QQ102" s="672" t="e">
        <f>QM102*$F$72</f>
        <v>#DIV/0!</v>
      </c>
      <c r="QR102" s="676" t="e">
        <f>QM102*$F$71</f>
        <v>#DIV/0!</v>
      </c>
      <c r="QS102" s="668"/>
      <c r="QT102" s="669"/>
      <c r="QU102" s="677"/>
      <c r="QV102" s="679"/>
      <c r="QW102" s="678"/>
      <c r="QX102" s="650"/>
      <c r="QY102" s="651">
        <f t="shared" si="89"/>
        <v>0</v>
      </c>
      <c r="QZ102" s="619" t="e">
        <f>((273.2+QS102)*$F$32/((273.2+$F$31)*QU102))</f>
        <v>#DIV/0!</v>
      </c>
      <c r="RA102" s="674" t="e">
        <f>QY102/QW102*QZ102*EXP(-LN(2)/10990*($F$88-QX102))</f>
        <v>#DIV/0!</v>
      </c>
      <c r="RB102" s="599" t="e">
        <f>RA102-AVERAGE(RI94:RI95)</f>
        <v>#DIV/0!</v>
      </c>
      <c r="RC102" s="672" t="e">
        <f>ABS($B$33*RB102*3600)</f>
        <v>#DIV/0!</v>
      </c>
      <c r="RD102" s="675" t="e">
        <f>ABS($B$34*RB102*3600)</f>
        <v>#DIV/0!</v>
      </c>
      <c r="RE102" s="614" t="e">
        <f>RD102*$C$79</f>
        <v>#DIV/0!</v>
      </c>
      <c r="RF102" s="672" t="e">
        <f>RD102*$F$70</f>
        <v>#DIV/0!</v>
      </c>
      <c r="RG102" s="600" t="e">
        <f>RD102*$F$75</f>
        <v>#DIV/0!</v>
      </c>
      <c r="RH102" s="672" t="e">
        <f>RD102*$F$72</f>
        <v>#DIV/0!</v>
      </c>
      <c r="RI102" s="676" t="e">
        <f>RD102*$F$71</f>
        <v>#DIV/0!</v>
      </c>
      <c r="RJ102" s="668"/>
      <c r="RK102" s="669"/>
      <c r="RL102" s="670"/>
      <c r="RM102" s="671"/>
      <c r="RN102" s="678"/>
      <c r="RO102" s="650"/>
      <c r="RP102" s="651">
        <f t="shared" si="90"/>
        <v>0</v>
      </c>
      <c r="RQ102" s="619" t="e">
        <f>((273.2+RJ102)*$F$32/((273.2+$F$31)*RL102))</f>
        <v>#DIV/0!</v>
      </c>
      <c r="RR102" s="674" t="e">
        <f>RP102/RN102*RQ102*EXP(-LN(2)/10990*($F$88-RO102))</f>
        <v>#DIV/0!</v>
      </c>
      <c r="RS102" s="599" t="e">
        <f>RR102-AVERAGE(RZ94:RZ95)</f>
        <v>#DIV/0!</v>
      </c>
      <c r="RT102" s="672" t="e">
        <f>ABS($B$33*RS102*3600)</f>
        <v>#DIV/0!</v>
      </c>
      <c r="RU102" s="675" t="e">
        <f>ABS($B$34*RS102*3600)</f>
        <v>#DIV/0!</v>
      </c>
      <c r="RV102" s="614" t="e">
        <f>RU102*$C$79</f>
        <v>#DIV/0!</v>
      </c>
      <c r="RW102" s="672" t="e">
        <f>RU102*$F$70</f>
        <v>#DIV/0!</v>
      </c>
      <c r="RX102" s="600" t="e">
        <f>RU102*$F$75</f>
        <v>#DIV/0!</v>
      </c>
      <c r="RY102" s="672" t="e">
        <f>RU102*$F$72</f>
        <v>#DIV/0!</v>
      </c>
      <c r="RZ102" s="676" t="e">
        <f>RU102*$F$71</f>
        <v>#DIV/0!</v>
      </c>
      <c r="SA102" s="668"/>
      <c r="SB102" s="669"/>
      <c r="SC102" s="670"/>
      <c r="SD102" s="671"/>
      <c r="SE102" s="678"/>
      <c r="SF102" s="650"/>
      <c r="SG102" s="651">
        <f t="shared" si="91"/>
        <v>0</v>
      </c>
      <c r="SH102" s="619" t="e">
        <f>((273.2+SA102)*$F$32/((273.2+$F$31)*SC102))</f>
        <v>#DIV/0!</v>
      </c>
      <c r="SI102" s="674" t="e">
        <f>SG102/SE102*SH102*EXP(-LN(2)/10990*($F$88-SF102))</f>
        <v>#DIV/0!</v>
      </c>
      <c r="SJ102" s="599" t="e">
        <f>SI102-AVERAGE(SQ94:SQ95)</f>
        <v>#DIV/0!</v>
      </c>
      <c r="SK102" s="672" t="e">
        <f>ABS($B$33*SJ102*3600)</f>
        <v>#DIV/0!</v>
      </c>
      <c r="SL102" s="675" t="e">
        <f>ABS($B$34*SJ102*3600)</f>
        <v>#DIV/0!</v>
      </c>
      <c r="SM102" s="614" t="e">
        <f>SL102*$C$79</f>
        <v>#DIV/0!</v>
      </c>
      <c r="SN102" s="672" t="e">
        <f>SL102*$F$70</f>
        <v>#DIV/0!</v>
      </c>
      <c r="SO102" s="600" t="e">
        <f>SL102*$F$75</f>
        <v>#DIV/0!</v>
      </c>
      <c r="SP102" s="672" t="e">
        <f>SL102*$F$72</f>
        <v>#DIV/0!</v>
      </c>
      <c r="SQ102" s="676" t="e">
        <f>SL102*$F$71</f>
        <v>#DIV/0!</v>
      </c>
      <c r="SR102" s="668"/>
      <c r="SS102" s="669"/>
      <c r="ST102" s="670"/>
      <c r="SU102" s="671"/>
      <c r="SV102" s="678"/>
      <c r="SW102" s="650"/>
      <c r="SX102" s="651">
        <f t="shared" si="92"/>
        <v>0</v>
      </c>
      <c r="SY102" s="619" t="e">
        <f>((273.2+SR102)*$F$32/((273.2+$F$31)*ST102))</f>
        <v>#DIV/0!</v>
      </c>
      <c r="SZ102" s="674" t="e">
        <f>SX102/SV102*SY102*EXP(-LN(2)/10990*($F$88-SW102))</f>
        <v>#DIV/0!</v>
      </c>
      <c r="TA102" s="599" t="e">
        <f>SZ102-AVERAGE(TH94:TH95)</f>
        <v>#DIV/0!</v>
      </c>
      <c r="TB102" s="672" t="e">
        <f>ABS($B$33*TA102*3600)</f>
        <v>#DIV/0!</v>
      </c>
      <c r="TC102" s="675" t="e">
        <f>ABS($B$34*TA102*3600)</f>
        <v>#DIV/0!</v>
      </c>
      <c r="TD102" s="614" t="e">
        <f>TC102*$C$79</f>
        <v>#DIV/0!</v>
      </c>
      <c r="TE102" s="672" t="e">
        <f>TC102*$F$70</f>
        <v>#DIV/0!</v>
      </c>
      <c r="TF102" s="600" t="e">
        <f>TC102*$F$75</f>
        <v>#DIV/0!</v>
      </c>
      <c r="TG102" s="672" t="e">
        <f>TC102*$F$72</f>
        <v>#DIV/0!</v>
      </c>
      <c r="TH102" s="676" t="e">
        <f>TC102*$F$71</f>
        <v>#DIV/0!</v>
      </c>
      <c r="TI102" s="668"/>
      <c r="TJ102" s="669"/>
      <c r="TK102" s="670"/>
      <c r="TL102" s="671"/>
      <c r="TM102" s="678"/>
      <c r="TN102" s="650"/>
      <c r="TO102" s="651">
        <f t="shared" si="93"/>
        <v>0</v>
      </c>
      <c r="TP102" s="619" t="e">
        <f>((273.2+TI102)*$F$32/((273.2+$F$31)*TK102))</f>
        <v>#DIV/0!</v>
      </c>
      <c r="TQ102" s="674" t="e">
        <f>TO102/TM102*TP102*EXP(-LN(2)/10990*($F$88-TN102))</f>
        <v>#DIV/0!</v>
      </c>
      <c r="TR102" s="599" t="e">
        <f>TQ102-AVERAGE(TY94:TY95)</f>
        <v>#DIV/0!</v>
      </c>
      <c r="TS102" s="672" t="e">
        <f>ABS($B$33*TR102*3600)</f>
        <v>#DIV/0!</v>
      </c>
      <c r="TT102" s="675" t="e">
        <f>ABS($B$34*TR102*3600)</f>
        <v>#DIV/0!</v>
      </c>
      <c r="TU102" s="614" t="e">
        <f>TT102*$C$79</f>
        <v>#DIV/0!</v>
      </c>
      <c r="TV102" s="672" t="e">
        <f>TT102*$F$70</f>
        <v>#DIV/0!</v>
      </c>
      <c r="TW102" s="600" t="e">
        <f>TT102*$F$75</f>
        <v>#DIV/0!</v>
      </c>
      <c r="TX102" s="672" t="e">
        <f>TT102*$F$72</f>
        <v>#DIV/0!</v>
      </c>
      <c r="TY102" s="676" t="e">
        <f>TT102*$F$71</f>
        <v>#DIV/0!</v>
      </c>
    </row>
    <row r="103" spans="1:545" x14ac:dyDescent="0.25">
      <c r="A103" s="3466"/>
      <c r="B103" s="668"/>
      <c r="C103" s="673"/>
      <c r="D103" s="673"/>
      <c r="E103" s="671"/>
      <c r="F103" s="673"/>
      <c r="G103" s="650"/>
      <c r="H103" s="651"/>
      <c r="I103" s="619"/>
      <c r="J103" s="674"/>
      <c r="K103" s="599"/>
      <c r="L103" s="599"/>
      <c r="M103" s="657"/>
      <c r="N103" s="614"/>
      <c r="O103" s="672"/>
      <c r="P103" s="600"/>
      <c r="Q103" s="672"/>
      <c r="R103" s="676"/>
      <c r="S103" s="677"/>
      <c r="T103" s="669"/>
      <c r="U103" s="670"/>
      <c r="V103" s="671"/>
      <c r="W103" s="678"/>
      <c r="X103" s="663"/>
      <c r="Y103" s="651">
        <f t="shared" si="63"/>
        <v>0</v>
      </c>
      <c r="Z103" s="619" t="e">
        <f>((273.2+S103)*$F$32/((273.2+$F$31)*U103))</f>
        <v>#DIV/0!</v>
      </c>
      <c r="AA103" s="674" t="e">
        <f>Y103/W103*Z103*EXP(-LN(2)/10990*($F$88-X103))</f>
        <v>#DIV/0!</v>
      </c>
      <c r="AB103" s="599" t="e">
        <f>AA103-AVERAGE(AI94:AI95)</f>
        <v>#DIV/0!</v>
      </c>
      <c r="AC103" s="599" t="e">
        <f>ABS($B$33*AB103*3600)</f>
        <v>#DIV/0!</v>
      </c>
      <c r="AD103" s="657" t="e">
        <f>ABS($B$34*AB103*3600)</f>
        <v>#DIV/0!</v>
      </c>
      <c r="AE103" s="614" t="e">
        <f>AD103*$C$79</f>
        <v>#DIV/0!</v>
      </c>
      <c r="AF103" s="672" t="e">
        <f>AD103*$F$70</f>
        <v>#DIV/0!</v>
      </c>
      <c r="AG103" s="600" t="e">
        <f t="shared" si="94"/>
        <v>#DIV/0!</v>
      </c>
      <c r="AH103" s="672" t="e">
        <f>AD103*$F$72</f>
        <v>#DIV/0!</v>
      </c>
      <c r="AI103" s="676" t="e">
        <f>AD103*$F$71</f>
        <v>#DIV/0!</v>
      </c>
      <c r="AJ103" s="668"/>
      <c r="AK103" s="669"/>
      <c r="AL103" s="670"/>
      <c r="AM103" s="671"/>
      <c r="AN103" s="678"/>
      <c r="AO103" s="663"/>
      <c r="AP103" s="651">
        <f t="shared" si="64"/>
        <v>0</v>
      </c>
      <c r="AQ103" s="619" t="e">
        <f>((273.2+AJ103)*$F$32/((273.2+$F$31)*AL103))</f>
        <v>#DIV/0!</v>
      </c>
      <c r="AR103" s="674" t="e">
        <f>AP103/AN103*AQ103*EXP(-LN(2)/10990*($F$88-AO103))</f>
        <v>#DIV/0!</v>
      </c>
      <c r="AS103" s="599" t="e">
        <f>AR103-AVERAGE(AZ94:AZ95)</f>
        <v>#DIV/0!</v>
      </c>
      <c r="AT103" s="599" t="e">
        <f>ABS($B$33*AS103*3600)</f>
        <v>#DIV/0!</v>
      </c>
      <c r="AU103" s="657" t="e">
        <f>ABS($B$34*AS103*3600)</f>
        <v>#DIV/0!</v>
      </c>
      <c r="AV103" s="614" t="e">
        <f>AU103*$C$79</f>
        <v>#DIV/0!</v>
      </c>
      <c r="AW103" s="672" t="e">
        <f>AU103*$F$70</f>
        <v>#DIV/0!</v>
      </c>
      <c r="AX103" s="600" t="e">
        <f t="shared" si="95"/>
        <v>#DIV/0!</v>
      </c>
      <c r="AY103" s="672" t="e">
        <f>AU103*$F$72</f>
        <v>#DIV/0!</v>
      </c>
      <c r="AZ103" s="676" t="e">
        <f>AU103*$F$71</f>
        <v>#DIV/0!</v>
      </c>
      <c r="BA103" s="668"/>
      <c r="BB103" s="669"/>
      <c r="BC103" s="670"/>
      <c r="BD103" s="671"/>
      <c r="BE103" s="678"/>
      <c r="BF103" s="663"/>
      <c r="BG103" s="651">
        <f t="shared" si="65"/>
        <v>0</v>
      </c>
      <c r="BH103" s="619" t="e">
        <f>((273.2+BA103)*$F$32/((273.2+$F$31)*BC103))</f>
        <v>#DIV/0!</v>
      </c>
      <c r="BI103" s="674" t="e">
        <f>BG103/BE103*BH103*EXP(-LN(2)/10990*($F$88-BF103))</f>
        <v>#DIV/0!</v>
      </c>
      <c r="BJ103" s="599" t="e">
        <f>BI103-AVERAGE(BQ94:BQ95)</f>
        <v>#DIV/0!</v>
      </c>
      <c r="BK103" s="599" t="e">
        <f>ABS($B$33*BJ103*3600)</f>
        <v>#DIV/0!</v>
      </c>
      <c r="BL103" s="657" t="e">
        <f>ABS($B$34*BJ103*3600)</f>
        <v>#DIV/0!</v>
      </c>
      <c r="BM103" s="614" t="e">
        <f>BL103*$C$79</f>
        <v>#DIV/0!</v>
      </c>
      <c r="BN103" s="672" t="e">
        <f>BL103*$F$70</f>
        <v>#DIV/0!</v>
      </c>
      <c r="BO103" s="600" t="e">
        <f t="shared" si="96"/>
        <v>#DIV/0!</v>
      </c>
      <c r="BP103" s="672" t="e">
        <f>BL103*$F$72</f>
        <v>#DIV/0!</v>
      </c>
      <c r="BQ103" s="676" t="e">
        <f>BL103*$F$71</f>
        <v>#DIV/0!</v>
      </c>
      <c r="BR103" s="668"/>
      <c r="BS103" s="669"/>
      <c r="BT103" s="670"/>
      <c r="BU103" s="671"/>
      <c r="BV103" s="678"/>
      <c r="BW103" s="663"/>
      <c r="BX103" s="651">
        <f t="shared" si="66"/>
        <v>0</v>
      </c>
      <c r="BY103" s="619" t="e">
        <f>((273.2+BR103)*$F$32/((273.2+$F$31)*BT103))</f>
        <v>#DIV/0!</v>
      </c>
      <c r="BZ103" s="674" t="e">
        <f>BX103/BV103*BY103*EXP(-LN(2)/10990*($F$88-BW103))</f>
        <v>#DIV/0!</v>
      </c>
      <c r="CA103" s="599" t="e">
        <f>BZ103-AVERAGE(CH94:CH95)</f>
        <v>#DIV/0!</v>
      </c>
      <c r="CB103" s="599" t="e">
        <f>ABS($B$33*CA103*3600)</f>
        <v>#DIV/0!</v>
      </c>
      <c r="CC103" s="657" t="e">
        <f>ABS($B$34*CA103*3600)</f>
        <v>#DIV/0!</v>
      </c>
      <c r="CD103" s="614" t="e">
        <f>CC103*$C$79</f>
        <v>#DIV/0!</v>
      </c>
      <c r="CE103" s="672" t="e">
        <f>CC103*$F$70</f>
        <v>#DIV/0!</v>
      </c>
      <c r="CF103" s="600" t="e">
        <f t="shared" si="97"/>
        <v>#DIV/0!</v>
      </c>
      <c r="CG103" s="672" t="e">
        <f>CC103*$F$72</f>
        <v>#DIV/0!</v>
      </c>
      <c r="CH103" s="676" t="e">
        <f>CC103*$F$71</f>
        <v>#DIV/0!</v>
      </c>
      <c r="CI103" s="668"/>
      <c r="CJ103" s="669"/>
      <c r="CK103" s="670"/>
      <c r="CL103" s="671"/>
      <c r="CM103" s="678"/>
      <c r="CN103" s="663"/>
      <c r="CO103" s="651">
        <f t="shared" si="67"/>
        <v>0</v>
      </c>
      <c r="CP103" s="619" t="e">
        <f>((273.2+CI103)*$F$32/((273.2+$F$31)*CK103))</f>
        <v>#DIV/0!</v>
      </c>
      <c r="CQ103" s="674" t="e">
        <f>CO103/CM103*CP103*EXP(-LN(2)/10990*($F$88-CN103))</f>
        <v>#DIV/0!</v>
      </c>
      <c r="CR103" s="599" t="e">
        <f>CQ103-AVERAGE(CY94:CY95)</f>
        <v>#DIV/0!</v>
      </c>
      <c r="CS103" s="599" t="e">
        <f>ABS($B$33*CR103*3600)</f>
        <v>#DIV/0!</v>
      </c>
      <c r="CT103" s="657" t="e">
        <f>ABS($B$34*CR103*3600)</f>
        <v>#DIV/0!</v>
      </c>
      <c r="CU103" s="614" t="e">
        <f>CT103*$C$79</f>
        <v>#DIV/0!</v>
      </c>
      <c r="CV103" s="672" t="e">
        <f>CT103*$F$70</f>
        <v>#DIV/0!</v>
      </c>
      <c r="CW103" s="600" t="e">
        <f t="shared" si="98"/>
        <v>#DIV/0!</v>
      </c>
      <c r="CX103" s="672" t="e">
        <f>CT103*$F$72</f>
        <v>#DIV/0!</v>
      </c>
      <c r="CY103" s="676" t="e">
        <f>CT103*$F$71</f>
        <v>#DIV/0!</v>
      </c>
      <c r="CZ103" s="668"/>
      <c r="DA103" s="669"/>
      <c r="DB103" s="670"/>
      <c r="DC103" s="671"/>
      <c r="DD103" s="678"/>
      <c r="DE103" s="663"/>
      <c r="DF103" s="651">
        <f t="shared" si="68"/>
        <v>0</v>
      </c>
      <c r="DG103" s="619" t="e">
        <f>((273.2+CZ103)*$F$32/((273.2+$F$31)*DB103))</f>
        <v>#DIV/0!</v>
      </c>
      <c r="DH103" s="674" t="e">
        <f>DF103/DD103*DG103*EXP(-LN(2)/10990*($F$88-DE103))</f>
        <v>#DIV/0!</v>
      </c>
      <c r="DI103" s="599" t="e">
        <f>DH103-AVERAGE(DP94:DP95)</f>
        <v>#DIV/0!</v>
      </c>
      <c r="DJ103" s="599" t="e">
        <f>ABS($B$33*DI103*3600)</f>
        <v>#DIV/0!</v>
      </c>
      <c r="DK103" s="657" t="e">
        <f>ABS($B$34*DI103*3600)</f>
        <v>#DIV/0!</v>
      </c>
      <c r="DL103" s="614" t="e">
        <f>DK103*$C$79</f>
        <v>#DIV/0!</v>
      </c>
      <c r="DM103" s="672" t="e">
        <f>DK103*$F$70</f>
        <v>#DIV/0!</v>
      </c>
      <c r="DN103" s="600" t="e">
        <f t="shared" si="99"/>
        <v>#DIV/0!</v>
      </c>
      <c r="DO103" s="672" t="e">
        <f>DK103*$F$72</f>
        <v>#DIV/0!</v>
      </c>
      <c r="DP103" s="676" t="e">
        <f>DK103*$F$71</f>
        <v>#DIV/0!</v>
      </c>
      <c r="DQ103" s="668"/>
      <c r="DR103" s="669"/>
      <c r="DS103" s="677"/>
      <c r="DT103" s="679"/>
      <c r="DU103" s="678"/>
      <c r="DV103" s="663"/>
      <c r="DW103" s="651">
        <f t="shared" si="69"/>
        <v>0</v>
      </c>
      <c r="DX103" s="619" t="e">
        <f>((273.2+DQ103)*$F$32/((273.2+$F$31)*DS103))</f>
        <v>#DIV/0!</v>
      </c>
      <c r="DY103" s="674" t="e">
        <f>DW103/DU103*DX103*EXP(-LN(2)/10990*($F$88-DV103))</f>
        <v>#DIV/0!</v>
      </c>
      <c r="DZ103" s="599" t="e">
        <f>DY103-AVERAGE(EG94:EG95)</f>
        <v>#DIV/0!</v>
      </c>
      <c r="EA103" s="599" t="e">
        <f>ABS($B$33*DZ103*3600)</f>
        <v>#DIV/0!</v>
      </c>
      <c r="EB103" s="657" t="e">
        <f>ABS($B$34*DZ103*3600)</f>
        <v>#DIV/0!</v>
      </c>
      <c r="EC103" s="614" t="e">
        <f>EB103*$C$79</f>
        <v>#DIV/0!</v>
      </c>
      <c r="ED103" s="672" t="e">
        <f>EB103*$F$70</f>
        <v>#DIV/0!</v>
      </c>
      <c r="EE103" s="600" t="e">
        <f t="shared" si="100"/>
        <v>#DIV/0!</v>
      </c>
      <c r="EF103" s="672" t="e">
        <f>EB103*$F$72</f>
        <v>#DIV/0!</v>
      </c>
      <c r="EG103" s="676" t="e">
        <f>EB103*$F$71</f>
        <v>#DIV/0!</v>
      </c>
      <c r="EH103" s="668"/>
      <c r="EI103" s="669"/>
      <c r="EJ103" s="670"/>
      <c r="EK103" s="671"/>
      <c r="EL103" s="678"/>
      <c r="EM103" s="663"/>
      <c r="EN103" s="651">
        <f t="shared" si="70"/>
        <v>0</v>
      </c>
      <c r="EO103" s="619" t="e">
        <f>((273.2+EH103)*$F$32/((273.2+$F$31)*EJ103))</f>
        <v>#DIV/0!</v>
      </c>
      <c r="EP103" s="674" t="e">
        <f>EN103/EL103*EO103*EXP(-LN(2)/10990*($F$88-EM103))</f>
        <v>#DIV/0!</v>
      </c>
      <c r="EQ103" s="599" t="e">
        <f>EP103-AVERAGE(EX94:EX95)</f>
        <v>#DIV/0!</v>
      </c>
      <c r="ER103" s="599" t="e">
        <f>ABS($B$33*EQ103*3600)</f>
        <v>#DIV/0!</v>
      </c>
      <c r="ES103" s="657" t="e">
        <f>ABS($B$34*EQ103*3600)</f>
        <v>#DIV/0!</v>
      </c>
      <c r="ET103" s="614" t="e">
        <f>ES103*$C$79</f>
        <v>#DIV/0!</v>
      </c>
      <c r="EU103" s="672" t="e">
        <f>ES103*$F$70</f>
        <v>#DIV/0!</v>
      </c>
      <c r="EV103" s="600" t="e">
        <f t="shared" si="101"/>
        <v>#DIV/0!</v>
      </c>
      <c r="EW103" s="672" t="e">
        <f>ES103*$F$72</f>
        <v>#DIV/0!</v>
      </c>
      <c r="EX103" s="676" t="e">
        <f>ES103*$F$71</f>
        <v>#DIV/0!</v>
      </c>
      <c r="EY103" s="668"/>
      <c r="EZ103" s="669"/>
      <c r="FA103" s="670"/>
      <c r="FB103" s="671"/>
      <c r="FC103" s="678"/>
      <c r="FD103" s="663"/>
      <c r="FE103" s="651">
        <f t="shared" si="71"/>
        <v>0</v>
      </c>
      <c r="FF103" s="619" t="e">
        <f>((273.2+EY103)*$F$32/((273.2+$F$31)*FA103))</f>
        <v>#DIV/0!</v>
      </c>
      <c r="FG103" s="674" t="e">
        <f>FE103/FC103*FF103*EXP(-LN(2)/10990*($F$88-FD103))</f>
        <v>#DIV/0!</v>
      </c>
      <c r="FH103" s="599" t="e">
        <f>FG103-AVERAGE(FO94:FO95)</f>
        <v>#DIV/0!</v>
      </c>
      <c r="FI103" s="599" t="e">
        <f>ABS($B$33*FH103*3600)</f>
        <v>#DIV/0!</v>
      </c>
      <c r="FJ103" s="657" t="e">
        <f>ABS($B$34*FH103*3600)</f>
        <v>#DIV/0!</v>
      </c>
      <c r="FK103" s="614" t="e">
        <f>FJ103*$C$79</f>
        <v>#DIV/0!</v>
      </c>
      <c r="FL103" s="672" t="e">
        <f>FJ103*$F$70</f>
        <v>#DIV/0!</v>
      </c>
      <c r="FM103" s="600" t="e">
        <f t="shared" si="102"/>
        <v>#DIV/0!</v>
      </c>
      <c r="FN103" s="672" t="e">
        <f>FJ103*$F$72</f>
        <v>#DIV/0!</v>
      </c>
      <c r="FO103" s="676" t="e">
        <f>FJ103*$F$71</f>
        <v>#DIV/0!</v>
      </c>
      <c r="FP103" s="668"/>
      <c r="FQ103" s="669"/>
      <c r="FR103" s="670"/>
      <c r="FS103" s="671"/>
      <c r="FT103" s="678"/>
      <c r="FU103" s="663"/>
      <c r="FV103" s="651">
        <f t="shared" si="72"/>
        <v>0</v>
      </c>
      <c r="FW103" s="619" t="e">
        <f>((273.2+FP103)*$F$32/((273.2+$F$31)*FR103))</f>
        <v>#DIV/0!</v>
      </c>
      <c r="FX103" s="674" t="e">
        <f>FV103/FT103*FW103*EXP(-LN(2)/10990*($F$88-FU103))</f>
        <v>#DIV/0!</v>
      </c>
      <c r="FY103" s="599" t="e">
        <f>FX103-AVERAGE(GF94:GF95)</f>
        <v>#DIV/0!</v>
      </c>
      <c r="FZ103" s="599" t="e">
        <f>ABS($B$33*FY103*3600)</f>
        <v>#DIV/0!</v>
      </c>
      <c r="GA103" s="657" t="e">
        <f>ABS($B$34*FY103*3600)</f>
        <v>#DIV/0!</v>
      </c>
      <c r="GB103" s="614" t="e">
        <f>GA103*$C$79</f>
        <v>#DIV/0!</v>
      </c>
      <c r="GC103" s="672" t="e">
        <f>GA103*$F$70</f>
        <v>#DIV/0!</v>
      </c>
      <c r="GD103" s="600" t="e">
        <f t="shared" si="103"/>
        <v>#DIV/0!</v>
      </c>
      <c r="GE103" s="672" t="e">
        <f>GA103*$F$72</f>
        <v>#DIV/0!</v>
      </c>
      <c r="GF103" s="676" t="e">
        <f>GA103*$F$71</f>
        <v>#DIV/0!</v>
      </c>
      <c r="GG103" s="668"/>
      <c r="GH103" s="669"/>
      <c r="GI103" s="677"/>
      <c r="GJ103" s="679"/>
      <c r="GK103" s="678"/>
      <c r="GL103" s="663"/>
      <c r="GM103" s="651">
        <f t="shared" si="73"/>
        <v>0</v>
      </c>
      <c r="GN103" s="619" t="e">
        <f>((273.2+GG103)*$F$32/((273.2+$F$31)*GI103))</f>
        <v>#DIV/0!</v>
      </c>
      <c r="GO103" s="674" t="e">
        <f>GM103/GK103*GN103*EXP(-LN(2)/10990*($F$88-GL103))</f>
        <v>#DIV/0!</v>
      </c>
      <c r="GP103" s="599" t="e">
        <f>GO103-AVERAGE(GW94:GW95)</f>
        <v>#DIV/0!</v>
      </c>
      <c r="GQ103" s="599" t="e">
        <f>ABS($B$33*GP103*3600)</f>
        <v>#DIV/0!</v>
      </c>
      <c r="GR103" s="657" t="e">
        <f>ABS($B$34*GP103*3600)</f>
        <v>#DIV/0!</v>
      </c>
      <c r="GS103" s="614" t="e">
        <f>GR103*$C$79</f>
        <v>#DIV/0!</v>
      </c>
      <c r="GT103" s="672" t="e">
        <f>GR103*$F$70</f>
        <v>#DIV/0!</v>
      </c>
      <c r="GU103" s="600" t="e">
        <f t="shared" si="104"/>
        <v>#DIV/0!</v>
      </c>
      <c r="GV103" s="672" t="e">
        <f>GR103*$F$72</f>
        <v>#DIV/0!</v>
      </c>
      <c r="GW103" s="676" t="e">
        <f>GR103*$F$71</f>
        <v>#DIV/0!</v>
      </c>
      <c r="GX103" s="668"/>
      <c r="GY103" s="669"/>
      <c r="GZ103" s="670"/>
      <c r="HA103" s="671"/>
      <c r="HB103" s="678"/>
      <c r="HC103" s="663"/>
      <c r="HD103" s="651">
        <f t="shared" si="74"/>
        <v>0</v>
      </c>
      <c r="HE103" s="619" t="e">
        <f>((273.2+GX103)*$F$32/((273.2+$F$31)*GZ103))</f>
        <v>#DIV/0!</v>
      </c>
      <c r="HF103" s="674" t="e">
        <f>HD103/HB103*HE103*EXP(-LN(2)/10990*($F$88-HC103))</f>
        <v>#DIV/0!</v>
      </c>
      <c r="HG103" s="599" t="e">
        <f>HF103-AVERAGE(HN94:HN95)</f>
        <v>#DIV/0!</v>
      </c>
      <c r="HH103" s="599" t="e">
        <f>ABS($B$33*HG103*3600)</f>
        <v>#DIV/0!</v>
      </c>
      <c r="HI103" s="657" t="e">
        <f>ABS($B$34*HG103*3600)</f>
        <v>#DIV/0!</v>
      </c>
      <c r="HJ103" s="614" t="e">
        <f>HI103*$C$79</f>
        <v>#DIV/0!</v>
      </c>
      <c r="HK103" s="672" t="e">
        <f>HI103*$F$70</f>
        <v>#DIV/0!</v>
      </c>
      <c r="HL103" s="600" t="e">
        <f t="shared" si="105"/>
        <v>#DIV/0!</v>
      </c>
      <c r="HM103" s="672" t="e">
        <f>HI103*$F$72</f>
        <v>#DIV/0!</v>
      </c>
      <c r="HN103" s="676" t="e">
        <f>HI103*$F$71</f>
        <v>#DIV/0!</v>
      </c>
      <c r="HO103" s="668"/>
      <c r="HP103" s="669"/>
      <c r="HQ103" s="670"/>
      <c r="HR103" s="671"/>
      <c r="HS103" s="678"/>
      <c r="HT103" s="663"/>
      <c r="HU103" s="651">
        <f t="shared" si="75"/>
        <v>0</v>
      </c>
      <c r="HV103" s="619" t="e">
        <f>((273.2+HO103)*$F$32/((273.2+$F$31)*HQ103))</f>
        <v>#DIV/0!</v>
      </c>
      <c r="HW103" s="674" t="e">
        <f>HU103/HS103*HV103*EXP(-LN(2)/10990*($F$88-HT103))</f>
        <v>#DIV/0!</v>
      </c>
      <c r="HX103" s="599" t="e">
        <f>HW103-AVERAGE(IE94:IE95)</f>
        <v>#DIV/0!</v>
      </c>
      <c r="HY103" s="599" t="e">
        <f>ABS($B$33*HX103*3600)</f>
        <v>#DIV/0!</v>
      </c>
      <c r="HZ103" s="657" t="e">
        <f>ABS($B$34*HX103*3600)</f>
        <v>#DIV/0!</v>
      </c>
      <c r="IA103" s="614" t="e">
        <f>HZ103*$C$79</f>
        <v>#DIV/0!</v>
      </c>
      <c r="IB103" s="672" t="e">
        <f>HZ103*$F$70</f>
        <v>#DIV/0!</v>
      </c>
      <c r="IC103" s="600" t="e">
        <f t="shared" si="106"/>
        <v>#DIV/0!</v>
      </c>
      <c r="ID103" s="672" t="e">
        <f>HZ103*$F$72</f>
        <v>#DIV/0!</v>
      </c>
      <c r="IE103" s="676" t="e">
        <f>HZ103*$F$71</f>
        <v>#DIV/0!</v>
      </c>
      <c r="IF103" s="668"/>
      <c r="IG103" s="669"/>
      <c r="IH103" s="670"/>
      <c r="II103" s="671"/>
      <c r="IJ103" s="678"/>
      <c r="IK103" s="663"/>
      <c r="IL103" s="651">
        <f t="shared" si="76"/>
        <v>0</v>
      </c>
      <c r="IM103" s="619" t="e">
        <f>((273.2+IF103)*$F$32/((273.2+$F$31)*IH103))</f>
        <v>#DIV/0!</v>
      </c>
      <c r="IN103" s="674" t="e">
        <f>IL103/IJ103*IM103*EXP(-LN(2)/10990*($F$88-IK103))</f>
        <v>#DIV/0!</v>
      </c>
      <c r="IO103" s="599" t="e">
        <f>IN103-AVERAGE(IV94:IV95)</f>
        <v>#DIV/0!</v>
      </c>
      <c r="IP103" s="599" t="e">
        <f>ABS($B$33*IO103*3600)</f>
        <v>#DIV/0!</v>
      </c>
      <c r="IQ103" s="657" t="e">
        <f>ABS($B$34*IO103*3600)</f>
        <v>#DIV/0!</v>
      </c>
      <c r="IR103" s="614" t="e">
        <f>IQ103*$C$79</f>
        <v>#DIV/0!</v>
      </c>
      <c r="IS103" s="672" t="e">
        <f>IQ103*$F$70</f>
        <v>#DIV/0!</v>
      </c>
      <c r="IT103" s="600" t="e">
        <f t="shared" si="107"/>
        <v>#DIV/0!</v>
      </c>
      <c r="IU103" s="672" t="e">
        <f>IQ103*$F$72</f>
        <v>#DIV/0!</v>
      </c>
      <c r="IV103" s="676" t="e">
        <f>IQ103*$F$71</f>
        <v>#DIV/0!</v>
      </c>
      <c r="IW103" s="668"/>
      <c r="IX103" s="669"/>
      <c r="IY103" s="670"/>
      <c r="IZ103" s="671"/>
      <c r="JA103" s="678"/>
      <c r="JB103" s="663"/>
      <c r="JC103" s="651">
        <f t="shared" si="77"/>
        <v>0</v>
      </c>
      <c r="JD103" s="619" t="e">
        <f>((273.2+IW103)*$F$32/((273.2+$F$31)*IY103))</f>
        <v>#DIV/0!</v>
      </c>
      <c r="JE103" s="674" t="e">
        <f>JC103/JA103*JD103*EXP(-LN(2)/10990*($F$88-JB103))</f>
        <v>#DIV/0!</v>
      </c>
      <c r="JF103" s="599" t="e">
        <f>JE103-AVERAGE(JM94:JM95)</f>
        <v>#DIV/0!</v>
      </c>
      <c r="JG103" s="599" t="e">
        <f>ABS($B$33*JF103*3600)</f>
        <v>#DIV/0!</v>
      </c>
      <c r="JH103" s="657" t="e">
        <f>ABS($B$34*JF103*3600)</f>
        <v>#DIV/0!</v>
      </c>
      <c r="JI103" s="614" t="e">
        <f>JH103*$C$79</f>
        <v>#DIV/0!</v>
      </c>
      <c r="JJ103" s="672" t="e">
        <f>JH103*$F$70</f>
        <v>#DIV/0!</v>
      </c>
      <c r="JK103" s="600" t="e">
        <f t="shared" si="108"/>
        <v>#DIV/0!</v>
      </c>
      <c r="JL103" s="672" t="e">
        <f>JH103*$F$72</f>
        <v>#DIV/0!</v>
      </c>
      <c r="JM103" s="676" t="e">
        <f>JH103*$F$71</f>
        <v>#DIV/0!</v>
      </c>
      <c r="JN103" s="668"/>
      <c r="JO103" s="669"/>
      <c r="JP103" s="670"/>
      <c r="JQ103" s="671"/>
      <c r="JR103" s="678"/>
      <c r="JS103" s="663"/>
      <c r="JT103" s="651">
        <f t="shared" si="78"/>
        <v>0</v>
      </c>
      <c r="JU103" s="619" t="e">
        <f>((273.2+JN103)*$F$32/((273.2+$F$31)*JP103))</f>
        <v>#DIV/0!</v>
      </c>
      <c r="JV103" s="674" t="e">
        <f>JT103/JR103*JU103*EXP(-LN(2)/10990*($F$88-JS103))</f>
        <v>#DIV/0!</v>
      </c>
      <c r="JW103" s="599" t="e">
        <f>JV103-AVERAGE(KD94:KD95)</f>
        <v>#DIV/0!</v>
      </c>
      <c r="JX103" s="599" t="e">
        <f>ABS($B$33*JW103*3600)</f>
        <v>#DIV/0!</v>
      </c>
      <c r="JY103" s="657" t="e">
        <f>ABS($B$34*JW103*3600)</f>
        <v>#DIV/0!</v>
      </c>
      <c r="JZ103" s="614" t="e">
        <f>JY103*$C$79</f>
        <v>#DIV/0!</v>
      </c>
      <c r="KA103" s="672" t="e">
        <f>JY103*$F$70</f>
        <v>#DIV/0!</v>
      </c>
      <c r="KB103" s="600" t="e">
        <f t="shared" si="109"/>
        <v>#DIV/0!</v>
      </c>
      <c r="KC103" s="672" t="e">
        <f>JY103*$F$72</f>
        <v>#DIV/0!</v>
      </c>
      <c r="KD103" s="676" t="e">
        <f>JY103*$F$71</f>
        <v>#DIV/0!</v>
      </c>
      <c r="KE103" s="668"/>
      <c r="KF103" s="669"/>
      <c r="KG103" s="670"/>
      <c r="KH103" s="671"/>
      <c r="KI103" s="678"/>
      <c r="KJ103" s="663"/>
      <c r="KK103" s="651">
        <f t="shared" si="79"/>
        <v>0</v>
      </c>
      <c r="KL103" s="619" t="e">
        <f>((273.2+KE103)*$F$32/((273.2+$F$31)*KG103))</f>
        <v>#DIV/0!</v>
      </c>
      <c r="KM103" s="674" t="e">
        <f>KK103/KI103*KL103*EXP(-LN(2)/10990*($F$88-KJ103))</f>
        <v>#DIV/0!</v>
      </c>
      <c r="KN103" s="599" t="e">
        <f>KM103-AVERAGE(KU94:KU95)</f>
        <v>#DIV/0!</v>
      </c>
      <c r="KO103" s="599" t="e">
        <f>ABS($B$33*KN103*3600)</f>
        <v>#DIV/0!</v>
      </c>
      <c r="KP103" s="657" t="e">
        <f>ABS($B$34*KN103*3600)</f>
        <v>#DIV/0!</v>
      </c>
      <c r="KQ103" s="614" t="e">
        <f>KP103*$C$79</f>
        <v>#DIV/0!</v>
      </c>
      <c r="KR103" s="672" t="e">
        <f>KP103*$F$70</f>
        <v>#DIV/0!</v>
      </c>
      <c r="KS103" s="600" t="e">
        <f t="shared" si="110"/>
        <v>#DIV/0!</v>
      </c>
      <c r="KT103" s="672" t="e">
        <f>KP103*$F$72</f>
        <v>#DIV/0!</v>
      </c>
      <c r="KU103" s="676" t="e">
        <f>KP103*$F$71</f>
        <v>#DIV/0!</v>
      </c>
      <c r="KV103" s="668"/>
      <c r="KW103" s="669"/>
      <c r="KX103" s="670"/>
      <c r="KY103" s="671"/>
      <c r="KZ103" s="678"/>
      <c r="LA103" s="663"/>
      <c r="LB103" s="651">
        <f t="shared" si="80"/>
        <v>0</v>
      </c>
      <c r="LC103" s="619" t="e">
        <f>((273.2+KV103)*$F$32/((273.2+$F$31)*KX103))</f>
        <v>#DIV/0!</v>
      </c>
      <c r="LD103" s="674" t="e">
        <f>LB103/KZ103*LC103*EXP(-LN(2)/10990*($F$88-LA103))</f>
        <v>#DIV/0!</v>
      </c>
      <c r="LE103" s="599" t="e">
        <f>LD103-AVERAGE(LL94:LL95)</f>
        <v>#DIV/0!</v>
      </c>
      <c r="LF103" s="599" t="e">
        <f>ABS($B$33*LE103*3600)</f>
        <v>#DIV/0!</v>
      </c>
      <c r="LG103" s="657" t="e">
        <f>ABS($B$34*LE103*3600)</f>
        <v>#DIV/0!</v>
      </c>
      <c r="LH103" s="614" t="e">
        <f>LG103*$C$79</f>
        <v>#DIV/0!</v>
      </c>
      <c r="LI103" s="672" t="e">
        <f>LG103*$F$70</f>
        <v>#DIV/0!</v>
      </c>
      <c r="LJ103" s="600" t="e">
        <f t="shared" si="111"/>
        <v>#DIV/0!</v>
      </c>
      <c r="LK103" s="672" t="e">
        <f>LG103*$F$72</f>
        <v>#DIV/0!</v>
      </c>
      <c r="LL103" s="676" t="e">
        <f>LG103*$F$71</f>
        <v>#DIV/0!</v>
      </c>
      <c r="LM103" s="668"/>
      <c r="LN103" s="669"/>
      <c r="LO103" s="670"/>
      <c r="LP103" s="671"/>
      <c r="LQ103" s="678"/>
      <c r="LR103" s="663"/>
      <c r="LS103" s="651">
        <f t="shared" si="81"/>
        <v>0</v>
      </c>
      <c r="LT103" s="619" t="e">
        <f>((273.2+LM103)*$F$32/((273.2+$F$31)*LO103))</f>
        <v>#DIV/0!</v>
      </c>
      <c r="LU103" s="674" t="e">
        <f>LS103/LQ103*LT103*EXP(-LN(2)/10990*($F$88-LR103))</f>
        <v>#DIV/0!</v>
      </c>
      <c r="LV103" s="599" t="e">
        <f>LU103-AVERAGE(MC94:MC95)</f>
        <v>#DIV/0!</v>
      </c>
      <c r="LW103" s="599" t="e">
        <f>ABS($B$33*LV103*3600)</f>
        <v>#DIV/0!</v>
      </c>
      <c r="LX103" s="657" t="e">
        <f>ABS($B$34*LV103*3600)</f>
        <v>#DIV/0!</v>
      </c>
      <c r="LY103" s="614" t="e">
        <f>LX103*$C$79</f>
        <v>#DIV/0!</v>
      </c>
      <c r="LZ103" s="672" t="e">
        <f>LX103*$F$70</f>
        <v>#DIV/0!</v>
      </c>
      <c r="MA103" s="600" t="e">
        <f t="shared" si="112"/>
        <v>#DIV/0!</v>
      </c>
      <c r="MB103" s="672" t="e">
        <f>LX103*$F$72</f>
        <v>#DIV/0!</v>
      </c>
      <c r="MC103" s="676" t="e">
        <f>LX103*$F$71</f>
        <v>#DIV/0!</v>
      </c>
      <c r="MD103" s="668"/>
      <c r="ME103" s="669"/>
      <c r="MF103" s="680"/>
      <c r="MG103" s="671"/>
      <c r="MH103" s="673"/>
      <c r="MI103" s="663"/>
      <c r="MJ103" s="651">
        <f t="shared" si="82"/>
        <v>0</v>
      </c>
      <c r="MK103" s="619" t="e">
        <f>((273.2+MD103)*$F$32/((273.2+$F$31)*MF103))</f>
        <v>#DIV/0!</v>
      </c>
      <c r="ML103" s="674" t="e">
        <f>MJ103/MH103*MK103*EXP(-LN(2)/10990*($F$88-MI103))</f>
        <v>#DIV/0!</v>
      </c>
      <c r="MM103" s="599" t="e">
        <f>ML103-AVERAGE(MT94:MT95)</f>
        <v>#DIV/0!</v>
      </c>
      <c r="MN103" s="599" t="e">
        <f>ABS($B$33*MM103*3600)</f>
        <v>#DIV/0!</v>
      </c>
      <c r="MO103" s="657" t="e">
        <f>ABS($B$34*MM103*3600)</f>
        <v>#DIV/0!</v>
      </c>
      <c r="MP103" s="614" t="e">
        <f>MO103*$C$79</f>
        <v>#DIV/0!</v>
      </c>
      <c r="MQ103" s="672" t="e">
        <f>MO103*$F$70</f>
        <v>#DIV/0!</v>
      </c>
      <c r="MR103" s="600" t="e">
        <f t="shared" si="113"/>
        <v>#DIV/0!</v>
      </c>
      <c r="MS103" s="672" t="e">
        <f>MO103*$F$72</f>
        <v>#DIV/0!</v>
      </c>
      <c r="MT103" s="676" t="e">
        <f>MO103*$F$71</f>
        <v>#DIV/0!</v>
      </c>
      <c r="MU103" s="668"/>
      <c r="MV103" s="669"/>
      <c r="MW103" s="670"/>
      <c r="MX103" s="671"/>
      <c r="MY103" s="678"/>
      <c r="MZ103" s="663"/>
      <c r="NA103" s="651">
        <f t="shared" si="83"/>
        <v>0</v>
      </c>
      <c r="NB103" s="619" t="e">
        <f>((273.2+MU103)*$F$32/((273.2+$F$31)*MW103))</f>
        <v>#DIV/0!</v>
      </c>
      <c r="NC103" s="674" t="e">
        <f>NA103/MY103*NB103*EXP(-LN(2)/10990*($F$88-MZ103))</f>
        <v>#DIV/0!</v>
      </c>
      <c r="ND103" s="599" t="e">
        <f>NC103-AVERAGE(NK94:NK95)</f>
        <v>#DIV/0!</v>
      </c>
      <c r="NE103" s="599" t="e">
        <f>ABS($B$33*ND103*3600)</f>
        <v>#DIV/0!</v>
      </c>
      <c r="NF103" s="657" t="e">
        <f>ABS($B$34*ND103*3600)</f>
        <v>#DIV/0!</v>
      </c>
      <c r="NG103" s="614" t="e">
        <f>NF103*$C$79</f>
        <v>#DIV/0!</v>
      </c>
      <c r="NH103" s="672" t="e">
        <f>NF103*$F$70</f>
        <v>#DIV/0!</v>
      </c>
      <c r="NI103" s="600" t="e">
        <f t="shared" si="114"/>
        <v>#DIV/0!</v>
      </c>
      <c r="NJ103" s="672" t="e">
        <f>NF103*$F$72</f>
        <v>#DIV/0!</v>
      </c>
      <c r="NK103" s="676" t="e">
        <f>NF103*$F$71</f>
        <v>#DIV/0!</v>
      </c>
      <c r="NL103" s="668"/>
      <c r="NM103" s="669"/>
      <c r="NN103" s="670"/>
      <c r="NO103" s="671"/>
      <c r="NP103" s="678"/>
      <c r="NQ103" s="663"/>
      <c r="NR103" s="651">
        <f t="shared" si="84"/>
        <v>0</v>
      </c>
      <c r="NS103" s="619" t="e">
        <f>((273.2+NL103)*$F$32/((273.2+$F$31)*NN103))</f>
        <v>#DIV/0!</v>
      </c>
      <c r="NT103" s="674" t="e">
        <f>NR103/NP103*NS103*EXP(-LN(2)/10990*($F$88-NQ103))</f>
        <v>#DIV/0!</v>
      </c>
      <c r="NU103" s="599" t="e">
        <f>NT103-AVERAGE(OB94:OB95)</f>
        <v>#DIV/0!</v>
      </c>
      <c r="NV103" s="599" t="e">
        <f>ABS($B$33*NU103*3600)</f>
        <v>#DIV/0!</v>
      </c>
      <c r="NW103" s="657" t="e">
        <f>ABS($B$34*NU103*3600)</f>
        <v>#DIV/0!</v>
      </c>
      <c r="NX103" s="614" t="e">
        <f>NW103*$C$79</f>
        <v>#DIV/0!</v>
      </c>
      <c r="NY103" s="672" t="e">
        <f>NW103*$F$70</f>
        <v>#DIV/0!</v>
      </c>
      <c r="NZ103" s="600" t="e">
        <f t="shared" si="115"/>
        <v>#DIV/0!</v>
      </c>
      <c r="OA103" s="672" t="e">
        <f>NW103*$F$72</f>
        <v>#DIV/0!</v>
      </c>
      <c r="OB103" s="676" t="e">
        <f>NW103*$F$71</f>
        <v>#DIV/0!</v>
      </c>
      <c r="OC103" s="668"/>
      <c r="OD103" s="669"/>
      <c r="OE103" s="670"/>
      <c r="OF103" s="671"/>
      <c r="OG103" s="678"/>
      <c r="OH103" s="663"/>
      <c r="OI103" s="651">
        <f t="shared" si="85"/>
        <v>0</v>
      </c>
      <c r="OJ103" s="619" t="e">
        <f>((273.2+OC103)*$F$32/((273.2+$F$31)*OE103))</f>
        <v>#DIV/0!</v>
      </c>
      <c r="OK103" s="674" t="e">
        <f>OI103/OG103*OJ103*EXP(-LN(2)/10990*($F$88-OH103))</f>
        <v>#DIV/0!</v>
      </c>
      <c r="OL103" s="599" t="e">
        <f>OK103-AVERAGE(OS94:OS95)</f>
        <v>#DIV/0!</v>
      </c>
      <c r="OM103" s="599" t="e">
        <f>ABS($B$33*OL103*3600)</f>
        <v>#DIV/0!</v>
      </c>
      <c r="ON103" s="657" t="e">
        <f>ABS($B$34*OL103*3600)</f>
        <v>#DIV/0!</v>
      </c>
      <c r="OO103" s="614" t="e">
        <f>ON103*$C$79</f>
        <v>#DIV/0!</v>
      </c>
      <c r="OP103" s="672" t="e">
        <f>ON103*$F$70</f>
        <v>#DIV/0!</v>
      </c>
      <c r="OQ103" s="600" t="e">
        <f t="shared" si="116"/>
        <v>#DIV/0!</v>
      </c>
      <c r="OR103" s="672" t="e">
        <f>ON103*$F$72</f>
        <v>#DIV/0!</v>
      </c>
      <c r="OS103" s="676" t="e">
        <f>ON103*$F$71</f>
        <v>#DIV/0!</v>
      </c>
      <c r="OT103" s="668"/>
      <c r="OU103" s="669"/>
      <c r="OV103" s="670"/>
      <c r="OW103" s="671"/>
      <c r="OX103" s="678"/>
      <c r="OY103" s="663"/>
      <c r="OZ103" s="651">
        <f t="shared" si="86"/>
        <v>0</v>
      </c>
      <c r="PA103" s="619" t="e">
        <f>((273.2+OT103)*$F$32/((273.2+$F$31)*OV103))</f>
        <v>#DIV/0!</v>
      </c>
      <c r="PB103" s="674" t="e">
        <f>OZ103/OX103*PA103*EXP(-LN(2)/10990*($F$88-OY103))</f>
        <v>#DIV/0!</v>
      </c>
      <c r="PC103" s="599" t="e">
        <f>PB103-AVERAGE(PJ94:PJ95)</f>
        <v>#DIV/0!</v>
      </c>
      <c r="PD103" s="599" t="e">
        <f>ABS($B$33*PC103*3600)</f>
        <v>#DIV/0!</v>
      </c>
      <c r="PE103" s="657" t="e">
        <f>ABS($B$34*PC103*3600)</f>
        <v>#DIV/0!</v>
      </c>
      <c r="PF103" s="614" t="e">
        <f>PE103*$C$79</f>
        <v>#DIV/0!</v>
      </c>
      <c r="PG103" s="672" t="e">
        <f>PE103*$F$70</f>
        <v>#DIV/0!</v>
      </c>
      <c r="PH103" s="600" t="e">
        <f t="shared" si="117"/>
        <v>#DIV/0!</v>
      </c>
      <c r="PI103" s="672" t="e">
        <f>PE103*$F$72</f>
        <v>#DIV/0!</v>
      </c>
      <c r="PJ103" s="676" t="e">
        <f>PE103*$F$71</f>
        <v>#DIV/0!</v>
      </c>
      <c r="PK103" s="668"/>
      <c r="PL103" s="669"/>
      <c r="PM103" s="670"/>
      <c r="PN103" s="671"/>
      <c r="PO103" s="678"/>
      <c r="PP103" s="663"/>
      <c r="PQ103" s="651">
        <f t="shared" si="87"/>
        <v>0</v>
      </c>
      <c r="PR103" s="619" t="e">
        <f>((273.2+PK103)*$F$32/((273.2+$F$31)*PM103))</f>
        <v>#DIV/0!</v>
      </c>
      <c r="PS103" s="674" t="e">
        <f>PQ103/PO103*PR103*EXP(-LN(2)/10990*($F$88-PP103))</f>
        <v>#DIV/0!</v>
      </c>
      <c r="PT103" s="599" t="e">
        <f>PS103-AVERAGE(QA94:QA95)</f>
        <v>#DIV/0!</v>
      </c>
      <c r="PU103" s="599" t="e">
        <f>ABS($B$33*PT103*3600)</f>
        <v>#DIV/0!</v>
      </c>
      <c r="PV103" s="657" t="e">
        <f>ABS($B$34*PT103*3600)</f>
        <v>#DIV/0!</v>
      </c>
      <c r="PW103" s="614" t="e">
        <f>PV103*$C$79</f>
        <v>#DIV/0!</v>
      </c>
      <c r="PX103" s="672" t="e">
        <f>PV103*$F$70</f>
        <v>#DIV/0!</v>
      </c>
      <c r="PY103" s="600" t="e">
        <f t="shared" si="118"/>
        <v>#DIV/0!</v>
      </c>
      <c r="PZ103" s="672" t="e">
        <f>PV103*$F$72</f>
        <v>#DIV/0!</v>
      </c>
      <c r="QA103" s="676" t="e">
        <f>PV103*$F$71</f>
        <v>#DIV/0!</v>
      </c>
      <c r="QB103" s="668"/>
      <c r="QC103" s="669"/>
      <c r="QD103" s="670"/>
      <c r="QE103" s="671"/>
      <c r="QF103" s="673"/>
      <c r="QG103" s="663"/>
      <c r="QH103" s="651">
        <f t="shared" si="88"/>
        <v>0</v>
      </c>
      <c r="QI103" s="619" t="e">
        <f>((273.2+QB103)*$F$32/((273.2+$F$31)*QD103))</f>
        <v>#DIV/0!</v>
      </c>
      <c r="QJ103" s="674" t="e">
        <f>QH103/QF103*QI103*EXP(-LN(2)/10990*($F$88-QG103))</f>
        <v>#DIV/0!</v>
      </c>
      <c r="QK103" s="599" t="e">
        <f>QJ103-AVERAGE(QR94:QR95)</f>
        <v>#DIV/0!</v>
      </c>
      <c r="QL103" s="599" t="e">
        <f>ABS($B$33*QK103*3600)</f>
        <v>#DIV/0!</v>
      </c>
      <c r="QM103" s="657" t="e">
        <f>ABS($B$34*QK103*3600)</f>
        <v>#DIV/0!</v>
      </c>
      <c r="QN103" s="614" t="e">
        <f>QM103*$C$79</f>
        <v>#DIV/0!</v>
      </c>
      <c r="QO103" s="672" t="e">
        <f>QM103*$F$70</f>
        <v>#DIV/0!</v>
      </c>
      <c r="QP103" s="600" t="e">
        <f t="shared" si="119"/>
        <v>#DIV/0!</v>
      </c>
      <c r="QQ103" s="672" t="e">
        <f>QM103*$F$72</f>
        <v>#DIV/0!</v>
      </c>
      <c r="QR103" s="676" t="e">
        <f>QM103*$F$71</f>
        <v>#DIV/0!</v>
      </c>
      <c r="QS103" s="668"/>
      <c r="QT103" s="669"/>
      <c r="QU103" s="677"/>
      <c r="QV103" s="679"/>
      <c r="QW103" s="678"/>
      <c r="QX103" s="663"/>
      <c r="QY103" s="651">
        <f t="shared" si="89"/>
        <v>0</v>
      </c>
      <c r="QZ103" s="619" t="e">
        <f>((273.2+QS103)*$F$32/((273.2+$F$31)*QU103))</f>
        <v>#DIV/0!</v>
      </c>
      <c r="RA103" s="674" t="e">
        <f>QY103/QW103*QZ103*EXP(-LN(2)/10990*($F$88-QX103))</f>
        <v>#DIV/0!</v>
      </c>
      <c r="RB103" s="599" t="e">
        <f>RA103-AVERAGE(RI94:RI95)</f>
        <v>#DIV/0!</v>
      </c>
      <c r="RC103" s="599" t="e">
        <f>ABS($B$33*RB103*3600)</f>
        <v>#DIV/0!</v>
      </c>
      <c r="RD103" s="657" t="e">
        <f>ABS($B$34*RB103*3600)</f>
        <v>#DIV/0!</v>
      </c>
      <c r="RE103" s="614" t="e">
        <f>RD103*$C$79</f>
        <v>#DIV/0!</v>
      </c>
      <c r="RF103" s="672" t="e">
        <f>RD103*$F$70</f>
        <v>#DIV/0!</v>
      </c>
      <c r="RG103" s="600" t="e">
        <f t="shared" si="120"/>
        <v>#DIV/0!</v>
      </c>
      <c r="RH103" s="672" t="e">
        <f>RD103*$F$72</f>
        <v>#DIV/0!</v>
      </c>
      <c r="RI103" s="676" t="e">
        <f>RD103*$F$71</f>
        <v>#DIV/0!</v>
      </c>
      <c r="RJ103" s="668"/>
      <c r="RK103" s="669"/>
      <c r="RL103" s="670"/>
      <c r="RM103" s="671"/>
      <c r="RN103" s="678"/>
      <c r="RO103" s="663"/>
      <c r="RP103" s="651">
        <f t="shared" si="90"/>
        <v>0</v>
      </c>
      <c r="RQ103" s="619" t="e">
        <f>((273.2+RJ103)*$F$32/((273.2+$F$31)*RL103))</f>
        <v>#DIV/0!</v>
      </c>
      <c r="RR103" s="674" t="e">
        <f>RP103/RN103*RQ103*EXP(-LN(2)/10990*($F$88-RO103))</f>
        <v>#DIV/0!</v>
      </c>
      <c r="RS103" s="599" t="e">
        <f>RR103-AVERAGE(RZ94:RZ95)</f>
        <v>#DIV/0!</v>
      </c>
      <c r="RT103" s="599" t="e">
        <f>ABS($B$33*RS103*3600)</f>
        <v>#DIV/0!</v>
      </c>
      <c r="RU103" s="657" t="e">
        <f>ABS($B$34*RS103*3600)</f>
        <v>#DIV/0!</v>
      </c>
      <c r="RV103" s="614" t="e">
        <f>RU103*$C$79</f>
        <v>#DIV/0!</v>
      </c>
      <c r="RW103" s="672" t="e">
        <f>RU103*$F$70</f>
        <v>#DIV/0!</v>
      </c>
      <c r="RX103" s="600" t="e">
        <f t="shared" si="121"/>
        <v>#DIV/0!</v>
      </c>
      <c r="RY103" s="672" t="e">
        <f>RU103*$F$72</f>
        <v>#DIV/0!</v>
      </c>
      <c r="RZ103" s="676" t="e">
        <f>RU103*$F$71</f>
        <v>#DIV/0!</v>
      </c>
      <c r="SA103" s="668"/>
      <c r="SB103" s="669"/>
      <c r="SC103" s="670"/>
      <c r="SD103" s="671"/>
      <c r="SE103" s="678"/>
      <c r="SF103" s="663"/>
      <c r="SG103" s="651">
        <f t="shared" si="91"/>
        <v>0</v>
      </c>
      <c r="SH103" s="619" t="e">
        <f>((273.2+SA103)*$F$32/((273.2+$F$31)*SC103))</f>
        <v>#DIV/0!</v>
      </c>
      <c r="SI103" s="674" t="e">
        <f>SG103/SE103*SH103*EXP(-LN(2)/10990*($F$88-SF103))</f>
        <v>#DIV/0!</v>
      </c>
      <c r="SJ103" s="599" t="e">
        <f>SI103-AVERAGE(SQ94:SQ95)</f>
        <v>#DIV/0!</v>
      </c>
      <c r="SK103" s="599" t="e">
        <f>ABS($B$33*SJ103*3600)</f>
        <v>#DIV/0!</v>
      </c>
      <c r="SL103" s="657" t="e">
        <f>ABS($B$34*SJ103*3600)</f>
        <v>#DIV/0!</v>
      </c>
      <c r="SM103" s="614" t="e">
        <f>SL103*$C$79</f>
        <v>#DIV/0!</v>
      </c>
      <c r="SN103" s="672" t="e">
        <f>SL103*$F$70</f>
        <v>#DIV/0!</v>
      </c>
      <c r="SO103" s="600" t="e">
        <f t="shared" si="122"/>
        <v>#DIV/0!</v>
      </c>
      <c r="SP103" s="672" t="e">
        <f>SL103*$F$72</f>
        <v>#DIV/0!</v>
      </c>
      <c r="SQ103" s="676" t="e">
        <f>SL103*$F$71</f>
        <v>#DIV/0!</v>
      </c>
      <c r="SR103" s="668"/>
      <c r="SS103" s="669"/>
      <c r="ST103" s="670"/>
      <c r="SU103" s="671"/>
      <c r="SV103" s="678"/>
      <c r="SW103" s="663"/>
      <c r="SX103" s="651">
        <f t="shared" si="92"/>
        <v>0</v>
      </c>
      <c r="SY103" s="619" t="e">
        <f>((273.2+SR103)*$F$32/((273.2+$F$31)*ST103))</f>
        <v>#DIV/0!</v>
      </c>
      <c r="SZ103" s="674" t="e">
        <f>SX103/SV103*SY103*EXP(-LN(2)/10990*($F$88-SW103))</f>
        <v>#DIV/0!</v>
      </c>
      <c r="TA103" s="599" t="e">
        <f>SZ103-AVERAGE(TH94:TH95)</f>
        <v>#DIV/0!</v>
      </c>
      <c r="TB103" s="599" t="e">
        <f>ABS($B$33*TA103*3600)</f>
        <v>#DIV/0!</v>
      </c>
      <c r="TC103" s="657" t="e">
        <f>ABS($B$34*TA103*3600)</f>
        <v>#DIV/0!</v>
      </c>
      <c r="TD103" s="614" t="e">
        <f>TC103*$C$79</f>
        <v>#DIV/0!</v>
      </c>
      <c r="TE103" s="672" t="e">
        <f>TC103*$F$70</f>
        <v>#DIV/0!</v>
      </c>
      <c r="TF103" s="600" t="e">
        <f t="shared" si="123"/>
        <v>#DIV/0!</v>
      </c>
      <c r="TG103" s="672" t="e">
        <f>TC103*$F$72</f>
        <v>#DIV/0!</v>
      </c>
      <c r="TH103" s="676" t="e">
        <f>TC103*$F$71</f>
        <v>#DIV/0!</v>
      </c>
      <c r="TI103" s="668"/>
      <c r="TJ103" s="669"/>
      <c r="TK103" s="670"/>
      <c r="TL103" s="671"/>
      <c r="TM103" s="678"/>
      <c r="TN103" s="663"/>
      <c r="TO103" s="651">
        <f t="shared" si="93"/>
        <v>0</v>
      </c>
      <c r="TP103" s="619" t="e">
        <f>((273.2+TI103)*$F$32/((273.2+$F$31)*TK103))</f>
        <v>#DIV/0!</v>
      </c>
      <c r="TQ103" s="674" t="e">
        <f>TO103/TM103*TP103*EXP(-LN(2)/10990*($F$88-TN103))</f>
        <v>#DIV/0!</v>
      </c>
      <c r="TR103" s="599" t="e">
        <f>TQ103-AVERAGE(TY94:TY95)</f>
        <v>#DIV/0!</v>
      </c>
      <c r="TS103" s="599" t="e">
        <f>ABS($B$33*TR103*3600)</f>
        <v>#DIV/0!</v>
      </c>
      <c r="TT103" s="657" t="e">
        <f>ABS($B$34*TR103*3600)</f>
        <v>#DIV/0!</v>
      </c>
      <c r="TU103" s="614" t="e">
        <f>TT103*$C$79</f>
        <v>#DIV/0!</v>
      </c>
      <c r="TV103" s="672" t="e">
        <f>TT103*$F$70</f>
        <v>#DIV/0!</v>
      </c>
      <c r="TW103" s="600" t="e">
        <f t="shared" si="124"/>
        <v>#DIV/0!</v>
      </c>
      <c r="TX103" s="672" t="e">
        <f>TT103*$F$72</f>
        <v>#DIV/0!</v>
      </c>
      <c r="TY103" s="676" t="e">
        <f>TT103*$F$71</f>
        <v>#DIV/0!</v>
      </c>
    </row>
    <row r="104" spans="1:545" x14ac:dyDescent="0.25">
      <c r="A104" s="681" t="s">
        <v>61</v>
      </c>
      <c r="B104" s="688"/>
      <c r="C104" s="689"/>
      <c r="D104" s="689"/>
      <c r="E104" s="672"/>
      <c r="F104" s="689"/>
      <c r="G104" s="685"/>
      <c r="H104" s="599"/>
      <c r="I104" s="619"/>
      <c r="J104" s="675"/>
      <c r="K104" s="672"/>
      <c r="L104" s="687"/>
      <c r="M104" s="687"/>
      <c r="N104" s="687"/>
      <c r="O104" s="687"/>
      <c r="P104" s="687"/>
      <c r="Q104" s="687"/>
      <c r="R104" s="690"/>
      <c r="S104" s="691" t="e">
        <f t="shared" ref="S104:W104" si="125">AVERAGE(S99:S103)</f>
        <v>#DIV/0!</v>
      </c>
      <c r="T104" s="683" t="e">
        <f t="shared" si="125"/>
        <v>#DIV/0!</v>
      </c>
      <c r="U104" s="684" t="e">
        <f t="shared" si="125"/>
        <v>#DIV/0!</v>
      </c>
      <c r="V104" s="685" t="e">
        <f t="shared" si="125"/>
        <v>#DIV/0!</v>
      </c>
      <c r="W104" s="685" t="e">
        <f t="shared" si="125"/>
        <v>#DIV/0!</v>
      </c>
      <c r="X104" s="685" t="s">
        <v>93</v>
      </c>
      <c r="Y104" s="599">
        <f t="shared" ref="Y104" si="126">AVERAGE(Y99:Y103)</f>
        <v>0</v>
      </c>
      <c r="Z104" s="619" t="e">
        <f>AVERAGE(Z99:Z103)</f>
        <v>#DIV/0!</v>
      </c>
      <c r="AA104" s="675" t="e">
        <f>AVERAGE(AA99:AA103)</f>
        <v>#DIV/0!</v>
      </c>
      <c r="AB104" s="672" t="e">
        <f>AVERAGE(AB99:AB103)</f>
        <v>#DIV/0!</v>
      </c>
      <c r="AC104" s="687" t="e">
        <f t="shared" ref="AC104:AM104" si="127">AVERAGE(AC99:AC103)</f>
        <v>#DIV/0!</v>
      </c>
      <c r="AD104" s="686" t="e">
        <f t="shared" si="127"/>
        <v>#DIV/0!</v>
      </c>
      <c r="AE104" s="687" t="e">
        <f t="shared" si="127"/>
        <v>#DIV/0!</v>
      </c>
      <c r="AF104" s="687" t="e">
        <f t="shared" si="127"/>
        <v>#DIV/0!</v>
      </c>
      <c r="AG104" s="687" t="e">
        <f t="shared" si="127"/>
        <v>#DIV/0!</v>
      </c>
      <c r="AH104" s="687" t="e">
        <f t="shared" si="127"/>
        <v>#DIV/0!</v>
      </c>
      <c r="AI104" s="690" t="e">
        <f t="shared" si="127"/>
        <v>#DIV/0!</v>
      </c>
      <c r="AJ104" s="682" t="e">
        <f t="shared" si="127"/>
        <v>#DIV/0!</v>
      </c>
      <c r="AK104" s="683" t="e">
        <f t="shared" si="127"/>
        <v>#DIV/0!</v>
      </c>
      <c r="AL104" s="684" t="e">
        <f t="shared" si="127"/>
        <v>#DIV/0!</v>
      </c>
      <c r="AM104" s="685" t="e">
        <f t="shared" si="127"/>
        <v>#DIV/0!</v>
      </c>
      <c r="AN104" s="685" t="e">
        <f>AVERAGE(AN99:AN103)</f>
        <v>#DIV/0!</v>
      </c>
      <c r="AO104" s="685" t="s">
        <v>93</v>
      </c>
      <c r="AP104" s="599">
        <f t="shared" ref="AP104:BE104" si="128">AVERAGE(AP99:AP103)</f>
        <v>0</v>
      </c>
      <c r="AQ104" s="619" t="e">
        <f t="shared" si="128"/>
        <v>#DIV/0!</v>
      </c>
      <c r="AR104" s="675" t="e">
        <f t="shared" si="128"/>
        <v>#DIV/0!</v>
      </c>
      <c r="AS104" s="672" t="e">
        <f>AVERAGE(AS99:AS103)</f>
        <v>#DIV/0!</v>
      </c>
      <c r="AT104" s="687" t="e">
        <f t="shared" si="128"/>
        <v>#DIV/0!</v>
      </c>
      <c r="AU104" s="686" t="e">
        <f t="shared" si="128"/>
        <v>#DIV/0!</v>
      </c>
      <c r="AV104" s="687" t="e">
        <f t="shared" si="128"/>
        <v>#DIV/0!</v>
      </c>
      <c r="AW104" s="687" t="e">
        <f t="shared" si="128"/>
        <v>#DIV/0!</v>
      </c>
      <c r="AX104" s="687" t="e">
        <f t="shared" si="128"/>
        <v>#DIV/0!</v>
      </c>
      <c r="AY104" s="687" t="e">
        <f t="shared" si="128"/>
        <v>#DIV/0!</v>
      </c>
      <c r="AZ104" s="690" t="e">
        <f t="shared" si="128"/>
        <v>#DIV/0!</v>
      </c>
      <c r="BA104" s="682" t="e">
        <f t="shared" si="128"/>
        <v>#DIV/0!</v>
      </c>
      <c r="BB104" s="683" t="e">
        <f t="shared" si="128"/>
        <v>#DIV/0!</v>
      </c>
      <c r="BC104" s="684" t="e">
        <f t="shared" si="128"/>
        <v>#DIV/0!</v>
      </c>
      <c r="BD104" s="599" t="e">
        <f t="shared" si="128"/>
        <v>#DIV/0!</v>
      </c>
      <c r="BE104" s="685" t="e">
        <f t="shared" si="128"/>
        <v>#DIV/0!</v>
      </c>
      <c r="BF104" s="685" t="s">
        <v>93</v>
      </c>
      <c r="BG104" s="599">
        <f t="shared" ref="BG104:BV104" si="129">AVERAGE(BG99:BG103)</f>
        <v>0</v>
      </c>
      <c r="BH104" s="619" t="e">
        <f t="shared" si="129"/>
        <v>#DIV/0!</v>
      </c>
      <c r="BI104" s="675" t="e">
        <f t="shared" si="129"/>
        <v>#DIV/0!</v>
      </c>
      <c r="BJ104" s="672" t="e">
        <f>AVERAGE(BJ99:BJ103)</f>
        <v>#DIV/0!</v>
      </c>
      <c r="BK104" s="687" t="e">
        <f t="shared" si="129"/>
        <v>#DIV/0!</v>
      </c>
      <c r="BL104" s="686" t="e">
        <f t="shared" si="129"/>
        <v>#DIV/0!</v>
      </c>
      <c r="BM104" s="687" t="e">
        <f t="shared" si="129"/>
        <v>#DIV/0!</v>
      </c>
      <c r="BN104" s="687" t="e">
        <f t="shared" si="129"/>
        <v>#DIV/0!</v>
      </c>
      <c r="BO104" s="687" t="e">
        <f t="shared" si="129"/>
        <v>#DIV/0!</v>
      </c>
      <c r="BP104" s="687" t="e">
        <f t="shared" si="129"/>
        <v>#DIV/0!</v>
      </c>
      <c r="BQ104" s="690" t="e">
        <f t="shared" si="129"/>
        <v>#DIV/0!</v>
      </c>
      <c r="BR104" s="682" t="e">
        <f t="shared" si="129"/>
        <v>#DIV/0!</v>
      </c>
      <c r="BS104" s="683" t="e">
        <f t="shared" si="129"/>
        <v>#DIV/0!</v>
      </c>
      <c r="BT104" s="684" t="e">
        <f t="shared" si="129"/>
        <v>#DIV/0!</v>
      </c>
      <c r="BU104" s="599" t="e">
        <f t="shared" si="129"/>
        <v>#DIV/0!</v>
      </c>
      <c r="BV104" s="685" t="e">
        <f t="shared" si="129"/>
        <v>#DIV/0!</v>
      </c>
      <c r="BW104" s="685" t="s">
        <v>93</v>
      </c>
      <c r="BX104" s="599">
        <f t="shared" ref="BX104:CM104" si="130">AVERAGE(BX99:BX103)</f>
        <v>0</v>
      </c>
      <c r="BY104" s="619" t="e">
        <f t="shared" si="130"/>
        <v>#DIV/0!</v>
      </c>
      <c r="BZ104" s="675" t="e">
        <f t="shared" si="130"/>
        <v>#DIV/0!</v>
      </c>
      <c r="CA104" s="672" t="e">
        <f>AVERAGE(CA99:CA103)</f>
        <v>#DIV/0!</v>
      </c>
      <c r="CB104" s="687" t="e">
        <f t="shared" si="130"/>
        <v>#DIV/0!</v>
      </c>
      <c r="CC104" s="686" t="e">
        <f t="shared" si="130"/>
        <v>#DIV/0!</v>
      </c>
      <c r="CD104" s="687" t="e">
        <f t="shared" si="130"/>
        <v>#DIV/0!</v>
      </c>
      <c r="CE104" s="687" t="e">
        <f t="shared" si="130"/>
        <v>#DIV/0!</v>
      </c>
      <c r="CF104" s="687" t="e">
        <f t="shared" si="130"/>
        <v>#DIV/0!</v>
      </c>
      <c r="CG104" s="687" t="e">
        <f t="shared" si="130"/>
        <v>#DIV/0!</v>
      </c>
      <c r="CH104" s="690" t="e">
        <f t="shared" si="130"/>
        <v>#DIV/0!</v>
      </c>
      <c r="CI104" s="682" t="e">
        <f t="shared" si="130"/>
        <v>#DIV/0!</v>
      </c>
      <c r="CJ104" s="683" t="e">
        <f t="shared" si="130"/>
        <v>#DIV/0!</v>
      </c>
      <c r="CK104" s="684" t="e">
        <f t="shared" si="130"/>
        <v>#DIV/0!</v>
      </c>
      <c r="CL104" s="599" t="e">
        <f t="shared" si="130"/>
        <v>#DIV/0!</v>
      </c>
      <c r="CM104" s="685" t="e">
        <f t="shared" si="130"/>
        <v>#DIV/0!</v>
      </c>
      <c r="CN104" s="685" t="s">
        <v>93</v>
      </c>
      <c r="CO104" s="599">
        <f t="shared" ref="CO104:DD104" si="131">AVERAGE(CO99:CO103)</f>
        <v>0</v>
      </c>
      <c r="CP104" s="619" t="e">
        <f t="shared" si="131"/>
        <v>#DIV/0!</v>
      </c>
      <c r="CQ104" s="675" t="e">
        <f t="shared" si="131"/>
        <v>#DIV/0!</v>
      </c>
      <c r="CR104" s="672" t="e">
        <f>AVERAGE(CR99:CR103)</f>
        <v>#DIV/0!</v>
      </c>
      <c r="CS104" s="687" t="e">
        <f t="shared" si="131"/>
        <v>#DIV/0!</v>
      </c>
      <c r="CT104" s="686" t="e">
        <f t="shared" si="131"/>
        <v>#DIV/0!</v>
      </c>
      <c r="CU104" s="687" t="e">
        <f t="shared" si="131"/>
        <v>#DIV/0!</v>
      </c>
      <c r="CV104" s="687" t="e">
        <f t="shared" si="131"/>
        <v>#DIV/0!</v>
      </c>
      <c r="CW104" s="687" t="e">
        <f t="shared" si="131"/>
        <v>#DIV/0!</v>
      </c>
      <c r="CX104" s="687" t="e">
        <f t="shared" si="131"/>
        <v>#DIV/0!</v>
      </c>
      <c r="CY104" s="690" t="e">
        <f t="shared" si="131"/>
        <v>#DIV/0!</v>
      </c>
      <c r="CZ104" s="682" t="e">
        <f t="shared" si="131"/>
        <v>#DIV/0!</v>
      </c>
      <c r="DA104" s="683" t="e">
        <f t="shared" si="131"/>
        <v>#DIV/0!</v>
      </c>
      <c r="DB104" s="684" t="e">
        <f t="shared" si="131"/>
        <v>#DIV/0!</v>
      </c>
      <c r="DC104" s="599" t="e">
        <f t="shared" si="131"/>
        <v>#DIV/0!</v>
      </c>
      <c r="DD104" s="685" t="e">
        <f t="shared" si="131"/>
        <v>#DIV/0!</v>
      </c>
      <c r="DE104" s="685" t="s">
        <v>93</v>
      </c>
      <c r="DF104" s="599">
        <f t="shared" ref="DF104:DU104" si="132">AVERAGE(DF99:DF103)</f>
        <v>0</v>
      </c>
      <c r="DG104" s="619" t="e">
        <f t="shared" si="132"/>
        <v>#DIV/0!</v>
      </c>
      <c r="DH104" s="675" t="e">
        <f t="shared" si="132"/>
        <v>#DIV/0!</v>
      </c>
      <c r="DI104" s="672" t="e">
        <f>AVERAGE(DI99:DI103)</f>
        <v>#DIV/0!</v>
      </c>
      <c r="DJ104" s="687" t="e">
        <f t="shared" si="132"/>
        <v>#DIV/0!</v>
      </c>
      <c r="DK104" s="686" t="e">
        <f t="shared" si="132"/>
        <v>#DIV/0!</v>
      </c>
      <c r="DL104" s="687" t="e">
        <f t="shared" si="132"/>
        <v>#DIV/0!</v>
      </c>
      <c r="DM104" s="687" t="e">
        <f t="shared" si="132"/>
        <v>#DIV/0!</v>
      </c>
      <c r="DN104" s="687" t="e">
        <f t="shared" si="132"/>
        <v>#DIV/0!</v>
      </c>
      <c r="DO104" s="687" t="e">
        <f t="shared" si="132"/>
        <v>#DIV/0!</v>
      </c>
      <c r="DP104" s="690" t="e">
        <f t="shared" si="132"/>
        <v>#DIV/0!</v>
      </c>
      <c r="DQ104" s="682" t="e">
        <f t="shared" si="132"/>
        <v>#DIV/0!</v>
      </c>
      <c r="DR104" s="683" t="e">
        <f t="shared" si="132"/>
        <v>#DIV/0!</v>
      </c>
      <c r="DS104" s="684" t="e">
        <f t="shared" si="132"/>
        <v>#DIV/0!</v>
      </c>
      <c r="DT104" s="653" t="e">
        <f t="shared" si="132"/>
        <v>#DIV/0!</v>
      </c>
      <c r="DU104" s="685" t="e">
        <f t="shared" si="132"/>
        <v>#DIV/0!</v>
      </c>
      <c r="DV104" s="685" t="s">
        <v>93</v>
      </c>
      <c r="DW104" s="599">
        <f t="shared" ref="DW104:EL104" si="133">AVERAGE(DW99:DW103)</f>
        <v>0</v>
      </c>
      <c r="DX104" s="619" t="e">
        <f t="shared" si="133"/>
        <v>#DIV/0!</v>
      </c>
      <c r="DY104" s="675" t="e">
        <f t="shared" si="133"/>
        <v>#DIV/0!</v>
      </c>
      <c r="DZ104" s="672" t="e">
        <f>AVERAGE(DZ99:DZ103)</f>
        <v>#DIV/0!</v>
      </c>
      <c r="EA104" s="687" t="e">
        <f t="shared" si="133"/>
        <v>#DIV/0!</v>
      </c>
      <c r="EB104" s="686" t="e">
        <f t="shared" si="133"/>
        <v>#DIV/0!</v>
      </c>
      <c r="EC104" s="687" t="e">
        <f t="shared" si="133"/>
        <v>#DIV/0!</v>
      </c>
      <c r="ED104" s="687" t="e">
        <f t="shared" si="133"/>
        <v>#DIV/0!</v>
      </c>
      <c r="EE104" s="687" t="e">
        <f t="shared" si="133"/>
        <v>#DIV/0!</v>
      </c>
      <c r="EF104" s="687" t="e">
        <f t="shared" si="133"/>
        <v>#DIV/0!</v>
      </c>
      <c r="EG104" s="690" t="e">
        <f t="shared" si="133"/>
        <v>#DIV/0!</v>
      </c>
      <c r="EH104" s="682" t="e">
        <f t="shared" si="133"/>
        <v>#DIV/0!</v>
      </c>
      <c r="EI104" s="683" t="e">
        <f t="shared" si="133"/>
        <v>#DIV/0!</v>
      </c>
      <c r="EJ104" s="684" t="e">
        <f t="shared" si="133"/>
        <v>#DIV/0!</v>
      </c>
      <c r="EK104" s="599" t="e">
        <f t="shared" si="133"/>
        <v>#DIV/0!</v>
      </c>
      <c r="EL104" s="685" t="e">
        <f t="shared" si="133"/>
        <v>#DIV/0!</v>
      </c>
      <c r="EM104" s="685" t="s">
        <v>93</v>
      </c>
      <c r="EN104" s="599">
        <f t="shared" ref="EN104:FC104" si="134">AVERAGE(EN99:EN103)</f>
        <v>0</v>
      </c>
      <c r="EO104" s="619" t="e">
        <f t="shared" si="134"/>
        <v>#DIV/0!</v>
      </c>
      <c r="EP104" s="675" t="e">
        <f t="shared" si="134"/>
        <v>#DIV/0!</v>
      </c>
      <c r="EQ104" s="672" t="e">
        <f>AVERAGE(EQ99:EQ103)</f>
        <v>#DIV/0!</v>
      </c>
      <c r="ER104" s="687" t="e">
        <f t="shared" si="134"/>
        <v>#DIV/0!</v>
      </c>
      <c r="ES104" s="686" t="e">
        <f t="shared" si="134"/>
        <v>#DIV/0!</v>
      </c>
      <c r="ET104" s="687" t="e">
        <f t="shared" si="134"/>
        <v>#DIV/0!</v>
      </c>
      <c r="EU104" s="687" t="e">
        <f t="shared" si="134"/>
        <v>#DIV/0!</v>
      </c>
      <c r="EV104" s="687" t="e">
        <f t="shared" si="134"/>
        <v>#DIV/0!</v>
      </c>
      <c r="EW104" s="687" t="e">
        <f t="shared" si="134"/>
        <v>#DIV/0!</v>
      </c>
      <c r="EX104" s="690" t="e">
        <f t="shared" si="134"/>
        <v>#DIV/0!</v>
      </c>
      <c r="EY104" s="682" t="e">
        <f t="shared" si="134"/>
        <v>#DIV/0!</v>
      </c>
      <c r="EZ104" s="683" t="e">
        <f t="shared" si="134"/>
        <v>#DIV/0!</v>
      </c>
      <c r="FA104" s="684" t="e">
        <f t="shared" si="134"/>
        <v>#DIV/0!</v>
      </c>
      <c r="FB104" s="599" t="e">
        <f t="shared" si="134"/>
        <v>#DIV/0!</v>
      </c>
      <c r="FC104" s="685" t="e">
        <f t="shared" si="134"/>
        <v>#DIV/0!</v>
      </c>
      <c r="FD104" s="685" t="s">
        <v>93</v>
      </c>
      <c r="FE104" s="599">
        <f t="shared" ref="FE104:FT104" si="135">AVERAGE(FE99:FE103)</f>
        <v>0</v>
      </c>
      <c r="FF104" s="619" t="e">
        <f t="shared" si="135"/>
        <v>#DIV/0!</v>
      </c>
      <c r="FG104" s="675" t="e">
        <f t="shared" si="135"/>
        <v>#DIV/0!</v>
      </c>
      <c r="FH104" s="672" t="e">
        <f>AVERAGE(FH99:FH103)</f>
        <v>#DIV/0!</v>
      </c>
      <c r="FI104" s="687" t="e">
        <f t="shared" si="135"/>
        <v>#DIV/0!</v>
      </c>
      <c r="FJ104" s="686" t="e">
        <f t="shared" si="135"/>
        <v>#DIV/0!</v>
      </c>
      <c r="FK104" s="687" t="e">
        <f t="shared" si="135"/>
        <v>#DIV/0!</v>
      </c>
      <c r="FL104" s="687" t="e">
        <f t="shared" si="135"/>
        <v>#DIV/0!</v>
      </c>
      <c r="FM104" s="687" t="e">
        <f t="shared" si="135"/>
        <v>#DIV/0!</v>
      </c>
      <c r="FN104" s="687" t="e">
        <f t="shared" si="135"/>
        <v>#DIV/0!</v>
      </c>
      <c r="FO104" s="690" t="e">
        <f t="shared" si="135"/>
        <v>#DIV/0!</v>
      </c>
      <c r="FP104" s="682" t="e">
        <f t="shared" si="135"/>
        <v>#DIV/0!</v>
      </c>
      <c r="FQ104" s="683" t="e">
        <f t="shared" si="135"/>
        <v>#DIV/0!</v>
      </c>
      <c r="FR104" s="684" t="e">
        <f t="shared" si="135"/>
        <v>#DIV/0!</v>
      </c>
      <c r="FS104" s="599" t="e">
        <f t="shared" si="135"/>
        <v>#DIV/0!</v>
      </c>
      <c r="FT104" s="685" t="e">
        <f t="shared" si="135"/>
        <v>#DIV/0!</v>
      </c>
      <c r="FU104" s="685" t="s">
        <v>93</v>
      </c>
      <c r="FV104" s="599">
        <f t="shared" ref="FV104:GK104" si="136">AVERAGE(FV99:FV103)</f>
        <v>0</v>
      </c>
      <c r="FW104" s="619" t="e">
        <f t="shared" si="136"/>
        <v>#DIV/0!</v>
      </c>
      <c r="FX104" s="675" t="e">
        <f t="shared" si="136"/>
        <v>#DIV/0!</v>
      </c>
      <c r="FY104" s="672" t="e">
        <f>AVERAGE(FY99:FY103)</f>
        <v>#DIV/0!</v>
      </c>
      <c r="FZ104" s="687" t="e">
        <f t="shared" si="136"/>
        <v>#DIV/0!</v>
      </c>
      <c r="GA104" s="686" t="e">
        <f t="shared" si="136"/>
        <v>#DIV/0!</v>
      </c>
      <c r="GB104" s="687" t="e">
        <f t="shared" si="136"/>
        <v>#DIV/0!</v>
      </c>
      <c r="GC104" s="687" t="e">
        <f t="shared" si="136"/>
        <v>#DIV/0!</v>
      </c>
      <c r="GD104" s="687" t="e">
        <f t="shared" si="136"/>
        <v>#DIV/0!</v>
      </c>
      <c r="GE104" s="687" t="e">
        <f t="shared" si="136"/>
        <v>#DIV/0!</v>
      </c>
      <c r="GF104" s="690" t="e">
        <f t="shared" si="136"/>
        <v>#DIV/0!</v>
      </c>
      <c r="GG104" s="682" t="e">
        <f t="shared" si="136"/>
        <v>#DIV/0!</v>
      </c>
      <c r="GH104" s="683" t="e">
        <f t="shared" si="136"/>
        <v>#DIV/0!</v>
      </c>
      <c r="GI104" s="684" t="e">
        <f t="shared" si="136"/>
        <v>#DIV/0!</v>
      </c>
      <c r="GJ104" s="653" t="e">
        <f t="shared" si="136"/>
        <v>#DIV/0!</v>
      </c>
      <c r="GK104" s="685" t="e">
        <f t="shared" si="136"/>
        <v>#DIV/0!</v>
      </c>
      <c r="GL104" s="685" t="s">
        <v>93</v>
      </c>
      <c r="GM104" s="599">
        <f t="shared" ref="GM104:HB104" si="137">AVERAGE(GM99:GM103)</f>
        <v>0</v>
      </c>
      <c r="GN104" s="619" t="e">
        <f t="shared" si="137"/>
        <v>#DIV/0!</v>
      </c>
      <c r="GO104" s="675" t="e">
        <f t="shared" si="137"/>
        <v>#DIV/0!</v>
      </c>
      <c r="GP104" s="672" t="e">
        <f>AVERAGE(GP99:GP103)</f>
        <v>#DIV/0!</v>
      </c>
      <c r="GQ104" s="687" t="e">
        <f t="shared" si="137"/>
        <v>#DIV/0!</v>
      </c>
      <c r="GR104" s="686" t="e">
        <f t="shared" si="137"/>
        <v>#DIV/0!</v>
      </c>
      <c r="GS104" s="687" t="e">
        <f t="shared" si="137"/>
        <v>#DIV/0!</v>
      </c>
      <c r="GT104" s="687" t="e">
        <f t="shared" si="137"/>
        <v>#DIV/0!</v>
      </c>
      <c r="GU104" s="687" t="e">
        <f t="shared" si="137"/>
        <v>#DIV/0!</v>
      </c>
      <c r="GV104" s="687" t="e">
        <f t="shared" si="137"/>
        <v>#DIV/0!</v>
      </c>
      <c r="GW104" s="690" t="e">
        <f t="shared" si="137"/>
        <v>#DIV/0!</v>
      </c>
      <c r="GX104" s="682" t="e">
        <f t="shared" si="137"/>
        <v>#DIV/0!</v>
      </c>
      <c r="GY104" s="683" t="e">
        <f t="shared" si="137"/>
        <v>#DIV/0!</v>
      </c>
      <c r="GZ104" s="684" t="e">
        <f t="shared" si="137"/>
        <v>#DIV/0!</v>
      </c>
      <c r="HA104" s="599" t="e">
        <f t="shared" si="137"/>
        <v>#DIV/0!</v>
      </c>
      <c r="HB104" s="685" t="e">
        <f t="shared" si="137"/>
        <v>#DIV/0!</v>
      </c>
      <c r="HC104" s="685" t="s">
        <v>93</v>
      </c>
      <c r="HD104" s="599">
        <f t="shared" ref="HD104:HS104" si="138">AVERAGE(HD99:HD103)</f>
        <v>0</v>
      </c>
      <c r="HE104" s="619" t="e">
        <f t="shared" si="138"/>
        <v>#DIV/0!</v>
      </c>
      <c r="HF104" s="675" t="e">
        <f t="shared" si="138"/>
        <v>#DIV/0!</v>
      </c>
      <c r="HG104" s="672" t="e">
        <f>AVERAGE(HG99:HG103)</f>
        <v>#DIV/0!</v>
      </c>
      <c r="HH104" s="687" t="e">
        <f t="shared" si="138"/>
        <v>#DIV/0!</v>
      </c>
      <c r="HI104" s="686" t="e">
        <f t="shared" si="138"/>
        <v>#DIV/0!</v>
      </c>
      <c r="HJ104" s="687" t="e">
        <f t="shared" si="138"/>
        <v>#DIV/0!</v>
      </c>
      <c r="HK104" s="687" t="e">
        <f t="shared" si="138"/>
        <v>#DIV/0!</v>
      </c>
      <c r="HL104" s="687" t="e">
        <f t="shared" si="138"/>
        <v>#DIV/0!</v>
      </c>
      <c r="HM104" s="687" t="e">
        <f t="shared" si="138"/>
        <v>#DIV/0!</v>
      </c>
      <c r="HN104" s="690" t="e">
        <f t="shared" si="138"/>
        <v>#DIV/0!</v>
      </c>
      <c r="HO104" s="682" t="e">
        <f t="shared" si="138"/>
        <v>#DIV/0!</v>
      </c>
      <c r="HP104" s="683" t="e">
        <f t="shared" si="138"/>
        <v>#DIV/0!</v>
      </c>
      <c r="HQ104" s="684" t="e">
        <f t="shared" si="138"/>
        <v>#DIV/0!</v>
      </c>
      <c r="HR104" s="599" t="e">
        <f t="shared" si="138"/>
        <v>#DIV/0!</v>
      </c>
      <c r="HS104" s="685" t="e">
        <f t="shared" si="138"/>
        <v>#DIV/0!</v>
      </c>
      <c r="HT104" s="685" t="s">
        <v>93</v>
      </c>
      <c r="HU104" s="599">
        <f t="shared" ref="HU104:IJ104" si="139">AVERAGE(HU99:HU103)</f>
        <v>0</v>
      </c>
      <c r="HV104" s="619" t="e">
        <f t="shared" si="139"/>
        <v>#DIV/0!</v>
      </c>
      <c r="HW104" s="675" t="e">
        <f t="shared" si="139"/>
        <v>#DIV/0!</v>
      </c>
      <c r="HX104" s="672" t="e">
        <f>AVERAGE(HX99:HX103)</f>
        <v>#DIV/0!</v>
      </c>
      <c r="HY104" s="687" t="e">
        <f t="shared" si="139"/>
        <v>#DIV/0!</v>
      </c>
      <c r="HZ104" s="686" t="e">
        <f t="shared" si="139"/>
        <v>#DIV/0!</v>
      </c>
      <c r="IA104" s="687" t="e">
        <f t="shared" si="139"/>
        <v>#DIV/0!</v>
      </c>
      <c r="IB104" s="687" t="e">
        <f t="shared" si="139"/>
        <v>#DIV/0!</v>
      </c>
      <c r="IC104" s="687" t="e">
        <f t="shared" si="139"/>
        <v>#DIV/0!</v>
      </c>
      <c r="ID104" s="687" t="e">
        <f t="shared" si="139"/>
        <v>#DIV/0!</v>
      </c>
      <c r="IE104" s="690" t="e">
        <f t="shared" si="139"/>
        <v>#DIV/0!</v>
      </c>
      <c r="IF104" s="682" t="e">
        <f t="shared" si="139"/>
        <v>#DIV/0!</v>
      </c>
      <c r="IG104" s="683" t="e">
        <f t="shared" si="139"/>
        <v>#DIV/0!</v>
      </c>
      <c r="IH104" s="684" t="e">
        <f t="shared" si="139"/>
        <v>#DIV/0!</v>
      </c>
      <c r="II104" s="599" t="e">
        <f t="shared" si="139"/>
        <v>#DIV/0!</v>
      </c>
      <c r="IJ104" s="685" t="e">
        <f t="shared" si="139"/>
        <v>#DIV/0!</v>
      </c>
      <c r="IK104" s="685" t="s">
        <v>93</v>
      </c>
      <c r="IL104" s="599">
        <f t="shared" ref="IL104:JA104" si="140">AVERAGE(IL99:IL103)</f>
        <v>0</v>
      </c>
      <c r="IM104" s="619" t="e">
        <f t="shared" si="140"/>
        <v>#DIV/0!</v>
      </c>
      <c r="IN104" s="675" t="e">
        <f t="shared" si="140"/>
        <v>#DIV/0!</v>
      </c>
      <c r="IO104" s="672" t="e">
        <f>AVERAGE(IO99:IO103)</f>
        <v>#DIV/0!</v>
      </c>
      <c r="IP104" s="687" t="e">
        <f t="shared" si="140"/>
        <v>#DIV/0!</v>
      </c>
      <c r="IQ104" s="686" t="e">
        <f t="shared" si="140"/>
        <v>#DIV/0!</v>
      </c>
      <c r="IR104" s="687" t="e">
        <f t="shared" si="140"/>
        <v>#DIV/0!</v>
      </c>
      <c r="IS104" s="687" t="e">
        <f t="shared" si="140"/>
        <v>#DIV/0!</v>
      </c>
      <c r="IT104" s="687" t="e">
        <f t="shared" si="140"/>
        <v>#DIV/0!</v>
      </c>
      <c r="IU104" s="687" t="e">
        <f t="shared" si="140"/>
        <v>#DIV/0!</v>
      </c>
      <c r="IV104" s="690" t="e">
        <f t="shared" si="140"/>
        <v>#DIV/0!</v>
      </c>
      <c r="IW104" s="682" t="e">
        <f t="shared" si="140"/>
        <v>#DIV/0!</v>
      </c>
      <c r="IX104" s="683" t="e">
        <f t="shared" si="140"/>
        <v>#DIV/0!</v>
      </c>
      <c r="IY104" s="684" t="e">
        <f t="shared" si="140"/>
        <v>#DIV/0!</v>
      </c>
      <c r="IZ104" s="599" t="e">
        <f t="shared" si="140"/>
        <v>#DIV/0!</v>
      </c>
      <c r="JA104" s="685" t="e">
        <f t="shared" si="140"/>
        <v>#DIV/0!</v>
      </c>
      <c r="JB104" s="685" t="s">
        <v>93</v>
      </c>
      <c r="JC104" s="599">
        <f t="shared" ref="JC104:JR104" si="141">AVERAGE(JC99:JC103)</f>
        <v>0</v>
      </c>
      <c r="JD104" s="619" t="e">
        <f t="shared" si="141"/>
        <v>#DIV/0!</v>
      </c>
      <c r="JE104" s="675" t="e">
        <f t="shared" si="141"/>
        <v>#DIV/0!</v>
      </c>
      <c r="JF104" s="672" t="e">
        <f>AVERAGE(JF99:JF103)</f>
        <v>#DIV/0!</v>
      </c>
      <c r="JG104" s="687" t="e">
        <f t="shared" si="141"/>
        <v>#DIV/0!</v>
      </c>
      <c r="JH104" s="686" t="e">
        <f t="shared" si="141"/>
        <v>#DIV/0!</v>
      </c>
      <c r="JI104" s="687" t="e">
        <f t="shared" si="141"/>
        <v>#DIV/0!</v>
      </c>
      <c r="JJ104" s="687" t="e">
        <f t="shared" si="141"/>
        <v>#DIV/0!</v>
      </c>
      <c r="JK104" s="687" t="e">
        <f t="shared" si="141"/>
        <v>#DIV/0!</v>
      </c>
      <c r="JL104" s="687" t="e">
        <f t="shared" si="141"/>
        <v>#DIV/0!</v>
      </c>
      <c r="JM104" s="690" t="e">
        <f t="shared" si="141"/>
        <v>#DIV/0!</v>
      </c>
      <c r="JN104" s="682" t="e">
        <f t="shared" si="141"/>
        <v>#DIV/0!</v>
      </c>
      <c r="JO104" s="683" t="e">
        <f t="shared" si="141"/>
        <v>#DIV/0!</v>
      </c>
      <c r="JP104" s="684" t="e">
        <f t="shared" si="141"/>
        <v>#DIV/0!</v>
      </c>
      <c r="JQ104" s="599" t="e">
        <f t="shared" si="141"/>
        <v>#DIV/0!</v>
      </c>
      <c r="JR104" s="685" t="e">
        <f t="shared" si="141"/>
        <v>#DIV/0!</v>
      </c>
      <c r="JS104" s="685" t="s">
        <v>93</v>
      </c>
      <c r="JT104" s="599">
        <f t="shared" ref="JT104:KI104" si="142">AVERAGE(JT99:JT103)</f>
        <v>0</v>
      </c>
      <c r="JU104" s="619" t="e">
        <f t="shared" si="142"/>
        <v>#DIV/0!</v>
      </c>
      <c r="JV104" s="675" t="e">
        <f t="shared" si="142"/>
        <v>#DIV/0!</v>
      </c>
      <c r="JW104" s="672" t="e">
        <f>AVERAGE(JW99:JW103)</f>
        <v>#DIV/0!</v>
      </c>
      <c r="JX104" s="687" t="e">
        <f t="shared" si="142"/>
        <v>#DIV/0!</v>
      </c>
      <c r="JY104" s="686" t="e">
        <f t="shared" si="142"/>
        <v>#DIV/0!</v>
      </c>
      <c r="JZ104" s="687" t="e">
        <f t="shared" si="142"/>
        <v>#DIV/0!</v>
      </c>
      <c r="KA104" s="687" t="e">
        <f t="shared" si="142"/>
        <v>#DIV/0!</v>
      </c>
      <c r="KB104" s="687" t="e">
        <f t="shared" si="142"/>
        <v>#DIV/0!</v>
      </c>
      <c r="KC104" s="687" t="e">
        <f t="shared" si="142"/>
        <v>#DIV/0!</v>
      </c>
      <c r="KD104" s="690" t="e">
        <f t="shared" si="142"/>
        <v>#DIV/0!</v>
      </c>
      <c r="KE104" s="682" t="e">
        <f t="shared" si="142"/>
        <v>#DIV/0!</v>
      </c>
      <c r="KF104" s="683" t="e">
        <f t="shared" si="142"/>
        <v>#DIV/0!</v>
      </c>
      <c r="KG104" s="684" t="e">
        <f t="shared" si="142"/>
        <v>#DIV/0!</v>
      </c>
      <c r="KH104" s="599" t="e">
        <f t="shared" si="142"/>
        <v>#DIV/0!</v>
      </c>
      <c r="KI104" s="685" t="e">
        <f t="shared" si="142"/>
        <v>#DIV/0!</v>
      </c>
      <c r="KJ104" s="685" t="s">
        <v>93</v>
      </c>
      <c r="KK104" s="599">
        <f t="shared" ref="KK104:KZ104" si="143">AVERAGE(KK99:KK103)</f>
        <v>0</v>
      </c>
      <c r="KL104" s="619" t="e">
        <f t="shared" si="143"/>
        <v>#DIV/0!</v>
      </c>
      <c r="KM104" s="675" t="e">
        <f t="shared" si="143"/>
        <v>#DIV/0!</v>
      </c>
      <c r="KN104" s="672" t="e">
        <f>AVERAGE(KN99:KN103)</f>
        <v>#DIV/0!</v>
      </c>
      <c r="KO104" s="687" t="e">
        <f t="shared" si="143"/>
        <v>#DIV/0!</v>
      </c>
      <c r="KP104" s="686" t="e">
        <f t="shared" si="143"/>
        <v>#DIV/0!</v>
      </c>
      <c r="KQ104" s="687" t="e">
        <f t="shared" si="143"/>
        <v>#DIV/0!</v>
      </c>
      <c r="KR104" s="687" t="e">
        <f t="shared" si="143"/>
        <v>#DIV/0!</v>
      </c>
      <c r="KS104" s="687" t="e">
        <f t="shared" si="143"/>
        <v>#DIV/0!</v>
      </c>
      <c r="KT104" s="687" t="e">
        <f t="shared" si="143"/>
        <v>#DIV/0!</v>
      </c>
      <c r="KU104" s="690" t="e">
        <f t="shared" si="143"/>
        <v>#DIV/0!</v>
      </c>
      <c r="KV104" s="682" t="e">
        <f t="shared" si="143"/>
        <v>#DIV/0!</v>
      </c>
      <c r="KW104" s="683" t="e">
        <f t="shared" si="143"/>
        <v>#DIV/0!</v>
      </c>
      <c r="KX104" s="684" t="e">
        <f t="shared" si="143"/>
        <v>#DIV/0!</v>
      </c>
      <c r="KY104" s="599" t="e">
        <f t="shared" si="143"/>
        <v>#DIV/0!</v>
      </c>
      <c r="KZ104" s="685" t="e">
        <f t="shared" si="143"/>
        <v>#DIV/0!</v>
      </c>
      <c r="LA104" s="685" t="s">
        <v>93</v>
      </c>
      <c r="LB104" s="599">
        <f t="shared" ref="LB104:LQ104" si="144">AVERAGE(LB99:LB103)</f>
        <v>0</v>
      </c>
      <c r="LC104" s="619" t="e">
        <f t="shared" si="144"/>
        <v>#DIV/0!</v>
      </c>
      <c r="LD104" s="675" t="e">
        <f t="shared" si="144"/>
        <v>#DIV/0!</v>
      </c>
      <c r="LE104" s="672" t="e">
        <f>AVERAGE(LE99:LE103)</f>
        <v>#DIV/0!</v>
      </c>
      <c r="LF104" s="687" t="e">
        <f t="shared" si="144"/>
        <v>#DIV/0!</v>
      </c>
      <c r="LG104" s="686" t="e">
        <f t="shared" si="144"/>
        <v>#DIV/0!</v>
      </c>
      <c r="LH104" s="687" t="e">
        <f t="shared" si="144"/>
        <v>#DIV/0!</v>
      </c>
      <c r="LI104" s="687" t="e">
        <f t="shared" si="144"/>
        <v>#DIV/0!</v>
      </c>
      <c r="LJ104" s="687" t="e">
        <f t="shared" si="144"/>
        <v>#DIV/0!</v>
      </c>
      <c r="LK104" s="687" t="e">
        <f t="shared" si="144"/>
        <v>#DIV/0!</v>
      </c>
      <c r="LL104" s="690" t="e">
        <f t="shared" si="144"/>
        <v>#DIV/0!</v>
      </c>
      <c r="LM104" s="682" t="e">
        <f t="shared" si="144"/>
        <v>#DIV/0!</v>
      </c>
      <c r="LN104" s="683" t="e">
        <f t="shared" si="144"/>
        <v>#DIV/0!</v>
      </c>
      <c r="LO104" s="684" t="e">
        <f t="shared" si="144"/>
        <v>#DIV/0!</v>
      </c>
      <c r="LP104" s="599" t="e">
        <f t="shared" si="144"/>
        <v>#DIV/0!</v>
      </c>
      <c r="LQ104" s="685" t="e">
        <f t="shared" si="144"/>
        <v>#DIV/0!</v>
      </c>
      <c r="LR104" s="685" t="s">
        <v>93</v>
      </c>
      <c r="LS104" s="599">
        <f t="shared" ref="LS104:MH104" si="145">AVERAGE(LS99:LS103)</f>
        <v>0</v>
      </c>
      <c r="LT104" s="619" t="e">
        <f t="shared" si="145"/>
        <v>#DIV/0!</v>
      </c>
      <c r="LU104" s="675" t="e">
        <f t="shared" si="145"/>
        <v>#DIV/0!</v>
      </c>
      <c r="LV104" s="672" t="e">
        <f>AVERAGE(LV99:LV103)</f>
        <v>#DIV/0!</v>
      </c>
      <c r="LW104" s="687" t="e">
        <f t="shared" si="145"/>
        <v>#DIV/0!</v>
      </c>
      <c r="LX104" s="686" t="e">
        <f t="shared" si="145"/>
        <v>#DIV/0!</v>
      </c>
      <c r="LY104" s="687" t="e">
        <f t="shared" si="145"/>
        <v>#DIV/0!</v>
      </c>
      <c r="LZ104" s="687" t="e">
        <f t="shared" si="145"/>
        <v>#DIV/0!</v>
      </c>
      <c r="MA104" s="687" t="e">
        <f t="shared" si="145"/>
        <v>#DIV/0!</v>
      </c>
      <c r="MB104" s="687" t="e">
        <f t="shared" si="145"/>
        <v>#DIV/0!</v>
      </c>
      <c r="MC104" s="690" t="e">
        <f t="shared" si="145"/>
        <v>#DIV/0!</v>
      </c>
      <c r="MD104" s="692" t="e">
        <f t="shared" si="145"/>
        <v>#DIV/0!</v>
      </c>
      <c r="ME104" s="683" t="e">
        <f t="shared" si="145"/>
        <v>#DIV/0!</v>
      </c>
      <c r="MF104" s="693" t="e">
        <f t="shared" si="145"/>
        <v>#DIV/0!</v>
      </c>
      <c r="MG104" s="599" t="e">
        <f t="shared" si="145"/>
        <v>#DIV/0!</v>
      </c>
      <c r="MH104" s="694" t="e">
        <f t="shared" si="145"/>
        <v>#DIV/0!</v>
      </c>
      <c r="MI104" s="685" t="s">
        <v>93</v>
      </c>
      <c r="MJ104" s="599">
        <f t="shared" ref="MJ104:MY104" si="146">AVERAGE(MJ99:MJ103)</f>
        <v>0</v>
      </c>
      <c r="MK104" s="619" t="e">
        <f t="shared" si="146"/>
        <v>#DIV/0!</v>
      </c>
      <c r="ML104" s="675" t="e">
        <f t="shared" si="146"/>
        <v>#DIV/0!</v>
      </c>
      <c r="MM104" s="672" t="e">
        <f>AVERAGE(MM99:MM103)</f>
        <v>#DIV/0!</v>
      </c>
      <c r="MN104" s="687" t="e">
        <f t="shared" si="146"/>
        <v>#DIV/0!</v>
      </c>
      <c r="MO104" s="686" t="e">
        <f t="shared" si="146"/>
        <v>#DIV/0!</v>
      </c>
      <c r="MP104" s="687" t="e">
        <f t="shared" si="146"/>
        <v>#DIV/0!</v>
      </c>
      <c r="MQ104" s="687" t="e">
        <f t="shared" si="146"/>
        <v>#DIV/0!</v>
      </c>
      <c r="MR104" s="687" t="e">
        <f t="shared" si="146"/>
        <v>#DIV/0!</v>
      </c>
      <c r="MS104" s="687" t="e">
        <f t="shared" si="146"/>
        <v>#DIV/0!</v>
      </c>
      <c r="MT104" s="690" t="e">
        <f t="shared" si="146"/>
        <v>#DIV/0!</v>
      </c>
      <c r="MU104" s="682" t="e">
        <f t="shared" si="146"/>
        <v>#DIV/0!</v>
      </c>
      <c r="MV104" s="683" t="e">
        <f t="shared" si="146"/>
        <v>#DIV/0!</v>
      </c>
      <c r="MW104" s="684" t="e">
        <f t="shared" si="146"/>
        <v>#DIV/0!</v>
      </c>
      <c r="MX104" s="599" t="e">
        <f t="shared" si="146"/>
        <v>#DIV/0!</v>
      </c>
      <c r="MY104" s="685" t="e">
        <f t="shared" si="146"/>
        <v>#DIV/0!</v>
      </c>
      <c r="MZ104" s="685" t="s">
        <v>93</v>
      </c>
      <c r="NA104" s="599">
        <f t="shared" ref="NA104:NP104" si="147">AVERAGE(NA99:NA103)</f>
        <v>0</v>
      </c>
      <c r="NB104" s="619" t="e">
        <f t="shared" si="147"/>
        <v>#DIV/0!</v>
      </c>
      <c r="NC104" s="675" t="e">
        <f t="shared" si="147"/>
        <v>#DIV/0!</v>
      </c>
      <c r="ND104" s="672" t="e">
        <f>AVERAGE(ND99:ND103)</f>
        <v>#DIV/0!</v>
      </c>
      <c r="NE104" s="687" t="e">
        <f t="shared" si="147"/>
        <v>#DIV/0!</v>
      </c>
      <c r="NF104" s="686" t="e">
        <f t="shared" si="147"/>
        <v>#DIV/0!</v>
      </c>
      <c r="NG104" s="687" t="e">
        <f t="shared" si="147"/>
        <v>#DIV/0!</v>
      </c>
      <c r="NH104" s="687" t="e">
        <f t="shared" si="147"/>
        <v>#DIV/0!</v>
      </c>
      <c r="NI104" s="687" t="e">
        <f t="shared" si="147"/>
        <v>#DIV/0!</v>
      </c>
      <c r="NJ104" s="687" t="e">
        <f t="shared" si="147"/>
        <v>#DIV/0!</v>
      </c>
      <c r="NK104" s="690" t="e">
        <f t="shared" si="147"/>
        <v>#DIV/0!</v>
      </c>
      <c r="NL104" s="682" t="e">
        <f t="shared" si="147"/>
        <v>#DIV/0!</v>
      </c>
      <c r="NM104" s="683" t="e">
        <f t="shared" si="147"/>
        <v>#DIV/0!</v>
      </c>
      <c r="NN104" s="684" t="e">
        <f t="shared" si="147"/>
        <v>#DIV/0!</v>
      </c>
      <c r="NO104" s="599" t="e">
        <f t="shared" si="147"/>
        <v>#DIV/0!</v>
      </c>
      <c r="NP104" s="685" t="e">
        <f t="shared" si="147"/>
        <v>#DIV/0!</v>
      </c>
      <c r="NQ104" s="685" t="s">
        <v>93</v>
      </c>
      <c r="NR104" s="599">
        <f t="shared" ref="NR104:OG104" si="148">AVERAGE(NR99:NR103)</f>
        <v>0</v>
      </c>
      <c r="NS104" s="619" t="e">
        <f t="shared" si="148"/>
        <v>#DIV/0!</v>
      </c>
      <c r="NT104" s="675" t="e">
        <f t="shared" si="148"/>
        <v>#DIV/0!</v>
      </c>
      <c r="NU104" s="672" t="e">
        <f>AVERAGE(NU99:NU103)</f>
        <v>#DIV/0!</v>
      </c>
      <c r="NV104" s="687" t="e">
        <f t="shared" si="148"/>
        <v>#DIV/0!</v>
      </c>
      <c r="NW104" s="686" t="e">
        <f t="shared" si="148"/>
        <v>#DIV/0!</v>
      </c>
      <c r="NX104" s="687" t="e">
        <f t="shared" si="148"/>
        <v>#DIV/0!</v>
      </c>
      <c r="NY104" s="687" t="e">
        <f t="shared" si="148"/>
        <v>#DIV/0!</v>
      </c>
      <c r="NZ104" s="687" t="e">
        <f t="shared" si="148"/>
        <v>#DIV/0!</v>
      </c>
      <c r="OA104" s="687" t="e">
        <f t="shared" si="148"/>
        <v>#DIV/0!</v>
      </c>
      <c r="OB104" s="690" t="e">
        <f t="shared" si="148"/>
        <v>#DIV/0!</v>
      </c>
      <c r="OC104" s="682" t="e">
        <f t="shared" si="148"/>
        <v>#DIV/0!</v>
      </c>
      <c r="OD104" s="683" t="e">
        <f t="shared" si="148"/>
        <v>#DIV/0!</v>
      </c>
      <c r="OE104" s="684" t="e">
        <f t="shared" si="148"/>
        <v>#DIV/0!</v>
      </c>
      <c r="OF104" s="599" t="e">
        <f t="shared" si="148"/>
        <v>#DIV/0!</v>
      </c>
      <c r="OG104" s="685" t="e">
        <f t="shared" si="148"/>
        <v>#DIV/0!</v>
      </c>
      <c r="OH104" s="685" t="s">
        <v>93</v>
      </c>
      <c r="OI104" s="599">
        <f t="shared" ref="OI104:OX104" si="149">AVERAGE(OI99:OI103)</f>
        <v>0</v>
      </c>
      <c r="OJ104" s="619" t="e">
        <f t="shared" si="149"/>
        <v>#DIV/0!</v>
      </c>
      <c r="OK104" s="675" t="e">
        <f t="shared" si="149"/>
        <v>#DIV/0!</v>
      </c>
      <c r="OL104" s="672" t="e">
        <f>AVERAGE(OL99:OL103)</f>
        <v>#DIV/0!</v>
      </c>
      <c r="OM104" s="687" t="e">
        <f t="shared" si="149"/>
        <v>#DIV/0!</v>
      </c>
      <c r="ON104" s="686" t="e">
        <f t="shared" si="149"/>
        <v>#DIV/0!</v>
      </c>
      <c r="OO104" s="687" t="e">
        <f t="shared" si="149"/>
        <v>#DIV/0!</v>
      </c>
      <c r="OP104" s="687" t="e">
        <f t="shared" si="149"/>
        <v>#DIV/0!</v>
      </c>
      <c r="OQ104" s="687" t="e">
        <f t="shared" si="149"/>
        <v>#DIV/0!</v>
      </c>
      <c r="OR104" s="687" t="e">
        <f t="shared" si="149"/>
        <v>#DIV/0!</v>
      </c>
      <c r="OS104" s="690" t="e">
        <f t="shared" si="149"/>
        <v>#DIV/0!</v>
      </c>
      <c r="OT104" s="682" t="e">
        <f t="shared" si="149"/>
        <v>#DIV/0!</v>
      </c>
      <c r="OU104" s="683" t="e">
        <f t="shared" si="149"/>
        <v>#DIV/0!</v>
      </c>
      <c r="OV104" s="684" t="e">
        <f t="shared" si="149"/>
        <v>#DIV/0!</v>
      </c>
      <c r="OW104" s="599" t="e">
        <f t="shared" si="149"/>
        <v>#DIV/0!</v>
      </c>
      <c r="OX104" s="685" t="e">
        <f t="shared" si="149"/>
        <v>#DIV/0!</v>
      </c>
      <c r="OY104" s="685" t="s">
        <v>93</v>
      </c>
      <c r="OZ104" s="599">
        <f t="shared" ref="OZ104:PO104" si="150">AVERAGE(OZ99:OZ103)</f>
        <v>0</v>
      </c>
      <c r="PA104" s="619" t="e">
        <f t="shared" si="150"/>
        <v>#DIV/0!</v>
      </c>
      <c r="PB104" s="675" t="e">
        <f t="shared" si="150"/>
        <v>#DIV/0!</v>
      </c>
      <c r="PC104" s="672" t="e">
        <f>AVERAGE(PC99:PC103)</f>
        <v>#DIV/0!</v>
      </c>
      <c r="PD104" s="687" t="e">
        <f t="shared" si="150"/>
        <v>#DIV/0!</v>
      </c>
      <c r="PE104" s="686" t="e">
        <f t="shared" si="150"/>
        <v>#DIV/0!</v>
      </c>
      <c r="PF104" s="687" t="e">
        <f t="shared" si="150"/>
        <v>#DIV/0!</v>
      </c>
      <c r="PG104" s="687" t="e">
        <f t="shared" si="150"/>
        <v>#DIV/0!</v>
      </c>
      <c r="PH104" s="687" t="e">
        <f t="shared" si="150"/>
        <v>#DIV/0!</v>
      </c>
      <c r="PI104" s="687" t="e">
        <f t="shared" si="150"/>
        <v>#DIV/0!</v>
      </c>
      <c r="PJ104" s="690" t="e">
        <f t="shared" si="150"/>
        <v>#DIV/0!</v>
      </c>
      <c r="PK104" s="682" t="e">
        <f t="shared" si="150"/>
        <v>#DIV/0!</v>
      </c>
      <c r="PL104" s="683" t="e">
        <f t="shared" si="150"/>
        <v>#DIV/0!</v>
      </c>
      <c r="PM104" s="684" t="e">
        <f t="shared" si="150"/>
        <v>#DIV/0!</v>
      </c>
      <c r="PN104" s="599" t="e">
        <f t="shared" si="150"/>
        <v>#DIV/0!</v>
      </c>
      <c r="PO104" s="685" t="e">
        <f t="shared" si="150"/>
        <v>#DIV/0!</v>
      </c>
      <c r="PP104" s="685" t="s">
        <v>93</v>
      </c>
      <c r="PQ104" s="599">
        <f t="shared" ref="PQ104:QF104" si="151">AVERAGE(PQ99:PQ103)</f>
        <v>0</v>
      </c>
      <c r="PR104" s="619" t="e">
        <f t="shared" si="151"/>
        <v>#DIV/0!</v>
      </c>
      <c r="PS104" s="675" t="e">
        <f t="shared" si="151"/>
        <v>#DIV/0!</v>
      </c>
      <c r="PT104" s="672" t="e">
        <f>AVERAGE(PT99:PT103)</f>
        <v>#DIV/0!</v>
      </c>
      <c r="PU104" s="687" t="e">
        <f t="shared" si="151"/>
        <v>#DIV/0!</v>
      </c>
      <c r="PV104" s="686" t="e">
        <f t="shared" si="151"/>
        <v>#DIV/0!</v>
      </c>
      <c r="PW104" s="687" t="e">
        <f t="shared" si="151"/>
        <v>#DIV/0!</v>
      </c>
      <c r="PX104" s="687" t="e">
        <f t="shared" si="151"/>
        <v>#DIV/0!</v>
      </c>
      <c r="PY104" s="687" t="e">
        <f t="shared" si="151"/>
        <v>#DIV/0!</v>
      </c>
      <c r="PZ104" s="687" t="e">
        <f t="shared" si="151"/>
        <v>#DIV/0!</v>
      </c>
      <c r="QA104" s="690" t="e">
        <f t="shared" si="151"/>
        <v>#DIV/0!</v>
      </c>
      <c r="QB104" s="682" t="e">
        <f t="shared" si="151"/>
        <v>#DIV/0!</v>
      </c>
      <c r="QC104" s="683" t="e">
        <f t="shared" si="151"/>
        <v>#DIV/0!</v>
      </c>
      <c r="QD104" s="684" t="e">
        <f t="shared" si="151"/>
        <v>#DIV/0!</v>
      </c>
      <c r="QE104" s="599" t="e">
        <f t="shared" si="151"/>
        <v>#DIV/0!</v>
      </c>
      <c r="QF104" s="694" t="e">
        <f t="shared" si="151"/>
        <v>#DIV/0!</v>
      </c>
      <c r="QG104" s="685" t="s">
        <v>93</v>
      </c>
      <c r="QH104" s="599">
        <f t="shared" ref="QH104:QW104" si="152">AVERAGE(QH99:QH103)</f>
        <v>0</v>
      </c>
      <c r="QI104" s="619" t="e">
        <f t="shared" si="152"/>
        <v>#DIV/0!</v>
      </c>
      <c r="QJ104" s="675" t="e">
        <f t="shared" si="152"/>
        <v>#DIV/0!</v>
      </c>
      <c r="QK104" s="672" t="e">
        <f>AVERAGE(QK99:QK103)</f>
        <v>#DIV/0!</v>
      </c>
      <c r="QL104" s="687" t="e">
        <f t="shared" si="152"/>
        <v>#DIV/0!</v>
      </c>
      <c r="QM104" s="686" t="e">
        <f t="shared" si="152"/>
        <v>#DIV/0!</v>
      </c>
      <c r="QN104" s="687" t="e">
        <f t="shared" si="152"/>
        <v>#DIV/0!</v>
      </c>
      <c r="QO104" s="687" t="e">
        <f t="shared" si="152"/>
        <v>#DIV/0!</v>
      </c>
      <c r="QP104" s="687" t="e">
        <f t="shared" si="152"/>
        <v>#DIV/0!</v>
      </c>
      <c r="QQ104" s="687" t="e">
        <f t="shared" si="152"/>
        <v>#DIV/0!</v>
      </c>
      <c r="QR104" s="690" t="e">
        <f t="shared" si="152"/>
        <v>#DIV/0!</v>
      </c>
      <c r="QS104" s="682" t="e">
        <f t="shared" si="152"/>
        <v>#DIV/0!</v>
      </c>
      <c r="QT104" s="683" t="e">
        <f t="shared" si="152"/>
        <v>#DIV/0!</v>
      </c>
      <c r="QU104" s="684" t="e">
        <f t="shared" si="152"/>
        <v>#DIV/0!</v>
      </c>
      <c r="QV104" s="672" t="e">
        <f t="shared" si="152"/>
        <v>#DIV/0!</v>
      </c>
      <c r="QW104" s="685" t="e">
        <f t="shared" si="152"/>
        <v>#DIV/0!</v>
      </c>
      <c r="QX104" s="685" t="s">
        <v>93</v>
      </c>
      <c r="QY104" s="599">
        <f t="shared" ref="QY104:RN104" si="153">AVERAGE(QY99:QY103)</f>
        <v>0</v>
      </c>
      <c r="QZ104" s="619" t="e">
        <f t="shared" si="153"/>
        <v>#DIV/0!</v>
      </c>
      <c r="RA104" s="675" t="e">
        <f t="shared" si="153"/>
        <v>#DIV/0!</v>
      </c>
      <c r="RB104" s="672" t="e">
        <f>AVERAGE(RB99:RB103)</f>
        <v>#DIV/0!</v>
      </c>
      <c r="RC104" s="687" t="e">
        <f t="shared" si="153"/>
        <v>#DIV/0!</v>
      </c>
      <c r="RD104" s="686" t="e">
        <f t="shared" si="153"/>
        <v>#DIV/0!</v>
      </c>
      <c r="RE104" s="687" t="e">
        <f t="shared" si="153"/>
        <v>#DIV/0!</v>
      </c>
      <c r="RF104" s="687" t="e">
        <f t="shared" si="153"/>
        <v>#DIV/0!</v>
      </c>
      <c r="RG104" s="687" t="e">
        <f t="shared" si="153"/>
        <v>#DIV/0!</v>
      </c>
      <c r="RH104" s="687" t="e">
        <f t="shared" si="153"/>
        <v>#DIV/0!</v>
      </c>
      <c r="RI104" s="690" t="e">
        <f t="shared" si="153"/>
        <v>#DIV/0!</v>
      </c>
      <c r="RJ104" s="682" t="e">
        <f t="shared" si="153"/>
        <v>#DIV/0!</v>
      </c>
      <c r="RK104" s="683" t="e">
        <f t="shared" si="153"/>
        <v>#DIV/0!</v>
      </c>
      <c r="RL104" s="684" t="e">
        <f t="shared" si="153"/>
        <v>#DIV/0!</v>
      </c>
      <c r="RM104" s="599" t="e">
        <f t="shared" si="153"/>
        <v>#DIV/0!</v>
      </c>
      <c r="RN104" s="685" t="e">
        <f t="shared" si="153"/>
        <v>#DIV/0!</v>
      </c>
      <c r="RO104" s="685" t="s">
        <v>93</v>
      </c>
      <c r="RP104" s="599">
        <f t="shared" ref="RP104:SE104" si="154">AVERAGE(RP99:RP103)</f>
        <v>0</v>
      </c>
      <c r="RQ104" s="619" t="e">
        <f t="shared" si="154"/>
        <v>#DIV/0!</v>
      </c>
      <c r="RR104" s="675" t="e">
        <f t="shared" si="154"/>
        <v>#DIV/0!</v>
      </c>
      <c r="RS104" s="672" t="e">
        <f>AVERAGE(RS99:RS103)</f>
        <v>#DIV/0!</v>
      </c>
      <c r="RT104" s="687" t="e">
        <f t="shared" si="154"/>
        <v>#DIV/0!</v>
      </c>
      <c r="RU104" s="686" t="e">
        <f t="shared" si="154"/>
        <v>#DIV/0!</v>
      </c>
      <c r="RV104" s="687" t="e">
        <f t="shared" si="154"/>
        <v>#DIV/0!</v>
      </c>
      <c r="RW104" s="687" t="e">
        <f t="shared" si="154"/>
        <v>#DIV/0!</v>
      </c>
      <c r="RX104" s="687" t="e">
        <f t="shared" si="154"/>
        <v>#DIV/0!</v>
      </c>
      <c r="RY104" s="687" t="e">
        <f t="shared" si="154"/>
        <v>#DIV/0!</v>
      </c>
      <c r="RZ104" s="690" t="e">
        <f t="shared" si="154"/>
        <v>#DIV/0!</v>
      </c>
      <c r="SA104" s="682" t="e">
        <f t="shared" si="154"/>
        <v>#DIV/0!</v>
      </c>
      <c r="SB104" s="683" t="e">
        <f t="shared" si="154"/>
        <v>#DIV/0!</v>
      </c>
      <c r="SC104" s="684" t="e">
        <f t="shared" si="154"/>
        <v>#DIV/0!</v>
      </c>
      <c r="SD104" s="599" t="e">
        <f t="shared" si="154"/>
        <v>#DIV/0!</v>
      </c>
      <c r="SE104" s="685" t="e">
        <f t="shared" si="154"/>
        <v>#DIV/0!</v>
      </c>
      <c r="SF104" s="685" t="s">
        <v>93</v>
      </c>
      <c r="SG104" s="599">
        <f t="shared" ref="SG104:SV104" si="155">AVERAGE(SG99:SG103)</f>
        <v>0</v>
      </c>
      <c r="SH104" s="619" t="e">
        <f t="shared" si="155"/>
        <v>#DIV/0!</v>
      </c>
      <c r="SI104" s="675" t="e">
        <f t="shared" si="155"/>
        <v>#DIV/0!</v>
      </c>
      <c r="SJ104" s="672" t="e">
        <f>AVERAGE(SJ99:SJ103)</f>
        <v>#DIV/0!</v>
      </c>
      <c r="SK104" s="687" t="e">
        <f t="shared" si="155"/>
        <v>#DIV/0!</v>
      </c>
      <c r="SL104" s="686" t="e">
        <f t="shared" si="155"/>
        <v>#DIV/0!</v>
      </c>
      <c r="SM104" s="687" t="e">
        <f t="shared" si="155"/>
        <v>#DIV/0!</v>
      </c>
      <c r="SN104" s="687" t="e">
        <f t="shared" si="155"/>
        <v>#DIV/0!</v>
      </c>
      <c r="SO104" s="687" t="e">
        <f t="shared" si="155"/>
        <v>#DIV/0!</v>
      </c>
      <c r="SP104" s="687" t="e">
        <f t="shared" si="155"/>
        <v>#DIV/0!</v>
      </c>
      <c r="SQ104" s="690" t="e">
        <f t="shared" si="155"/>
        <v>#DIV/0!</v>
      </c>
      <c r="SR104" s="682" t="e">
        <f t="shared" si="155"/>
        <v>#DIV/0!</v>
      </c>
      <c r="SS104" s="683" t="e">
        <f t="shared" si="155"/>
        <v>#DIV/0!</v>
      </c>
      <c r="ST104" s="684" t="e">
        <f t="shared" si="155"/>
        <v>#DIV/0!</v>
      </c>
      <c r="SU104" s="599" t="e">
        <f t="shared" si="155"/>
        <v>#DIV/0!</v>
      </c>
      <c r="SV104" s="685" t="e">
        <f t="shared" si="155"/>
        <v>#DIV/0!</v>
      </c>
      <c r="SW104" s="685" t="s">
        <v>93</v>
      </c>
      <c r="SX104" s="599">
        <f t="shared" ref="SX104:TM104" si="156">AVERAGE(SX99:SX103)</f>
        <v>0</v>
      </c>
      <c r="SY104" s="619" t="e">
        <f t="shared" si="156"/>
        <v>#DIV/0!</v>
      </c>
      <c r="SZ104" s="675" t="e">
        <f t="shared" si="156"/>
        <v>#DIV/0!</v>
      </c>
      <c r="TA104" s="672" t="e">
        <f>AVERAGE(TA99:TA103)</f>
        <v>#DIV/0!</v>
      </c>
      <c r="TB104" s="687" t="e">
        <f t="shared" si="156"/>
        <v>#DIV/0!</v>
      </c>
      <c r="TC104" s="686" t="e">
        <f t="shared" si="156"/>
        <v>#DIV/0!</v>
      </c>
      <c r="TD104" s="687" t="e">
        <f t="shared" si="156"/>
        <v>#DIV/0!</v>
      </c>
      <c r="TE104" s="687" t="e">
        <f t="shared" si="156"/>
        <v>#DIV/0!</v>
      </c>
      <c r="TF104" s="687" t="e">
        <f t="shared" si="156"/>
        <v>#DIV/0!</v>
      </c>
      <c r="TG104" s="687" t="e">
        <f t="shared" si="156"/>
        <v>#DIV/0!</v>
      </c>
      <c r="TH104" s="690" t="e">
        <f t="shared" si="156"/>
        <v>#DIV/0!</v>
      </c>
      <c r="TI104" s="682" t="e">
        <f t="shared" si="156"/>
        <v>#DIV/0!</v>
      </c>
      <c r="TJ104" s="683" t="e">
        <f t="shared" si="156"/>
        <v>#DIV/0!</v>
      </c>
      <c r="TK104" s="684" t="e">
        <f t="shared" si="156"/>
        <v>#DIV/0!</v>
      </c>
      <c r="TL104" s="599" t="e">
        <f t="shared" si="156"/>
        <v>#DIV/0!</v>
      </c>
      <c r="TM104" s="685" t="e">
        <f t="shared" si="156"/>
        <v>#DIV/0!</v>
      </c>
      <c r="TN104" s="685" t="s">
        <v>93</v>
      </c>
      <c r="TO104" s="599">
        <f t="shared" ref="TO104:TY104" si="157">AVERAGE(TO99:TO103)</f>
        <v>0</v>
      </c>
      <c r="TP104" s="619" t="e">
        <f t="shared" si="157"/>
        <v>#DIV/0!</v>
      </c>
      <c r="TQ104" s="675" t="e">
        <f t="shared" si="157"/>
        <v>#DIV/0!</v>
      </c>
      <c r="TR104" s="672" t="e">
        <f>AVERAGE(TR99:TR103)</f>
        <v>#DIV/0!</v>
      </c>
      <c r="TS104" s="687" t="e">
        <f t="shared" si="157"/>
        <v>#DIV/0!</v>
      </c>
      <c r="TT104" s="686" t="e">
        <f t="shared" si="157"/>
        <v>#DIV/0!</v>
      </c>
      <c r="TU104" s="687" t="e">
        <f t="shared" si="157"/>
        <v>#DIV/0!</v>
      </c>
      <c r="TV104" s="687" t="e">
        <f t="shared" si="157"/>
        <v>#DIV/0!</v>
      </c>
      <c r="TW104" s="687" t="e">
        <f t="shared" si="157"/>
        <v>#DIV/0!</v>
      </c>
      <c r="TX104" s="687" t="e">
        <f t="shared" si="157"/>
        <v>#DIV/0!</v>
      </c>
      <c r="TY104" s="690" t="e">
        <f t="shared" si="157"/>
        <v>#DIV/0!</v>
      </c>
    </row>
    <row r="105" spans="1:545" x14ac:dyDescent="0.25">
      <c r="A105" s="681" t="s">
        <v>62</v>
      </c>
      <c r="B105" s="688"/>
      <c r="C105" s="619"/>
      <c r="D105" s="619"/>
      <c r="E105" s="672"/>
      <c r="F105" s="619"/>
      <c r="G105" s="652"/>
      <c r="H105" s="599"/>
      <c r="I105" s="652"/>
      <c r="J105" s="675"/>
      <c r="K105" s="672"/>
      <c r="L105" s="672"/>
      <c r="M105" s="672"/>
      <c r="N105" s="672"/>
      <c r="O105" s="672"/>
      <c r="P105" s="672"/>
      <c r="Q105" s="672"/>
      <c r="R105" s="676"/>
      <c r="S105" s="691" t="e">
        <f t="shared" ref="S105:U105" si="158">STDEVA(S99:S103)</f>
        <v>#DIV/0!</v>
      </c>
      <c r="T105" s="691" t="e">
        <f t="shared" si="158"/>
        <v>#DIV/0!</v>
      </c>
      <c r="U105" s="695" t="e">
        <f t="shared" si="158"/>
        <v>#DIV/0!</v>
      </c>
      <c r="V105" s="652" t="e">
        <f>STDEVA(V99:V103)</f>
        <v>#DIV/0!</v>
      </c>
      <c r="W105" s="652" t="e">
        <f>STDEVA(W99:W103)</f>
        <v>#DIV/0!</v>
      </c>
      <c r="X105" s="652" t="s">
        <v>93</v>
      </c>
      <c r="Y105" s="599">
        <f>STDEVA(Y99:Y103)</f>
        <v>0</v>
      </c>
      <c r="Z105" s="652" t="e">
        <f>STDEVA(Z99:Z103)</f>
        <v>#DIV/0!</v>
      </c>
      <c r="AA105" s="675" t="e">
        <f>STDEVA(AA99:AA103)</f>
        <v>#DIV/0!</v>
      </c>
      <c r="AB105" s="672" t="e">
        <f>STDEVA(AB99:AB103)</f>
        <v>#DIV/0!</v>
      </c>
      <c r="AC105" s="672" t="e">
        <f t="shared" ref="AC105:AM105" si="159">STDEVA(AC99:AC103)</f>
        <v>#DIV/0!</v>
      </c>
      <c r="AD105" s="675" t="e">
        <f t="shared" si="159"/>
        <v>#DIV/0!</v>
      </c>
      <c r="AE105" s="672" t="e">
        <f>STDEVA(AE99:AE103)</f>
        <v>#DIV/0!</v>
      </c>
      <c r="AF105" s="672" t="e">
        <f>STDEVA(AF99:AF103)</f>
        <v>#DIV/0!</v>
      </c>
      <c r="AG105" s="672" t="e">
        <f>STDEVA(AG99:AG103)</f>
        <v>#DIV/0!</v>
      </c>
      <c r="AH105" s="672" t="e">
        <f>STDEVA(AH99:AH103)</f>
        <v>#DIV/0!</v>
      </c>
      <c r="AI105" s="676" t="e">
        <f>STDEVA(AI99:AI103)</f>
        <v>#DIV/0!</v>
      </c>
      <c r="AJ105" s="682" t="e">
        <f t="shared" si="159"/>
        <v>#DIV/0!</v>
      </c>
      <c r="AK105" s="691" t="e">
        <f t="shared" si="159"/>
        <v>#DIV/0!</v>
      </c>
      <c r="AL105" s="695" t="e">
        <f t="shared" si="159"/>
        <v>#DIV/0!</v>
      </c>
      <c r="AM105" s="652" t="e">
        <f t="shared" si="159"/>
        <v>#DIV/0!</v>
      </c>
      <c r="AN105" s="652" t="e">
        <f>STDEVA(AN99:AN103)</f>
        <v>#DIV/0!</v>
      </c>
      <c r="AO105" s="652" t="s">
        <v>93</v>
      </c>
      <c r="AP105" s="599">
        <f>STDEVA(AP99:AP103)</f>
        <v>0</v>
      </c>
      <c r="AQ105" s="652" t="e">
        <f t="shared" ref="AQ105:BE105" si="160">STDEVA(AQ99:AQ103)</f>
        <v>#DIV/0!</v>
      </c>
      <c r="AR105" s="675" t="e">
        <f t="shared" si="160"/>
        <v>#DIV/0!</v>
      </c>
      <c r="AS105" s="672" t="e">
        <f>STDEVA(AS99:AS103)</f>
        <v>#DIV/0!</v>
      </c>
      <c r="AT105" s="672" t="e">
        <f t="shared" si="160"/>
        <v>#DIV/0!</v>
      </c>
      <c r="AU105" s="675" t="e">
        <f t="shared" si="160"/>
        <v>#DIV/0!</v>
      </c>
      <c r="AV105" s="672" t="e">
        <f>STDEVA(AV99:AV103)</f>
        <v>#DIV/0!</v>
      </c>
      <c r="AW105" s="672" t="e">
        <f>STDEVA(AW99:AW103)</f>
        <v>#DIV/0!</v>
      </c>
      <c r="AX105" s="672" t="e">
        <f>STDEVA(AX99:AX103)</f>
        <v>#DIV/0!</v>
      </c>
      <c r="AY105" s="672" t="e">
        <f>STDEVA(AY99:AY103)</f>
        <v>#DIV/0!</v>
      </c>
      <c r="AZ105" s="676" t="e">
        <f>STDEVA(AZ99:AZ103)</f>
        <v>#DIV/0!</v>
      </c>
      <c r="BA105" s="682" t="e">
        <f t="shared" si="160"/>
        <v>#DIV/0!</v>
      </c>
      <c r="BB105" s="691" t="e">
        <f t="shared" si="160"/>
        <v>#DIV/0!</v>
      </c>
      <c r="BC105" s="695" t="e">
        <f t="shared" si="160"/>
        <v>#DIV/0!</v>
      </c>
      <c r="BD105" s="599" t="e">
        <f t="shared" si="160"/>
        <v>#DIV/0!</v>
      </c>
      <c r="BE105" s="652" t="e">
        <f t="shared" si="160"/>
        <v>#DIV/0!</v>
      </c>
      <c r="BF105" s="652" t="s">
        <v>93</v>
      </c>
      <c r="BG105" s="599">
        <f>STDEVA(BG99:BG103)</f>
        <v>0</v>
      </c>
      <c r="BH105" s="652" t="e">
        <f t="shared" ref="BH105:BV105" si="161">STDEVA(BH99:BH103)</f>
        <v>#DIV/0!</v>
      </c>
      <c r="BI105" s="675" t="e">
        <f t="shared" si="161"/>
        <v>#DIV/0!</v>
      </c>
      <c r="BJ105" s="672" t="e">
        <f>STDEVA(BJ99:BJ103)</f>
        <v>#DIV/0!</v>
      </c>
      <c r="BK105" s="672" t="e">
        <f t="shared" si="161"/>
        <v>#DIV/0!</v>
      </c>
      <c r="BL105" s="675" t="e">
        <f t="shared" si="161"/>
        <v>#DIV/0!</v>
      </c>
      <c r="BM105" s="672" t="e">
        <f>STDEVA(BM99:BM103)</f>
        <v>#DIV/0!</v>
      </c>
      <c r="BN105" s="672" t="e">
        <f>STDEVA(BN99:BN103)</f>
        <v>#DIV/0!</v>
      </c>
      <c r="BO105" s="672" t="e">
        <f>STDEVA(BO99:BO103)</f>
        <v>#DIV/0!</v>
      </c>
      <c r="BP105" s="672" t="e">
        <f>STDEVA(BP99:BP103)</f>
        <v>#DIV/0!</v>
      </c>
      <c r="BQ105" s="676" t="e">
        <f>STDEVA(BQ99:BQ103)</f>
        <v>#DIV/0!</v>
      </c>
      <c r="BR105" s="682" t="e">
        <f t="shared" si="161"/>
        <v>#DIV/0!</v>
      </c>
      <c r="BS105" s="691" t="e">
        <f t="shared" si="161"/>
        <v>#DIV/0!</v>
      </c>
      <c r="BT105" s="695" t="e">
        <f t="shared" si="161"/>
        <v>#DIV/0!</v>
      </c>
      <c r="BU105" s="599" t="e">
        <f t="shared" si="161"/>
        <v>#DIV/0!</v>
      </c>
      <c r="BV105" s="652" t="e">
        <f t="shared" si="161"/>
        <v>#DIV/0!</v>
      </c>
      <c r="BW105" s="652" t="s">
        <v>93</v>
      </c>
      <c r="BX105" s="599">
        <f>STDEVA(BX99:BX103)</f>
        <v>0</v>
      </c>
      <c r="BY105" s="652" t="e">
        <f t="shared" ref="BY105:CM105" si="162">STDEVA(BY99:BY103)</f>
        <v>#DIV/0!</v>
      </c>
      <c r="BZ105" s="675" t="e">
        <f t="shared" si="162"/>
        <v>#DIV/0!</v>
      </c>
      <c r="CA105" s="672" t="e">
        <f>STDEVA(CA99:CA103)</f>
        <v>#DIV/0!</v>
      </c>
      <c r="CB105" s="672" t="e">
        <f t="shared" si="162"/>
        <v>#DIV/0!</v>
      </c>
      <c r="CC105" s="675" t="e">
        <f t="shared" si="162"/>
        <v>#DIV/0!</v>
      </c>
      <c r="CD105" s="672" t="e">
        <f>STDEVA(CD99:CD103)</f>
        <v>#DIV/0!</v>
      </c>
      <c r="CE105" s="672" t="e">
        <f>STDEVA(CE99:CE103)</f>
        <v>#DIV/0!</v>
      </c>
      <c r="CF105" s="672" t="e">
        <f>STDEVA(CF99:CF103)</f>
        <v>#DIV/0!</v>
      </c>
      <c r="CG105" s="672" t="e">
        <f>STDEVA(CG99:CG103)</f>
        <v>#DIV/0!</v>
      </c>
      <c r="CH105" s="676" t="e">
        <f>STDEVA(CH99:CH103)</f>
        <v>#DIV/0!</v>
      </c>
      <c r="CI105" s="682" t="e">
        <f t="shared" si="162"/>
        <v>#DIV/0!</v>
      </c>
      <c r="CJ105" s="691" t="e">
        <f t="shared" si="162"/>
        <v>#DIV/0!</v>
      </c>
      <c r="CK105" s="695" t="e">
        <f t="shared" si="162"/>
        <v>#DIV/0!</v>
      </c>
      <c r="CL105" s="599" t="e">
        <f t="shared" si="162"/>
        <v>#DIV/0!</v>
      </c>
      <c r="CM105" s="652" t="e">
        <f t="shared" si="162"/>
        <v>#DIV/0!</v>
      </c>
      <c r="CN105" s="652" t="s">
        <v>93</v>
      </c>
      <c r="CO105" s="599">
        <f>STDEVA(CO99:CO103)</f>
        <v>0</v>
      </c>
      <c r="CP105" s="652" t="e">
        <f t="shared" ref="CP105:DD105" si="163">STDEVA(CP99:CP103)</f>
        <v>#DIV/0!</v>
      </c>
      <c r="CQ105" s="675" t="e">
        <f t="shared" si="163"/>
        <v>#DIV/0!</v>
      </c>
      <c r="CR105" s="672" t="e">
        <f>STDEVA(CR99:CR103)</f>
        <v>#DIV/0!</v>
      </c>
      <c r="CS105" s="672" t="e">
        <f t="shared" si="163"/>
        <v>#DIV/0!</v>
      </c>
      <c r="CT105" s="675" t="e">
        <f t="shared" si="163"/>
        <v>#DIV/0!</v>
      </c>
      <c r="CU105" s="672" t="e">
        <f>STDEVA(CU99:CU103)</f>
        <v>#DIV/0!</v>
      </c>
      <c r="CV105" s="672" t="e">
        <f>STDEVA(CV99:CV103)</f>
        <v>#DIV/0!</v>
      </c>
      <c r="CW105" s="672" t="e">
        <f>STDEVA(CW99:CW103)</f>
        <v>#DIV/0!</v>
      </c>
      <c r="CX105" s="672" t="e">
        <f>STDEVA(CX99:CX103)</f>
        <v>#DIV/0!</v>
      </c>
      <c r="CY105" s="676" t="e">
        <f>STDEVA(CY99:CY103)</f>
        <v>#DIV/0!</v>
      </c>
      <c r="CZ105" s="682" t="e">
        <f t="shared" si="163"/>
        <v>#DIV/0!</v>
      </c>
      <c r="DA105" s="691" t="e">
        <f t="shared" si="163"/>
        <v>#DIV/0!</v>
      </c>
      <c r="DB105" s="695" t="e">
        <f t="shared" si="163"/>
        <v>#DIV/0!</v>
      </c>
      <c r="DC105" s="599" t="e">
        <f t="shared" si="163"/>
        <v>#DIV/0!</v>
      </c>
      <c r="DD105" s="652" t="e">
        <f t="shared" si="163"/>
        <v>#DIV/0!</v>
      </c>
      <c r="DE105" s="652" t="s">
        <v>93</v>
      </c>
      <c r="DF105" s="599">
        <f>STDEVA(DF99:DF103)</f>
        <v>0</v>
      </c>
      <c r="DG105" s="652" t="e">
        <f t="shared" ref="DG105:DU105" si="164">STDEVA(DG99:DG103)</f>
        <v>#DIV/0!</v>
      </c>
      <c r="DH105" s="675" t="e">
        <f t="shared" si="164"/>
        <v>#DIV/0!</v>
      </c>
      <c r="DI105" s="672" t="e">
        <f>STDEVA(DI99:DI103)</f>
        <v>#DIV/0!</v>
      </c>
      <c r="DJ105" s="672" t="e">
        <f t="shared" si="164"/>
        <v>#DIV/0!</v>
      </c>
      <c r="DK105" s="675" t="e">
        <f t="shared" si="164"/>
        <v>#DIV/0!</v>
      </c>
      <c r="DL105" s="672" t="e">
        <f>STDEVA(DL99:DL103)</f>
        <v>#DIV/0!</v>
      </c>
      <c r="DM105" s="672" t="e">
        <f>STDEVA(DM99:DM103)</f>
        <v>#DIV/0!</v>
      </c>
      <c r="DN105" s="672" t="e">
        <f>STDEVA(DN99:DN103)</f>
        <v>#DIV/0!</v>
      </c>
      <c r="DO105" s="672" t="e">
        <f>STDEVA(DO99:DO103)</f>
        <v>#DIV/0!</v>
      </c>
      <c r="DP105" s="676" t="e">
        <f>STDEVA(DP99:DP103)</f>
        <v>#DIV/0!</v>
      </c>
      <c r="DQ105" s="682" t="e">
        <f t="shared" si="164"/>
        <v>#DIV/0!</v>
      </c>
      <c r="DR105" s="691" t="e">
        <f t="shared" si="164"/>
        <v>#DIV/0!</v>
      </c>
      <c r="DS105" s="695" t="e">
        <f t="shared" si="164"/>
        <v>#DIV/0!</v>
      </c>
      <c r="DT105" s="653" t="e">
        <f t="shared" si="164"/>
        <v>#DIV/0!</v>
      </c>
      <c r="DU105" s="652" t="e">
        <f t="shared" si="164"/>
        <v>#DIV/0!</v>
      </c>
      <c r="DV105" s="652" t="s">
        <v>93</v>
      </c>
      <c r="DW105" s="599">
        <f>STDEVA(DW99:DW103)</f>
        <v>0</v>
      </c>
      <c r="DX105" s="652" t="e">
        <f t="shared" ref="DX105:EL105" si="165">STDEVA(DX99:DX103)</f>
        <v>#DIV/0!</v>
      </c>
      <c r="DY105" s="675" t="e">
        <f t="shared" si="165"/>
        <v>#DIV/0!</v>
      </c>
      <c r="DZ105" s="672" t="e">
        <f>STDEVA(DZ99:DZ103)</f>
        <v>#DIV/0!</v>
      </c>
      <c r="EA105" s="672" t="e">
        <f t="shared" si="165"/>
        <v>#DIV/0!</v>
      </c>
      <c r="EB105" s="675" t="e">
        <f t="shared" si="165"/>
        <v>#DIV/0!</v>
      </c>
      <c r="EC105" s="672" t="e">
        <f>STDEVA(EC99:EC103)</f>
        <v>#DIV/0!</v>
      </c>
      <c r="ED105" s="672" t="e">
        <f>STDEVA(ED99:ED103)</f>
        <v>#DIV/0!</v>
      </c>
      <c r="EE105" s="672" t="e">
        <f>STDEVA(EE99:EE103)</f>
        <v>#DIV/0!</v>
      </c>
      <c r="EF105" s="672" t="e">
        <f>STDEVA(EF99:EF103)</f>
        <v>#DIV/0!</v>
      </c>
      <c r="EG105" s="676" t="e">
        <f>STDEVA(EG99:EG103)</f>
        <v>#DIV/0!</v>
      </c>
      <c r="EH105" s="682" t="e">
        <f t="shared" si="165"/>
        <v>#DIV/0!</v>
      </c>
      <c r="EI105" s="691" t="e">
        <f t="shared" si="165"/>
        <v>#DIV/0!</v>
      </c>
      <c r="EJ105" s="695" t="e">
        <f t="shared" si="165"/>
        <v>#DIV/0!</v>
      </c>
      <c r="EK105" s="599" t="e">
        <f t="shared" si="165"/>
        <v>#DIV/0!</v>
      </c>
      <c r="EL105" s="652" t="e">
        <f t="shared" si="165"/>
        <v>#DIV/0!</v>
      </c>
      <c r="EM105" s="652" t="s">
        <v>93</v>
      </c>
      <c r="EN105" s="599">
        <f>STDEVA(EN99:EN103)</f>
        <v>0</v>
      </c>
      <c r="EO105" s="652" t="e">
        <f t="shared" ref="EO105:FC105" si="166">STDEVA(EO99:EO103)</f>
        <v>#DIV/0!</v>
      </c>
      <c r="EP105" s="675" t="e">
        <f t="shared" si="166"/>
        <v>#DIV/0!</v>
      </c>
      <c r="EQ105" s="672" t="e">
        <f>STDEVA(EQ99:EQ103)</f>
        <v>#DIV/0!</v>
      </c>
      <c r="ER105" s="672" t="e">
        <f t="shared" si="166"/>
        <v>#DIV/0!</v>
      </c>
      <c r="ES105" s="675" t="e">
        <f t="shared" si="166"/>
        <v>#DIV/0!</v>
      </c>
      <c r="ET105" s="672" t="e">
        <f>STDEVA(ET99:ET103)</f>
        <v>#DIV/0!</v>
      </c>
      <c r="EU105" s="672" t="e">
        <f>STDEVA(EU99:EU103)</f>
        <v>#DIV/0!</v>
      </c>
      <c r="EV105" s="672" t="e">
        <f>STDEVA(EV99:EV103)</f>
        <v>#DIV/0!</v>
      </c>
      <c r="EW105" s="672" t="e">
        <f>STDEVA(EW99:EW103)</f>
        <v>#DIV/0!</v>
      </c>
      <c r="EX105" s="676" t="e">
        <f>STDEVA(EX99:EX103)</f>
        <v>#DIV/0!</v>
      </c>
      <c r="EY105" s="682" t="e">
        <f t="shared" si="166"/>
        <v>#DIV/0!</v>
      </c>
      <c r="EZ105" s="691" t="e">
        <f t="shared" si="166"/>
        <v>#DIV/0!</v>
      </c>
      <c r="FA105" s="695" t="e">
        <f t="shared" si="166"/>
        <v>#DIV/0!</v>
      </c>
      <c r="FB105" s="599" t="e">
        <f t="shared" si="166"/>
        <v>#DIV/0!</v>
      </c>
      <c r="FC105" s="652" t="e">
        <f t="shared" si="166"/>
        <v>#DIV/0!</v>
      </c>
      <c r="FD105" s="652" t="s">
        <v>93</v>
      </c>
      <c r="FE105" s="599">
        <f>STDEVA(FE99:FE103)</f>
        <v>0</v>
      </c>
      <c r="FF105" s="652" t="e">
        <f t="shared" ref="FF105:FT105" si="167">STDEVA(FF99:FF103)</f>
        <v>#DIV/0!</v>
      </c>
      <c r="FG105" s="675" t="e">
        <f t="shared" si="167"/>
        <v>#DIV/0!</v>
      </c>
      <c r="FH105" s="672" t="e">
        <f>STDEVA(FH99:FH103)</f>
        <v>#DIV/0!</v>
      </c>
      <c r="FI105" s="672" t="e">
        <f t="shared" si="167"/>
        <v>#DIV/0!</v>
      </c>
      <c r="FJ105" s="675" t="e">
        <f t="shared" si="167"/>
        <v>#DIV/0!</v>
      </c>
      <c r="FK105" s="672" t="e">
        <f>STDEVA(FK99:FK103)</f>
        <v>#DIV/0!</v>
      </c>
      <c r="FL105" s="672" t="e">
        <f>STDEVA(FL99:FL103)</f>
        <v>#DIV/0!</v>
      </c>
      <c r="FM105" s="672" t="e">
        <f>STDEVA(FM99:FM103)</f>
        <v>#DIV/0!</v>
      </c>
      <c r="FN105" s="672" t="e">
        <f>STDEVA(FN99:FN103)</f>
        <v>#DIV/0!</v>
      </c>
      <c r="FO105" s="676" t="e">
        <f>STDEVA(FO99:FO103)</f>
        <v>#DIV/0!</v>
      </c>
      <c r="FP105" s="682" t="e">
        <f t="shared" si="167"/>
        <v>#DIV/0!</v>
      </c>
      <c r="FQ105" s="691" t="e">
        <f t="shared" si="167"/>
        <v>#DIV/0!</v>
      </c>
      <c r="FR105" s="695" t="e">
        <f t="shared" si="167"/>
        <v>#DIV/0!</v>
      </c>
      <c r="FS105" s="599" t="e">
        <f t="shared" si="167"/>
        <v>#DIV/0!</v>
      </c>
      <c r="FT105" s="652" t="e">
        <f t="shared" si="167"/>
        <v>#DIV/0!</v>
      </c>
      <c r="FU105" s="652" t="s">
        <v>93</v>
      </c>
      <c r="FV105" s="599">
        <f>STDEVA(FV99:FV103)</f>
        <v>0</v>
      </c>
      <c r="FW105" s="652" t="e">
        <f t="shared" ref="FW105:GK105" si="168">STDEVA(FW99:FW103)</f>
        <v>#DIV/0!</v>
      </c>
      <c r="FX105" s="675" t="e">
        <f t="shared" si="168"/>
        <v>#DIV/0!</v>
      </c>
      <c r="FY105" s="672" t="e">
        <f>STDEVA(FY99:FY103)</f>
        <v>#DIV/0!</v>
      </c>
      <c r="FZ105" s="672" t="e">
        <f t="shared" si="168"/>
        <v>#DIV/0!</v>
      </c>
      <c r="GA105" s="675" t="e">
        <f t="shared" si="168"/>
        <v>#DIV/0!</v>
      </c>
      <c r="GB105" s="672" t="e">
        <f>STDEVA(GB99:GB103)</f>
        <v>#DIV/0!</v>
      </c>
      <c r="GC105" s="672" t="e">
        <f>STDEVA(GC99:GC103)</f>
        <v>#DIV/0!</v>
      </c>
      <c r="GD105" s="672" t="e">
        <f>STDEVA(GD99:GD103)</f>
        <v>#DIV/0!</v>
      </c>
      <c r="GE105" s="672" t="e">
        <f>STDEVA(GE99:GE103)</f>
        <v>#DIV/0!</v>
      </c>
      <c r="GF105" s="676" t="e">
        <f>STDEVA(GF99:GF103)</f>
        <v>#DIV/0!</v>
      </c>
      <c r="GG105" s="682" t="e">
        <f t="shared" si="168"/>
        <v>#DIV/0!</v>
      </c>
      <c r="GH105" s="691" t="e">
        <f t="shared" si="168"/>
        <v>#DIV/0!</v>
      </c>
      <c r="GI105" s="695" t="e">
        <f t="shared" si="168"/>
        <v>#DIV/0!</v>
      </c>
      <c r="GJ105" s="653" t="e">
        <f t="shared" si="168"/>
        <v>#DIV/0!</v>
      </c>
      <c r="GK105" s="652" t="e">
        <f t="shared" si="168"/>
        <v>#DIV/0!</v>
      </c>
      <c r="GL105" s="652" t="s">
        <v>93</v>
      </c>
      <c r="GM105" s="599">
        <f>STDEVA(GM99:GM103)</f>
        <v>0</v>
      </c>
      <c r="GN105" s="652" t="e">
        <f t="shared" ref="GN105:HB105" si="169">STDEVA(GN99:GN103)</f>
        <v>#DIV/0!</v>
      </c>
      <c r="GO105" s="675" t="e">
        <f t="shared" si="169"/>
        <v>#DIV/0!</v>
      </c>
      <c r="GP105" s="672" t="e">
        <f>STDEVA(GP99:GP103)</f>
        <v>#DIV/0!</v>
      </c>
      <c r="GQ105" s="672" t="e">
        <f t="shared" si="169"/>
        <v>#DIV/0!</v>
      </c>
      <c r="GR105" s="675" t="e">
        <f t="shared" si="169"/>
        <v>#DIV/0!</v>
      </c>
      <c r="GS105" s="672" t="e">
        <f>STDEVA(GS99:GS103)</f>
        <v>#DIV/0!</v>
      </c>
      <c r="GT105" s="672" t="e">
        <f>STDEVA(GT99:GT103)</f>
        <v>#DIV/0!</v>
      </c>
      <c r="GU105" s="672" t="e">
        <f>STDEVA(GU99:GU103)</f>
        <v>#DIV/0!</v>
      </c>
      <c r="GV105" s="672" t="e">
        <f>STDEVA(GV99:GV103)</f>
        <v>#DIV/0!</v>
      </c>
      <c r="GW105" s="676" t="e">
        <f>STDEVA(GW99:GW103)</f>
        <v>#DIV/0!</v>
      </c>
      <c r="GX105" s="682" t="e">
        <f t="shared" si="169"/>
        <v>#DIV/0!</v>
      </c>
      <c r="GY105" s="691" t="e">
        <f t="shared" si="169"/>
        <v>#DIV/0!</v>
      </c>
      <c r="GZ105" s="695" t="e">
        <f t="shared" si="169"/>
        <v>#DIV/0!</v>
      </c>
      <c r="HA105" s="599" t="e">
        <f t="shared" si="169"/>
        <v>#DIV/0!</v>
      </c>
      <c r="HB105" s="652" t="e">
        <f t="shared" si="169"/>
        <v>#DIV/0!</v>
      </c>
      <c r="HC105" s="652" t="s">
        <v>93</v>
      </c>
      <c r="HD105" s="599">
        <f>STDEVA(HD99:HD103)</f>
        <v>0</v>
      </c>
      <c r="HE105" s="652" t="e">
        <f t="shared" ref="HE105:HS105" si="170">STDEVA(HE99:HE103)</f>
        <v>#DIV/0!</v>
      </c>
      <c r="HF105" s="675" t="e">
        <f t="shared" si="170"/>
        <v>#DIV/0!</v>
      </c>
      <c r="HG105" s="672" t="e">
        <f>STDEVA(HG99:HG103)</f>
        <v>#DIV/0!</v>
      </c>
      <c r="HH105" s="672" t="e">
        <f t="shared" si="170"/>
        <v>#DIV/0!</v>
      </c>
      <c r="HI105" s="675" t="e">
        <f t="shared" si="170"/>
        <v>#DIV/0!</v>
      </c>
      <c r="HJ105" s="672" t="e">
        <f>STDEVA(HJ99:HJ103)</f>
        <v>#DIV/0!</v>
      </c>
      <c r="HK105" s="672" t="e">
        <f>STDEVA(HK99:HK103)</f>
        <v>#DIV/0!</v>
      </c>
      <c r="HL105" s="672" t="e">
        <f>STDEVA(HL99:HL103)</f>
        <v>#DIV/0!</v>
      </c>
      <c r="HM105" s="672" t="e">
        <f>STDEVA(HM99:HM103)</f>
        <v>#DIV/0!</v>
      </c>
      <c r="HN105" s="676" t="e">
        <f>STDEVA(HN99:HN103)</f>
        <v>#DIV/0!</v>
      </c>
      <c r="HO105" s="682" t="e">
        <f t="shared" si="170"/>
        <v>#DIV/0!</v>
      </c>
      <c r="HP105" s="691" t="e">
        <f t="shared" si="170"/>
        <v>#DIV/0!</v>
      </c>
      <c r="HQ105" s="695" t="e">
        <f t="shared" si="170"/>
        <v>#DIV/0!</v>
      </c>
      <c r="HR105" s="599" t="e">
        <f t="shared" si="170"/>
        <v>#DIV/0!</v>
      </c>
      <c r="HS105" s="652" t="e">
        <f t="shared" si="170"/>
        <v>#DIV/0!</v>
      </c>
      <c r="HT105" s="652" t="s">
        <v>93</v>
      </c>
      <c r="HU105" s="599">
        <f>STDEVA(HU99:HU103)</f>
        <v>0</v>
      </c>
      <c r="HV105" s="652" t="e">
        <f t="shared" ref="HV105:IJ105" si="171">STDEVA(HV99:HV103)</f>
        <v>#DIV/0!</v>
      </c>
      <c r="HW105" s="675" t="e">
        <f t="shared" si="171"/>
        <v>#DIV/0!</v>
      </c>
      <c r="HX105" s="672" t="e">
        <f>STDEVA(HX99:HX103)</f>
        <v>#DIV/0!</v>
      </c>
      <c r="HY105" s="672" t="e">
        <f t="shared" si="171"/>
        <v>#DIV/0!</v>
      </c>
      <c r="HZ105" s="675" t="e">
        <f t="shared" si="171"/>
        <v>#DIV/0!</v>
      </c>
      <c r="IA105" s="672" t="e">
        <f>STDEVA(IA99:IA103)</f>
        <v>#DIV/0!</v>
      </c>
      <c r="IB105" s="672" t="e">
        <f>STDEVA(IB99:IB103)</f>
        <v>#DIV/0!</v>
      </c>
      <c r="IC105" s="672" t="e">
        <f>STDEVA(IC99:IC103)</f>
        <v>#DIV/0!</v>
      </c>
      <c r="ID105" s="672" t="e">
        <f>STDEVA(ID99:ID103)</f>
        <v>#DIV/0!</v>
      </c>
      <c r="IE105" s="676" t="e">
        <f>STDEVA(IE99:IE103)</f>
        <v>#DIV/0!</v>
      </c>
      <c r="IF105" s="682" t="e">
        <f t="shared" si="171"/>
        <v>#DIV/0!</v>
      </c>
      <c r="IG105" s="691" t="e">
        <f t="shared" si="171"/>
        <v>#DIV/0!</v>
      </c>
      <c r="IH105" s="695" t="e">
        <f t="shared" si="171"/>
        <v>#DIV/0!</v>
      </c>
      <c r="II105" s="599" t="e">
        <f t="shared" si="171"/>
        <v>#DIV/0!</v>
      </c>
      <c r="IJ105" s="652" t="e">
        <f t="shared" si="171"/>
        <v>#DIV/0!</v>
      </c>
      <c r="IK105" s="652" t="s">
        <v>93</v>
      </c>
      <c r="IL105" s="599">
        <f>STDEVA(IL99:IL103)</f>
        <v>0</v>
      </c>
      <c r="IM105" s="652" t="e">
        <f t="shared" ref="IM105:JA105" si="172">STDEVA(IM99:IM103)</f>
        <v>#DIV/0!</v>
      </c>
      <c r="IN105" s="675" t="e">
        <f t="shared" si="172"/>
        <v>#DIV/0!</v>
      </c>
      <c r="IO105" s="672" t="e">
        <f>STDEVA(IO99:IO103)</f>
        <v>#DIV/0!</v>
      </c>
      <c r="IP105" s="672" t="e">
        <f t="shared" si="172"/>
        <v>#DIV/0!</v>
      </c>
      <c r="IQ105" s="675" t="e">
        <f t="shared" si="172"/>
        <v>#DIV/0!</v>
      </c>
      <c r="IR105" s="672" t="e">
        <f>STDEVA(IR99:IR103)</f>
        <v>#DIV/0!</v>
      </c>
      <c r="IS105" s="672" t="e">
        <f>STDEVA(IS99:IS103)</f>
        <v>#DIV/0!</v>
      </c>
      <c r="IT105" s="672" t="e">
        <f>STDEVA(IT99:IT103)</f>
        <v>#DIV/0!</v>
      </c>
      <c r="IU105" s="672" t="e">
        <f>STDEVA(IU99:IU103)</f>
        <v>#DIV/0!</v>
      </c>
      <c r="IV105" s="676" t="e">
        <f>STDEVA(IV99:IV103)</f>
        <v>#DIV/0!</v>
      </c>
      <c r="IW105" s="682" t="e">
        <f t="shared" si="172"/>
        <v>#DIV/0!</v>
      </c>
      <c r="IX105" s="691" t="e">
        <f t="shared" si="172"/>
        <v>#DIV/0!</v>
      </c>
      <c r="IY105" s="695" t="e">
        <f t="shared" si="172"/>
        <v>#DIV/0!</v>
      </c>
      <c r="IZ105" s="599" t="e">
        <f t="shared" si="172"/>
        <v>#DIV/0!</v>
      </c>
      <c r="JA105" s="652" t="e">
        <f t="shared" si="172"/>
        <v>#DIV/0!</v>
      </c>
      <c r="JB105" s="652" t="s">
        <v>93</v>
      </c>
      <c r="JC105" s="599">
        <f>STDEVA(JC99:JC103)</f>
        <v>0</v>
      </c>
      <c r="JD105" s="652" t="e">
        <f t="shared" ref="JD105:JR105" si="173">STDEVA(JD99:JD103)</f>
        <v>#DIV/0!</v>
      </c>
      <c r="JE105" s="675" t="e">
        <f t="shared" si="173"/>
        <v>#DIV/0!</v>
      </c>
      <c r="JF105" s="672" t="e">
        <f>STDEVA(JF99:JF103)</f>
        <v>#DIV/0!</v>
      </c>
      <c r="JG105" s="672" t="e">
        <f t="shared" si="173"/>
        <v>#DIV/0!</v>
      </c>
      <c r="JH105" s="675" t="e">
        <f t="shared" si="173"/>
        <v>#DIV/0!</v>
      </c>
      <c r="JI105" s="672" t="e">
        <f>STDEVA(JI99:JI103)</f>
        <v>#DIV/0!</v>
      </c>
      <c r="JJ105" s="672" t="e">
        <f>STDEVA(JJ99:JJ103)</f>
        <v>#DIV/0!</v>
      </c>
      <c r="JK105" s="672" t="e">
        <f>STDEVA(JK99:JK103)</f>
        <v>#DIV/0!</v>
      </c>
      <c r="JL105" s="672" t="e">
        <f>STDEVA(JL99:JL103)</f>
        <v>#DIV/0!</v>
      </c>
      <c r="JM105" s="676" t="e">
        <f>STDEVA(JM99:JM103)</f>
        <v>#DIV/0!</v>
      </c>
      <c r="JN105" s="682" t="e">
        <f t="shared" si="173"/>
        <v>#DIV/0!</v>
      </c>
      <c r="JO105" s="691" t="e">
        <f t="shared" si="173"/>
        <v>#DIV/0!</v>
      </c>
      <c r="JP105" s="695" t="e">
        <f t="shared" si="173"/>
        <v>#DIV/0!</v>
      </c>
      <c r="JQ105" s="599" t="e">
        <f t="shared" si="173"/>
        <v>#DIV/0!</v>
      </c>
      <c r="JR105" s="652" t="e">
        <f t="shared" si="173"/>
        <v>#DIV/0!</v>
      </c>
      <c r="JS105" s="652" t="s">
        <v>93</v>
      </c>
      <c r="JT105" s="599">
        <f>STDEVA(JT99:JT103)</f>
        <v>0</v>
      </c>
      <c r="JU105" s="652" t="e">
        <f t="shared" ref="JU105:KI105" si="174">STDEVA(JU99:JU103)</f>
        <v>#DIV/0!</v>
      </c>
      <c r="JV105" s="675" t="e">
        <f t="shared" si="174"/>
        <v>#DIV/0!</v>
      </c>
      <c r="JW105" s="672" t="e">
        <f>STDEVA(JW99:JW103)</f>
        <v>#DIV/0!</v>
      </c>
      <c r="JX105" s="672" t="e">
        <f t="shared" si="174"/>
        <v>#DIV/0!</v>
      </c>
      <c r="JY105" s="675" t="e">
        <f t="shared" si="174"/>
        <v>#DIV/0!</v>
      </c>
      <c r="JZ105" s="672" t="e">
        <f>STDEVA(JZ99:JZ103)</f>
        <v>#DIV/0!</v>
      </c>
      <c r="KA105" s="672" t="e">
        <f>STDEVA(KA99:KA103)</f>
        <v>#DIV/0!</v>
      </c>
      <c r="KB105" s="672" t="e">
        <f>STDEVA(KB99:KB103)</f>
        <v>#DIV/0!</v>
      </c>
      <c r="KC105" s="672" t="e">
        <f>STDEVA(KC99:KC103)</f>
        <v>#DIV/0!</v>
      </c>
      <c r="KD105" s="676" t="e">
        <f>STDEVA(KD99:KD103)</f>
        <v>#DIV/0!</v>
      </c>
      <c r="KE105" s="682" t="e">
        <f t="shared" si="174"/>
        <v>#DIV/0!</v>
      </c>
      <c r="KF105" s="691" t="e">
        <f t="shared" si="174"/>
        <v>#DIV/0!</v>
      </c>
      <c r="KG105" s="695" t="e">
        <f t="shared" si="174"/>
        <v>#DIV/0!</v>
      </c>
      <c r="KH105" s="599" t="e">
        <f t="shared" si="174"/>
        <v>#DIV/0!</v>
      </c>
      <c r="KI105" s="652" t="e">
        <f t="shared" si="174"/>
        <v>#DIV/0!</v>
      </c>
      <c r="KJ105" s="652" t="s">
        <v>93</v>
      </c>
      <c r="KK105" s="599">
        <f>STDEVA(KK99:KK103)</f>
        <v>0</v>
      </c>
      <c r="KL105" s="652" t="e">
        <f t="shared" ref="KL105:KZ105" si="175">STDEVA(KL99:KL103)</f>
        <v>#DIV/0!</v>
      </c>
      <c r="KM105" s="675" t="e">
        <f t="shared" si="175"/>
        <v>#DIV/0!</v>
      </c>
      <c r="KN105" s="672" t="e">
        <f>STDEVA(KN99:KN103)</f>
        <v>#DIV/0!</v>
      </c>
      <c r="KO105" s="672" t="e">
        <f t="shared" si="175"/>
        <v>#DIV/0!</v>
      </c>
      <c r="KP105" s="675" t="e">
        <f t="shared" si="175"/>
        <v>#DIV/0!</v>
      </c>
      <c r="KQ105" s="672" t="e">
        <f>STDEVA(KQ99:KQ103)</f>
        <v>#DIV/0!</v>
      </c>
      <c r="KR105" s="672" t="e">
        <f>STDEVA(KR99:KR103)</f>
        <v>#DIV/0!</v>
      </c>
      <c r="KS105" s="672" t="e">
        <f>STDEVA(KS99:KS103)</f>
        <v>#DIV/0!</v>
      </c>
      <c r="KT105" s="672" t="e">
        <f>STDEVA(KT99:KT103)</f>
        <v>#DIV/0!</v>
      </c>
      <c r="KU105" s="676" t="e">
        <f>STDEVA(KU99:KU103)</f>
        <v>#DIV/0!</v>
      </c>
      <c r="KV105" s="682" t="e">
        <f t="shared" si="175"/>
        <v>#DIV/0!</v>
      </c>
      <c r="KW105" s="691" t="e">
        <f t="shared" si="175"/>
        <v>#DIV/0!</v>
      </c>
      <c r="KX105" s="695" t="e">
        <f t="shared" si="175"/>
        <v>#DIV/0!</v>
      </c>
      <c r="KY105" s="599" t="e">
        <f t="shared" si="175"/>
        <v>#DIV/0!</v>
      </c>
      <c r="KZ105" s="652" t="e">
        <f t="shared" si="175"/>
        <v>#DIV/0!</v>
      </c>
      <c r="LA105" s="652" t="s">
        <v>93</v>
      </c>
      <c r="LB105" s="599">
        <f>STDEVA(LB99:LB103)</f>
        <v>0</v>
      </c>
      <c r="LC105" s="652" t="e">
        <f t="shared" ref="LC105:LQ105" si="176">STDEVA(LC99:LC103)</f>
        <v>#DIV/0!</v>
      </c>
      <c r="LD105" s="675" t="e">
        <f t="shared" si="176"/>
        <v>#DIV/0!</v>
      </c>
      <c r="LE105" s="672" t="e">
        <f>STDEVA(LE99:LE103)</f>
        <v>#DIV/0!</v>
      </c>
      <c r="LF105" s="672" t="e">
        <f t="shared" si="176"/>
        <v>#DIV/0!</v>
      </c>
      <c r="LG105" s="675" t="e">
        <f t="shared" si="176"/>
        <v>#DIV/0!</v>
      </c>
      <c r="LH105" s="672" t="e">
        <f>STDEVA(LH99:LH103)</f>
        <v>#DIV/0!</v>
      </c>
      <c r="LI105" s="672" t="e">
        <f>STDEVA(LI99:LI103)</f>
        <v>#DIV/0!</v>
      </c>
      <c r="LJ105" s="672" t="e">
        <f>STDEVA(LJ99:LJ103)</f>
        <v>#DIV/0!</v>
      </c>
      <c r="LK105" s="672" t="e">
        <f>STDEVA(LK99:LK103)</f>
        <v>#DIV/0!</v>
      </c>
      <c r="LL105" s="676" t="e">
        <f>STDEVA(LL99:LL103)</f>
        <v>#DIV/0!</v>
      </c>
      <c r="LM105" s="682" t="e">
        <f t="shared" si="176"/>
        <v>#DIV/0!</v>
      </c>
      <c r="LN105" s="691" t="e">
        <f t="shared" si="176"/>
        <v>#DIV/0!</v>
      </c>
      <c r="LO105" s="695" t="e">
        <f t="shared" si="176"/>
        <v>#DIV/0!</v>
      </c>
      <c r="LP105" s="599" t="e">
        <f t="shared" si="176"/>
        <v>#DIV/0!</v>
      </c>
      <c r="LQ105" s="652" t="e">
        <f t="shared" si="176"/>
        <v>#DIV/0!</v>
      </c>
      <c r="LR105" s="652" t="s">
        <v>93</v>
      </c>
      <c r="LS105" s="599">
        <f>STDEVA(LS99:LS103)</f>
        <v>0</v>
      </c>
      <c r="LT105" s="652" t="e">
        <f t="shared" ref="LT105:MH105" si="177">STDEVA(LT99:LT103)</f>
        <v>#DIV/0!</v>
      </c>
      <c r="LU105" s="675" t="e">
        <f t="shared" si="177"/>
        <v>#DIV/0!</v>
      </c>
      <c r="LV105" s="672" t="e">
        <f>STDEVA(LV99:LV103)</f>
        <v>#DIV/0!</v>
      </c>
      <c r="LW105" s="672" t="e">
        <f t="shared" si="177"/>
        <v>#DIV/0!</v>
      </c>
      <c r="LX105" s="675" t="e">
        <f t="shared" si="177"/>
        <v>#DIV/0!</v>
      </c>
      <c r="LY105" s="672" t="e">
        <f>STDEVA(LY99:LY103)</f>
        <v>#DIV/0!</v>
      </c>
      <c r="LZ105" s="672" t="e">
        <f>STDEVA(LZ99:LZ103)</f>
        <v>#DIV/0!</v>
      </c>
      <c r="MA105" s="672" t="e">
        <f>STDEVA(MA99:MA103)</f>
        <v>#DIV/0!</v>
      </c>
      <c r="MB105" s="672" t="e">
        <f>STDEVA(MB99:MB103)</f>
        <v>#DIV/0!</v>
      </c>
      <c r="MC105" s="676" t="e">
        <f>STDEVA(MC99:MC103)</f>
        <v>#DIV/0!</v>
      </c>
      <c r="MD105" s="682" t="e">
        <f t="shared" si="177"/>
        <v>#DIV/0!</v>
      </c>
      <c r="ME105" s="691" t="e">
        <f t="shared" si="177"/>
        <v>#DIV/0!</v>
      </c>
      <c r="MF105" s="695" t="e">
        <f t="shared" si="177"/>
        <v>#DIV/0!</v>
      </c>
      <c r="MG105" s="599" t="e">
        <f t="shared" si="177"/>
        <v>#DIV/0!</v>
      </c>
      <c r="MH105" s="652" t="e">
        <f t="shared" si="177"/>
        <v>#DIV/0!</v>
      </c>
      <c r="MI105" s="652" t="s">
        <v>93</v>
      </c>
      <c r="MJ105" s="599">
        <f>STDEVA(MJ99:MJ103)</f>
        <v>0</v>
      </c>
      <c r="MK105" s="652" t="e">
        <f t="shared" ref="MK105:MY105" si="178">STDEVA(MK99:MK103)</f>
        <v>#DIV/0!</v>
      </c>
      <c r="ML105" s="675" t="e">
        <f t="shared" si="178"/>
        <v>#DIV/0!</v>
      </c>
      <c r="MM105" s="672" t="e">
        <f>STDEVA(MM99:MM103)</f>
        <v>#DIV/0!</v>
      </c>
      <c r="MN105" s="672" t="e">
        <f t="shared" si="178"/>
        <v>#DIV/0!</v>
      </c>
      <c r="MO105" s="675" t="e">
        <f t="shared" si="178"/>
        <v>#DIV/0!</v>
      </c>
      <c r="MP105" s="672" t="e">
        <f>STDEVA(MP99:MP103)</f>
        <v>#DIV/0!</v>
      </c>
      <c r="MQ105" s="672" t="e">
        <f>STDEVA(MQ99:MQ103)</f>
        <v>#DIV/0!</v>
      </c>
      <c r="MR105" s="672" t="e">
        <f>STDEVA(MR99:MR103)</f>
        <v>#DIV/0!</v>
      </c>
      <c r="MS105" s="672" t="e">
        <f>STDEVA(MS99:MS103)</f>
        <v>#DIV/0!</v>
      </c>
      <c r="MT105" s="676" t="e">
        <f>STDEVA(MT99:MT103)</f>
        <v>#DIV/0!</v>
      </c>
      <c r="MU105" s="682" t="e">
        <f t="shared" si="178"/>
        <v>#DIV/0!</v>
      </c>
      <c r="MV105" s="691" t="e">
        <f t="shared" si="178"/>
        <v>#DIV/0!</v>
      </c>
      <c r="MW105" s="695" t="e">
        <f t="shared" si="178"/>
        <v>#DIV/0!</v>
      </c>
      <c r="MX105" s="599" t="e">
        <f t="shared" si="178"/>
        <v>#DIV/0!</v>
      </c>
      <c r="MY105" s="652" t="e">
        <f t="shared" si="178"/>
        <v>#DIV/0!</v>
      </c>
      <c r="MZ105" s="652" t="s">
        <v>93</v>
      </c>
      <c r="NA105" s="599">
        <f>STDEVA(NA99:NA103)</f>
        <v>0</v>
      </c>
      <c r="NB105" s="652" t="e">
        <f t="shared" ref="NB105:NP105" si="179">STDEVA(NB99:NB103)</f>
        <v>#DIV/0!</v>
      </c>
      <c r="NC105" s="675" t="e">
        <f t="shared" si="179"/>
        <v>#DIV/0!</v>
      </c>
      <c r="ND105" s="672" t="e">
        <f>STDEVA(ND99:ND103)</f>
        <v>#DIV/0!</v>
      </c>
      <c r="NE105" s="672" t="e">
        <f t="shared" si="179"/>
        <v>#DIV/0!</v>
      </c>
      <c r="NF105" s="675" t="e">
        <f t="shared" si="179"/>
        <v>#DIV/0!</v>
      </c>
      <c r="NG105" s="672" t="e">
        <f>STDEVA(NG99:NG103)</f>
        <v>#DIV/0!</v>
      </c>
      <c r="NH105" s="672" t="e">
        <f>STDEVA(NH99:NH103)</f>
        <v>#DIV/0!</v>
      </c>
      <c r="NI105" s="672" t="e">
        <f>STDEVA(NI99:NI103)</f>
        <v>#DIV/0!</v>
      </c>
      <c r="NJ105" s="672" t="e">
        <f>STDEVA(NJ99:NJ103)</f>
        <v>#DIV/0!</v>
      </c>
      <c r="NK105" s="676" t="e">
        <f>STDEVA(NK99:NK103)</f>
        <v>#DIV/0!</v>
      </c>
      <c r="NL105" s="682" t="e">
        <f t="shared" si="179"/>
        <v>#DIV/0!</v>
      </c>
      <c r="NM105" s="691" t="e">
        <f t="shared" si="179"/>
        <v>#DIV/0!</v>
      </c>
      <c r="NN105" s="695" t="e">
        <f t="shared" si="179"/>
        <v>#DIV/0!</v>
      </c>
      <c r="NO105" s="599" t="e">
        <f t="shared" si="179"/>
        <v>#DIV/0!</v>
      </c>
      <c r="NP105" s="652" t="e">
        <f t="shared" si="179"/>
        <v>#DIV/0!</v>
      </c>
      <c r="NQ105" s="652" t="s">
        <v>93</v>
      </c>
      <c r="NR105" s="599">
        <f>STDEVA(NR99:NR103)</f>
        <v>0</v>
      </c>
      <c r="NS105" s="652" t="e">
        <f t="shared" ref="NS105:OG105" si="180">STDEVA(NS99:NS103)</f>
        <v>#DIV/0!</v>
      </c>
      <c r="NT105" s="675" t="e">
        <f t="shared" si="180"/>
        <v>#DIV/0!</v>
      </c>
      <c r="NU105" s="672" t="e">
        <f>STDEVA(NU99:NU103)</f>
        <v>#DIV/0!</v>
      </c>
      <c r="NV105" s="672" t="e">
        <f t="shared" si="180"/>
        <v>#DIV/0!</v>
      </c>
      <c r="NW105" s="675" t="e">
        <f t="shared" si="180"/>
        <v>#DIV/0!</v>
      </c>
      <c r="NX105" s="672" t="e">
        <f>STDEVA(NX99:NX103)</f>
        <v>#DIV/0!</v>
      </c>
      <c r="NY105" s="672" t="e">
        <f>STDEVA(NY99:NY103)</f>
        <v>#DIV/0!</v>
      </c>
      <c r="NZ105" s="672" t="e">
        <f>STDEVA(NZ99:NZ103)</f>
        <v>#DIV/0!</v>
      </c>
      <c r="OA105" s="672" t="e">
        <f>STDEVA(OA99:OA103)</f>
        <v>#DIV/0!</v>
      </c>
      <c r="OB105" s="676" t="e">
        <f>STDEVA(OB99:OB103)</f>
        <v>#DIV/0!</v>
      </c>
      <c r="OC105" s="682" t="e">
        <f t="shared" si="180"/>
        <v>#DIV/0!</v>
      </c>
      <c r="OD105" s="691" t="e">
        <f t="shared" si="180"/>
        <v>#DIV/0!</v>
      </c>
      <c r="OE105" s="695" t="e">
        <f t="shared" si="180"/>
        <v>#DIV/0!</v>
      </c>
      <c r="OF105" s="599" t="e">
        <f t="shared" si="180"/>
        <v>#DIV/0!</v>
      </c>
      <c r="OG105" s="652" t="e">
        <f t="shared" si="180"/>
        <v>#DIV/0!</v>
      </c>
      <c r="OH105" s="652" t="s">
        <v>93</v>
      </c>
      <c r="OI105" s="599">
        <f>STDEVA(OI99:OI103)</f>
        <v>0</v>
      </c>
      <c r="OJ105" s="652" t="e">
        <f t="shared" ref="OJ105:OX105" si="181">STDEVA(OJ99:OJ103)</f>
        <v>#DIV/0!</v>
      </c>
      <c r="OK105" s="675" t="e">
        <f t="shared" si="181"/>
        <v>#DIV/0!</v>
      </c>
      <c r="OL105" s="672" t="e">
        <f>STDEVA(OL99:OL103)</f>
        <v>#DIV/0!</v>
      </c>
      <c r="OM105" s="672" t="e">
        <f t="shared" si="181"/>
        <v>#DIV/0!</v>
      </c>
      <c r="ON105" s="675" t="e">
        <f t="shared" si="181"/>
        <v>#DIV/0!</v>
      </c>
      <c r="OO105" s="672" t="e">
        <f>STDEVA(OO99:OO103)</f>
        <v>#DIV/0!</v>
      </c>
      <c r="OP105" s="672" t="e">
        <f>STDEVA(OP99:OP103)</f>
        <v>#DIV/0!</v>
      </c>
      <c r="OQ105" s="672" t="e">
        <f>STDEVA(OQ99:OQ103)</f>
        <v>#DIV/0!</v>
      </c>
      <c r="OR105" s="672" t="e">
        <f>STDEVA(OR99:OR103)</f>
        <v>#DIV/0!</v>
      </c>
      <c r="OS105" s="676" t="e">
        <f>STDEVA(OS99:OS103)</f>
        <v>#DIV/0!</v>
      </c>
      <c r="OT105" s="682" t="e">
        <f t="shared" si="181"/>
        <v>#DIV/0!</v>
      </c>
      <c r="OU105" s="691" t="e">
        <f t="shared" si="181"/>
        <v>#DIV/0!</v>
      </c>
      <c r="OV105" s="695" t="e">
        <f t="shared" si="181"/>
        <v>#DIV/0!</v>
      </c>
      <c r="OW105" s="599" t="e">
        <f t="shared" si="181"/>
        <v>#DIV/0!</v>
      </c>
      <c r="OX105" s="652" t="e">
        <f t="shared" si="181"/>
        <v>#DIV/0!</v>
      </c>
      <c r="OY105" s="652" t="s">
        <v>93</v>
      </c>
      <c r="OZ105" s="599">
        <f>STDEVA(OZ99:OZ103)</f>
        <v>0</v>
      </c>
      <c r="PA105" s="652" t="e">
        <f t="shared" ref="PA105:PO105" si="182">STDEVA(PA99:PA103)</f>
        <v>#DIV/0!</v>
      </c>
      <c r="PB105" s="675" t="e">
        <f t="shared" si="182"/>
        <v>#DIV/0!</v>
      </c>
      <c r="PC105" s="672" t="e">
        <f>STDEVA(PC99:PC103)</f>
        <v>#DIV/0!</v>
      </c>
      <c r="PD105" s="672" t="e">
        <f t="shared" si="182"/>
        <v>#DIV/0!</v>
      </c>
      <c r="PE105" s="675" t="e">
        <f t="shared" si="182"/>
        <v>#DIV/0!</v>
      </c>
      <c r="PF105" s="672" t="e">
        <f>STDEVA(PF99:PF103)</f>
        <v>#DIV/0!</v>
      </c>
      <c r="PG105" s="672" t="e">
        <f>STDEVA(PG99:PG103)</f>
        <v>#DIV/0!</v>
      </c>
      <c r="PH105" s="672" t="e">
        <f>STDEVA(PH99:PH103)</f>
        <v>#DIV/0!</v>
      </c>
      <c r="PI105" s="672" t="e">
        <f>STDEVA(PI99:PI103)</f>
        <v>#DIV/0!</v>
      </c>
      <c r="PJ105" s="676" t="e">
        <f>STDEVA(PJ99:PJ103)</f>
        <v>#DIV/0!</v>
      </c>
      <c r="PK105" s="682" t="e">
        <f t="shared" si="182"/>
        <v>#DIV/0!</v>
      </c>
      <c r="PL105" s="691" t="e">
        <f t="shared" si="182"/>
        <v>#DIV/0!</v>
      </c>
      <c r="PM105" s="695" t="e">
        <f t="shared" si="182"/>
        <v>#DIV/0!</v>
      </c>
      <c r="PN105" s="599" t="e">
        <f t="shared" si="182"/>
        <v>#DIV/0!</v>
      </c>
      <c r="PO105" s="652" t="e">
        <f t="shared" si="182"/>
        <v>#DIV/0!</v>
      </c>
      <c r="PP105" s="652" t="s">
        <v>93</v>
      </c>
      <c r="PQ105" s="599">
        <f>STDEVA(PQ99:PQ103)</f>
        <v>0</v>
      </c>
      <c r="PR105" s="652" t="e">
        <f t="shared" ref="PR105:QF105" si="183">STDEVA(PR99:PR103)</f>
        <v>#DIV/0!</v>
      </c>
      <c r="PS105" s="675" t="e">
        <f t="shared" si="183"/>
        <v>#DIV/0!</v>
      </c>
      <c r="PT105" s="672" t="e">
        <f>STDEVA(PT99:PT103)</f>
        <v>#DIV/0!</v>
      </c>
      <c r="PU105" s="672" t="e">
        <f t="shared" si="183"/>
        <v>#DIV/0!</v>
      </c>
      <c r="PV105" s="675" t="e">
        <f t="shared" si="183"/>
        <v>#DIV/0!</v>
      </c>
      <c r="PW105" s="672" t="e">
        <f>STDEVA(PW99:PW103)</f>
        <v>#DIV/0!</v>
      </c>
      <c r="PX105" s="672" t="e">
        <f>STDEVA(PX99:PX103)</f>
        <v>#DIV/0!</v>
      </c>
      <c r="PY105" s="672" t="e">
        <f>STDEVA(PY99:PY103)</f>
        <v>#DIV/0!</v>
      </c>
      <c r="PZ105" s="672" t="e">
        <f>STDEVA(PZ99:PZ103)</f>
        <v>#DIV/0!</v>
      </c>
      <c r="QA105" s="676" t="e">
        <f>STDEVA(QA99:QA103)</f>
        <v>#DIV/0!</v>
      </c>
      <c r="QB105" s="682" t="e">
        <f t="shared" si="183"/>
        <v>#DIV/0!</v>
      </c>
      <c r="QC105" s="691" t="e">
        <f t="shared" si="183"/>
        <v>#DIV/0!</v>
      </c>
      <c r="QD105" s="695" t="e">
        <f t="shared" si="183"/>
        <v>#DIV/0!</v>
      </c>
      <c r="QE105" s="599" t="e">
        <f t="shared" si="183"/>
        <v>#DIV/0!</v>
      </c>
      <c r="QF105" s="652" t="e">
        <f t="shared" si="183"/>
        <v>#DIV/0!</v>
      </c>
      <c r="QG105" s="652" t="s">
        <v>93</v>
      </c>
      <c r="QH105" s="599">
        <f>STDEVA(QH99:QH103)</f>
        <v>0</v>
      </c>
      <c r="QI105" s="652" t="e">
        <f t="shared" ref="QI105:QW105" si="184">STDEVA(QI99:QI103)</f>
        <v>#DIV/0!</v>
      </c>
      <c r="QJ105" s="675" t="e">
        <f t="shared" si="184"/>
        <v>#DIV/0!</v>
      </c>
      <c r="QK105" s="672" t="e">
        <f>STDEVA(QK99:QK103)</f>
        <v>#DIV/0!</v>
      </c>
      <c r="QL105" s="672" t="e">
        <f t="shared" si="184"/>
        <v>#DIV/0!</v>
      </c>
      <c r="QM105" s="675" t="e">
        <f t="shared" si="184"/>
        <v>#DIV/0!</v>
      </c>
      <c r="QN105" s="672" t="e">
        <f>STDEVA(QN99:QN103)</f>
        <v>#DIV/0!</v>
      </c>
      <c r="QO105" s="672" t="e">
        <f>STDEVA(QO99:QO103)</f>
        <v>#DIV/0!</v>
      </c>
      <c r="QP105" s="672" t="e">
        <f>STDEVA(QP99:QP103)</f>
        <v>#DIV/0!</v>
      </c>
      <c r="QQ105" s="672" t="e">
        <f>STDEVA(QQ99:QQ103)</f>
        <v>#DIV/0!</v>
      </c>
      <c r="QR105" s="676" t="e">
        <f>STDEVA(QR99:QR103)</f>
        <v>#DIV/0!</v>
      </c>
      <c r="QS105" s="682" t="e">
        <f t="shared" si="184"/>
        <v>#DIV/0!</v>
      </c>
      <c r="QT105" s="691" t="e">
        <f t="shared" si="184"/>
        <v>#DIV/0!</v>
      </c>
      <c r="QU105" s="695" t="e">
        <f t="shared" si="184"/>
        <v>#DIV/0!</v>
      </c>
      <c r="QV105" s="599" t="e">
        <f t="shared" si="184"/>
        <v>#DIV/0!</v>
      </c>
      <c r="QW105" s="652" t="e">
        <f t="shared" si="184"/>
        <v>#DIV/0!</v>
      </c>
      <c r="QX105" s="652" t="s">
        <v>93</v>
      </c>
      <c r="QY105" s="599">
        <f>STDEVA(QY99:QY103)</f>
        <v>0</v>
      </c>
      <c r="QZ105" s="652" t="e">
        <f t="shared" ref="QZ105:RN105" si="185">STDEVA(QZ99:QZ103)</f>
        <v>#DIV/0!</v>
      </c>
      <c r="RA105" s="675" t="e">
        <f t="shared" si="185"/>
        <v>#DIV/0!</v>
      </c>
      <c r="RB105" s="672" t="e">
        <f>STDEVA(RB99:RB103)</f>
        <v>#DIV/0!</v>
      </c>
      <c r="RC105" s="672" t="e">
        <f t="shared" si="185"/>
        <v>#DIV/0!</v>
      </c>
      <c r="RD105" s="675" t="e">
        <f t="shared" si="185"/>
        <v>#DIV/0!</v>
      </c>
      <c r="RE105" s="672" t="e">
        <f>STDEVA(RE99:RE103)</f>
        <v>#DIV/0!</v>
      </c>
      <c r="RF105" s="672" t="e">
        <f>STDEVA(RF99:RF103)</f>
        <v>#DIV/0!</v>
      </c>
      <c r="RG105" s="672" t="e">
        <f>STDEVA(RG99:RG103)</f>
        <v>#DIV/0!</v>
      </c>
      <c r="RH105" s="672" t="e">
        <f>STDEVA(RH99:RH103)</f>
        <v>#DIV/0!</v>
      </c>
      <c r="RI105" s="676" t="e">
        <f>STDEVA(RI99:RI103)</f>
        <v>#DIV/0!</v>
      </c>
      <c r="RJ105" s="682" t="e">
        <f t="shared" si="185"/>
        <v>#DIV/0!</v>
      </c>
      <c r="RK105" s="691" t="e">
        <f t="shared" si="185"/>
        <v>#DIV/0!</v>
      </c>
      <c r="RL105" s="695" t="e">
        <f t="shared" si="185"/>
        <v>#DIV/0!</v>
      </c>
      <c r="RM105" s="599" t="e">
        <f t="shared" si="185"/>
        <v>#DIV/0!</v>
      </c>
      <c r="RN105" s="652" t="e">
        <f t="shared" si="185"/>
        <v>#DIV/0!</v>
      </c>
      <c r="RO105" s="652" t="s">
        <v>93</v>
      </c>
      <c r="RP105" s="599">
        <f>STDEVA(RP99:RP103)</f>
        <v>0</v>
      </c>
      <c r="RQ105" s="652" t="e">
        <f t="shared" ref="RQ105:SE105" si="186">STDEVA(RQ99:RQ103)</f>
        <v>#DIV/0!</v>
      </c>
      <c r="RR105" s="675" t="e">
        <f t="shared" si="186"/>
        <v>#DIV/0!</v>
      </c>
      <c r="RS105" s="672" t="e">
        <f>STDEVA(RS99:RS103)</f>
        <v>#DIV/0!</v>
      </c>
      <c r="RT105" s="672" t="e">
        <f t="shared" si="186"/>
        <v>#DIV/0!</v>
      </c>
      <c r="RU105" s="675" t="e">
        <f t="shared" si="186"/>
        <v>#DIV/0!</v>
      </c>
      <c r="RV105" s="672" t="e">
        <f>STDEVA(RV99:RV103)</f>
        <v>#DIV/0!</v>
      </c>
      <c r="RW105" s="672" t="e">
        <f>STDEVA(RW99:RW103)</f>
        <v>#DIV/0!</v>
      </c>
      <c r="RX105" s="672" t="e">
        <f>STDEVA(RX99:RX103)</f>
        <v>#DIV/0!</v>
      </c>
      <c r="RY105" s="672" t="e">
        <f>STDEVA(RY99:RY103)</f>
        <v>#DIV/0!</v>
      </c>
      <c r="RZ105" s="676" t="e">
        <f>STDEVA(RZ99:RZ103)</f>
        <v>#DIV/0!</v>
      </c>
      <c r="SA105" s="682" t="e">
        <f t="shared" si="186"/>
        <v>#DIV/0!</v>
      </c>
      <c r="SB105" s="691" t="e">
        <f t="shared" si="186"/>
        <v>#DIV/0!</v>
      </c>
      <c r="SC105" s="695" t="e">
        <f t="shared" si="186"/>
        <v>#DIV/0!</v>
      </c>
      <c r="SD105" s="599" t="e">
        <f t="shared" si="186"/>
        <v>#DIV/0!</v>
      </c>
      <c r="SE105" s="652" t="e">
        <f t="shared" si="186"/>
        <v>#DIV/0!</v>
      </c>
      <c r="SF105" s="652" t="s">
        <v>93</v>
      </c>
      <c r="SG105" s="599">
        <f>STDEVA(SG99:SG103)</f>
        <v>0</v>
      </c>
      <c r="SH105" s="652" t="e">
        <f t="shared" ref="SH105:SV105" si="187">STDEVA(SH99:SH103)</f>
        <v>#DIV/0!</v>
      </c>
      <c r="SI105" s="675" t="e">
        <f t="shared" si="187"/>
        <v>#DIV/0!</v>
      </c>
      <c r="SJ105" s="672" t="e">
        <f>STDEVA(SJ99:SJ103)</f>
        <v>#DIV/0!</v>
      </c>
      <c r="SK105" s="672" t="e">
        <f t="shared" si="187"/>
        <v>#DIV/0!</v>
      </c>
      <c r="SL105" s="675" t="e">
        <f t="shared" si="187"/>
        <v>#DIV/0!</v>
      </c>
      <c r="SM105" s="672" t="e">
        <f>STDEVA(SM99:SM103)</f>
        <v>#DIV/0!</v>
      </c>
      <c r="SN105" s="672" t="e">
        <f>STDEVA(SN99:SN103)</f>
        <v>#DIV/0!</v>
      </c>
      <c r="SO105" s="672" t="e">
        <f>STDEVA(SO99:SO103)</f>
        <v>#DIV/0!</v>
      </c>
      <c r="SP105" s="672" t="e">
        <f>STDEVA(SP99:SP103)</f>
        <v>#DIV/0!</v>
      </c>
      <c r="SQ105" s="676" t="e">
        <f>STDEVA(SQ99:SQ103)</f>
        <v>#DIV/0!</v>
      </c>
      <c r="SR105" s="682" t="e">
        <f t="shared" si="187"/>
        <v>#DIV/0!</v>
      </c>
      <c r="SS105" s="691" t="e">
        <f t="shared" si="187"/>
        <v>#DIV/0!</v>
      </c>
      <c r="ST105" s="695" t="e">
        <f t="shared" si="187"/>
        <v>#DIV/0!</v>
      </c>
      <c r="SU105" s="599" t="e">
        <f t="shared" si="187"/>
        <v>#DIV/0!</v>
      </c>
      <c r="SV105" s="652" t="e">
        <f t="shared" si="187"/>
        <v>#DIV/0!</v>
      </c>
      <c r="SW105" s="652" t="s">
        <v>93</v>
      </c>
      <c r="SX105" s="599">
        <f>STDEVA(SX99:SX103)</f>
        <v>0</v>
      </c>
      <c r="SY105" s="652" t="e">
        <f t="shared" ref="SY105:TM105" si="188">STDEVA(SY99:SY103)</f>
        <v>#DIV/0!</v>
      </c>
      <c r="SZ105" s="675" t="e">
        <f t="shared" si="188"/>
        <v>#DIV/0!</v>
      </c>
      <c r="TA105" s="672" t="e">
        <f>STDEVA(TA99:TA103)</f>
        <v>#DIV/0!</v>
      </c>
      <c r="TB105" s="672" t="e">
        <f t="shared" si="188"/>
        <v>#DIV/0!</v>
      </c>
      <c r="TC105" s="675" t="e">
        <f t="shared" si="188"/>
        <v>#DIV/0!</v>
      </c>
      <c r="TD105" s="672" t="e">
        <f>STDEVA(TD99:TD103)</f>
        <v>#DIV/0!</v>
      </c>
      <c r="TE105" s="672" t="e">
        <f>STDEVA(TE99:TE103)</f>
        <v>#DIV/0!</v>
      </c>
      <c r="TF105" s="672" t="e">
        <f>STDEVA(TF99:TF103)</f>
        <v>#DIV/0!</v>
      </c>
      <c r="TG105" s="672" t="e">
        <f>STDEVA(TG99:TG103)</f>
        <v>#DIV/0!</v>
      </c>
      <c r="TH105" s="676" t="e">
        <f>STDEVA(TH99:TH103)</f>
        <v>#DIV/0!</v>
      </c>
      <c r="TI105" s="682" t="e">
        <f t="shared" si="188"/>
        <v>#DIV/0!</v>
      </c>
      <c r="TJ105" s="691" t="e">
        <f t="shared" si="188"/>
        <v>#DIV/0!</v>
      </c>
      <c r="TK105" s="695" t="e">
        <f t="shared" si="188"/>
        <v>#DIV/0!</v>
      </c>
      <c r="TL105" s="599" t="e">
        <f t="shared" si="188"/>
        <v>#DIV/0!</v>
      </c>
      <c r="TM105" s="652" t="e">
        <f t="shared" si="188"/>
        <v>#DIV/0!</v>
      </c>
      <c r="TN105" s="652" t="s">
        <v>93</v>
      </c>
      <c r="TO105" s="599">
        <f>STDEVA(TO99:TO103)</f>
        <v>0</v>
      </c>
      <c r="TP105" s="652" t="e">
        <f>STDEVA(TP99:TP103)</f>
        <v>#DIV/0!</v>
      </c>
      <c r="TQ105" s="675" t="e">
        <f>STDEVA(TQ99:TQ103)</f>
        <v>#DIV/0!</v>
      </c>
      <c r="TR105" s="672" t="e">
        <f>STDEVA(TR99:TR103)</f>
        <v>#DIV/0!</v>
      </c>
      <c r="TS105" s="672" t="e">
        <f t="shared" ref="TS105:TY105" si="189">STDEVA(TS99:TS103)</f>
        <v>#DIV/0!</v>
      </c>
      <c r="TT105" s="675" t="e">
        <f t="shared" si="189"/>
        <v>#DIV/0!</v>
      </c>
      <c r="TU105" s="672" t="e">
        <f t="shared" si="189"/>
        <v>#DIV/0!</v>
      </c>
      <c r="TV105" s="672" t="e">
        <f t="shared" si="189"/>
        <v>#DIV/0!</v>
      </c>
      <c r="TW105" s="672" t="e">
        <f>STDEVA(TW99:TW103)</f>
        <v>#DIV/0!</v>
      </c>
      <c r="TX105" s="672" t="e">
        <f t="shared" si="189"/>
        <v>#DIV/0!</v>
      </c>
      <c r="TY105" s="676" t="e">
        <f t="shared" si="189"/>
        <v>#DIV/0!</v>
      </c>
    </row>
    <row r="106" spans="1:545" x14ac:dyDescent="0.25">
      <c r="A106" s="1537" t="s">
        <v>63</v>
      </c>
      <c r="B106" s="688"/>
      <c r="C106" s="619"/>
      <c r="D106" s="619"/>
      <c r="E106" s="672"/>
      <c r="F106" s="619"/>
      <c r="G106" s="619"/>
      <c r="H106" s="672"/>
      <c r="I106" s="619"/>
      <c r="J106" s="675"/>
      <c r="K106" s="672"/>
      <c r="L106" s="672"/>
      <c r="M106" s="672"/>
      <c r="N106" s="672"/>
      <c r="O106" s="672"/>
      <c r="P106" s="672"/>
      <c r="Q106" s="672"/>
      <c r="R106" s="676"/>
      <c r="S106" s="1538" t="e">
        <f t="shared" ref="S106:U106" si="190">S105/S104*100</f>
        <v>#DIV/0!</v>
      </c>
      <c r="T106" s="1538" t="e">
        <f t="shared" si="190"/>
        <v>#DIV/0!</v>
      </c>
      <c r="U106" s="1539" t="e">
        <f t="shared" si="190"/>
        <v>#DIV/0!</v>
      </c>
      <c r="V106" s="619" t="e">
        <f>V105/V104*100</f>
        <v>#DIV/0!</v>
      </c>
      <c r="W106" s="619" t="e">
        <f>W105/W104*100</f>
        <v>#DIV/0!</v>
      </c>
      <c r="X106" s="619" t="s">
        <v>93</v>
      </c>
      <c r="Y106" s="672" t="e">
        <f>Y105/Y104*100</f>
        <v>#DIV/0!</v>
      </c>
      <c r="Z106" s="619" t="e">
        <f>Z105/Z104*100</f>
        <v>#DIV/0!</v>
      </c>
      <c r="AA106" s="675" t="e">
        <f>AA105/AA104*100</f>
        <v>#DIV/0!</v>
      </c>
      <c r="AB106" s="672" t="e">
        <f>AB105/AB104*100</f>
        <v>#DIV/0!</v>
      </c>
      <c r="AC106" s="672" t="e">
        <f t="shared" ref="AC106:AM106" si="191">AC105/AC104*100</f>
        <v>#DIV/0!</v>
      </c>
      <c r="AD106" s="675" t="e">
        <f t="shared" si="191"/>
        <v>#DIV/0!</v>
      </c>
      <c r="AE106" s="672" t="e">
        <f>AE105/AE104*100</f>
        <v>#DIV/0!</v>
      </c>
      <c r="AF106" s="672" t="e">
        <f>AF105/AF104*100</f>
        <v>#DIV/0!</v>
      </c>
      <c r="AG106" s="672" t="e">
        <f>AG105/AG104*100</f>
        <v>#DIV/0!</v>
      </c>
      <c r="AH106" s="672" t="e">
        <f>AH105/AH104*100</f>
        <v>#DIV/0!</v>
      </c>
      <c r="AI106" s="676" t="e">
        <f>AI105/AI104*100</f>
        <v>#DIV/0!</v>
      </c>
      <c r="AJ106" s="688" t="e">
        <f t="shared" si="191"/>
        <v>#DIV/0!</v>
      </c>
      <c r="AK106" s="1538" t="e">
        <f t="shared" si="191"/>
        <v>#DIV/0!</v>
      </c>
      <c r="AL106" s="1539" t="e">
        <f t="shared" si="191"/>
        <v>#DIV/0!</v>
      </c>
      <c r="AM106" s="619" t="e">
        <f t="shared" si="191"/>
        <v>#DIV/0!</v>
      </c>
      <c r="AN106" s="619" t="e">
        <f>AN105/AN104*100</f>
        <v>#DIV/0!</v>
      </c>
      <c r="AO106" s="619" t="s">
        <v>93</v>
      </c>
      <c r="AP106" s="672" t="e">
        <f>AP105/AP104*100</f>
        <v>#DIV/0!</v>
      </c>
      <c r="AQ106" s="619" t="e">
        <f t="shared" ref="AQ106:BE106" si="192">AQ105/AQ104*100</f>
        <v>#DIV/0!</v>
      </c>
      <c r="AR106" s="675" t="e">
        <f t="shared" si="192"/>
        <v>#DIV/0!</v>
      </c>
      <c r="AS106" s="672" t="e">
        <f>AS105/AS104*100</f>
        <v>#DIV/0!</v>
      </c>
      <c r="AT106" s="672" t="e">
        <f t="shared" si="192"/>
        <v>#DIV/0!</v>
      </c>
      <c r="AU106" s="675" t="e">
        <f t="shared" si="192"/>
        <v>#DIV/0!</v>
      </c>
      <c r="AV106" s="672" t="e">
        <f>AV105/AV104*100</f>
        <v>#DIV/0!</v>
      </c>
      <c r="AW106" s="672" t="e">
        <f>AW105/AW104*100</f>
        <v>#DIV/0!</v>
      </c>
      <c r="AX106" s="672" t="e">
        <f>AX105/AX104*100</f>
        <v>#DIV/0!</v>
      </c>
      <c r="AY106" s="672" t="e">
        <f>AY105/AY104*100</f>
        <v>#DIV/0!</v>
      </c>
      <c r="AZ106" s="676" t="e">
        <f>AZ105/AZ104*100</f>
        <v>#DIV/0!</v>
      </c>
      <c r="BA106" s="688" t="e">
        <f t="shared" si="192"/>
        <v>#DIV/0!</v>
      </c>
      <c r="BB106" s="1538" t="e">
        <f t="shared" si="192"/>
        <v>#DIV/0!</v>
      </c>
      <c r="BC106" s="1539" t="e">
        <f t="shared" si="192"/>
        <v>#DIV/0!</v>
      </c>
      <c r="BD106" s="672" t="e">
        <f t="shared" si="192"/>
        <v>#DIV/0!</v>
      </c>
      <c r="BE106" s="619" t="e">
        <f t="shared" si="192"/>
        <v>#DIV/0!</v>
      </c>
      <c r="BF106" s="619" t="s">
        <v>93</v>
      </c>
      <c r="BG106" s="672" t="e">
        <f>BG105/BG104*100</f>
        <v>#DIV/0!</v>
      </c>
      <c r="BH106" s="619" t="e">
        <f t="shared" ref="BH106:BV106" si="193">BH105/BH104*100</f>
        <v>#DIV/0!</v>
      </c>
      <c r="BI106" s="675" t="e">
        <f t="shared" si="193"/>
        <v>#DIV/0!</v>
      </c>
      <c r="BJ106" s="672" t="e">
        <f>BJ105/BJ104*100</f>
        <v>#DIV/0!</v>
      </c>
      <c r="BK106" s="672" t="e">
        <f t="shared" si="193"/>
        <v>#DIV/0!</v>
      </c>
      <c r="BL106" s="675" t="e">
        <f t="shared" si="193"/>
        <v>#DIV/0!</v>
      </c>
      <c r="BM106" s="672" t="e">
        <f>BM105/BM104*100</f>
        <v>#DIV/0!</v>
      </c>
      <c r="BN106" s="672" t="e">
        <f>BN105/BN104*100</f>
        <v>#DIV/0!</v>
      </c>
      <c r="BO106" s="672" t="e">
        <f>BO105/BO104*100</f>
        <v>#DIV/0!</v>
      </c>
      <c r="BP106" s="672" t="e">
        <f>BP105/BP104*100</f>
        <v>#DIV/0!</v>
      </c>
      <c r="BQ106" s="676" t="e">
        <f>BQ105/BQ104*100</f>
        <v>#DIV/0!</v>
      </c>
      <c r="BR106" s="688" t="e">
        <f t="shared" si="193"/>
        <v>#DIV/0!</v>
      </c>
      <c r="BS106" s="1538" t="e">
        <f t="shared" si="193"/>
        <v>#DIV/0!</v>
      </c>
      <c r="BT106" s="1539" t="e">
        <f t="shared" si="193"/>
        <v>#DIV/0!</v>
      </c>
      <c r="BU106" s="672" t="e">
        <f t="shared" si="193"/>
        <v>#DIV/0!</v>
      </c>
      <c r="BV106" s="619" t="e">
        <f t="shared" si="193"/>
        <v>#DIV/0!</v>
      </c>
      <c r="BW106" s="619" t="s">
        <v>93</v>
      </c>
      <c r="BX106" s="672" t="e">
        <f>BX105/BX104*100</f>
        <v>#DIV/0!</v>
      </c>
      <c r="BY106" s="619" t="e">
        <f t="shared" ref="BY106:CM106" si="194">BY105/BY104*100</f>
        <v>#DIV/0!</v>
      </c>
      <c r="BZ106" s="675" t="e">
        <f t="shared" si="194"/>
        <v>#DIV/0!</v>
      </c>
      <c r="CA106" s="672" t="e">
        <f>CA105/CA104*100</f>
        <v>#DIV/0!</v>
      </c>
      <c r="CB106" s="672" t="e">
        <f t="shared" si="194"/>
        <v>#DIV/0!</v>
      </c>
      <c r="CC106" s="675" t="e">
        <f t="shared" si="194"/>
        <v>#DIV/0!</v>
      </c>
      <c r="CD106" s="672" t="e">
        <f>CD105/CD104*100</f>
        <v>#DIV/0!</v>
      </c>
      <c r="CE106" s="672" t="e">
        <f>CE105/CE104*100</f>
        <v>#DIV/0!</v>
      </c>
      <c r="CF106" s="672" t="e">
        <f>CF105/CF104*100</f>
        <v>#DIV/0!</v>
      </c>
      <c r="CG106" s="672" t="e">
        <f>CG105/CG104*100</f>
        <v>#DIV/0!</v>
      </c>
      <c r="CH106" s="676" t="e">
        <f>CH105/CH104*100</f>
        <v>#DIV/0!</v>
      </c>
      <c r="CI106" s="688" t="e">
        <f t="shared" si="194"/>
        <v>#DIV/0!</v>
      </c>
      <c r="CJ106" s="1538" t="e">
        <f t="shared" si="194"/>
        <v>#DIV/0!</v>
      </c>
      <c r="CK106" s="1539" t="e">
        <f t="shared" si="194"/>
        <v>#DIV/0!</v>
      </c>
      <c r="CL106" s="672" t="e">
        <f t="shared" si="194"/>
        <v>#DIV/0!</v>
      </c>
      <c r="CM106" s="619" t="e">
        <f t="shared" si="194"/>
        <v>#DIV/0!</v>
      </c>
      <c r="CN106" s="619" t="s">
        <v>93</v>
      </c>
      <c r="CO106" s="672" t="e">
        <f>CO105/CO104*100</f>
        <v>#DIV/0!</v>
      </c>
      <c r="CP106" s="619" t="e">
        <f t="shared" ref="CP106:DD106" si="195">CP105/CP104*100</f>
        <v>#DIV/0!</v>
      </c>
      <c r="CQ106" s="675" t="e">
        <f t="shared" si="195"/>
        <v>#DIV/0!</v>
      </c>
      <c r="CR106" s="672" t="e">
        <f>CR105/CR104*100</f>
        <v>#DIV/0!</v>
      </c>
      <c r="CS106" s="672" t="e">
        <f t="shared" si="195"/>
        <v>#DIV/0!</v>
      </c>
      <c r="CT106" s="675" t="e">
        <f t="shared" si="195"/>
        <v>#DIV/0!</v>
      </c>
      <c r="CU106" s="672" t="e">
        <f>CU105/CU104*100</f>
        <v>#DIV/0!</v>
      </c>
      <c r="CV106" s="672" t="e">
        <f>CV105/CV104*100</f>
        <v>#DIV/0!</v>
      </c>
      <c r="CW106" s="672" t="e">
        <f>CW105/CW104*100</f>
        <v>#DIV/0!</v>
      </c>
      <c r="CX106" s="672" t="e">
        <f>CX105/CX104*100</f>
        <v>#DIV/0!</v>
      </c>
      <c r="CY106" s="676" t="e">
        <f>CY105/CY104*100</f>
        <v>#DIV/0!</v>
      </c>
      <c r="CZ106" s="688" t="e">
        <f t="shared" si="195"/>
        <v>#DIV/0!</v>
      </c>
      <c r="DA106" s="1538" t="e">
        <f t="shared" si="195"/>
        <v>#DIV/0!</v>
      </c>
      <c r="DB106" s="1539" t="e">
        <f t="shared" si="195"/>
        <v>#DIV/0!</v>
      </c>
      <c r="DC106" s="672" t="e">
        <f t="shared" si="195"/>
        <v>#DIV/0!</v>
      </c>
      <c r="DD106" s="619" t="e">
        <f t="shared" si="195"/>
        <v>#DIV/0!</v>
      </c>
      <c r="DE106" s="619" t="s">
        <v>93</v>
      </c>
      <c r="DF106" s="672" t="e">
        <f>DF105/DF104*100</f>
        <v>#DIV/0!</v>
      </c>
      <c r="DG106" s="619" t="e">
        <f t="shared" ref="DG106:DU106" si="196">DG105/DG104*100</f>
        <v>#DIV/0!</v>
      </c>
      <c r="DH106" s="675" t="e">
        <f t="shared" si="196"/>
        <v>#DIV/0!</v>
      </c>
      <c r="DI106" s="672" t="e">
        <f>DI105/DI104*100</f>
        <v>#DIV/0!</v>
      </c>
      <c r="DJ106" s="672" t="e">
        <f t="shared" si="196"/>
        <v>#DIV/0!</v>
      </c>
      <c r="DK106" s="675" t="e">
        <f t="shared" si="196"/>
        <v>#DIV/0!</v>
      </c>
      <c r="DL106" s="672" t="e">
        <f>DL105/DL104*100</f>
        <v>#DIV/0!</v>
      </c>
      <c r="DM106" s="672" t="e">
        <f>DM105/DM104*100</f>
        <v>#DIV/0!</v>
      </c>
      <c r="DN106" s="672" t="e">
        <f>DN105/DN104*100</f>
        <v>#DIV/0!</v>
      </c>
      <c r="DO106" s="672" t="e">
        <f>DO105/DO104*100</f>
        <v>#DIV/0!</v>
      </c>
      <c r="DP106" s="676" t="e">
        <f>DP105/DP104*100</f>
        <v>#DIV/0!</v>
      </c>
      <c r="DQ106" s="688" t="e">
        <f t="shared" si="196"/>
        <v>#DIV/0!</v>
      </c>
      <c r="DR106" s="1538" t="e">
        <f t="shared" si="196"/>
        <v>#DIV/0!</v>
      </c>
      <c r="DS106" s="1539" t="e">
        <f t="shared" si="196"/>
        <v>#DIV/0!</v>
      </c>
      <c r="DT106" s="674" t="e">
        <f t="shared" si="196"/>
        <v>#DIV/0!</v>
      </c>
      <c r="DU106" s="619" t="e">
        <f t="shared" si="196"/>
        <v>#DIV/0!</v>
      </c>
      <c r="DV106" s="619" t="s">
        <v>93</v>
      </c>
      <c r="DW106" s="672" t="e">
        <f>DW105/DW104*100</f>
        <v>#DIV/0!</v>
      </c>
      <c r="DX106" s="619" t="e">
        <f t="shared" ref="DX106:EL106" si="197">DX105/DX104*100</f>
        <v>#DIV/0!</v>
      </c>
      <c r="DY106" s="675" t="e">
        <f t="shared" si="197"/>
        <v>#DIV/0!</v>
      </c>
      <c r="DZ106" s="672" t="e">
        <f>DZ105/DZ104*100</f>
        <v>#DIV/0!</v>
      </c>
      <c r="EA106" s="672" t="e">
        <f t="shared" si="197"/>
        <v>#DIV/0!</v>
      </c>
      <c r="EB106" s="675" t="e">
        <f t="shared" si="197"/>
        <v>#DIV/0!</v>
      </c>
      <c r="EC106" s="672" t="e">
        <f>EC105/EC104*100</f>
        <v>#DIV/0!</v>
      </c>
      <c r="ED106" s="672" t="e">
        <f>ED105/ED104*100</f>
        <v>#DIV/0!</v>
      </c>
      <c r="EE106" s="672" t="e">
        <f>EE105/EE104*100</f>
        <v>#DIV/0!</v>
      </c>
      <c r="EF106" s="672" t="e">
        <f>EF105/EF104*100</f>
        <v>#DIV/0!</v>
      </c>
      <c r="EG106" s="676" t="e">
        <f>EG105/EG104*100</f>
        <v>#DIV/0!</v>
      </c>
      <c r="EH106" s="688" t="e">
        <f t="shared" si="197"/>
        <v>#DIV/0!</v>
      </c>
      <c r="EI106" s="1538" t="e">
        <f t="shared" si="197"/>
        <v>#DIV/0!</v>
      </c>
      <c r="EJ106" s="1539" t="e">
        <f t="shared" si="197"/>
        <v>#DIV/0!</v>
      </c>
      <c r="EK106" s="672" t="e">
        <f t="shared" si="197"/>
        <v>#DIV/0!</v>
      </c>
      <c r="EL106" s="619" t="e">
        <f t="shared" si="197"/>
        <v>#DIV/0!</v>
      </c>
      <c r="EM106" s="619" t="s">
        <v>93</v>
      </c>
      <c r="EN106" s="672" t="e">
        <f>EN105/EN104*100</f>
        <v>#DIV/0!</v>
      </c>
      <c r="EO106" s="619" t="e">
        <f t="shared" ref="EO106:FC106" si="198">EO105/EO104*100</f>
        <v>#DIV/0!</v>
      </c>
      <c r="EP106" s="675" t="e">
        <f t="shared" si="198"/>
        <v>#DIV/0!</v>
      </c>
      <c r="EQ106" s="672" t="e">
        <f>EQ105/EQ104*100</f>
        <v>#DIV/0!</v>
      </c>
      <c r="ER106" s="672" t="e">
        <f t="shared" si="198"/>
        <v>#DIV/0!</v>
      </c>
      <c r="ES106" s="675" t="e">
        <f t="shared" si="198"/>
        <v>#DIV/0!</v>
      </c>
      <c r="ET106" s="672" t="e">
        <f>ET105/ET104*100</f>
        <v>#DIV/0!</v>
      </c>
      <c r="EU106" s="672" t="e">
        <f>EU105/EU104*100</f>
        <v>#DIV/0!</v>
      </c>
      <c r="EV106" s="672" t="e">
        <f>EV105/EV104*100</f>
        <v>#DIV/0!</v>
      </c>
      <c r="EW106" s="672" t="e">
        <f>EW105/EW104*100</f>
        <v>#DIV/0!</v>
      </c>
      <c r="EX106" s="676" t="e">
        <f>EX105/EX104*100</f>
        <v>#DIV/0!</v>
      </c>
      <c r="EY106" s="688" t="e">
        <f t="shared" si="198"/>
        <v>#DIV/0!</v>
      </c>
      <c r="EZ106" s="1538" t="e">
        <f t="shared" si="198"/>
        <v>#DIV/0!</v>
      </c>
      <c r="FA106" s="1539" t="e">
        <f t="shared" si="198"/>
        <v>#DIV/0!</v>
      </c>
      <c r="FB106" s="672" t="e">
        <f t="shared" si="198"/>
        <v>#DIV/0!</v>
      </c>
      <c r="FC106" s="619" t="e">
        <f t="shared" si="198"/>
        <v>#DIV/0!</v>
      </c>
      <c r="FD106" s="619" t="s">
        <v>93</v>
      </c>
      <c r="FE106" s="672" t="e">
        <f>FE105/FE104*100</f>
        <v>#DIV/0!</v>
      </c>
      <c r="FF106" s="619" t="e">
        <f t="shared" ref="FF106:FT106" si="199">FF105/FF104*100</f>
        <v>#DIV/0!</v>
      </c>
      <c r="FG106" s="675" t="e">
        <f t="shared" si="199"/>
        <v>#DIV/0!</v>
      </c>
      <c r="FH106" s="672" t="e">
        <f>FH105/FH104*100</f>
        <v>#DIV/0!</v>
      </c>
      <c r="FI106" s="672" t="e">
        <f t="shared" si="199"/>
        <v>#DIV/0!</v>
      </c>
      <c r="FJ106" s="675" t="e">
        <f t="shared" si="199"/>
        <v>#DIV/0!</v>
      </c>
      <c r="FK106" s="672" t="e">
        <f>FK105/FK104*100</f>
        <v>#DIV/0!</v>
      </c>
      <c r="FL106" s="672" t="e">
        <f>FL105/FL104*100</f>
        <v>#DIV/0!</v>
      </c>
      <c r="FM106" s="672" t="e">
        <f>FM105/FM104*100</f>
        <v>#DIV/0!</v>
      </c>
      <c r="FN106" s="672" t="e">
        <f>FN105/FN104*100</f>
        <v>#DIV/0!</v>
      </c>
      <c r="FO106" s="676" t="e">
        <f>FO105/FO104*100</f>
        <v>#DIV/0!</v>
      </c>
      <c r="FP106" s="688" t="e">
        <f t="shared" si="199"/>
        <v>#DIV/0!</v>
      </c>
      <c r="FQ106" s="1538" t="e">
        <f t="shared" si="199"/>
        <v>#DIV/0!</v>
      </c>
      <c r="FR106" s="1539" t="e">
        <f t="shared" si="199"/>
        <v>#DIV/0!</v>
      </c>
      <c r="FS106" s="672" t="e">
        <f t="shared" si="199"/>
        <v>#DIV/0!</v>
      </c>
      <c r="FT106" s="619" t="e">
        <f t="shared" si="199"/>
        <v>#DIV/0!</v>
      </c>
      <c r="FU106" s="619" t="s">
        <v>93</v>
      </c>
      <c r="FV106" s="672" t="e">
        <f>FV105/FV104*100</f>
        <v>#DIV/0!</v>
      </c>
      <c r="FW106" s="619" t="e">
        <f t="shared" ref="FW106:GK106" si="200">FW105/FW104*100</f>
        <v>#DIV/0!</v>
      </c>
      <c r="FX106" s="675" t="e">
        <f t="shared" si="200"/>
        <v>#DIV/0!</v>
      </c>
      <c r="FY106" s="672" t="e">
        <f>FY105/FY104*100</f>
        <v>#DIV/0!</v>
      </c>
      <c r="FZ106" s="672" t="e">
        <f t="shared" si="200"/>
        <v>#DIV/0!</v>
      </c>
      <c r="GA106" s="675" t="e">
        <f t="shared" si="200"/>
        <v>#DIV/0!</v>
      </c>
      <c r="GB106" s="672" t="e">
        <f>GB105/GB104*100</f>
        <v>#DIV/0!</v>
      </c>
      <c r="GC106" s="672" t="e">
        <f>GC105/GC104*100</f>
        <v>#DIV/0!</v>
      </c>
      <c r="GD106" s="672" t="e">
        <f>GD105/GD104*100</f>
        <v>#DIV/0!</v>
      </c>
      <c r="GE106" s="672" t="e">
        <f>GE105/GE104*100</f>
        <v>#DIV/0!</v>
      </c>
      <c r="GF106" s="676" t="e">
        <f>GF105/GF104*100</f>
        <v>#DIV/0!</v>
      </c>
      <c r="GG106" s="688" t="e">
        <f t="shared" si="200"/>
        <v>#DIV/0!</v>
      </c>
      <c r="GH106" s="1538" t="e">
        <f t="shared" si="200"/>
        <v>#DIV/0!</v>
      </c>
      <c r="GI106" s="1539" t="e">
        <f t="shared" si="200"/>
        <v>#DIV/0!</v>
      </c>
      <c r="GJ106" s="674" t="e">
        <f t="shared" si="200"/>
        <v>#DIV/0!</v>
      </c>
      <c r="GK106" s="619" t="e">
        <f t="shared" si="200"/>
        <v>#DIV/0!</v>
      </c>
      <c r="GL106" s="619" t="s">
        <v>93</v>
      </c>
      <c r="GM106" s="672" t="e">
        <f>GM105/GM104*100</f>
        <v>#DIV/0!</v>
      </c>
      <c r="GN106" s="619" t="e">
        <f t="shared" ref="GN106:HB106" si="201">GN105/GN104*100</f>
        <v>#DIV/0!</v>
      </c>
      <c r="GO106" s="675" t="e">
        <f t="shared" si="201"/>
        <v>#DIV/0!</v>
      </c>
      <c r="GP106" s="672" t="e">
        <f>GP105/GP104*100</f>
        <v>#DIV/0!</v>
      </c>
      <c r="GQ106" s="672" t="e">
        <f t="shared" si="201"/>
        <v>#DIV/0!</v>
      </c>
      <c r="GR106" s="675" t="e">
        <f t="shared" si="201"/>
        <v>#DIV/0!</v>
      </c>
      <c r="GS106" s="672" t="e">
        <f>GS105/GS104*100</f>
        <v>#DIV/0!</v>
      </c>
      <c r="GT106" s="672" t="e">
        <f>GT105/GT104*100</f>
        <v>#DIV/0!</v>
      </c>
      <c r="GU106" s="672" t="e">
        <f>GU105/GU104*100</f>
        <v>#DIV/0!</v>
      </c>
      <c r="GV106" s="672" t="e">
        <f>GV105/GV104*100</f>
        <v>#DIV/0!</v>
      </c>
      <c r="GW106" s="676" t="e">
        <f>GW105/GW104*100</f>
        <v>#DIV/0!</v>
      </c>
      <c r="GX106" s="688" t="e">
        <f t="shared" si="201"/>
        <v>#DIV/0!</v>
      </c>
      <c r="GY106" s="1538" t="e">
        <f t="shared" si="201"/>
        <v>#DIV/0!</v>
      </c>
      <c r="GZ106" s="1539" t="e">
        <f t="shared" si="201"/>
        <v>#DIV/0!</v>
      </c>
      <c r="HA106" s="672" t="e">
        <f t="shared" si="201"/>
        <v>#DIV/0!</v>
      </c>
      <c r="HB106" s="619" t="e">
        <f t="shared" si="201"/>
        <v>#DIV/0!</v>
      </c>
      <c r="HC106" s="619" t="s">
        <v>93</v>
      </c>
      <c r="HD106" s="672" t="e">
        <f>HD105/HD104*100</f>
        <v>#DIV/0!</v>
      </c>
      <c r="HE106" s="619" t="e">
        <f t="shared" ref="HE106:HS106" si="202">HE105/HE104*100</f>
        <v>#DIV/0!</v>
      </c>
      <c r="HF106" s="675" t="e">
        <f t="shared" si="202"/>
        <v>#DIV/0!</v>
      </c>
      <c r="HG106" s="672" t="e">
        <f>HG105/HG104*100</f>
        <v>#DIV/0!</v>
      </c>
      <c r="HH106" s="672" t="e">
        <f t="shared" si="202"/>
        <v>#DIV/0!</v>
      </c>
      <c r="HI106" s="675" t="e">
        <f t="shared" si="202"/>
        <v>#DIV/0!</v>
      </c>
      <c r="HJ106" s="672" t="e">
        <f>HJ105/HJ104*100</f>
        <v>#DIV/0!</v>
      </c>
      <c r="HK106" s="672" t="e">
        <f>HK105/HK104*100</f>
        <v>#DIV/0!</v>
      </c>
      <c r="HL106" s="672" t="e">
        <f>HL105/HL104*100</f>
        <v>#DIV/0!</v>
      </c>
      <c r="HM106" s="672" t="e">
        <f>HM105/HM104*100</f>
        <v>#DIV/0!</v>
      </c>
      <c r="HN106" s="676" t="e">
        <f>HN105/HN104*100</f>
        <v>#DIV/0!</v>
      </c>
      <c r="HO106" s="688" t="e">
        <f t="shared" si="202"/>
        <v>#DIV/0!</v>
      </c>
      <c r="HP106" s="1538" t="e">
        <f t="shared" si="202"/>
        <v>#DIV/0!</v>
      </c>
      <c r="HQ106" s="1539" t="e">
        <f t="shared" si="202"/>
        <v>#DIV/0!</v>
      </c>
      <c r="HR106" s="672" t="e">
        <f t="shared" si="202"/>
        <v>#DIV/0!</v>
      </c>
      <c r="HS106" s="619" t="e">
        <f t="shared" si="202"/>
        <v>#DIV/0!</v>
      </c>
      <c r="HT106" s="619" t="s">
        <v>93</v>
      </c>
      <c r="HU106" s="672" t="e">
        <f>HU105/HU104*100</f>
        <v>#DIV/0!</v>
      </c>
      <c r="HV106" s="619" t="e">
        <f t="shared" ref="HV106:IJ106" si="203">HV105/HV104*100</f>
        <v>#DIV/0!</v>
      </c>
      <c r="HW106" s="675" t="e">
        <f t="shared" si="203"/>
        <v>#DIV/0!</v>
      </c>
      <c r="HX106" s="672" t="e">
        <f>HX105/HX104*100</f>
        <v>#DIV/0!</v>
      </c>
      <c r="HY106" s="672" t="e">
        <f t="shared" si="203"/>
        <v>#DIV/0!</v>
      </c>
      <c r="HZ106" s="675" t="e">
        <f t="shared" si="203"/>
        <v>#DIV/0!</v>
      </c>
      <c r="IA106" s="672" t="e">
        <f>IA105/IA104*100</f>
        <v>#DIV/0!</v>
      </c>
      <c r="IB106" s="672" t="e">
        <f>IB105/IB104*100</f>
        <v>#DIV/0!</v>
      </c>
      <c r="IC106" s="672" t="e">
        <f>IC105/IC104*100</f>
        <v>#DIV/0!</v>
      </c>
      <c r="ID106" s="672" t="e">
        <f>ID105/ID104*100</f>
        <v>#DIV/0!</v>
      </c>
      <c r="IE106" s="676" t="e">
        <f>IE105/IE104*100</f>
        <v>#DIV/0!</v>
      </c>
      <c r="IF106" s="688" t="e">
        <f t="shared" si="203"/>
        <v>#DIV/0!</v>
      </c>
      <c r="IG106" s="1538" t="e">
        <f t="shared" si="203"/>
        <v>#DIV/0!</v>
      </c>
      <c r="IH106" s="1539" t="e">
        <f t="shared" si="203"/>
        <v>#DIV/0!</v>
      </c>
      <c r="II106" s="672" t="e">
        <f t="shared" si="203"/>
        <v>#DIV/0!</v>
      </c>
      <c r="IJ106" s="619" t="e">
        <f t="shared" si="203"/>
        <v>#DIV/0!</v>
      </c>
      <c r="IK106" s="619" t="s">
        <v>93</v>
      </c>
      <c r="IL106" s="672" t="e">
        <f>IL105/IL104*100</f>
        <v>#DIV/0!</v>
      </c>
      <c r="IM106" s="619" t="e">
        <f t="shared" ref="IM106:JA106" si="204">IM105/IM104*100</f>
        <v>#DIV/0!</v>
      </c>
      <c r="IN106" s="675" t="e">
        <f t="shared" si="204"/>
        <v>#DIV/0!</v>
      </c>
      <c r="IO106" s="672" t="e">
        <f>IO105/IO104*100</f>
        <v>#DIV/0!</v>
      </c>
      <c r="IP106" s="672" t="e">
        <f t="shared" si="204"/>
        <v>#DIV/0!</v>
      </c>
      <c r="IQ106" s="675" t="e">
        <f t="shared" si="204"/>
        <v>#DIV/0!</v>
      </c>
      <c r="IR106" s="672" t="e">
        <f>IR105/IR104*100</f>
        <v>#DIV/0!</v>
      </c>
      <c r="IS106" s="672" t="e">
        <f>IS105/IS104*100</f>
        <v>#DIV/0!</v>
      </c>
      <c r="IT106" s="672" t="e">
        <f>IT105/IT104*100</f>
        <v>#DIV/0!</v>
      </c>
      <c r="IU106" s="672" t="e">
        <f>IU105/IU104*100</f>
        <v>#DIV/0!</v>
      </c>
      <c r="IV106" s="676" t="e">
        <f>IV105/IV104*100</f>
        <v>#DIV/0!</v>
      </c>
      <c r="IW106" s="688" t="e">
        <f t="shared" si="204"/>
        <v>#DIV/0!</v>
      </c>
      <c r="IX106" s="1538" t="e">
        <f t="shared" si="204"/>
        <v>#DIV/0!</v>
      </c>
      <c r="IY106" s="1539" t="e">
        <f t="shared" si="204"/>
        <v>#DIV/0!</v>
      </c>
      <c r="IZ106" s="672" t="e">
        <f t="shared" si="204"/>
        <v>#DIV/0!</v>
      </c>
      <c r="JA106" s="619" t="e">
        <f t="shared" si="204"/>
        <v>#DIV/0!</v>
      </c>
      <c r="JB106" s="619" t="s">
        <v>93</v>
      </c>
      <c r="JC106" s="672" t="e">
        <f>JC105/JC104*100</f>
        <v>#DIV/0!</v>
      </c>
      <c r="JD106" s="619" t="e">
        <f t="shared" ref="JD106:JR106" si="205">JD105/JD104*100</f>
        <v>#DIV/0!</v>
      </c>
      <c r="JE106" s="675" t="e">
        <f t="shared" si="205"/>
        <v>#DIV/0!</v>
      </c>
      <c r="JF106" s="672" t="e">
        <f>JF105/JF104*100</f>
        <v>#DIV/0!</v>
      </c>
      <c r="JG106" s="672" t="e">
        <f t="shared" si="205"/>
        <v>#DIV/0!</v>
      </c>
      <c r="JH106" s="675" t="e">
        <f t="shared" si="205"/>
        <v>#DIV/0!</v>
      </c>
      <c r="JI106" s="672" t="e">
        <f>JI105/JI104*100</f>
        <v>#DIV/0!</v>
      </c>
      <c r="JJ106" s="672" t="e">
        <f>JJ105/JJ104*100</f>
        <v>#DIV/0!</v>
      </c>
      <c r="JK106" s="672" t="e">
        <f>JK105/JK104*100</f>
        <v>#DIV/0!</v>
      </c>
      <c r="JL106" s="672" t="e">
        <f>JL105/JL104*100</f>
        <v>#DIV/0!</v>
      </c>
      <c r="JM106" s="676" t="e">
        <f>JM105/JM104*100</f>
        <v>#DIV/0!</v>
      </c>
      <c r="JN106" s="688" t="e">
        <f t="shared" si="205"/>
        <v>#DIV/0!</v>
      </c>
      <c r="JO106" s="1538" t="e">
        <f t="shared" si="205"/>
        <v>#DIV/0!</v>
      </c>
      <c r="JP106" s="1539" t="e">
        <f t="shared" si="205"/>
        <v>#DIV/0!</v>
      </c>
      <c r="JQ106" s="672" t="e">
        <f t="shared" si="205"/>
        <v>#DIV/0!</v>
      </c>
      <c r="JR106" s="619" t="e">
        <f t="shared" si="205"/>
        <v>#DIV/0!</v>
      </c>
      <c r="JS106" s="619" t="s">
        <v>93</v>
      </c>
      <c r="JT106" s="672" t="e">
        <f>JT105/JT104*100</f>
        <v>#DIV/0!</v>
      </c>
      <c r="JU106" s="619" t="e">
        <f t="shared" ref="JU106:KI106" si="206">JU105/JU104*100</f>
        <v>#DIV/0!</v>
      </c>
      <c r="JV106" s="675" t="e">
        <f t="shared" si="206"/>
        <v>#DIV/0!</v>
      </c>
      <c r="JW106" s="672" t="e">
        <f>JW105/JW104*100</f>
        <v>#DIV/0!</v>
      </c>
      <c r="JX106" s="672" t="e">
        <f t="shared" si="206"/>
        <v>#DIV/0!</v>
      </c>
      <c r="JY106" s="675" t="e">
        <f t="shared" si="206"/>
        <v>#DIV/0!</v>
      </c>
      <c r="JZ106" s="672" t="e">
        <f>JZ105/JZ104*100</f>
        <v>#DIV/0!</v>
      </c>
      <c r="KA106" s="672" t="e">
        <f>KA105/KA104*100</f>
        <v>#DIV/0!</v>
      </c>
      <c r="KB106" s="672" t="e">
        <f>KB105/KB104*100</f>
        <v>#DIV/0!</v>
      </c>
      <c r="KC106" s="672" t="e">
        <f>KC105/KC104*100</f>
        <v>#DIV/0!</v>
      </c>
      <c r="KD106" s="676" t="e">
        <f>KD105/KD104*100</f>
        <v>#DIV/0!</v>
      </c>
      <c r="KE106" s="688" t="e">
        <f t="shared" si="206"/>
        <v>#DIV/0!</v>
      </c>
      <c r="KF106" s="1538" t="e">
        <f t="shared" si="206"/>
        <v>#DIV/0!</v>
      </c>
      <c r="KG106" s="1539" t="e">
        <f t="shared" si="206"/>
        <v>#DIV/0!</v>
      </c>
      <c r="KH106" s="672" t="e">
        <f t="shared" si="206"/>
        <v>#DIV/0!</v>
      </c>
      <c r="KI106" s="619" t="e">
        <f t="shared" si="206"/>
        <v>#DIV/0!</v>
      </c>
      <c r="KJ106" s="619" t="s">
        <v>93</v>
      </c>
      <c r="KK106" s="672" t="e">
        <f>KK105/KK104*100</f>
        <v>#DIV/0!</v>
      </c>
      <c r="KL106" s="619" t="e">
        <f t="shared" ref="KL106:KZ106" si="207">KL105/KL104*100</f>
        <v>#DIV/0!</v>
      </c>
      <c r="KM106" s="675" t="e">
        <f t="shared" si="207"/>
        <v>#DIV/0!</v>
      </c>
      <c r="KN106" s="672" t="e">
        <f>KN105/KN104*100</f>
        <v>#DIV/0!</v>
      </c>
      <c r="KO106" s="672" t="e">
        <f t="shared" si="207"/>
        <v>#DIV/0!</v>
      </c>
      <c r="KP106" s="675" t="e">
        <f t="shared" si="207"/>
        <v>#DIV/0!</v>
      </c>
      <c r="KQ106" s="672" t="e">
        <f>KQ105/KQ104*100</f>
        <v>#DIV/0!</v>
      </c>
      <c r="KR106" s="672" t="e">
        <f>KR105/KR104*100</f>
        <v>#DIV/0!</v>
      </c>
      <c r="KS106" s="672" t="e">
        <f>KS105/KS104*100</f>
        <v>#DIV/0!</v>
      </c>
      <c r="KT106" s="672" t="e">
        <f>KT105/KT104*100</f>
        <v>#DIV/0!</v>
      </c>
      <c r="KU106" s="676" t="e">
        <f>KU105/KU104*100</f>
        <v>#DIV/0!</v>
      </c>
      <c r="KV106" s="688" t="e">
        <f t="shared" si="207"/>
        <v>#DIV/0!</v>
      </c>
      <c r="KW106" s="1538" t="e">
        <f t="shared" si="207"/>
        <v>#DIV/0!</v>
      </c>
      <c r="KX106" s="1539" t="e">
        <f t="shared" si="207"/>
        <v>#DIV/0!</v>
      </c>
      <c r="KY106" s="672" t="e">
        <f t="shared" si="207"/>
        <v>#DIV/0!</v>
      </c>
      <c r="KZ106" s="619" t="e">
        <f t="shared" si="207"/>
        <v>#DIV/0!</v>
      </c>
      <c r="LA106" s="619" t="s">
        <v>93</v>
      </c>
      <c r="LB106" s="672" t="e">
        <f>LB105/LB104*100</f>
        <v>#DIV/0!</v>
      </c>
      <c r="LC106" s="619" t="e">
        <f t="shared" ref="LC106:LQ106" si="208">LC105/LC104*100</f>
        <v>#DIV/0!</v>
      </c>
      <c r="LD106" s="675" t="e">
        <f t="shared" si="208"/>
        <v>#DIV/0!</v>
      </c>
      <c r="LE106" s="672" t="e">
        <f>LE105/LE104*100</f>
        <v>#DIV/0!</v>
      </c>
      <c r="LF106" s="672" t="e">
        <f t="shared" si="208"/>
        <v>#DIV/0!</v>
      </c>
      <c r="LG106" s="675" t="e">
        <f t="shared" si="208"/>
        <v>#DIV/0!</v>
      </c>
      <c r="LH106" s="672" t="e">
        <f>LH105/LH104*100</f>
        <v>#DIV/0!</v>
      </c>
      <c r="LI106" s="672" t="e">
        <f>LI105/LI104*100</f>
        <v>#DIV/0!</v>
      </c>
      <c r="LJ106" s="672" t="e">
        <f>LJ105/LJ104*100</f>
        <v>#DIV/0!</v>
      </c>
      <c r="LK106" s="672" t="e">
        <f>LK105/LK104*100</f>
        <v>#DIV/0!</v>
      </c>
      <c r="LL106" s="676" t="e">
        <f>LL105/LL104*100</f>
        <v>#DIV/0!</v>
      </c>
      <c r="LM106" s="688" t="e">
        <f t="shared" si="208"/>
        <v>#DIV/0!</v>
      </c>
      <c r="LN106" s="1538" t="e">
        <f t="shared" si="208"/>
        <v>#DIV/0!</v>
      </c>
      <c r="LO106" s="1539" t="e">
        <f t="shared" si="208"/>
        <v>#DIV/0!</v>
      </c>
      <c r="LP106" s="672" t="e">
        <f t="shared" si="208"/>
        <v>#DIV/0!</v>
      </c>
      <c r="LQ106" s="619" t="e">
        <f t="shared" si="208"/>
        <v>#DIV/0!</v>
      </c>
      <c r="LR106" s="619" t="s">
        <v>93</v>
      </c>
      <c r="LS106" s="672" t="e">
        <f>LS105/LS104*100</f>
        <v>#DIV/0!</v>
      </c>
      <c r="LT106" s="619" t="e">
        <f t="shared" ref="LT106:MH106" si="209">LT105/LT104*100</f>
        <v>#DIV/0!</v>
      </c>
      <c r="LU106" s="675" t="e">
        <f t="shared" si="209"/>
        <v>#DIV/0!</v>
      </c>
      <c r="LV106" s="672" t="e">
        <f>LV105/LV104*100</f>
        <v>#DIV/0!</v>
      </c>
      <c r="LW106" s="672" t="e">
        <f t="shared" si="209"/>
        <v>#DIV/0!</v>
      </c>
      <c r="LX106" s="675" t="e">
        <f t="shared" si="209"/>
        <v>#DIV/0!</v>
      </c>
      <c r="LY106" s="672" t="e">
        <f>LY105/LY104*100</f>
        <v>#DIV/0!</v>
      </c>
      <c r="LZ106" s="672" t="e">
        <f>LZ105/LZ104*100</f>
        <v>#DIV/0!</v>
      </c>
      <c r="MA106" s="672" t="e">
        <f>MA105/MA104*100</f>
        <v>#DIV/0!</v>
      </c>
      <c r="MB106" s="672" t="e">
        <f>MB105/MB104*100</f>
        <v>#DIV/0!</v>
      </c>
      <c r="MC106" s="676" t="e">
        <f>MC105/MC104*100</f>
        <v>#DIV/0!</v>
      </c>
      <c r="MD106" s="688" t="e">
        <f t="shared" si="209"/>
        <v>#DIV/0!</v>
      </c>
      <c r="ME106" s="1538" t="e">
        <f t="shared" si="209"/>
        <v>#DIV/0!</v>
      </c>
      <c r="MF106" s="1539" t="e">
        <f t="shared" si="209"/>
        <v>#DIV/0!</v>
      </c>
      <c r="MG106" s="672" t="e">
        <f t="shared" si="209"/>
        <v>#DIV/0!</v>
      </c>
      <c r="MH106" s="619" t="e">
        <f t="shared" si="209"/>
        <v>#DIV/0!</v>
      </c>
      <c r="MI106" s="619" t="s">
        <v>93</v>
      </c>
      <c r="MJ106" s="672" t="e">
        <f>MJ105/MJ104*100</f>
        <v>#DIV/0!</v>
      </c>
      <c r="MK106" s="619" t="e">
        <f t="shared" ref="MK106:MY106" si="210">MK105/MK104*100</f>
        <v>#DIV/0!</v>
      </c>
      <c r="ML106" s="675" t="e">
        <f t="shared" si="210"/>
        <v>#DIV/0!</v>
      </c>
      <c r="MM106" s="672" t="e">
        <f>MM105/MM104*100</f>
        <v>#DIV/0!</v>
      </c>
      <c r="MN106" s="672" t="e">
        <f t="shared" si="210"/>
        <v>#DIV/0!</v>
      </c>
      <c r="MO106" s="675" t="e">
        <f t="shared" si="210"/>
        <v>#DIV/0!</v>
      </c>
      <c r="MP106" s="672" t="e">
        <f>MP105/MP104*100</f>
        <v>#DIV/0!</v>
      </c>
      <c r="MQ106" s="672" t="e">
        <f>MQ105/MQ104*100</f>
        <v>#DIV/0!</v>
      </c>
      <c r="MR106" s="672" t="e">
        <f>MR105/MR104*100</f>
        <v>#DIV/0!</v>
      </c>
      <c r="MS106" s="672" t="e">
        <f>MS105/MS104*100</f>
        <v>#DIV/0!</v>
      </c>
      <c r="MT106" s="676" t="e">
        <f>MT105/MT104*100</f>
        <v>#DIV/0!</v>
      </c>
      <c r="MU106" s="688" t="e">
        <f t="shared" si="210"/>
        <v>#DIV/0!</v>
      </c>
      <c r="MV106" s="1538" t="e">
        <f t="shared" si="210"/>
        <v>#DIV/0!</v>
      </c>
      <c r="MW106" s="1539" t="e">
        <f t="shared" si="210"/>
        <v>#DIV/0!</v>
      </c>
      <c r="MX106" s="672" t="e">
        <f t="shared" si="210"/>
        <v>#DIV/0!</v>
      </c>
      <c r="MY106" s="619" t="e">
        <f t="shared" si="210"/>
        <v>#DIV/0!</v>
      </c>
      <c r="MZ106" s="619" t="s">
        <v>93</v>
      </c>
      <c r="NA106" s="672" t="e">
        <f>NA105/NA104*100</f>
        <v>#DIV/0!</v>
      </c>
      <c r="NB106" s="619" t="e">
        <f t="shared" ref="NB106:NP106" si="211">NB105/NB104*100</f>
        <v>#DIV/0!</v>
      </c>
      <c r="NC106" s="675" t="e">
        <f t="shared" si="211"/>
        <v>#DIV/0!</v>
      </c>
      <c r="ND106" s="672" t="e">
        <f>ND105/ND104*100</f>
        <v>#DIV/0!</v>
      </c>
      <c r="NE106" s="672" t="e">
        <f t="shared" si="211"/>
        <v>#DIV/0!</v>
      </c>
      <c r="NF106" s="675" t="e">
        <f t="shared" si="211"/>
        <v>#DIV/0!</v>
      </c>
      <c r="NG106" s="672" t="e">
        <f>NG105/NG104*100</f>
        <v>#DIV/0!</v>
      </c>
      <c r="NH106" s="672" t="e">
        <f>NH105/NH104*100</f>
        <v>#DIV/0!</v>
      </c>
      <c r="NI106" s="672" t="e">
        <f>NI105/NI104*100</f>
        <v>#DIV/0!</v>
      </c>
      <c r="NJ106" s="672" t="e">
        <f>NJ105/NJ104*100</f>
        <v>#DIV/0!</v>
      </c>
      <c r="NK106" s="676" t="e">
        <f>NK105/NK104*100</f>
        <v>#DIV/0!</v>
      </c>
      <c r="NL106" s="688" t="e">
        <f t="shared" si="211"/>
        <v>#DIV/0!</v>
      </c>
      <c r="NM106" s="1538" t="e">
        <f t="shared" si="211"/>
        <v>#DIV/0!</v>
      </c>
      <c r="NN106" s="1539" t="e">
        <f t="shared" si="211"/>
        <v>#DIV/0!</v>
      </c>
      <c r="NO106" s="672" t="e">
        <f t="shared" si="211"/>
        <v>#DIV/0!</v>
      </c>
      <c r="NP106" s="619" t="e">
        <f t="shared" si="211"/>
        <v>#DIV/0!</v>
      </c>
      <c r="NQ106" s="619" t="s">
        <v>93</v>
      </c>
      <c r="NR106" s="672" t="e">
        <f>NR105/NR104*100</f>
        <v>#DIV/0!</v>
      </c>
      <c r="NS106" s="619" t="e">
        <f t="shared" ref="NS106:OG106" si="212">NS105/NS104*100</f>
        <v>#DIV/0!</v>
      </c>
      <c r="NT106" s="675" t="e">
        <f t="shared" si="212"/>
        <v>#DIV/0!</v>
      </c>
      <c r="NU106" s="672" t="e">
        <f>NU105/NU104*100</f>
        <v>#DIV/0!</v>
      </c>
      <c r="NV106" s="672" t="e">
        <f t="shared" si="212"/>
        <v>#DIV/0!</v>
      </c>
      <c r="NW106" s="675" t="e">
        <f t="shared" si="212"/>
        <v>#DIV/0!</v>
      </c>
      <c r="NX106" s="672" t="e">
        <f>NX105/NX104*100</f>
        <v>#DIV/0!</v>
      </c>
      <c r="NY106" s="672" t="e">
        <f>NY105/NY104*100</f>
        <v>#DIV/0!</v>
      </c>
      <c r="NZ106" s="672" t="e">
        <f>NZ105/NZ104*100</f>
        <v>#DIV/0!</v>
      </c>
      <c r="OA106" s="672" t="e">
        <f>OA105/OA104*100</f>
        <v>#DIV/0!</v>
      </c>
      <c r="OB106" s="676" t="e">
        <f>OB105/OB104*100</f>
        <v>#DIV/0!</v>
      </c>
      <c r="OC106" s="688" t="e">
        <f t="shared" si="212"/>
        <v>#DIV/0!</v>
      </c>
      <c r="OD106" s="1538" t="e">
        <f t="shared" si="212"/>
        <v>#DIV/0!</v>
      </c>
      <c r="OE106" s="1539" t="e">
        <f t="shared" si="212"/>
        <v>#DIV/0!</v>
      </c>
      <c r="OF106" s="672" t="e">
        <f t="shared" si="212"/>
        <v>#DIV/0!</v>
      </c>
      <c r="OG106" s="619" t="e">
        <f t="shared" si="212"/>
        <v>#DIV/0!</v>
      </c>
      <c r="OH106" s="619" t="s">
        <v>93</v>
      </c>
      <c r="OI106" s="672" t="e">
        <f>OI105/OI104*100</f>
        <v>#DIV/0!</v>
      </c>
      <c r="OJ106" s="619" t="e">
        <f t="shared" ref="OJ106:OX106" si="213">OJ105/OJ104*100</f>
        <v>#DIV/0!</v>
      </c>
      <c r="OK106" s="675" t="e">
        <f t="shared" si="213"/>
        <v>#DIV/0!</v>
      </c>
      <c r="OL106" s="672" t="e">
        <f>OL105/OL104*100</f>
        <v>#DIV/0!</v>
      </c>
      <c r="OM106" s="672" t="e">
        <f t="shared" si="213"/>
        <v>#DIV/0!</v>
      </c>
      <c r="ON106" s="675" t="e">
        <f t="shared" si="213"/>
        <v>#DIV/0!</v>
      </c>
      <c r="OO106" s="672" t="e">
        <f>OO105/OO104*100</f>
        <v>#DIV/0!</v>
      </c>
      <c r="OP106" s="672" t="e">
        <f>OP105/OP104*100</f>
        <v>#DIV/0!</v>
      </c>
      <c r="OQ106" s="672" t="e">
        <f>OQ105/OQ104*100</f>
        <v>#DIV/0!</v>
      </c>
      <c r="OR106" s="672" t="e">
        <f>OR105/OR104*100</f>
        <v>#DIV/0!</v>
      </c>
      <c r="OS106" s="676" t="e">
        <f>OS105/OS104*100</f>
        <v>#DIV/0!</v>
      </c>
      <c r="OT106" s="688" t="e">
        <f t="shared" si="213"/>
        <v>#DIV/0!</v>
      </c>
      <c r="OU106" s="1538" t="e">
        <f t="shared" si="213"/>
        <v>#DIV/0!</v>
      </c>
      <c r="OV106" s="1539" t="e">
        <f t="shared" si="213"/>
        <v>#DIV/0!</v>
      </c>
      <c r="OW106" s="672" t="e">
        <f t="shared" si="213"/>
        <v>#DIV/0!</v>
      </c>
      <c r="OX106" s="619" t="e">
        <f t="shared" si="213"/>
        <v>#DIV/0!</v>
      </c>
      <c r="OY106" s="619" t="s">
        <v>93</v>
      </c>
      <c r="OZ106" s="672" t="e">
        <f>OZ105/OZ104*100</f>
        <v>#DIV/0!</v>
      </c>
      <c r="PA106" s="619" t="e">
        <f t="shared" ref="PA106:PO106" si="214">PA105/PA104*100</f>
        <v>#DIV/0!</v>
      </c>
      <c r="PB106" s="675" t="e">
        <f t="shared" si="214"/>
        <v>#DIV/0!</v>
      </c>
      <c r="PC106" s="672" t="e">
        <f>PC105/PC104*100</f>
        <v>#DIV/0!</v>
      </c>
      <c r="PD106" s="672" t="e">
        <f t="shared" si="214"/>
        <v>#DIV/0!</v>
      </c>
      <c r="PE106" s="675" t="e">
        <f t="shared" si="214"/>
        <v>#DIV/0!</v>
      </c>
      <c r="PF106" s="672" t="e">
        <f>PF105/PF104*100</f>
        <v>#DIV/0!</v>
      </c>
      <c r="PG106" s="672" t="e">
        <f>PG105/PG104*100</f>
        <v>#DIV/0!</v>
      </c>
      <c r="PH106" s="672" t="e">
        <f>PH105/PH104*100</f>
        <v>#DIV/0!</v>
      </c>
      <c r="PI106" s="672" t="e">
        <f>PI105/PI104*100</f>
        <v>#DIV/0!</v>
      </c>
      <c r="PJ106" s="676" t="e">
        <f>PJ105/PJ104*100</f>
        <v>#DIV/0!</v>
      </c>
      <c r="PK106" s="688" t="e">
        <f t="shared" si="214"/>
        <v>#DIV/0!</v>
      </c>
      <c r="PL106" s="1538" t="e">
        <f t="shared" si="214"/>
        <v>#DIV/0!</v>
      </c>
      <c r="PM106" s="1539" t="e">
        <f t="shared" si="214"/>
        <v>#DIV/0!</v>
      </c>
      <c r="PN106" s="672" t="e">
        <f t="shared" si="214"/>
        <v>#DIV/0!</v>
      </c>
      <c r="PO106" s="619" t="e">
        <f t="shared" si="214"/>
        <v>#DIV/0!</v>
      </c>
      <c r="PP106" s="619" t="s">
        <v>93</v>
      </c>
      <c r="PQ106" s="672" t="e">
        <f>PQ105/PQ104*100</f>
        <v>#DIV/0!</v>
      </c>
      <c r="PR106" s="619" t="e">
        <f t="shared" ref="PR106:QF106" si="215">PR105/PR104*100</f>
        <v>#DIV/0!</v>
      </c>
      <c r="PS106" s="675" t="e">
        <f t="shared" si="215"/>
        <v>#DIV/0!</v>
      </c>
      <c r="PT106" s="672" t="e">
        <f>PT105/PT104*100</f>
        <v>#DIV/0!</v>
      </c>
      <c r="PU106" s="672" t="e">
        <f t="shared" si="215"/>
        <v>#DIV/0!</v>
      </c>
      <c r="PV106" s="675" t="e">
        <f t="shared" si="215"/>
        <v>#DIV/0!</v>
      </c>
      <c r="PW106" s="672" t="e">
        <f>PW105/PW104*100</f>
        <v>#DIV/0!</v>
      </c>
      <c r="PX106" s="672" t="e">
        <f>PX105/PX104*100</f>
        <v>#DIV/0!</v>
      </c>
      <c r="PY106" s="672" t="e">
        <f>PY105/PY104*100</f>
        <v>#DIV/0!</v>
      </c>
      <c r="PZ106" s="672" t="e">
        <f>PZ105/PZ104*100</f>
        <v>#DIV/0!</v>
      </c>
      <c r="QA106" s="676" t="e">
        <f>QA105/QA104*100</f>
        <v>#DIV/0!</v>
      </c>
      <c r="QB106" s="688" t="e">
        <f t="shared" si="215"/>
        <v>#DIV/0!</v>
      </c>
      <c r="QC106" s="1538" t="e">
        <f t="shared" si="215"/>
        <v>#DIV/0!</v>
      </c>
      <c r="QD106" s="1539" t="e">
        <f t="shared" si="215"/>
        <v>#DIV/0!</v>
      </c>
      <c r="QE106" s="672" t="e">
        <f t="shared" si="215"/>
        <v>#DIV/0!</v>
      </c>
      <c r="QF106" s="619" t="e">
        <f t="shared" si="215"/>
        <v>#DIV/0!</v>
      </c>
      <c r="QG106" s="619" t="s">
        <v>93</v>
      </c>
      <c r="QH106" s="672" t="e">
        <f>QH105/QH104*100</f>
        <v>#DIV/0!</v>
      </c>
      <c r="QI106" s="619" t="e">
        <f t="shared" ref="QI106:QW106" si="216">QI105/QI104*100</f>
        <v>#DIV/0!</v>
      </c>
      <c r="QJ106" s="675" t="e">
        <f t="shared" si="216"/>
        <v>#DIV/0!</v>
      </c>
      <c r="QK106" s="672" t="e">
        <f>QK105/QK104*100</f>
        <v>#DIV/0!</v>
      </c>
      <c r="QL106" s="672" t="e">
        <f t="shared" si="216"/>
        <v>#DIV/0!</v>
      </c>
      <c r="QM106" s="675" t="e">
        <f t="shared" si="216"/>
        <v>#DIV/0!</v>
      </c>
      <c r="QN106" s="672" t="e">
        <f>QN105/QN104*100</f>
        <v>#DIV/0!</v>
      </c>
      <c r="QO106" s="672" t="e">
        <f>QO105/QO104*100</f>
        <v>#DIV/0!</v>
      </c>
      <c r="QP106" s="672" t="e">
        <f>QP105/QP104*100</f>
        <v>#DIV/0!</v>
      </c>
      <c r="QQ106" s="672" t="e">
        <f>QQ105/QQ104*100</f>
        <v>#DIV/0!</v>
      </c>
      <c r="QR106" s="676" t="e">
        <f>QR105/QR104*100</f>
        <v>#DIV/0!</v>
      </c>
      <c r="QS106" s="688" t="e">
        <f t="shared" si="216"/>
        <v>#DIV/0!</v>
      </c>
      <c r="QT106" s="1538" t="e">
        <f t="shared" si="216"/>
        <v>#DIV/0!</v>
      </c>
      <c r="QU106" s="1539" t="e">
        <f t="shared" si="216"/>
        <v>#DIV/0!</v>
      </c>
      <c r="QV106" s="672" t="e">
        <f t="shared" si="216"/>
        <v>#DIV/0!</v>
      </c>
      <c r="QW106" s="619" t="e">
        <f t="shared" si="216"/>
        <v>#DIV/0!</v>
      </c>
      <c r="QX106" s="619" t="s">
        <v>93</v>
      </c>
      <c r="QY106" s="672" t="e">
        <f>QY105/QY104*100</f>
        <v>#DIV/0!</v>
      </c>
      <c r="QZ106" s="619" t="e">
        <f t="shared" ref="QZ106:RN106" si="217">QZ105/QZ104*100</f>
        <v>#DIV/0!</v>
      </c>
      <c r="RA106" s="675" t="e">
        <f t="shared" si="217"/>
        <v>#DIV/0!</v>
      </c>
      <c r="RB106" s="672" t="e">
        <f>RB105/RB104*100</f>
        <v>#DIV/0!</v>
      </c>
      <c r="RC106" s="672" t="e">
        <f t="shared" si="217"/>
        <v>#DIV/0!</v>
      </c>
      <c r="RD106" s="675" t="e">
        <f t="shared" si="217"/>
        <v>#DIV/0!</v>
      </c>
      <c r="RE106" s="672" t="e">
        <f>RE105/RE104*100</f>
        <v>#DIV/0!</v>
      </c>
      <c r="RF106" s="672" t="e">
        <f>RF105/RF104*100</f>
        <v>#DIV/0!</v>
      </c>
      <c r="RG106" s="672" t="e">
        <f>RG105/RG104*100</f>
        <v>#DIV/0!</v>
      </c>
      <c r="RH106" s="672" t="e">
        <f>RH105/RH104*100</f>
        <v>#DIV/0!</v>
      </c>
      <c r="RI106" s="676" t="e">
        <f>RI105/RI104*100</f>
        <v>#DIV/0!</v>
      </c>
      <c r="RJ106" s="688" t="e">
        <f t="shared" si="217"/>
        <v>#DIV/0!</v>
      </c>
      <c r="RK106" s="1538" t="e">
        <f t="shared" si="217"/>
        <v>#DIV/0!</v>
      </c>
      <c r="RL106" s="1539" t="e">
        <f t="shared" si="217"/>
        <v>#DIV/0!</v>
      </c>
      <c r="RM106" s="672" t="e">
        <f t="shared" si="217"/>
        <v>#DIV/0!</v>
      </c>
      <c r="RN106" s="619" t="e">
        <f t="shared" si="217"/>
        <v>#DIV/0!</v>
      </c>
      <c r="RO106" s="619" t="s">
        <v>93</v>
      </c>
      <c r="RP106" s="672" t="e">
        <f>RP105/RP104*100</f>
        <v>#DIV/0!</v>
      </c>
      <c r="RQ106" s="619" t="e">
        <f t="shared" ref="RQ106:SE106" si="218">RQ105/RQ104*100</f>
        <v>#DIV/0!</v>
      </c>
      <c r="RR106" s="675" t="e">
        <f t="shared" si="218"/>
        <v>#DIV/0!</v>
      </c>
      <c r="RS106" s="672" t="e">
        <f>RS105/RS104*100</f>
        <v>#DIV/0!</v>
      </c>
      <c r="RT106" s="672" t="e">
        <f t="shared" si="218"/>
        <v>#DIV/0!</v>
      </c>
      <c r="RU106" s="675" t="e">
        <f t="shared" si="218"/>
        <v>#DIV/0!</v>
      </c>
      <c r="RV106" s="672" t="e">
        <f>RV105/RV104*100</f>
        <v>#DIV/0!</v>
      </c>
      <c r="RW106" s="672" t="e">
        <f>RW105/RW104*100</f>
        <v>#DIV/0!</v>
      </c>
      <c r="RX106" s="672" t="e">
        <f>RX105/RX104*100</f>
        <v>#DIV/0!</v>
      </c>
      <c r="RY106" s="672" t="e">
        <f>RY105/RY104*100</f>
        <v>#DIV/0!</v>
      </c>
      <c r="RZ106" s="676" t="e">
        <f>RZ105/RZ104*100</f>
        <v>#DIV/0!</v>
      </c>
      <c r="SA106" s="688" t="e">
        <f t="shared" si="218"/>
        <v>#DIV/0!</v>
      </c>
      <c r="SB106" s="1538" t="e">
        <f t="shared" si="218"/>
        <v>#DIV/0!</v>
      </c>
      <c r="SC106" s="1539" t="e">
        <f t="shared" si="218"/>
        <v>#DIV/0!</v>
      </c>
      <c r="SD106" s="672" t="e">
        <f t="shared" si="218"/>
        <v>#DIV/0!</v>
      </c>
      <c r="SE106" s="619" t="e">
        <f t="shared" si="218"/>
        <v>#DIV/0!</v>
      </c>
      <c r="SF106" s="619" t="s">
        <v>93</v>
      </c>
      <c r="SG106" s="672" t="e">
        <f>SG105/SG104*100</f>
        <v>#DIV/0!</v>
      </c>
      <c r="SH106" s="619" t="e">
        <f t="shared" ref="SH106:SV106" si="219">SH105/SH104*100</f>
        <v>#DIV/0!</v>
      </c>
      <c r="SI106" s="675" t="e">
        <f t="shared" si="219"/>
        <v>#DIV/0!</v>
      </c>
      <c r="SJ106" s="672" t="e">
        <f>SJ105/SJ104*100</f>
        <v>#DIV/0!</v>
      </c>
      <c r="SK106" s="672" t="e">
        <f t="shared" si="219"/>
        <v>#DIV/0!</v>
      </c>
      <c r="SL106" s="675" t="e">
        <f t="shared" si="219"/>
        <v>#DIV/0!</v>
      </c>
      <c r="SM106" s="672" t="e">
        <f>SM105/SM104*100</f>
        <v>#DIV/0!</v>
      </c>
      <c r="SN106" s="672" t="e">
        <f>SN105/SN104*100</f>
        <v>#DIV/0!</v>
      </c>
      <c r="SO106" s="672" t="e">
        <f>SO105/SO104*100</f>
        <v>#DIV/0!</v>
      </c>
      <c r="SP106" s="672" t="e">
        <f>SP105/SP104*100</f>
        <v>#DIV/0!</v>
      </c>
      <c r="SQ106" s="676" t="e">
        <f>SQ105/SQ104*100</f>
        <v>#DIV/0!</v>
      </c>
      <c r="SR106" s="688" t="e">
        <f t="shared" si="219"/>
        <v>#DIV/0!</v>
      </c>
      <c r="SS106" s="1538" t="e">
        <f t="shared" si="219"/>
        <v>#DIV/0!</v>
      </c>
      <c r="ST106" s="1539" t="e">
        <f t="shared" si="219"/>
        <v>#DIV/0!</v>
      </c>
      <c r="SU106" s="672" t="e">
        <f t="shared" si="219"/>
        <v>#DIV/0!</v>
      </c>
      <c r="SV106" s="619" t="e">
        <f t="shared" si="219"/>
        <v>#DIV/0!</v>
      </c>
      <c r="SW106" s="619" t="s">
        <v>93</v>
      </c>
      <c r="SX106" s="672" t="e">
        <f>SX105/SX104*100</f>
        <v>#DIV/0!</v>
      </c>
      <c r="SY106" s="619" t="e">
        <f t="shared" ref="SY106:TM106" si="220">SY105/SY104*100</f>
        <v>#DIV/0!</v>
      </c>
      <c r="SZ106" s="675" t="e">
        <f t="shared" si="220"/>
        <v>#DIV/0!</v>
      </c>
      <c r="TA106" s="672" t="e">
        <f>TA105/TA104*100</f>
        <v>#DIV/0!</v>
      </c>
      <c r="TB106" s="672" t="e">
        <f t="shared" si="220"/>
        <v>#DIV/0!</v>
      </c>
      <c r="TC106" s="675" t="e">
        <f t="shared" si="220"/>
        <v>#DIV/0!</v>
      </c>
      <c r="TD106" s="672" t="e">
        <f>TD105/TD104*100</f>
        <v>#DIV/0!</v>
      </c>
      <c r="TE106" s="672" t="e">
        <f>TE105/TE104*100</f>
        <v>#DIV/0!</v>
      </c>
      <c r="TF106" s="672" t="e">
        <f>TF105/TF104*100</f>
        <v>#DIV/0!</v>
      </c>
      <c r="TG106" s="672" t="e">
        <f>TG105/TG104*100</f>
        <v>#DIV/0!</v>
      </c>
      <c r="TH106" s="676" t="e">
        <f>TH105/TH104*100</f>
        <v>#DIV/0!</v>
      </c>
      <c r="TI106" s="688" t="e">
        <f t="shared" si="220"/>
        <v>#DIV/0!</v>
      </c>
      <c r="TJ106" s="1538" t="e">
        <f t="shared" si="220"/>
        <v>#DIV/0!</v>
      </c>
      <c r="TK106" s="1539" t="e">
        <f t="shared" si="220"/>
        <v>#DIV/0!</v>
      </c>
      <c r="TL106" s="672" t="e">
        <f t="shared" si="220"/>
        <v>#DIV/0!</v>
      </c>
      <c r="TM106" s="619" t="e">
        <f t="shared" si="220"/>
        <v>#DIV/0!</v>
      </c>
      <c r="TN106" s="619" t="s">
        <v>93</v>
      </c>
      <c r="TO106" s="672" t="e">
        <f>TO105/TO104*100</f>
        <v>#DIV/0!</v>
      </c>
      <c r="TP106" s="619" t="e">
        <f>TP105/TP104*100</f>
        <v>#DIV/0!</v>
      </c>
      <c r="TQ106" s="675" t="e">
        <f>TQ105/TQ104*100</f>
        <v>#DIV/0!</v>
      </c>
      <c r="TR106" s="672" t="e">
        <f>TR105/TR104*100</f>
        <v>#DIV/0!</v>
      </c>
      <c r="TS106" s="672" t="e">
        <f t="shared" ref="TS106:TY106" si="221">TS105/TS104*100</f>
        <v>#DIV/0!</v>
      </c>
      <c r="TT106" s="675" t="e">
        <f t="shared" si="221"/>
        <v>#DIV/0!</v>
      </c>
      <c r="TU106" s="672" t="e">
        <f t="shared" si="221"/>
        <v>#DIV/0!</v>
      </c>
      <c r="TV106" s="672" t="e">
        <f t="shared" si="221"/>
        <v>#DIV/0!</v>
      </c>
      <c r="TW106" s="672" t="e">
        <f>TW105/TW104*100</f>
        <v>#DIV/0!</v>
      </c>
      <c r="TX106" s="672" t="e">
        <f t="shared" si="221"/>
        <v>#DIV/0!</v>
      </c>
      <c r="TY106" s="676" t="e">
        <f t="shared" si="221"/>
        <v>#DIV/0!</v>
      </c>
    </row>
    <row r="107" spans="1:545" ht="15.75" thickBot="1" x14ac:dyDescent="0.3">
      <c r="A107" s="1541" t="s">
        <v>1059</v>
      </c>
      <c r="B107" s="699"/>
      <c r="C107" s="700"/>
      <c r="D107" s="700"/>
      <c r="E107" s="604"/>
      <c r="F107" s="700"/>
      <c r="G107" s="700"/>
      <c r="H107" s="604"/>
      <c r="I107" s="700"/>
      <c r="J107" s="698"/>
      <c r="K107" s="604"/>
      <c r="L107" s="604"/>
      <c r="M107" s="697"/>
      <c r="N107" s="604"/>
      <c r="O107" s="604"/>
      <c r="P107" s="604"/>
      <c r="Q107" s="604"/>
      <c r="R107" s="607"/>
      <c r="S107" s="1535"/>
      <c r="T107" s="1535"/>
      <c r="U107" s="1536"/>
      <c r="V107" s="700"/>
      <c r="W107" s="700"/>
      <c r="X107" s="700"/>
      <c r="Y107" s="604"/>
      <c r="Z107" s="700"/>
      <c r="AA107" s="698"/>
      <c r="AB107" s="604"/>
      <c r="AC107" s="604"/>
      <c r="AD107" s="697"/>
      <c r="AE107" s="604"/>
      <c r="AF107" s="604"/>
      <c r="AG107" s="604"/>
      <c r="AH107" s="604"/>
      <c r="AI107" s="607"/>
      <c r="AJ107" s="699"/>
      <c r="AK107" s="1535"/>
      <c r="AL107" s="1536"/>
      <c r="AM107" s="700"/>
      <c r="AN107" s="700"/>
      <c r="AO107" s="700"/>
      <c r="AP107" s="604"/>
      <c r="AQ107" s="700"/>
      <c r="AR107" s="698"/>
      <c r="AS107" s="604"/>
      <c r="AT107" s="604"/>
      <c r="AU107" s="697"/>
      <c r="AV107" s="604"/>
      <c r="AW107" s="604"/>
      <c r="AX107" s="604"/>
      <c r="AY107" s="604"/>
      <c r="AZ107" s="607"/>
      <c r="BA107" s="699"/>
      <c r="BB107" s="1535"/>
      <c r="BC107" s="1536"/>
      <c r="BD107" s="604"/>
      <c r="BE107" s="700"/>
      <c r="BF107" s="700"/>
      <c r="BG107" s="604"/>
      <c r="BH107" s="700"/>
      <c r="BI107" s="698"/>
      <c r="BJ107" s="604"/>
      <c r="BK107" s="604"/>
      <c r="BL107" s="697"/>
      <c r="BM107" s="604"/>
      <c r="BN107" s="604"/>
      <c r="BO107" s="604"/>
      <c r="BP107" s="604"/>
      <c r="BQ107" s="607"/>
      <c r="BR107" s="699"/>
      <c r="BS107" s="1535"/>
      <c r="BT107" s="1536"/>
      <c r="BU107" s="604"/>
      <c r="BV107" s="700"/>
      <c r="BW107" s="700"/>
      <c r="BX107" s="604"/>
      <c r="BY107" s="700"/>
      <c r="BZ107" s="698"/>
      <c r="CA107" s="604"/>
      <c r="CB107" s="604"/>
      <c r="CC107" s="697"/>
      <c r="CD107" s="604"/>
      <c r="CE107" s="604"/>
      <c r="CF107" s="604"/>
      <c r="CG107" s="604"/>
      <c r="CH107" s="607"/>
      <c r="CI107" s="699"/>
      <c r="CJ107" s="1535"/>
      <c r="CK107" s="1536"/>
      <c r="CL107" s="604"/>
      <c r="CM107" s="700"/>
      <c r="CN107" s="700"/>
      <c r="CO107" s="604"/>
      <c r="CP107" s="700"/>
      <c r="CQ107" s="698"/>
      <c r="CR107" s="604"/>
      <c r="CS107" s="604"/>
      <c r="CT107" s="697"/>
      <c r="CU107" s="604"/>
      <c r="CV107" s="604"/>
      <c r="CW107" s="604"/>
      <c r="CX107" s="604"/>
      <c r="CY107" s="607"/>
      <c r="CZ107" s="699"/>
      <c r="DA107" s="1535"/>
      <c r="DB107" s="1536"/>
      <c r="DC107" s="604"/>
      <c r="DD107" s="700"/>
      <c r="DE107" s="700"/>
      <c r="DF107" s="604"/>
      <c r="DG107" s="700"/>
      <c r="DH107" s="698"/>
      <c r="DI107" s="604"/>
      <c r="DJ107" s="604"/>
      <c r="DK107" s="697"/>
      <c r="DL107" s="604"/>
      <c r="DM107" s="604"/>
      <c r="DN107" s="604"/>
      <c r="DO107" s="604"/>
      <c r="DP107" s="607"/>
      <c r="DQ107" s="699"/>
      <c r="DR107" s="1535"/>
      <c r="DS107" s="1536"/>
      <c r="DT107" s="698"/>
      <c r="DU107" s="700"/>
      <c r="DV107" s="700"/>
      <c r="DW107" s="604"/>
      <c r="DX107" s="700"/>
      <c r="DY107" s="698"/>
      <c r="DZ107" s="604"/>
      <c r="EA107" s="604"/>
      <c r="EB107" s="697"/>
      <c r="EC107" s="604"/>
      <c r="ED107" s="604"/>
      <c r="EE107" s="604"/>
      <c r="EF107" s="604"/>
      <c r="EG107" s="607"/>
      <c r="EH107" s="699"/>
      <c r="EI107" s="1535"/>
      <c r="EJ107" s="1536"/>
      <c r="EK107" s="604"/>
      <c r="EL107" s="700"/>
      <c r="EM107" s="700"/>
      <c r="EN107" s="604"/>
      <c r="EO107" s="700"/>
      <c r="EP107" s="698"/>
      <c r="EQ107" s="604"/>
      <c r="ER107" s="604"/>
      <c r="ES107" s="697"/>
      <c r="ET107" s="604"/>
      <c r="EU107" s="604"/>
      <c r="EV107" s="604"/>
      <c r="EW107" s="604"/>
      <c r="EX107" s="607"/>
      <c r="EY107" s="699"/>
      <c r="EZ107" s="1535"/>
      <c r="FA107" s="1536"/>
      <c r="FB107" s="604"/>
      <c r="FC107" s="700"/>
      <c r="FD107" s="700"/>
      <c r="FE107" s="604"/>
      <c r="FF107" s="700"/>
      <c r="FG107" s="698"/>
      <c r="FH107" s="604"/>
      <c r="FI107" s="604"/>
      <c r="FJ107" s="697"/>
      <c r="FK107" s="604"/>
      <c r="FL107" s="604"/>
      <c r="FM107" s="604"/>
      <c r="FN107" s="604"/>
      <c r="FO107" s="607"/>
      <c r="FP107" s="699"/>
      <c r="FQ107" s="1535"/>
      <c r="FR107" s="1536"/>
      <c r="FS107" s="604"/>
      <c r="FT107" s="700"/>
      <c r="FU107" s="700"/>
      <c r="FV107" s="604"/>
      <c r="FW107" s="700"/>
      <c r="FX107" s="698"/>
      <c r="FY107" s="604"/>
      <c r="FZ107" s="604"/>
      <c r="GA107" s="697"/>
      <c r="GB107" s="604"/>
      <c r="GC107" s="604"/>
      <c r="GD107" s="604"/>
      <c r="GE107" s="604"/>
      <c r="GF107" s="607"/>
      <c r="GG107" s="699"/>
      <c r="GH107" s="1535"/>
      <c r="GI107" s="1536"/>
      <c r="GJ107" s="698"/>
      <c r="GK107" s="700"/>
      <c r="GL107" s="700"/>
      <c r="GM107" s="604"/>
      <c r="GN107" s="700"/>
      <c r="GO107" s="698"/>
      <c r="GP107" s="604"/>
      <c r="GQ107" s="604"/>
      <c r="GR107" s="697"/>
      <c r="GS107" s="604"/>
      <c r="GT107" s="604"/>
      <c r="GU107" s="604"/>
      <c r="GV107" s="604"/>
      <c r="GW107" s="607"/>
      <c r="GX107" s="699"/>
      <c r="GY107" s="1535"/>
      <c r="GZ107" s="1536"/>
      <c r="HA107" s="604"/>
      <c r="HB107" s="700"/>
      <c r="HC107" s="700"/>
      <c r="HD107" s="604"/>
      <c r="HE107" s="700"/>
      <c r="HF107" s="698"/>
      <c r="HG107" s="604"/>
      <c r="HH107" s="604"/>
      <c r="HI107" s="697"/>
      <c r="HJ107" s="604"/>
      <c r="HK107" s="604"/>
      <c r="HL107" s="604"/>
      <c r="HM107" s="604"/>
      <c r="HN107" s="607"/>
      <c r="HO107" s="699"/>
      <c r="HP107" s="1535"/>
      <c r="HQ107" s="1536"/>
      <c r="HR107" s="604"/>
      <c r="HS107" s="700"/>
      <c r="HT107" s="700"/>
      <c r="HU107" s="604"/>
      <c r="HV107" s="700"/>
      <c r="HW107" s="698"/>
      <c r="HX107" s="604"/>
      <c r="HY107" s="604"/>
      <c r="HZ107" s="697"/>
      <c r="IA107" s="604"/>
      <c r="IB107" s="604"/>
      <c r="IC107" s="604"/>
      <c r="ID107" s="604"/>
      <c r="IE107" s="607"/>
      <c r="IF107" s="699"/>
      <c r="IG107" s="1535"/>
      <c r="IH107" s="1536"/>
      <c r="II107" s="604"/>
      <c r="IJ107" s="700"/>
      <c r="IK107" s="700"/>
      <c r="IL107" s="604"/>
      <c r="IM107" s="700"/>
      <c r="IN107" s="698"/>
      <c r="IO107" s="604"/>
      <c r="IP107" s="604"/>
      <c r="IQ107" s="697"/>
      <c r="IR107" s="604"/>
      <c r="IS107" s="604"/>
      <c r="IT107" s="604"/>
      <c r="IU107" s="604"/>
      <c r="IV107" s="607"/>
      <c r="IW107" s="699"/>
      <c r="IX107" s="1535"/>
      <c r="IY107" s="1536"/>
      <c r="IZ107" s="604"/>
      <c r="JA107" s="700"/>
      <c r="JB107" s="700"/>
      <c r="JC107" s="604"/>
      <c r="JD107" s="700"/>
      <c r="JE107" s="698"/>
      <c r="JF107" s="604"/>
      <c r="JG107" s="604"/>
      <c r="JH107" s="697"/>
      <c r="JI107" s="604"/>
      <c r="JJ107" s="604"/>
      <c r="JK107" s="604"/>
      <c r="JL107" s="604"/>
      <c r="JM107" s="607"/>
      <c r="JN107" s="699"/>
      <c r="JO107" s="1535"/>
      <c r="JP107" s="1536"/>
      <c r="JQ107" s="604"/>
      <c r="JR107" s="700"/>
      <c r="JS107" s="700"/>
      <c r="JT107" s="604"/>
      <c r="JU107" s="700"/>
      <c r="JV107" s="698"/>
      <c r="JW107" s="604"/>
      <c r="JX107" s="604"/>
      <c r="JY107" s="697"/>
      <c r="JZ107" s="604"/>
      <c r="KA107" s="604"/>
      <c r="KB107" s="604"/>
      <c r="KC107" s="604"/>
      <c r="KD107" s="607"/>
      <c r="KE107" s="699"/>
      <c r="KF107" s="1535"/>
      <c r="KG107" s="1536"/>
      <c r="KH107" s="604"/>
      <c r="KI107" s="700"/>
      <c r="KJ107" s="700"/>
      <c r="KK107" s="604"/>
      <c r="KL107" s="700"/>
      <c r="KM107" s="698"/>
      <c r="KN107" s="604"/>
      <c r="KO107" s="604"/>
      <c r="KP107" s="697"/>
      <c r="KQ107" s="604"/>
      <c r="KR107" s="604"/>
      <c r="KS107" s="604"/>
      <c r="KT107" s="604"/>
      <c r="KU107" s="607"/>
      <c r="KV107" s="699"/>
      <c r="KW107" s="1535"/>
      <c r="KX107" s="1536"/>
      <c r="KY107" s="604"/>
      <c r="KZ107" s="700"/>
      <c r="LA107" s="700"/>
      <c r="LB107" s="604"/>
      <c r="LC107" s="700"/>
      <c r="LD107" s="698"/>
      <c r="LE107" s="604"/>
      <c r="LF107" s="604"/>
      <c r="LG107" s="697"/>
      <c r="LH107" s="604"/>
      <c r="LI107" s="604"/>
      <c r="LJ107" s="604"/>
      <c r="LK107" s="604"/>
      <c r="LL107" s="607"/>
      <c r="LM107" s="699"/>
      <c r="LN107" s="1535"/>
      <c r="LO107" s="1536"/>
      <c r="LP107" s="604"/>
      <c r="LQ107" s="700"/>
      <c r="LR107" s="700"/>
      <c r="LS107" s="604"/>
      <c r="LT107" s="700"/>
      <c r="LU107" s="698"/>
      <c r="LV107" s="604"/>
      <c r="LW107" s="604"/>
      <c r="LX107" s="697"/>
      <c r="LY107" s="604"/>
      <c r="LZ107" s="604"/>
      <c r="MA107" s="604"/>
      <c r="MB107" s="604"/>
      <c r="MC107" s="607"/>
      <c r="MD107" s="699"/>
      <c r="ME107" s="1535"/>
      <c r="MF107" s="1536"/>
      <c r="MG107" s="604"/>
      <c r="MH107" s="700"/>
      <c r="MI107" s="700"/>
      <c r="MJ107" s="604"/>
      <c r="MK107" s="700"/>
      <c r="ML107" s="698"/>
      <c r="MM107" s="604"/>
      <c r="MN107" s="604"/>
      <c r="MO107" s="697"/>
      <c r="MP107" s="604"/>
      <c r="MQ107" s="604"/>
      <c r="MR107" s="604"/>
      <c r="MS107" s="604"/>
      <c r="MT107" s="607"/>
      <c r="MU107" s="699"/>
      <c r="MV107" s="1535"/>
      <c r="MW107" s="1536"/>
      <c r="MX107" s="604"/>
      <c r="MY107" s="700"/>
      <c r="MZ107" s="700"/>
      <c r="NA107" s="604"/>
      <c r="NB107" s="700"/>
      <c r="NC107" s="698"/>
      <c r="ND107" s="604"/>
      <c r="NE107" s="604"/>
      <c r="NF107" s="697"/>
      <c r="NG107" s="604"/>
      <c r="NH107" s="604"/>
      <c r="NI107" s="604"/>
      <c r="NJ107" s="604"/>
      <c r="NK107" s="607"/>
      <c r="NL107" s="699"/>
      <c r="NM107" s="1535"/>
      <c r="NN107" s="1536"/>
      <c r="NO107" s="604"/>
      <c r="NP107" s="700"/>
      <c r="NQ107" s="700"/>
      <c r="NR107" s="604"/>
      <c r="NS107" s="700"/>
      <c r="NT107" s="698"/>
      <c r="NU107" s="604"/>
      <c r="NV107" s="604"/>
      <c r="NW107" s="697"/>
      <c r="NX107" s="604"/>
      <c r="NY107" s="604"/>
      <c r="NZ107" s="604"/>
      <c r="OA107" s="604"/>
      <c r="OB107" s="607"/>
      <c r="OC107" s="699"/>
      <c r="OD107" s="1535"/>
      <c r="OE107" s="1536"/>
      <c r="OF107" s="604"/>
      <c r="OG107" s="700"/>
      <c r="OH107" s="700"/>
      <c r="OI107" s="604"/>
      <c r="OJ107" s="700"/>
      <c r="OK107" s="698"/>
      <c r="OL107" s="604"/>
      <c r="OM107" s="604"/>
      <c r="ON107" s="697"/>
      <c r="OO107" s="604"/>
      <c r="OP107" s="604"/>
      <c r="OQ107" s="604"/>
      <c r="OR107" s="604"/>
      <c r="OS107" s="607"/>
      <c r="OT107" s="699"/>
      <c r="OU107" s="1535"/>
      <c r="OV107" s="1536"/>
      <c r="OW107" s="604"/>
      <c r="OX107" s="700"/>
      <c r="OY107" s="700"/>
      <c r="OZ107" s="604"/>
      <c r="PA107" s="700"/>
      <c r="PB107" s="698"/>
      <c r="PC107" s="604"/>
      <c r="PD107" s="604"/>
      <c r="PE107" s="697"/>
      <c r="PF107" s="604"/>
      <c r="PG107" s="604"/>
      <c r="PH107" s="604"/>
      <c r="PI107" s="604"/>
      <c r="PJ107" s="607"/>
      <c r="PK107" s="699"/>
      <c r="PL107" s="1535"/>
      <c r="PM107" s="1536"/>
      <c r="PN107" s="604"/>
      <c r="PO107" s="700"/>
      <c r="PP107" s="700"/>
      <c r="PQ107" s="604"/>
      <c r="PR107" s="700"/>
      <c r="PS107" s="698"/>
      <c r="PT107" s="604"/>
      <c r="PU107" s="604"/>
      <c r="PV107" s="697"/>
      <c r="PW107" s="604"/>
      <c r="PX107" s="604"/>
      <c r="PY107" s="604"/>
      <c r="PZ107" s="604"/>
      <c r="QA107" s="607"/>
      <c r="QB107" s="699"/>
      <c r="QC107" s="1535"/>
      <c r="QD107" s="1536"/>
      <c r="QE107" s="604"/>
      <c r="QF107" s="700"/>
      <c r="QG107" s="700"/>
      <c r="QH107" s="604"/>
      <c r="QI107" s="700"/>
      <c r="QJ107" s="698"/>
      <c r="QK107" s="604"/>
      <c r="QL107" s="604"/>
      <c r="QM107" s="697"/>
      <c r="QN107" s="604"/>
      <c r="QO107" s="604"/>
      <c r="QP107" s="604"/>
      <c r="QQ107" s="604"/>
      <c r="QR107" s="607"/>
      <c r="QS107" s="699"/>
      <c r="QT107" s="1535"/>
      <c r="QU107" s="1536"/>
      <c r="QV107" s="698"/>
      <c r="QW107" s="700"/>
      <c r="QX107" s="700"/>
      <c r="QY107" s="604"/>
      <c r="QZ107" s="700"/>
      <c r="RA107" s="698"/>
      <c r="RB107" s="604"/>
      <c r="RC107" s="604"/>
      <c r="RD107" s="697"/>
      <c r="RE107" s="604"/>
      <c r="RF107" s="604"/>
      <c r="RG107" s="604"/>
      <c r="RH107" s="604"/>
      <c r="RI107" s="607"/>
      <c r="RJ107" s="699"/>
      <c r="RK107" s="1535"/>
      <c r="RL107" s="1536"/>
      <c r="RM107" s="604"/>
      <c r="RN107" s="700"/>
      <c r="RO107" s="700"/>
      <c r="RP107" s="604"/>
      <c r="RQ107" s="700"/>
      <c r="RR107" s="698"/>
      <c r="RS107" s="604"/>
      <c r="RT107" s="604"/>
      <c r="RU107" s="697"/>
      <c r="RV107" s="604"/>
      <c r="RW107" s="604"/>
      <c r="RX107" s="604"/>
      <c r="RY107" s="604"/>
      <c r="RZ107" s="607"/>
      <c r="SA107" s="699"/>
      <c r="SB107" s="1535"/>
      <c r="SC107" s="1536"/>
      <c r="SD107" s="604"/>
      <c r="SE107" s="700"/>
      <c r="SF107" s="700"/>
      <c r="SG107" s="604"/>
      <c r="SH107" s="700"/>
      <c r="SI107" s="698"/>
      <c r="SJ107" s="604"/>
      <c r="SK107" s="604"/>
      <c r="SL107" s="697"/>
      <c r="SM107" s="604"/>
      <c r="SN107" s="604"/>
      <c r="SO107" s="604"/>
      <c r="SP107" s="604"/>
      <c r="SQ107" s="607"/>
      <c r="SR107" s="699"/>
      <c r="SS107" s="1535"/>
      <c r="ST107" s="1536"/>
      <c r="SU107" s="604"/>
      <c r="SV107" s="700"/>
      <c r="SW107" s="700"/>
      <c r="SX107" s="604"/>
      <c r="SY107" s="700"/>
      <c r="SZ107" s="698"/>
      <c r="TA107" s="604"/>
      <c r="TB107" s="604"/>
      <c r="TC107" s="697"/>
      <c r="TD107" s="604"/>
      <c r="TE107" s="604"/>
      <c r="TF107" s="604"/>
      <c r="TG107" s="604"/>
      <c r="TH107" s="607"/>
      <c r="TI107" s="699"/>
      <c r="TJ107" s="1535"/>
      <c r="TK107" s="1536"/>
      <c r="TL107" s="604"/>
      <c r="TM107" s="700"/>
      <c r="TN107" s="700"/>
      <c r="TO107" s="604"/>
      <c r="TP107" s="700"/>
      <c r="TQ107" s="698"/>
      <c r="TR107" s="604"/>
      <c r="TS107" s="604"/>
      <c r="TT107" s="697"/>
      <c r="TU107" s="604"/>
      <c r="TV107" s="604"/>
      <c r="TW107" s="604"/>
      <c r="TX107" s="604"/>
      <c r="TY107" s="607"/>
    </row>
    <row r="108" spans="1:545" x14ac:dyDescent="0.25">
      <c r="A108" s="2218">
        <v>100</v>
      </c>
      <c r="B108" s="654"/>
      <c r="C108" s="655"/>
      <c r="D108" s="667"/>
      <c r="E108" s="651"/>
      <c r="F108" s="667"/>
      <c r="G108" s="663"/>
      <c r="H108" s="651"/>
      <c r="I108" s="652"/>
      <c r="J108" s="653"/>
      <c r="K108" s="599"/>
      <c r="L108" s="599"/>
      <c r="M108" s="657"/>
      <c r="N108" s="600"/>
      <c r="O108" s="599"/>
      <c r="P108" s="600"/>
      <c r="Q108" s="599"/>
      <c r="R108" s="658"/>
      <c r="S108" s="659"/>
      <c r="T108" s="660"/>
      <c r="U108" s="661"/>
      <c r="V108" s="651"/>
      <c r="W108" s="662"/>
      <c r="X108" s="663"/>
      <c r="Y108" s="651">
        <f>IF(AND(ABS(V108)&gt;=$F$42,ABS(V108)&lt;=$G$42),V108*$D$42,IF(AND(ABS(V108)&gt;=$F$43,ABS(V108)&lt;=$G$43),V108*$D$43,IF(AND(ABS(V108)&gt;=$F$44,ABS(V108)&lt;=$G$44),V108*$D$44,"rango cal. out")))</f>
        <v>0</v>
      </c>
      <c r="Z108" s="652" t="e">
        <f>((273.2+S108)*$F$32/((273.2+$F$31)*U108))</f>
        <v>#DIV/0!</v>
      </c>
      <c r="AA108" s="653" t="e">
        <f>Y108/W108*Z108*EXP(-LN(2)/10990*($F$88-X108))</f>
        <v>#DIV/0!</v>
      </c>
      <c r="AB108" s="599" t="e">
        <f>AA108-AVERAGE(AI94:AI95)</f>
        <v>#DIV/0!</v>
      </c>
      <c r="AC108" s="599" t="e">
        <f>ABS($B$33*AB108*3600)</f>
        <v>#DIV/0!</v>
      </c>
      <c r="AD108" s="657" t="e">
        <f>ABS($B$34*AB108*3600)</f>
        <v>#DIV/0!</v>
      </c>
      <c r="AE108" s="600" t="e">
        <f>AD108*$C$79</f>
        <v>#DIV/0!</v>
      </c>
      <c r="AF108" s="599" t="e">
        <f>AD108*$F$70</f>
        <v>#DIV/0!</v>
      </c>
      <c r="AG108" s="600" t="e">
        <f>AD108*$F$75</f>
        <v>#DIV/0!</v>
      </c>
      <c r="AH108" s="599" t="e">
        <f>AD108*$F$72</f>
        <v>#DIV/0!</v>
      </c>
      <c r="AI108" s="658" t="e">
        <f>AD108*$F$71</f>
        <v>#DIV/0!</v>
      </c>
      <c r="AJ108" s="664"/>
      <c r="AK108" s="660"/>
      <c r="AL108" s="661"/>
      <c r="AM108" s="651"/>
      <c r="AN108" s="662"/>
      <c r="AO108" s="663"/>
      <c r="AP108" s="651">
        <f>IF(AND(ABS(AM108)&gt;=$F$42,ABS(AM108)&lt;=$G$42),AM108*$D$42,IF(AND(ABS(AM108)&gt;=$F$43,ABS(AM108)&lt;=$G$43),AM108*$D$43,IF(AND(ABS(AM108)&gt;=$F$44,ABS(AM108)&lt;=$G$44),AM108*$D$44,"rango cal. out")))</f>
        <v>0</v>
      </c>
      <c r="AQ108" s="652" t="e">
        <f>((273.2+AJ108)*$F$32/((273.2+$F$31)*AL108))</f>
        <v>#DIV/0!</v>
      </c>
      <c r="AR108" s="653" t="e">
        <f>AP108/AN108*AQ108*EXP(-LN(2)/10990*($F$88-AO108))</f>
        <v>#DIV/0!</v>
      </c>
      <c r="AS108" s="599" t="e">
        <f>AR108-AVERAGE(AZ94:AZ95)</f>
        <v>#DIV/0!</v>
      </c>
      <c r="AT108" s="599" t="e">
        <f>ABS($B$33*AS108*3600)</f>
        <v>#DIV/0!</v>
      </c>
      <c r="AU108" s="657" t="e">
        <f>ABS($B$34*AS108*3600)</f>
        <v>#DIV/0!</v>
      </c>
      <c r="AV108" s="600" t="e">
        <f>AU108*$C$79</f>
        <v>#DIV/0!</v>
      </c>
      <c r="AW108" s="599" t="e">
        <f>AU108*$F$70</f>
        <v>#DIV/0!</v>
      </c>
      <c r="AX108" s="600" t="e">
        <f>AU108*$F$75</f>
        <v>#DIV/0!</v>
      </c>
      <c r="AY108" s="599" t="e">
        <f>AU108*$F$72</f>
        <v>#DIV/0!</v>
      </c>
      <c r="AZ108" s="658" t="e">
        <f>AU108*$F$71</f>
        <v>#DIV/0!</v>
      </c>
      <c r="BA108" s="664"/>
      <c r="BB108" s="660"/>
      <c r="BC108" s="661"/>
      <c r="BD108" s="651"/>
      <c r="BE108" s="662"/>
      <c r="BF108" s="663"/>
      <c r="BG108" s="651">
        <f>IF(AND(ABS(BD108)&gt;=$F$42,ABS(BD108)&lt;=$G$42),BD108*$D$42,IF(AND(ABS(BD108)&gt;=$F$43,ABS(BD108)&lt;=$G$43),BD108*$D$43,IF(AND(ABS(BD108)&gt;=$F$44,ABS(BD108)&lt;=$G$44),BD108*$D$44,"rango cal. out")))</f>
        <v>0</v>
      </c>
      <c r="BH108" s="652" t="e">
        <f>((273.2+BA108)*$F$32/((273.2+$F$31)*BC108))</f>
        <v>#DIV/0!</v>
      </c>
      <c r="BI108" s="653" t="e">
        <f>BG108/BE108*BH108*EXP(-LN(2)/10990*($F$88-BF108))</f>
        <v>#DIV/0!</v>
      </c>
      <c r="BJ108" s="599" t="e">
        <f>BI108-AVERAGE(BQ94:BQ95)</f>
        <v>#DIV/0!</v>
      </c>
      <c r="BK108" s="599" t="e">
        <f>ABS($B$33*BJ108*3600)</f>
        <v>#DIV/0!</v>
      </c>
      <c r="BL108" s="657" t="e">
        <f>ABS($B$34*BJ108*3600)</f>
        <v>#DIV/0!</v>
      </c>
      <c r="BM108" s="600" t="e">
        <f>BL108*$C$79</f>
        <v>#DIV/0!</v>
      </c>
      <c r="BN108" s="599" t="e">
        <f>BL108*$F$70</f>
        <v>#DIV/0!</v>
      </c>
      <c r="BO108" s="600" t="e">
        <f>BL108*$F$75</f>
        <v>#DIV/0!</v>
      </c>
      <c r="BP108" s="599" t="e">
        <f>BL108*$F$72</f>
        <v>#DIV/0!</v>
      </c>
      <c r="BQ108" s="658" t="e">
        <f>BL108*$F$71</f>
        <v>#DIV/0!</v>
      </c>
      <c r="BR108" s="664"/>
      <c r="BS108" s="660"/>
      <c r="BT108" s="661"/>
      <c r="BU108" s="651"/>
      <c r="BV108" s="662"/>
      <c r="BW108" s="663"/>
      <c r="BX108" s="651">
        <f>IF(AND(ABS(BU108)&gt;=$F$42,ABS(BU108)&lt;=$G$42),BU108*$D$42,IF(AND(ABS(BU108)&gt;=$F$43,ABS(BU108)&lt;=$G$43),BU108*$D$43,IF(AND(ABS(BU108)&gt;=$F$44,ABS(BU108)&lt;=$G$44),BU108*$D$44,"rango cal. out")))</f>
        <v>0</v>
      </c>
      <c r="BY108" s="652" t="e">
        <f>((273.2+BR108)*$F$32/((273.2+$F$31)*BT108))</f>
        <v>#DIV/0!</v>
      </c>
      <c r="BZ108" s="653" t="e">
        <f>BX108/BV108*BY108*EXP(-LN(2)/10990*($F$88-BW108))</f>
        <v>#DIV/0!</v>
      </c>
      <c r="CA108" s="599" t="e">
        <f>BZ108-AVERAGE(CH94:CH95)</f>
        <v>#DIV/0!</v>
      </c>
      <c r="CB108" s="599" t="e">
        <f>ABS($B$33*CA108*3600)</f>
        <v>#DIV/0!</v>
      </c>
      <c r="CC108" s="657" t="e">
        <f>ABS($B$34*CA108*3600)</f>
        <v>#DIV/0!</v>
      </c>
      <c r="CD108" s="600" t="e">
        <f>CC108*$C$79</f>
        <v>#DIV/0!</v>
      </c>
      <c r="CE108" s="599" t="e">
        <f>CC108*$F$70</f>
        <v>#DIV/0!</v>
      </c>
      <c r="CF108" s="600" t="e">
        <f>CC108*$F$75</f>
        <v>#DIV/0!</v>
      </c>
      <c r="CG108" s="599" t="e">
        <f>CC108*$F$72</f>
        <v>#DIV/0!</v>
      </c>
      <c r="CH108" s="658" t="e">
        <f>CC108*$F$71</f>
        <v>#DIV/0!</v>
      </c>
      <c r="CI108" s="664"/>
      <c r="CJ108" s="660"/>
      <c r="CK108" s="661"/>
      <c r="CL108" s="651"/>
      <c r="CM108" s="662"/>
      <c r="CN108" s="663"/>
      <c r="CO108" s="651">
        <f>IF(AND(ABS(CL108)&gt;=$F$42,ABS(CL108)&lt;=$G$42),CL108*$D$42,IF(AND(ABS(CL108)&gt;=$F$43,ABS(CL108)&lt;=$G$43),CL108*$D$43,IF(AND(ABS(CL108)&gt;=$F$44,ABS(CL108)&lt;=$G$44),CL108*$D$44,"rango cal. out")))</f>
        <v>0</v>
      </c>
      <c r="CP108" s="652" t="e">
        <f>((273.2+CI108)*$F$32/((273.2+$F$31)*CK108))</f>
        <v>#DIV/0!</v>
      </c>
      <c r="CQ108" s="653" t="e">
        <f>CO108/CM108*CP108*EXP(-LN(2)/10990*($F$88-CN108))</f>
        <v>#DIV/0!</v>
      </c>
      <c r="CR108" s="599" t="e">
        <f>CQ108-AVERAGE(CY94:CY95)</f>
        <v>#DIV/0!</v>
      </c>
      <c r="CS108" s="599" t="e">
        <f>ABS($B$33*CR108*3600)</f>
        <v>#DIV/0!</v>
      </c>
      <c r="CT108" s="657" t="e">
        <f>ABS($B$34*CR108*3600)</f>
        <v>#DIV/0!</v>
      </c>
      <c r="CU108" s="600" t="e">
        <f>CT108*$C$79</f>
        <v>#DIV/0!</v>
      </c>
      <c r="CV108" s="599" t="e">
        <f>CT108*$F$70</f>
        <v>#DIV/0!</v>
      </c>
      <c r="CW108" s="600" t="e">
        <f>CT108*$F$75</f>
        <v>#DIV/0!</v>
      </c>
      <c r="CX108" s="599" t="e">
        <f>CT108*$F$72</f>
        <v>#DIV/0!</v>
      </c>
      <c r="CY108" s="658" t="e">
        <f>CT108*$F$71</f>
        <v>#DIV/0!</v>
      </c>
      <c r="CZ108" s="664"/>
      <c r="DA108" s="660"/>
      <c r="DB108" s="661"/>
      <c r="DC108" s="651"/>
      <c r="DD108" s="662"/>
      <c r="DE108" s="663"/>
      <c r="DF108" s="651">
        <f>IF(AND(ABS(DC108)&gt;=$F$42,ABS(DC108)&lt;=$G$42),DC108*$D$42,IF(AND(ABS(DC108)&gt;=$F$43,ABS(DC108)&lt;=$G$43),DC108*$D$43,IF(AND(ABS(DC108)&gt;=$F$44,ABS(DC108)&lt;=$G$44),DC108*$D$44,"rango cal. out")))</f>
        <v>0</v>
      </c>
      <c r="DG108" s="652" t="e">
        <f>((273.2+CZ108)*$F$32/((273.2+$F$31)*DB108))</f>
        <v>#DIV/0!</v>
      </c>
      <c r="DH108" s="653" t="e">
        <f>DF108/DD108*DG108*EXP(-LN(2)/10990*($F$88-DE108))</f>
        <v>#DIV/0!</v>
      </c>
      <c r="DI108" s="599" t="e">
        <f>DH108-AVERAGE(DP94:DP95)</f>
        <v>#DIV/0!</v>
      </c>
      <c r="DJ108" s="599" t="e">
        <f>ABS($B$33*DI108*3600)</f>
        <v>#DIV/0!</v>
      </c>
      <c r="DK108" s="657" t="e">
        <f>ABS($B$34*DI108*3600)</f>
        <v>#DIV/0!</v>
      </c>
      <c r="DL108" s="600" t="e">
        <f>DK108*$C$79</f>
        <v>#DIV/0!</v>
      </c>
      <c r="DM108" s="599" t="e">
        <f>DK108*$F$70</f>
        <v>#DIV/0!</v>
      </c>
      <c r="DN108" s="600" t="e">
        <f>DK108*$F$75</f>
        <v>#DIV/0!</v>
      </c>
      <c r="DO108" s="599" t="e">
        <f>DK108*$F$72</f>
        <v>#DIV/0!</v>
      </c>
      <c r="DP108" s="658" t="e">
        <f>DK108*$F$71</f>
        <v>#DIV/0!</v>
      </c>
      <c r="DQ108" s="664"/>
      <c r="DR108" s="660"/>
      <c r="DS108" s="659"/>
      <c r="DT108" s="665"/>
      <c r="DU108" s="662"/>
      <c r="DV108" s="663"/>
      <c r="DW108" s="651">
        <f>IF(AND(ABS(DT108)&gt;=$F$42,ABS(DT108)&lt;=$G$42),DT108*$D$42,IF(AND(ABS(DT108)&gt;=$F$43,ABS(DT108)&lt;=$G$43),DT108*$D$43,IF(AND(ABS(DT108)&gt;=$F$44,ABS(DT108)&lt;=$G$44),DT108*$D$44,"rango cal. out")))</f>
        <v>0</v>
      </c>
      <c r="DX108" s="652" t="e">
        <f>((273.2+DQ108)*$F$32/((273.2+$F$31)*DS108))</f>
        <v>#DIV/0!</v>
      </c>
      <c r="DY108" s="653" t="e">
        <f>DW108/DU108*DX108*EXP(-LN(2)/10990*($F$88-DV108))</f>
        <v>#DIV/0!</v>
      </c>
      <c r="DZ108" s="599" t="e">
        <f>DY108-AVERAGE(EG94:EG95)</f>
        <v>#DIV/0!</v>
      </c>
      <c r="EA108" s="599" t="e">
        <f>ABS($B$33*DZ108*3600)</f>
        <v>#DIV/0!</v>
      </c>
      <c r="EB108" s="657" t="e">
        <f>ABS($B$34*DZ108*3600)</f>
        <v>#DIV/0!</v>
      </c>
      <c r="EC108" s="600" t="e">
        <f>EB108*$C$79</f>
        <v>#DIV/0!</v>
      </c>
      <c r="ED108" s="599" t="e">
        <f>EB108*$F$70</f>
        <v>#DIV/0!</v>
      </c>
      <c r="EE108" s="600" t="e">
        <f>EB108*$F$75</f>
        <v>#DIV/0!</v>
      </c>
      <c r="EF108" s="599" t="e">
        <f>EB108*$F$72</f>
        <v>#DIV/0!</v>
      </c>
      <c r="EG108" s="658" t="e">
        <f>EB108*$F$71</f>
        <v>#DIV/0!</v>
      </c>
      <c r="EH108" s="664"/>
      <c r="EI108" s="660"/>
      <c r="EJ108" s="661"/>
      <c r="EK108" s="651"/>
      <c r="EL108" s="662"/>
      <c r="EM108" s="663"/>
      <c r="EN108" s="651">
        <f>IF(AND(ABS(EK108)&gt;=$F$42,ABS(EK108)&lt;=$G$42),EK108*$D$42,IF(AND(ABS(EK108)&gt;=$F$43,ABS(EK108)&lt;=$G$43),EK108*$D$43,IF(AND(ABS(EK108)&gt;=$F$44,ABS(EK108)&lt;=$G$44),EK108*$D$44,"rango cal. out")))</f>
        <v>0</v>
      </c>
      <c r="EO108" s="652" t="e">
        <f>((273.2+EH108)*$F$32/((273.2+$F$31)*EJ108))</f>
        <v>#DIV/0!</v>
      </c>
      <c r="EP108" s="653" t="e">
        <f>EN108/EL108*EO108*EXP(-LN(2)/10990*($F$88-EM108))</f>
        <v>#DIV/0!</v>
      </c>
      <c r="EQ108" s="599" t="e">
        <f>EP108-AVERAGE(EX94:EX95)</f>
        <v>#DIV/0!</v>
      </c>
      <c r="ER108" s="599" t="e">
        <f>ABS($B$33*EQ108*3600)</f>
        <v>#DIV/0!</v>
      </c>
      <c r="ES108" s="657" t="e">
        <f>ABS($B$34*EQ108*3600)</f>
        <v>#DIV/0!</v>
      </c>
      <c r="ET108" s="600" t="e">
        <f>ES108*$C$79</f>
        <v>#DIV/0!</v>
      </c>
      <c r="EU108" s="599" t="e">
        <f>ES108*$F$70</f>
        <v>#DIV/0!</v>
      </c>
      <c r="EV108" s="600" t="e">
        <f>ES108*$F$75</f>
        <v>#DIV/0!</v>
      </c>
      <c r="EW108" s="599" t="e">
        <f>ES108*$F$72</f>
        <v>#DIV/0!</v>
      </c>
      <c r="EX108" s="658" t="e">
        <f>ES108*$F$71</f>
        <v>#DIV/0!</v>
      </c>
      <c r="EY108" s="664"/>
      <c r="EZ108" s="660"/>
      <c r="FA108" s="661"/>
      <c r="FB108" s="651"/>
      <c r="FC108" s="662"/>
      <c r="FD108" s="663"/>
      <c r="FE108" s="651">
        <f>IF(AND(ABS(FB108)&gt;=$F$42,ABS(FB108)&lt;=$G$42),FB108*$D$42,IF(AND(ABS(FB108)&gt;=$F$43,ABS(FB108)&lt;=$G$43),FB108*$D$43,IF(AND(ABS(FB108)&gt;=$F$44,ABS(FB108)&lt;=$G$44),FB108*$D$44,"rango cal. out")))</f>
        <v>0</v>
      </c>
      <c r="FF108" s="652" t="e">
        <f>((273.2+EY108)*$F$32/((273.2+$F$31)*FA108))</f>
        <v>#DIV/0!</v>
      </c>
      <c r="FG108" s="653" t="e">
        <f>FE108/FC108*FF108*EXP(-LN(2)/10990*($F$88-FD108))</f>
        <v>#DIV/0!</v>
      </c>
      <c r="FH108" s="599" t="e">
        <f>FG108-AVERAGE(FO94:FO95)</f>
        <v>#DIV/0!</v>
      </c>
      <c r="FI108" s="599" t="e">
        <f>ABS($B$33*FH108*3600)</f>
        <v>#DIV/0!</v>
      </c>
      <c r="FJ108" s="657" t="e">
        <f>ABS($B$34*FH108*3600)</f>
        <v>#DIV/0!</v>
      </c>
      <c r="FK108" s="600" t="e">
        <f>FJ108*$C$79</f>
        <v>#DIV/0!</v>
      </c>
      <c r="FL108" s="599" t="e">
        <f>FJ108*$F$70</f>
        <v>#DIV/0!</v>
      </c>
      <c r="FM108" s="600" t="e">
        <f>FJ108*$F$75</f>
        <v>#DIV/0!</v>
      </c>
      <c r="FN108" s="599" t="e">
        <f>FJ108*$F$72</f>
        <v>#DIV/0!</v>
      </c>
      <c r="FO108" s="658" t="e">
        <f>FJ108*$F$71</f>
        <v>#DIV/0!</v>
      </c>
      <c r="FP108" s="664"/>
      <c r="FQ108" s="660"/>
      <c r="FR108" s="661"/>
      <c r="FS108" s="651"/>
      <c r="FT108" s="662"/>
      <c r="FU108" s="663"/>
      <c r="FV108" s="651">
        <f>IF(AND(ABS(FS108)&gt;=$F$42,ABS(FS108)&lt;=$G$42),FS108*$D$42,IF(AND(ABS(FS108)&gt;=$F$43,ABS(FS108)&lt;=$G$43),FS108*$D$43,IF(AND(ABS(FS108)&gt;=$F$44,ABS(FS108)&lt;=$G$44),FS108*$D$44,"rango cal. out")))</f>
        <v>0</v>
      </c>
      <c r="FW108" s="652" t="e">
        <f>((273.2+FP108)*$F$32/((273.2+$F$31)*FR108))</f>
        <v>#DIV/0!</v>
      </c>
      <c r="FX108" s="653" t="e">
        <f>FV108/FT108*FW108*EXP(-LN(2)/10990*($F$88-FU108))</f>
        <v>#DIV/0!</v>
      </c>
      <c r="FY108" s="599" t="e">
        <f>FX108-AVERAGE(GF94:GF95)</f>
        <v>#DIV/0!</v>
      </c>
      <c r="FZ108" s="599" t="e">
        <f>ABS($B$33*FY108*3600)</f>
        <v>#DIV/0!</v>
      </c>
      <c r="GA108" s="657" t="e">
        <f>ABS($B$34*FY108*3600)</f>
        <v>#DIV/0!</v>
      </c>
      <c r="GB108" s="600" t="e">
        <f>GA108*$C$79</f>
        <v>#DIV/0!</v>
      </c>
      <c r="GC108" s="599" t="e">
        <f>GA108*$F$70</f>
        <v>#DIV/0!</v>
      </c>
      <c r="GD108" s="600" t="e">
        <f>GA108*$F$75</f>
        <v>#DIV/0!</v>
      </c>
      <c r="GE108" s="599" t="e">
        <f>GA108*$F$72</f>
        <v>#DIV/0!</v>
      </c>
      <c r="GF108" s="658" t="e">
        <f>GA108*$F$71</f>
        <v>#DIV/0!</v>
      </c>
      <c r="GG108" s="664"/>
      <c r="GH108" s="660"/>
      <c r="GI108" s="659"/>
      <c r="GJ108" s="665"/>
      <c r="GK108" s="662"/>
      <c r="GL108" s="663"/>
      <c r="GM108" s="651">
        <f>IF(AND(ABS(GJ108)&gt;=$F$42,ABS(GJ108)&lt;=$G$42),GJ108*$D$42,IF(AND(ABS(GJ108)&gt;=$F$43,ABS(GJ108)&lt;=$G$43),GJ108*$D$43,IF(AND(ABS(GJ108)&gt;=$F$44,ABS(GJ108)&lt;=$G$44),GJ108*$D$44,"rango cal. out")))</f>
        <v>0</v>
      </c>
      <c r="GN108" s="652" t="e">
        <f>((273.2+GG108)*$F$32/((273.2+$F$31)*GI108))</f>
        <v>#DIV/0!</v>
      </c>
      <c r="GO108" s="653" t="e">
        <f>GM108/GK108*GN108*EXP(-LN(2)/10990*($F$88-GL108))</f>
        <v>#DIV/0!</v>
      </c>
      <c r="GP108" s="599" t="e">
        <f>GO108-AVERAGE(GW94:GW95)</f>
        <v>#DIV/0!</v>
      </c>
      <c r="GQ108" s="599" t="e">
        <f>ABS($B$33*GP108*3600)</f>
        <v>#DIV/0!</v>
      </c>
      <c r="GR108" s="657" t="e">
        <f>ABS($B$34*GP108*3600)</f>
        <v>#DIV/0!</v>
      </c>
      <c r="GS108" s="600" t="e">
        <f>GR108*$C$79</f>
        <v>#DIV/0!</v>
      </c>
      <c r="GT108" s="599" t="e">
        <f>GR108*$F$70</f>
        <v>#DIV/0!</v>
      </c>
      <c r="GU108" s="600" t="e">
        <f>GR108*$F$75</f>
        <v>#DIV/0!</v>
      </c>
      <c r="GV108" s="599" t="e">
        <f>GR108*$F$72</f>
        <v>#DIV/0!</v>
      </c>
      <c r="GW108" s="658" t="e">
        <f>GR108*$F$71</f>
        <v>#DIV/0!</v>
      </c>
      <c r="GX108" s="664"/>
      <c r="GY108" s="660"/>
      <c r="GZ108" s="661"/>
      <c r="HA108" s="651"/>
      <c r="HB108" s="662"/>
      <c r="HC108" s="663"/>
      <c r="HD108" s="651">
        <f>IF(AND(ABS(HA108)&gt;=$F$42,ABS(HA108)&lt;=$G$42),HA108*$D$42,IF(AND(ABS(HA108)&gt;=$F$43,ABS(HA108)&lt;=$G$43),HA108*$D$43,IF(AND(ABS(HA108)&gt;=$F$44,ABS(HA108)&lt;=$G$44),HA108*$D$44,"rango cal. out")))</f>
        <v>0</v>
      </c>
      <c r="HE108" s="652" t="e">
        <f>((273.2+GX108)*$F$32/((273.2+$F$31)*GZ108))</f>
        <v>#DIV/0!</v>
      </c>
      <c r="HF108" s="653" t="e">
        <f>HD108/HB108*HE108*EXP(-LN(2)/10990*($F$88-HC108))</f>
        <v>#DIV/0!</v>
      </c>
      <c r="HG108" s="599" t="e">
        <f>HF108-AVERAGE(HN94:HN95)</f>
        <v>#DIV/0!</v>
      </c>
      <c r="HH108" s="599" t="e">
        <f>ABS($B$33*HG108*3600)</f>
        <v>#DIV/0!</v>
      </c>
      <c r="HI108" s="657" t="e">
        <f>ABS($B$34*HG108*3600)</f>
        <v>#DIV/0!</v>
      </c>
      <c r="HJ108" s="600" t="e">
        <f>HI108*$C$79</f>
        <v>#DIV/0!</v>
      </c>
      <c r="HK108" s="599" t="e">
        <f>HI108*$F$70</f>
        <v>#DIV/0!</v>
      </c>
      <c r="HL108" s="600" t="e">
        <f>HI108*$F$75</f>
        <v>#DIV/0!</v>
      </c>
      <c r="HM108" s="599" t="e">
        <f>HI108*$F$72</f>
        <v>#DIV/0!</v>
      </c>
      <c r="HN108" s="658" t="e">
        <f>HI108*$F$71</f>
        <v>#DIV/0!</v>
      </c>
      <c r="HO108" s="664"/>
      <c r="HP108" s="660"/>
      <c r="HQ108" s="661"/>
      <c r="HR108" s="651"/>
      <c r="HS108" s="662"/>
      <c r="HT108" s="663"/>
      <c r="HU108" s="651">
        <f>IF(AND(ABS(HR108)&gt;=$F$42,ABS(HR108)&lt;=$G$42),HR108*$D$42,IF(AND(ABS(HR108)&gt;=$F$43,ABS(HR108)&lt;=$G$43),HR108*$D$43,IF(AND(ABS(HR108)&gt;=$F$44,ABS(HR108)&lt;=$G$44),HR108*$D$44,"rango cal. out")))</f>
        <v>0</v>
      </c>
      <c r="HV108" s="652" t="e">
        <f>((273.2+HO108)*$F$32/((273.2+$F$31)*HQ108))</f>
        <v>#DIV/0!</v>
      </c>
      <c r="HW108" s="653" t="e">
        <f>HU108/HS108*HV108*EXP(-LN(2)/10990*($F$88-HT108))</f>
        <v>#DIV/0!</v>
      </c>
      <c r="HX108" s="599" t="e">
        <f>HW108-AVERAGE(IE94:IE95)</f>
        <v>#DIV/0!</v>
      </c>
      <c r="HY108" s="599" t="e">
        <f>ABS($B$33*HX108*3600)</f>
        <v>#DIV/0!</v>
      </c>
      <c r="HZ108" s="657" t="e">
        <f>ABS($B$34*HX108*3600)</f>
        <v>#DIV/0!</v>
      </c>
      <c r="IA108" s="600" t="e">
        <f>HZ108*$C$79</f>
        <v>#DIV/0!</v>
      </c>
      <c r="IB108" s="599" t="e">
        <f>HZ108*$F$70</f>
        <v>#DIV/0!</v>
      </c>
      <c r="IC108" s="600" t="e">
        <f>HZ108*$F$75</f>
        <v>#DIV/0!</v>
      </c>
      <c r="ID108" s="599" t="e">
        <f>HZ108*$F$72</f>
        <v>#DIV/0!</v>
      </c>
      <c r="IE108" s="658" t="e">
        <f>HZ108*$F$71</f>
        <v>#DIV/0!</v>
      </c>
      <c r="IF108" s="664"/>
      <c r="IG108" s="660"/>
      <c r="IH108" s="661"/>
      <c r="II108" s="651"/>
      <c r="IJ108" s="662"/>
      <c r="IK108" s="663"/>
      <c r="IL108" s="651">
        <f>IF(AND(ABS(II108)&gt;=$F$42,ABS(II108)&lt;=$G$42),II108*$D$42,IF(AND(ABS(II108)&gt;=$F$43,ABS(II108)&lt;=$G$43),II108*$D$43,IF(AND(ABS(II108)&gt;=$F$44,ABS(II108)&lt;=$G$44),II108*$D$44,"rango cal. out")))</f>
        <v>0</v>
      </c>
      <c r="IM108" s="652" t="e">
        <f>((273.2+IF108)*$F$32/((273.2+$F$31)*IH108))</f>
        <v>#DIV/0!</v>
      </c>
      <c r="IN108" s="653" t="e">
        <f>IL108/IJ108*IM108*EXP(-LN(2)/10990*($F$88-IK108))</f>
        <v>#DIV/0!</v>
      </c>
      <c r="IO108" s="599" t="e">
        <f>IN108-AVERAGE(IV94:IV95)</f>
        <v>#DIV/0!</v>
      </c>
      <c r="IP108" s="599" t="e">
        <f>ABS($B$33*IO108*3600)</f>
        <v>#DIV/0!</v>
      </c>
      <c r="IQ108" s="657" t="e">
        <f>ABS($B$34*IO108*3600)</f>
        <v>#DIV/0!</v>
      </c>
      <c r="IR108" s="600" t="e">
        <f>IQ108*$C$79</f>
        <v>#DIV/0!</v>
      </c>
      <c r="IS108" s="599" t="e">
        <f>IQ108*$F$70</f>
        <v>#DIV/0!</v>
      </c>
      <c r="IT108" s="600" t="e">
        <f>IQ108*$F$75</f>
        <v>#DIV/0!</v>
      </c>
      <c r="IU108" s="599" t="e">
        <f>IQ108*$F$72</f>
        <v>#DIV/0!</v>
      </c>
      <c r="IV108" s="658" t="e">
        <f>IQ108*$F$71</f>
        <v>#DIV/0!</v>
      </c>
      <c r="IW108" s="664"/>
      <c r="IX108" s="660"/>
      <c r="IY108" s="661"/>
      <c r="IZ108" s="651"/>
      <c r="JA108" s="662"/>
      <c r="JB108" s="663"/>
      <c r="JC108" s="651">
        <f>IF(AND(ABS(IZ108)&gt;=$F$42,ABS(IZ108)&lt;=$G$42),IZ108*$D$42,IF(AND(ABS(IZ108)&gt;=$F$43,ABS(IZ108)&lt;=$G$43),IZ108*$D$43,IF(AND(ABS(IZ108)&gt;=$F$44,ABS(IZ108)&lt;=$G$44),IZ108*$D$44,"rango cal. out")))</f>
        <v>0</v>
      </c>
      <c r="JD108" s="652" t="e">
        <f>((273.2+IW108)*$F$32/((273.2+$F$31)*IY108))</f>
        <v>#DIV/0!</v>
      </c>
      <c r="JE108" s="653" t="e">
        <f>JC108/JA108*JD108*EXP(-LN(2)/10990*($F$88-JB108))</f>
        <v>#DIV/0!</v>
      </c>
      <c r="JF108" s="599" t="e">
        <f>JE108-AVERAGE(JM94:JM95)</f>
        <v>#DIV/0!</v>
      </c>
      <c r="JG108" s="599" t="e">
        <f>ABS($B$33*JF108*3600)</f>
        <v>#DIV/0!</v>
      </c>
      <c r="JH108" s="657" t="e">
        <f>ABS($B$34*JF108*3600)</f>
        <v>#DIV/0!</v>
      </c>
      <c r="JI108" s="600" t="e">
        <f>JH108*$C$79</f>
        <v>#DIV/0!</v>
      </c>
      <c r="JJ108" s="599" t="e">
        <f>JH108*$F$70</f>
        <v>#DIV/0!</v>
      </c>
      <c r="JK108" s="600" t="e">
        <f>JH108*$F$75</f>
        <v>#DIV/0!</v>
      </c>
      <c r="JL108" s="599" t="e">
        <f>JH108*$F$72</f>
        <v>#DIV/0!</v>
      </c>
      <c r="JM108" s="658" t="e">
        <f>JH108*$F$71</f>
        <v>#DIV/0!</v>
      </c>
      <c r="JN108" s="664"/>
      <c r="JO108" s="660"/>
      <c r="JP108" s="661"/>
      <c r="JQ108" s="651"/>
      <c r="JR108" s="662"/>
      <c r="JS108" s="663"/>
      <c r="JT108" s="651">
        <f>IF(AND(ABS(JQ108)&gt;=$F$42,ABS(JQ108)&lt;=$G$42),JQ108*$D$42,IF(AND(ABS(JQ108)&gt;=$F$43,ABS(JQ108)&lt;=$G$43),JQ108*$D$43,IF(AND(ABS(JQ108)&gt;=$F$44,ABS(JQ108)&lt;=$G$44),JQ108*$D$44,"rango cal. out")))</f>
        <v>0</v>
      </c>
      <c r="JU108" s="652" t="e">
        <f>((273.2+JN108)*$F$32/((273.2+$F$31)*JP108))</f>
        <v>#DIV/0!</v>
      </c>
      <c r="JV108" s="653" t="e">
        <f>JT108/JR108*JU108*EXP(-LN(2)/10990*($F$88-JS108))</f>
        <v>#DIV/0!</v>
      </c>
      <c r="JW108" s="599" t="e">
        <f>JV108-AVERAGE(KD94:KD95)</f>
        <v>#DIV/0!</v>
      </c>
      <c r="JX108" s="599" t="e">
        <f>ABS($B$33*JW108*3600)</f>
        <v>#DIV/0!</v>
      </c>
      <c r="JY108" s="657" t="e">
        <f>ABS($B$34*JW108*3600)</f>
        <v>#DIV/0!</v>
      </c>
      <c r="JZ108" s="600" t="e">
        <f>JY108*$C$79</f>
        <v>#DIV/0!</v>
      </c>
      <c r="KA108" s="599" t="e">
        <f>JY108*$F$70</f>
        <v>#DIV/0!</v>
      </c>
      <c r="KB108" s="600" t="e">
        <f>JY108*$F$75</f>
        <v>#DIV/0!</v>
      </c>
      <c r="KC108" s="599" t="e">
        <f>JY108*$F$72</f>
        <v>#DIV/0!</v>
      </c>
      <c r="KD108" s="658" t="e">
        <f>JY108*$F$71</f>
        <v>#DIV/0!</v>
      </c>
      <c r="KE108" s="664"/>
      <c r="KF108" s="660"/>
      <c r="KG108" s="661"/>
      <c r="KH108" s="651"/>
      <c r="KI108" s="662"/>
      <c r="KJ108" s="663"/>
      <c r="KK108" s="651">
        <f>IF(AND(ABS(KH108)&gt;=$F$42,ABS(KH108)&lt;=$G$42),KH108*$D$42,IF(AND(ABS(KH108)&gt;=$F$43,ABS(KH108)&lt;=$G$43),KH108*$D$43,IF(AND(ABS(KH108)&gt;=$F$44,ABS(KH108)&lt;=$G$44),KH108*$D$44,"rango cal. out")))</f>
        <v>0</v>
      </c>
      <c r="KL108" s="652" t="e">
        <f>((273.2+KE108)*$F$32/((273.2+$F$31)*KG108))</f>
        <v>#DIV/0!</v>
      </c>
      <c r="KM108" s="653" t="e">
        <f>KK108/KI108*KL108*EXP(-LN(2)/10990*($F$88-KJ108))</f>
        <v>#DIV/0!</v>
      </c>
      <c r="KN108" s="599" t="e">
        <f>KM108-AVERAGE(KU94:KU95)</f>
        <v>#DIV/0!</v>
      </c>
      <c r="KO108" s="599" t="e">
        <f>ABS($B$33*KN108*3600)</f>
        <v>#DIV/0!</v>
      </c>
      <c r="KP108" s="657" t="e">
        <f>ABS($B$34*KN108*3600)</f>
        <v>#DIV/0!</v>
      </c>
      <c r="KQ108" s="600" t="e">
        <f>KP108*$C$79</f>
        <v>#DIV/0!</v>
      </c>
      <c r="KR108" s="599" t="e">
        <f>KP108*$F$70</f>
        <v>#DIV/0!</v>
      </c>
      <c r="KS108" s="600" t="e">
        <f>KP108*$F$75</f>
        <v>#DIV/0!</v>
      </c>
      <c r="KT108" s="599" t="e">
        <f>KP108*$F$72</f>
        <v>#DIV/0!</v>
      </c>
      <c r="KU108" s="658" t="e">
        <f>KP108*$F$71</f>
        <v>#DIV/0!</v>
      </c>
      <c r="KV108" s="664"/>
      <c r="KW108" s="660"/>
      <c r="KX108" s="661"/>
      <c r="KY108" s="651"/>
      <c r="KZ108" s="662"/>
      <c r="LA108" s="663"/>
      <c r="LB108" s="651">
        <f>IF(AND(ABS(KY108)&gt;=$F$42,ABS(KY108)&lt;=$G$42),KY108*$D$42,IF(AND(ABS(KY108)&gt;=$F$43,ABS(KY108)&lt;=$G$43),KY108*$D$43,IF(AND(ABS(KY108)&gt;=$F$44,ABS(KY108)&lt;=$G$44),KY108*$D$44,"rango cal. out")))</f>
        <v>0</v>
      </c>
      <c r="LC108" s="652" t="e">
        <f>((273.2+KV108)*$F$32/((273.2+$F$31)*KX108))</f>
        <v>#DIV/0!</v>
      </c>
      <c r="LD108" s="653" t="e">
        <f>LB108/KZ108*LC108*EXP(-LN(2)/10990*($F$88-LA108))</f>
        <v>#DIV/0!</v>
      </c>
      <c r="LE108" s="599" t="e">
        <f>LD108-AVERAGE(LL94:LL95)</f>
        <v>#DIV/0!</v>
      </c>
      <c r="LF108" s="599" t="e">
        <f>ABS($B$33*LE108*3600)</f>
        <v>#DIV/0!</v>
      </c>
      <c r="LG108" s="657" t="e">
        <f>ABS($B$34*LE108*3600)</f>
        <v>#DIV/0!</v>
      </c>
      <c r="LH108" s="600" t="e">
        <f>LG108*$C$79</f>
        <v>#DIV/0!</v>
      </c>
      <c r="LI108" s="599" t="e">
        <f>LG108*$F$70</f>
        <v>#DIV/0!</v>
      </c>
      <c r="LJ108" s="600" t="e">
        <f>LG108*$F$75</f>
        <v>#DIV/0!</v>
      </c>
      <c r="LK108" s="599" t="e">
        <f>LG108*$F$72</f>
        <v>#DIV/0!</v>
      </c>
      <c r="LL108" s="658" t="e">
        <f>LG108*$F$71</f>
        <v>#DIV/0!</v>
      </c>
      <c r="LM108" s="664"/>
      <c r="LN108" s="660"/>
      <c r="LO108" s="661"/>
      <c r="LP108" s="651"/>
      <c r="LQ108" s="662"/>
      <c r="LR108" s="663"/>
      <c r="LS108" s="651">
        <f>IF(AND(ABS(LP108)&gt;=$F$42,ABS(LP108)&lt;=$G$42),LP108*$D$42,IF(AND(ABS(LP108)&gt;=$F$43,ABS(LP108)&lt;=$G$43),LP108*$D$43,IF(AND(ABS(LP108)&gt;=$F$44,ABS(LP108)&lt;=$G$44),LP108*$D$44,"rango cal. out")))</f>
        <v>0</v>
      </c>
      <c r="LT108" s="652" t="e">
        <f>((273.2+LM108)*$F$32/((273.2+$F$31)*LO108))</f>
        <v>#DIV/0!</v>
      </c>
      <c r="LU108" s="653" t="e">
        <f>LS108/LQ108*LT108*EXP(-LN(2)/10990*($F$88-LR108))</f>
        <v>#DIV/0!</v>
      </c>
      <c r="LV108" s="599" t="e">
        <f>LU108-AVERAGE(MC94:MC95)</f>
        <v>#DIV/0!</v>
      </c>
      <c r="LW108" s="599" t="e">
        <f>ABS($B$33*LV108*3600)</f>
        <v>#DIV/0!</v>
      </c>
      <c r="LX108" s="657" t="e">
        <f>ABS($B$34*LV108*3600)</f>
        <v>#DIV/0!</v>
      </c>
      <c r="LY108" s="600" t="e">
        <f>LX108*$C$79</f>
        <v>#DIV/0!</v>
      </c>
      <c r="LZ108" s="599" t="e">
        <f>LX108*$F$70</f>
        <v>#DIV/0!</v>
      </c>
      <c r="MA108" s="600" t="e">
        <f>LX108*$F$75</f>
        <v>#DIV/0!</v>
      </c>
      <c r="MB108" s="599" t="e">
        <f>LX108*$F$72</f>
        <v>#DIV/0!</v>
      </c>
      <c r="MC108" s="658" t="e">
        <f>LX108*$F$71</f>
        <v>#DIV/0!</v>
      </c>
      <c r="MD108" s="664"/>
      <c r="ME108" s="660"/>
      <c r="MF108" s="666"/>
      <c r="MG108" s="651"/>
      <c r="MH108" s="667"/>
      <c r="MI108" s="663"/>
      <c r="MJ108" s="651">
        <f>IF(AND(ABS(MG108)&gt;=$F$42,ABS(MG108)&lt;=$G$42),MG108*$D$42,IF(AND(ABS(MG108)&gt;=$F$43,ABS(MG108)&lt;=$G$43),MG108*$D$43,IF(AND(ABS(MG108)&gt;=$F$44,ABS(MG108)&lt;=$G$44),MG108*$D$44,"rango cal. out")))</f>
        <v>0</v>
      </c>
      <c r="MK108" s="652" t="e">
        <f>((273.2+MD108)*$F$32/((273.2+$F$31)*MF108))</f>
        <v>#DIV/0!</v>
      </c>
      <c r="ML108" s="653" t="e">
        <f>MJ108/MH108*MK108*EXP(-LN(2)/10990*($F$88-MI108))</f>
        <v>#DIV/0!</v>
      </c>
      <c r="MM108" s="599" t="e">
        <f>ML108-AVERAGE(MT94:MT95)</f>
        <v>#DIV/0!</v>
      </c>
      <c r="MN108" s="599" t="e">
        <f>ABS($B$33*MM108*3600)</f>
        <v>#DIV/0!</v>
      </c>
      <c r="MO108" s="657" t="e">
        <f>ABS($B$34*MM108*3600)</f>
        <v>#DIV/0!</v>
      </c>
      <c r="MP108" s="600" t="e">
        <f>MO108*$C$79</f>
        <v>#DIV/0!</v>
      </c>
      <c r="MQ108" s="599" t="e">
        <f>MO108*$F$70</f>
        <v>#DIV/0!</v>
      </c>
      <c r="MR108" s="600" t="e">
        <f>MO108*$F$75</f>
        <v>#DIV/0!</v>
      </c>
      <c r="MS108" s="599" t="e">
        <f>MO108*$F$72</f>
        <v>#DIV/0!</v>
      </c>
      <c r="MT108" s="658" t="e">
        <f>MO108*$F$71</f>
        <v>#DIV/0!</v>
      </c>
      <c r="MU108" s="664"/>
      <c r="MV108" s="660"/>
      <c r="MW108" s="661"/>
      <c r="MX108" s="651"/>
      <c r="MY108" s="662"/>
      <c r="MZ108" s="663"/>
      <c r="NA108" s="651">
        <f>IF(AND(ABS(MX108)&gt;=$F$42,ABS(MX108)&lt;=$G$42),MX108*$D$42,IF(AND(ABS(MX108)&gt;=$F$43,ABS(MX108)&lt;=$G$43),MX108*$D$43,IF(AND(ABS(MX108)&gt;=$F$44,ABS(MX108)&lt;=$G$44),MX108*$D$44,"rango cal. out")))</f>
        <v>0</v>
      </c>
      <c r="NB108" s="652" t="e">
        <f>((273.2+MU108)*$F$32/((273.2+$F$31)*MW108))</f>
        <v>#DIV/0!</v>
      </c>
      <c r="NC108" s="653" t="e">
        <f>NA108/MY108*NB108*EXP(-LN(2)/10990*($F$88-MZ108))</f>
        <v>#DIV/0!</v>
      </c>
      <c r="ND108" s="599" t="e">
        <f>NC108-AVERAGE(NK94:NK95)</f>
        <v>#DIV/0!</v>
      </c>
      <c r="NE108" s="599" t="e">
        <f>ABS($B$33*ND108*3600)</f>
        <v>#DIV/0!</v>
      </c>
      <c r="NF108" s="657" t="e">
        <f>ABS($B$34*ND108*3600)</f>
        <v>#DIV/0!</v>
      </c>
      <c r="NG108" s="600" t="e">
        <f>NF108*$C$79</f>
        <v>#DIV/0!</v>
      </c>
      <c r="NH108" s="599" t="e">
        <f>NF108*$F$70</f>
        <v>#DIV/0!</v>
      </c>
      <c r="NI108" s="600" t="e">
        <f>NF108*$F$75</f>
        <v>#DIV/0!</v>
      </c>
      <c r="NJ108" s="599" t="e">
        <f>NF108*$F$72</f>
        <v>#DIV/0!</v>
      </c>
      <c r="NK108" s="658" t="e">
        <f>NF108*$F$71</f>
        <v>#DIV/0!</v>
      </c>
      <c r="NL108" s="664"/>
      <c r="NM108" s="660"/>
      <c r="NN108" s="661"/>
      <c r="NO108" s="651"/>
      <c r="NP108" s="662"/>
      <c r="NQ108" s="663"/>
      <c r="NR108" s="651">
        <f>IF(AND(ABS(NO108)&gt;=$F$42,ABS(NO108)&lt;=$G$42),NO108*$D$42,IF(AND(ABS(NO108)&gt;=$F$43,ABS(NO108)&lt;=$G$43),NO108*$D$43,IF(AND(ABS(NO108)&gt;=$F$44,ABS(NO108)&lt;=$G$44),NO108*$D$44,"rango cal. out")))</f>
        <v>0</v>
      </c>
      <c r="NS108" s="652" t="e">
        <f>((273.2+NL108)*$F$32/((273.2+$F$31)*NN108))</f>
        <v>#DIV/0!</v>
      </c>
      <c r="NT108" s="653" t="e">
        <f>NR108/NP108*NS108*EXP(-LN(2)/10990*($F$88-NQ108))</f>
        <v>#DIV/0!</v>
      </c>
      <c r="NU108" s="599" t="e">
        <f>NT108-AVERAGE(OB94:OB95)</f>
        <v>#DIV/0!</v>
      </c>
      <c r="NV108" s="599" t="e">
        <f>ABS($B$33*NU108*3600)</f>
        <v>#DIV/0!</v>
      </c>
      <c r="NW108" s="657" t="e">
        <f>ABS($B$34*NU108*3600)</f>
        <v>#DIV/0!</v>
      </c>
      <c r="NX108" s="600" t="e">
        <f>NW108*$C$79</f>
        <v>#DIV/0!</v>
      </c>
      <c r="NY108" s="599" t="e">
        <f>NW108*$F$70</f>
        <v>#DIV/0!</v>
      </c>
      <c r="NZ108" s="600" t="e">
        <f>NW108*$F$75</f>
        <v>#DIV/0!</v>
      </c>
      <c r="OA108" s="599" t="e">
        <f>NW108*$F$72</f>
        <v>#DIV/0!</v>
      </c>
      <c r="OB108" s="658" t="e">
        <f>NW108*$F$71</f>
        <v>#DIV/0!</v>
      </c>
      <c r="OC108" s="664"/>
      <c r="OD108" s="660"/>
      <c r="OE108" s="661"/>
      <c r="OF108" s="651"/>
      <c r="OG108" s="662"/>
      <c r="OH108" s="663"/>
      <c r="OI108" s="651">
        <f>IF(AND(ABS(OF108)&gt;=$F$42,ABS(OF108)&lt;=$G$42),OF108*$D$42,IF(AND(ABS(OF108)&gt;=$F$43,ABS(OF108)&lt;=$G$43),OF108*$D$43,IF(AND(ABS(OF108)&gt;=$F$44,ABS(OF108)&lt;=$G$44),OF108*$D$44,"rango cal. out")))</f>
        <v>0</v>
      </c>
      <c r="OJ108" s="652" t="e">
        <f>((273.2+OC108)*$F$32/((273.2+$F$31)*OE108))</f>
        <v>#DIV/0!</v>
      </c>
      <c r="OK108" s="653" t="e">
        <f>OI108/OG108*OJ108*EXP(-LN(2)/10990*($F$88-OH108))</f>
        <v>#DIV/0!</v>
      </c>
      <c r="OL108" s="599" t="e">
        <f>OK108-AVERAGE(OS94:OS95)</f>
        <v>#DIV/0!</v>
      </c>
      <c r="OM108" s="599" t="e">
        <f>ABS($B$33*OL108*3600)</f>
        <v>#DIV/0!</v>
      </c>
      <c r="ON108" s="657" t="e">
        <f>ABS($B$34*OL108*3600)</f>
        <v>#DIV/0!</v>
      </c>
      <c r="OO108" s="600" t="e">
        <f>ON108*$C$79</f>
        <v>#DIV/0!</v>
      </c>
      <c r="OP108" s="599" t="e">
        <f>ON108*$F$70</f>
        <v>#DIV/0!</v>
      </c>
      <c r="OQ108" s="600" t="e">
        <f>ON108*$F$75</f>
        <v>#DIV/0!</v>
      </c>
      <c r="OR108" s="599" t="e">
        <f>ON108*$F$72</f>
        <v>#DIV/0!</v>
      </c>
      <c r="OS108" s="658" t="e">
        <f>ON108*$F$71</f>
        <v>#DIV/0!</v>
      </c>
      <c r="OT108" s="664"/>
      <c r="OU108" s="660"/>
      <c r="OV108" s="661"/>
      <c r="OW108" s="651"/>
      <c r="OX108" s="662"/>
      <c r="OY108" s="663"/>
      <c r="OZ108" s="651">
        <f>IF(AND(ABS(OW108)&gt;=$F$42,ABS(OW108)&lt;=$G$42),OW108*$D$42,IF(AND(ABS(OW108)&gt;=$F$43,ABS(OW108)&lt;=$G$43),OW108*$D$43,IF(AND(ABS(OW108)&gt;=$F$44,ABS(OW108)&lt;=$G$44),OW108*$D$44,"rango cal. out")))</f>
        <v>0</v>
      </c>
      <c r="PA108" s="652" t="e">
        <f>((273.2+OT108)*$F$32/((273.2+$F$31)*OV108))</f>
        <v>#DIV/0!</v>
      </c>
      <c r="PB108" s="653" t="e">
        <f>OZ108/OX108*PA108*EXP(-LN(2)/10990*($F$88-OY108))</f>
        <v>#DIV/0!</v>
      </c>
      <c r="PC108" s="599" t="e">
        <f>PB108-AVERAGE(PJ94:PJ95)</f>
        <v>#DIV/0!</v>
      </c>
      <c r="PD108" s="599" t="e">
        <f>ABS($B$33*PC108*3600)</f>
        <v>#DIV/0!</v>
      </c>
      <c r="PE108" s="657" t="e">
        <f>ABS($B$34*PC108*3600)</f>
        <v>#DIV/0!</v>
      </c>
      <c r="PF108" s="600" t="e">
        <f>PE108*$C$79</f>
        <v>#DIV/0!</v>
      </c>
      <c r="PG108" s="599" t="e">
        <f>PE108*$F$70</f>
        <v>#DIV/0!</v>
      </c>
      <c r="PH108" s="600" t="e">
        <f>PE108*$F$75</f>
        <v>#DIV/0!</v>
      </c>
      <c r="PI108" s="599" t="e">
        <f>PE108*$F$72</f>
        <v>#DIV/0!</v>
      </c>
      <c r="PJ108" s="658" t="e">
        <f>PE108*$F$71</f>
        <v>#DIV/0!</v>
      </c>
      <c r="PK108" s="664"/>
      <c r="PL108" s="660"/>
      <c r="PM108" s="661"/>
      <c r="PN108" s="651"/>
      <c r="PO108" s="662"/>
      <c r="PP108" s="663"/>
      <c r="PQ108" s="651">
        <f>IF(AND(ABS(PN108)&gt;=$F$42,ABS(PN108)&lt;=$G$42),PN108*$D$42,IF(AND(ABS(PN108)&gt;=$F$43,ABS(PN108)&lt;=$G$43),PN108*$D$43,IF(AND(ABS(PN108)&gt;=$F$44,ABS(PN108)&lt;=$G$44),PN108*$D$44,"rango cal. out")))</f>
        <v>0</v>
      </c>
      <c r="PR108" s="652" t="e">
        <f>((273.2+PK108)*$F$32/((273.2+$F$31)*PM108))</f>
        <v>#DIV/0!</v>
      </c>
      <c r="PS108" s="653" t="e">
        <f>PQ108/PO108*PR108*EXP(-LN(2)/10990*($F$88-PP108))</f>
        <v>#DIV/0!</v>
      </c>
      <c r="PT108" s="599" t="e">
        <f>PS108-AVERAGE(QA94:QA95)</f>
        <v>#DIV/0!</v>
      </c>
      <c r="PU108" s="599" t="e">
        <f>ABS($B$33*PT108*3600)</f>
        <v>#DIV/0!</v>
      </c>
      <c r="PV108" s="657" t="e">
        <f>ABS($B$34*PT108*3600)</f>
        <v>#DIV/0!</v>
      </c>
      <c r="PW108" s="600" t="e">
        <f>PV108*$C$79</f>
        <v>#DIV/0!</v>
      </c>
      <c r="PX108" s="599" t="e">
        <f>PV108*$F$70</f>
        <v>#DIV/0!</v>
      </c>
      <c r="PY108" s="600" t="e">
        <f>PV108*$F$75</f>
        <v>#DIV/0!</v>
      </c>
      <c r="PZ108" s="599" t="e">
        <f>PV108*$F$72</f>
        <v>#DIV/0!</v>
      </c>
      <c r="QA108" s="658" t="e">
        <f>PV108*$F$71</f>
        <v>#DIV/0!</v>
      </c>
      <c r="QB108" s="664"/>
      <c r="QC108" s="660"/>
      <c r="QD108" s="661"/>
      <c r="QE108" s="651"/>
      <c r="QF108" s="667"/>
      <c r="QG108" s="663"/>
      <c r="QH108" s="651">
        <f>IF(AND(ABS(QE108)&gt;=$F$42,ABS(QE108)&lt;=$G$42),QE108*$D$42,IF(AND(ABS(QE108)&gt;=$F$43,ABS(QE108)&lt;=$G$43),QE108*$D$43,IF(AND(ABS(QE108)&gt;=$F$44,ABS(QE108)&lt;=$G$44),QE108*$D$44,"rango cal. out")))</f>
        <v>0</v>
      </c>
      <c r="QI108" s="652" t="e">
        <f>((273.2+QB108)*$F$32/((273.2+$F$31)*QD108))</f>
        <v>#DIV/0!</v>
      </c>
      <c r="QJ108" s="653" t="e">
        <f>QH108/QF108*QI108*EXP(-LN(2)/10990*($F$88-QG108))</f>
        <v>#DIV/0!</v>
      </c>
      <c r="QK108" s="599" t="e">
        <f>QJ108-AVERAGE(QR94:QR95)</f>
        <v>#DIV/0!</v>
      </c>
      <c r="QL108" s="599" t="e">
        <f>ABS($B$33*QK108*3600)</f>
        <v>#DIV/0!</v>
      </c>
      <c r="QM108" s="657" t="e">
        <f>ABS($B$34*QK108*3600)</f>
        <v>#DIV/0!</v>
      </c>
      <c r="QN108" s="600" t="e">
        <f>QM108*$C$79</f>
        <v>#DIV/0!</v>
      </c>
      <c r="QO108" s="599" t="e">
        <f>QM108*$F$70</f>
        <v>#DIV/0!</v>
      </c>
      <c r="QP108" s="600" t="e">
        <f>QM108*$F$75</f>
        <v>#DIV/0!</v>
      </c>
      <c r="QQ108" s="599" t="e">
        <f>QM108*$F$72</f>
        <v>#DIV/0!</v>
      </c>
      <c r="QR108" s="658" t="e">
        <f>QM108*$F$71</f>
        <v>#DIV/0!</v>
      </c>
      <c r="QS108" s="664"/>
      <c r="QT108" s="660"/>
      <c r="QU108" s="659"/>
      <c r="QV108" s="665"/>
      <c r="QW108" s="662"/>
      <c r="QX108" s="663"/>
      <c r="QY108" s="651">
        <f>IF(AND(ABS(QV108)&gt;=$F$42,ABS(QV108)&lt;=$G$42),QV108*$D$42,IF(AND(ABS(QV108)&gt;=$F$43,ABS(QV108)&lt;=$G$43),QV108*$D$43,IF(AND(ABS(QV108)&gt;=$F$44,ABS(QV108)&lt;=$G$44),QV108*$D$44,"rango cal. out")))</f>
        <v>0</v>
      </c>
      <c r="QZ108" s="652" t="e">
        <f>((273.2+QS108)*$F$32/((273.2+$F$31)*QU108))</f>
        <v>#DIV/0!</v>
      </c>
      <c r="RA108" s="653" t="e">
        <f>QY108/QW108*QZ108*EXP(-LN(2)/10990*($F$88-QX108))</f>
        <v>#DIV/0!</v>
      </c>
      <c r="RB108" s="599" t="e">
        <f>RA108-AVERAGE(RI94:RI95)</f>
        <v>#DIV/0!</v>
      </c>
      <c r="RC108" s="599" t="e">
        <f>ABS($B$33*RB108*3600)</f>
        <v>#DIV/0!</v>
      </c>
      <c r="RD108" s="657" t="e">
        <f>ABS($B$34*RB108*3600)</f>
        <v>#DIV/0!</v>
      </c>
      <c r="RE108" s="600" t="e">
        <f>RD108*$C$79</f>
        <v>#DIV/0!</v>
      </c>
      <c r="RF108" s="599" t="e">
        <f>RD108*$F$70</f>
        <v>#DIV/0!</v>
      </c>
      <c r="RG108" s="600" t="e">
        <f>RD108*$F$75</f>
        <v>#DIV/0!</v>
      </c>
      <c r="RH108" s="599" t="e">
        <f>RD108*$F$72</f>
        <v>#DIV/0!</v>
      </c>
      <c r="RI108" s="658" t="e">
        <f>RD108*$F$71</f>
        <v>#DIV/0!</v>
      </c>
      <c r="RJ108" s="664"/>
      <c r="RK108" s="660"/>
      <c r="RL108" s="661"/>
      <c r="RM108" s="651"/>
      <c r="RN108" s="662"/>
      <c r="RO108" s="663"/>
      <c r="RP108" s="651">
        <f>IF(AND(ABS(RM108)&gt;=$F$42,ABS(RM108)&lt;=$G$42),RM108*$D$42,IF(AND(ABS(RM108)&gt;=$F$43,ABS(RM108)&lt;=$G$43),RM108*$D$43,IF(AND(ABS(RM108)&gt;=$F$44,ABS(RM108)&lt;=$G$44),RM108*$D$44,"rango cal. out")))</f>
        <v>0</v>
      </c>
      <c r="RQ108" s="652" t="e">
        <f>((273.2+RJ108)*$F$32/((273.2+$F$31)*RL108))</f>
        <v>#DIV/0!</v>
      </c>
      <c r="RR108" s="653" t="e">
        <f>RP108/RN108*RQ108*EXP(-LN(2)/10990*($F$88-RO108))</f>
        <v>#DIV/0!</v>
      </c>
      <c r="RS108" s="599" t="e">
        <f>RR108-AVERAGE(RZ94:RZ95)</f>
        <v>#DIV/0!</v>
      </c>
      <c r="RT108" s="599" t="e">
        <f>ABS($B$33*RS108*3600)</f>
        <v>#DIV/0!</v>
      </c>
      <c r="RU108" s="657" t="e">
        <f>ABS($B$34*RS108*3600)</f>
        <v>#DIV/0!</v>
      </c>
      <c r="RV108" s="600" t="e">
        <f>RU108*$C$79</f>
        <v>#DIV/0!</v>
      </c>
      <c r="RW108" s="599" t="e">
        <f>RU108*$F$70</f>
        <v>#DIV/0!</v>
      </c>
      <c r="RX108" s="600" t="e">
        <f>RU108*$F$75</f>
        <v>#DIV/0!</v>
      </c>
      <c r="RY108" s="599" t="e">
        <f>RU108*$F$72</f>
        <v>#DIV/0!</v>
      </c>
      <c r="RZ108" s="658" t="e">
        <f>RU108*$F$71</f>
        <v>#DIV/0!</v>
      </c>
      <c r="SA108" s="664"/>
      <c r="SB108" s="660"/>
      <c r="SC108" s="661"/>
      <c r="SD108" s="651"/>
      <c r="SE108" s="662"/>
      <c r="SF108" s="663"/>
      <c r="SG108" s="651">
        <f>IF(AND(ABS(SD108)&gt;=$F$42,ABS(SD108)&lt;=$G$42),SD108*$D$42,IF(AND(ABS(SD108)&gt;=$F$43,ABS(SD108)&lt;=$G$43),SD108*$D$43,IF(AND(ABS(SD108)&gt;=$F$44,ABS(SD108)&lt;=$G$44),SD108*$D$44,"rango cal. out")))</f>
        <v>0</v>
      </c>
      <c r="SH108" s="652" t="e">
        <f>((273.2+SA108)*$F$32/((273.2+$F$31)*SC108))</f>
        <v>#DIV/0!</v>
      </c>
      <c r="SI108" s="653" t="e">
        <f>SG108/SE108*SH108*EXP(-LN(2)/10990*($F$88-SF108))</f>
        <v>#DIV/0!</v>
      </c>
      <c r="SJ108" s="599" t="e">
        <f>SI108-AVERAGE(SQ94:SQ95)</f>
        <v>#DIV/0!</v>
      </c>
      <c r="SK108" s="599" t="e">
        <f>ABS($B$33*SJ108*3600)</f>
        <v>#DIV/0!</v>
      </c>
      <c r="SL108" s="657" t="e">
        <f>ABS($B$34*SJ108*3600)</f>
        <v>#DIV/0!</v>
      </c>
      <c r="SM108" s="600" t="e">
        <f>SL108*$C$79</f>
        <v>#DIV/0!</v>
      </c>
      <c r="SN108" s="599" t="e">
        <f>SL108*$F$70</f>
        <v>#DIV/0!</v>
      </c>
      <c r="SO108" s="600" t="e">
        <f>SL108*$F$75</f>
        <v>#DIV/0!</v>
      </c>
      <c r="SP108" s="599" t="e">
        <f>SL108*$F$72</f>
        <v>#DIV/0!</v>
      </c>
      <c r="SQ108" s="658" t="e">
        <f>SL108*$F$71</f>
        <v>#DIV/0!</v>
      </c>
      <c r="SR108" s="664"/>
      <c r="SS108" s="660"/>
      <c r="ST108" s="661"/>
      <c r="SU108" s="651"/>
      <c r="SV108" s="662"/>
      <c r="SW108" s="663"/>
      <c r="SX108" s="651">
        <f>IF(AND(ABS(SU108)&gt;=$F$42,ABS(SU108)&lt;=$G$42),SU108*$D$42,IF(AND(ABS(SU108)&gt;=$F$43,ABS(SU108)&lt;=$G$43),SU108*$D$43,IF(AND(ABS(SU108)&gt;=$F$44,ABS(SU108)&lt;=$G$44),SU108*$D$44,"rango cal. out")))</f>
        <v>0</v>
      </c>
      <c r="SY108" s="652" t="e">
        <f>((273.2+SR108)*$F$32/((273.2+$F$31)*ST108))</f>
        <v>#DIV/0!</v>
      </c>
      <c r="SZ108" s="653" t="e">
        <f>SX108/SV108*SY108*EXP(-LN(2)/10990*($F$88-SW108))</f>
        <v>#DIV/0!</v>
      </c>
      <c r="TA108" s="599" t="e">
        <f>SZ108-AVERAGE(TH94:TH95)</f>
        <v>#DIV/0!</v>
      </c>
      <c r="TB108" s="599" t="e">
        <f>ABS($B$33*TA108*3600)</f>
        <v>#DIV/0!</v>
      </c>
      <c r="TC108" s="657" t="e">
        <f>ABS($B$34*TA108*3600)</f>
        <v>#DIV/0!</v>
      </c>
      <c r="TD108" s="600" t="e">
        <f>TC108*$C$79</f>
        <v>#DIV/0!</v>
      </c>
      <c r="TE108" s="599" t="e">
        <f>TC108*$F$70</f>
        <v>#DIV/0!</v>
      </c>
      <c r="TF108" s="600" t="e">
        <f>TC108*$F$75</f>
        <v>#DIV/0!</v>
      </c>
      <c r="TG108" s="599" t="e">
        <f>TC108*$F$72</f>
        <v>#DIV/0!</v>
      </c>
      <c r="TH108" s="658" t="e">
        <f>TC108*$F$71</f>
        <v>#DIV/0!</v>
      </c>
      <c r="TI108" s="664"/>
      <c r="TJ108" s="660"/>
      <c r="TK108" s="661"/>
      <c r="TL108" s="651"/>
      <c r="TM108" s="662"/>
      <c r="TN108" s="663"/>
      <c r="TO108" s="651">
        <f>IF(AND(ABS(TL108)&gt;=$F$42,ABS(TL108)&lt;=$G$42),TL108*$D$42,IF(AND(ABS(TL108)&gt;=$F$43,ABS(TL108)&lt;=$G$43),TL108*$D$43,IF(AND(ABS(TL108)&gt;=$F$44,ABS(TL108)&lt;=$G$44),TL108*$D$44,"rango cal. out")))</f>
        <v>0</v>
      </c>
      <c r="TP108" s="652" t="e">
        <f>((273.2+TI108)*$F$32/((273.2+$F$31)*TK108))</f>
        <v>#DIV/0!</v>
      </c>
      <c r="TQ108" s="653" t="e">
        <f>TO108/TM108*TP108*EXP(-LN(2)/10990*($F$88-TN108))</f>
        <v>#DIV/0!</v>
      </c>
      <c r="TR108" s="599" t="e">
        <f>TQ108-AVERAGE(TY94:TY95)</f>
        <v>#DIV/0!</v>
      </c>
      <c r="TS108" s="599" t="e">
        <f>ABS($B$33*TR108*3600)</f>
        <v>#DIV/0!</v>
      </c>
      <c r="TT108" s="657" t="e">
        <f>ABS($B$34*TR108*3600)</f>
        <v>#DIV/0!</v>
      </c>
      <c r="TU108" s="600" t="e">
        <f>TT108*$C$79</f>
        <v>#DIV/0!</v>
      </c>
      <c r="TV108" s="599" t="e">
        <f>TT108*$F$70</f>
        <v>#DIV/0!</v>
      </c>
      <c r="TW108" s="600" t="e">
        <f>TT108*$F$75</f>
        <v>#DIV/0!</v>
      </c>
      <c r="TX108" s="599" t="e">
        <f>TT108*$F$72</f>
        <v>#DIV/0!</v>
      </c>
      <c r="TY108" s="658" t="e">
        <f>TT108*$F$71</f>
        <v>#DIV/0!</v>
      </c>
    </row>
    <row r="109" spans="1:545" x14ac:dyDescent="0.25">
      <c r="A109" s="2219"/>
      <c r="B109" s="668"/>
      <c r="C109" s="673"/>
      <c r="D109" s="673"/>
      <c r="E109" s="671"/>
      <c r="F109" s="673"/>
      <c r="G109" s="650"/>
      <c r="H109" s="651"/>
      <c r="I109" s="619"/>
      <c r="J109" s="674"/>
      <c r="K109" s="599"/>
      <c r="L109" s="672"/>
      <c r="M109" s="675"/>
      <c r="N109" s="614"/>
      <c r="O109" s="672"/>
      <c r="P109" s="600"/>
      <c r="Q109" s="672"/>
      <c r="R109" s="676"/>
      <c r="S109" s="677"/>
      <c r="T109" s="669"/>
      <c r="U109" s="670"/>
      <c r="V109" s="671"/>
      <c r="W109" s="678"/>
      <c r="X109" s="650"/>
      <c r="Y109" s="651">
        <f t="shared" ref="Y109:Y112" si="222">IF(AND(ABS(V109)&gt;=$F$42,ABS(V109)&lt;=$G$42),V109*$D$42,IF(AND(ABS(V109)&gt;=$F$43,ABS(V109)&lt;=$G$43),V109*$D$43,IF(AND(ABS(V109)&gt;=$F$44,ABS(V109)&lt;=$G$44),V109*$D$44,"rango cal. out")))</f>
        <v>0</v>
      </c>
      <c r="Z109" s="619" t="e">
        <f>((273.2+S109)*$F$32/((273.2+$F$31)*U109))</f>
        <v>#DIV/0!</v>
      </c>
      <c r="AA109" s="674" t="e">
        <f>Y109/W109*Z109*EXP(-LN(2)/10990*($F$88-X109))</f>
        <v>#DIV/0!</v>
      </c>
      <c r="AB109" s="599" t="e">
        <f>AA109-AVERAGE(AI94:AI95)</f>
        <v>#DIV/0!</v>
      </c>
      <c r="AC109" s="672" t="e">
        <f>ABS($B$33*AB109*3600)</f>
        <v>#DIV/0!</v>
      </c>
      <c r="AD109" s="675" t="e">
        <f>ABS($B$34*AB109*3600)</f>
        <v>#DIV/0!</v>
      </c>
      <c r="AE109" s="614" t="e">
        <f>AD109*$C$79</f>
        <v>#DIV/0!</v>
      </c>
      <c r="AF109" s="672" t="e">
        <f>AD109*$F$70</f>
        <v>#DIV/0!</v>
      </c>
      <c r="AG109" s="600" t="e">
        <f t="shared" ref="AG109:AG112" si="223">AD109*$F$75</f>
        <v>#DIV/0!</v>
      </c>
      <c r="AH109" s="672" t="e">
        <f>AD109*$F$72</f>
        <v>#DIV/0!</v>
      </c>
      <c r="AI109" s="676" t="e">
        <f>AD109*$F$71</f>
        <v>#DIV/0!</v>
      </c>
      <c r="AJ109" s="668"/>
      <c r="AK109" s="669"/>
      <c r="AL109" s="670"/>
      <c r="AM109" s="671"/>
      <c r="AN109" s="678"/>
      <c r="AO109" s="650"/>
      <c r="AP109" s="651">
        <f t="shared" ref="AP109:AP112" si="224">IF(AND(ABS(AM109)&gt;=$F$42,ABS(AM109)&lt;=$G$42),AM109*$D$42,IF(AND(ABS(AM109)&gt;=$F$43,ABS(AM109)&lt;=$G$43),AM109*$D$43,IF(AND(ABS(AM109)&gt;=$F$44,ABS(AM109)&lt;=$G$44),AM109*$D$44,"rango cal. out")))</f>
        <v>0</v>
      </c>
      <c r="AQ109" s="619" t="e">
        <f>((273.2+AJ109)*$F$32/((273.2+$F$31)*AL109))</f>
        <v>#DIV/0!</v>
      </c>
      <c r="AR109" s="674" t="e">
        <f>AP109/AN109*AQ109*EXP(-LN(2)/10990*($F$88-AO109))</f>
        <v>#DIV/0!</v>
      </c>
      <c r="AS109" s="599" t="e">
        <f>AR109-AVERAGE(AZ94:AZ95)</f>
        <v>#DIV/0!</v>
      </c>
      <c r="AT109" s="672" t="e">
        <f>ABS($B$33*AS109*3600)</f>
        <v>#DIV/0!</v>
      </c>
      <c r="AU109" s="675" t="e">
        <f>ABS($B$34*AS109*3600)</f>
        <v>#DIV/0!</v>
      </c>
      <c r="AV109" s="614" t="e">
        <f>AU109*$C$79</f>
        <v>#DIV/0!</v>
      </c>
      <c r="AW109" s="672" t="e">
        <f>AU109*$F$70</f>
        <v>#DIV/0!</v>
      </c>
      <c r="AX109" s="600" t="e">
        <f t="shared" ref="AX109:AX112" si="225">AU109*$F$75</f>
        <v>#DIV/0!</v>
      </c>
      <c r="AY109" s="672" t="e">
        <f>AU109*$F$72</f>
        <v>#DIV/0!</v>
      </c>
      <c r="AZ109" s="676" t="e">
        <f>AU109*$F$71</f>
        <v>#DIV/0!</v>
      </c>
      <c r="BA109" s="668"/>
      <c r="BB109" s="669"/>
      <c r="BC109" s="670"/>
      <c r="BD109" s="671"/>
      <c r="BE109" s="678"/>
      <c r="BF109" s="650"/>
      <c r="BG109" s="651">
        <f t="shared" ref="BG109:BG112" si="226">IF(AND(ABS(BD109)&gt;=$F$42,ABS(BD109)&lt;=$G$42),BD109*$D$42,IF(AND(ABS(BD109)&gt;=$F$43,ABS(BD109)&lt;=$G$43),BD109*$D$43,IF(AND(ABS(BD109)&gt;=$F$44,ABS(BD109)&lt;=$G$44),BD109*$D$44,"rango cal. out")))</f>
        <v>0</v>
      </c>
      <c r="BH109" s="619" t="e">
        <f>((273.2+BA109)*$F$32/((273.2+$F$31)*BC109))</f>
        <v>#DIV/0!</v>
      </c>
      <c r="BI109" s="674" t="e">
        <f>BG109/BE109*BH109*EXP(-LN(2)/10990*($F$88-BF109))</f>
        <v>#DIV/0!</v>
      </c>
      <c r="BJ109" s="599" t="e">
        <f>BI109-AVERAGE(BQ94:BQ95)</f>
        <v>#DIV/0!</v>
      </c>
      <c r="BK109" s="672" t="e">
        <f>ABS($B$33*BJ109*3600)</f>
        <v>#DIV/0!</v>
      </c>
      <c r="BL109" s="675" t="e">
        <f>ABS($B$34*BJ109*3600)</f>
        <v>#DIV/0!</v>
      </c>
      <c r="BM109" s="614" t="e">
        <f>BL109*$C$79</f>
        <v>#DIV/0!</v>
      </c>
      <c r="BN109" s="672" t="e">
        <f>BL109*$F$70</f>
        <v>#DIV/0!</v>
      </c>
      <c r="BO109" s="600" t="e">
        <f t="shared" ref="BO109:BO112" si="227">BL109*$F$75</f>
        <v>#DIV/0!</v>
      </c>
      <c r="BP109" s="672" t="e">
        <f>BL109*$F$72</f>
        <v>#DIV/0!</v>
      </c>
      <c r="BQ109" s="676" t="e">
        <f>BL109*$F$71</f>
        <v>#DIV/0!</v>
      </c>
      <c r="BR109" s="668"/>
      <c r="BS109" s="669"/>
      <c r="BT109" s="670"/>
      <c r="BU109" s="671"/>
      <c r="BV109" s="678"/>
      <c r="BW109" s="650"/>
      <c r="BX109" s="651">
        <f t="shared" ref="BX109:BX112" si="228">IF(AND(ABS(BU109)&gt;=$F$42,ABS(BU109)&lt;=$G$42),BU109*$D$42,IF(AND(ABS(BU109)&gt;=$F$43,ABS(BU109)&lt;=$G$43),BU109*$D$43,IF(AND(ABS(BU109)&gt;=$F$44,ABS(BU109)&lt;=$G$44),BU109*$D$44,"rango cal. out")))</f>
        <v>0</v>
      </c>
      <c r="BY109" s="619" t="e">
        <f>((273.2+BR109)*$F$32/((273.2+$F$31)*BT109))</f>
        <v>#DIV/0!</v>
      </c>
      <c r="BZ109" s="674" t="e">
        <f>BX109/BV109*BY109*EXP(-LN(2)/10990*($F$88-BW109))</f>
        <v>#DIV/0!</v>
      </c>
      <c r="CA109" s="599" t="e">
        <f>BZ109-AVERAGE(CH94:CH95)</f>
        <v>#DIV/0!</v>
      </c>
      <c r="CB109" s="672" t="e">
        <f>ABS($B$33*CA109*3600)</f>
        <v>#DIV/0!</v>
      </c>
      <c r="CC109" s="675" t="e">
        <f>ABS($B$34*CA109*3600)</f>
        <v>#DIV/0!</v>
      </c>
      <c r="CD109" s="614" t="e">
        <f>CC109*$C$79</f>
        <v>#DIV/0!</v>
      </c>
      <c r="CE109" s="672" t="e">
        <f>CC109*$F$70</f>
        <v>#DIV/0!</v>
      </c>
      <c r="CF109" s="600" t="e">
        <f t="shared" ref="CF109:CF112" si="229">CC109*$F$75</f>
        <v>#DIV/0!</v>
      </c>
      <c r="CG109" s="672" t="e">
        <f>CC109*$F$72</f>
        <v>#DIV/0!</v>
      </c>
      <c r="CH109" s="676" t="e">
        <f>CC109*$F$71</f>
        <v>#DIV/0!</v>
      </c>
      <c r="CI109" s="668"/>
      <c r="CJ109" s="669"/>
      <c r="CK109" s="670"/>
      <c r="CL109" s="671"/>
      <c r="CM109" s="678"/>
      <c r="CN109" s="650"/>
      <c r="CO109" s="651">
        <f t="shared" ref="CO109:CO112" si="230">IF(AND(ABS(CL109)&gt;=$F$42,ABS(CL109)&lt;=$G$42),CL109*$D$42,IF(AND(ABS(CL109)&gt;=$F$43,ABS(CL109)&lt;=$G$43),CL109*$D$43,IF(AND(ABS(CL109)&gt;=$F$44,ABS(CL109)&lt;=$G$44),CL109*$D$44,"rango cal. out")))</f>
        <v>0</v>
      </c>
      <c r="CP109" s="619" t="e">
        <f>((273.2+CI109)*$F$32/((273.2+$F$31)*CK109))</f>
        <v>#DIV/0!</v>
      </c>
      <c r="CQ109" s="674" t="e">
        <f>CO109/CM109*CP109*EXP(-LN(2)/10990*($F$88-CN109))</f>
        <v>#DIV/0!</v>
      </c>
      <c r="CR109" s="599" t="e">
        <f>CQ109-AVERAGE(CY94:CY95)</f>
        <v>#DIV/0!</v>
      </c>
      <c r="CS109" s="672" t="e">
        <f>ABS($B$33*CR109*3600)</f>
        <v>#DIV/0!</v>
      </c>
      <c r="CT109" s="675" t="e">
        <f>ABS($B$34*CR109*3600)</f>
        <v>#DIV/0!</v>
      </c>
      <c r="CU109" s="614" t="e">
        <f>CT109*$C$79</f>
        <v>#DIV/0!</v>
      </c>
      <c r="CV109" s="672" t="e">
        <f>CT109*$F$70</f>
        <v>#DIV/0!</v>
      </c>
      <c r="CW109" s="600" t="e">
        <f t="shared" ref="CW109:CW112" si="231">CT109*$F$75</f>
        <v>#DIV/0!</v>
      </c>
      <c r="CX109" s="672" t="e">
        <f>CT109*$F$72</f>
        <v>#DIV/0!</v>
      </c>
      <c r="CY109" s="676" t="e">
        <f>CT109*$F$71</f>
        <v>#DIV/0!</v>
      </c>
      <c r="CZ109" s="668"/>
      <c r="DA109" s="669"/>
      <c r="DB109" s="670"/>
      <c r="DC109" s="671"/>
      <c r="DD109" s="678"/>
      <c r="DE109" s="650"/>
      <c r="DF109" s="651">
        <f t="shared" ref="DF109:DF112" si="232">IF(AND(ABS(DC109)&gt;=$F$42,ABS(DC109)&lt;=$G$42),DC109*$D$42,IF(AND(ABS(DC109)&gt;=$F$43,ABS(DC109)&lt;=$G$43),DC109*$D$43,IF(AND(ABS(DC109)&gt;=$F$44,ABS(DC109)&lt;=$G$44),DC109*$D$44,"rango cal. out")))</f>
        <v>0</v>
      </c>
      <c r="DG109" s="619" t="e">
        <f>((273.2+CZ109)*$F$32/((273.2+$F$31)*DB109))</f>
        <v>#DIV/0!</v>
      </c>
      <c r="DH109" s="674" t="e">
        <f>DF109/DD109*DG109*EXP(-LN(2)/10990*($F$88-DE109))</f>
        <v>#DIV/0!</v>
      </c>
      <c r="DI109" s="599" t="e">
        <f>DH109-AVERAGE(DP94:DP95)</f>
        <v>#DIV/0!</v>
      </c>
      <c r="DJ109" s="672" t="e">
        <f>ABS($B$33*DI109*3600)</f>
        <v>#DIV/0!</v>
      </c>
      <c r="DK109" s="675" t="e">
        <f>ABS($B$34*DI109*3600)</f>
        <v>#DIV/0!</v>
      </c>
      <c r="DL109" s="614" t="e">
        <f>DK109*$C$79</f>
        <v>#DIV/0!</v>
      </c>
      <c r="DM109" s="672" t="e">
        <f>DK109*$F$70</f>
        <v>#DIV/0!</v>
      </c>
      <c r="DN109" s="600" t="e">
        <f t="shared" ref="DN109:DN112" si="233">DK109*$F$75</f>
        <v>#DIV/0!</v>
      </c>
      <c r="DO109" s="672" t="e">
        <f>DK109*$F$72</f>
        <v>#DIV/0!</v>
      </c>
      <c r="DP109" s="676" t="e">
        <f>DK109*$F$71</f>
        <v>#DIV/0!</v>
      </c>
      <c r="DQ109" s="668"/>
      <c r="DR109" s="669"/>
      <c r="DS109" s="677"/>
      <c r="DT109" s="679"/>
      <c r="DU109" s="678"/>
      <c r="DV109" s="650"/>
      <c r="DW109" s="651">
        <f t="shared" ref="DW109:DW112" si="234">IF(AND(ABS(DT109)&gt;=$F$42,ABS(DT109)&lt;=$G$42),DT109*$D$42,IF(AND(ABS(DT109)&gt;=$F$43,ABS(DT109)&lt;=$G$43),DT109*$D$43,IF(AND(ABS(DT109)&gt;=$F$44,ABS(DT109)&lt;=$G$44),DT109*$D$44,"rango cal. out")))</f>
        <v>0</v>
      </c>
      <c r="DX109" s="619" t="e">
        <f>((273.2+DQ109)*$F$32/((273.2+$F$31)*DS109))</f>
        <v>#DIV/0!</v>
      </c>
      <c r="DY109" s="674" t="e">
        <f>DW109/DU109*DX109*EXP(-LN(2)/10990*($F$88-DV109))</f>
        <v>#DIV/0!</v>
      </c>
      <c r="DZ109" s="599" t="e">
        <f>DY109-AVERAGE(EG94:EG95)</f>
        <v>#DIV/0!</v>
      </c>
      <c r="EA109" s="672" t="e">
        <f>ABS($B$33*DZ109*3600)</f>
        <v>#DIV/0!</v>
      </c>
      <c r="EB109" s="675" t="e">
        <f>ABS($B$34*DZ109*3600)</f>
        <v>#DIV/0!</v>
      </c>
      <c r="EC109" s="614" t="e">
        <f>EB109*$C$79</f>
        <v>#DIV/0!</v>
      </c>
      <c r="ED109" s="672" t="e">
        <f>EB109*$F$70</f>
        <v>#DIV/0!</v>
      </c>
      <c r="EE109" s="600" t="e">
        <f t="shared" ref="EE109:EE112" si="235">EB109*$F$75</f>
        <v>#DIV/0!</v>
      </c>
      <c r="EF109" s="672" t="e">
        <f>EB109*$F$72</f>
        <v>#DIV/0!</v>
      </c>
      <c r="EG109" s="676" t="e">
        <f>EB109*$F$71</f>
        <v>#DIV/0!</v>
      </c>
      <c r="EH109" s="668"/>
      <c r="EI109" s="669"/>
      <c r="EJ109" s="670"/>
      <c r="EK109" s="671"/>
      <c r="EL109" s="678"/>
      <c r="EM109" s="650"/>
      <c r="EN109" s="651">
        <f t="shared" ref="EN109:EN112" si="236">IF(AND(ABS(EK109)&gt;=$F$42,ABS(EK109)&lt;=$G$42),EK109*$D$42,IF(AND(ABS(EK109)&gt;=$F$43,ABS(EK109)&lt;=$G$43),EK109*$D$43,IF(AND(ABS(EK109)&gt;=$F$44,ABS(EK109)&lt;=$G$44),EK109*$D$44,"rango cal. out")))</f>
        <v>0</v>
      </c>
      <c r="EO109" s="619" t="e">
        <f>((273.2+EH109)*$F$32/((273.2+$F$31)*EJ109))</f>
        <v>#DIV/0!</v>
      </c>
      <c r="EP109" s="674" t="e">
        <f>EN109/EL109*EO109*EXP(-LN(2)/10990*($F$88-EM109))</f>
        <v>#DIV/0!</v>
      </c>
      <c r="EQ109" s="599" t="e">
        <f>EP109-AVERAGE(EX94:EX95)</f>
        <v>#DIV/0!</v>
      </c>
      <c r="ER109" s="672" t="e">
        <f>ABS($B$33*EQ109*3600)</f>
        <v>#DIV/0!</v>
      </c>
      <c r="ES109" s="675" t="e">
        <f>ABS($B$34*EQ109*3600)</f>
        <v>#DIV/0!</v>
      </c>
      <c r="ET109" s="614" t="e">
        <f>ES109*$C$79</f>
        <v>#DIV/0!</v>
      </c>
      <c r="EU109" s="672" t="e">
        <f>ES109*$F$70</f>
        <v>#DIV/0!</v>
      </c>
      <c r="EV109" s="600" t="e">
        <f t="shared" ref="EV109:EV112" si="237">ES109*$F$75</f>
        <v>#DIV/0!</v>
      </c>
      <c r="EW109" s="672" t="e">
        <f>ES109*$F$72</f>
        <v>#DIV/0!</v>
      </c>
      <c r="EX109" s="676" t="e">
        <f>ES109*$F$71</f>
        <v>#DIV/0!</v>
      </c>
      <c r="EY109" s="668"/>
      <c r="EZ109" s="669"/>
      <c r="FA109" s="670"/>
      <c r="FB109" s="671"/>
      <c r="FC109" s="678"/>
      <c r="FD109" s="650"/>
      <c r="FE109" s="651">
        <f t="shared" ref="FE109:FE112" si="238">IF(AND(ABS(FB109)&gt;=$F$42,ABS(FB109)&lt;=$G$42),FB109*$D$42,IF(AND(ABS(FB109)&gt;=$F$43,ABS(FB109)&lt;=$G$43),FB109*$D$43,IF(AND(ABS(FB109)&gt;=$F$44,ABS(FB109)&lt;=$G$44),FB109*$D$44,"rango cal. out")))</f>
        <v>0</v>
      </c>
      <c r="FF109" s="619" t="e">
        <f>((273.2+EY109)*$F$32/((273.2+$F$31)*FA109))</f>
        <v>#DIV/0!</v>
      </c>
      <c r="FG109" s="674" t="e">
        <f>FE109/FC109*FF109*EXP(-LN(2)/10990*($F$88-FD109))</f>
        <v>#DIV/0!</v>
      </c>
      <c r="FH109" s="599" t="e">
        <f>FG109-AVERAGE(FO94:FO95)</f>
        <v>#DIV/0!</v>
      </c>
      <c r="FI109" s="672" t="e">
        <f>ABS($B$33*FH109*3600)</f>
        <v>#DIV/0!</v>
      </c>
      <c r="FJ109" s="675" t="e">
        <f>ABS($B$34*FH109*3600)</f>
        <v>#DIV/0!</v>
      </c>
      <c r="FK109" s="614" t="e">
        <f>FJ109*$C$79</f>
        <v>#DIV/0!</v>
      </c>
      <c r="FL109" s="672" t="e">
        <f>FJ109*$F$70</f>
        <v>#DIV/0!</v>
      </c>
      <c r="FM109" s="600" t="e">
        <f t="shared" ref="FM109:FM112" si="239">FJ109*$F$75</f>
        <v>#DIV/0!</v>
      </c>
      <c r="FN109" s="672" t="e">
        <f>FJ109*$F$72</f>
        <v>#DIV/0!</v>
      </c>
      <c r="FO109" s="676" t="e">
        <f>FJ109*$F$71</f>
        <v>#DIV/0!</v>
      </c>
      <c r="FP109" s="668"/>
      <c r="FQ109" s="669"/>
      <c r="FR109" s="670"/>
      <c r="FS109" s="671"/>
      <c r="FT109" s="678"/>
      <c r="FU109" s="650"/>
      <c r="FV109" s="651">
        <f t="shared" ref="FV109:FV112" si="240">IF(AND(ABS(FS109)&gt;=$F$42,ABS(FS109)&lt;=$G$42),FS109*$D$42,IF(AND(ABS(FS109)&gt;=$F$43,ABS(FS109)&lt;=$G$43),FS109*$D$43,IF(AND(ABS(FS109)&gt;=$F$44,ABS(FS109)&lt;=$G$44),FS109*$D$44,"rango cal. out")))</f>
        <v>0</v>
      </c>
      <c r="FW109" s="619" t="e">
        <f>((273.2+FP109)*$F$32/((273.2+$F$31)*FR109))</f>
        <v>#DIV/0!</v>
      </c>
      <c r="FX109" s="674" t="e">
        <f>FV109/FT109*FW109*EXP(-LN(2)/10990*($F$88-FU109))</f>
        <v>#DIV/0!</v>
      </c>
      <c r="FY109" s="599" t="e">
        <f>FX109-AVERAGE(GF94:GF95)</f>
        <v>#DIV/0!</v>
      </c>
      <c r="FZ109" s="672" t="e">
        <f>ABS($B$33*FY109*3600)</f>
        <v>#DIV/0!</v>
      </c>
      <c r="GA109" s="675" t="e">
        <f>ABS($B$34*FY109*3600)</f>
        <v>#DIV/0!</v>
      </c>
      <c r="GB109" s="614" t="e">
        <f>GA109*$C$79</f>
        <v>#DIV/0!</v>
      </c>
      <c r="GC109" s="672" t="e">
        <f>GA109*$F$70</f>
        <v>#DIV/0!</v>
      </c>
      <c r="GD109" s="600" t="e">
        <f t="shared" ref="GD109:GD112" si="241">GA109*$F$75</f>
        <v>#DIV/0!</v>
      </c>
      <c r="GE109" s="672" t="e">
        <f>GA109*$F$72</f>
        <v>#DIV/0!</v>
      </c>
      <c r="GF109" s="676" t="e">
        <f>GA109*$F$71</f>
        <v>#DIV/0!</v>
      </c>
      <c r="GG109" s="668"/>
      <c r="GH109" s="669"/>
      <c r="GI109" s="677"/>
      <c r="GJ109" s="679"/>
      <c r="GK109" s="678"/>
      <c r="GL109" s="650"/>
      <c r="GM109" s="651">
        <f t="shared" ref="GM109:GM112" si="242">IF(AND(ABS(GJ109)&gt;=$F$42,ABS(GJ109)&lt;=$G$42),GJ109*$D$42,IF(AND(ABS(GJ109)&gt;=$F$43,ABS(GJ109)&lt;=$G$43),GJ109*$D$43,IF(AND(ABS(GJ109)&gt;=$F$44,ABS(GJ109)&lt;=$G$44),GJ109*$D$44,"rango cal. out")))</f>
        <v>0</v>
      </c>
      <c r="GN109" s="619" t="e">
        <f>((273.2+GG109)*$F$32/((273.2+$F$31)*GI109))</f>
        <v>#DIV/0!</v>
      </c>
      <c r="GO109" s="674" t="e">
        <f>GM109/GK109*GN109*EXP(-LN(2)/10990*($F$88-GL109))</f>
        <v>#DIV/0!</v>
      </c>
      <c r="GP109" s="599" t="e">
        <f>GO109-AVERAGE(GW94:GW95)</f>
        <v>#DIV/0!</v>
      </c>
      <c r="GQ109" s="672" t="e">
        <f>ABS($B$33*GP109*3600)</f>
        <v>#DIV/0!</v>
      </c>
      <c r="GR109" s="675" t="e">
        <f>ABS($B$34*GP109*3600)</f>
        <v>#DIV/0!</v>
      </c>
      <c r="GS109" s="614" t="e">
        <f>GR109*$C$79</f>
        <v>#DIV/0!</v>
      </c>
      <c r="GT109" s="672" t="e">
        <f>GR109*$F$70</f>
        <v>#DIV/0!</v>
      </c>
      <c r="GU109" s="600" t="e">
        <f t="shared" ref="GU109:GU112" si="243">GR109*$F$75</f>
        <v>#DIV/0!</v>
      </c>
      <c r="GV109" s="672" t="e">
        <f>GR109*$F$72</f>
        <v>#DIV/0!</v>
      </c>
      <c r="GW109" s="676" t="e">
        <f>GR109*$F$71</f>
        <v>#DIV/0!</v>
      </c>
      <c r="GX109" s="668"/>
      <c r="GY109" s="669"/>
      <c r="GZ109" s="670"/>
      <c r="HA109" s="671"/>
      <c r="HB109" s="678"/>
      <c r="HC109" s="650"/>
      <c r="HD109" s="651">
        <f t="shared" ref="HD109:HD112" si="244">IF(AND(ABS(HA109)&gt;=$F$42,ABS(HA109)&lt;=$G$42),HA109*$D$42,IF(AND(ABS(HA109)&gt;=$F$43,ABS(HA109)&lt;=$G$43),HA109*$D$43,IF(AND(ABS(HA109)&gt;=$F$44,ABS(HA109)&lt;=$G$44),HA109*$D$44,"rango cal. out")))</f>
        <v>0</v>
      </c>
      <c r="HE109" s="619" t="e">
        <f>((273.2+GX109)*$F$32/((273.2+$F$31)*GZ109))</f>
        <v>#DIV/0!</v>
      </c>
      <c r="HF109" s="674" t="e">
        <f>HD109/HB109*HE109*EXP(-LN(2)/10990*($F$88-HC109))</f>
        <v>#DIV/0!</v>
      </c>
      <c r="HG109" s="599" t="e">
        <f>HF109-AVERAGE(HN94:HN95)</f>
        <v>#DIV/0!</v>
      </c>
      <c r="HH109" s="672" t="e">
        <f>ABS($B$33*HG109*3600)</f>
        <v>#DIV/0!</v>
      </c>
      <c r="HI109" s="675" t="e">
        <f>ABS($B$34*HG109*3600)</f>
        <v>#DIV/0!</v>
      </c>
      <c r="HJ109" s="614" t="e">
        <f>HI109*$C$79</f>
        <v>#DIV/0!</v>
      </c>
      <c r="HK109" s="672" t="e">
        <f>HI109*$F$70</f>
        <v>#DIV/0!</v>
      </c>
      <c r="HL109" s="600" t="e">
        <f t="shared" ref="HL109:HL112" si="245">HI109*$F$75</f>
        <v>#DIV/0!</v>
      </c>
      <c r="HM109" s="672" t="e">
        <f>HI109*$F$72</f>
        <v>#DIV/0!</v>
      </c>
      <c r="HN109" s="676" t="e">
        <f>HI109*$F$71</f>
        <v>#DIV/0!</v>
      </c>
      <c r="HO109" s="668"/>
      <c r="HP109" s="669"/>
      <c r="HQ109" s="670"/>
      <c r="HR109" s="671"/>
      <c r="HS109" s="678"/>
      <c r="HT109" s="650"/>
      <c r="HU109" s="651">
        <f t="shared" ref="HU109:HU112" si="246">IF(AND(ABS(HR109)&gt;=$F$42,ABS(HR109)&lt;=$G$42),HR109*$D$42,IF(AND(ABS(HR109)&gt;=$F$43,ABS(HR109)&lt;=$G$43),HR109*$D$43,IF(AND(ABS(HR109)&gt;=$F$44,ABS(HR109)&lt;=$G$44),HR109*$D$44,"rango cal. out")))</f>
        <v>0</v>
      </c>
      <c r="HV109" s="619" t="e">
        <f>((273.2+HO109)*$F$32/((273.2+$F$31)*HQ109))</f>
        <v>#DIV/0!</v>
      </c>
      <c r="HW109" s="674" t="e">
        <f>HU109/HS109*HV109*EXP(-LN(2)/10990*($F$88-HT109))</f>
        <v>#DIV/0!</v>
      </c>
      <c r="HX109" s="599" t="e">
        <f>HW109-AVERAGE(IE94:IE95)</f>
        <v>#DIV/0!</v>
      </c>
      <c r="HY109" s="672" t="e">
        <f>ABS($B$33*HX109*3600)</f>
        <v>#DIV/0!</v>
      </c>
      <c r="HZ109" s="675" t="e">
        <f>ABS($B$34*HX109*3600)</f>
        <v>#DIV/0!</v>
      </c>
      <c r="IA109" s="614" t="e">
        <f>HZ109*$C$79</f>
        <v>#DIV/0!</v>
      </c>
      <c r="IB109" s="672" t="e">
        <f>HZ109*$F$70</f>
        <v>#DIV/0!</v>
      </c>
      <c r="IC109" s="600" t="e">
        <f t="shared" ref="IC109:IC112" si="247">HZ109*$F$75</f>
        <v>#DIV/0!</v>
      </c>
      <c r="ID109" s="672" t="e">
        <f>HZ109*$F$72</f>
        <v>#DIV/0!</v>
      </c>
      <c r="IE109" s="676" t="e">
        <f>HZ109*$F$71</f>
        <v>#DIV/0!</v>
      </c>
      <c r="IF109" s="668"/>
      <c r="IG109" s="669"/>
      <c r="IH109" s="670"/>
      <c r="II109" s="671"/>
      <c r="IJ109" s="678"/>
      <c r="IK109" s="650"/>
      <c r="IL109" s="651">
        <f t="shared" ref="IL109:IL112" si="248">IF(AND(ABS(II109)&gt;=$F$42,ABS(II109)&lt;=$G$42),II109*$D$42,IF(AND(ABS(II109)&gt;=$F$43,ABS(II109)&lt;=$G$43),II109*$D$43,IF(AND(ABS(II109)&gt;=$F$44,ABS(II109)&lt;=$G$44),II109*$D$44,"rango cal. out")))</f>
        <v>0</v>
      </c>
      <c r="IM109" s="619" t="e">
        <f>((273.2+IF109)*$F$32/((273.2+$F$31)*IH109))</f>
        <v>#DIV/0!</v>
      </c>
      <c r="IN109" s="674" t="e">
        <f>IL109/IJ109*IM109*EXP(-LN(2)/10990*($F$88-IK109))</f>
        <v>#DIV/0!</v>
      </c>
      <c r="IO109" s="599" t="e">
        <f>IN109-AVERAGE(IV94:IV95)</f>
        <v>#DIV/0!</v>
      </c>
      <c r="IP109" s="672" t="e">
        <f>ABS($B$33*IO109*3600)</f>
        <v>#DIV/0!</v>
      </c>
      <c r="IQ109" s="675" t="e">
        <f>ABS($B$34*IO109*3600)</f>
        <v>#DIV/0!</v>
      </c>
      <c r="IR109" s="614" t="e">
        <f>IQ109*$C$79</f>
        <v>#DIV/0!</v>
      </c>
      <c r="IS109" s="672" t="e">
        <f>IQ109*$F$70</f>
        <v>#DIV/0!</v>
      </c>
      <c r="IT109" s="600" t="e">
        <f t="shared" ref="IT109:IT112" si="249">IQ109*$F$75</f>
        <v>#DIV/0!</v>
      </c>
      <c r="IU109" s="672" t="e">
        <f>IQ109*$F$72</f>
        <v>#DIV/0!</v>
      </c>
      <c r="IV109" s="676" t="e">
        <f>IQ109*$F$71</f>
        <v>#DIV/0!</v>
      </c>
      <c r="IW109" s="668"/>
      <c r="IX109" s="669"/>
      <c r="IY109" s="670"/>
      <c r="IZ109" s="671"/>
      <c r="JA109" s="678"/>
      <c r="JB109" s="650"/>
      <c r="JC109" s="651">
        <f t="shared" ref="JC109:JC112" si="250">IF(AND(ABS(IZ109)&gt;=$F$42,ABS(IZ109)&lt;=$G$42),IZ109*$D$42,IF(AND(ABS(IZ109)&gt;=$F$43,ABS(IZ109)&lt;=$G$43),IZ109*$D$43,IF(AND(ABS(IZ109)&gt;=$F$44,ABS(IZ109)&lt;=$G$44),IZ109*$D$44,"rango cal. out")))</f>
        <v>0</v>
      </c>
      <c r="JD109" s="619" t="e">
        <f>((273.2+IW109)*$F$32/((273.2+$F$31)*IY109))</f>
        <v>#DIV/0!</v>
      </c>
      <c r="JE109" s="674" t="e">
        <f>JC109/JA109*JD109*EXP(-LN(2)/10990*($F$88-JB109))</f>
        <v>#DIV/0!</v>
      </c>
      <c r="JF109" s="599" t="e">
        <f>JE109-AVERAGE(JM94:JM95)</f>
        <v>#DIV/0!</v>
      </c>
      <c r="JG109" s="672" t="e">
        <f>ABS($B$33*JF109*3600)</f>
        <v>#DIV/0!</v>
      </c>
      <c r="JH109" s="675" t="e">
        <f>ABS($B$34*JF109*3600)</f>
        <v>#DIV/0!</v>
      </c>
      <c r="JI109" s="614" t="e">
        <f>JH109*$C$79</f>
        <v>#DIV/0!</v>
      </c>
      <c r="JJ109" s="672" t="e">
        <f>JH109*$F$70</f>
        <v>#DIV/0!</v>
      </c>
      <c r="JK109" s="600" t="e">
        <f t="shared" ref="JK109:JK112" si="251">JH109*$F$75</f>
        <v>#DIV/0!</v>
      </c>
      <c r="JL109" s="672" t="e">
        <f>JH109*$F$72</f>
        <v>#DIV/0!</v>
      </c>
      <c r="JM109" s="676" t="e">
        <f>JH109*$F$71</f>
        <v>#DIV/0!</v>
      </c>
      <c r="JN109" s="668"/>
      <c r="JO109" s="669"/>
      <c r="JP109" s="670"/>
      <c r="JQ109" s="671"/>
      <c r="JR109" s="678"/>
      <c r="JS109" s="650"/>
      <c r="JT109" s="651">
        <f t="shared" ref="JT109:JT112" si="252">IF(AND(ABS(JQ109)&gt;=$F$42,ABS(JQ109)&lt;=$G$42),JQ109*$D$42,IF(AND(ABS(JQ109)&gt;=$F$43,ABS(JQ109)&lt;=$G$43),JQ109*$D$43,IF(AND(ABS(JQ109)&gt;=$F$44,ABS(JQ109)&lt;=$G$44),JQ109*$D$44,"rango cal. out")))</f>
        <v>0</v>
      </c>
      <c r="JU109" s="619" t="e">
        <f>((273.2+JN109)*$F$32/((273.2+$F$31)*JP109))</f>
        <v>#DIV/0!</v>
      </c>
      <c r="JV109" s="674" t="e">
        <f>JT109/JR109*JU109*EXP(-LN(2)/10990*($F$88-JS109))</f>
        <v>#DIV/0!</v>
      </c>
      <c r="JW109" s="599" t="e">
        <f>JV109-AVERAGE(KD94:KD95)</f>
        <v>#DIV/0!</v>
      </c>
      <c r="JX109" s="672" t="e">
        <f>ABS($B$33*JW109*3600)</f>
        <v>#DIV/0!</v>
      </c>
      <c r="JY109" s="675" t="e">
        <f>ABS($B$34*JW109*3600)</f>
        <v>#DIV/0!</v>
      </c>
      <c r="JZ109" s="614" t="e">
        <f>JY109*$C$79</f>
        <v>#DIV/0!</v>
      </c>
      <c r="KA109" s="672" t="e">
        <f>JY109*$F$70</f>
        <v>#DIV/0!</v>
      </c>
      <c r="KB109" s="600" t="e">
        <f t="shared" ref="KB109:KB112" si="253">JY109*$F$75</f>
        <v>#DIV/0!</v>
      </c>
      <c r="KC109" s="672" t="e">
        <f>JY109*$F$72</f>
        <v>#DIV/0!</v>
      </c>
      <c r="KD109" s="676" t="e">
        <f>JY109*$F$71</f>
        <v>#DIV/0!</v>
      </c>
      <c r="KE109" s="668"/>
      <c r="KF109" s="669"/>
      <c r="KG109" s="670"/>
      <c r="KH109" s="671"/>
      <c r="KI109" s="678"/>
      <c r="KJ109" s="650"/>
      <c r="KK109" s="651">
        <f t="shared" ref="KK109:KK112" si="254">IF(AND(ABS(KH109)&gt;=$F$42,ABS(KH109)&lt;=$G$42),KH109*$D$42,IF(AND(ABS(KH109)&gt;=$F$43,ABS(KH109)&lt;=$G$43),KH109*$D$43,IF(AND(ABS(KH109)&gt;=$F$44,ABS(KH109)&lt;=$G$44),KH109*$D$44,"rango cal. out")))</f>
        <v>0</v>
      </c>
      <c r="KL109" s="619" t="e">
        <f>((273.2+KE109)*$F$32/((273.2+$F$31)*KG109))</f>
        <v>#DIV/0!</v>
      </c>
      <c r="KM109" s="674" t="e">
        <f>KK109/KI109*KL109*EXP(-LN(2)/10990*($F$88-KJ109))</f>
        <v>#DIV/0!</v>
      </c>
      <c r="KN109" s="599" t="e">
        <f>KM109-AVERAGE(KU94:KU95)</f>
        <v>#DIV/0!</v>
      </c>
      <c r="KO109" s="672" t="e">
        <f>ABS($B$33*KN109*3600)</f>
        <v>#DIV/0!</v>
      </c>
      <c r="KP109" s="675" t="e">
        <f>ABS($B$34*KN109*3600)</f>
        <v>#DIV/0!</v>
      </c>
      <c r="KQ109" s="614" t="e">
        <f>KP109*$C$79</f>
        <v>#DIV/0!</v>
      </c>
      <c r="KR109" s="672" t="e">
        <f>KP109*$F$70</f>
        <v>#DIV/0!</v>
      </c>
      <c r="KS109" s="600" t="e">
        <f t="shared" ref="KS109:KS112" si="255">KP109*$F$75</f>
        <v>#DIV/0!</v>
      </c>
      <c r="KT109" s="672" t="e">
        <f>KP109*$F$72</f>
        <v>#DIV/0!</v>
      </c>
      <c r="KU109" s="676" t="e">
        <f>KP109*$F$71</f>
        <v>#DIV/0!</v>
      </c>
      <c r="KV109" s="668"/>
      <c r="KW109" s="669"/>
      <c r="KX109" s="670"/>
      <c r="KY109" s="671"/>
      <c r="KZ109" s="678"/>
      <c r="LA109" s="650"/>
      <c r="LB109" s="651">
        <f t="shared" ref="LB109:LB112" si="256">IF(AND(ABS(KY109)&gt;=$F$42,ABS(KY109)&lt;=$G$42),KY109*$D$42,IF(AND(ABS(KY109)&gt;=$F$43,ABS(KY109)&lt;=$G$43),KY109*$D$43,IF(AND(ABS(KY109)&gt;=$F$44,ABS(KY109)&lt;=$G$44),KY109*$D$44,"rango cal. out")))</f>
        <v>0</v>
      </c>
      <c r="LC109" s="619" t="e">
        <f>((273.2+KV109)*$F$32/((273.2+$F$31)*KX109))</f>
        <v>#DIV/0!</v>
      </c>
      <c r="LD109" s="674" t="e">
        <f>LB109/KZ109*LC109*EXP(-LN(2)/10990*($F$88-LA109))</f>
        <v>#DIV/0!</v>
      </c>
      <c r="LE109" s="599" t="e">
        <f>LD109-AVERAGE(LL94:LL95)</f>
        <v>#DIV/0!</v>
      </c>
      <c r="LF109" s="672" t="e">
        <f>ABS($B$33*LE109*3600)</f>
        <v>#DIV/0!</v>
      </c>
      <c r="LG109" s="675" t="e">
        <f>ABS($B$34*LE109*3600)</f>
        <v>#DIV/0!</v>
      </c>
      <c r="LH109" s="614" t="e">
        <f>LG109*$C$79</f>
        <v>#DIV/0!</v>
      </c>
      <c r="LI109" s="672" t="e">
        <f>LG109*$F$70</f>
        <v>#DIV/0!</v>
      </c>
      <c r="LJ109" s="600" t="e">
        <f t="shared" ref="LJ109:LJ112" si="257">LG109*$F$75</f>
        <v>#DIV/0!</v>
      </c>
      <c r="LK109" s="672" t="e">
        <f>LG109*$F$72</f>
        <v>#DIV/0!</v>
      </c>
      <c r="LL109" s="676" t="e">
        <f>LG109*$F$71</f>
        <v>#DIV/0!</v>
      </c>
      <c r="LM109" s="668"/>
      <c r="LN109" s="669"/>
      <c r="LO109" s="670"/>
      <c r="LP109" s="671"/>
      <c r="LQ109" s="678"/>
      <c r="LR109" s="650"/>
      <c r="LS109" s="651">
        <f t="shared" ref="LS109:LS112" si="258">IF(AND(ABS(LP109)&gt;=$F$42,ABS(LP109)&lt;=$G$42),LP109*$D$42,IF(AND(ABS(LP109)&gt;=$F$43,ABS(LP109)&lt;=$G$43),LP109*$D$43,IF(AND(ABS(LP109)&gt;=$F$44,ABS(LP109)&lt;=$G$44),LP109*$D$44,"rango cal. out")))</f>
        <v>0</v>
      </c>
      <c r="LT109" s="619" t="e">
        <f>((273.2+LM109)*$F$32/((273.2+$F$31)*LO109))</f>
        <v>#DIV/0!</v>
      </c>
      <c r="LU109" s="674" t="e">
        <f>LS109/LQ109*LT109*EXP(-LN(2)/10990*($F$88-LR109))</f>
        <v>#DIV/0!</v>
      </c>
      <c r="LV109" s="599" t="e">
        <f>LU109-AVERAGE(MC94:MC95)</f>
        <v>#DIV/0!</v>
      </c>
      <c r="LW109" s="672" t="e">
        <f>ABS($B$33*LV109*3600)</f>
        <v>#DIV/0!</v>
      </c>
      <c r="LX109" s="675" t="e">
        <f>ABS($B$34*LV109*3600)</f>
        <v>#DIV/0!</v>
      </c>
      <c r="LY109" s="614" t="e">
        <f>LX109*$C$79</f>
        <v>#DIV/0!</v>
      </c>
      <c r="LZ109" s="672" t="e">
        <f>LX109*$F$70</f>
        <v>#DIV/0!</v>
      </c>
      <c r="MA109" s="600" t="e">
        <f t="shared" ref="MA109:MA112" si="259">LX109*$F$75</f>
        <v>#DIV/0!</v>
      </c>
      <c r="MB109" s="672" t="e">
        <f>LX109*$F$72</f>
        <v>#DIV/0!</v>
      </c>
      <c r="MC109" s="676" t="e">
        <f>LX109*$F$71</f>
        <v>#DIV/0!</v>
      </c>
      <c r="MD109" s="668"/>
      <c r="ME109" s="669"/>
      <c r="MF109" s="680"/>
      <c r="MG109" s="671"/>
      <c r="MH109" s="673"/>
      <c r="MI109" s="650"/>
      <c r="MJ109" s="651">
        <f t="shared" ref="MJ109:MJ112" si="260">IF(AND(ABS(MG109)&gt;=$F$42,ABS(MG109)&lt;=$G$42),MG109*$D$42,IF(AND(ABS(MG109)&gt;=$F$43,ABS(MG109)&lt;=$G$43),MG109*$D$43,IF(AND(ABS(MG109)&gt;=$F$44,ABS(MG109)&lt;=$G$44),MG109*$D$44,"rango cal. out")))</f>
        <v>0</v>
      </c>
      <c r="MK109" s="619" t="e">
        <f>((273.2+MD109)*$F$32/((273.2+$F$31)*MF109))</f>
        <v>#DIV/0!</v>
      </c>
      <c r="ML109" s="674" t="e">
        <f>MJ109/MH109*MK109*EXP(-LN(2)/10990*($F$88-MI109))</f>
        <v>#DIV/0!</v>
      </c>
      <c r="MM109" s="599" t="e">
        <f>ML109-AVERAGE(MT94:MT95)</f>
        <v>#DIV/0!</v>
      </c>
      <c r="MN109" s="672" t="e">
        <f>ABS($B$33*MM109*3600)</f>
        <v>#DIV/0!</v>
      </c>
      <c r="MO109" s="675" t="e">
        <f>ABS($B$34*MM109*3600)</f>
        <v>#DIV/0!</v>
      </c>
      <c r="MP109" s="614" t="e">
        <f>MO109*$C$79</f>
        <v>#DIV/0!</v>
      </c>
      <c r="MQ109" s="672" t="e">
        <f>MO109*$F$70</f>
        <v>#DIV/0!</v>
      </c>
      <c r="MR109" s="600" t="e">
        <f t="shared" ref="MR109:MR112" si="261">MO109*$F$75</f>
        <v>#DIV/0!</v>
      </c>
      <c r="MS109" s="672" t="e">
        <f>MO109*$F$72</f>
        <v>#DIV/0!</v>
      </c>
      <c r="MT109" s="676" t="e">
        <f>MO109*$F$71</f>
        <v>#DIV/0!</v>
      </c>
      <c r="MU109" s="668"/>
      <c r="MV109" s="669"/>
      <c r="MW109" s="670"/>
      <c r="MX109" s="671"/>
      <c r="MY109" s="678"/>
      <c r="MZ109" s="650"/>
      <c r="NA109" s="651">
        <f t="shared" ref="NA109:NA112" si="262">IF(AND(ABS(MX109)&gt;=$F$42,ABS(MX109)&lt;=$G$42),MX109*$D$42,IF(AND(ABS(MX109)&gt;=$F$43,ABS(MX109)&lt;=$G$43),MX109*$D$43,IF(AND(ABS(MX109)&gt;=$F$44,ABS(MX109)&lt;=$G$44),MX109*$D$44,"rango cal. out")))</f>
        <v>0</v>
      </c>
      <c r="NB109" s="619" t="e">
        <f>((273.2+MU109)*$F$32/((273.2+$F$31)*MW109))</f>
        <v>#DIV/0!</v>
      </c>
      <c r="NC109" s="674" t="e">
        <f>NA109/MY109*NB109*EXP(-LN(2)/10990*($F$88-MZ109))</f>
        <v>#DIV/0!</v>
      </c>
      <c r="ND109" s="599" t="e">
        <f>NC109-AVERAGE(NK94:NK95)</f>
        <v>#DIV/0!</v>
      </c>
      <c r="NE109" s="672" t="e">
        <f>ABS($B$33*ND109*3600)</f>
        <v>#DIV/0!</v>
      </c>
      <c r="NF109" s="675" t="e">
        <f>ABS($B$34*ND109*3600)</f>
        <v>#DIV/0!</v>
      </c>
      <c r="NG109" s="614" t="e">
        <f>NF109*$C$79</f>
        <v>#DIV/0!</v>
      </c>
      <c r="NH109" s="672" t="e">
        <f>NF109*$F$70</f>
        <v>#DIV/0!</v>
      </c>
      <c r="NI109" s="600" t="e">
        <f t="shared" ref="NI109:NI112" si="263">NF109*$F$75</f>
        <v>#DIV/0!</v>
      </c>
      <c r="NJ109" s="672" t="e">
        <f>NF109*$F$72</f>
        <v>#DIV/0!</v>
      </c>
      <c r="NK109" s="676" t="e">
        <f>NF109*$F$71</f>
        <v>#DIV/0!</v>
      </c>
      <c r="NL109" s="668"/>
      <c r="NM109" s="669"/>
      <c r="NN109" s="670"/>
      <c r="NO109" s="671"/>
      <c r="NP109" s="678"/>
      <c r="NQ109" s="650"/>
      <c r="NR109" s="651">
        <f t="shared" ref="NR109:NR112" si="264">IF(AND(ABS(NO109)&gt;=$F$42,ABS(NO109)&lt;=$G$42),NO109*$D$42,IF(AND(ABS(NO109)&gt;=$F$43,ABS(NO109)&lt;=$G$43),NO109*$D$43,IF(AND(ABS(NO109)&gt;=$F$44,ABS(NO109)&lt;=$G$44),NO109*$D$44,"rango cal. out")))</f>
        <v>0</v>
      </c>
      <c r="NS109" s="619" t="e">
        <f>((273.2+NL109)*$F$32/((273.2+$F$31)*NN109))</f>
        <v>#DIV/0!</v>
      </c>
      <c r="NT109" s="674" t="e">
        <f>NR109/NP109*NS109*EXP(-LN(2)/10990*($F$88-NQ109))</f>
        <v>#DIV/0!</v>
      </c>
      <c r="NU109" s="599" t="e">
        <f>NT109-AVERAGE(OB94:OB95)</f>
        <v>#DIV/0!</v>
      </c>
      <c r="NV109" s="672" t="e">
        <f>ABS($B$33*NU109*3600)</f>
        <v>#DIV/0!</v>
      </c>
      <c r="NW109" s="675" t="e">
        <f>ABS($B$34*NU109*3600)</f>
        <v>#DIV/0!</v>
      </c>
      <c r="NX109" s="614" t="e">
        <f>NW109*$C$79</f>
        <v>#DIV/0!</v>
      </c>
      <c r="NY109" s="672" t="e">
        <f>NW109*$F$70</f>
        <v>#DIV/0!</v>
      </c>
      <c r="NZ109" s="600" t="e">
        <f t="shared" ref="NZ109:NZ112" si="265">NW109*$F$75</f>
        <v>#DIV/0!</v>
      </c>
      <c r="OA109" s="672" t="e">
        <f>NW109*$F$72</f>
        <v>#DIV/0!</v>
      </c>
      <c r="OB109" s="676" t="e">
        <f>NW109*$F$71</f>
        <v>#DIV/0!</v>
      </c>
      <c r="OC109" s="668"/>
      <c r="OD109" s="669"/>
      <c r="OE109" s="670"/>
      <c r="OF109" s="671"/>
      <c r="OG109" s="678"/>
      <c r="OH109" s="650"/>
      <c r="OI109" s="651">
        <f t="shared" ref="OI109:OI112" si="266">IF(AND(ABS(OF109)&gt;=$F$42,ABS(OF109)&lt;=$G$42),OF109*$D$42,IF(AND(ABS(OF109)&gt;=$F$43,ABS(OF109)&lt;=$G$43),OF109*$D$43,IF(AND(ABS(OF109)&gt;=$F$44,ABS(OF109)&lt;=$G$44),OF109*$D$44,"rango cal. out")))</f>
        <v>0</v>
      </c>
      <c r="OJ109" s="619" t="e">
        <f>((273.2+OC109)*$F$32/((273.2+$F$31)*OE109))</f>
        <v>#DIV/0!</v>
      </c>
      <c r="OK109" s="674" t="e">
        <f>OI109/OG109*OJ109*EXP(-LN(2)/10990*($F$88-OH109))</f>
        <v>#DIV/0!</v>
      </c>
      <c r="OL109" s="599" t="e">
        <f>OK109-AVERAGE(OS94:OS95)</f>
        <v>#DIV/0!</v>
      </c>
      <c r="OM109" s="672" t="e">
        <f>ABS($B$33*OL109*3600)</f>
        <v>#DIV/0!</v>
      </c>
      <c r="ON109" s="675" t="e">
        <f>ABS($B$34*OL109*3600)</f>
        <v>#DIV/0!</v>
      </c>
      <c r="OO109" s="614" t="e">
        <f>ON109*$C$79</f>
        <v>#DIV/0!</v>
      </c>
      <c r="OP109" s="672" t="e">
        <f>ON109*$F$70</f>
        <v>#DIV/0!</v>
      </c>
      <c r="OQ109" s="600" t="e">
        <f t="shared" ref="OQ109:OQ112" si="267">ON109*$F$75</f>
        <v>#DIV/0!</v>
      </c>
      <c r="OR109" s="672" t="e">
        <f>ON109*$F$72</f>
        <v>#DIV/0!</v>
      </c>
      <c r="OS109" s="676" t="e">
        <f>ON109*$F$71</f>
        <v>#DIV/0!</v>
      </c>
      <c r="OT109" s="668"/>
      <c r="OU109" s="669"/>
      <c r="OV109" s="670"/>
      <c r="OW109" s="671"/>
      <c r="OX109" s="678"/>
      <c r="OY109" s="650"/>
      <c r="OZ109" s="651">
        <f t="shared" ref="OZ109:OZ112" si="268">IF(AND(ABS(OW109)&gt;=$F$42,ABS(OW109)&lt;=$G$42),OW109*$D$42,IF(AND(ABS(OW109)&gt;=$F$43,ABS(OW109)&lt;=$G$43),OW109*$D$43,IF(AND(ABS(OW109)&gt;=$F$44,ABS(OW109)&lt;=$G$44),OW109*$D$44,"rango cal. out")))</f>
        <v>0</v>
      </c>
      <c r="PA109" s="619" t="e">
        <f>((273.2+OT109)*$F$32/((273.2+$F$31)*OV109))</f>
        <v>#DIV/0!</v>
      </c>
      <c r="PB109" s="674" t="e">
        <f>OZ109/OX109*PA109*EXP(-LN(2)/10990*($F$88-OY109))</f>
        <v>#DIV/0!</v>
      </c>
      <c r="PC109" s="599" t="e">
        <f>PB109-AVERAGE(PJ94:PJ95)</f>
        <v>#DIV/0!</v>
      </c>
      <c r="PD109" s="672" t="e">
        <f>ABS($B$33*PC109*3600)</f>
        <v>#DIV/0!</v>
      </c>
      <c r="PE109" s="675" t="e">
        <f>ABS($B$34*PC109*3600)</f>
        <v>#DIV/0!</v>
      </c>
      <c r="PF109" s="614" t="e">
        <f>PE109*$C$79</f>
        <v>#DIV/0!</v>
      </c>
      <c r="PG109" s="672" t="e">
        <f>PE109*$F$70</f>
        <v>#DIV/0!</v>
      </c>
      <c r="PH109" s="600" t="e">
        <f t="shared" ref="PH109:PH112" si="269">PE109*$F$75</f>
        <v>#DIV/0!</v>
      </c>
      <c r="PI109" s="672" t="e">
        <f>PE109*$F$72</f>
        <v>#DIV/0!</v>
      </c>
      <c r="PJ109" s="676" t="e">
        <f>PE109*$F$71</f>
        <v>#DIV/0!</v>
      </c>
      <c r="PK109" s="668"/>
      <c r="PL109" s="669"/>
      <c r="PM109" s="670"/>
      <c r="PN109" s="671"/>
      <c r="PO109" s="678"/>
      <c r="PP109" s="650"/>
      <c r="PQ109" s="651">
        <f t="shared" ref="PQ109:PQ112" si="270">IF(AND(ABS(PN109)&gt;=$F$42,ABS(PN109)&lt;=$G$42),PN109*$D$42,IF(AND(ABS(PN109)&gt;=$F$43,ABS(PN109)&lt;=$G$43),PN109*$D$43,IF(AND(ABS(PN109)&gt;=$F$44,ABS(PN109)&lt;=$G$44),PN109*$D$44,"rango cal. out")))</f>
        <v>0</v>
      </c>
      <c r="PR109" s="619" t="e">
        <f>((273.2+PK109)*$F$32/((273.2+$F$31)*PM109))</f>
        <v>#DIV/0!</v>
      </c>
      <c r="PS109" s="674" t="e">
        <f>PQ109/PO109*PR109*EXP(-LN(2)/10990*($F$88-PP109))</f>
        <v>#DIV/0!</v>
      </c>
      <c r="PT109" s="599" t="e">
        <f>PS109-AVERAGE(QA94:QA95)</f>
        <v>#DIV/0!</v>
      </c>
      <c r="PU109" s="672" t="e">
        <f>ABS($B$33*PT109*3600)</f>
        <v>#DIV/0!</v>
      </c>
      <c r="PV109" s="675" t="e">
        <f>ABS($B$34*PT109*3600)</f>
        <v>#DIV/0!</v>
      </c>
      <c r="PW109" s="614" t="e">
        <f>PV109*$C$79</f>
        <v>#DIV/0!</v>
      </c>
      <c r="PX109" s="672" t="e">
        <f>PV109*$F$70</f>
        <v>#DIV/0!</v>
      </c>
      <c r="PY109" s="600" t="e">
        <f t="shared" ref="PY109:PY112" si="271">PV109*$F$75</f>
        <v>#DIV/0!</v>
      </c>
      <c r="PZ109" s="672" t="e">
        <f>PV109*$F$72</f>
        <v>#DIV/0!</v>
      </c>
      <c r="QA109" s="676" t="e">
        <f>PV109*$F$71</f>
        <v>#DIV/0!</v>
      </c>
      <c r="QB109" s="668"/>
      <c r="QC109" s="669"/>
      <c r="QD109" s="670"/>
      <c r="QE109" s="671"/>
      <c r="QF109" s="673"/>
      <c r="QG109" s="650"/>
      <c r="QH109" s="651">
        <f t="shared" ref="QH109:QH112" si="272">IF(AND(ABS(QE109)&gt;=$F$42,ABS(QE109)&lt;=$G$42),QE109*$D$42,IF(AND(ABS(QE109)&gt;=$F$43,ABS(QE109)&lt;=$G$43),QE109*$D$43,IF(AND(ABS(QE109)&gt;=$F$44,ABS(QE109)&lt;=$G$44),QE109*$D$44,"rango cal. out")))</f>
        <v>0</v>
      </c>
      <c r="QI109" s="619" t="e">
        <f>((273.2+QB109)*$F$32/((273.2+$F$31)*QD109))</f>
        <v>#DIV/0!</v>
      </c>
      <c r="QJ109" s="674" t="e">
        <f>QH109/QF109*QI109*EXP(-LN(2)/10990*($F$88-QG109))</f>
        <v>#DIV/0!</v>
      </c>
      <c r="QK109" s="599" t="e">
        <f>QJ109-AVERAGE(QR94:QR95)</f>
        <v>#DIV/0!</v>
      </c>
      <c r="QL109" s="672" t="e">
        <f>ABS($B$33*QK109*3600)</f>
        <v>#DIV/0!</v>
      </c>
      <c r="QM109" s="675" t="e">
        <f>ABS($B$34*QK109*3600)</f>
        <v>#DIV/0!</v>
      </c>
      <c r="QN109" s="614" t="e">
        <f>QM109*$C$79</f>
        <v>#DIV/0!</v>
      </c>
      <c r="QO109" s="672" t="e">
        <f>QM109*$F$70</f>
        <v>#DIV/0!</v>
      </c>
      <c r="QP109" s="600" t="e">
        <f t="shared" ref="QP109:QP112" si="273">QM109*$F$75</f>
        <v>#DIV/0!</v>
      </c>
      <c r="QQ109" s="672" t="e">
        <f>QM109*$F$72</f>
        <v>#DIV/0!</v>
      </c>
      <c r="QR109" s="676" t="e">
        <f>QM109*$F$71</f>
        <v>#DIV/0!</v>
      </c>
      <c r="QS109" s="668"/>
      <c r="QT109" s="669"/>
      <c r="QU109" s="677"/>
      <c r="QV109" s="679"/>
      <c r="QW109" s="678"/>
      <c r="QX109" s="650"/>
      <c r="QY109" s="651">
        <f t="shared" ref="QY109:QY112" si="274">IF(AND(ABS(QV109)&gt;=$F$42,ABS(QV109)&lt;=$G$42),QV109*$D$42,IF(AND(ABS(QV109)&gt;=$F$43,ABS(QV109)&lt;=$G$43),QV109*$D$43,IF(AND(ABS(QV109)&gt;=$F$44,ABS(QV109)&lt;=$G$44),QV109*$D$44,"rango cal. out")))</f>
        <v>0</v>
      </c>
      <c r="QZ109" s="619" t="e">
        <f>((273.2+QS109)*$F$32/((273.2+$F$31)*QU109))</f>
        <v>#DIV/0!</v>
      </c>
      <c r="RA109" s="674" t="e">
        <f>QY109/QW109*QZ109*EXP(-LN(2)/10990*($F$88-QX109))</f>
        <v>#DIV/0!</v>
      </c>
      <c r="RB109" s="599" t="e">
        <f>RA109-AVERAGE(RI94:RI95)</f>
        <v>#DIV/0!</v>
      </c>
      <c r="RC109" s="672" t="e">
        <f>ABS($B$33*RB109*3600)</f>
        <v>#DIV/0!</v>
      </c>
      <c r="RD109" s="675" t="e">
        <f>ABS($B$34*RB109*3600)</f>
        <v>#DIV/0!</v>
      </c>
      <c r="RE109" s="614" t="e">
        <f>RD109*$C$79</f>
        <v>#DIV/0!</v>
      </c>
      <c r="RF109" s="672" t="e">
        <f>RD109*$F$70</f>
        <v>#DIV/0!</v>
      </c>
      <c r="RG109" s="600" t="e">
        <f t="shared" ref="RG109:RG112" si="275">RD109*$F$75</f>
        <v>#DIV/0!</v>
      </c>
      <c r="RH109" s="672" t="e">
        <f>RD109*$F$72</f>
        <v>#DIV/0!</v>
      </c>
      <c r="RI109" s="676" t="e">
        <f>RD109*$F$71</f>
        <v>#DIV/0!</v>
      </c>
      <c r="RJ109" s="668"/>
      <c r="RK109" s="669"/>
      <c r="RL109" s="670"/>
      <c r="RM109" s="671"/>
      <c r="RN109" s="678"/>
      <c r="RO109" s="650"/>
      <c r="RP109" s="651">
        <f t="shared" ref="RP109:RP112" si="276">IF(AND(ABS(RM109)&gt;=$F$42,ABS(RM109)&lt;=$G$42),RM109*$D$42,IF(AND(ABS(RM109)&gt;=$F$43,ABS(RM109)&lt;=$G$43),RM109*$D$43,IF(AND(ABS(RM109)&gt;=$F$44,ABS(RM109)&lt;=$G$44),RM109*$D$44,"rango cal. out")))</f>
        <v>0</v>
      </c>
      <c r="RQ109" s="619" t="e">
        <f>((273.2+RJ109)*$F$32/((273.2+$F$31)*RL109))</f>
        <v>#DIV/0!</v>
      </c>
      <c r="RR109" s="674" t="e">
        <f>RP109/RN109*RQ109*EXP(-LN(2)/10990*($F$88-RO109))</f>
        <v>#DIV/0!</v>
      </c>
      <c r="RS109" s="599" t="e">
        <f>RR109-AVERAGE(RZ94:RZ95)</f>
        <v>#DIV/0!</v>
      </c>
      <c r="RT109" s="672" t="e">
        <f>ABS($B$33*RS109*3600)</f>
        <v>#DIV/0!</v>
      </c>
      <c r="RU109" s="675" t="e">
        <f>ABS($B$34*RS109*3600)</f>
        <v>#DIV/0!</v>
      </c>
      <c r="RV109" s="614" t="e">
        <f>RU109*$C$79</f>
        <v>#DIV/0!</v>
      </c>
      <c r="RW109" s="672" t="e">
        <f>RU109*$F$70</f>
        <v>#DIV/0!</v>
      </c>
      <c r="RX109" s="600" t="e">
        <f t="shared" ref="RX109:RX112" si="277">RU109*$F$75</f>
        <v>#DIV/0!</v>
      </c>
      <c r="RY109" s="672" t="e">
        <f>RU109*$F$72</f>
        <v>#DIV/0!</v>
      </c>
      <c r="RZ109" s="676" t="e">
        <f>RU109*$F$71</f>
        <v>#DIV/0!</v>
      </c>
      <c r="SA109" s="668"/>
      <c r="SB109" s="669"/>
      <c r="SC109" s="670"/>
      <c r="SD109" s="671"/>
      <c r="SE109" s="678"/>
      <c r="SF109" s="650"/>
      <c r="SG109" s="651">
        <f t="shared" ref="SG109:SG112" si="278">IF(AND(ABS(SD109)&gt;=$F$42,ABS(SD109)&lt;=$G$42),SD109*$D$42,IF(AND(ABS(SD109)&gt;=$F$43,ABS(SD109)&lt;=$G$43),SD109*$D$43,IF(AND(ABS(SD109)&gt;=$F$44,ABS(SD109)&lt;=$G$44),SD109*$D$44,"rango cal. out")))</f>
        <v>0</v>
      </c>
      <c r="SH109" s="619" t="e">
        <f>((273.2+SA109)*$F$32/((273.2+$F$31)*SC109))</f>
        <v>#DIV/0!</v>
      </c>
      <c r="SI109" s="674" t="e">
        <f>SG109/SE109*SH109*EXP(-LN(2)/10990*($F$88-SF109))</f>
        <v>#DIV/0!</v>
      </c>
      <c r="SJ109" s="599" t="e">
        <f>SI109-AVERAGE(SQ94:SQ95)</f>
        <v>#DIV/0!</v>
      </c>
      <c r="SK109" s="672" t="e">
        <f>ABS($B$33*SJ109*3600)</f>
        <v>#DIV/0!</v>
      </c>
      <c r="SL109" s="675" t="e">
        <f>ABS($B$34*SJ109*3600)</f>
        <v>#DIV/0!</v>
      </c>
      <c r="SM109" s="614" t="e">
        <f>SL109*$C$79</f>
        <v>#DIV/0!</v>
      </c>
      <c r="SN109" s="672" t="e">
        <f>SL109*$F$70</f>
        <v>#DIV/0!</v>
      </c>
      <c r="SO109" s="600" t="e">
        <f t="shared" ref="SO109:SO112" si="279">SL109*$F$75</f>
        <v>#DIV/0!</v>
      </c>
      <c r="SP109" s="672" t="e">
        <f>SL109*$F$72</f>
        <v>#DIV/0!</v>
      </c>
      <c r="SQ109" s="676" t="e">
        <f>SL109*$F$71</f>
        <v>#DIV/0!</v>
      </c>
      <c r="SR109" s="668"/>
      <c r="SS109" s="669"/>
      <c r="ST109" s="670"/>
      <c r="SU109" s="671"/>
      <c r="SV109" s="678"/>
      <c r="SW109" s="650"/>
      <c r="SX109" s="651">
        <f t="shared" ref="SX109:SX112" si="280">IF(AND(ABS(SU109)&gt;=$F$42,ABS(SU109)&lt;=$G$42),SU109*$D$42,IF(AND(ABS(SU109)&gt;=$F$43,ABS(SU109)&lt;=$G$43),SU109*$D$43,IF(AND(ABS(SU109)&gt;=$F$44,ABS(SU109)&lt;=$G$44),SU109*$D$44,"rango cal. out")))</f>
        <v>0</v>
      </c>
      <c r="SY109" s="619" t="e">
        <f>((273.2+SR109)*$F$32/((273.2+$F$31)*ST109))</f>
        <v>#DIV/0!</v>
      </c>
      <c r="SZ109" s="674" t="e">
        <f>SX109/SV109*SY109*EXP(-LN(2)/10990*($F$88-SW109))</f>
        <v>#DIV/0!</v>
      </c>
      <c r="TA109" s="599" t="e">
        <f>SZ109-AVERAGE(TH94:TH95)</f>
        <v>#DIV/0!</v>
      </c>
      <c r="TB109" s="672" t="e">
        <f>ABS($B$33*TA109*3600)</f>
        <v>#DIV/0!</v>
      </c>
      <c r="TC109" s="675" t="e">
        <f>ABS($B$34*TA109*3600)</f>
        <v>#DIV/0!</v>
      </c>
      <c r="TD109" s="614" t="e">
        <f>TC109*$C$79</f>
        <v>#DIV/0!</v>
      </c>
      <c r="TE109" s="672" t="e">
        <f>TC109*$F$70</f>
        <v>#DIV/0!</v>
      </c>
      <c r="TF109" s="600" t="e">
        <f t="shared" ref="TF109:TF112" si="281">TC109*$F$75</f>
        <v>#DIV/0!</v>
      </c>
      <c r="TG109" s="672" t="e">
        <f>TC109*$F$72</f>
        <v>#DIV/0!</v>
      </c>
      <c r="TH109" s="676" t="e">
        <f>TC109*$F$71</f>
        <v>#DIV/0!</v>
      </c>
      <c r="TI109" s="668"/>
      <c r="TJ109" s="669"/>
      <c r="TK109" s="670"/>
      <c r="TL109" s="671"/>
      <c r="TM109" s="678"/>
      <c r="TN109" s="650"/>
      <c r="TO109" s="651">
        <f t="shared" ref="TO109:TO112" si="282">IF(AND(ABS(TL109)&gt;=$F$42,ABS(TL109)&lt;=$G$42),TL109*$D$42,IF(AND(ABS(TL109)&gt;=$F$43,ABS(TL109)&lt;=$G$43),TL109*$D$43,IF(AND(ABS(TL109)&gt;=$F$44,ABS(TL109)&lt;=$G$44),TL109*$D$44,"rango cal. out")))</f>
        <v>0</v>
      </c>
      <c r="TP109" s="619" t="e">
        <f>((273.2+TI109)*$F$32/((273.2+$F$31)*TK109))</f>
        <v>#DIV/0!</v>
      </c>
      <c r="TQ109" s="674" t="e">
        <f>TO109/TM109*TP109*EXP(-LN(2)/10990*($F$88-TN109))</f>
        <v>#DIV/0!</v>
      </c>
      <c r="TR109" s="599" t="e">
        <f>TQ109-AVERAGE(TY94:TY95)</f>
        <v>#DIV/0!</v>
      </c>
      <c r="TS109" s="672" t="e">
        <f>ABS($B$33*TR109*3600)</f>
        <v>#DIV/0!</v>
      </c>
      <c r="TT109" s="675" t="e">
        <f>ABS($B$34*TR109*3600)</f>
        <v>#DIV/0!</v>
      </c>
      <c r="TU109" s="614" t="e">
        <f>TT109*$C$79</f>
        <v>#DIV/0!</v>
      </c>
      <c r="TV109" s="672" t="e">
        <f>TT109*$F$70</f>
        <v>#DIV/0!</v>
      </c>
      <c r="TW109" s="600" t="e">
        <f t="shared" ref="TW109:TW112" si="283">TT109*$F$75</f>
        <v>#DIV/0!</v>
      </c>
      <c r="TX109" s="672" t="e">
        <f>TT109*$F$72</f>
        <v>#DIV/0!</v>
      </c>
      <c r="TY109" s="676" t="e">
        <f>TT109*$F$71</f>
        <v>#DIV/0!</v>
      </c>
    </row>
    <row r="110" spans="1:545" x14ac:dyDescent="0.25">
      <c r="A110" s="2219"/>
      <c r="B110" s="668"/>
      <c r="C110" s="673"/>
      <c r="D110" s="673"/>
      <c r="E110" s="671"/>
      <c r="F110" s="673"/>
      <c r="G110" s="650"/>
      <c r="H110" s="651"/>
      <c r="I110" s="619"/>
      <c r="J110" s="674"/>
      <c r="K110" s="599"/>
      <c r="L110" s="672"/>
      <c r="M110" s="675"/>
      <c r="N110" s="672"/>
      <c r="O110" s="672"/>
      <c r="P110" s="600"/>
      <c r="Q110" s="672"/>
      <c r="R110" s="676"/>
      <c r="S110" s="677"/>
      <c r="T110" s="669"/>
      <c r="U110" s="670"/>
      <c r="V110" s="671"/>
      <c r="W110" s="678"/>
      <c r="X110" s="650"/>
      <c r="Y110" s="651">
        <f t="shared" si="222"/>
        <v>0</v>
      </c>
      <c r="Z110" s="619" t="e">
        <f>((273.2+S110)*$F$32/((273.2+$F$31)*U110))</f>
        <v>#DIV/0!</v>
      </c>
      <c r="AA110" s="674" t="e">
        <f>Y110/W110*Z110*EXP(-LN(2)/10990*($F$88-X110))</f>
        <v>#DIV/0!</v>
      </c>
      <c r="AB110" s="599" t="e">
        <f>AA110-AVERAGE(AI94:AI95)</f>
        <v>#DIV/0!</v>
      </c>
      <c r="AC110" s="672" t="e">
        <f>ABS($B$33*AB110*3600)</f>
        <v>#DIV/0!</v>
      </c>
      <c r="AD110" s="675" t="e">
        <f>ABS($B$34*AB110*3600)</f>
        <v>#DIV/0!</v>
      </c>
      <c r="AE110" s="672" t="e">
        <f>AD110*$C$79</f>
        <v>#DIV/0!</v>
      </c>
      <c r="AF110" s="672" t="e">
        <f>AD110*$F$70</f>
        <v>#DIV/0!</v>
      </c>
      <c r="AG110" s="599" t="e">
        <f>AD110*$F$75</f>
        <v>#DIV/0!</v>
      </c>
      <c r="AH110" s="672" t="e">
        <f>AD110*$F$72</f>
        <v>#DIV/0!</v>
      </c>
      <c r="AI110" s="676" t="e">
        <f>AD110*$F$71</f>
        <v>#DIV/0!</v>
      </c>
      <c r="AJ110" s="668"/>
      <c r="AK110" s="669"/>
      <c r="AL110" s="670"/>
      <c r="AM110" s="671"/>
      <c r="AN110" s="678"/>
      <c r="AO110" s="650"/>
      <c r="AP110" s="651">
        <f t="shared" si="224"/>
        <v>0</v>
      </c>
      <c r="AQ110" s="619" t="e">
        <f>((273.2+AJ110)*$F$32/((273.2+$F$31)*AL110))</f>
        <v>#DIV/0!</v>
      </c>
      <c r="AR110" s="674" t="e">
        <f>AP110/AN110*AQ110*EXP(-LN(2)/10990*($F$88-AO110))</f>
        <v>#DIV/0!</v>
      </c>
      <c r="AS110" s="599" t="e">
        <f>AR110-AVERAGE(AZ94:AZ95)</f>
        <v>#DIV/0!</v>
      </c>
      <c r="AT110" s="672" t="e">
        <f>ABS($B$33*AS110*3600)</f>
        <v>#DIV/0!</v>
      </c>
      <c r="AU110" s="675" t="e">
        <f>ABS($B$34*AS110*3600)</f>
        <v>#DIV/0!</v>
      </c>
      <c r="AV110" s="672" t="e">
        <f>AU110*$C$79</f>
        <v>#DIV/0!</v>
      </c>
      <c r="AW110" s="672" t="e">
        <f>AU110*$F$70</f>
        <v>#DIV/0!</v>
      </c>
      <c r="AX110" s="599" t="e">
        <f>AU110*$F$75</f>
        <v>#DIV/0!</v>
      </c>
      <c r="AY110" s="672" t="e">
        <f>AU110*$F$72</f>
        <v>#DIV/0!</v>
      </c>
      <c r="AZ110" s="676" t="e">
        <f>AU110*$F$71</f>
        <v>#DIV/0!</v>
      </c>
      <c r="BA110" s="668"/>
      <c r="BB110" s="669"/>
      <c r="BC110" s="670"/>
      <c r="BD110" s="671"/>
      <c r="BE110" s="678"/>
      <c r="BF110" s="650"/>
      <c r="BG110" s="651">
        <f t="shared" si="226"/>
        <v>0</v>
      </c>
      <c r="BH110" s="619" t="e">
        <f>((273.2+BA110)*$F$32/((273.2+$F$31)*BC110))</f>
        <v>#DIV/0!</v>
      </c>
      <c r="BI110" s="674" t="e">
        <f>BG110/BE110*BH110*EXP(-LN(2)/10990*($F$88-BF110))</f>
        <v>#DIV/0!</v>
      </c>
      <c r="BJ110" s="599" t="e">
        <f>BI110-AVERAGE(BQ94:BQ95)</f>
        <v>#DIV/0!</v>
      </c>
      <c r="BK110" s="672" t="e">
        <f>ABS($B$33*BJ110*3600)</f>
        <v>#DIV/0!</v>
      </c>
      <c r="BL110" s="675" t="e">
        <f>ABS($B$34*BJ110*3600)</f>
        <v>#DIV/0!</v>
      </c>
      <c r="BM110" s="672" t="e">
        <f>BL110*$C$79</f>
        <v>#DIV/0!</v>
      </c>
      <c r="BN110" s="672" t="e">
        <f>BL110*$F$70</f>
        <v>#DIV/0!</v>
      </c>
      <c r="BO110" s="599" t="e">
        <f>BL110*$F$75</f>
        <v>#DIV/0!</v>
      </c>
      <c r="BP110" s="672" t="e">
        <f>BL110*$F$72</f>
        <v>#DIV/0!</v>
      </c>
      <c r="BQ110" s="676" t="e">
        <f>BL110*$F$71</f>
        <v>#DIV/0!</v>
      </c>
      <c r="BR110" s="668"/>
      <c r="BS110" s="669"/>
      <c r="BT110" s="670"/>
      <c r="BU110" s="671"/>
      <c r="BV110" s="678"/>
      <c r="BW110" s="650"/>
      <c r="BX110" s="651">
        <f t="shared" si="228"/>
        <v>0</v>
      </c>
      <c r="BY110" s="619" t="e">
        <f>((273.2+BR110)*$F$32/((273.2+$F$31)*BT110))</f>
        <v>#DIV/0!</v>
      </c>
      <c r="BZ110" s="674" t="e">
        <f>BX110/BV110*BY110*EXP(-LN(2)/10990*($F$88-BW110))</f>
        <v>#DIV/0!</v>
      </c>
      <c r="CA110" s="599" t="e">
        <f>BZ110-AVERAGE(CH94:CH95)</f>
        <v>#DIV/0!</v>
      </c>
      <c r="CB110" s="672" t="e">
        <f>ABS($B$33*CA110*3600)</f>
        <v>#DIV/0!</v>
      </c>
      <c r="CC110" s="675" t="e">
        <f>ABS($B$34*CA110*3600)</f>
        <v>#DIV/0!</v>
      </c>
      <c r="CD110" s="672" t="e">
        <f>CC110*$C$79</f>
        <v>#DIV/0!</v>
      </c>
      <c r="CE110" s="672" t="e">
        <f>CC110*$F$70</f>
        <v>#DIV/0!</v>
      </c>
      <c r="CF110" s="599" t="e">
        <f>CC110*$F$75</f>
        <v>#DIV/0!</v>
      </c>
      <c r="CG110" s="672" t="e">
        <f>CC110*$F$72</f>
        <v>#DIV/0!</v>
      </c>
      <c r="CH110" s="676" t="e">
        <f>CC110*$F$71</f>
        <v>#DIV/0!</v>
      </c>
      <c r="CI110" s="668"/>
      <c r="CJ110" s="669"/>
      <c r="CK110" s="670"/>
      <c r="CL110" s="671"/>
      <c r="CM110" s="678"/>
      <c r="CN110" s="650"/>
      <c r="CO110" s="651">
        <f t="shared" si="230"/>
        <v>0</v>
      </c>
      <c r="CP110" s="619" t="e">
        <f>((273.2+CI110)*$F$32/((273.2+$F$31)*CK110))</f>
        <v>#DIV/0!</v>
      </c>
      <c r="CQ110" s="674" t="e">
        <f>CO110/CM110*CP110*EXP(-LN(2)/10990*($F$88-CN110))</f>
        <v>#DIV/0!</v>
      </c>
      <c r="CR110" s="599" t="e">
        <f>CQ110-AVERAGE(CY94:CY95)</f>
        <v>#DIV/0!</v>
      </c>
      <c r="CS110" s="672" t="e">
        <f>ABS($B$33*CR110*3600)</f>
        <v>#DIV/0!</v>
      </c>
      <c r="CT110" s="675" t="e">
        <f>ABS($B$34*CR110*3600)</f>
        <v>#DIV/0!</v>
      </c>
      <c r="CU110" s="672" t="e">
        <f>CT110*$C$79</f>
        <v>#DIV/0!</v>
      </c>
      <c r="CV110" s="672" t="e">
        <f>CT110*$F$70</f>
        <v>#DIV/0!</v>
      </c>
      <c r="CW110" s="599" t="e">
        <f>CT110*$F$75</f>
        <v>#DIV/0!</v>
      </c>
      <c r="CX110" s="672" t="e">
        <f>CT110*$F$72</f>
        <v>#DIV/0!</v>
      </c>
      <c r="CY110" s="676" t="e">
        <f>CT110*$F$71</f>
        <v>#DIV/0!</v>
      </c>
      <c r="CZ110" s="668"/>
      <c r="DA110" s="669"/>
      <c r="DB110" s="670"/>
      <c r="DC110" s="671"/>
      <c r="DD110" s="678"/>
      <c r="DE110" s="650"/>
      <c r="DF110" s="651">
        <f t="shared" si="232"/>
        <v>0</v>
      </c>
      <c r="DG110" s="619" t="e">
        <f>((273.2+CZ110)*$F$32/((273.2+$F$31)*DB110))</f>
        <v>#DIV/0!</v>
      </c>
      <c r="DH110" s="674" t="e">
        <f>DF110/DD110*DG110*EXP(-LN(2)/10990*($F$88-DE110))</f>
        <v>#DIV/0!</v>
      </c>
      <c r="DI110" s="599" t="e">
        <f>DH110-AVERAGE(DP94:DP95)</f>
        <v>#DIV/0!</v>
      </c>
      <c r="DJ110" s="672" t="e">
        <f>ABS($B$33*DI110*3600)</f>
        <v>#DIV/0!</v>
      </c>
      <c r="DK110" s="675" t="e">
        <f>ABS($B$34*DI110*3600)</f>
        <v>#DIV/0!</v>
      </c>
      <c r="DL110" s="672" t="e">
        <f>DK110*$C$79</f>
        <v>#DIV/0!</v>
      </c>
      <c r="DM110" s="672" t="e">
        <f>DK110*$F$70</f>
        <v>#DIV/0!</v>
      </c>
      <c r="DN110" s="599" t="e">
        <f>DK110*$F$75</f>
        <v>#DIV/0!</v>
      </c>
      <c r="DO110" s="672" t="e">
        <f>DK110*$F$72</f>
        <v>#DIV/0!</v>
      </c>
      <c r="DP110" s="676" t="e">
        <f>DK110*$F$71</f>
        <v>#DIV/0!</v>
      </c>
      <c r="DQ110" s="668"/>
      <c r="DR110" s="669"/>
      <c r="DS110" s="677"/>
      <c r="DT110" s="679"/>
      <c r="DU110" s="678"/>
      <c r="DV110" s="650"/>
      <c r="DW110" s="651">
        <f t="shared" si="234"/>
        <v>0</v>
      </c>
      <c r="DX110" s="619" t="e">
        <f>((273.2+DQ110)*$F$32/((273.2+$F$31)*DS110))</f>
        <v>#DIV/0!</v>
      </c>
      <c r="DY110" s="674" t="e">
        <f>DW110/DU110*DX110*EXP(-LN(2)/10990*($F$88-DV110))</f>
        <v>#DIV/0!</v>
      </c>
      <c r="DZ110" s="599" t="e">
        <f>DY110-AVERAGE(EG94:EG95)</f>
        <v>#DIV/0!</v>
      </c>
      <c r="EA110" s="672" t="e">
        <f>ABS($B$33*DZ110*3600)</f>
        <v>#DIV/0!</v>
      </c>
      <c r="EB110" s="675" t="e">
        <f>ABS($B$34*DZ110*3600)</f>
        <v>#DIV/0!</v>
      </c>
      <c r="EC110" s="672" t="e">
        <f>EB110*$C$79</f>
        <v>#DIV/0!</v>
      </c>
      <c r="ED110" s="672" t="e">
        <f>EB110*$F$70</f>
        <v>#DIV/0!</v>
      </c>
      <c r="EE110" s="599" t="e">
        <f>EB110*$F$75</f>
        <v>#DIV/0!</v>
      </c>
      <c r="EF110" s="672" t="e">
        <f>EB110*$F$72</f>
        <v>#DIV/0!</v>
      </c>
      <c r="EG110" s="676" t="e">
        <f>EB110*$F$71</f>
        <v>#DIV/0!</v>
      </c>
      <c r="EH110" s="668"/>
      <c r="EI110" s="669"/>
      <c r="EJ110" s="670"/>
      <c r="EK110" s="671"/>
      <c r="EL110" s="678"/>
      <c r="EM110" s="650"/>
      <c r="EN110" s="651">
        <f t="shared" si="236"/>
        <v>0</v>
      </c>
      <c r="EO110" s="619" t="e">
        <f>((273.2+EH110)*$F$32/((273.2+$F$31)*EJ110))</f>
        <v>#DIV/0!</v>
      </c>
      <c r="EP110" s="674" t="e">
        <f>EN110/EL110*EO110*EXP(-LN(2)/10990*($F$88-EM110))</f>
        <v>#DIV/0!</v>
      </c>
      <c r="EQ110" s="599" t="e">
        <f>EP110-AVERAGE(EX94:EX95)</f>
        <v>#DIV/0!</v>
      </c>
      <c r="ER110" s="672" t="e">
        <f>ABS($B$33*EQ110*3600)</f>
        <v>#DIV/0!</v>
      </c>
      <c r="ES110" s="675" t="e">
        <f>ABS($B$34*EQ110*3600)</f>
        <v>#DIV/0!</v>
      </c>
      <c r="ET110" s="672" t="e">
        <f>ES110*$C$79</f>
        <v>#DIV/0!</v>
      </c>
      <c r="EU110" s="672" t="e">
        <f>ES110*$F$70</f>
        <v>#DIV/0!</v>
      </c>
      <c r="EV110" s="599" t="e">
        <f>ES110*$F$75</f>
        <v>#DIV/0!</v>
      </c>
      <c r="EW110" s="672" t="e">
        <f>ES110*$F$72</f>
        <v>#DIV/0!</v>
      </c>
      <c r="EX110" s="676" t="e">
        <f>ES110*$F$71</f>
        <v>#DIV/0!</v>
      </c>
      <c r="EY110" s="668"/>
      <c r="EZ110" s="669"/>
      <c r="FA110" s="670"/>
      <c r="FB110" s="671"/>
      <c r="FC110" s="678"/>
      <c r="FD110" s="650"/>
      <c r="FE110" s="651">
        <f t="shared" si="238"/>
        <v>0</v>
      </c>
      <c r="FF110" s="619" t="e">
        <f>((273.2+EY110)*$F$32/((273.2+$F$31)*FA110))</f>
        <v>#DIV/0!</v>
      </c>
      <c r="FG110" s="674" t="e">
        <f>FE110/FC110*FF110*EXP(-LN(2)/10990*($F$88-FD110))</f>
        <v>#DIV/0!</v>
      </c>
      <c r="FH110" s="599" t="e">
        <f>FG110-AVERAGE(FO94:FO95)</f>
        <v>#DIV/0!</v>
      </c>
      <c r="FI110" s="672" t="e">
        <f>ABS($B$33*FH110*3600)</f>
        <v>#DIV/0!</v>
      </c>
      <c r="FJ110" s="675" t="e">
        <f>ABS($B$34*FH110*3600)</f>
        <v>#DIV/0!</v>
      </c>
      <c r="FK110" s="672" t="e">
        <f>FJ110*$C$79</f>
        <v>#DIV/0!</v>
      </c>
      <c r="FL110" s="672" t="e">
        <f>FJ110*$F$70</f>
        <v>#DIV/0!</v>
      </c>
      <c r="FM110" s="599" t="e">
        <f>FJ110*$F$75</f>
        <v>#DIV/0!</v>
      </c>
      <c r="FN110" s="672" t="e">
        <f>FJ110*$F$72</f>
        <v>#DIV/0!</v>
      </c>
      <c r="FO110" s="676" t="e">
        <f>FJ110*$F$71</f>
        <v>#DIV/0!</v>
      </c>
      <c r="FP110" s="668"/>
      <c r="FQ110" s="669"/>
      <c r="FR110" s="670"/>
      <c r="FS110" s="671"/>
      <c r="FT110" s="678"/>
      <c r="FU110" s="650"/>
      <c r="FV110" s="651">
        <f t="shared" si="240"/>
        <v>0</v>
      </c>
      <c r="FW110" s="619" t="e">
        <f>((273.2+FP110)*$F$32/((273.2+$F$31)*FR110))</f>
        <v>#DIV/0!</v>
      </c>
      <c r="FX110" s="674" t="e">
        <f>FV110/FT110*FW110*EXP(-LN(2)/10990*($F$88-FU110))</f>
        <v>#DIV/0!</v>
      </c>
      <c r="FY110" s="599" t="e">
        <f>FX110-AVERAGE(GF94:GF95)</f>
        <v>#DIV/0!</v>
      </c>
      <c r="FZ110" s="672" t="e">
        <f>ABS($B$33*FY110*3600)</f>
        <v>#DIV/0!</v>
      </c>
      <c r="GA110" s="675" t="e">
        <f>ABS($B$34*FY110*3600)</f>
        <v>#DIV/0!</v>
      </c>
      <c r="GB110" s="672" t="e">
        <f>GA110*$C$79</f>
        <v>#DIV/0!</v>
      </c>
      <c r="GC110" s="672" t="e">
        <f>GA110*$F$70</f>
        <v>#DIV/0!</v>
      </c>
      <c r="GD110" s="599" t="e">
        <f>GA110*$F$75</f>
        <v>#DIV/0!</v>
      </c>
      <c r="GE110" s="672" t="e">
        <f>GA110*$F$72</f>
        <v>#DIV/0!</v>
      </c>
      <c r="GF110" s="676" t="e">
        <f>GA110*$F$71</f>
        <v>#DIV/0!</v>
      </c>
      <c r="GG110" s="668"/>
      <c r="GH110" s="669"/>
      <c r="GI110" s="677"/>
      <c r="GJ110" s="679"/>
      <c r="GK110" s="678"/>
      <c r="GL110" s="650"/>
      <c r="GM110" s="651">
        <f t="shared" si="242"/>
        <v>0</v>
      </c>
      <c r="GN110" s="619" t="e">
        <f>((273.2+GG110)*$F$32/((273.2+$F$31)*GI110))</f>
        <v>#DIV/0!</v>
      </c>
      <c r="GO110" s="674" t="e">
        <f>GM110/GK110*GN110*EXP(-LN(2)/10990*($F$88-GL110))</f>
        <v>#DIV/0!</v>
      </c>
      <c r="GP110" s="599" t="e">
        <f>GO110-AVERAGE(GW94:GW95)</f>
        <v>#DIV/0!</v>
      </c>
      <c r="GQ110" s="672" t="e">
        <f>ABS($B$33*GP110*3600)</f>
        <v>#DIV/0!</v>
      </c>
      <c r="GR110" s="675" t="e">
        <f>ABS($B$34*GP110*3600)</f>
        <v>#DIV/0!</v>
      </c>
      <c r="GS110" s="672" t="e">
        <f>GR110*$C$79</f>
        <v>#DIV/0!</v>
      </c>
      <c r="GT110" s="672" t="e">
        <f>GR110*$F$70</f>
        <v>#DIV/0!</v>
      </c>
      <c r="GU110" s="599" t="e">
        <f>GR110*$F$75</f>
        <v>#DIV/0!</v>
      </c>
      <c r="GV110" s="672" t="e">
        <f>GR110*$F$72</f>
        <v>#DIV/0!</v>
      </c>
      <c r="GW110" s="676" t="e">
        <f>GR110*$F$71</f>
        <v>#DIV/0!</v>
      </c>
      <c r="GX110" s="668"/>
      <c r="GY110" s="669"/>
      <c r="GZ110" s="670"/>
      <c r="HA110" s="671"/>
      <c r="HB110" s="678"/>
      <c r="HC110" s="650"/>
      <c r="HD110" s="651">
        <f t="shared" si="244"/>
        <v>0</v>
      </c>
      <c r="HE110" s="619" t="e">
        <f>((273.2+GX110)*$F$32/((273.2+$F$31)*GZ110))</f>
        <v>#DIV/0!</v>
      </c>
      <c r="HF110" s="674" t="e">
        <f>HD110/HB110*HE110*EXP(-LN(2)/10990*($F$88-HC110))</f>
        <v>#DIV/0!</v>
      </c>
      <c r="HG110" s="599" t="e">
        <f>HF110-AVERAGE(HN94:HN95)</f>
        <v>#DIV/0!</v>
      </c>
      <c r="HH110" s="672" t="e">
        <f>ABS($B$33*HG110*3600)</f>
        <v>#DIV/0!</v>
      </c>
      <c r="HI110" s="675" t="e">
        <f>ABS($B$34*HG110*3600)</f>
        <v>#DIV/0!</v>
      </c>
      <c r="HJ110" s="672" t="e">
        <f>HI110*$C$79</f>
        <v>#DIV/0!</v>
      </c>
      <c r="HK110" s="672" t="e">
        <f>HI110*$F$70</f>
        <v>#DIV/0!</v>
      </c>
      <c r="HL110" s="599" t="e">
        <f>HI110*$F$75</f>
        <v>#DIV/0!</v>
      </c>
      <c r="HM110" s="672" t="e">
        <f>HI110*$F$72</f>
        <v>#DIV/0!</v>
      </c>
      <c r="HN110" s="676" t="e">
        <f>HI110*$F$71</f>
        <v>#DIV/0!</v>
      </c>
      <c r="HO110" s="668"/>
      <c r="HP110" s="669"/>
      <c r="HQ110" s="670"/>
      <c r="HR110" s="671"/>
      <c r="HS110" s="678"/>
      <c r="HT110" s="650"/>
      <c r="HU110" s="651">
        <f t="shared" si="246"/>
        <v>0</v>
      </c>
      <c r="HV110" s="619" t="e">
        <f>((273.2+HO110)*$F$32/((273.2+$F$31)*HQ110))</f>
        <v>#DIV/0!</v>
      </c>
      <c r="HW110" s="674" t="e">
        <f>HU110/HS110*HV110*EXP(-LN(2)/10990*($F$88-HT110))</f>
        <v>#DIV/0!</v>
      </c>
      <c r="HX110" s="599" t="e">
        <f>HW110-AVERAGE(IE94:IE95)</f>
        <v>#DIV/0!</v>
      </c>
      <c r="HY110" s="672" t="e">
        <f>ABS($B$33*HX110*3600)</f>
        <v>#DIV/0!</v>
      </c>
      <c r="HZ110" s="675" t="e">
        <f>ABS($B$34*HX110*3600)</f>
        <v>#DIV/0!</v>
      </c>
      <c r="IA110" s="672" t="e">
        <f>HZ110*$C$79</f>
        <v>#DIV/0!</v>
      </c>
      <c r="IB110" s="672" t="e">
        <f>HZ110*$F$70</f>
        <v>#DIV/0!</v>
      </c>
      <c r="IC110" s="599" t="e">
        <f>HZ110*$F$75</f>
        <v>#DIV/0!</v>
      </c>
      <c r="ID110" s="672" t="e">
        <f>HZ110*$F$72</f>
        <v>#DIV/0!</v>
      </c>
      <c r="IE110" s="676" t="e">
        <f>HZ110*$F$71</f>
        <v>#DIV/0!</v>
      </c>
      <c r="IF110" s="668"/>
      <c r="IG110" s="669"/>
      <c r="IH110" s="670"/>
      <c r="II110" s="671"/>
      <c r="IJ110" s="678"/>
      <c r="IK110" s="650"/>
      <c r="IL110" s="651">
        <f t="shared" si="248"/>
        <v>0</v>
      </c>
      <c r="IM110" s="619" t="e">
        <f>((273.2+IF110)*$F$32/((273.2+$F$31)*IH110))</f>
        <v>#DIV/0!</v>
      </c>
      <c r="IN110" s="674" t="e">
        <f>IL110/IJ110*IM110*EXP(-LN(2)/10990*($F$88-IK110))</f>
        <v>#DIV/0!</v>
      </c>
      <c r="IO110" s="599" t="e">
        <f>IN110-AVERAGE(IV94:IV95)</f>
        <v>#DIV/0!</v>
      </c>
      <c r="IP110" s="672" t="e">
        <f>ABS($B$33*IO110*3600)</f>
        <v>#DIV/0!</v>
      </c>
      <c r="IQ110" s="675" t="e">
        <f>ABS($B$34*IO110*3600)</f>
        <v>#DIV/0!</v>
      </c>
      <c r="IR110" s="672" t="e">
        <f>IQ110*$C$79</f>
        <v>#DIV/0!</v>
      </c>
      <c r="IS110" s="672" t="e">
        <f>IQ110*$F$70</f>
        <v>#DIV/0!</v>
      </c>
      <c r="IT110" s="599" t="e">
        <f>IQ110*$F$75</f>
        <v>#DIV/0!</v>
      </c>
      <c r="IU110" s="672" t="e">
        <f>IQ110*$F$72</f>
        <v>#DIV/0!</v>
      </c>
      <c r="IV110" s="676" t="e">
        <f>IQ110*$F$71</f>
        <v>#DIV/0!</v>
      </c>
      <c r="IW110" s="668"/>
      <c r="IX110" s="669"/>
      <c r="IY110" s="670"/>
      <c r="IZ110" s="671"/>
      <c r="JA110" s="678"/>
      <c r="JB110" s="650"/>
      <c r="JC110" s="651">
        <f t="shared" si="250"/>
        <v>0</v>
      </c>
      <c r="JD110" s="619" t="e">
        <f>((273.2+IW110)*$F$32/((273.2+$F$31)*IY110))</f>
        <v>#DIV/0!</v>
      </c>
      <c r="JE110" s="674" t="e">
        <f>JC110/JA110*JD110*EXP(-LN(2)/10990*($F$88-JB110))</f>
        <v>#DIV/0!</v>
      </c>
      <c r="JF110" s="599" t="e">
        <f>JE110-AVERAGE(JM94:JM95)</f>
        <v>#DIV/0!</v>
      </c>
      <c r="JG110" s="672" t="e">
        <f>ABS($B$33*JF110*3600)</f>
        <v>#DIV/0!</v>
      </c>
      <c r="JH110" s="675" t="e">
        <f>ABS($B$34*JF110*3600)</f>
        <v>#DIV/0!</v>
      </c>
      <c r="JI110" s="672" t="e">
        <f>JH110*$C$79</f>
        <v>#DIV/0!</v>
      </c>
      <c r="JJ110" s="672" t="e">
        <f>JH110*$F$70</f>
        <v>#DIV/0!</v>
      </c>
      <c r="JK110" s="599" t="e">
        <f>JH110*$F$75</f>
        <v>#DIV/0!</v>
      </c>
      <c r="JL110" s="672" t="e">
        <f>JH110*$F$72</f>
        <v>#DIV/0!</v>
      </c>
      <c r="JM110" s="676" t="e">
        <f>JH110*$F$71</f>
        <v>#DIV/0!</v>
      </c>
      <c r="JN110" s="668"/>
      <c r="JO110" s="669"/>
      <c r="JP110" s="670"/>
      <c r="JQ110" s="671"/>
      <c r="JR110" s="678"/>
      <c r="JS110" s="650"/>
      <c r="JT110" s="651">
        <f t="shared" si="252"/>
        <v>0</v>
      </c>
      <c r="JU110" s="619" t="e">
        <f>((273.2+JN110)*$F$32/((273.2+$F$31)*JP110))</f>
        <v>#DIV/0!</v>
      </c>
      <c r="JV110" s="674" t="e">
        <f>JT110/JR110*JU110*EXP(-LN(2)/10990*($F$88-JS110))</f>
        <v>#DIV/0!</v>
      </c>
      <c r="JW110" s="599" t="e">
        <f>JV110-AVERAGE(KD94:KD95)</f>
        <v>#DIV/0!</v>
      </c>
      <c r="JX110" s="672" t="e">
        <f>ABS($B$33*JW110*3600)</f>
        <v>#DIV/0!</v>
      </c>
      <c r="JY110" s="675" t="e">
        <f>ABS($B$34*JW110*3600)</f>
        <v>#DIV/0!</v>
      </c>
      <c r="JZ110" s="672" t="e">
        <f>JY110*$C$79</f>
        <v>#DIV/0!</v>
      </c>
      <c r="KA110" s="672" t="e">
        <f>JY110*$F$70</f>
        <v>#DIV/0!</v>
      </c>
      <c r="KB110" s="599" t="e">
        <f>JY110*$F$75</f>
        <v>#DIV/0!</v>
      </c>
      <c r="KC110" s="672" t="e">
        <f>JY110*$F$72</f>
        <v>#DIV/0!</v>
      </c>
      <c r="KD110" s="676" t="e">
        <f>JY110*$F$71</f>
        <v>#DIV/0!</v>
      </c>
      <c r="KE110" s="668"/>
      <c r="KF110" s="669"/>
      <c r="KG110" s="670"/>
      <c r="KH110" s="671"/>
      <c r="KI110" s="678"/>
      <c r="KJ110" s="650"/>
      <c r="KK110" s="651">
        <f t="shared" si="254"/>
        <v>0</v>
      </c>
      <c r="KL110" s="619" t="e">
        <f>((273.2+KE110)*$F$32/((273.2+$F$31)*KG110))</f>
        <v>#DIV/0!</v>
      </c>
      <c r="KM110" s="674" t="e">
        <f>KK110/KI110*KL110*EXP(-LN(2)/10990*($F$88-KJ110))</f>
        <v>#DIV/0!</v>
      </c>
      <c r="KN110" s="599" t="e">
        <f>KM110-AVERAGE(KU94:KU95)</f>
        <v>#DIV/0!</v>
      </c>
      <c r="KO110" s="672" t="e">
        <f>ABS($B$33*KN110*3600)</f>
        <v>#DIV/0!</v>
      </c>
      <c r="KP110" s="675" t="e">
        <f>ABS($B$34*KN110*3600)</f>
        <v>#DIV/0!</v>
      </c>
      <c r="KQ110" s="672" t="e">
        <f>KP110*$C$79</f>
        <v>#DIV/0!</v>
      </c>
      <c r="KR110" s="672" t="e">
        <f>KP110*$F$70</f>
        <v>#DIV/0!</v>
      </c>
      <c r="KS110" s="599" t="e">
        <f>KP110*$F$75</f>
        <v>#DIV/0!</v>
      </c>
      <c r="KT110" s="672" t="e">
        <f>KP110*$F$72</f>
        <v>#DIV/0!</v>
      </c>
      <c r="KU110" s="676" t="e">
        <f>KP110*$F$71</f>
        <v>#DIV/0!</v>
      </c>
      <c r="KV110" s="668"/>
      <c r="KW110" s="669"/>
      <c r="KX110" s="670"/>
      <c r="KY110" s="671"/>
      <c r="KZ110" s="678"/>
      <c r="LA110" s="650"/>
      <c r="LB110" s="651">
        <f t="shared" si="256"/>
        <v>0</v>
      </c>
      <c r="LC110" s="619" t="e">
        <f>((273.2+KV110)*$F$32/((273.2+$F$31)*KX110))</f>
        <v>#DIV/0!</v>
      </c>
      <c r="LD110" s="674" t="e">
        <f>LB110/KZ110*LC110*EXP(-LN(2)/10990*($F$88-LA110))</f>
        <v>#DIV/0!</v>
      </c>
      <c r="LE110" s="599" t="e">
        <f>LD110-AVERAGE(LL94:LL95)</f>
        <v>#DIV/0!</v>
      </c>
      <c r="LF110" s="672" t="e">
        <f>ABS($B$33*LE110*3600)</f>
        <v>#DIV/0!</v>
      </c>
      <c r="LG110" s="675" t="e">
        <f>ABS($B$34*LE110*3600)</f>
        <v>#DIV/0!</v>
      </c>
      <c r="LH110" s="672" t="e">
        <f>LG110*$C$79</f>
        <v>#DIV/0!</v>
      </c>
      <c r="LI110" s="672" t="e">
        <f>LG110*$F$70</f>
        <v>#DIV/0!</v>
      </c>
      <c r="LJ110" s="599" t="e">
        <f>LG110*$F$75</f>
        <v>#DIV/0!</v>
      </c>
      <c r="LK110" s="672" t="e">
        <f>LG110*$F$72</f>
        <v>#DIV/0!</v>
      </c>
      <c r="LL110" s="676" t="e">
        <f>LG110*$F$71</f>
        <v>#DIV/0!</v>
      </c>
      <c r="LM110" s="668"/>
      <c r="LN110" s="669"/>
      <c r="LO110" s="670"/>
      <c r="LP110" s="671"/>
      <c r="LQ110" s="678"/>
      <c r="LR110" s="650"/>
      <c r="LS110" s="651">
        <f t="shared" si="258"/>
        <v>0</v>
      </c>
      <c r="LT110" s="619" t="e">
        <f>((273.2+LM110)*$F$32/((273.2+$F$31)*LO110))</f>
        <v>#DIV/0!</v>
      </c>
      <c r="LU110" s="674" t="e">
        <f>LS110/LQ110*LT110*EXP(-LN(2)/10990*($F$88-LR110))</f>
        <v>#DIV/0!</v>
      </c>
      <c r="LV110" s="599" t="e">
        <f>LU110-AVERAGE(MC94:MC95)</f>
        <v>#DIV/0!</v>
      </c>
      <c r="LW110" s="672" t="e">
        <f>ABS($B$33*LV110*3600)</f>
        <v>#DIV/0!</v>
      </c>
      <c r="LX110" s="675" t="e">
        <f>ABS($B$34*LV110*3600)</f>
        <v>#DIV/0!</v>
      </c>
      <c r="LY110" s="672" t="e">
        <f>LX110*$C$79</f>
        <v>#DIV/0!</v>
      </c>
      <c r="LZ110" s="672" t="e">
        <f>LX110*$F$70</f>
        <v>#DIV/0!</v>
      </c>
      <c r="MA110" s="599" t="e">
        <f>LX110*$F$75</f>
        <v>#DIV/0!</v>
      </c>
      <c r="MB110" s="672" t="e">
        <f>LX110*$F$72</f>
        <v>#DIV/0!</v>
      </c>
      <c r="MC110" s="676" t="e">
        <f>LX110*$F$71</f>
        <v>#DIV/0!</v>
      </c>
      <c r="MD110" s="668"/>
      <c r="ME110" s="669"/>
      <c r="MF110" s="680"/>
      <c r="MG110" s="671"/>
      <c r="MH110" s="673"/>
      <c r="MI110" s="650"/>
      <c r="MJ110" s="651">
        <f t="shared" si="260"/>
        <v>0</v>
      </c>
      <c r="MK110" s="619" t="e">
        <f>((273.2+MD110)*$F$32/((273.2+$F$31)*MF110))</f>
        <v>#DIV/0!</v>
      </c>
      <c r="ML110" s="674" t="e">
        <f>MJ110/MH110*MK110*EXP(-LN(2)/10990*($F$88-MI110))</f>
        <v>#DIV/0!</v>
      </c>
      <c r="MM110" s="599" t="e">
        <f>ML110-AVERAGE(MT94:MT95)</f>
        <v>#DIV/0!</v>
      </c>
      <c r="MN110" s="672" t="e">
        <f>ABS($B$33*MM110*3600)</f>
        <v>#DIV/0!</v>
      </c>
      <c r="MO110" s="675" t="e">
        <f>ABS($B$34*MM110*3600)</f>
        <v>#DIV/0!</v>
      </c>
      <c r="MP110" s="672" t="e">
        <f>MO110*$C$79</f>
        <v>#DIV/0!</v>
      </c>
      <c r="MQ110" s="672" t="e">
        <f>MO110*$F$70</f>
        <v>#DIV/0!</v>
      </c>
      <c r="MR110" s="599" t="e">
        <f>MO110*$F$75</f>
        <v>#DIV/0!</v>
      </c>
      <c r="MS110" s="672" t="e">
        <f>MO110*$F$72</f>
        <v>#DIV/0!</v>
      </c>
      <c r="MT110" s="676" t="e">
        <f>MO110*$F$71</f>
        <v>#DIV/0!</v>
      </c>
      <c r="MU110" s="668"/>
      <c r="MV110" s="669"/>
      <c r="MW110" s="670"/>
      <c r="MX110" s="671"/>
      <c r="MY110" s="678"/>
      <c r="MZ110" s="650"/>
      <c r="NA110" s="651">
        <f t="shared" si="262"/>
        <v>0</v>
      </c>
      <c r="NB110" s="619" t="e">
        <f>((273.2+MU110)*$F$32/((273.2+$F$31)*MW110))</f>
        <v>#DIV/0!</v>
      </c>
      <c r="NC110" s="674" t="e">
        <f>NA110/MY110*NB110*EXP(-LN(2)/10990*($F$88-MZ110))</f>
        <v>#DIV/0!</v>
      </c>
      <c r="ND110" s="599" t="e">
        <f>NC110-AVERAGE(NK94:NK95)</f>
        <v>#DIV/0!</v>
      </c>
      <c r="NE110" s="672" t="e">
        <f>ABS($B$33*ND110*3600)</f>
        <v>#DIV/0!</v>
      </c>
      <c r="NF110" s="675" t="e">
        <f>ABS($B$34*ND110*3600)</f>
        <v>#DIV/0!</v>
      </c>
      <c r="NG110" s="672" t="e">
        <f>NF110*$C$79</f>
        <v>#DIV/0!</v>
      </c>
      <c r="NH110" s="672" t="e">
        <f>NF110*$F$70</f>
        <v>#DIV/0!</v>
      </c>
      <c r="NI110" s="599" t="e">
        <f>NF110*$F$75</f>
        <v>#DIV/0!</v>
      </c>
      <c r="NJ110" s="672" t="e">
        <f>NF110*$F$72</f>
        <v>#DIV/0!</v>
      </c>
      <c r="NK110" s="676" t="e">
        <f>NF110*$F$71</f>
        <v>#DIV/0!</v>
      </c>
      <c r="NL110" s="668"/>
      <c r="NM110" s="669"/>
      <c r="NN110" s="670"/>
      <c r="NO110" s="671"/>
      <c r="NP110" s="678"/>
      <c r="NQ110" s="650"/>
      <c r="NR110" s="651">
        <f t="shared" si="264"/>
        <v>0</v>
      </c>
      <c r="NS110" s="619" t="e">
        <f>((273.2+NL110)*$F$32/((273.2+$F$31)*NN110))</f>
        <v>#DIV/0!</v>
      </c>
      <c r="NT110" s="674" t="e">
        <f>NR110/NP110*NS110*EXP(-LN(2)/10990*($F$88-NQ110))</f>
        <v>#DIV/0!</v>
      </c>
      <c r="NU110" s="599" t="e">
        <f>NT110-AVERAGE(OB94:OB95)</f>
        <v>#DIV/0!</v>
      </c>
      <c r="NV110" s="672" t="e">
        <f>ABS($B$33*NU110*3600)</f>
        <v>#DIV/0!</v>
      </c>
      <c r="NW110" s="675" t="e">
        <f>ABS($B$34*NU110*3600)</f>
        <v>#DIV/0!</v>
      </c>
      <c r="NX110" s="672" t="e">
        <f>NW110*$C$79</f>
        <v>#DIV/0!</v>
      </c>
      <c r="NY110" s="672" t="e">
        <f>NW110*$F$70</f>
        <v>#DIV/0!</v>
      </c>
      <c r="NZ110" s="599" t="e">
        <f>NW110*$F$75</f>
        <v>#DIV/0!</v>
      </c>
      <c r="OA110" s="672" t="e">
        <f>NW110*$F$72</f>
        <v>#DIV/0!</v>
      </c>
      <c r="OB110" s="676" t="e">
        <f>NW110*$F$71</f>
        <v>#DIV/0!</v>
      </c>
      <c r="OC110" s="668"/>
      <c r="OD110" s="669"/>
      <c r="OE110" s="670"/>
      <c r="OF110" s="671"/>
      <c r="OG110" s="678"/>
      <c r="OH110" s="650"/>
      <c r="OI110" s="651">
        <f t="shared" si="266"/>
        <v>0</v>
      </c>
      <c r="OJ110" s="619" t="e">
        <f>((273.2+OC110)*$F$32/((273.2+$F$31)*OE110))</f>
        <v>#DIV/0!</v>
      </c>
      <c r="OK110" s="674" t="e">
        <f>OI110/OG110*OJ110*EXP(-LN(2)/10990*($F$88-OH110))</f>
        <v>#DIV/0!</v>
      </c>
      <c r="OL110" s="599" t="e">
        <f>OK110-AVERAGE(OS94:OS95)</f>
        <v>#DIV/0!</v>
      </c>
      <c r="OM110" s="672" t="e">
        <f>ABS($B$33*OL110*3600)</f>
        <v>#DIV/0!</v>
      </c>
      <c r="ON110" s="675" t="e">
        <f>ABS($B$34*OL110*3600)</f>
        <v>#DIV/0!</v>
      </c>
      <c r="OO110" s="672" t="e">
        <f>ON110*$C$79</f>
        <v>#DIV/0!</v>
      </c>
      <c r="OP110" s="672" t="e">
        <f>ON110*$F$70</f>
        <v>#DIV/0!</v>
      </c>
      <c r="OQ110" s="599" t="e">
        <f>ON110*$F$75</f>
        <v>#DIV/0!</v>
      </c>
      <c r="OR110" s="672" t="e">
        <f>ON110*$F$72</f>
        <v>#DIV/0!</v>
      </c>
      <c r="OS110" s="676" t="e">
        <f>ON110*$F$71</f>
        <v>#DIV/0!</v>
      </c>
      <c r="OT110" s="668"/>
      <c r="OU110" s="669"/>
      <c r="OV110" s="670"/>
      <c r="OW110" s="671"/>
      <c r="OX110" s="678"/>
      <c r="OY110" s="650"/>
      <c r="OZ110" s="651">
        <f t="shared" si="268"/>
        <v>0</v>
      </c>
      <c r="PA110" s="619" t="e">
        <f>((273.2+OT110)*$F$32/((273.2+$F$31)*OV110))</f>
        <v>#DIV/0!</v>
      </c>
      <c r="PB110" s="674" t="e">
        <f>OZ110/OX110*PA110*EXP(-LN(2)/10990*($F$88-OY110))</f>
        <v>#DIV/0!</v>
      </c>
      <c r="PC110" s="599" t="e">
        <f>PB110-AVERAGE(PJ94:PJ95)</f>
        <v>#DIV/0!</v>
      </c>
      <c r="PD110" s="672" t="e">
        <f>ABS($B$33*PC110*3600)</f>
        <v>#DIV/0!</v>
      </c>
      <c r="PE110" s="675" t="e">
        <f>ABS($B$34*PC110*3600)</f>
        <v>#DIV/0!</v>
      </c>
      <c r="PF110" s="672" t="e">
        <f>PE110*$C$79</f>
        <v>#DIV/0!</v>
      </c>
      <c r="PG110" s="672" t="e">
        <f>PE110*$F$70</f>
        <v>#DIV/0!</v>
      </c>
      <c r="PH110" s="599" t="e">
        <f>PE110*$F$75</f>
        <v>#DIV/0!</v>
      </c>
      <c r="PI110" s="672" t="e">
        <f>PE110*$F$72</f>
        <v>#DIV/0!</v>
      </c>
      <c r="PJ110" s="676" t="e">
        <f>PE110*$F$71</f>
        <v>#DIV/0!</v>
      </c>
      <c r="PK110" s="668"/>
      <c r="PL110" s="669"/>
      <c r="PM110" s="670"/>
      <c r="PN110" s="671"/>
      <c r="PO110" s="678"/>
      <c r="PP110" s="650"/>
      <c r="PQ110" s="651">
        <f t="shared" si="270"/>
        <v>0</v>
      </c>
      <c r="PR110" s="619" t="e">
        <f>((273.2+PK110)*$F$32/((273.2+$F$31)*PM110))</f>
        <v>#DIV/0!</v>
      </c>
      <c r="PS110" s="674" t="e">
        <f>PQ110/PO110*PR110*EXP(-LN(2)/10990*($F$88-PP110))</f>
        <v>#DIV/0!</v>
      </c>
      <c r="PT110" s="599" t="e">
        <f>PS110-AVERAGE(QA94:QA95)</f>
        <v>#DIV/0!</v>
      </c>
      <c r="PU110" s="672" t="e">
        <f>ABS($B$33*PT110*3600)</f>
        <v>#DIV/0!</v>
      </c>
      <c r="PV110" s="675" t="e">
        <f>ABS($B$34*PT110*3600)</f>
        <v>#DIV/0!</v>
      </c>
      <c r="PW110" s="672" t="e">
        <f>PV110*$C$79</f>
        <v>#DIV/0!</v>
      </c>
      <c r="PX110" s="672" t="e">
        <f>PV110*$F$70</f>
        <v>#DIV/0!</v>
      </c>
      <c r="PY110" s="599" t="e">
        <f>PV110*$F$75</f>
        <v>#DIV/0!</v>
      </c>
      <c r="PZ110" s="672" t="e">
        <f>PV110*$F$72</f>
        <v>#DIV/0!</v>
      </c>
      <c r="QA110" s="676" t="e">
        <f>PV110*$F$71</f>
        <v>#DIV/0!</v>
      </c>
      <c r="QB110" s="668"/>
      <c r="QC110" s="669"/>
      <c r="QD110" s="670"/>
      <c r="QE110" s="671"/>
      <c r="QF110" s="673"/>
      <c r="QG110" s="650"/>
      <c r="QH110" s="651">
        <f t="shared" si="272"/>
        <v>0</v>
      </c>
      <c r="QI110" s="619" t="e">
        <f>((273.2+QB110)*$F$32/((273.2+$F$31)*QD110))</f>
        <v>#DIV/0!</v>
      </c>
      <c r="QJ110" s="674" t="e">
        <f>QH110/QF110*QI110*EXP(-LN(2)/10990*($F$88-QG110))</f>
        <v>#DIV/0!</v>
      </c>
      <c r="QK110" s="599" t="e">
        <f>QJ110-AVERAGE(QR94:QR95)</f>
        <v>#DIV/0!</v>
      </c>
      <c r="QL110" s="672" t="e">
        <f>ABS($B$33*QK110*3600)</f>
        <v>#DIV/0!</v>
      </c>
      <c r="QM110" s="675" t="e">
        <f>ABS($B$34*QK110*3600)</f>
        <v>#DIV/0!</v>
      </c>
      <c r="QN110" s="672" t="e">
        <f>QM110*$C$79</f>
        <v>#DIV/0!</v>
      </c>
      <c r="QO110" s="672" t="e">
        <f>QM110*$F$70</f>
        <v>#DIV/0!</v>
      </c>
      <c r="QP110" s="599" t="e">
        <f>QM110*$F$75</f>
        <v>#DIV/0!</v>
      </c>
      <c r="QQ110" s="672" t="e">
        <f>QM110*$F$72</f>
        <v>#DIV/0!</v>
      </c>
      <c r="QR110" s="676" t="e">
        <f>QM110*$F$71</f>
        <v>#DIV/0!</v>
      </c>
      <c r="QS110" s="668"/>
      <c r="QT110" s="669"/>
      <c r="QU110" s="677"/>
      <c r="QV110" s="679"/>
      <c r="QW110" s="678"/>
      <c r="QX110" s="650"/>
      <c r="QY110" s="651">
        <f t="shared" si="274"/>
        <v>0</v>
      </c>
      <c r="QZ110" s="619" t="e">
        <f>((273.2+QS110)*$F$32/((273.2+$F$31)*QU110))</f>
        <v>#DIV/0!</v>
      </c>
      <c r="RA110" s="674" t="e">
        <f>QY110/QW110*QZ110*EXP(-LN(2)/10990*($F$88-QX110))</f>
        <v>#DIV/0!</v>
      </c>
      <c r="RB110" s="599" t="e">
        <f>RA110-AVERAGE(RI94:RI95)</f>
        <v>#DIV/0!</v>
      </c>
      <c r="RC110" s="672" t="e">
        <f>ABS($B$33*RB110*3600)</f>
        <v>#DIV/0!</v>
      </c>
      <c r="RD110" s="675" t="e">
        <f>ABS($B$34*RB110*3600)</f>
        <v>#DIV/0!</v>
      </c>
      <c r="RE110" s="672" t="e">
        <f>RD110*$C$79</f>
        <v>#DIV/0!</v>
      </c>
      <c r="RF110" s="672" t="e">
        <f>RD110*$F$70</f>
        <v>#DIV/0!</v>
      </c>
      <c r="RG110" s="599" t="e">
        <f>RD110*$F$75</f>
        <v>#DIV/0!</v>
      </c>
      <c r="RH110" s="672" t="e">
        <f>RD110*$F$72</f>
        <v>#DIV/0!</v>
      </c>
      <c r="RI110" s="676" t="e">
        <f>RD110*$F$71</f>
        <v>#DIV/0!</v>
      </c>
      <c r="RJ110" s="668"/>
      <c r="RK110" s="669"/>
      <c r="RL110" s="670"/>
      <c r="RM110" s="671"/>
      <c r="RN110" s="678"/>
      <c r="RO110" s="650"/>
      <c r="RP110" s="651">
        <f t="shared" si="276"/>
        <v>0</v>
      </c>
      <c r="RQ110" s="619" t="e">
        <f>((273.2+RJ110)*$F$32/((273.2+$F$31)*RL110))</f>
        <v>#DIV/0!</v>
      </c>
      <c r="RR110" s="674" t="e">
        <f>RP110/RN110*RQ110*EXP(-LN(2)/10990*($F$88-RO110))</f>
        <v>#DIV/0!</v>
      </c>
      <c r="RS110" s="599" t="e">
        <f>RR110-AVERAGE(RZ94:RZ95)</f>
        <v>#DIV/0!</v>
      </c>
      <c r="RT110" s="672" t="e">
        <f>ABS($B$33*RS110*3600)</f>
        <v>#DIV/0!</v>
      </c>
      <c r="RU110" s="675" t="e">
        <f>ABS($B$34*RS110*3600)</f>
        <v>#DIV/0!</v>
      </c>
      <c r="RV110" s="672" t="e">
        <f>RU110*$C$79</f>
        <v>#DIV/0!</v>
      </c>
      <c r="RW110" s="672" t="e">
        <f>RU110*$F$70</f>
        <v>#DIV/0!</v>
      </c>
      <c r="RX110" s="599" t="e">
        <f>RU110*$F$75</f>
        <v>#DIV/0!</v>
      </c>
      <c r="RY110" s="672" t="e">
        <f>RU110*$F$72</f>
        <v>#DIV/0!</v>
      </c>
      <c r="RZ110" s="676" t="e">
        <f>RU110*$F$71</f>
        <v>#DIV/0!</v>
      </c>
      <c r="SA110" s="668"/>
      <c r="SB110" s="669"/>
      <c r="SC110" s="670"/>
      <c r="SD110" s="671"/>
      <c r="SE110" s="678"/>
      <c r="SF110" s="650"/>
      <c r="SG110" s="651">
        <f t="shared" si="278"/>
        <v>0</v>
      </c>
      <c r="SH110" s="619" t="e">
        <f>((273.2+SA110)*$F$32/((273.2+$F$31)*SC110))</f>
        <v>#DIV/0!</v>
      </c>
      <c r="SI110" s="674" t="e">
        <f>SG110/SE110*SH110*EXP(-LN(2)/10990*($F$88-SF110))</f>
        <v>#DIV/0!</v>
      </c>
      <c r="SJ110" s="599" t="e">
        <f>SI110-AVERAGE(SQ94:SQ95)</f>
        <v>#DIV/0!</v>
      </c>
      <c r="SK110" s="672" t="e">
        <f>ABS($B$33*SJ110*3600)</f>
        <v>#DIV/0!</v>
      </c>
      <c r="SL110" s="675" t="e">
        <f>ABS($B$34*SJ110*3600)</f>
        <v>#DIV/0!</v>
      </c>
      <c r="SM110" s="672" t="e">
        <f>SL110*$C$79</f>
        <v>#DIV/0!</v>
      </c>
      <c r="SN110" s="672" t="e">
        <f>SL110*$F$70</f>
        <v>#DIV/0!</v>
      </c>
      <c r="SO110" s="599" t="e">
        <f>SL110*$F$75</f>
        <v>#DIV/0!</v>
      </c>
      <c r="SP110" s="672" t="e">
        <f>SL110*$F$72</f>
        <v>#DIV/0!</v>
      </c>
      <c r="SQ110" s="676" t="e">
        <f>SL110*$F$71</f>
        <v>#DIV/0!</v>
      </c>
      <c r="SR110" s="668"/>
      <c r="SS110" s="669"/>
      <c r="ST110" s="670"/>
      <c r="SU110" s="671"/>
      <c r="SV110" s="678"/>
      <c r="SW110" s="650"/>
      <c r="SX110" s="651">
        <f t="shared" si="280"/>
        <v>0</v>
      </c>
      <c r="SY110" s="619" t="e">
        <f>((273.2+SR110)*$F$32/((273.2+$F$31)*ST110))</f>
        <v>#DIV/0!</v>
      </c>
      <c r="SZ110" s="674" t="e">
        <f>SX110/SV110*SY110*EXP(-LN(2)/10990*($F$88-SW110))</f>
        <v>#DIV/0!</v>
      </c>
      <c r="TA110" s="599" t="e">
        <f>SZ110-AVERAGE(TH94:TH95)</f>
        <v>#DIV/0!</v>
      </c>
      <c r="TB110" s="672" t="e">
        <f>ABS($B$33*TA110*3600)</f>
        <v>#DIV/0!</v>
      </c>
      <c r="TC110" s="675" t="e">
        <f>ABS($B$34*TA110*3600)</f>
        <v>#DIV/0!</v>
      </c>
      <c r="TD110" s="672" t="e">
        <f>TC110*$C$79</f>
        <v>#DIV/0!</v>
      </c>
      <c r="TE110" s="672" t="e">
        <f>TC110*$F$70</f>
        <v>#DIV/0!</v>
      </c>
      <c r="TF110" s="599" t="e">
        <f>TC110*$F$75</f>
        <v>#DIV/0!</v>
      </c>
      <c r="TG110" s="672" t="e">
        <f>TC110*$F$72</f>
        <v>#DIV/0!</v>
      </c>
      <c r="TH110" s="676" t="e">
        <f>TC110*$F$71</f>
        <v>#DIV/0!</v>
      </c>
      <c r="TI110" s="668"/>
      <c r="TJ110" s="669"/>
      <c r="TK110" s="670"/>
      <c r="TL110" s="671"/>
      <c r="TM110" s="678"/>
      <c r="TN110" s="650"/>
      <c r="TO110" s="651">
        <f t="shared" si="282"/>
        <v>0</v>
      </c>
      <c r="TP110" s="619" t="e">
        <f>((273.2+TI110)*$F$32/((273.2+$F$31)*TK110))</f>
        <v>#DIV/0!</v>
      </c>
      <c r="TQ110" s="674" t="e">
        <f>TO110/TM110*TP110*EXP(-LN(2)/10990*($F$88-TN110))</f>
        <v>#DIV/0!</v>
      </c>
      <c r="TR110" s="599" t="e">
        <f>TQ110-AVERAGE(TY94:TY95)</f>
        <v>#DIV/0!</v>
      </c>
      <c r="TS110" s="672" t="e">
        <f>ABS($B$33*TR110*3600)</f>
        <v>#DIV/0!</v>
      </c>
      <c r="TT110" s="675" t="e">
        <f>ABS($B$34*TR110*3600)</f>
        <v>#DIV/0!</v>
      </c>
      <c r="TU110" s="672" t="e">
        <f>TT110*$C$79</f>
        <v>#DIV/0!</v>
      </c>
      <c r="TV110" s="672" t="e">
        <f>TT110*$F$70</f>
        <v>#DIV/0!</v>
      </c>
      <c r="TW110" s="599" t="e">
        <f>TT110*$F$75</f>
        <v>#DIV/0!</v>
      </c>
      <c r="TX110" s="672" t="e">
        <f>TT110*$F$72</f>
        <v>#DIV/0!</v>
      </c>
      <c r="TY110" s="676" t="e">
        <f>TT110*$F$71</f>
        <v>#DIV/0!</v>
      </c>
    </row>
    <row r="111" spans="1:545" x14ac:dyDescent="0.25">
      <c r="A111" s="2219"/>
      <c r="B111" s="668"/>
      <c r="C111" s="673"/>
      <c r="D111" s="673"/>
      <c r="E111" s="671"/>
      <c r="F111" s="673"/>
      <c r="G111" s="650"/>
      <c r="H111" s="651"/>
      <c r="I111" s="619"/>
      <c r="J111" s="674"/>
      <c r="K111" s="599"/>
      <c r="L111" s="672"/>
      <c r="M111" s="675"/>
      <c r="N111" s="614"/>
      <c r="O111" s="672"/>
      <c r="P111" s="600"/>
      <c r="Q111" s="672"/>
      <c r="R111" s="676"/>
      <c r="S111" s="677"/>
      <c r="T111" s="669"/>
      <c r="U111" s="670"/>
      <c r="V111" s="671"/>
      <c r="W111" s="678"/>
      <c r="X111" s="650"/>
      <c r="Y111" s="651">
        <f t="shared" si="222"/>
        <v>0</v>
      </c>
      <c r="Z111" s="619" t="e">
        <f>((273.2+S111)*$F$32/((273.2+$F$31)*U111))</f>
        <v>#DIV/0!</v>
      </c>
      <c r="AA111" s="674" t="e">
        <f>Y111/W111*Z111*EXP(-LN(2)/10990*($F$88-X111))</f>
        <v>#DIV/0!</v>
      </c>
      <c r="AB111" s="599" t="e">
        <f>AA111-AVERAGE(AI94:AI95)</f>
        <v>#DIV/0!</v>
      </c>
      <c r="AC111" s="672" t="e">
        <f>ABS($B$33*AB111*3600)</f>
        <v>#DIV/0!</v>
      </c>
      <c r="AD111" s="675" t="e">
        <f>ABS($B$34*AB111*3600)</f>
        <v>#DIV/0!</v>
      </c>
      <c r="AE111" s="614" t="e">
        <f>AD111*$C$79</f>
        <v>#DIV/0!</v>
      </c>
      <c r="AF111" s="672" t="e">
        <f>AD111*$F$70</f>
        <v>#DIV/0!</v>
      </c>
      <c r="AG111" s="600" t="e">
        <f>AD111*$F$75</f>
        <v>#DIV/0!</v>
      </c>
      <c r="AH111" s="672" t="e">
        <f>AD111*$F$72</f>
        <v>#DIV/0!</v>
      </c>
      <c r="AI111" s="676" t="e">
        <f>AD111*$F$71</f>
        <v>#DIV/0!</v>
      </c>
      <c r="AJ111" s="668"/>
      <c r="AK111" s="669"/>
      <c r="AL111" s="670"/>
      <c r="AM111" s="671"/>
      <c r="AN111" s="678"/>
      <c r="AO111" s="650"/>
      <c r="AP111" s="651">
        <f t="shared" si="224"/>
        <v>0</v>
      </c>
      <c r="AQ111" s="619" t="e">
        <f>((273.2+AJ111)*$F$32/((273.2+$F$31)*AL111))</f>
        <v>#DIV/0!</v>
      </c>
      <c r="AR111" s="674" t="e">
        <f>AP111/AN111*AQ111*EXP(-LN(2)/10990*($F$88-AO111))</f>
        <v>#DIV/0!</v>
      </c>
      <c r="AS111" s="599" t="e">
        <f>AR111-AVERAGE(AZ94:AZ95)</f>
        <v>#DIV/0!</v>
      </c>
      <c r="AT111" s="672" t="e">
        <f>ABS($B$33*AS111*3600)</f>
        <v>#DIV/0!</v>
      </c>
      <c r="AU111" s="675" t="e">
        <f>ABS($B$34*AS111*3600)</f>
        <v>#DIV/0!</v>
      </c>
      <c r="AV111" s="614" t="e">
        <f>AU111*$C$79</f>
        <v>#DIV/0!</v>
      </c>
      <c r="AW111" s="672" t="e">
        <f>AU111*$F$70</f>
        <v>#DIV/0!</v>
      </c>
      <c r="AX111" s="600" t="e">
        <f>AU111*$F$75</f>
        <v>#DIV/0!</v>
      </c>
      <c r="AY111" s="672" t="e">
        <f>AU111*$F$72</f>
        <v>#DIV/0!</v>
      </c>
      <c r="AZ111" s="676" t="e">
        <f>AU111*$F$71</f>
        <v>#DIV/0!</v>
      </c>
      <c r="BA111" s="668"/>
      <c r="BB111" s="669"/>
      <c r="BC111" s="670"/>
      <c r="BD111" s="671"/>
      <c r="BE111" s="678"/>
      <c r="BF111" s="650"/>
      <c r="BG111" s="651">
        <f t="shared" si="226"/>
        <v>0</v>
      </c>
      <c r="BH111" s="619" t="e">
        <f>((273.2+BA111)*$F$32/((273.2+$F$31)*BC111))</f>
        <v>#DIV/0!</v>
      </c>
      <c r="BI111" s="674" t="e">
        <f>BG111/BE111*BH111*EXP(-LN(2)/10990*($F$88-BF111))</f>
        <v>#DIV/0!</v>
      </c>
      <c r="BJ111" s="599" t="e">
        <f>BI111-AVERAGE(BQ94:BQ95)</f>
        <v>#DIV/0!</v>
      </c>
      <c r="BK111" s="672" t="e">
        <f>ABS($B$33*BJ111*3600)</f>
        <v>#DIV/0!</v>
      </c>
      <c r="BL111" s="675" t="e">
        <f>ABS($B$34*BJ111*3600)</f>
        <v>#DIV/0!</v>
      </c>
      <c r="BM111" s="614" t="e">
        <f>BL111*$C$79</f>
        <v>#DIV/0!</v>
      </c>
      <c r="BN111" s="672" t="e">
        <f>BL111*$F$70</f>
        <v>#DIV/0!</v>
      </c>
      <c r="BO111" s="600" t="e">
        <f>BL111*$F$75</f>
        <v>#DIV/0!</v>
      </c>
      <c r="BP111" s="672" t="e">
        <f>BL111*$F$72</f>
        <v>#DIV/0!</v>
      </c>
      <c r="BQ111" s="676" t="e">
        <f>BL111*$F$71</f>
        <v>#DIV/0!</v>
      </c>
      <c r="BR111" s="668"/>
      <c r="BS111" s="669"/>
      <c r="BT111" s="670"/>
      <c r="BU111" s="671"/>
      <c r="BV111" s="678"/>
      <c r="BW111" s="650"/>
      <c r="BX111" s="651">
        <f t="shared" si="228"/>
        <v>0</v>
      </c>
      <c r="BY111" s="619" t="e">
        <f>((273.2+BR111)*$F$32/((273.2+$F$31)*BT111))</f>
        <v>#DIV/0!</v>
      </c>
      <c r="BZ111" s="674" t="e">
        <f>BX111/BV111*BY111*EXP(-LN(2)/10990*($F$88-BW111))</f>
        <v>#DIV/0!</v>
      </c>
      <c r="CA111" s="599" t="e">
        <f>BZ111-AVERAGE(CH94:CH95)</f>
        <v>#DIV/0!</v>
      </c>
      <c r="CB111" s="672" t="e">
        <f>ABS($B$33*CA111*3600)</f>
        <v>#DIV/0!</v>
      </c>
      <c r="CC111" s="675" t="e">
        <f>ABS($B$34*CA111*3600)</f>
        <v>#DIV/0!</v>
      </c>
      <c r="CD111" s="614" t="e">
        <f>CC111*$C$79</f>
        <v>#DIV/0!</v>
      </c>
      <c r="CE111" s="672" t="e">
        <f>CC111*$F$70</f>
        <v>#DIV/0!</v>
      </c>
      <c r="CF111" s="600" t="e">
        <f>CC111*$F$75</f>
        <v>#DIV/0!</v>
      </c>
      <c r="CG111" s="672" t="e">
        <f>CC111*$F$72</f>
        <v>#DIV/0!</v>
      </c>
      <c r="CH111" s="676" t="e">
        <f>CC111*$F$71</f>
        <v>#DIV/0!</v>
      </c>
      <c r="CI111" s="668"/>
      <c r="CJ111" s="669"/>
      <c r="CK111" s="670"/>
      <c r="CL111" s="671"/>
      <c r="CM111" s="678"/>
      <c r="CN111" s="650"/>
      <c r="CO111" s="651">
        <f t="shared" si="230"/>
        <v>0</v>
      </c>
      <c r="CP111" s="619" t="e">
        <f>((273.2+CI111)*$F$32/((273.2+$F$31)*CK111))</f>
        <v>#DIV/0!</v>
      </c>
      <c r="CQ111" s="674" t="e">
        <f>CO111/CM111*CP111*EXP(-LN(2)/10990*($F$88-CN111))</f>
        <v>#DIV/0!</v>
      </c>
      <c r="CR111" s="599" t="e">
        <f>CQ111-AVERAGE(CY94:CY95)</f>
        <v>#DIV/0!</v>
      </c>
      <c r="CS111" s="672" t="e">
        <f>ABS($B$33*CR111*3600)</f>
        <v>#DIV/0!</v>
      </c>
      <c r="CT111" s="675" t="e">
        <f>ABS($B$34*CR111*3600)</f>
        <v>#DIV/0!</v>
      </c>
      <c r="CU111" s="614" t="e">
        <f>CT111*$C$79</f>
        <v>#DIV/0!</v>
      </c>
      <c r="CV111" s="672" t="e">
        <f>CT111*$F$70</f>
        <v>#DIV/0!</v>
      </c>
      <c r="CW111" s="600" t="e">
        <f>CT111*$F$75</f>
        <v>#DIV/0!</v>
      </c>
      <c r="CX111" s="672" t="e">
        <f>CT111*$F$72</f>
        <v>#DIV/0!</v>
      </c>
      <c r="CY111" s="676" t="e">
        <f>CT111*$F$71</f>
        <v>#DIV/0!</v>
      </c>
      <c r="CZ111" s="668"/>
      <c r="DA111" s="669"/>
      <c r="DB111" s="670"/>
      <c r="DC111" s="671"/>
      <c r="DD111" s="678"/>
      <c r="DE111" s="650"/>
      <c r="DF111" s="651">
        <f t="shared" si="232"/>
        <v>0</v>
      </c>
      <c r="DG111" s="619" t="e">
        <f>((273.2+CZ111)*$F$32/((273.2+$F$31)*DB111))</f>
        <v>#DIV/0!</v>
      </c>
      <c r="DH111" s="674" t="e">
        <f>DF111/DD111*DG111*EXP(-LN(2)/10990*($F$88-DE111))</f>
        <v>#DIV/0!</v>
      </c>
      <c r="DI111" s="599" t="e">
        <f>DH111-AVERAGE(DP94:DP95)</f>
        <v>#DIV/0!</v>
      </c>
      <c r="DJ111" s="672" t="e">
        <f>ABS($B$33*DI111*3600)</f>
        <v>#DIV/0!</v>
      </c>
      <c r="DK111" s="675" t="e">
        <f>ABS($B$34*DI111*3600)</f>
        <v>#DIV/0!</v>
      </c>
      <c r="DL111" s="614" t="e">
        <f>DK111*$C$79</f>
        <v>#DIV/0!</v>
      </c>
      <c r="DM111" s="672" t="e">
        <f>DK111*$F$70</f>
        <v>#DIV/0!</v>
      </c>
      <c r="DN111" s="600" t="e">
        <f>DK111*$F$75</f>
        <v>#DIV/0!</v>
      </c>
      <c r="DO111" s="672" t="e">
        <f>DK111*$F$72</f>
        <v>#DIV/0!</v>
      </c>
      <c r="DP111" s="676" t="e">
        <f>DK111*$F$71</f>
        <v>#DIV/0!</v>
      </c>
      <c r="DQ111" s="668"/>
      <c r="DR111" s="669"/>
      <c r="DS111" s="677"/>
      <c r="DT111" s="679"/>
      <c r="DU111" s="678"/>
      <c r="DV111" s="650"/>
      <c r="DW111" s="651">
        <f t="shared" si="234"/>
        <v>0</v>
      </c>
      <c r="DX111" s="619" t="e">
        <f>((273.2+DQ111)*$F$32/((273.2+$F$31)*DS111))</f>
        <v>#DIV/0!</v>
      </c>
      <c r="DY111" s="674" t="e">
        <f>DW111/DU111*DX111*EXP(-LN(2)/10990*($F$88-DV111))</f>
        <v>#DIV/0!</v>
      </c>
      <c r="DZ111" s="599" t="e">
        <f>DY111-AVERAGE(EG94:EG95)</f>
        <v>#DIV/0!</v>
      </c>
      <c r="EA111" s="672" t="e">
        <f>ABS($B$33*DZ111*3600)</f>
        <v>#DIV/0!</v>
      </c>
      <c r="EB111" s="675" t="e">
        <f>ABS($B$34*DZ111*3600)</f>
        <v>#DIV/0!</v>
      </c>
      <c r="EC111" s="614" t="e">
        <f>EB111*$C$79</f>
        <v>#DIV/0!</v>
      </c>
      <c r="ED111" s="672" t="e">
        <f>EB111*$F$70</f>
        <v>#DIV/0!</v>
      </c>
      <c r="EE111" s="600" t="e">
        <f>EB111*$F$75</f>
        <v>#DIV/0!</v>
      </c>
      <c r="EF111" s="672" t="e">
        <f>EB111*$F$72</f>
        <v>#DIV/0!</v>
      </c>
      <c r="EG111" s="676" t="e">
        <f>EB111*$F$71</f>
        <v>#DIV/0!</v>
      </c>
      <c r="EH111" s="668"/>
      <c r="EI111" s="669"/>
      <c r="EJ111" s="670"/>
      <c r="EK111" s="671"/>
      <c r="EL111" s="678"/>
      <c r="EM111" s="650"/>
      <c r="EN111" s="651">
        <f t="shared" si="236"/>
        <v>0</v>
      </c>
      <c r="EO111" s="619" t="e">
        <f>((273.2+EH111)*$F$32/((273.2+$F$31)*EJ111))</f>
        <v>#DIV/0!</v>
      </c>
      <c r="EP111" s="674" t="e">
        <f>EN111/EL111*EO111*EXP(-LN(2)/10990*($F$88-EM111))</f>
        <v>#DIV/0!</v>
      </c>
      <c r="EQ111" s="599" t="e">
        <f>EP111-AVERAGE(EX94:EX95)</f>
        <v>#DIV/0!</v>
      </c>
      <c r="ER111" s="672" t="e">
        <f>ABS($B$33*EQ111*3600)</f>
        <v>#DIV/0!</v>
      </c>
      <c r="ES111" s="675" t="e">
        <f>ABS($B$34*EQ111*3600)</f>
        <v>#DIV/0!</v>
      </c>
      <c r="ET111" s="614" t="e">
        <f>ES111*$C$79</f>
        <v>#DIV/0!</v>
      </c>
      <c r="EU111" s="672" t="e">
        <f>ES111*$F$70</f>
        <v>#DIV/0!</v>
      </c>
      <c r="EV111" s="600" t="e">
        <f>ES111*$F$75</f>
        <v>#DIV/0!</v>
      </c>
      <c r="EW111" s="672" t="e">
        <f>ES111*$F$72</f>
        <v>#DIV/0!</v>
      </c>
      <c r="EX111" s="676" t="e">
        <f>ES111*$F$71</f>
        <v>#DIV/0!</v>
      </c>
      <c r="EY111" s="668"/>
      <c r="EZ111" s="669"/>
      <c r="FA111" s="670"/>
      <c r="FB111" s="671"/>
      <c r="FC111" s="678"/>
      <c r="FD111" s="650"/>
      <c r="FE111" s="651">
        <f t="shared" si="238"/>
        <v>0</v>
      </c>
      <c r="FF111" s="619" t="e">
        <f>((273.2+EY111)*$F$32/((273.2+$F$31)*FA111))</f>
        <v>#DIV/0!</v>
      </c>
      <c r="FG111" s="674" t="e">
        <f>FE111/FC111*FF111*EXP(-LN(2)/10990*($F$88-FD111))</f>
        <v>#DIV/0!</v>
      </c>
      <c r="FH111" s="599" t="e">
        <f>FG111-AVERAGE(FO94:FO95)</f>
        <v>#DIV/0!</v>
      </c>
      <c r="FI111" s="672" t="e">
        <f>ABS($B$33*FH111*3600)</f>
        <v>#DIV/0!</v>
      </c>
      <c r="FJ111" s="675" t="e">
        <f>ABS($B$34*FH111*3600)</f>
        <v>#DIV/0!</v>
      </c>
      <c r="FK111" s="614" t="e">
        <f>FJ111*$C$79</f>
        <v>#DIV/0!</v>
      </c>
      <c r="FL111" s="672" t="e">
        <f>FJ111*$F$70</f>
        <v>#DIV/0!</v>
      </c>
      <c r="FM111" s="600" t="e">
        <f>FJ111*$F$75</f>
        <v>#DIV/0!</v>
      </c>
      <c r="FN111" s="672" t="e">
        <f>FJ111*$F$72</f>
        <v>#DIV/0!</v>
      </c>
      <c r="FO111" s="676" t="e">
        <f>FJ111*$F$71</f>
        <v>#DIV/0!</v>
      </c>
      <c r="FP111" s="668"/>
      <c r="FQ111" s="669"/>
      <c r="FR111" s="670"/>
      <c r="FS111" s="671"/>
      <c r="FT111" s="678"/>
      <c r="FU111" s="650"/>
      <c r="FV111" s="651">
        <f t="shared" si="240"/>
        <v>0</v>
      </c>
      <c r="FW111" s="619" t="e">
        <f>((273.2+FP111)*$F$32/((273.2+$F$31)*FR111))</f>
        <v>#DIV/0!</v>
      </c>
      <c r="FX111" s="674" t="e">
        <f>FV111/FT111*FW111*EXP(-LN(2)/10990*($F$88-FU111))</f>
        <v>#DIV/0!</v>
      </c>
      <c r="FY111" s="599" t="e">
        <f>FX111-AVERAGE(GF94:GF95)</f>
        <v>#DIV/0!</v>
      </c>
      <c r="FZ111" s="672" t="e">
        <f>ABS($B$33*FY111*3600)</f>
        <v>#DIV/0!</v>
      </c>
      <c r="GA111" s="675" t="e">
        <f>ABS($B$34*FY111*3600)</f>
        <v>#DIV/0!</v>
      </c>
      <c r="GB111" s="614" t="e">
        <f>GA111*$C$79</f>
        <v>#DIV/0!</v>
      </c>
      <c r="GC111" s="672" t="e">
        <f>GA111*$F$70</f>
        <v>#DIV/0!</v>
      </c>
      <c r="GD111" s="600" t="e">
        <f>GA111*$F$75</f>
        <v>#DIV/0!</v>
      </c>
      <c r="GE111" s="672" t="e">
        <f>GA111*$F$72</f>
        <v>#DIV/0!</v>
      </c>
      <c r="GF111" s="676" t="e">
        <f>GA111*$F$71</f>
        <v>#DIV/0!</v>
      </c>
      <c r="GG111" s="668"/>
      <c r="GH111" s="669"/>
      <c r="GI111" s="677"/>
      <c r="GJ111" s="679"/>
      <c r="GK111" s="678"/>
      <c r="GL111" s="650"/>
      <c r="GM111" s="651">
        <f t="shared" si="242"/>
        <v>0</v>
      </c>
      <c r="GN111" s="619" t="e">
        <f>((273.2+GG111)*$F$32/((273.2+$F$31)*GI111))</f>
        <v>#DIV/0!</v>
      </c>
      <c r="GO111" s="674" t="e">
        <f>GM111/GK111*GN111*EXP(-LN(2)/10990*($F$88-GL111))</f>
        <v>#DIV/0!</v>
      </c>
      <c r="GP111" s="599" t="e">
        <f>GO111-AVERAGE(GW94:GW95)</f>
        <v>#DIV/0!</v>
      </c>
      <c r="GQ111" s="672" t="e">
        <f>ABS($B$33*GP111*3600)</f>
        <v>#DIV/0!</v>
      </c>
      <c r="GR111" s="675" t="e">
        <f>ABS($B$34*GP111*3600)</f>
        <v>#DIV/0!</v>
      </c>
      <c r="GS111" s="614" t="e">
        <f>GR111*$C$79</f>
        <v>#DIV/0!</v>
      </c>
      <c r="GT111" s="672" t="e">
        <f>GR111*$F$70</f>
        <v>#DIV/0!</v>
      </c>
      <c r="GU111" s="600" t="e">
        <f>GR111*$F$75</f>
        <v>#DIV/0!</v>
      </c>
      <c r="GV111" s="672" t="e">
        <f>GR111*$F$72</f>
        <v>#DIV/0!</v>
      </c>
      <c r="GW111" s="676" t="e">
        <f>GR111*$F$71</f>
        <v>#DIV/0!</v>
      </c>
      <c r="GX111" s="668"/>
      <c r="GY111" s="669"/>
      <c r="GZ111" s="670"/>
      <c r="HA111" s="671"/>
      <c r="HB111" s="678"/>
      <c r="HC111" s="650"/>
      <c r="HD111" s="651">
        <f t="shared" si="244"/>
        <v>0</v>
      </c>
      <c r="HE111" s="619" t="e">
        <f>((273.2+GX111)*$F$32/((273.2+$F$31)*GZ111))</f>
        <v>#DIV/0!</v>
      </c>
      <c r="HF111" s="674" t="e">
        <f>HD111/HB111*HE111*EXP(-LN(2)/10990*($F$88-HC111))</f>
        <v>#DIV/0!</v>
      </c>
      <c r="HG111" s="599" t="e">
        <f>HF111-AVERAGE(HN94:HN95)</f>
        <v>#DIV/0!</v>
      </c>
      <c r="HH111" s="672" t="e">
        <f>ABS($B$33*HG111*3600)</f>
        <v>#DIV/0!</v>
      </c>
      <c r="HI111" s="675" t="e">
        <f>ABS($B$34*HG111*3600)</f>
        <v>#DIV/0!</v>
      </c>
      <c r="HJ111" s="614" t="e">
        <f>HI111*$C$79</f>
        <v>#DIV/0!</v>
      </c>
      <c r="HK111" s="672" t="e">
        <f>HI111*$F$70</f>
        <v>#DIV/0!</v>
      </c>
      <c r="HL111" s="600" t="e">
        <f>HI111*$F$75</f>
        <v>#DIV/0!</v>
      </c>
      <c r="HM111" s="672" t="e">
        <f>HI111*$F$72</f>
        <v>#DIV/0!</v>
      </c>
      <c r="HN111" s="676" t="e">
        <f>HI111*$F$71</f>
        <v>#DIV/0!</v>
      </c>
      <c r="HO111" s="668"/>
      <c r="HP111" s="669"/>
      <c r="HQ111" s="670"/>
      <c r="HR111" s="671"/>
      <c r="HS111" s="678"/>
      <c r="HT111" s="650"/>
      <c r="HU111" s="651">
        <f t="shared" si="246"/>
        <v>0</v>
      </c>
      <c r="HV111" s="619" t="e">
        <f>((273.2+HO111)*$F$32/((273.2+$F$31)*HQ111))</f>
        <v>#DIV/0!</v>
      </c>
      <c r="HW111" s="674" t="e">
        <f>HU111/HS111*HV111*EXP(-LN(2)/10990*($F$88-HT111))</f>
        <v>#DIV/0!</v>
      </c>
      <c r="HX111" s="599" t="e">
        <f>HW111-AVERAGE(IE94:IE95)</f>
        <v>#DIV/0!</v>
      </c>
      <c r="HY111" s="672" t="e">
        <f>ABS($B$33*HX111*3600)</f>
        <v>#DIV/0!</v>
      </c>
      <c r="HZ111" s="675" t="e">
        <f>ABS($B$34*HX111*3600)</f>
        <v>#DIV/0!</v>
      </c>
      <c r="IA111" s="614" t="e">
        <f>HZ111*$C$79</f>
        <v>#DIV/0!</v>
      </c>
      <c r="IB111" s="672" t="e">
        <f>HZ111*$F$70</f>
        <v>#DIV/0!</v>
      </c>
      <c r="IC111" s="600" t="e">
        <f>HZ111*$F$75</f>
        <v>#DIV/0!</v>
      </c>
      <c r="ID111" s="672" t="e">
        <f>HZ111*$F$72</f>
        <v>#DIV/0!</v>
      </c>
      <c r="IE111" s="676" t="e">
        <f>HZ111*$F$71</f>
        <v>#DIV/0!</v>
      </c>
      <c r="IF111" s="668"/>
      <c r="IG111" s="669"/>
      <c r="IH111" s="670"/>
      <c r="II111" s="671"/>
      <c r="IJ111" s="678"/>
      <c r="IK111" s="650"/>
      <c r="IL111" s="651">
        <f t="shared" si="248"/>
        <v>0</v>
      </c>
      <c r="IM111" s="619" t="e">
        <f>((273.2+IF111)*$F$32/((273.2+$F$31)*IH111))</f>
        <v>#DIV/0!</v>
      </c>
      <c r="IN111" s="674" t="e">
        <f>IL111/IJ111*IM111*EXP(-LN(2)/10990*($F$88-IK111))</f>
        <v>#DIV/0!</v>
      </c>
      <c r="IO111" s="599" t="e">
        <f>IN111-AVERAGE(IV94:IV95)</f>
        <v>#DIV/0!</v>
      </c>
      <c r="IP111" s="672" t="e">
        <f>ABS($B$33*IO111*3600)</f>
        <v>#DIV/0!</v>
      </c>
      <c r="IQ111" s="675" t="e">
        <f>ABS($B$34*IO111*3600)</f>
        <v>#DIV/0!</v>
      </c>
      <c r="IR111" s="614" t="e">
        <f>IQ111*$C$79</f>
        <v>#DIV/0!</v>
      </c>
      <c r="IS111" s="672" t="e">
        <f>IQ111*$F$70</f>
        <v>#DIV/0!</v>
      </c>
      <c r="IT111" s="600" t="e">
        <f>IQ111*$F$75</f>
        <v>#DIV/0!</v>
      </c>
      <c r="IU111" s="672" t="e">
        <f>IQ111*$F$72</f>
        <v>#DIV/0!</v>
      </c>
      <c r="IV111" s="676" t="e">
        <f>IQ111*$F$71</f>
        <v>#DIV/0!</v>
      </c>
      <c r="IW111" s="668"/>
      <c r="IX111" s="669"/>
      <c r="IY111" s="670"/>
      <c r="IZ111" s="671"/>
      <c r="JA111" s="678"/>
      <c r="JB111" s="650"/>
      <c r="JC111" s="651">
        <f t="shared" si="250"/>
        <v>0</v>
      </c>
      <c r="JD111" s="619" t="e">
        <f>((273.2+IW111)*$F$32/((273.2+$F$31)*IY111))</f>
        <v>#DIV/0!</v>
      </c>
      <c r="JE111" s="674" t="e">
        <f>JC111/JA111*JD111*EXP(-LN(2)/10990*($F$88-JB111))</f>
        <v>#DIV/0!</v>
      </c>
      <c r="JF111" s="599" t="e">
        <f>JE111-AVERAGE(JM94:JM95)</f>
        <v>#DIV/0!</v>
      </c>
      <c r="JG111" s="672" t="e">
        <f>ABS($B$33*JF111*3600)</f>
        <v>#DIV/0!</v>
      </c>
      <c r="JH111" s="675" t="e">
        <f>ABS($B$34*JF111*3600)</f>
        <v>#DIV/0!</v>
      </c>
      <c r="JI111" s="614" t="e">
        <f>JH111*$C$79</f>
        <v>#DIV/0!</v>
      </c>
      <c r="JJ111" s="672" t="e">
        <f>JH111*$F$70</f>
        <v>#DIV/0!</v>
      </c>
      <c r="JK111" s="600" t="e">
        <f>JH111*$F$75</f>
        <v>#DIV/0!</v>
      </c>
      <c r="JL111" s="672" t="e">
        <f>JH111*$F$72</f>
        <v>#DIV/0!</v>
      </c>
      <c r="JM111" s="676" t="e">
        <f>JH111*$F$71</f>
        <v>#DIV/0!</v>
      </c>
      <c r="JN111" s="668"/>
      <c r="JO111" s="669"/>
      <c r="JP111" s="670"/>
      <c r="JQ111" s="671"/>
      <c r="JR111" s="678"/>
      <c r="JS111" s="650"/>
      <c r="JT111" s="651">
        <f t="shared" si="252"/>
        <v>0</v>
      </c>
      <c r="JU111" s="619" t="e">
        <f>((273.2+JN111)*$F$32/((273.2+$F$31)*JP111))</f>
        <v>#DIV/0!</v>
      </c>
      <c r="JV111" s="674" t="e">
        <f>JT111/JR111*JU111*EXP(-LN(2)/10990*($F$88-JS111))</f>
        <v>#DIV/0!</v>
      </c>
      <c r="JW111" s="599" t="e">
        <f>JV111-AVERAGE(KD94:KD95)</f>
        <v>#DIV/0!</v>
      </c>
      <c r="JX111" s="672" t="e">
        <f>ABS($B$33*JW111*3600)</f>
        <v>#DIV/0!</v>
      </c>
      <c r="JY111" s="675" t="e">
        <f>ABS($B$34*JW111*3600)</f>
        <v>#DIV/0!</v>
      </c>
      <c r="JZ111" s="614" t="e">
        <f>JY111*$C$79</f>
        <v>#DIV/0!</v>
      </c>
      <c r="KA111" s="672" t="e">
        <f>JY111*$F$70</f>
        <v>#DIV/0!</v>
      </c>
      <c r="KB111" s="600" t="e">
        <f>JY111*$F$75</f>
        <v>#DIV/0!</v>
      </c>
      <c r="KC111" s="672" t="e">
        <f>JY111*$F$72</f>
        <v>#DIV/0!</v>
      </c>
      <c r="KD111" s="676" t="e">
        <f>JY111*$F$71</f>
        <v>#DIV/0!</v>
      </c>
      <c r="KE111" s="668"/>
      <c r="KF111" s="669"/>
      <c r="KG111" s="670"/>
      <c r="KH111" s="671"/>
      <c r="KI111" s="678"/>
      <c r="KJ111" s="650"/>
      <c r="KK111" s="651">
        <f t="shared" si="254"/>
        <v>0</v>
      </c>
      <c r="KL111" s="619" t="e">
        <f>((273.2+KE111)*$F$32/((273.2+$F$31)*KG111))</f>
        <v>#DIV/0!</v>
      </c>
      <c r="KM111" s="674" t="e">
        <f>KK111/KI111*KL111*EXP(-LN(2)/10990*($F$88-KJ111))</f>
        <v>#DIV/0!</v>
      </c>
      <c r="KN111" s="599" t="e">
        <f>KM111-AVERAGE(KU94:KU95)</f>
        <v>#DIV/0!</v>
      </c>
      <c r="KO111" s="672" t="e">
        <f>ABS($B$33*KN111*3600)</f>
        <v>#DIV/0!</v>
      </c>
      <c r="KP111" s="675" t="e">
        <f>ABS($B$34*KN111*3600)</f>
        <v>#DIV/0!</v>
      </c>
      <c r="KQ111" s="614" t="e">
        <f>KP111*$C$79</f>
        <v>#DIV/0!</v>
      </c>
      <c r="KR111" s="672" t="e">
        <f>KP111*$F$70</f>
        <v>#DIV/0!</v>
      </c>
      <c r="KS111" s="600" t="e">
        <f>KP111*$F$75</f>
        <v>#DIV/0!</v>
      </c>
      <c r="KT111" s="672" t="e">
        <f>KP111*$F$72</f>
        <v>#DIV/0!</v>
      </c>
      <c r="KU111" s="676" t="e">
        <f>KP111*$F$71</f>
        <v>#DIV/0!</v>
      </c>
      <c r="KV111" s="668"/>
      <c r="KW111" s="669"/>
      <c r="KX111" s="670"/>
      <c r="KY111" s="671"/>
      <c r="KZ111" s="678"/>
      <c r="LA111" s="650"/>
      <c r="LB111" s="651">
        <f t="shared" si="256"/>
        <v>0</v>
      </c>
      <c r="LC111" s="619" t="e">
        <f>((273.2+KV111)*$F$32/((273.2+$F$31)*KX111))</f>
        <v>#DIV/0!</v>
      </c>
      <c r="LD111" s="674" t="e">
        <f>LB111/KZ111*LC111*EXP(-LN(2)/10990*($F$88-LA111))</f>
        <v>#DIV/0!</v>
      </c>
      <c r="LE111" s="599" t="e">
        <f>LD111-AVERAGE(LL94:LL95)</f>
        <v>#DIV/0!</v>
      </c>
      <c r="LF111" s="672" t="e">
        <f>ABS($B$33*LE111*3600)</f>
        <v>#DIV/0!</v>
      </c>
      <c r="LG111" s="675" t="e">
        <f>ABS($B$34*LE111*3600)</f>
        <v>#DIV/0!</v>
      </c>
      <c r="LH111" s="614" t="e">
        <f>LG111*$C$79</f>
        <v>#DIV/0!</v>
      </c>
      <c r="LI111" s="672" t="e">
        <f>LG111*$F$70</f>
        <v>#DIV/0!</v>
      </c>
      <c r="LJ111" s="600" t="e">
        <f>LG111*$F$75</f>
        <v>#DIV/0!</v>
      </c>
      <c r="LK111" s="672" t="e">
        <f>LG111*$F$72</f>
        <v>#DIV/0!</v>
      </c>
      <c r="LL111" s="676" t="e">
        <f>LG111*$F$71</f>
        <v>#DIV/0!</v>
      </c>
      <c r="LM111" s="668"/>
      <c r="LN111" s="669"/>
      <c r="LO111" s="670"/>
      <c r="LP111" s="671"/>
      <c r="LQ111" s="678"/>
      <c r="LR111" s="650"/>
      <c r="LS111" s="651">
        <f t="shared" si="258"/>
        <v>0</v>
      </c>
      <c r="LT111" s="619" t="e">
        <f>((273.2+LM111)*$F$32/((273.2+$F$31)*LO111))</f>
        <v>#DIV/0!</v>
      </c>
      <c r="LU111" s="674" t="e">
        <f>LS111/LQ111*LT111*EXP(-LN(2)/10990*($F$88-LR111))</f>
        <v>#DIV/0!</v>
      </c>
      <c r="LV111" s="599" t="e">
        <f>LU111-AVERAGE(MC94:MC95)</f>
        <v>#DIV/0!</v>
      </c>
      <c r="LW111" s="672" t="e">
        <f>ABS($B$33*LV111*3600)</f>
        <v>#DIV/0!</v>
      </c>
      <c r="LX111" s="675" t="e">
        <f>ABS($B$34*LV111*3600)</f>
        <v>#DIV/0!</v>
      </c>
      <c r="LY111" s="614" t="e">
        <f>LX111*$C$79</f>
        <v>#DIV/0!</v>
      </c>
      <c r="LZ111" s="672" t="e">
        <f>LX111*$F$70</f>
        <v>#DIV/0!</v>
      </c>
      <c r="MA111" s="600" t="e">
        <f>LX111*$F$75</f>
        <v>#DIV/0!</v>
      </c>
      <c r="MB111" s="672" t="e">
        <f>LX111*$F$72</f>
        <v>#DIV/0!</v>
      </c>
      <c r="MC111" s="676" t="e">
        <f>LX111*$F$71</f>
        <v>#DIV/0!</v>
      </c>
      <c r="MD111" s="668"/>
      <c r="ME111" s="669"/>
      <c r="MF111" s="680"/>
      <c r="MG111" s="671"/>
      <c r="MH111" s="673"/>
      <c r="MI111" s="650"/>
      <c r="MJ111" s="651">
        <f t="shared" si="260"/>
        <v>0</v>
      </c>
      <c r="MK111" s="619" t="e">
        <f>((273.2+MD111)*$F$32/((273.2+$F$31)*MF111))</f>
        <v>#DIV/0!</v>
      </c>
      <c r="ML111" s="674" t="e">
        <f>MJ111/MH111*MK111*EXP(-LN(2)/10990*($F$88-MI111))</f>
        <v>#DIV/0!</v>
      </c>
      <c r="MM111" s="599" t="e">
        <f>ML111-AVERAGE(MT94:MT95)</f>
        <v>#DIV/0!</v>
      </c>
      <c r="MN111" s="672" t="e">
        <f>ABS($B$33*MM111*3600)</f>
        <v>#DIV/0!</v>
      </c>
      <c r="MO111" s="675" t="e">
        <f>ABS($B$34*MM111*3600)</f>
        <v>#DIV/0!</v>
      </c>
      <c r="MP111" s="614" t="e">
        <f>MO111*$C$79</f>
        <v>#DIV/0!</v>
      </c>
      <c r="MQ111" s="672" t="e">
        <f>MO111*$F$70</f>
        <v>#DIV/0!</v>
      </c>
      <c r="MR111" s="600" t="e">
        <f>MO111*$F$75</f>
        <v>#DIV/0!</v>
      </c>
      <c r="MS111" s="672" t="e">
        <f>MO111*$F$72</f>
        <v>#DIV/0!</v>
      </c>
      <c r="MT111" s="676" t="e">
        <f>MO111*$F$71</f>
        <v>#DIV/0!</v>
      </c>
      <c r="MU111" s="668"/>
      <c r="MV111" s="669"/>
      <c r="MW111" s="670"/>
      <c r="MX111" s="671"/>
      <c r="MY111" s="678"/>
      <c r="MZ111" s="650"/>
      <c r="NA111" s="651">
        <f t="shared" si="262"/>
        <v>0</v>
      </c>
      <c r="NB111" s="619" t="e">
        <f>((273.2+MU111)*$F$32/((273.2+$F$31)*MW111))</f>
        <v>#DIV/0!</v>
      </c>
      <c r="NC111" s="674" t="e">
        <f>NA111/MY111*NB111*EXP(-LN(2)/10990*($F$88-MZ111))</f>
        <v>#DIV/0!</v>
      </c>
      <c r="ND111" s="599" t="e">
        <f>NC111-AVERAGE(NK94:NK95)</f>
        <v>#DIV/0!</v>
      </c>
      <c r="NE111" s="672" t="e">
        <f>ABS($B$33*ND111*3600)</f>
        <v>#DIV/0!</v>
      </c>
      <c r="NF111" s="675" t="e">
        <f>ABS($B$34*ND111*3600)</f>
        <v>#DIV/0!</v>
      </c>
      <c r="NG111" s="614" t="e">
        <f>NF111*$C$79</f>
        <v>#DIV/0!</v>
      </c>
      <c r="NH111" s="672" t="e">
        <f>NF111*$F$70</f>
        <v>#DIV/0!</v>
      </c>
      <c r="NI111" s="600" t="e">
        <f>NF111*$F$75</f>
        <v>#DIV/0!</v>
      </c>
      <c r="NJ111" s="672" t="e">
        <f>NF111*$F$72</f>
        <v>#DIV/0!</v>
      </c>
      <c r="NK111" s="676" t="e">
        <f>NF111*$F$71</f>
        <v>#DIV/0!</v>
      </c>
      <c r="NL111" s="668"/>
      <c r="NM111" s="669"/>
      <c r="NN111" s="670"/>
      <c r="NO111" s="671"/>
      <c r="NP111" s="678"/>
      <c r="NQ111" s="650"/>
      <c r="NR111" s="651">
        <f t="shared" si="264"/>
        <v>0</v>
      </c>
      <c r="NS111" s="619" t="e">
        <f>((273.2+NL111)*$F$32/((273.2+$F$31)*NN111))</f>
        <v>#DIV/0!</v>
      </c>
      <c r="NT111" s="674" t="e">
        <f>NR111/NP111*NS111*EXP(-LN(2)/10990*($F$88-NQ111))</f>
        <v>#DIV/0!</v>
      </c>
      <c r="NU111" s="599" t="e">
        <f>NT111-AVERAGE(OB94:OB95)</f>
        <v>#DIV/0!</v>
      </c>
      <c r="NV111" s="672" t="e">
        <f>ABS($B$33*NU111*3600)</f>
        <v>#DIV/0!</v>
      </c>
      <c r="NW111" s="675" t="e">
        <f>ABS($B$34*NU111*3600)</f>
        <v>#DIV/0!</v>
      </c>
      <c r="NX111" s="614" t="e">
        <f>NW111*$C$79</f>
        <v>#DIV/0!</v>
      </c>
      <c r="NY111" s="672" t="e">
        <f>NW111*$F$70</f>
        <v>#DIV/0!</v>
      </c>
      <c r="NZ111" s="600" t="e">
        <f>NW111*$F$75</f>
        <v>#DIV/0!</v>
      </c>
      <c r="OA111" s="672" t="e">
        <f>NW111*$F$72</f>
        <v>#DIV/0!</v>
      </c>
      <c r="OB111" s="676" t="e">
        <f>NW111*$F$71</f>
        <v>#DIV/0!</v>
      </c>
      <c r="OC111" s="668"/>
      <c r="OD111" s="669"/>
      <c r="OE111" s="670"/>
      <c r="OF111" s="671"/>
      <c r="OG111" s="678"/>
      <c r="OH111" s="650"/>
      <c r="OI111" s="651">
        <f t="shared" si="266"/>
        <v>0</v>
      </c>
      <c r="OJ111" s="619" t="e">
        <f>((273.2+OC111)*$F$32/((273.2+$F$31)*OE111))</f>
        <v>#DIV/0!</v>
      </c>
      <c r="OK111" s="674" t="e">
        <f>OI111/OG111*OJ111*EXP(-LN(2)/10990*($F$88-OH111))</f>
        <v>#DIV/0!</v>
      </c>
      <c r="OL111" s="599" t="e">
        <f>OK111-AVERAGE(OS94:OS95)</f>
        <v>#DIV/0!</v>
      </c>
      <c r="OM111" s="672" t="e">
        <f>ABS($B$33*OL111*3600)</f>
        <v>#DIV/0!</v>
      </c>
      <c r="ON111" s="675" t="e">
        <f>ABS($B$34*OL111*3600)</f>
        <v>#DIV/0!</v>
      </c>
      <c r="OO111" s="614" t="e">
        <f>ON111*$C$79</f>
        <v>#DIV/0!</v>
      </c>
      <c r="OP111" s="672" t="e">
        <f>ON111*$F$70</f>
        <v>#DIV/0!</v>
      </c>
      <c r="OQ111" s="600" t="e">
        <f>ON111*$F$75</f>
        <v>#DIV/0!</v>
      </c>
      <c r="OR111" s="672" t="e">
        <f>ON111*$F$72</f>
        <v>#DIV/0!</v>
      </c>
      <c r="OS111" s="676" t="e">
        <f>ON111*$F$71</f>
        <v>#DIV/0!</v>
      </c>
      <c r="OT111" s="668"/>
      <c r="OU111" s="669"/>
      <c r="OV111" s="670"/>
      <c r="OW111" s="671"/>
      <c r="OX111" s="678"/>
      <c r="OY111" s="650"/>
      <c r="OZ111" s="651">
        <f t="shared" si="268"/>
        <v>0</v>
      </c>
      <c r="PA111" s="619" t="e">
        <f>((273.2+OT111)*$F$32/((273.2+$F$31)*OV111))</f>
        <v>#DIV/0!</v>
      </c>
      <c r="PB111" s="674" t="e">
        <f>OZ111/OX111*PA111*EXP(-LN(2)/10990*($F$88-OY111))</f>
        <v>#DIV/0!</v>
      </c>
      <c r="PC111" s="599" t="e">
        <f>PB111-AVERAGE(PJ94:PJ95)</f>
        <v>#DIV/0!</v>
      </c>
      <c r="PD111" s="672" t="e">
        <f>ABS($B$33*PC111*3600)</f>
        <v>#DIV/0!</v>
      </c>
      <c r="PE111" s="675" t="e">
        <f>ABS($B$34*PC111*3600)</f>
        <v>#DIV/0!</v>
      </c>
      <c r="PF111" s="614" t="e">
        <f>PE111*$C$79</f>
        <v>#DIV/0!</v>
      </c>
      <c r="PG111" s="672" t="e">
        <f>PE111*$F$70</f>
        <v>#DIV/0!</v>
      </c>
      <c r="PH111" s="600" t="e">
        <f>PE111*$F$75</f>
        <v>#DIV/0!</v>
      </c>
      <c r="PI111" s="672" t="e">
        <f>PE111*$F$72</f>
        <v>#DIV/0!</v>
      </c>
      <c r="PJ111" s="676" t="e">
        <f>PE111*$F$71</f>
        <v>#DIV/0!</v>
      </c>
      <c r="PK111" s="668"/>
      <c r="PL111" s="669"/>
      <c r="PM111" s="670"/>
      <c r="PN111" s="671"/>
      <c r="PO111" s="678"/>
      <c r="PP111" s="650"/>
      <c r="PQ111" s="651">
        <f t="shared" si="270"/>
        <v>0</v>
      </c>
      <c r="PR111" s="619" t="e">
        <f>((273.2+PK111)*$F$32/((273.2+$F$31)*PM111))</f>
        <v>#DIV/0!</v>
      </c>
      <c r="PS111" s="674" t="e">
        <f>PQ111/PO111*PR111*EXP(-LN(2)/10990*($F$88-PP111))</f>
        <v>#DIV/0!</v>
      </c>
      <c r="PT111" s="599" t="e">
        <f>PS111-AVERAGE(QA94:QA95)</f>
        <v>#DIV/0!</v>
      </c>
      <c r="PU111" s="672" t="e">
        <f>ABS($B$33*PT111*3600)</f>
        <v>#DIV/0!</v>
      </c>
      <c r="PV111" s="675" t="e">
        <f>ABS($B$34*PT111*3600)</f>
        <v>#DIV/0!</v>
      </c>
      <c r="PW111" s="614" t="e">
        <f>PV111*$C$79</f>
        <v>#DIV/0!</v>
      </c>
      <c r="PX111" s="672" t="e">
        <f>PV111*$F$70</f>
        <v>#DIV/0!</v>
      </c>
      <c r="PY111" s="600" t="e">
        <f>PV111*$F$75</f>
        <v>#DIV/0!</v>
      </c>
      <c r="PZ111" s="672" t="e">
        <f>PV111*$F$72</f>
        <v>#DIV/0!</v>
      </c>
      <c r="QA111" s="676" t="e">
        <f>PV111*$F$71</f>
        <v>#DIV/0!</v>
      </c>
      <c r="QB111" s="668"/>
      <c r="QC111" s="669"/>
      <c r="QD111" s="670"/>
      <c r="QE111" s="671"/>
      <c r="QF111" s="673"/>
      <c r="QG111" s="650"/>
      <c r="QH111" s="651">
        <f t="shared" si="272"/>
        <v>0</v>
      </c>
      <c r="QI111" s="619" t="e">
        <f>((273.2+QB111)*$F$32/((273.2+$F$31)*QD111))</f>
        <v>#DIV/0!</v>
      </c>
      <c r="QJ111" s="674" t="e">
        <f>QH111/QF111*QI111*EXP(-LN(2)/10990*($F$88-QG111))</f>
        <v>#DIV/0!</v>
      </c>
      <c r="QK111" s="599" t="e">
        <f>QJ111-AVERAGE(QR94:QR95)</f>
        <v>#DIV/0!</v>
      </c>
      <c r="QL111" s="672" t="e">
        <f>ABS($B$33*QK111*3600)</f>
        <v>#DIV/0!</v>
      </c>
      <c r="QM111" s="675" t="e">
        <f>ABS($B$34*QK111*3600)</f>
        <v>#DIV/0!</v>
      </c>
      <c r="QN111" s="614" t="e">
        <f>QM111*$C$79</f>
        <v>#DIV/0!</v>
      </c>
      <c r="QO111" s="672" t="e">
        <f>QM111*$F$70</f>
        <v>#DIV/0!</v>
      </c>
      <c r="QP111" s="600" t="e">
        <f>QM111*$F$75</f>
        <v>#DIV/0!</v>
      </c>
      <c r="QQ111" s="672" t="e">
        <f>QM111*$F$72</f>
        <v>#DIV/0!</v>
      </c>
      <c r="QR111" s="676" t="e">
        <f>QM111*$F$71</f>
        <v>#DIV/0!</v>
      </c>
      <c r="QS111" s="668"/>
      <c r="QT111" s="669"/>
      <c r="QU111" s="677"/>
      <c r="QV111" s="679"/>
      <c r="QW111" s="678"/>
      <c r="QX111" s="650"/>
      <c r="QY111" s="651">
        <f t="shared" si="274"/>
        <v>0</v>
      </c>
      <c r="QZ111" s="619" t="e">
        <f>((273.2+QS111)*$F$32/((273.2+$F$31)*QU111))</f>
        <v>#DIV/0!</v>
      </c>
      <c r="RA111" s="674" t="e">
        <f>QY111/QW111*QZ111*EXP(-LN(2)/10990*($F$88-QX111))</f>
        <v>#DIV/0!</v>
      </c>
      <c r="RB111" s="599" t="e">
        <f>RA111-AVERAGE(RI94:RI95)</f>
        <v>#DIV/0!</v>
      </c>
      <c r="RC111" s="672" t="e">
        <f>ABS($B$33*RB111*3600)</f>
        <v>#DIV/0!</v>
      </c>
      <c r="RD111" s="675" t="e">
        <f>ABS($B$34*RB111*3600)</f>
        <v>#DIV/0!</v>
      </c>
      <c r="RE111" s="614" t="e">
        <f>RD111*$C$79</f>
        <v>#DIV/0!</v>
      </c>
      <c r="RF111" s="672" t="e">
        <f>RD111*$F$70</f>
        <v>#DIV/0!</v>
      </c>
      <c r="RG111" s="600" t="e">
        <f>RD111*$F$75</f>
        <v>#DIV/0!</v>
      </c>
      <c r="RH111" s="672" t="e">
        <f>RD111*$F$72</f>
        <v>#DIV/0!</v>
      </c>
      <c r="RI111" s="676" t="e">
        <f>RD111*$F$71</f>
        <v>#DIV/0!</v>
      </c>
      <c r="RJ111" s="668"/>
      <c r="RK111" s="669"/>
      <c r="RL111" s="670"/>
      <c r="RM111" s="671"/>
      <c r="RN111" s="678"/>
      <c r="RO111" s="650"/>
      <c r="RP111" s="651">
        <f t="shared" si="276"/>
        <v>0</v>
      </c>
      <c r="RQ111" s="619" t="e">
        <f>((273.2+RJ111)*$F$32/((273.2+$F$31)*RL111))</f>
        <v>#DIV/0!</v>
      </c>
      <c r="RR111" s="674" t="e">
        <f>RP111/RN111*RQ111*EXP(-LN(2)/10990*($F$88-RO111))</f>
        <v>#DIV/0!</v>
      </c>
      <c r="RS111" s="599" t="e">
        <f>RR111-AVERAGE(RZ94:RZ95)</f>
        <v>#DIV/0!</v>
      </c>
      <c r="RT111" s="672" t="e">
        <f>ABS($B$33*RS111*3600)</f>
        <v>#DIV/0!</v>
      </c>
      <c r="RU111" s="675" t="e">
        <f>ABS($B$34*RS111*3600)</f>
        <v>#DIV/0!</v>
      </c>
      <c r="RV111" s="614" t="e">
        <f>RU111*$C$79</f>
        <v>#DIV/0!</v>
      </c>
      <c r="RW111" s="672" t="e">
        <f>RU111*$F$70</f>
        <v>#DIV/0!</v>
      </c>
      <c r="RX111" s="600" t="e">
        <f>RU111*$F$75</f>
        <v>#DIV/0!</v>
      </c>
      <c r="RY111" s="672" t="e">
        <f>RU111*$F$72</f>
        <v>#DIV/0!</v>
      </c>
      <c r="RZ111" s="676" t="e">
        <f>RU111*$F$71</f>
        <v>#DIV/0!</v>
      </c>
      <c r="SA111" s="668"/>
      <c r="SB111" s="669"/>
      <c r="SC111" s="670"/>
      <c r="SD111" s="671"/>
      <c r="SE111" s="678"/>
      <c r="SF111" s="650"/>
      <c r="SG111" s="651">
        <f t="shared" si="278"/>
        <v>0</v>
      </c>
      <c r="SH111" s="619" t="e">
        <f>((273.2+SA111)*$F$32/((273.2+$F$31)*SC111))</f>
        <v>#DIV/0!</v>
      </c>
      <c r="SI111" s="674" t="e">
        <f>SG111/SE111*SH111*EXP(-LN(2)/10990*($F$88-SF111))</f>
        <v>#DIV/0!</v>
      </c>
      <c r="SJ111" s="599" t="e">
        <f>SI111-AVERAGE(SQ94:SQ95)</f>
        <v>#DIV/0!</v>
      </c>
      <c r="SK111" s="672" t="e">
        <f>ABS($B$33*SJ111*3600)</f>
        <v>#DIV/0!</v>
      </c>
      <c r="SL111" s="675" t="e">
        <f>ABS($B$34*SJ111*3600)</f>
        <v>#DIV/0!</v>
      </c>
      <c r="SM111" s="614" t="e">
        <f>SL111*$C$79</f>
        <v>#DIV/0!</v>
      </c>
      <c r="SN111" s="672" t="e">
        <f>SL111*$F$70</f>
        <v>#DIV/0!</v>
      </c>
      <c r="SO111" s="600" t="e">
        <f>SL111*$F$75</f>
        <v>#DIV/0!</v>
      </c>
      <c r="SP111" s="672" t="e">
        <f>SL111*$F$72</f>
        <v>#DIV/0!</v>
      </c>
      <c r="SQ111" s="676" t="e">
        <f>SL111*$F$71</f>
        <v>#DIV/0!</v>
      </c>
      <c r="SR111" s="668"/>
      <c r="SS111" s="669"/>
      <c r="ST111" s="670"/>
      <c r="SU111" s="671"/>
      <c r="SV111" s="678"/>
      <c r="SW111" s="650"/>
      <c r="SX111" s="651">
        <f t="shared" si="280"/>
        <v>0</v>
      </c>
      <c r="SY111" s="619" t="e">
        <f>((273.2+SR111)*$F$32/((273.2+$F$31)*ST111))</f>
        <v>#DIV/0!</v>
      </c>
      <c r="SZ111" s="674" t="e">
        <f>SX111/SV111*SY111*EXP(-LN(2)/10990*($F$88-SW111))</f>
        <v>#DIV/0!</v>
      </c>
      <c r="TA111" s="599" t="e">
        <f>SZ111-AVERAGE(TH94:TH95)</f>
        <v>#DIV/0!</v>
      </c>
      <c r="TB111" s="672" t="e">
        <f>ABS($B$33*TA111*3600)</f>
        <v>#DIV/0!</v>
      </c>
      <c r="TC111" s="675" t="e">
        <f>ABS($B$34*TA111*3600)</f>
        <v>#DIV/0!</v>
      </c>
      <c r="TD111" s="614" t="e">
        <f>TC111*$C$79</f>
        <v>#DIV/0!</v>
      </c>
      <c r="TE111" s="672" t="e">
        <f>TC111*$F$70</f>
        <v>#DIV/0!</v>
      </c>
      <c r="TF111" s="600" t="e">
        <f>TC111*$F$75</f>
        <v>#DIV/0!</v>
      </c>
      <c r="TG111" s="672" t="e">
        <f>TC111*$F$72</f>
        <v>#DIV/0!</v>
      </c>
      <c r="TH111" s="676" t="e">
        <f>TC111*$F$71</f>
        <v>#DIV/0!</v>
      </c>
      <c r="TI111" s="668"/>
      <c r="TJ111" s="669"/>
      <c r="TK111" s="670"/>
      <c r="TL111" s="671"/>
      <c r="TM111" s="678"/>
      <c r="TN111" s="650"/>
      <c r="TO111" s="651">
        <f t="shared" si="282"/>
        <v>0</v>
      </c>
      <c r="TP111" s="619" t="e">
        <f>((273.2+TI111)*$F$32/((273.2+$F$31)*TK111))</f>
        <v>#DIV/0!</v>
      </c>
      <c r="TQ111" s="674" t="e">
        <f>TO111/TM111*TP111*EXP(-LN(2)/10990*($F$88-TN111))</f>
        <v>#DIV/0!</v>
      </c>
      <c r="TR111" s="599" t="e">
        <f>TQ111-AVERAGE(TY94:TY95)</f>
        <v>#DIV/0!</v>
      </c>
      <c r="TS111" s="672" t="e">
        <f>ABS($B$33*TR111*3600)</f>
        <v>#DIV/0!</v>
      </c>
      <c r="TT111" s="675" t="e">
        <f>ABS($B$34*TR111*3600)</f>
        <v>#DIV/0!</v>
      </c>
      <c r="TU111" s="614" t="e">
        <f>TT111*$C$79</f>
        <v>#DIV/0!</v>
      </c>
      <c r="TV111" s="672" t="e">
        <f>TT111*$F$70</f>
        <v>#DIV/0!</v>
      </c>
      <c r="TW111" s="600" t="e">
        <f>TT111*$F$75</f>
        <v>#DIV/0!</v>
      </c>
      <c r="TX111" s="672" t="e">
        <f>TT111*$F$72</f>
        <v>#DIV/0!</v>
      </c>
      <c r="TY111" s="676" t="e">
        <f>TT111*$F$71</f>
        <v>#DIV/0!</v>
      </c>
    </row>
    <row r="112" spans="1:545" x14ac:dyDescent="0.25">
      <c r="A112" s="2220"/>
      <c r="B112" s="668"/>
      <c r="C112" s="673"/>
      <c r="D112" s="673"/>
      <c r="E112" s="671"/>
      <c r="F112" s="673"/>
      <c r="G112" s="650"/>
      <c r="H112" s="651"/>
      <c r="I112" s="619"/>
      <c r="J112" s="674"/>
      <c r="K112" s="599"/>
      <c r="L112" s="599"/>
      <c r="M112" s="657"/>
      <c r="N112" s="614"/>
      <c r="O112" s="672"/>
      <c r="P112" s="600"/>
      <c r="Q112" s="672"/>
      <c r="R112" s="676"/>
      <c r="S112" s="677"/>
      <c r="T112" s="669"/>
      <c r="U112" s="670"/>
      <c r="V112" s="671"/>
      <c r="W112" s="678"/>
      <c r="X112" s="663"/>
      <c r="Y112" s="651">
        <f t="shared" si="222"/>
        <v>0</v>
      </c>
      <c r="Z112" s="619" t="e">
        <f>((273.2+S112)*$F$32/((273.2+$F$31)*U112))</f>
        <v>#DIV/0!</v>
      </c>
      <c r="AA112" s="674" t="e">
        <f>Y112/W112*Z112*EXP(-LN(2)/10990*($F$88-X112))</f>
        <v>#DIV/0!</v>
      </c>
      <c r="AB112" s="599" t="e">
        <f>AA112-AVERAGE(AI94:AI95)</f>
        <v>#DIV/0!</v>
      </c>
      <c r="AC112" s="599" t="e">
        <f>ABS($B$33*AB112*3600)</f>
        <v>#DIV/0!</v>
      </c>
      <c r="AD112" s="657" t="e">
        <f>ABS($B$34*AB112*3600)</f>
        <v>#DIV/0!</v>
      </c>
      <c r="AE112" s="614" t="e">
        <f>AD112*$C$79</f>
        <v>#DIV/0!</v>
      </c>
      <c r="AF112" s="672" t="e">
        <f>AD112*$F$70</f>
        <v>#DIV/0!</v>
      </c>
      <c r="AG112" s="600" t="e">
        <f t="shared" si="223"/>
        <v>#DIV/0!</v>
      </c>
      <c r="AH112" s="672" t="e">
        <f>AD112*$F$72</f>
        <v>#DIV/0!</v>
      </c>
      <c r="AI112" s="676" t="e">
        <f>AD112*$F$71</f>
        <v>#DIV/0!</v>
      </c>
      <c r="AJ112" s="668"/>
      <c r="AK112" s="669"/>
      <c r="AL112" s="670"/>
      <c r="AM112" s="671"/>
      <c r="AN112" s="678"/>
      <c r="AO112" s="663"/>
      <c r="AP112" s="651">
        <f t="shared" si="224"/>
        <v>0</v>
      </c>
      <c r="AQ112" s="619" t="e">
        <f>((273.2+AJ112)*$F$32/((273.2+$F$31)*AL112))</f>
        <v>#DIV/0!</v>
      </c>
      <c r="AR112" s="674" t="e">
        <f>AP112/AN112*AQ112*EXP(-LN(2)/10990*($F$88-AO112))</f>
        <v>#DIV/0!</v>
      </c>
      <c r="AS112" s="599" t="e">
        <f>AR112-AVERAGE(AZ94:AZ95)</f>
        <v>#DIV/0!</v>
      </c>
      <c r="AT112" s="599" t="e">
        <f>ABS($B$33*AS112*3600)</f>
        <v>#DIV/0!</v>
      </c>
      <c r="AU112" s="657" t="e">
        <f>ABS($B$34*AS112*3600)</f>
        <v>#DIV/0!</v>
      </c>
      <c r="AV112" s="614" t="e">
        <f>AU112*$C$79</f>
        <v>#DIV/0!</v>
      </c>
      <c r="AW112" s="672" t="e">
        <f>AU112*$F$70</f>
        <v>#DIV/0!</v>
      </c>
      <c r="AX112" s="600" t="e">
        <f t="shared" si="225"/>
        <v>#DIV/0!</v>
      </c>
      <c r="AY112" s="672" t="e">
        <f>AU112*$F$72</f>
        <v>#DIV/0!</v>
      </c>
      <c r="AZ112" s="676" t="e">
        <f>AU112*$F$71</f>
        <v>#DIV/0!</v>
      </c>
      <c r="BA112" s="668"/>
      <c r="BB112" s="669"/>
      <c r="BC112" s="670"/>
      <c r="BD112" s="671"/>
      <c r="BE112" s="678"/>
      <c r="BF112" s="663"/>
      <c r="BG112" s="651">
        <f t="shared" si="226"/>
        <v>0</v>
      </c>
      <c r="BH112" s="619" t="e">
        <f>((273.2+BA112)*$F$32/((273.2+$F$31)*BC112))</f>
        <v>#DIV/0!</v>
      </c>
      <c r="BI112" s="74" t="s">
        <v>1079</v>
      </c>
      <c r="BJ112" s="599" t="e">
        <f>BI112-AVERAGE(BQ94:BQ95)</f>
        <v>#VALUE!</v>
      </c>
      <c r="BK112" s="599" t="e">
        <f>ABS($B$33*BJ112*3600)</f>
        <v>#VALUE!</v>
      </c>
      <c r="BL112" s="657" t="e">
        <f>ABS($B$34*BJ112*3600)</f>
        <v>#VALUE!</v>
      </c>
      <c r="BM112" s="614" t="e">
        <f>BL112*$C$79</f>
        <v>#VALUE!</v>
      </c>
      <c r="BN112" s="672" t="e">
        <f>BL112*$F$70</f>
        <v>#VALUE!</v>
      </c>
      <c r="BO112" s="600" t="e">
        <f t="shared" si="227"/>
        <v>#VALUE!</v>
      </c>
      <c r="BP112" s="672" t="e">
        <f>BL112*$F$72</f>
        <v>#VALUE!</v>
      </c>
      <c r="BQ112" s="676" t="e">
        <f>BL112*$F$71</f>
        <v>#VALUE!</v>
      </c>
      <c r="BR112" s="668"/>
      <c r="BS112" s="669"/>
      <c r="BT112" s="670"/>
      <c r="BU112" s="671"/>
      <c r="BV112" s="678"/>
      <c r="BW112" s="663"/>
      <c r="BX112" s="651">
        <f t="shared" si="228"/>
        <v>0</v>
      </c>
      <c r="BY112" s="619" t="e">
        <f>((273.2+BR112)*$F$32/((273.2+$F$31)*BT112))</f>
        <v>#DIV/0!</v>
      </c>
      <c r="BZ112" s="674" t="e">
        <f>BX112/BV112*BY112*EXP(-LN(2)/10990*($F$88-BW112))</f>
        <v>#DIV/0!</v>
      </c>
      <c r="CA112" s="599" t="e">
        <f>BZ112-AVERAGE(CH94:CH95)</f>
        <v>#DIV/0!</v>
      </c>
      <c r="CB112" s="599" t="e">
        <f>ABS($B$33*CA112*3600)</f>
        <v>#DIV/0!</v>
      </c>
      <c r="CC112" s="657" t="e">
        <f>ABS($B$34*CA112*3600)</f>
        <v>#DIV/0!</v>
      </c>
      <c r="CD112" s="614" t="e">
        <f>CC112*$C$79</f>
        <v>#DIV/0!</v>
      </c>
      <c r="CE112" s="672" t="e">
        <f>CC112*$F$70</f>
        <v>#DIV/0!</v>
      </c>
      <c r="CF112" s="600" t="e">
        <f t="shared" si="229"/>
        <v>#DIV/0!</v>
      </c>
      <c r="CG112" s="672" t="e">
        <f>CC112*$F$72</f>
        <v>#DIV/0!</v>
      </c>
      <c r="CH112" s="676" t="e">
        <f>CC112*$F$71</f>
        <v>#DIV/0!</v>
      </c>
      <c r="CI112" s="668"/>
      <c r="CJ112" s="669"/>
      <c r="CK112" s="670"/>
      <c r="CL112" s="671"/>
      <c r="CM112" s="678"/>
      <c r="CN112" s="663"/>
      <c r="CO112" s="651">
        <f t="shared" si="230"/>
        <v>0</v>
      </c>
      <c r="CP112" s="619" t="e">
        <f>((273.2+CI112)*$F$32/((273.2+$F$31)*CK112))</f>
        <v>#DIV/0!</v>
      </c>
      <c r="CQ112" s="674" t="e">
        <f>CO112/CM112*CP112*EXP(-LN(2)/10990*($F$88-CN112))</f>
        <v>#DIV/0!</v>
      </c>
      <c r="CR112" s="599" t="e">
        <f>CQ112-AVERAGE(CY94:CY95)</f>
        <v>#DIV/0!</v>
      </c>
      <c r="CS112" s="599" t="e">
        <f>ABS($B$33*CR112*3600)</f>
        <v>#DIV/0!</v>
      </c>
      <c r="CT112" s="657" t="e">
        <f>ABS($B$34*CR112*3600)</f>
        <v>#DIV/0!</v>
      </c>
      <c r="CU112" s="614" t="e">
        <f>CT112*$C$79</f>
        <v>#DIV/0!</v>
      </c>
      <c r="CV112" s="672" t="e">
        <f>CT112*$F$70</f>
        <v>#DIV/0!</v>
      </c>
      <c r="CW112" s="600" t="e">
        <f t="shared" si="231"/>
        <v>#DIV/0!</v>
      </c>
      <c r="CX112" s="672" t="e">
        <f>CT112*$F$72</f>
        <v>#DIV/0!</v>
      </c>
      <c r="CY112" s="676" t="e">
        <f>CT112*$F$71</f>
        <v>#DIV/0!</v>
      </c>
      <c r="CZ112" s="668"/>
      <c r="DA112" s="669"/>
      <c r="DB112" s="670"/>
      <c r="DC112" s="671"/>
      <c r="DD112" s="678"/>
      <c r="DE112" s="663"/>
      <c r="DF112" s="651">
        <f t="shared" si="232"/>
        <v>0</v>
      </c>
      <c r="DG112" s="619" t="e">
        <f>((273.2+CZ112)*$F$32/((273.2+$F$31)*DB112))</f>
        <v>#DIV/0!</v>
      </c>
      <c r="DH112" s="674" t="e">
        <f>DF112/DD112*DG112*EXP(-LN(2)/10990*($F$88-DE112))</f>
        <v>#DIV/0!</v>
      </c>
      <c r="DI112" s="599" t="e">
        <f>DH112-AVERAGE(DP94:DP95)</f>
        <v>#DIV/0!</v>
      </c>
      <c r="DJ112" s="599" t="e">
        <f>ABS($B$33*DI112*3600)</f>
        <v>#DIV/0!</v>
      </c>
      <c r="DK112" s="657" t="e">
        <f>ABS($B$34*DI112*3600)</f>
        <v>#DIV/0!</v>
      </c>
      <c r="DL112" s="614" t="e">
        <f>DK112*$C$79</f>
        <v>#DIV/0!</v>
      </c>
      <c r="DM112" s="672" t="e">
        <f>DK112*$F$70</f>
        <v>#DIV/0!</v>
      </c>
      <c r="DN112" s="600" t="e">
        <f t="shared" si="233"/>
        <v>#DIV/0!</v>
      </c>
      <c r="DO112" s="672" t="e">
        <f>DK112*$F$72</f>
        <v>#DIV/0!</v>
      </c>
      <c r="DP112" s="676" t="e">
        <f>DK112*$F$71</f>
        <v>#DIV/0!</v>
      </c>
      <c r="DQ112" s="668"/>
      <c r="DR112" s="669"/>
      <c r="DS112" s="677"/>
      <c r="DT112" s="679"/>
      <c r="DU112" s="678"/>
      <c r="DV112" s="663"/>
      <c r="DW112" s="651">
        <f t="shared" si="234"/>
        <v>0</v>
      </c>
      <c r="DX112" s="619" t="e">
        <f>((273.2+DQ112)*$F$32/((273.2+$F$31)*DS112))</f>
        <v>#DIV/0!</v>
      </c>
      <c r="DY112" s="674" t="e">
        <f>DW112/DU112*DX112*EXP(-LN(2)/10990*($F$88-DV112))</f>
        <v>#DIV/0!</v>
      </c>
      <c r="DZ112" s="599" t="e">
        <f>DY112-AVERAGE(EG94:EG95)</f>
        <v>#DIV/0!</v>
      </c>
      <c r="EA112" s="599" t="e">
        <f>ABS($B$33*DZ112*3600)</f>
        <v>#DIV/0!</v>
      </c>
      <c r="EB112" s="657" t="e">
        <f>ABS($B$34*DZ112*3600)</f>
        <v>#DIV/0!</v>
      </c>
      <c r="EC112" s="614" t="e">
        <f>EB112*$C$79</f>
        <v>#DIV/0!</v>
      </c>
      <c r="ED112" s="672" t="e">
        <f>EB112*$F$70</f>
        <v>#DIV/0!</v>
      </c>
      <c r="EE112" s="600" t="e">
        <f t="shared" si="235"/>
        <v>#DIV/0!</v>
      </c>
      <c r="EF112" s="672" t="e">
        <f>EB112*$F$72</f>
        <v>#DIV/0!</v>
      </c>
      <c r="EG112" s="676" t="e">
        <f>EB112*$F$71</f>
        <v>#DIV/0!</v>
      </c>
      <c r="EH112" s="668"/>
      <c r="EI112" s="669"/>
      <c r="EJ112" s="670"/>
      <c r="EK112" s="671"/>
      <c r="EL112" s="678"/>
      <c r="EM112" s="663"/>
      <c r="EN112" s="651">
        <f t="shared" si="236"/>
        <v>0</v>
      </c>
      <c r="EO112" s="619" t="e">
        <f>((273.2+EH112)*$F$32/((273.2+$F$31)*EJ112))</f>
        <v>#DIV/0!</v>
      </c>
      <c r="EP112" s="674" t="e">
        <f>EN112/EL112*EO112*EXP(-LN(2)/10990*($F$88-EM112))</f>
        <v>#DIV/0!</v>
      </c>
      <c r="EQ112" s="599" t="e">
        <f>EP112-AVERAGE(EX94:EX95)</f>
        <v>#DIV/0!</v>
      </c>
      <c r="ER112" s="599" t="e">
        <f>ABS($B$33*EQ112*3600)</f>
        <v>#DIV/0!</v>
      </c>
      <c r="ES112" s="657" t="e">
        <f>ABS($B$34*EQ112*3600)</f>
        <v>#DIV/0!</v>
      </c>
      <c r="ET112" s="614" t="e">
        <f>ES112*$C$79</f>
        <v>#DIV/0!</v>
      </c>
      <c r="EU112" s="672" t="e">
        <f>ES112*$F$70</f>
        <v>#DIV/0!</v>
      </c>
      <c r="EV112" s="600" t="e">
        <f t="shared" si="237"/>
        <v>#DIV/0!</v>
      </c>
      <c r="EW112" s="672" t="e">
        <f>ES112*$F$72</f>
        <v>#DIV/0!</v>
      </c>
      <c r="EX112" s="676" t="e">
        <f>ES112*$F$71</f>
        <v>#DIV/0!</v>
      </c>
      <c r="EY112" s="668"/>
      <c r="EZ112" s="669"/>
      <c r="FA112" s="670"/>
      <c r="FB112" s="671"/>
      <c r="FC112" s="678"/>
      <c r="FD112" s="663"/>
      <c r="FE112" s="651">
        <f t="shared" si="238"/>
        <v>0</v>
      </c>
      <c r="FF112" s="619" t="e">
        <f>((273.2+EY112)*$F$32/((273.2+$F$31)*FA112))</f>
        <v>#DIV/0!</v>
      </c>
      <c r="FG112" s="674" t="e">
        <f>FE112/FC112*FF112*EXP(-LN(2)/10990*($F$88-FD112))</f>
        <v>#DIV/0!</v>
      </c>
      <c r="FH112" s="599" t="e">
        <f>FG112-AVERAGE(FO94:FO95)</f>
        <v>#DIV/0!</v>
      </c>
      <c r="FI112" s="599" t="e">
        <f>ABS($B$33*FH112*3600)</f>
        <v>#DIV/0!</v>
      </c>
      <c r="FJ112" s="657" t="e">
        <f>ABS($B$34*FH112*3600)</f>
        <v>#DIV/0!</v>
      </c>
      <c r="FK112" s="614" t="e">
        <f>FJ112*$C$79</f>
        <v>#DIV/0!</v>
      </c>
      <c r="FL112" s="672" t="e">
        <f>FJ112*$F$70</f>
        <v>#DIV/0!</v>
      </c>
      <c r="FM112" s="600" t="e">
        <f t="shared" si="239"/>
        <v>#DIV/0!</v>
      </c>
      <c r="FN112" s="672" t="e">
        <f>FJ112*$F$72</f>
        <v>#DIV/0!</v>
      </c>
      <c r="FO112" s="676" t="e">
        <f>FJ112*$F$71</f>
        <v>#DIV/0!</v>
      </c>
      <c r="FP112" s="668"/>
      <c r="FQ112" s="669"/>
      <c r="FR112" s="670"/>
      <c r="FS112" s="671"/>
      <c r="FT112" s="678"/>
      <c r="FU112" s="663"/>
      <c r="FV112" s="651">
        <f t="shared" si="240"/>
        <v>0</v>
      </c>
      <c r="FW112" s="619" t="e">
        <f>((273.2+FP112)*$F$32/((273.2+$F$31)*FR112))</f>
        <v>#DIV/0!</v>
      </c>
      <c r="FX112" s="674" t="e">
        <f>FV112/FT112*FW112*EXP(-LN(2)/10990*($F$88-FU112))</f>
        <v>#DIV/0!</v>
      </c>
      <c r="FY112" s="599" t="e">
        <f>FX112-AVERAGE(GF94:GF95)</f>
        <v>#DIV/0!</v>
      </c>
      <c r="FZ112" s="599" t="e">
        <f>ABS($B$33*FY112*3600)</f>
        <v>#DIV/0!</v>
      </c>
      <c r="GA112" s="657" t="e">
        <f>ABS($B$34*FY112*3600)</f>
        <v>#DIV/0!</v>
      </c>
      <c r="GB112" s="614" t="e">
        <f>GA112*$C$79</f>
        <v>#DIV/0!</v>
      </c>
      <c r="GC112" s="672" t="e">
        <f>GA112*$F$70</f>
        <v>#DIV/0!</v>
      </c>
      <c r="GD112" s="600" t="e">
        <f t="shared" si="241"/>
        <v>#DIV/0!</v>
      </c>
      <c r="GE112" s="672" t="e">
        <f>GA112*$F$72</f>
        <v>#DIV/0!</v>
      </c>
      <c r="GF112" s="676" t="e">
        <f>GA112*$F$71</f>
        <v>#DIV/0!</v>
      </c>
      <c r="GG112" s="668"/>
      <c r="GH112" s="669"/>
      <c r="GI112" s="677"/>
      <c r="GJ112" s="679"/>
      <c r="GK112" s="678"/>
      <c r="GL112" s="663"/>
      <c r="GM112" s="651">
        <f t="shared" si="242"/>
        <v>0</v>
      </c>
      <c r="GN112" s="619" t="e">
        <f>((273.2+GG112)*$F$32/((273.2+$F$31)*GI112))</f>
        <v>#DIV/0!</v>
      </c>
      <c r="GO112" s="674" t="e">
        <f>GM112/GK112*GN112*EXP(-LN(2)/10990*($F$88-GL112))</f>
        <v>#DIV/0!</v>
      </c>
      <c r="GP112" s="599" t="e">
        <f>GO112-AVERAGE(GW94:GW95)</f>
        <v>#DIV/0!</v>
      </c>
      <c r="GQ112" s="599" t="e">
        <f>ABS($B$33*GP112*3600)</f>
        <v>#DIV/0!</v>
      </c>
      <c r="GR112" s="657" t="e">
        <f>ABS($B$34*GP112*3600)</f>
        <v>#DIV/0!</v>
      </c>
      <c r="GS112" s="614" t="e">
        <f>GR112*$C$79</f>
        <v>#DIV/0!</v>
      </c>
      <c r="GT112" s="672" t="e">
        <f>GR112*$F$70</f>
        <v>#DIV/0!</v>
      </c>
      <c r="GU112" s="600" t="e">
        <f t="shared" si="243"/>
        <v>#DIV/0!</v>
      </c>
      <c r="GV112" s="672" t="e">
        <f>GR112*$F$72</f>
        <v>#DIV/0!</v>
      </c>
      <c r="GW112" s="676" t="e">
        <f>GR112*$F$71</f>
        <v>#DIV/0!</v>
      </c>
      <c r="GX112" s="668"/>
      <c r="GY112" s="669"/>
      <c r="GZ112" s="670"/>
      <c r="HA112" s="671"/>
      <c r="HB112" s="678"/>
      <c r="HC112" s="663"/>
      <c r="HD112" s="651">
        <f t="shared" si="244"/>
        <v>0</v>
      </c>
      <c r="HE112" s="619" t="e">
        <f>((273.2+GX112)*$F$32/((273.2+$F$31)*GZ112))</f>
        <v>#DIV/0!</v>
      </c>
      <c r="HF112" s="674" t="e">
        <f>HD112/HB112*HE112*EXP(-LN(2)/10990*($F$88-HC112))</f>
        <v>#DIV/0!</v>
      </c>
      <c r="HG112" s="599" t="e">
        <f>HF112-AVERAGE(HN94:HN95)</f>
        <v>#DIV/0!</v>
      </c>
      <c r="HH112" s="599" t="e">
        <f>ABS($B$33*HG112*3600)</f>
        <v>#DIV/0!</v>
      </c>
      <c r="HI112" s="657" t="e">
        <f>ABS($B$34*HG112*3600)</f>
        <v>#DIV/0!</v>
      </c>
      <c r="HJ112" s="614" t="e">
        <f>HI112*$C$79</f>
        <v>#DIV/0!</v>
      </c>
      <c r="HK112" s="672" t="e">
        <f>HI112*$F$70</f>
        <v>#DIV/0!</v>
      </c>
      <c r="HL112" s="600" t="e">
        <f t="shared" si="245"/>
        <v>#DIV/0!</v>
      </c>
      <c r="HM112" s="672" t="e">
        <f>HI112*$F$72</f>
        <v>#DIV/0!</v>
      </c>
      <c r="HN112" s="676" t="e">
        <f>HI112*$F$71</f>
        <v>#DIV/0!</v>
      </c>
      <c r="HO112" s="668"/>
      <c r="HP112" s="669"/>
      <c r="HQ112" s="670"/>
      <c r="HR112" s="671"/>
      <c r="HS112" s="678"/>
      <c r="HT112" s="663"/>
      <c r="HU112" s="651">
        <f t="shared" si="246"/>
        <v>0</v>
      </c>
      <c r="HV112" s="619" t="e">
        <f>((273.2+HO112)*$F$32/((273.2+$F$31)*HQ112))</f>
        <v>#DIV/0!</v>
      </c>
      <c r="HW112" s="674" t="e">
        <f>HU112/HS112*HV112*EXP(-LN(2)/10990*($F$88-HT112))</f>
        <v>#DIV/0!</v>
      </c>
      <c r="HX112" s="599" t="e">
        <f>HW112-AVERAGE(IE94:IE95)</f>
        <v>#DIV/0!</v>
      </c>
      <c r="HY112" s="599" t="e">
        <f>ABS($B$33*HX112*3600)</f>
        <v>#DIV/0!</v>
      </c>
      <c r="HZ112" s="657" t="e">
        <f>ABS($B$34*HX112*3600)</f>
        <v>#DIV/0!</v>
      </c>
      <c r="IA112" s="614" t="e">
        <f>HZ112*$C$79</f>
        <v>#DIV/0!</v>
      </c>
      <c r="IB112" s="672" t="e">
        <f>HZ112*$F$70</f>
        <v>#DIV/0!</v>
      </c>
      <c r="IC112" s="600" t="e">
        <f t="shared" si="247"/>
        <v>#DIV/0!</v>
      </c>
      <c r="ID112" s="672" t="e">
        <f>HZ112*$F$72</f>
        <v>#DIV/0!</v>
      </c>
      <c r="IE112" s="676" t="e">
        <f>HZ112*$F$71</f>
        <v>#DIV/0!</v>
      </c>
      <c r="IF112" s="668"/>
      <c r="IG112" s="669"/>
      <c r="IH112" s="670"/>
      <c r="II112" s="671"/>
      <c r="IJ112" s="678"/>
      <c r="IK112" s="663"/>
      <c r="IL112" s="651">
        <f t="shared" si="248"/>
        <v>0</v>
      </c>
      <c r="IM112" s="619" t="e">
        <f>((273.2+IF112)*$F$32/((273.2+$F$31)*IH112))</f>
        <v>#DIV/0!</v>
      </c>
      <c r="IN112" s="674" t="e">
        <f>IL112/IJ112*IM112*EXP(-LN(2)/10990*($F$88-IK112))</f>
        <v>#DIV/0!</v>
      </c>
      <c r="IO112" s="599" t="e">
        <f>IN112-AVERAGE(IV94:IV95)</f>
        <v>#DIV/0!</v>
      </c>
      <c r="IP112" s="599" t="e">
        <f>ABS($B$33*IO112*3600)</f>
        <v>#DIV/0!</v>
      </c>
      <c r="IQ112" s="657" t="e">
        <f>ABS($B$34*IO112*3600)</f>
        <v>#DIV/0!</v>
      </c>
      <c r="IR112" s="614" t="e">
        <f>IQ112*$C$79</f>
        <v>#DIV/0!</v>
      </c>
      <c r="IS112" s="672" t="e">
        <f>IQ112*$F$70</f>
        <v>#DIV/0!</v>
      </c>
      <c r="IT112" s="600" t="e">
        <f t="shared" si="249"/>
        <v>#DIV/0!</v>
      </c>
      <c r="IU112" s="672" t="e">
        <f>IQ112*$F$72</f>
        <v>#DIV/0!</v>
      </c>
      <c r="IV112" s="676" t="e">
        <f>IQ112*$F$71</f>
        <v>#DIV/0!</v>
      </c>
      <c r="IW112" s="668"/>
      <c r="IX112" s="669"/>
      <c r="IY112" s="670"/>
      <c r="IZ112" s="671"/>
      <c r="JA112" s="678"/>
      <c r="JB112" s="663"/>
      <c r="JC112" s="651">
        <f t="shared" si="250"/>
        <v>0</v>
      </c>
      <c r="JD112" s="619" t="e">
        <f>((273.2+IW112)*$F$32/((273.2+$F$31)*IY112))</f>
        <v>#DIV/0!</v>
      </c>
      <c r="JE112" s="674" t="e">
        <f>JC112/JA112*JD112*EXP(-LN(2)/10990*($F$88-JB112))</f>
        <v>#DIV/0!</v>
      </c>
      <c r="JF112" s="599" t="e">
        <f>JE112-AVERAGE(JM94:JM95)</f>
        <v>#DIV/0!</v>
      </c>
      <c r="JG112" s="599" t="e">
        <f>ABS($B$33*JF112*3600)</f>
        <v>#DIV/0!</v>
      </c>
      <c r="JH112" s="657" t="e">
        <f>ABS($B$34*JF112*3600)</f>
        <v>#DIV/0!</v>
      </c>
      <c r="JI112" s="614" t="e">
        <f>JH112*$C$79</f>
        <v>#DIV/0!</v>
      </c>
      <c r="JJ112" s="672" t="e">
        <f>JH112*$F$70</f>
        <v>#DIV/0!</v>
      </c>
      <c r="JK112" s="600" t="e">
        <f t="shared" si="251"/>
        <v>#DIV/0!</v>
      </c>
      <c r="JL112" s="672" t="e">
        <f>JH112*$F$72</f>
        <v>#DIV/0!</v>
      </c>
      <c r="JM112" s="676" t="e">
        <f>JH112*$F$71</f>
        <v>#DIV/0!</v>
      </c>
      <c r="JN112" s="668"/>
      <c r="JO112" s="669"/>
      <c r="JP112" s="670"/>
      <c r="JQ112" s="671"/>
      <c r="JR112" s="678"/>
      <c r="JS112" s="663"/>
      <c r="JT112" s="651">
        <f t="shared" si="252"/>
        <v>0</v>
      </c>
      <c r="JU112" s="619" t="e">
        <f>((273.2+JN112)*$F$32/((273.2+$F$31)*JP112))</f>
        <v>#DIV/0!</v>
      </c>
      <c r="JV112" s="674" t="e">
        <f>JT112/JR112*JU112*EXP(-LN(2)/10990*($F$88-JS112))</f>
        <v>#DIV/0!</v>
      </c>
      <c r="JW112" s="599" t="e">
        <f>JV112-AVERAGE(KD94:KD95)</f>
        <v>#DIV/0!</v>
      </c>
      <c r="JX112" s="599" t="e">
        <f>ABS($B$33*JW112*3600)</f>
        <v>#DIV/0!</v>
      </c>
      <c r="JY112" s="657" t="e">
        <f>ABS($B$34*JW112*3600)</f>
        <v>#DIV/0!</v>
      </c>
      <c r="JZ112" s="614" t="e">
        <f>JY112*$C$79</f>
        <v>#DIV/0!</v>
      </c>
      <c r="KA112" s="672" t="e">
        <f>JY112*$F$70</f>
        <v>#DIV/0!</v>
      </c>
      <c r="KB112" s="600" t="e">
        <f t="shared" si="253"/>
        <v>#DIV/0!</v>
      </c>
      <c r="KC112" s="672" t="e">
        <f>JY112*$F$72</f>
        <v>#DIV/0!</v>
      </c>
      <c r="KD112" s="676" t="e">
        <f>JY112*$F$71</f>
        <v>#DIV/0!</v>
      </c>
      <c r="KE112" s="668"/>
      <c r="KF112" s="669"/>
      <c r="KG112" s="670"/>
      <c r="KH112" s="671"/>
      <c r="KI112" s="678"/>
      <c r="KJ112" s="663"/>
      <c r="KK112" s="651">
        <f t="shared" si="254"/>
        <v>0</v>
      </c>
      <c r="KL112" s="619" t="e">
        <f>((273.2+KE112)*$F$32/((273.2+$F$31)*KG112))</f>
        <v>#DIV/0!</v>
      </c>
      <c r="KM112" s="674" t="e">
        <f>KK112/KI112*KL112*EXP(-LN(2)/10990*($F$88-KJ112))</f>
        <v>#DIV/0!</v>
      </c>
      <c r="KN112" s="599" t="e">
        <f>KM112-AVERAGE(KU94:KU95)</f>
        <v>#DIV/0!</v>
      </c>
      <c r="KO112" s="599" t="e">
        <f>ABS($B$33*KN112*3600)</f>
        <v>#DIV/0!</v>
      </c>
      <c r="KP112" s="657" t="e">
        <f>ABS($B$34*KN112*3600)</f>
        <v>#DIV/0!</v>
      </c>
      <c r="KQ112" s="614" t="e">
        <f>KP112*$C$79</f>
        <v>#DIV/0!</v>
      </c>
      <c r="KR112" s="672" t="e">
        <f>KP112*$F$70</f>
        <v>#DIV/0!</v>
      </c>
      <c r="KS112" s="600" t="e">
        <f t="shared" si="255"/>
        <v>#DIV/0!</v>
      </c>
      <c r="KT112" s="672" t="e">
        <f>KP112*$F$72</f>
        <v>#DIV/0!</v>
      </c>
      <c r="KU112" s="676" t="e">
        <f>KP112*$F$71</f>
        <v>#DIV/0!</v>
      </c>
      <c r="KV112" s="668"/>
      <c r="KW112" s="669"/>
      <c r="KX112" s="670"/>
      <c r="KY112" s="671"/>
      <c r="KZ112" s="678"/>
      <c r="LA112" s="663"/>
      <c r="LB112" s="651">
        <f t="shared" si="256"/>
        <v>0</v>
      </c>
      <c r="LC112" s="619" t="e">
        <f>((273.2+KV112)*$F$32/((273.2+$F$31)*KX112))</f>
        <v>#DIV/0!</v>
      </c>
      <c r="LD112" s="674" t="e">
        <f>LB112/KZ112*LC112*EXP(-LN(2)/10990*($F$88-LA112))</f>
        <v>#DIV/0!</v>
      </c>
      <c r="LE112" s="599" t="e">
        <f>LD112-AVERAGE(LL94:LL95)</f>
        <v>#DIV/0!</v>
      </c>
      <c r="LF112" s="599" t="e">
        <f>ABS($B$33*LE112*3600)</f>
        <v>#DIV/0!</v>
      </c>
      <c r="LG112" s="657" t="e">
        <f>ABS($B$34*LE112*3600)</f>
        <v>#DIV/0!</v>
      </c>
      <c r="LH112" s="614" t="e">
        <f>LG112*$C$79</f>
        <v>#DIV/0!</v>
      </c>
      <c r="LI112" s="672" t="e">
        <f>LG112*$F$70</f>
        <v>#DIV/0!</v>
      </c>
      <c r="LJ112" s="600" t="e">
        <f t="shared" si="257"/>
        <v>#DIV/0!</v>
      </c>
      <c r="LK112" s="672" t="e">
        <f>LG112*$F$72</f>
        <v>#DIV/0!</v>
      </c>
      <c r="LL112" s="676" t="e">
        <f>LG112*$F$71</f>
        <v>#DIV/0!</v>
      </c>
      <c r="LM112" s="668"/>
      <c r="LN112" s="669"/>
      <c r="LO112" s="670"/>
      <c r="LP112" s="671"/>
      <c r="LQ112" s="678"/>
      <c r="LR112" s="663"/>
      <c r="LS112" s="651">
        <f t="shared" si="258"/>
        <v>0</v>
      </c>
      <c r="LT112" s="619" t="e">
        <f>((273.2+LM112)*$F$32/((273.2+$F$31)*LO112))</f>
        <v>#DIV/0!</v>
      </c>
      <c r="LU112" s="674" t="e">
        <f>LS112/LQ112*LT112*EXP(-LN(2)/10990*($F$88-LR112))</f>
        <v>#DIV/0!</v>
      </c>
      <c r="LV112" s="599" t="e">
        <f>LU112-AVERAGE(MC94:MC95)</f>
        <v>#DIV/0!</v>
      </c>
      <c r="LW112" s="599" t="e">
        <f>ABS($B$33*LV112*3600)</f>
        <v>#DIV/0!</v>
      </c>
      <c r="LX112" s="657" t="e">
        <f>ABS($B$34*LV112*3600)</f>
        <v>#DIV/0!</v>
      </c>
      <c r="LY112" s="614" t="e">
        <f>LX112*$C$79</f>
        <v>#DIV/0!</v>
      </c>
      <c r="LZ112" s="672" t="e">
        <f>LX112*$F$70</f>
        <v>#DIV/0!</v>
      </c>
      <c r="MA112" s="600" t="e">
        <f t="shared" si="259"/>
        <v>#DIV/0!</v>
      </c>
      <c r="MB112" s="672" t="e">
        <f>LX112*$F$72</f>
        <v>#DIV/0!</v>
      </c>
      <c r="MC112" s="676" t="e">
        <f>LX112*$F$71</f>
        <v>#DIV/0!</v>
      </c>
      <c r="MD112" s="668"/>
      <c r="ME112" s="669"/>
      <c r="MF112" s="680"/>
      <c r="MG112" s="671"/>
      <c r="MH112" s="673"/>
      <c r="MI112" s="663"/>
      <c r="MJ112" s="651">
        <f t="shared" si="260"/>
        <v>0</v>
      </c>
      <c r="MK112" s="619" t="e">
        <f>((273.2+MD112)*$F$32/((273.2+$F$31)*MF112))</f>
        <v>#DIV/0!</v>
      </c>
      <c r="ML112" s="674" t="e">
        <f>MJ112/MH112*MK112*EXP(-LN(2)/10990*($F$88-MI112))</f>
        <v>#DIV/0!</v>
      </c>
      <c r="MM112" s="599" t="e">
        <f>ML112-AVERAGE(MT94:MT95)</f>
        <v>#DIV/0!</v>
      </c>
      <c r="MN112" s="599" t="e">
        <f>ABS($B$33*MM112*3600)</f>
        <v>#DIV/0!</v>
      </c>
      <c r="MO112" s="657" t="e">
        <f>ABS($B$34*MM112*3600)</f>
        <v>#DIV/0!</v>
      </c>
      <c r="MP112" s="614" t="e">
        <f>MO112*$C$79</f>
        <v>#DIV/0!</v>
      </c>
      <c r="MQ112" s="672" t="e">
        <f>MO112*$F$70</f>
        <v>#DIV/0!</v>
      </c>
      <c r="MR112" s="600" t="e">
        <f t="shared" si="261"/>
        <v>#DIV/0!</v>
      </c>
      <c r="MS112" s="672" t="e">
        <f>MO112*$F$72</f>
        <v>#DIV/0!</v>
      </c>
      <c r="MT112" s="676" t="e">
        <f>MO112*$F$71</f>
        <v>#DIV/0!</v>
      </c>
      <c r="MU112" s="668"/>
      <c r="MV112" s="669"/>
      <c r="MW112" s="670"/>
      <c r="MX112" s="671"/>
      <c r="MY112" s="678"/>
      <c r="MZ112" s="663"/>
      <c r="NA112" s="651">
        <f t="shared" si="262"/>
        <v>0</v>
      </c>
      <c r="NB112" s="619" t="e">
        <f>((273.2+MU112)*$F$32/((273.2+$F$31)*MW112))</f>
        <v>#DIV/0!</v>
      </c>
      <c r="NC112" s="674" t="e">
        <f>NA112/MY112*NB112*EXP(-LN(2)/10990*($F$88-MZ112))</f>
        <v>#DIV/0!</v>
      </c>
      <c r="ND112" s="599" t="e">
        <f>NC112-AVERAGE(NK94:NK95)</f>
        <v>#DIV/0!</v>
      </c>
      <c r="NE112" s="599" t="e">
        <f>ABS($B$33*ND112*3600)</f>
        <v>#DIV/0!</v>
      </c>
      <c r="NF112" s="657" t="e">
        <f>ABS($B$34*ND112*3600)</f>
        <v>#DIV/0!</v>
      </c>
      <c r="NG112" s="614" t="e">
        <f>NF112*$C$79</f>
        <v>#DIV/0!</v>
      </c>
      <c r="NH112" s="672" t="e">
        <f>NF112*$F$70</f>
        <v>#DIV/0!</v>
      </c>
      <c r="NI112" s="600" t="e">
        <f t="shared" si="263"/>
        <v>#DIV/0!</v>
      </c>
      <c r="NJ112" s="672" t="e">
        <f>NF112*$F$72</f>
        <v>#DIV/0!</v>
      </c>
      <c r="NK112" s="676" t="e">
        <f>NF112*$F$71</f>
        <v>#DIV/0!</v>
      </c>
      <c r="NL112" s="668"/>
      <c r="NM112" s="669"/>
      <c r="NN112" s="670"/>
      <c r="NO112" s="671"/>
      <c r="NP112" s="678"/>
      <c r="NQ112" s="663"/>
      <c r="NR112" s="651">
        <f t="shared" si="264"/>
        <v>0</v>
      </c>
      <c r="NS112" s="619" t="e">
        <f>((273.2+NL112)*$F$32/((273.2+$F$31)*NN112))</f>
        <v>#DIV/0!</v>
      </c>
      <c r="NT112" s="674" t="e">
        <f>NR112/NP112*NS112*EXP(-LN(2)/10990*($F$88-NQ112))</f>
        <v>#DIV/0!</v>
      </c>
      <c r="NU112" s="599" t="e">
        <f>NT112-AVERAGE(OB94:OB95)</f>
        <v>#DIV/0!</v>
      </c>
      <c r="NV112" s="599" t="e">
        <f>ABS($B$33*NU112*3600)</f>
        <v>#DIV/0!</v>
      </c>
      <c r="NW112" s="657" t="e">
        <f>ABS($B$34*NU112*3600)</f>
        <v>#DIV/0!</v>
      </c>
      <c r="NX112" s="614" t="e">
        <f>NW112*$C$79</f>
        <v>#DIV/0!</v>
      </c>
      <c r="NY112" s="672" t="e">
        <f>NW112*$F$70</f>
        <v>#DIV/0!</v>
      </c>
      <c r="NZ112" s="600" t="e">
        <f t="shared" si="265"/>
        <v>#DIV/0!</v>
      </c>
      <c r="OA112" s="672" t="e">
        <f>NW112*$F$72</f>
        <v>#DIV/0!</v>
      </c>
      <c r="OB112" s="676" t="e">
        <f>NW112*$F$71</f>
        <v>#DIV/0!</v>
      </c>
      <c r="OC112" s="668"/>
      <c r="OD112" s="669"/>
      <c r="OE112" s="670"/>
      <c r="OF112" s="671"/>
      <c r="OG112" s="678"/>
      <c r="OH112" s="663"/>
      <c r="OI112" s="651">
        <f t="shared" si="266"/>
        <v>0</v>
      </c>
      <c r="OJ112" s="619" t="e">
        <f>((273.2+OC112)*$F$32/((273.2+$F$31)*OE112))</f>
        <v>#DIV/0!</v>
      </c>
      <c r="OK112" s="674" t="e">
        <f>OI112/OG112*OJ112*EXP(-LN(2)/10990*($F$88-OH112))</f>
        <v>#DIV/0!</v>
      </c>
      <c r="OL112" s="599" t="e">
        <f>OK112-AVERAGE(OS94:OS95)</f>
        <v>#DIV/0!</v>
      </c>
      <c r="OM112" s="599" t="e">
        <f>ABS($B$33*OL112*3600)</f>
        <v>#DIV/0!</v>
      </c>
      <c r="ON112" s="657" t="e">
        <f>ABS($B$34*OL112*3600)</f>
        <v>#DIV/0!</v>
      </c>
      <c r="OO112" s="614" t="e">
        <f>ON112*$C$79</f>
        <v>#DIV/0!</v>
      </c>
      <c r="OP112" s="672" t="e">
        <f>ON112*$F$70</f>
        <v>#DIV/0!</v>
      </c>
      <c r="OQ112" s="600" t="e">
        <f t="shared" si="267"/>
        <v>#DIV/0!</v>
      </c>
      <c r="OR112" s="672" t="e">
        <f>ON112*$F$72</f>
        <v>#DIV/0!</v>
      </c>
      <c r="OS112" s="676" t="e">
        <f>ON112*$F$71</f>
        <v>#DIV/0!</v>
      </c>
      <c r="OT112" s="668"/>
      <c r="OU112" s="669"/>
      <c r="OV112" s="670"/>
      <c r="OW112" s="671"/>
      <c r="OX112" s="678"/>
      <c r="OY112" s="663"/>
      <c r="OZ112" s="651">
        <f t="shared" si="268"/>
        <v>0</v>
      </c>
      <c r="PA112" s="619" t="e">
        <f>((273.2+OT112)*$F$32/((273.2+$F$31)*OV112))</f>
        <v>#DIV/0!</v>
      </c>
      <c r="PB112" s="674" t="e">
        <f>OZ112/OX112*PA112*EXP(-LN(2)/10990*($F$88-OY112))</f>
        <v>#DIV/0!</v>
      </c>
      <c r="PC112" s="599" t="e">
        <f>PB112-AVERAGE(PJ94:PJ95)</f>
        <v>#DIV/0!</v>
      </c>
      <c r="PD112" s="599" t="e">
        <f>ABS($B$33*PC112*3600)</f>
        <v>#DIV/0!</v>
      </c>
      <c r="PE112" s="657" t="e">
        <f>ABS($B$34*PC112*3600)</f>
        <v>#DIV/0!</v>
      </c>
      <c r="PF112" s="614" t="e">
        <f>PE112*$C$79</f>
        <v>#DIV/0!</v>
      </c>
      <c r="PG112" s="672" t="e">
        <f>PE112*$F$70</f>
        <v>#DIV/0!</v>
      </c>
      <c r="PH112" s="600" t="e">
        <f t="shared" si="269"/>
        <v>#DIV/0!</v>
      </c>
      <c r="PI112" s="672" t="e">
        <f>PE112*$F$72</f>
        <v>#DIV/0!</v>
      </c>
      <c r="PJ112" s="676" t="e">
        <f>PE112*$F$71</f>
        <v>#DIV/0!</v>
      </c>
      <c r="PK112" s="668"/>
      <c r="PL112" s="669"/>
      <c r="PM112" s="670"/>
      <c r="PN112" s="671"/>
      <c r="PO112" s="678"/>
      <c r="PP112" s="663"/>
      <c r="PQ112" s="651">
        <f t="shared" si="270"/>
        <v>0</v>
      </c>
      <c r="PR112" s="619" t="e">
        <f>((273.2+PK112)*$F$32/((273.2+$F$31)*PM112))</f>
        <v>#DIV/0!</v>
      </c>
      <c r="PS112" s="674" t="e">
        <f>PQ112/PO112*PR112*EXP(-LN(2)/10990*($F$88-PP112))</f>
        <v>#DIV/0!</v>
      </c>
      <c r="PT112" s="599" t="e">
        <f>PS112-AVERAGE(QA94:QA95)</f>
        <v>#DIV/0!</v>
      </c>
      <c r="PU112" s="599" t="e">
        <f>ABS($B$33*PT112*3600)</f>
        <v>#DIV/0!</v>
      </c>
      <c r="PV112" s="657" t="e">
        <f>ABS($B$34*PT112*3600)</f>
        <v>#DIV/0!</v>
      </c>
      <c r="PW112" s="614" t="e">
        <f>PV112*$C$79</f>
        <v>#DIV/0!</v>
      </c>
      <c r="PX112" s="672" t="e">
        <f>PV112*$F$70</f>
        <v>#DIV/0!</v>
      </c>
      <c r="PY112" s="600" t="e">
        <f t="shared" si="271"/>
        <v>#DIV/0!</v>
      </c>
      <c r="PZ112" s="672" t="e">
        <f>PV112*$F$72</f>
        <v>#DIV/0!</v>
      </c>
      <c r="QA112" s="676" t="e">
        <f>PV112*$F$71</f>
        <v>#DIV/0!</v>
      </c>
      <c r="QB112" s="668"/>
      <c r="QC112" s="669"/>
      <c r="QD112" s="670"/>
      <c r="QE112" s="671"/>
      <c r="QF112" s="673"/>
      <c r="QG112" s="663"/>
      <c r="QH112" s="651">
        <f t="shared" si="272"/>
        <v>0</v>
      </c>
      <c r="QI112" s="619" t="e">
        <f>((273.2+QB112)*$F$32/((273.2+$F$31)*QD112))</f>
        <v>#DIV/0!</v>
      </c>
      <c r="QJ112" s="674" t="e">
        <f>QH112/QF112*QI112*EXP(-LN(2)/10990*($F$88-QG112))</f>
        <v>#DIV/0!</v>
      </c>
      <c r="QK112" s="599" t="e">
        <f>QJ112-AVERAGE(QR94:QR95)</f>
        <v>#DIV/0!</v>
      </c>
      <c r="QL112" s="599" t="e">
        <f>ABS($B$33*QK112*3600)</f>
        <v>#DIV/0!</v>
      </c>
      <c r="QM112" s="657" t="e">
        <f>ABS($B$34*QK112*3600)</f>
        <v>#DIV/0!</v>
      </c>
      <c r="QN112" s="614" t="e">
        <f>QM112*$C$79</f>
        <v>#DIV/0!</v>
      </c>
      <c r="QO112" s="672" t="e">
        <f>QM112*$F$70</f>
        <v>#DIV/0!</v>
      </c>
      <c r="QP112" s="600" t="e">
        <f t="shared" si="273"/>
        <v>#DIV/0!</v>
      </c>
      <c r="QQ112" s="672" t="e">
        <f>QM112*$F$72</f>
        <v>#DIV/0!</v>
      </c>
      <c r="QR112" s="676" t="e">
        <f>QM112*$F$71</f>
        <v>#DIV/0!</v>
      </c>
      <c r="QS112" s="668"/>
      <c r="QT112" s="669"/>
      <c r="QU112" s="677"/>
      <c r="QV112" s="679"/>
      <c r="QW112" s="678"/>
      <c r="QX112" s="663"/>
      <c r="QY112" s="651">
        <f t="shared" si="274"/>
        <v>0</v>
      </c>
      <c r="QZ112" s="619" t="e">
        <f>((273.2+QS112)*$F$32/((273.2+$F$31)*QU112))</f>
        <v>#DIV/0!</v>
      </c>
      <c r="RA112" s="674" t="e">
        <f>QY112/QW112*QZ112*EXP(-LN(2)/10990*($F$88-QX112))</f>
        <v>#DIV/0!</v>
      </c>
      <c r="RB112" s="599" t="e">
        <f>RA112-AVERAGE(RI94:RI95)</f>
        <v>#DIV/0!</v>
      </c>
      <c r="RC112" s="599" t="e">
        <f>ABS($B$33*RB112*3600)</f>
        <v>#DIV/0!</v>
      </c>
      <c r="RD112" s="657" t="e">
        <f>ABS($B$34*RB112*3600)</f>
        <v>#DIV/0!</v>
      </c>
      <c r="RE112" s="614" t="e">
        <f>RD112*$C$79</f>
        <v>#DIV/0!</v>
      </c>
      <c r="RF112" s="672" t="e">
        <f>RD112*$F$70</f>
        <v>#DIV/0!</v>
      </c>
      <c r="RG112" s="600" t="e">
        <f t="shared" si="275"/>
        <v>#DIV/0!</v>
      </c>
      <c r="RH112" s="672" t="e">
        <f>RD112*$F$72</f>
        <v>#DIV/0!</v>
      </c>
      <c r="RI112" s="676" t="e">
        <f>RD112*$F$71</f>
        <v>#DIV/0!</v>
      </c>
      <c r="RJ112" s="668"/>
      <c r="RK112" s="669"/>
      <c r="RL112" s="670"/>
      <c r="RM112" s="671"/>
      <c r="RN112" s="678"/>
      <c r="RO112" s="663"/>
      <c r="RP112" s="651">
        <f t="shared" si="276"/>
        <v>0</v>
      </c>
      <c r="RQ112" s="619" t="e">
        <f>((273.2+RJ112)*$F$32/((273.2+$F$31)*RL112))</f>
        <v>#DIV/0!</v>
      </c>
      <c r="RR112" s="674" t="e">
        <f>RP112/RN112*RQ112*EXP(-LN(2)/10990*($F$88-RO112))</f>
        <v>#DIV/0!</v>
      </c>
      <c r="RS112" s="599" t="e">
        <f>RR112-AVERAGE(RZ94:RZ95)</f>
        <v>#DIV/0!</v>
      </c>
      <c r="RT112" s="599" t="e">
        <f>ABS($B$33*RS112*3600)</f>
        <v>#DIV/0!</v>
      </c>
      <c r="RU112" s="657" t="e">
        <f>ABS($B$34*RS112*3600)</f>
        <v>#DIV/0!</v>
      </c>
      <c r="RV112" s="614" t="e">
        <f>RU112*$C$79</f>
        <v>#DIV/0!</v>
      </c>
      <c r="RW112" s="672" t="e">
        <f>RU112*$F$70</f>
        <v>#DIV/0!</v>
      </c>
      <c r="RX112" s="600" t="e">
        <f t="shared" si="277"/>
        <v>#DIV/0!</v>
      </c>
      <c r="RY112" s="672" t="e">
        <f>RU112*$F$72</f>
        <v>#DIV/0!</v>
      </c>
      <c r="RZ112" s="676" t="e">
        <f>RU112*$F$71</f>
        <v>#DIV/0!</v>
      </c>
      <c r="SA112" s="668"/>
      <c r="SB112" s="669"/>
      <c r="SC112" s="670"/>
      <c r="SD112" s="671"/>
      <c r="SE112" s="678"/>
      <c r="SF112" s="663"/>
      <c r="SG112" s="651">
        <f t="shared" si="278"/>
        <v>0</v>
      </c>
      <c r="SH112" s="619" t="e">
        <f>((273.2+SA112)*$F$32/((273.2+$F$31)*SC112))</f>
        <v>#DIV/0!</v>
      </c>
      <c r="SI112" s="674" t="e">
        <f>SG112/SE112*SH112*EXP(-LN(2)/10990*($F$88-SF112))</f>
        <v>#DIV/0!</v>
      </c>
      <c r="SJ112" s="599" t="e">
        <f>SI112-AVERAGE(SQ94:SQ95)</f>
        <v>#DIV/0!</v>
      </c>
      <c r="SK112" s="599" t="e">
        <f>ABS($B$33*SJ112*3600)</f>
        <v>#DIV/0!</v>
      </c>
      <c r="SL112" s="657" t="e">
        <f>ABS($B$34*SJ112*3600)</f>
        <v>#DIV/0!</v>
      </c>
      <c r="SM112" s="614" t="e">
        <f>SL112*$C$79</f>
        <v>#DIV/0!</v>
      </c>
      <c r="SN112" s="672" t="e">
        <f>SL112*$F$70</f>
        <v>#DIV/0!</v>
      </c>
      <c r="SO112" s="600" t="e">
        <f t="shared" si="279"/>
        <v>#DIV/0!</v>
      </c>
      <c r="SP112" s="672" t="e">
        <f>SL112*$F$72</f>
        <v>#DIV/0!</v>
      </c>
      <c r="SQ112" s="676" t="e">
        <f>SL112*$F$71</f>
        <v>#DIV/0!</v>
      </c>
      <c r="SR112" s="668"/>
      <c r="SS112" s="669"/>
      <c r="ST112" s="670"/>
      <c r="SU112" s="671"/>
      <c r="SV112" s="678"/>
      <c r="SW112" s="663"/>
      <c r="SX112" s="651">
        <f t="shared" si="280"/>
        <v>0</v>
      </c>
      <c r="SY112" s="619" t="e">
        <f>((273.2+SR112)*$F$32/((273.2+$F$31)*ST112))</f>
        <v>#DIV/0!</v>
      </c>
      <c r="SZ112" s="674" t="e">
        <f>SX112/SV112*SY112*EXP(-LN(2)/10990*($F$88-SW112))</f>
        <v>#DIV/0!</v>
      </c>
      <c r="TA112" s="599" t="e">
        <f>SZ112-AVERAGE(TH94:TH95)</f>
        <v>#DIV/0!</v>
      </c>
      <c r="TB112" s="599" t="e">
        <f>ABS($B$33*TA112*3600)</f>
        <v>#DIV/0!</v>
      </c>
      <c r="TC112" s="657" t="e">
        <f>ABS($B$34*TA112*3600)</f>
        <v>#DIV/0!</v>
      </c>
      <c r="TD112" s="614" t="e">
        <f>TC112*$C$79</f>
        <v>#DIV/0!</v>
      </c>
      <c r="TE112" s="672" t="e">
        <f>TC112*$F$70</f>
        <v>#DIV/0!</v>
      </c>
      <c r="TF112" s="600" t="e">
        <f t="shared" si="281"/>
        <v>#DIV/0!</v>
      </c>
      <c r="TG112" s="672" t="e">
        <f>TC112*$F$72</f>
        <v>#DIV/0!</v>
      </c>
      <c r="TH112" s="676" t="e">
        <f>TC112*$F$71</f>
        <v>#DIV/0!</v>
      </c>
      <c r="TI112" s="668"/>
      <c r="TJ112" s="669"/>
      <c r="TK112" s="670"/>
      <c r="TL112" s="671"/>
      <c r="TM112" s="678"/>
      <c r="TN112" s="663"/>
      <c r="TO112" s="651">
        <f t="shared" si="282"/>
        <v>0</v>
      </c>
      <c r="TP112" s="619" t="e">
        <f>((273.2+TI112)*$F$32/((273.2+$F$31)*TK112))</f>
        <v>#DIV/0!</v>
      </c>
      <c r="TQ112" s="674" t="e">
        <f>TO112/TM112*TP112*EXP(-LN(2)/10990*($F$88-TN112))</f>
        <v>#DIV/0!</v>
      </c>
      <c r="TR112" s="599" t="e">
        <f>TQ112-AVERAGE(TY94:TY95)</f>
        <v>#DIV/0!</v>
      </c>
      <c r="TS112" s="599" t="e">
        <f>ABS($B$33*TR112*3600)</f>
        <v>#DIV/0!</v>
      </c>
      <c r="TT112" s="657" t="e">
        <f>ABS($B$34*TR112*3600)</f>
        <v>#DIV/0!</v>
      </c>
      <c r="TU112" s="614" t="e">
        <f>TT112*$C$79</f>
        <v>#DIV/0!</v>
      </c>
      <c r="TV112" s="672" t="e">
        <f>TT112*$F$70</f>
        <v>#DIV/0!</v>
      </c>
      <c r="TW112" s="600" t="e">
        <f t="shared" si="283"/>
        <v>#DIV/0!</v>
      </c>
      <c r="TX112" s="672" t="e">
        <f>TT112*$F$72</f>
        <v>#DIV/0!</v>
      </c>
      <c r="TY112" s="676" t="e">
        <f>TT112*$F$71</f>
        <v>#DIV/0!</v>
      </c>
    </row>
    <row r="113" spans="1:545" x14ac:dyDescent="0.25">
      <c r="A113" s="681" t="s">
        <v>61</v>
      </c>
      <c r="B113" s="709"/>
      <c r="C113" s="710"/>
      <c r="D113" s="710"/>
      <c r="E113" s="672"/>
      <c r="F113" s="710"/>
      <c r="G113" s="685"/>
      <c r="H113" s="599"/>
      <c r="I113" s="619"/>
      <c r="J113" s="675"/>
      <c r="K113" s="672"/>
      <c r="L113" s="687"/>
      <c r="M113" s="686"/>
      <c r="N113" s="687"/>
      <c r="O113" s="687"/>
      <c r="P113" s="687"/>
      <c r="Q113" s="687"/>
      <c r="R113" s="690"/>
      <c r="S113" s="691" t="e">
        <f t="shared" ref="S113:W113" si="284">AVERAGE(S108:S112)</f>
        <v>#DIV/0!</v>
      </c>
      <c r="T113" s="683" t="e">
        <f t="shared" si="284"/>
        <v>#DIV/0!</v>
      </c>
      <c r="U113" s="684" t="e">
        <f t="shared" si="284"/>
        <v>#DIV/0!</v>
      </c>
      <c r="V113" s="599" t="e">
        <f t="shared" si="284"/>
        <v>#DIV/0!</v>
      </c>
      <c r="W113" s="685" t="e">
        <f t="shared" si="284"/>
        <v>#DIV/0!</v>
      </c>
      <c r="X113" s="685" t="s">
        <v>93</v>
      </c>
      <c r="Y113" s="599">
        <f t="shared" ref="Y113:AN113" si="285">AVERAGE(Y108:Y112)</f>
        <v>0</v>
      </c>
      <c r="Z113" s="619" t="e">
        <f t="shared" si="285"/>
        <v>#DIV/0!</v>
      </c>
      <c r="AA113" s="675" t="e">
        <f t="shared" si="285"/>
        <v>#DIV/0!</v>
      </c>
      <c r="AB113" s="672" t="e">
        <f t="shared" si="285"/>
        <v>#DIV/0!</v>
      </c>
      <c r="AC113" s="687" t="e">
        <f t="shared" si="285"/>
        <v>#DIV/0!</v>
      </c>
      <c r="AD113" s="686" t="e">
        <f t="shared" si="285"/>
        <v>#DIV/0!</v>
      </c>
      <c r="AE113" s="687" t="e">
        <f t="shared" si="285"/>
        <v>#DIV/0!</v>
      </c>
      <c r="AF113" s="687" t="e">
        <f t="shared" si="285"/>
        <v>#DIV/0!</v>
      </c>
      <c r="AG113" s="687" t="e">
        <f t="shared" si="285"/>
        <v>#DIV/0!</v>
      </c>
      <c r="AH113" s="687" t="e">
        <f t="shared" si="285"/>
        <v>#DIV/0!</v>
      </c>
      <c r="AI113" s="690" t="e">
        <f t="shared" si="285"/>
        <v>#DIV/0!</v>
      </c>
      <c r="AJ113" s="682" t="e">
        <f t="shared" si="285"/>
        <v>#DIV/0!</v>
      </c>
      <c r="AK113" s="683" t="e">
        <f t="shared" si="285"/>
        <v>#DIV/0!</v>
      </c>
      <c r="AL113" s="684" t="e">
        <f t="shared" si="285"/>
        <v>#DIV/0!</v>
      </c>
      <c r="AM113" s="599" t="e">
        <f t="shared" si="285"/>
        <v>#DIV/0!</v>
      </c>
      <c r="AN113" s="685" t="e">
        <f t="shared" si="285"/>
        <v>#DIV/0!</v>
      </c>
      <c r="AO113" s="685" t="s">
        <v>93</v>
      </c>
      <c r="AP113" s="599">
        <f t="shared" ref="AP113:BE113" si="286">AVERAGE(AP108:AP112)</f>
        <v>0</v>
      </c>
      <c r="AQ113" s="619" t="e">
        <f t="shared" si="286"/>
        <v>#DIV/0!</v>
      </c>
      <c r="AR113" s="675" t="e">
        <f t="shared" si="286"/>
        <v>#DIV/0!</v>
      </c>
      <c r="AS113" s="672" t="e">
        <f t="shared" si="286"/>
        <v>#DIV/0!</v>
      </c>
      <c r="AT113" s="687" t="e">
        <f t="shared" si="286"/>
        <v>#DIV/0!</v>
      </c>
      <c r="AU113" s="686" t="e">
        <f t="shared" si="286"/>
        <v>#DIV/0!</v>
      </c>
      <c r="AV113" s="687" t="e">
        <f t="shared" si="286"/>
        <v>#DIV/0!</v>
      </c>
      <c r="AW113" s="687" t="e">
        <f t="shared" si="286"/>
        <v>#DIV/0!</v>
      </c>
      <c r="AX113" s="687" t="e">
        <f t="shared" si="286"/>
        <v>#DIV/0!</v>
      </c>
      <c r="AY113" s="687" t="e">
        <f t="shared" si="286"/>
        <v>#DIV/0!</v>
      </c>
      <c r="AZ113" s="690" t="e">
        <f t="shared" si="286"/>
        <v>#DIV/0!</v>
      </c>
      <c r="BA113" s="682" t="e">
        <f t="shared" si="286"/>
        <v>#DIV/0!</v>
      </c>
      <c r="BB113" s="683" t="e">
        <f t="shared" si="286"/>
        <v>#DIV/0!</v>
      </c>
      <c r="BC113" s="684" t="e">
        <f t="shared" si="286"/>
        <v>#DIV/0!</v>
      </c>
      <c r="BD113" s="599" t="e">
        <f t="shared" si="286"/>
        <v>#DIV/0!</v>
      </c>
      <c r="BE113" s="685" t="e">
        <f t="shared" si="286"/>
        <v>#DIV/0!</v>
      </c>
      <c r="BF113" s="685" t="s">
        <v>93</v>
      </c>
      <c r="BG113" s="599">
        <f t="shared" ref="BG113:BV113" si="287">AVERAGE(BG108:BG112)</f>
        <v>0</v>
      </c>
      <c r="BH113" s="619" t="e">
        <f t="shared" si="287"/>
        <v>#DIV/0!</v>
      </c>
      <c r="BI113" s="675" t="e">
        <f t="shared" si="287"/>
        <v>#DIV/0!</v>
      </c>
      <c r="BJ113" s="672" t="e">
        <f t="shared" si="287"/>
        <v>#DIV/0!</v>
      </c>
      <c r="BK113" s="687" t="e">
        <f t="shared" si="287"/>
        <v>#DIV/0!</v>
      </c>
      <c r="BL113" s="686" t="e">
        <f t="shared" si="287"/>
        <v>#DIV/0!</v>
      </c>
      <c r="BM113" s="687" t="e">
        <f t="shared" si="287"/>
        <v>#DIV/0!</v>
      </c>
      <c r="BN113" s="687" t="e">
        <f t="shared" si="287"/>
        <v>#DIV/0!</v>
      </c>
      <c r="BO113" s="687" t="e">
        <f t="shared" si="287"/>
        <v>#DIV/0!</v>
      </c>
      <c r="BP113" s="687" t="e">
        <f t="shared" si="287"/>
        <v>#DIV/0!</v>
      </c>
      <c r="BQ113" s="690" t="e">
        <f t="shared" si="287"/>
        <v>#DIV/0!</v>
      </c>
      <c r="BR113" s="682" t="e">
        <f t="shared" si="287"/>
        <v>#DIV/0!</v>
      </c>
      <c r="BS113" s="683" t="e">
        <f t="shared" si="287"/>
        <v>#DIV/0!</v>
      </c>
      <c r="BT113" s="684" t="e">
        <f t="shared" si="287"/>
        <v>#DIV/0!</v>
      </c>
      <c r="BU113" s="599" t="e">
        <f t="shared" si="287"/>
        <v>#DIV/0!</v>
      </c>
      <c r="BV113" s="685" t="e">
        <f t="shared" si="287"/>
        <v>#DIV/0!</v>
      </c>
      <c r="BW113" s="685" t="s">
        <v>93</v>
      </c>
      <c r="BX113" s="599">
        <f t="shared" ref="BX113:CM113" si="288">AVERAGE(BX108:BX112)</f>
        <v>0</v>
      </c>
      <c r="BY113" s="619" t="e">
        <f t="shared" si="288"/>
        <v>#DIV/0!</v>
      </c>
      <c r="BZ113" s="675" t="e">
        <f t="shared" si="288"/>
        <v>#DIV/0!</v>
      </c>
      <c r="CA113" s="672" t="e">
        <f t="shared" si="288"/>
        <v>#DIV/0!</v>
      </c>
      <c r="CB113" s="687" t="e">
        <f t="shared" si="288"/>
        <v>#DIV/0!</v>
      </c>
      <c r="CC113" s="686" t="e">
        <f t="shared" si="288"/>
        <v>#DIV/0!</v>
      </c>
      <c r="CD113" s="687" t="e">
        <f t="shared" si="288"/>
        <v>#DIV/0!</v>
      </c>
      <c r="CE113" s="687" t="e">
        <f t="shared" si="288"/>
        <v>#DIV/0!</v>
      </c>
      <c r="CF113" s="687" t="e">
        <f t="shared" si="288"/>
        <v>#DIV/0!</v>
      </c>
      <c r="CG113" s="687" t="e">
        <f t="shared" si="288"/>
        <v>#DIV/0!</v>
      </c>
      <c r="CH113" s="690" t="e">
        <f t="shared" si="288"/>
        <v>#DIV/0!</v>
      </c>
      <c r="CI113" s="682" t="e">
        <f t="shared" si="288"/>
        <v>#DIV/0!</v>
      </c>
      <c r="CJ113" s="683" t="e">
        <f t="shared" si="288"/>
        <v>#DIV/0!</v>
      </c>
      <c r="CK113" s="684" t="e">
        <f t="shared" si="288"/>
        <v>#DIV/0!</v>
      </c>
      <c r="CL113" s="599" t="e">
        <f t="shared" si="288"/>
        <v>#DIV/0!</v>
      </c>
      <c r="CM113" s="685" t="e">
        <f t="shared" si="288"/>
        <v>#DIV/0!</v>
      </c>
      <c r="CN113" s="685" t="s">
        <v>93</v>
      </c>
      <c r="CO113" s="599">
        <f t="shared" ref="CO113:DD113" si="289">AVERAGE(CO108:CO112)</f>
        <v>0</v>
      </c>
      <c r="CP113" s="619" t="e">
        <f t="shared" si="289"/>
        <v>#DIV/0!</v>
      </c>
      <c r="CQ113" s="675" t="e">
        <f t="shared" si="289"/>
        <v>#DIV/0!</v>
      </c>
      <c r="CR113" s="672" t="e">
        <f t="shared" si="289"/>
        <v>#DIV/0!</v>
      </c>
      <c r="CS113" s="687" t="e">
        <f t="shared" si="289"/>
        <v>#DIV/0!</v>
      </c>
      <c r="CT113" s="686" t="e">
        <f t="shared" si="289"/>
        <v>#DIV/0!</v>
      </c>
      <c r="CU113" s="687" t="e">
        <f t="shared" si="289"/>
        <v>#DIV/0!</v>
      </c>
      <c r="CV113" s="687" t="e">
        <f t="shared" si="289"/>
        <v>#DIV/0!</v>
      </c>
      <c r="CW113" s="687" t="e">
        <f t="shared" si="289"/>
        <v>#DIV/0!</v>
      </c>
      <c r="CX113" s="687" t="e">
        <f t="shared" si="289"/>
        <v>#DIV/0!</v>
      </c>
      <c r="CY113" s="690" t="e">
        <f t="shared" si="289"/>
        <v>#DIV/0!</v>
      </c>
      <c r="CZ113" s="682" t="e">
        <f t="shared" si="289"/>
        <v>#DIV/0!</v>
      </c>
      <c r="DA113" s="683" t="e">
        <f t="shared" si="289"/>
        <v>#DIV/0!</v>
      </c>
      <c r="DB113" s="684" t="e">
        <f t="shared" si="289"/>
        <v>#DIV/0!</v>
      </c>
      <c r="DC113" s="599" t="e">
        <f t="shared" si="289"/>
        <v>#DIV/0!</v>
      </c>
      <c r="DD113" s="685" t="e">
        <f t="shared" si="289"/>
        <v>#DIV/0!</v>
      </c>
      <c r="DE113" s="685" t="s">
        <v>93</v>
      </c>
      <c r="DF113" s="599">
        <f t="shared" ref="DF113:DU113" si="290">AVERAGE(DF108:DF112)</f>
        <v>0</v>
      </c>
      <c r="DG113" s="619" t="e">
        <f t="shared" si="290"/>
        <v>#DIV/0!</v>
      </c>
      <c r="DH113" s="675" t="e">
        <f t="shared" si="290"/>
        <v>#DIV/0!</v>
      </c>
      <c r="DI113" s="672" t="e">
        <f t="shared" si="290"/>
        <v>#DIV/0!</v>
      </c>
      <c r="DJ113" s="687" t="e">
        <f t="shared" si="290"/>
        <v>#DIV/0!</v>
      </c>
      <c r="DK113" s="686" t="e">
        <f t="shared" si="290"/>
        <v>#DIV/0!</v>
      </c>
      <c r="DL113" s="687" t="e">
        <f t="shared" si="290"/>
        <v>#DIV/0!</v>
      </c>
      <c r="DM113" s="687" t="e">
        <f t="shared" si="290"/>
        <v>#DIV/0!</v>
      </c>
      <c r="DN113" s="687" t="e">
        <f t="shared" si="290"/>
        <v>#DIV/0!</v>
      </c>
      <c r="DO113" s="687" t="e">
        <f t="shared" si="290"/>
        <v>#DIV/0!</v>
      </c>
      <c r="DP113" s="690" t="e">
        <f t="shared" si="290"/>
        <v>#DIV/0!</v>
      </c>
      <c r="DQ113" s="682" t="e">
        <f t="shared" si="290"/>
        <v>#DIV/0!</v>
      </c>
      <c r="DR113" s="683" t="e">
        <f t="shared" si="290"/>
        <v>#DIV/0!</v>
      </c>
      <c r="DS113" s="684" t="e">
        <f t="shared" si="290"/>
        <v>#DIV/0!</v>
      </c>
      <c r="DT113" s="653" t="e">
        <f t="shared" si="290"/>
        <v>#DIV/0!</v>
      </c>
      <c r="DU113" s="685" t="e">
        <f t="shared" si="290"/>
        <v>#DIV/0!</v>
      </c>
      <c r="DV113" s="685" t="s">
        <v>93</v>
      </c>
      <c r="DW113" s="599">
        <f t="shared" ref="DW113:EL113" si="291">AVERAGE(DW108:DW112)</f>
        <v>0</v>
      </c>
      <c r="DX113" s="619" t="e">
        <f t="shared" si="291"/>
        <v>#DIV/0!</v>
      </c>
      <c r="DY113" s="675" t="e">
        <f t="shared" si="291"/>
        <v>#DIV/0!</v>
      </c>
      <c r="DZ113" s="672" t="e">
        <f t="shared" si="291"/>
        <v>#DIV/0!</v>
      </c>
      <c r="EA113" s="687" t="e">
        <f t="shared" si="291"/>
        <v>#DIV/0!</v>
      </c>
      <c r="EB113" s="686" t="e">
        <f t="shared" si="291"/>
        <v>#DIV/0!</v>
      </c>
      <c r="EC113" s="687" t="e">
        <f t="shared" si="291"/>
        <v>#DIV/0!</v>
      </c>
      <c r="ED113" s="687" t="e">
        <f t="shared" si="291"/>
        <v>#DIV/0!</v>
      </c>
      <c r="EE113" s="687" t="e">
        <f t="shared" si="291"/>
        <v>#DIV/0!</v>
      </c>
      <c r="EF113" s="687" t="e">
        <f t="shared" si="291"/>
        <v>#DIV/0!</v>
      </c>
      <c r="EG113" s="690" t="e">
        <f t="shared" si="291"/>
        <v>#DIV/0!</v>
      </c>
      <c r="EH113" s="682" t="e">
        <f t="shared" si="291"/>
        <v>#DIV/0!</v>
      </c>
      <c r="EI113" s="683" t="e">
        <f t="shared" si="291"/>
        <v>#DIV/0!</v>
      </c>
      <c r="EJ113" s="684" t="e">
        <f t="shared" si="291"/>
        <v>#DIV/0!</v>
      </c>
      <c r="EK113" s="599" t="e">
        <f t="shared" si="291"/>
        <v>#DIV/0!</v>
      </c>
      <c r="EL113" s="685" t="e">
        <f t="shared" si="291"/>
        <v>#DIV/0!</v>
      </c>
      <c r="EM113" s="685" t="s">
        <v>93</v>
      </c>
      <c r="EN113" s="599">
        <f t="shared" ref="EN113:FC113" si="292">AVERAGE(EN108:EN112)</f>
        <v>0</v>
      </c>
      <c r="EO113" s="619" t="e">
        <f t="shared" si="292"/>
        <v>#DIV/0!</v>
      </c>
      <c r="EP113" s="675" t="e">
        <f t="shared" si="292"/>
        <v>#DIV/0!</v>
      </c>
      <c r="EQ113" s="672" t="e">
        <f t="shared" si="292"/>
        <v>#DIV/0!</v>
      </c>
      <c r="ER113" s="687" t="e">
        <f t="shared" si="292"/>
        <v>#DIV/0!</v>
      </c>
      <c r="ES113" s="686" t="e">
        <f t="shared" si="292"/>
        <v>#DIV/0!</v>
      </c>
      <c r="ET113" s="687" t="e">
        <f t="shared" si="292"/>
        <v>#DIV/0!</v>
      </c>
      <c r="EU113" s="687" t="e">
        <f t="shared" si="292"/>
        <v>#DIV/0!</v>
      </c>
      <c r="EV113" s="687" t="e">
        <f t="shared" si="292"/>
        <v>#DIV/0!</v>
      </c>
      <c r="EW113" s="687" t="e">
        <f t="shared" si="292"/>
        <v>#DIV/0!</v>
      </c>
      <c r="EX113" s="690" t="e">
        <f t="shared" si="292"/>
        <v>#DIV/0!</v>
      </c>
      <c r="EY113" s="682" t="e">
        <f t="shared" si="292"/>
        <v>#DIV/0!</v>
      </c>
      <c r="EZ113" s="683" t="e">
        <f t="shared" si="292"/>
        <v>#DIV/0!</v>
      </c>
      <c r="FA113" s="684" t="e">
        <f t="shared" si="292"/>
        <v>#DIV/0!</v>
      </c>
      <c r="FB113" s="599" t="e">
        <f t="shared" si="292"/>
        <v>#DIV/0!</v>
      </c>
      <c r="FC113" s="685" t="e">
        <f t="shared" si="292"/>
        <v>#DIV/0!</v>
      </c>
      <c r="FD113" s="685" t="s">
        <v>93</v>
      </c>
      <c r="FE113" s="599">
        <f t="shared" ref="FE113:FT113" si="293">AVERAGE(FE108:FE112)</f>
        <v>0</v>
      </c>
      <c r="FF113" s="619" t="e">
        <f t="shared" si="293"/>
        <v>#DIV/0!</v>
      </c>
      <c r="FG113" s="675" t="e">
        <f t="shared" si="293"/>
        <v>#DIV/0!</v>
      </c>
      <c r="FH113" s="672" t="e">
        <f t="shared" si="293"/>
        <v>#DIV/0!</v>
      </c>
      <c r="FI113" s="687" t="e">
        <f t="shared" si="293"/>
        <v>#DIV/0!</v>
      </c>
      <c r="FJ113" s="686" t="e">
        <f t="shared" si="293"/>
        <v>#DIV/0!</v>
      </c>
      <c r="FK113" s="687" t="e">
        <f t="shared" si="293"/>
        <v>#DIV/0!</v>
      </c>
      <c r="FL113" s="687" t="e">
        <f t="shared" si="293"/>
        <v>#DIV/0!</v>
      </c>
      <c r="FM113" s="687" t="e">
        <f t="shared" si="293"/>
        <v>#DIV/0!</v>
      </c>
      <c r="FN113" s="687" t="e">
        <f t="shared" si="293"/>
        <v>#DIV/0!</v>
      </c>
      <c r="FO113" s="690" t="e">
        <f t="shared" si="293"/>
        <v>#DIV/0!</v>
      </c>
      <c r="FP113" s="682" t="e">
        <f t="shared" si="293"/>
        <v>#DIV/0!</v>
      </c>
      <c r="FQ113" s="683" t="e">
        <f t="shared" si="293"/>
        <v>#DIV/0!</v>
      </c>
      <c r="FR113" s="684" t="e">
        <f t="shared" si="293"/>
        <v>#DIV/0!</v>
      </c>
      <c r="FS113" s="599" t="e">
        <f t="shared" si="293"/>
        <v>#DIV/0!</v>
      </c>
      <c r="FT113" s="685" t="e">
        <f t="shared" si="293"/>
        <v>#DIV/0!</v>
      </c>
      <c r="FU113" s="685" t="s">
        <v>93</v>
      </c>
      <c r="FV113" s="599">
        <f t="shared" ref="FV113:GK113" si="294">AVERAGE(FV108:FV112)</f>
        <v>0</v>
      </c>
      <c r="FW113" s="619" t="e">
        <f t="shared" si="294"/>
        <v>#DIV/0!</v>
      </c>
      <c r="FX113" s="675" t="e">
        <f t="shared" si="294"/>
        <v>#DIV/0!</v>
      </c>
      <c r="FY113" s="672" t="e">
        <f t="shared" si="294"/>
        <v>#DIV/0!</v>
      </c>
      <c r="FZ113" s="687" t="e">
        <f t="shared" si="294"/>
        <v>#DIV/0!</v>
      </c>
      <c r="GA113" s="686" t="e">
        <f t="shared" si="294"/>
        <v>#DIV/0!</v>
      </c>
      <c r="GB113" s="687" t="e">
        <f t="shared" si="294"/>
        <v>#DIV/0!</v>
      </c>
      <c r="GC113" s="687" t="e">
        <f t="shared" si="294"/>
        <v>#DIV/0!</v>
      </c>
      <c r="GD113" s="687" t="e">
        <f t="shared" si="294"/>
        <v>#DIV/0!</v>
      </c>
      <c r="GE113" s="687" t="e">
        <f t="shared" si="294"/>
        <v>#DIV/0!</v>
      </c>
      <c r="GF113" s="690" t="e">
        <f t="shared" si="294"/>
        <v>#DIV/0!</v>
      </c>
      <c r="GG113" s="682" t="e">
        <f t="shared" si="294"/>
        <v>#DIV/0!</v>
      </c>
      <c r="GH113" s="683" t="e">
        <f t="shared" si="294"/>
        <v>#DIV/0!</v>
      </c>
      <c r="GI113" s="684" t="e">
        <f t="shared" si="294"/>
        <v>#DIV/0!</v>
      </c>
      <c r="GJ113" s="653" t="e">
        <f t="shared" si="294"/>
        <v>#DIV/0!</v>
      </c>
      <c r="GK113" s="685" t="e">
        <f t="shared" si="294"/>
        <v>#DIV/0!</v>
      </c>
      <c r="GL113" s="685" t="s">
        <v>93</v>
      </c>
      <c r="GM113" s="599">
        <f t="shared" ref="GM113:HB113" si="295">AVERAGE(GM108:GM112)</f>
        <v>0</v>
      </c>
      <c r="GN113" s="619" t="e">
        <f t="shared" si="295"/>
        <v>#DIV/0!</v>
      </c>
      <c r="GO113" s="675" t="e">
        <f t="shared" si="295"/>
        <v>#DIV/0!</v>
      </c>
      <c r="GP113" s="672" t="e">
        <f t="shared" si="295"/>
        <v>#DIV/0!</v>
      </c>
      <c r="GQ113" s="687" t="e">
        <f t="shared" si="295"/>
        <v>#DIV/0!</v>
      </c>
      <c r="GR113" s="686" t="e">
        <f t="shared" si="295"/>
        <v>#DIV/0!</v>
      </c>
      <c r="GS113" s="687" t="e">
        <f t="shared" si="295"/>
        <v>#DIV/0!</v>
      </c>
      <c r="GT113" s="687" t="e">
        <f t="shared" si="295"/>
        <v>#DIV/0!</v>
      </c>
      <c r="GU113" s="687" t="e">
        <f t="shared" si="295"/>
        <v>#DIV/0!</v>
      </c>
      <c r="GV113" s="687" t="e">
        <f t="shared" si="295"/>
        <v>#DIV/0!</v>
      </c>
      <c r="GW113" s="690" t="e">
        <f t="shared" si="295"/>
        <v>#DIV/0!</v>
      </c>
      <c r="GX113" s="682" t="e">
        <f t="shared" si="295"/>
        <v>#DIV/0!</v>
      </c>
      <c r="GY113" s="683" t="e">
        <f t="shared" si="295"/>
        <v>#DIV/0!</v>
      </c>
      <c r="GZ113" s="684" t="e">
        <f t="shared" si="295"/>
        <v>#DIV/0!</v>
      </c>
      <c r="HA113" s="599" t="e">
        <f t="shared" si="295"/>
        <v>#DIV/0!</v>
      </c>
      <c r="HB113" s="685" t="e">
        <f t="shared" si="295"/>
        <v>#DIV/0!</v>
      </c>
      <c r="HC113" s="685" t="s">
        <v>93</v>
      </c>
      <c r="HD113" s="599">
        <f t="shared" ref="HD113:HS113" si="296">AVERAGE(HD108:HD112)</f>
        <v>0</v>
      </c>
      <c r="HE113" s="619" t="e">
        <f t="shared" si="296"/>
        <v>#DIV/0!</v>
      </c>
      <c r="HF113" s="675" t="e">
        <f t="shared" si="296"/>
        <v>#DIV/0!</v>
      </c>
      <c r="HG113" s="672" t="e">
        <f t="shared" si="296"/>
        <v>#DIV/0!</v>
      </c>
      <c r="HH113" s="687" t="e">
        <f t="shared" si="296"/>
        <v>#DIV/0!</v>
      </c>
      <c r="HI113" s="686" t="e">
        <f t="shared" si="296"/>
        <v>#DIV/0!</v>
      </c>
      <c r="HJ113" s="687" t="e">
        <f t="shared" si="296"/>
        <v>#DIV/0!</v>
      </c>
      <c r="HK113" s="687" t="e">
        <f t="shared" si="296"/>
        <v>#DIV/0!</v>
      </c>
      <c r="HL113" s="687" t="e">
        <f t="shared" si="296"/>
        <v>#DIV/0!</v>
      </c>
      <c r="HM113" s="687" t="e">
        <f t="shared" si="296"/>
        <v>#DIV/0!</v>
      </c>
      <c r="HN113" s="690" t="e">
        <f t="shared" si="296"/>
        <v>#DIV/0!</v>
      </c>
      <c r="HO113" s="682" t="e">
        <f t="shared" si="296"/>
        <v>#DIV/0!</v>
      </c>
      <c r="HP113" s="683" t="e">
        <f t="shared" si="296"/>
        <v>#DIV/0!</v>
      </c>
      <c r="HQ113" s="684" t="e">
        <f t="shared" si="296"/>
        <v>#DIV/0!</v>
      </c>
      <c r="HR113" s="599" t="e">
        <f t="shared" si="296"/>
        <v>#DIV/0!</v>
      </c>
      <c r="HS113" s="685" t="e">
        <f t="shared" si="296"/>
        <v>#DIV/0!</v>
      </c>
      <c r="HT113" s="685" t="s">
        <v>93</v>
      </c>
      <c r="HU113" s="599">
        <f t="shared" ref="HU113:IJ113" si="297">AVERAGE(HU108:HU112)</f>
        <v>0</v>
      </c>
      <c r="HV113" s="619" t="e">
        <f t="shared" si="297"/>
        <v>#DIV/0!</v>
      </c>
      <c r="HW113" s="675" t="e">
        <f t="shared" si="297"/>
        <v>#DIV/0!</v>
      </c>
      <c r="HX113" s="672" t="e">
        <f t="shared" si="297"/>
        <v>#DIV/0!</v>
      </c>
      <c r="HY113" s="687" t="e">
        <f t="shared" si="297"/>
        <v>#DIV/0!</v>
      </c>
      <c r="HZ113" s="686" t="e">
        <f t="shared" si="297"/>
        <v>#DIV/0!</v>
      </c>
      <c r="IA113" s="687" t="e">
        <f t="shared" si="297"/>
        <v>#DIV/0!</v>
      </c>
      <c r="IB113" s="687" t="e">
        <f t="shared" si="297"/>
        <v>#DIV/0!</v>
      </c>
      <c r="IC113" s="687" t="e">
        <f t="shared" si="297"/>
        <v>#DIV/0!</v>
      </c>
      <c r="ID113" s="687" t="e">
        <f t="shared" si="297"/>
        <v>#DIV/0!</v>
      </c>
      <c r="IE113" s="690" t="e">
        <f t="shared" si="297"/>
        <v>#DIV/0!</v>
      </c>
      <c r="IF113" s="682" t="e">
        <f t="shared" si="297"/>
        <v>#DIV/0!</v>
      </c>
      <c r="IG113" s="683" t="e">
        <f t="shared" si="297"/>
        <v>#DIV/0!</v>
      </c>
      <c r="IH113" s="684" t="e">
        <f t="shared" si="297"/>
        <v>#DIV/0!</v>
      </c>
      <c r="II113" s="599" t="e">
        <f t="shared" si="297"/>
        <v>#DIV/0!</v>
      </c>
      <c r="IJ113" s="685" t="e">
        <f t="shared" si="297"/>
        <v>#DIV/0!</v>
      </c>
      <c r="IK113" s="685" t="s">
        <v>93</v>
      </c>
      <c r="IL113" s="599">
        <f t="shared" ref="IL113:JA113" si="298">AVERAGE(IL108:IL112)</f>
        <v>0</v>
      </c>
      <c r="IM113" s="619" t="e">
        <f t="shared" si="298"/>
        <v>#DIV/0!</v>
      </c>
      <c r="IN113" s="675" t="e">
        <f t="shared" si="298"/>
        <v>#DIV/0!</v>
      </c>
      <c r="IO113" s="672" t="e">
        <f t="shared" si="298"/>
        <v>#DIV/0!</v>
      </c>
      <c r="IP113" s="687" t="e">
        <f t="shared" si="298"/>
        <v>#DIV/0!</v>
      </c>
      <c r="IQ113" s="686" t="e">
        <f t="shared" si="298"/>
        <v>#DIV/0!</v>
      </c>
      <c r="IR113" s="687" t="e">
        <f t="shared" si="298"/>
        <v>#DIV/0!</v>
      </c>
      <c r="IS113" s="687" t="e">
        <f t="shared" si="298"/>
        <v>#DIV/0!</v>
      </c>
      <c r="IT113" s="687" t="e">
        <f t="shared" si="298"/>
        <v>#DIV/0!</v>
      </c>
      <c r="IU113" s="687" t="e">
        <f t="shared" si="298"/>
        <v>#DIV/0!</v>
      </c>
      <c r="IV113" s="690" t="e">
        <f t="shared" si="298"/>
        <v>#DIV/0!</v>
      </c>
      <c r="IW113" s="682" t="e">
        <f t="shared" si="298"/>
        <v>#DIV/0!</v>
      </c>
      <c r="IX113" s="683" t="e">
        <f t="shared" si="298"/>
        <v>#DIV/0!</v>
      </c>
      <c r="IY113" s="684" t="e">
        <f t="shared" si="298"/>
        <v>#DIV/0!</v>
      </c>
      <c r="IZ113" s="599" t="e">
        <f t="shared" si="298"/>
        <v>#DIV/0!</v>
      </c>
      <c r="JA113" s="685" t="e">
        <f t="shared" si="298"/>
        <v>#DIV/0!</v>
      </c>
      <c r="JB113" s="685" t="s">
        <v>93</v>
      </c>
      <c r="JC113" s="599">
        <f t="shared" ref="JC113:JR113" si="299">AVERAGE(JC108:JC112)</f>
        <v>0</v>
      </c>
      <c r="JD113" s="619" t="e">
        <f t="shared" si="299"/>
        <v>#DIV/0!</v>
      </c>
      <c r="JE113" s="675" t="e">
        <f t="shared" si="299"/>
        <v>#DIV/0!</v>
      </c>
      <c r="JF113" s="672" t="e">
        <f t="shared" si="299"/>
        <v>#DIV/0!</v>
      </c>
      <c r="JG113" s="687" t="e">
        <f t="shared" si="299"/>
        <v>#DIV/0!</v>
      </c>
      <c r="JH113" s="686" t="e">
        <f t="shared" si="299"/>
        <v>#DIV/0!</v>
      </c>
      <c r="JI113" s="687" t="e">
        <f t="shared" si="299"/>
        <v>#DIV/0!</v>
      </c>
      <c r="JJ113" s="687" t="e">
        <f t="shared" si="299"/>
        <v>#DIV/0!</v>
      </c>
      <c r="JK113" s="687" t="e">
        <f t="shared" si="299"/>
        <v>#DIV/0!</v>
      </c>
      <c r="JL113" s="687" t="e">
        <f t="shared" si="299"/>
        <v>#DIV/0!</v>
      </c>
      <c r="JM113" s="690" t="e">
        <f t="shared" si="299"/>
        <v>#DIV/0!</v>
      </c>
      <c r="JN113" s="682" t="e">
        <f t="shared" si="299"/>
        <v>#DIV/0!</v>
      </c>
      <c r="JO113" s="683" t="e">
        <f t="shared" si="299"/>
        <v>#DIV/0!</v>
      </c>
      <c r="JP113" s="684" t="e">
        <f t="shared" si="299"/>
        <v>#DIV/0!</v>
      </c>
      <c r="JQ113" s="599" t="e">
        <f t="shared" si="299"/>
        <v>#DIV/0!</v>
      </c>
      <c r="JR113" s="685" t="e">
        <f t="shared" si="299"/>
        <v>#DIV/0!</v>
      </c>
      <c r="JS113" s="685" t="s">
        <v>93</v>
      </c>
      <c r="JT113" s="599">
        <f t="shared" ref="JT113:KI113" si="300">AVERAGE(JT108:JT112)</f>
        <v>0</v>
      </c>
      <c r="JU113" s="619" t="e">
        <f t="shared" si="300"/>
        <v>#DIV/0!</v>
      </c>
      <c r="JV113" s="675" t="e">
        <f t="shared" si="300"/>
        <v>#DIV/0!</v>
      </c>
      <c r="JW113" s="672" t="e">
        <f t="shared" si="300"/>
        <v>#DIV/0!</v>
      </c>
      <c r="JX113" s="687" t="e">
        <f t="shared" si="300"/>
        <v>#DIV/0!</v>
      </c>
      <c r="JY113" s="686" t="e">
        <f t="shared" si="300"/>
        <v>#DIV/0!</v>
      </c>
      <c r="JZ113" s="687" t="e">
        <f t="shared" si="300"/>
        <v>#DIV/0!</v>
      </c>
      <c r="KA113" s="687" t="e">
        <f t="shared" si="300"/>
        <v>#DIV/0!</v>
      </c>
      <c r="KB113" s="687" t="e">
        <f t="shared" si="300"/>
        <v>#DIV/0!</v>
      </c>
      <c r="KC113" s="687" t="e">
        <f t="shared" si="300"/>
        <v>#DIV/0!</v>
      </c>
      <c r="KD113" s="690" t="e">
        <f t="shared" si="300"/>
        <v>#DIV/0!</v>
      </c>
      <c r="KE113" s="682" t="e">
        <f t="shared" si="300"/>
        <v>#DIV/0!</v>
      </c>
      <c r="KF113" s="683" t="e">
        <f t="shared" si="300"/>
        <v>#DIV/0!</v>
      </c>
      <c r="KG113" s="684" t="e">
        <f t="shared" si="300"/>
        <v>#DIV/0!</v>
      </c>
      <c r="KH113" s="599" t="e">
        <f t="shared" si="300"/>
        <v>#DIV/0!</v>
      </c>
      <c r="KI113" s="685" t="e">
        <f t="shared" si="300"/>
        <v>#DIV/0!</v>
      </c>
      <c r="KJ113" s="685" t="s">
        <v>93</v>
      </c>
      <c r="KK113" s="599">
        <f t="shared" ref="KK113:KZ113" si="301">AVERAGE(KK108:KK112)</f>
        <v>0</v>
      </c>
      <c r="KL113" s="619" t="e">
        <f t="shared" si="301"/>
        <v>#DIV/0!</v>
      </c>
      <c r="KM113" s="675" t="e">
        <f t="shared" si="301"/>
        <v>#DIV/0!</v>
      </c>
      <c r="KN113" s="672" t="e">
        <f t="shared" si="301"/>
        <v>#DIV/0!</v>
      </c>
      <c r="KO113" s="687" t="e">
        <f t="shared" si="301"/>
        <v>#DIV/0!</v>
      </c>
      <c r="KP113" s="686" t="e">
        <f t="shared" si="301"/>
        <v>#DIV/0!</v>
      </c>
      <c r="KQ113" s="687" t="e">
        <f t="shared" si="301"/>
        <v>#DIV/0!</v>
      </c>
      <c r="KR113" s="687" t="e">
        <f t="shared" si="301"/>
        <v>#DIV/0!</v>
      </c>
      <c r="KS113" s="687" t="e">
        <f t="shared" si="301"/>
        <v>#DIV/0!</v>
      </c>
      <c r="KT113" s="687" t="e">
        <f t="shared" si="301"/>
        <v>#DIV/0!</v>
      </c>
      <c r="KU113" s="690" t="e">
        <f t="shared" si="301"/>
        <v>#DIV/0!</v>
      </c>
      <c r="KV113" s="682" t="e">
        <f t="shared" si="301"/>
        <v>#DIV/0!</v>
      </c>
      <c r="KW113" s="683" t="e">
        <f t="shared" si="301"/>
        <v>#DIV/0!</v>
      </c>
      <c r="KX113" s="684" t="e">
        <f t="shared" si="301"/>
        <v>#DIV/0!</v>
      </c>
      <c r="KY113" s="599" t="e">
        <f t="shared" si="301"/>
        <v>#DIV/0!</v>
      </c>
      <c r="KZ113" s="685" t="e">
        <f t="shared" si="301"/>
        <v>#DIV/0!</v>
      </c>
      <c r="LA113" s="685" t="s">
        <v>93</v>
      </c>
      <c r="LB113" s="599">
        <f t="shared" ref="LB113:LQ113" si="302">AVERAGE(LB108:LB112)</f>
        <v>0</v>
      </c>
      <c r="LC113" s="619" t="e">
        <f t="shared" si="302"/>
        <v>#DIV/0!</v>
      </c>
      <c r="LD113" s="675" t="e">
        <f t="shared" si="302"/>
        <v>#DIV/0!</v>
      </c>
      <c r="LE113" s="672" t="e">
        <f t="shared" si="302"/>
        <v>#DIV/0!</v>
      </c>
      <c r="LF113" s="687" t="e">
        <f t="shared" si="302"/>
        <v>#DIV/0!</v>
      </c>
      <c r="LG113" s="686" t="e">
        <f t="shared" si="302"/>
        <v>#DIV/0!</v>
      </c>
      <c r="LH113" s="687" t="e">
        <f t="shared" si="302"/>
        <v>#DIV/0!</v>
      </c>
      <c r="LI113" s="687" t="e">
        <f t="shared" si="302"/>
        <v>#DIV/0!</v>
      </c>
      <c r="LJ113" s="687" t="e">
        <f t="shared" si="302"/>
        <v>#DIV/0!</v>
      </c>
      <c r="LK113" s="687" t="e">
        <f t="shared" si="302"/>
        <v>#DIV/0!</v>
      </c>
      <c r="LL113" s="690" t="e">
        <f t="shared" si="302"/>
        <v>#DIV/0!</v>
      </c>
      <c r="LM113" s="682" t="e">
        <f t="shared" si="302"/>
        <v>#DIV/0!</v>
      </c>
      <c r="LN113" s="683" t="e">
        <f t="shared" si="302"/>
        <v>#DIV/0!</v>
      </c>
      <c r="LO113" s="684" t="e">
        <f t="shared" si="302"/>
        <v>#DIV/0!</v>
      </c>
      <c r="LP113" s="599" t="e">
        <f t="shared" si="302"/>
        <v>#DIV/0!</v>
      </c>
      <c r="LQ113" s="685" t="e">
        <f t="shared" si="302"/>
        <v>#DIV/0!</v>
      </c>
      <c r="LR113" s="685" t="s">
        <v>93</v>
      </c>
      <c r="LS113" s="599">
        <f t="shared" ref="LS113:MH113" si="303">AVERAGE(LS108:LS112)</f>
        <v>0</v>
      </c>
      <c r="LT113" s="619" t="e">
        <f t="shared" si="303"/>
        <v>#DIV/0!</v>
      </c>
      <c r="LU113" s="675" t="e">
        <f t="shared" si="303"/>
        <v>#DIV/0!</v>
      </c>
      <c r="LV113" s="672" t="e">
        <f t="shared" si="303"/>
        <v>#DIV/0!</v>
      </c>
      <c r="LW113" s="687" t="e">
        <f t="shared" si="303"/>
        <v>#DIV/0!</v>
      </c>
      <c r="LX113" s="686" t="e">
        <f t="shared" si="303"/>
        <v>#DIV/0!</v>
      </c>
      <c r="LY113" s="687" t="e">
        <f t="shared" si="303"/>
        <v>#DIV/0!</v>
      </c>
      <c r="LZ113" s="687" t="e">
        <f t="shared" si="303"/>
        <v>#DIV/0!</v>
      </c>
      <c r="MA113" s="687" t="e">
        <f t="shared" si="303"/>
        <v>#DIV/0!</v>
      </c>
      <c r="MB113" s="687" t="e">
        <f t="shared" si="303"/>
        <v>#DIV/0!</v>
      </c>
      <c r="MC113" s="690" t="e">
        <f t="shared" si="303"/>
        <v>#DIV/0!</v>
      </c>
      <c r="MD113" s="682" t="e">
        <f t="shared" si="303"/>
        <v>#DIV/0!</v>
      </c>
      <c r="ME113" s="683" t="e">
        <f t="shared" si="303"/>
        <v>#DIV/0!</v>
      </c>
      <c r="MF113" s="693" t="e">
        <f t="shared" si="303"/>
        <v>#DIV/0!</v>
      </c>
      <c r="MG113" s="599" t="e">
        <f t="shared" si="303"/>
        <v>#DIV/0!</v>
      </c>
      <c r="MH113" s="694" t="e">
        <f t="shared" si="303"/>
        <v>#DIV/0!</v>
      </c>
      <c r="MI113" s="685" t="s">
        <v>93</v>
      </c>
      <c r="MJ113" s="599">
        <f t="shared" ref="MJ113:MY113" si="304">AVERAGE(MJ108:MJ112)</f>
        <v>0</v>
      </c>
      <c r="MK113" s="619" t="e">
        <f t="shared" si="304"/>
        <v>#DIV/0!</v>
      </c>
      <c r="ML113" s="675" t="e">
        <f t="shared" si="304"/>
        <v>#DIV/0!</v>
      </c>
      <c r="MM113" s="672" t="e">
        <f t="shared" si="304"/>
        <v>#DIV/0!</v>
      </c>
      <c r="MN113" s="687" t="e">
        <f t="shared" si="304"/>
        <v>#DIV/0!</v>
      </c>
      <c r="MO113" s="686" t="e">
        <f t="shared" si="304"/>
        <v>#DIV/0!</v>
      </c>
      <c r="MP113" s="687" t="e">
        <f t="shared" si="304"/>
        <v>#DIV/0!</v>
      </c>
      <c r="MQ113" s="687" t="e">
        <f t="shared" si="304"/>
        <v>#DIV/0!</v>
      </c>
      <c r="MR113" s="687" t="e">
        <f t="shared" si="304"/>
        <v>#DIV/0!</v>
      </c>
      <c r="MS113" s="687" t="e">
        <f t="shared" si="304"/>
        <v>#DIV/0!</v>
      </c>
      <c r="MT113" s="690" t="e">
        <f t="shared" si="304"/>
        <v>#DIV/0!</v>
      </c>
      <c r="MU113" s="682" t="e">
        <f t="shared" si="304"/>
        <v>#DIV/0!</v>
      </c>
      <c r="MV113" s="683" t="e">
        <f t="shared" si="304"/>
        <v>#DIV/0!</v>
      </c>
      <c r="MW113" s="684" t="e">
        <f t="shared" si="304"/>
        <v>#DIV/0!</v>
      </c>
      <c r="MX113" s="599" t="e">
        <f t="shared" si="304"/>
        <v>#DIV/0!</v>
      </c>
      <c r="MY113" s="685" t="e">
        <f t="shared" si="304"/>
        <v>#DIV/0!</v>
      </c>
      <c r="MZ113" s="685" t="s">
        <v>93</v>
      </c>
      <c r="NA113" s="599">
        <f t="shared" ref="NA113:NP113" si="305">AVERAGE(NA108:NA112)</f>
        <v>0</v>
      </c>
      <c r="NB113" s="619" t="e">
        <f t="shared" si="305"/>
        <v>#DIV/0!</v>
      </c>
      <c r="NC113" s="675" t="e">
        <f t="shared" si="305"/>
        <v>#DIV/0!</v>
      </c>
      <c r="ND113" s="672" t="e">
        <f t="shared" si="305"/>
        <v>#DIV/0!</v>
      </c>
      <c r="NE113" s="687" t="e">
        <f t="shared" si="305"/>
        <v>#DIV/0!</v>
      </c>
      <c r="NF113" s="686" t="e">
        <f t="shared" si="305"/>
        <v>#DIV/0!</v>
      </c>
      <c r="NG113" s="687" t="e">
        <f t="shared" si="305"/>
        <v>#DIV/0!</v>
      </c>
      <c r="NH113" s="687" t="e">
        <f t="shared" si="305"/>
        <v>#DIV/0!</v>
      </c>
      <c r="NI113" s="687" t="e">
        <f t="shared" si="305"/>
        <v>#DIV/0!</v>
      </c>
      <c r="NJ113" s="687" t="e">
        <f t="shared" si="305"/>
        <v>#DIV/0!</v>
      </c>
      <c r="NK113" s="690" t="e">
        <f t="shared" si="305"/>
        <v>#DIV/0!</v>
      </c>
      <c r="NL113" s="682" t="e">
        <f t="shared" si="305"/>
        <v>#DIV/0!</v>
      </c>
      <c r="NM113" s="683" t="e">
        <f t="shared" si="305"/>
        <v>#DIV/0!</v>
      </c>
      <c r="NN113" s="684" t="e">
        <f t="shared" si="305"/>
        <v>#DIV/0!</v>
      </c>
      <c r="NO113" s="599" t="e">
        <f t="shared" si="305"/>
        <v>#DIV/0!</v>
      </c>
      <c r="NP113" s="685" t="e">
        <f t="shared" si="305"/>
        <v>#DIV/0!</v>
      </c>
      <c r="NQ113" s="685" t="s">
        <v>93</v>
      </c>
      <c r="NR113" s="599">
        <f t="shared" ref="NR113:OG113" si="306">AVERAGE(NR108:NR112)</f>
        <v>0</v>
      </c>
      <c r="NS113" s="619" t="e">
        <f t="shared" si="306"/>
        <v>#DIV/0!</v>
      </c>
      <c r="NT113" s="675" t="e">
        <f t="shared" si="306"/>
        <v>#DIV/0!</v>
      </c>
      <c r="NU113" s="672" t="e">
        <f t="shared" si="306"/>
        <v>#DIV/0!</v>
      </c>
      <c r="NV113" s="687" t="e">
        <f t="shared" si="306"/>
        <v>#DIV/0!</v>
      </c>
      <c r="NW113" s="686" t="e">
        <f t="shared" si="306"/>
        <v>#DIV/0!</v>
      </c>
      <c r="NX113" s="687" t="e">
        <f t="shared" si="306"/>
        <v>#DIV/0!</v>
      </c>
      <c r="NY113" s="687" t="e">
        <f t="shared" si="306"/>
        <v>#DIV/0!</v>
      </c>
      <c r="NZ113" s="687" t="e">
        <f t="shared" si="306"/>
        <v>#DIV/0!</v>
      </c>
      <c r="OA113" s="687" t="e">
        <f t="shared" si="306"/>
        <v>#DIV/0!</v>
      </c>
      <c r="OB113" s="690" t="e">
        <f t="shared" si="306"/>
        <v>#DIV/0!</v>
      </c>
      <c r="OC113" s="682" t="e">
        <f t="shared" si="306"/>
        <v>#DIV/0!</v>
      </c>
      <c r="OD113" s="683" t="e">
        <f t="shared" si="306"/>
        <v>#DIV/0!</v>
      </c>
      <c r="OE113" s="684" t="e">
        <f t="shared" si="306"/>
        <v>#DIV/0!</v>
      </c>
      <c r="OF113" s="599" t="e">
        <f t="shared" si="306"/>
        <v>#DIV/0!</v>
      </c>
      <c r="OG113" s="685" t="e">
        <f t="shared" si="306"/>
        <v>#DIV/0!</v>
      </c>
      <c r="OH113" s="685" t="s">
        <v>93</v>
      </c>
      <c r="OI113" s="599">
        <f t="shared" ref="OI113:OX113" si="307">AVERAGE(OI108:OI112)</f>
        <v>0</v>
      </c>
      <c r="OJ113" s="619" t="e">
        <f t="shared" si="307"/>
        <v>#DIV/0!</v>
      </c>
      <c r="OK113" s="675" t="e">
        <f t="shared" si="307"/>
        <v>#DIV/0!</v>
      </c>
      <c r="OL113" s="672" t="e">
        <f t="shared" si="307"/>
        <v>#DIV/0!</v>
      </c>
      <c r="OM113" s="687" t="e">
        <f t="shared" si="307"/>
        <v>#DIV/0!</v>
      </c>
      <c r="ON113" s="686" t="e">
        <f t="shared" si="307"/>
        <v>#DIV/0!</v>
      </c>
      <c r="OO113" s="687" t="e">
        <f t="shared" si="307"/>
        <v>#DIV/0!</v>
      </c>
      <c r="OP113" s="687" t="e">
        <f t="shared" si="307"/>
        <v>#DIV/0!</v>
      </c>
      <c r="OQ113" s="687" t="e">
        <f t="shared" si="307"/>
        <v>#DIV/0!</v>
      </c>
      <c r="OR113" s="687" t="e">
        <f t="shared" si="307"/>
        <v>#DIV/0!</v>
      </c>
      <c r="OS113" s="690" t="e">
        <f t="shared" si="307"/>
        <v>#DIV/0!</v>
      </c>
      <c r="OT113" s="682" t="e">
        <f t="shared" si="307"/>
        <v>#DIV/0!</v>
      </c>
      <c r="OU113" s="683" t="e">
        <f t="shared" si="307"/>
        <v>#DIV/0!</v>
      </c>
      <c r="OV113" s="684" t="e">
        <f t="shared" si="307"/>
        <v>#DIV/0!</v>
      </c>
      <c r="OW113" s="599" t="e">
        <f t="shared" si="307"/>
        <v>#DIV/0!</v>
      </c>
      <c r="OX113" s="685" t="e">
        <f t="shared" si="307"/>
        <v>#DIV/0!</v>
      </c>
      <c r="OY113" s="685" t="s">
        <v>93</v>
      </c>
      <c r="OZ113" s="599">
        <f t="shared" ref="OZ113:PO113" si="308">AVERAGE(OZ108:OZ112)</f>
        <v>0</v>
      </c>
      <c r="PA113" s="619" t="e">
        <f t="shared" si="308"/>
        <v>#DIV/0!</v>
      </c>
      <c r="PB113" s="675" t="e">
        <f t="shared" si="308"/>
        <v>#DIV/0!</v>
      </c>
      <c r="PC113" s="672" t="e">
        <f t="shared" si="308"/>
        <v>#DIV/0!</v>
      </c>
      <c r="PD113" s="687" t="e">
        <f t="shared" si="308"/>
        <v>#DIV/0!</v>
      </c>
      <c r="PE113" s="686" t="e">
        <f t="shared" si="308"/>
        <v>#DIV/0!</v>
      </c>
      <c r="PF113" s="687" t="e">
        <f t="shared" si="308"/>
        <v>#DIV/0!</v>
      </c>
      <c r="PG113" s="687" t="e">
        <f t="shared" si="308"/>
        <v>#DIV/0!</v>
      </c>
      <c r="PH113" s="687" t="e">
        <f t="shared" si="308"/>
        <v>#DIV/0!</v>
      </c>
      <c r="PI113" s="687" t="e">
        <f t="shared" si="308"/>
        <v>#DIV/0!</v>
      </c>
      <c r="PJ113" s="690" t="e">
        <f t="shared" si="308"/>
        <v>#DIV/0!</v>
      </c>
      <c r="PK113" s="682" t="e">
        <f t="shared" si="308"/>
        <v>#DIV/0!</v>
      </c>
      <c r="PL113" s="683" t="e">
        <f t="shared" si="308"/>
        <v>#DIV/0!</v>
      </c>
      <c r="PM113" s="684" t="e">
        <f t="shared" si="308"/>
        <v>#DIV/0!</v>
      </c>
      <c r="PN113" s="599" t="e">
        <f t="shared" si="308"/>
        <v>#DIV/0!</v>
      </c>
      <c r="PO113" s="685" t="e">
        <f t="shared" si="308"/>
        <v>#DIV/0!</v>
      </c>
      <c r="PP113" s="685" t="s">
        <v>93</v>
      </c>
      <c r="PQ113" s="599">
        <f t="shared" ref="PQ113:QF113" si="309">AVERAGE(PQ108:PQ112)</f>
        <v>0</v>
      </c>
      <c r="PR113" s="619" t="e">
        <f t="shared" si="309"/>
        <v>#DIV/0!</v>
      </c>
      <c r="PS113" s="675" t="e">
        <f t="shared" si="309"/>
        <v>#DIV/0!</v>
      </c>
      <c r="PT113" s="672" t="e">
        <f t="shared" si="309"/>
        <v>#DIV/0!</v>
      </c>
      <c r="PU113" s="687" t="e">
        <f t="shared" si="309"/>
        <v>#DIV/0!</v>
      </c>
      <c r="PV113" s="686" t="e">
        <f t="shared" si="309"/>
        <v>#DIV/0!</v>
      </c>
      <c r="PW113" s="687" t="e">
        <f t="shared" si="309"/>
        <v>#DIV/0!</v>
      </c>
      <c r="PX113" s="687" t="e">
        <f t="shared" si="309"/>
        <v>#DIV/0!</v>
      </c>
      <c r="PY113" s="687" t="e">
        <f t="shared" si="309"/>
        <v>#DIV/0!</v>
      </c>
      <c r="PZ113" s="687" t="e">
        <f t="shared" si="309"/>
        <v>#DIV/0!</v>
      </c>
      <c r="QA113" s="690" t="e">
        <f t="shared" si="309"/>
        <v>#DIV/0!</v>
      </c>
      <c r="QB113" s="682" t="e">
        <f t="shared" si="309"/>
        <v>#DIV/0!</v>
      </c>
      <c r="QC113" s="683" t="e">
        <f t="shared" si="309"/>
        <v>#DIV/0!</v>
      </c>
      <c r="QD113" s="684" t="e">
        <f t="shared" si="309"/>
        <v>#DIV/0!</v>
      </c>
      <c r="QE113" s="599" t="e">
        <f t="shared" si="309"/>
        <v>#DIV/0!</v>
      </c>
      <c r="QF113" s="694" t="e">
        <f t="shared" si="309"/>
        <v>#DIV/0!</v>
      </c>
      <c r="QG113" s="685" t="s">
        <v>93</v>
      </c>
      <c r="QH113" s="599">
        <f t="shared" ref="QH113:QW113" si="310">AVERAGE(QH108:QH112)</f>
        <v>0</v>
      </c>
      <c r="QI113" s="619" t="e">
        <f t="shared" si="310"/>
        <v>#DIV/0!</v>
      </c>
      <c r="QJ113" s="675" t="e">
        <f t="shared" si="310"/>
        <v>#DIV/0!</v>
      </c>
      <c r="QK113" s="672" t="e">
        <f t="shared" si="310"/>
        <v>#DIV/0!</v>
      </c>
      <c r="QL113" s="687" t="e">
        <f t="shared" si="310"/>
        <v>#DIV/0!</v>
      </c>
      <c r="QM113" s="686" t="e">
        <f t="shared" si="310"/>
        <v>#DIV/0!</v>
      </c>
      <c r="QN113" s="687" t="e">
        <f t="shared" si="310"/>
        <v>#DIV/0!</v>
      </c>
      <c r="QO113" s="687" t="e">
        <f t="shared" si="310"/>
        <v>#DIV/0!</v>
      </c>
      <c r="QP113" s="687" t="e">
        <f t="shared" si="310"/>
        <v>#DIV/0!</v>
      </c>
      <c r="QQ113" s="687" t="e">
        <f t="shared" si="310"/>
        <v>#DIV/0!</v>
      </c>
      <c r="QR113" s="690" t="e">
        <f t="shared" si="310"/>
        <v>#DIV/0!</v>
      </c>
      <c r="QS113" s="682" t="e">
        <f t="shared" si="310"/>
        <v>#DIV/0!</v>
      </c>
      <c r="QT113" s="683" t="e">
        <f t="shared" si="310"/>
        <v>#DIV/0!</v>
      </c>
      <c r="QU113" s="684" t="e">
        <f t="shared" si="310"/>
        <v>#DIV/0!</v>
      </c>
      <c r="QV113" s="672" t="e">
        <f t="shared" si="310"/>
        <v>#DIV/0!</v>
      </c>
      <c r="QW113" s="685" t="e">
        <f t="shared" si="310"/>
        <v>#DIV/0!</v>
      </c>
      <c r="QX113" s="685" t="s">
        <v>93</v>
      </c>
      <c r="QY113" s="599">
        <f t="shared" ref="QY113:RN113" si="311">AVERAGE(QY108:QY112)</f>
        <v>0</v>
      </c>
      <c r="QZ113" s="619" t="e">
        <f t="shared" si="311"/>
        <v>#DIV/0!</v>
      </c>
      <c r="RA113" s="675" t="e">
        <f t="shared" si="311"/>
        <v>#DIV/0!</v>
      </c>
      <c r="RB113" s="672" t="e">
        <f t="shared" si="311"/>
        <v>#DIV/0!</v>
      </c>
      <c r="RC113" s="687" t="e">
        <f t="shared" si="311"/>
        <v>#DIV/0!</v>
      </c>
      <c r="RD113" s="686" t="e">
        <f t="shared" si="311"/>
        <v>#DIV/0!</v>
      </c>
      <c r="RE113" s="687" t="e">
        <f t="shared" si="311"/>
        <v>#DIV/0!</v>
      </c>
      <c r="RF113" s="687" t="e">
        <f t="shared" si="311"/>
        <v>#DIV/0!</v>
      </c>
      <c r="RG113" s="687" t="e">
        <f t="shared" si="311"/>
        <v>#DIV/0!</v>
      </c>
      <c r="RH113" s="687" t="e">
        <f t="shared" si="311"/>
        <v>#DIV/0!</v>
      </c>
      <c r="RI113" s="690" t="e">
        <f t="shared" si="311"/>
        <v>#DIV/0!</v>
      </c>
      <c r="RJ113" s="682" t="e">
        <f t="shared" si="311"/>
        <v>#DIV/0!</v>
      </c>
      <c r="RK113" s="683" t="e">
        <f t="shared" si="311"/>
        <v>#DIV/0!</v>
      </c>
      <c r="RL113" s="684" t="e">
        <f t="shared" si="311"/>
        <v>#DIV/0!</v>
      </c>
      <c r="RM113" s="599" t="e">
        <f t="shared" si="311"/>
        <v>#DIV/0!</v>
      </c>
      <c r="RN113" s="685" t="e">
        <f t="shared" si="311"/>
        <v>#DIV/0!</v>
      </c>
      <c r="RO113" s="685" t="s">
        <v>93</v>
      </c>
      <c r="RP113" s="599">
        <f t="shared" ref="RP113:SE113" si="312">AVERAGE(RP108:RP112)</f>
        <v>0</v>
      </c>
      <c r="RQ113" s="619" t="e">
        <f t="shared" si="312"/>
        <v>#DIV/0!</v>
      </c>
      <c r="RR113" s="675" t="e">
        <f t="shared" si="312"/>
        <v>#DIV/0!</v>
      </c>
      <c r="RS113" s="672" t="e">
        <f t="shared" si="312"/>
        <v>#DIV/0!</v>
      </c>
      <c r="RT113" s="687" t="e">
        <f t="shared" si="312"/>
        <v>#DIV/0!</v>
      </c>
      <c r="RU113" s="686" t="e">
        <f t="shared" si="312"/>
        <v>#DIV/0!</v>
      </c>
      <c r="RV113" s="687" t="e">
        <f t="shared" si="312"/>
        <v>#DIV/0!</v>
      </c>
      <c r="RW113" s="687" t="e">
        <f t="shared" si="312"/>
        <v>#DIV/0!</v>
      </c>
      <c r="RX113" s="687" t="e">
        <f t="shared" si="312"/>
        <v>#DIV/0!</v>
      </c>
      <c r="RY113" s="687" t="e">
        <f t="shared" si="312"/>
        <v>#DIV/0!</v>
      </c>
      <c r="RZ113" s="690" t="e">
        <f t="shared" si="312"/>
        <v>#DIV/0!</v>
      </c>
      <c r="SA113" s="682" t="e">
        <f t="shared" si="312"/>
        <v>#DIV/0!</v>
      </c>
      <c r="SB113" s="683" t="e">
        <f t="shared" si="312"/>
        <v>#DIV/0!</v>
      </c>
      <c r="SC113" s="684" t="e">
        <f t="shared" si="312"/>
        <v>#DIV/0!</v>
      </c>
      <c r="SD113" s="599" t="e">
        <f t="shared" si="312"/>
        <v>#DIV/0!</v>
      </c>
      <c r="SE113" s="685" t="e">
        <f t="shared" si="312"/>
        <v>#DIV/0!</v>
      </c>
      <c r="SF113" s="685" t="s">
        <v>93</v>
      </c>
      <c r="SG113" s="599">
        <f t="shared" ref="SG113:SV113" si="313">AVERAGE(SG108:SG112)</f>
        <v>0</v>
      </c>
      <c r="SH113" s="619" t="e">
        <f t="shared" si="313"/>
        <v>#DIV/0!</v>
      </c>
      <c r="SI113" s="675" t="e">
        <f t="shared" si="313"/>
        <v>#DIV/0!</v>
      </c>
      <c r="SJ113" s="672" t="e">
        <f t="shared" si="313"/>
        <v>#DIV/0!</v>
      </c>
      <c r="SK113" s="687" t="e">
        <f t="shared" si="313"/>
        <v>#DIV/0!</v>
      </c>
      <c r="SL113" s="686" t="e">
        <f t="shared" si="313"/>
        <v>#DIV/0!</v>
      </c>
      <c r="SM113" s="687" t="e">
        <f t="shared" si="313"/>
        <v>#DIV/0!</v>
      </c>
      <c r="SN113" s="687" t="e">
        <f t="shared" si="313"/>
        <v>#DIV/0!</v>
      </c>
      <c r="SO113" s="687" t="e">
        <f t="shared" si="313"/>
        <v>#DIV/0!</v>
      </c>
      <c r="SP113" s="687" t="e">
        <f t="shared" si="313"/>
        <v>#DIV/0!</v>
      </c>
      <c r="SQ113" s="690" t="e">
        <f t="shared" si="313"/>
        <v>#DIV/0!</v>
      </c>
      <c r="SR113" s="682" t="e">
        <f t="shared" si="313"/>
        <v>#DIV/0!</v>
      </c>
      <c r="SS113" s="683" t="e">
        <f t="shared" si="313"/>
        <v>#DIV/0!</v>
      </c>
      <c r="ST113" s="684" t="e">
        <f t="shared" si="313"/>
        <v>#DIV/0!</v>
      </c>
      <c r="SU113" s="599" t="e">
        <f t="shared" si="313"/>
        <v>#DIV/0!</v>
      </c>
      <c r="SV113" s="685" t="e">
        <f t="shared" si="313"/>
        <v>#DIV/0!</v>
      </c>
      <c r="SW113" s="685" t="s">
        <v>93</v>
      </c>
      <c r="SX113" s="599">
        <f t="shared" ref="SX113:TM113" si="314">AVERAGE(SX108:SX112)</f>
        <v>0</v>
      </c>
      <c r="SY113" s="619" t="e">
        <f t="shared" si="314"/>
        <v>#DIV/0!</v>
      </c>
      <c r="SZ113" s="675" t="e">
        <f t="shared" si="314"/>
        <v>#DIV/0!</v>
      </c>
      <c r="TA113" s="672" t="e">
        <f t="shared" si="314"/>
        <v>#DIV/0!</v>
      </c>
      <c r="TB113" s="687" t="e">
        <f t="shared" si="314"/>
        <v>#DIV/0!</v>
      </c>
      <c r="TC113" s="686" t="e">
        <f t="shared" si="314"/>
        <v>#DIV/0!</v>
      </c>
      <c r="TD113" s="687" t="e">
        <f t="shared" si="314"/>
        <v>#DIV/0!</v>
      </c>
      <c r="TE113" s="687" t="e">
        <f t="shared" si="314"/>
        <v>#DIV/0!</v>
      </c>
      <c r="TF113" s="687" t="e">
        <f t="shared" si="314"/>
        <v>#DIV/0!</v>
      </c>
      <c r="TG113" s="687" t="e">
        <f t="shared" si="314"/>
        <v>#DIV/0!</v>
      </c>
      <c r="TH113" s="690" t="e">
        <f t="shared" si="314"/>
        <v>#DIV/0!</v>
      </c>
      <c r="TI113" s="682" t="e">
        <f t="shared" si="314"/>
        <v>#DIV/0!</v>
      </c>
      <c r="TJ113" s="683" t="e">
        <f t="shared" si="314"/>
        <v>#DIV/0!</v>
      </c>
      <c r="TK113" s="684" t="e">
        <f t="shared" si="314"/>
        <v>#DIV/0!</v>
      </c>
      <c r="TL113" s="599" t="e">
        <f t="shared" si="314"/>
        <v>#DIV/0!</v>
      </c>
      <c r="TM113" s="685" t="e">
        <f t="shared" si="314"/>
        <v>#DIV/0!</v>
      </c>
      <c r="TN113" s="685" t="s">
        <v>93</v>
      </c>
      <c r="TO113" s="599">
        <f t="shared" ref="TO113:TY113" si="315">AVERAGE(TO108:TO112)</f>
        <v>0</v>
      </c>
      <c r="TP113" s="619" t="e">
        <f t="shared" si="315"/>
        <v>#DIV/0!</v>
      </c>
      <c r="TQ113" s="675" t="e">
        <f t="shared" si="315"/>
        <v>#DIV/0!</v>
      </c>
      <c r="TR113" s="672" t="e">
        <f t="shared" si="315"/>
        <v>#DIV/0!</v>
      </c>
      <c r="TS113" s="687" t="e">
        <f t="shared" si="315"/>
        <v>#DIV/0!</v>
      </c>
      <c r="TT113" s="686" t="e">
        <f t="shared" si="315"/>
        <v>#DIV/0!</v>
      </c>
      <c r="TU113" s="687" t="e">
        <f t="shared" si="315"/>
        <v>#DIV/0!</v>
      </c>
      <c r="TV113" s="687" t="e">
        <f t="shared" si="315"/>
        <v>#DIV/0!</v>
      </c>
      <c r="TW113" s="687" t="e">
        <f t="shared" si="315"/>
        <v>#DIV/0!</v>
      </c>
      <c r="TX113" s="687" t="e">
        <f t="shared" si="315"/>
        <v>#DIV/0!</v>
      </c>
      <c r="TY113" s="690" t="e">
        <f t="shared" si="315"/>
        <v>#DIV/0!</v>
      </c>
    </row>
    <row r="114" spans="1:545" x14ac:dyDescent="0.25">
      <c r="A114" s="681" t="s">
        <v>62</v>
      </c>
      <c r="B114" s="688"/>
      <c r="C114" s="619"/>
      <c r="D114" s="619"/>
      <c r="E114" s="672"/>
      <c r="F114" s="619"/>
      <c r="G114" s="652"/>
      <c r="H114" s="599"/>
      <c r="I114" s="652"/>
      <c r="J114" s="675"/>
      <c r="K114" s="672"/>
      <c r="L114" s="672"/>
      <c r="M114" s="675"/>
      <c r="N114" s="672"/>
      <c r="O114" s="672"/>
      <c r="P114" s="672"/>
      <c r="Q114" s="672"/>
      <c r="R114" s="676"/>
      <c r="S114" s="691" t="e">
        <f t="shared" ref="S114:W114" si="316">STDEVA(S108:S112)</f>
        <v>#DIV/0!</v>
      </c>
      <c r="T114" s="691" t="e">
        <f t="shared" si="316"/>
        <v>#DIV/0!</v>
      </c>
      <c r="U114" s="695" t="e">
        <f t="shared" si="316"/>
        <v>#DIV/0!</v>
      </c>
      <c r="V114" s="599" t="e">
        <f t="shared" si="316"/>
        <v>#DIV/0!</v>
      </c>
      <c r="W114" s="652" t="e">
        <f t="shared" si="316"/>
        <v>#DIV/0!</v>
      </c>
      <c r="X114" s="652" t="s">
        <v>93</v>
      </c>
      <c r="Y114" s="599">
        <f>STDEVA(Y108:Y112)</f>
        <v>0</v>
      </c>
      <c r="Z114" s="652" t="e">
        <f t="shared" ref="Z114:AN114" si="317">STDEVA(Z108:Z112)</f>
        <v>#DIV/0!</v>
      </c>
      <c r="AA114" s="675" t="e">
        <f t="shared" si="317"/>
        <v>#DIV/0!</v>
      </c>
      <c r="AB114" s="672" t="e">
        <f t="shared" si="317"/>
        <v>#DIV/0!</v>
      </c>
      <c r="AC114" s="672" t="e">
        <f t="shared" si="317"/>
        <v>#DIV/0!</v>
      </c>
      <c r="AD114" s="675" t="e">
        <f t="shared" si="317"/>
        <v>#DIV/0!</v>
      </c>
      <c r="AE114" s="672" t="e">
        <f t="shared" si="317"/>
        <v>#DIV/0!</v>
      </c>
      <c r="AF114" s="672" t="e">
        <f t="shared" si="317"/>
        <v>#DIV/0!</v>
      </c>
      <c r="AG114" s="672" t="e">
        <f>STDEVA(AG108:AG112)</f>
        <v>#DIV/0!</v>
      </c>
      <c r="AH114" s="672" t="e">
        <f t="shared" si="317"/>
        <v>#DIV/0!</v>
      </c>
      <c r="AI114" s="676" t="e">
        <f t="shared" si="317"/>
        <v>#DIV/0!</v>
      </c>
      <c r="AJ114" s="682" t="e">
        <f t="shared" si="317"/>
        <v>#DIV/0!</v>
      </c>
      <c r="AK114" s="691" t="e">
        <f t="shared" si="317"/>
        <v>#DIV/0!</v>
      </c>
      <c r="AL114" s="695" t="e">
        <f t="shared" si="317"/>
        <v>#DIV/0!</v>
      </c>
      <c r="AM114" s="599" t="e">
        <f t="shared" si="317"/>
        <v>#DIV/0!</v>
      </c>
      <c r="AN114" s="652" t="e">
        <f t="shared" si="317"/>
        <v>#DIV/0!</v>
      </c>
      <c r="AO114" s="652" t="s">
        <v>93</v>
      </c>
      <c r="AP114" s="599">
        <f>STDEVA(AP108:AP112)</f>
        <v>0</v>
      </c>
      <c r="AQ114" s="652" t="e">
        <f t="shared" ref="AQ114:BE114" si="318">STDEVA(AQ108:AQ112)</f>
        <v>#DIV/0!</v>
      </c>
      <c r="AR114" s="675" t="e">
        <f t="shared" si="318"/>
        <v>#DIV/0!</v>
      </c>
      <c r="AS114" s="672" t="e">
        <f t="shared" si="318"/>
        <v>#DIV/0!</v>
      </c>
      <c r="AT114" s="672" t="e">
        <f t="shared" si="318"/>
        <v>#DIV/0!</v>
      </c>
      <c r="AU114" s="675" t="e">
        <f t="shared" si="318"/>
        <v>#DIV/0!</v>
      </c>
      <c r="AV114" s="672" t="e">
        <f t="shared" si="318"/>
        <v>#DIV/0!</v>
      </c>
      <c r="AW114" s="672" t="e">
        <f t="shared" si="318"/>
        <v>#DIV/0!</v>
      </c>
      <c r="AX114" s="672" t="e">
        <f>STDEVA(AX108:AX112)</f>
        <v>#DIV/0!</v>
      </c>
      <c r="AY114" s="672" t="e">
        <f t="shared" si="318"/>
        <v>#DIV/0!</v>
      </c>
      <c r="AZ114" s="676" t="e">
        <f t="shared" si="318"/>
        <v>#DIV/0!</v>
      </c>
      <c r="BA114" s="682" t="e">
        <f t="shared" si="318"/>
        <v>#DIV/0!</v>
      </c>
      <c r="BB114" s="691" t="e">
        <f t="shared" si="318"/>
        <v>#DIV/0!</v>
      </c>
      <c r="BC114" s="695" t="e">
        <f t="shared" si="318"/>
        <v>#DIV/0!</v>
      </c>
      <c r="BD114" s="599" t="e">
        <f t="shared" si="318"/>
        <v>#DIV/0!</v>
      </c>
      <c r="BE114" s="652" t="e">
        <f t="shared" si="318"/>
        <v>#DIV/0!</v>
      </c>
      <c r="BF114" s="652" t="s">
        <v>93</v>
      </c>
      <c r="BG114" s="599">
        <f>STDEVA(BG108:BG112)</f>
        <v>0</v>
      </c>
      <c r="BH114" s="652" t="e">
        <f t="shared" ref="BH114:BV114" si="319">STDEVA(BH108:BH112)</f>
        <v>#DIV/0!</v>
      </c>
      <c r="BI114" s="675" t="e">
        <f t="shared" si="319"/>
        <v>#DIV/0!</v>
      </c>
      <c r="BJ114" s="672" t="e">
        <f t="shared" si="319"/>
        <v>#DIV/0!</v>
      </c>
      <c r="BK114" s="672" t="e">
        <f t="shared" si="319"/>
        <v>#DIV/0!</v>
      </c>
      <c r="BL114" s="675" t="e">
        <f t="shared" si="319"/>
        <v>#DIV/0!</v>
      </c>
      <c r="BM114" s="672" t="e">
        <f t="shared" si="319"/>
        <v>#DIV/0!</v>
      </c>
      <c r="BN114" s="672" t="e">
        <f t="shared" si="319"/>
        <v>#DIV/0!</v>
      </c>
      <c r="BO114" s="672" t="e">
        <f>STDEVA(BO108:BO112)</f>
        <v>#DIV/0!</v>
      </c>
      <c r="BP114" s="672" t="e">
        <f t="shared" si="319"/>
        <v>#DIV/0!</v>
      </c>
      <c r="BQ114" s="676" t="e">
        <f t="shared" si="319"/>
        <v>#DIV/0!</v>
      </c>
      <c r="BR114" s="682" t="e">
        <f t="shared" si="319"/>
        <v>#DIV/0!</v>
      </c>
      <c r="BS114" s="691" t="e">
        <f t="shared" si="319"/>
        <v>#DIV/0!</v>
      </c>
      <c r="BT114" s="695" t="e">
        <f t="shared" si="319"/>
        <v>#DIV/0!</v>
      </c>
      <c r="BU114" s="599" t="e">
        <f t="shared" si="319"/>
        <v>#DIV/0!</v>
      </c>
      <c r="BV114" s="652" t="e">
        <f t="shared" si="319"/>
        <v>#DIV/0!</v>
      </c>
      <c r="BW114" s="652" t="s">
        <v>93</v>
      </c>
      <c r="BX114" s="599">
        <f>STDEVA(BX108:BX112)</f>
        <v>0</v>
      </c>
      <c r="BY114" s="652" t="e">
        <f t="shared" ref="BY114:CM114" si="320">STDEVA(BY108:BY112)</f>
        <v>#DIV/0!</v>
      </c>
      <c r="BZ114" s="675" t="e">
        <f t="shared" si="320"/>
        <v>#DIV/0!</v>
      </c>
      <c r="CA114" s="672" t="e">
        <f t="shared" si="320"/>
        <v>#DIV/0!</v>
      </c>
      <c r="CB114" s="672" t="e">
        <f t="shared" si="320"/>
        <v>#DIV/0!</v>
      </c>
      <c r="CC114" s="675" t="e">
        <f t="shared" si="320"/>
        <v>#DIV/0!</v>
      </c>
      <c r="CD114" s="672" t="e">
        <f t="shared" si="320"/>
        <v>#DIV/0!</v>
      </c>
      <c r="CE114" s="672" t="e">
        <f t="shared" si="320"/>
        <v>#DIV/0!</v>
      </c>
      <c r="CF114" s="672" t="e">
        <f>STDEVA(CF108:CF112)</f>
        <v>#DIV/0!</v>
      </c>
      <c r="CG114" s="672" t="e">
        <f t="shared" si="320"/>
        <v>#DIV/0!</v>
      </c>
      <c r="CH114" s="676" t="e">
        <f t="shared" si="320"/>
        <v>#DIV/0!</v>
      </c>
      <c r="CI114" s="682" t="e">
        <f t="shared" si="320"/>
        <v>#DIV/0!</v>
      </c>
      <c r="CJ114" s="691" t="e">
        <f t="shared" si="320"/>
        <v>#DIV/0!</v>
      </c>
      <c r="CK114" s="695" t="e">
        <f t="shared" si="320"/>
        <v>#DIV/0!</v>
      </c>
      <c r="CL114" s="599" t="e">
        <f t="shared" si="320"/>
        <v>#DIV/0!</v>
      </c>
      <c r="CM114" s="652" t="e">
        <f t="shared" si="320"/>
        <v>#DIV/0!</v>
      </c>
      <c r="CN114" s="652" t="s">
        <v>93</v>
      </c>
      <c r="CO114" s="599">
        <f>STDEVA(CO108:CO112)</f>
        <v>0</v>
      </c>
      <c r="CP114" s="652" t="e">
        <f t="shared" ref="CP114:DD114" si="321">STDEVA(CP108:CP112)</f>
        <v>#DIV/0!</v>
      </c>
      <c r="CQ114" s="675" t="e">
        <f t="shared" si="321"/>
        <v>#DIV/0!</v>
      </c>
      <c r="CR114" s="672" t="e">
        <f t="shared" si="321"/>
        <v>#DIV/0!</v>
      </c>
      <c r="CS114" s="672" t="e">
        <f t="shared" si="321"/>
        <v>#DIV/0!</v>
      </c>
      <c r="CT114" s="675" t="e">
        <f t="shared" si="321"/>
        <v>#DIV/0!</v>
      </c>
      <c r="CU114" s="672" t="e">
        <f t="shared" si="321"/>
        <v>#DIV/0!</v>
      </c>
      <c r="CV114" s="672" t="e">
        <f t="shared" si="321"/>
        <v>#DIV/0!</v>
      </c>
      <c r="CW114" s="672" t="e">
        <f>STDEVA(CW108:CW112)</f>
        <v>#DIV/0!</v>
      </c>
      <c r="CX114" s="672" t="e">
        <f t="shared" si="321"/>
        <v>#DIV/0!</v>
      </c>
      <c r="CY114" s="676" t="e">
        <f t="shared" si="321"/>
        <v>#DIV/0!</v>
      </c>
      <c r="CZ114" s="682" t="e">
        <f t="shared" si="321"/>
        <v>#DIV/0!</v>
      </c>
      <c r="DA114" s="691" t="e">
        <f t="shared" si="321"/>
        <v>#DIV/0!</v>
      </c>
      <c r="DB114" s="695" t="e">
        <f t="shared" si="321"/>
        <v>#DIV/0!</v>
      </c>
      <c r="DC114" s="599" t="e">
        <f t="shared" si="321"/>
        <v>#DIV/0!</v>
      </c>
      <c r="DD114" s="652" t="e">
        <f t="shared" si="321"/>
        <v>#DIV/0!</v>
      </c>
      <c r="DE114" s="652" t="s">
        <v>93</v>
      </c>
      <c r="DF114" s="599">
        <f>STDEVA(DF108:DF112)</f>
        <v>0</v>
      </c>
      <c r="DG114" s="652" t="e">
        <f t="shared" ref="DG114:DU114" si="322">STDEVA(DG108:DG112)</f>
        <v>#DIV/0!</v>
      </c>
      <c r="DH114" s="675" t="e">
        <f t="shared" si="322"/>
        <v>#DIV/0!</v>
      </c>
      <c r="DI114" s="672" t="e">
        <f t="shared" si="322"/>
        <v>#DIV/0!</v>
      </c>
      <c r="DJ114" s="672" t="e">
        <f t="shared" si="322"/>
        <v>#DIV/0!</v>
      </c>
      <c r="DK114" s="675" t="e">
        <f t="shared" si="322"/>
        <v>#DIV/0!</v>
      </c>
      <c r="DL114" s="672" t="e">
        <f t="shared" si="322"/>
        <v>#DIV/0!</v>
      </c>
      <c r="DM114" s="672" t="e">
        <f t="shared" si="322"/>
        <v>#DIV/0!</v>
      </c>
      <c r="DN114" s="672" t="e">
        <f>STDEVA(DN108:DN112)</f>
        <v>#DIV/0!</v>
      </c>
      <c r="DO114" s="672" t="e">
        <f t="shared" si="322"/>
        <v>#DIV/0!</v>
      </c>
      <c r="DP114" s="676" t="e">
        <f t="shared" si="322"/>
        <v>#DIV/0!</v>
      </c>
      <c r="DQ114" s="682" t="e">
        <f t="shared" si="322"/>
        <v>#DIV/0!</v>
      </c>
      <c r="DR114" s="691" t="e">
        <f t="shared" si="322"/>
        <v>#DIV/0!</v>
      </c>
      <c r="DS114" s="695" t="e">
        <f t="shared" si="322"/>
        <v>#DIV/0!</v>
      </c>
      <c r="DT114" s="653" t="e">
        <f t="shared" si="322"/>
        <v>#DIV/0!</v>
      </c>
      <c r="DU114" s="652" t="e">
        <f t="shared" si="322"/>
        <v>#DIV/0!</v>
      </c>
      <c r="DV114" s="652" t="s">
        <v>93</v>
      </c>
      <c r="DW114" s="599">
        <f>STDEVA(DW108:DW112)</f>
        <v>0</v>
      </c>
      <c r="DX114" s="652" t="e">
        <f t="shared" ref="DX114:EL114" si="323">STDEVA(DX108:DX112)</f>
        <v>#DIV/0!</v>
      </c>
      <c r="DY114" s="675" t="e">
        <f t="shared" si="323"/>
        <v>#DIV/0!</v>
      </c>
      <c r="DZ114" s="672" t="e">
        <f t="shared" si="323"/>
        <v>#DIV/0!</v>
      </c>
      <c r="EA114" s="672" t="e">
        <f t="shared" si="323"/>
        <v>#DIV/0!</v>
      </c>
      <c r="EB114" s="675" t="e">
        <f t="shared" si="323"/>
        <v>#DIV/0!</v>
      </c>
      <c r="EC114" s="672" t="e">
        <f t="shared" si="323"/>
        <v>#DIV/0!</v>
      </c>
      <c r="ED114" s="672" t="e">
        <f t="shared" si="323"/>
        <v>#DIV/0!</v>
      </c>
      <c r="EE114" s="672" t="e">
        <f>STDEVA(EE108:EE112)</f>
        <v>#DIV/0!</v>
      </c>
      <c r="EF114" s="672" t="e">
        <f t="shared" si="323"/>
        <v>#DIV/0!</v>
      </c>
      <c r="EG114" s="676" t="e">
        <f t="shared" si="323"/>
        <v>#DIV/0!</v>
      </c>
      <c r="EH114" s="682" t="e">
        <f t="shared" si="323"/>
        <v>#DIV/0!</v>
      </c>
      <c r="EI114" s="691" t="e">
        <f t="shared" si="323"/>
        <v>#DIV/0!</v>
      </c>
      <c r="EJ114" s="695" t="e">
        <f t="shared" si="323"/>
        <v>#DIV/0!</v>
      </c>
      <c r="EK114" s="599" t="e">
        <f t="shared" si="323"/>
        <v>#DIV/0!</v>
      </c>
      <c r="EL114" s="652" t="e">
        <f t="shared" si="323"/>
        <v>#DIV/0!</v>
      </c>
      <c r="EM114" s="652" t="s">
        <v>93</v>
      </c>
      <c r="EN114" s="599">
        <f>STDEVA(EN108:EN112)</f>
        <v>0</v>
      </c>
      <c r="EO114" s="652" t="e">
        <f t="shared" ref="EO114:FC114" si="324">STDEVA(EO108:EO112)</f>
        <v>#DIV/0!</v>
      </c>
      <c r="EP114" s="675" t="e">
        <f t="shared" si="324"/>
        <v>#DIV/0!</v>
      </c>
      <c r="EQ114" s="672" t="e">
        <f t="shared" si="324"/>
        <v>#DIV/0!</v>
      </c>
      <c r="ER114" s="672" t="e">
        <f t="shared" si="324"/>
        <v>#DIV/0!</v>
      </c>
      <c r="ES114" s="675" t="e">
        <f t="shared" si="324"/>
        <v>#DIV/0!</v>
      </c>
      <c r="ET114" s="672" t="e">
        <f t="shared" si="324"/>
        <v>#DIV/0!</v>
      </c>
      <c r="EU114" s="672" t="e">
        <f t="shared" si="324"/>
        <v>#DIV/0!</v>
      </c>
      <c r="EV114" s="672" t="e">
        <f>STDEVA(EV108:EV112)</f>
        <v>#DIV/0!</v>
      </c>
      <c r="EW114" s="672" t="e">
        <f t="shared" si="324"/>
        <v>#DIV/0!</v>
      </c>
      <c r="EX114" s="676" t="e">
        <f t="shared" si="324"/>
        <v>#DIV/0!</v>
      </c>
      <c r="EY114" s="682" t="e">
        <f t="shared" si="324"/>
        <v>#DIV/0!</v>
      </c>
      <c r="EZ114" s="691" t="e">
        <f t="shared" si="324"/>
        <v>#DIV/0!</v>
      </c>
      <c r="FA114" s="695" t="e">
        <f t="shared" si="324"/>
        <v>#DIV/0!</v>
      </c>
      <c r="FB114" s="599" t="e">
        <f t="shared" si="324"/>
        <v>#DIV/0!</v>
      </c>
      <c r="FC114" s="652" t="e">
        <f t="shared" si="324"/>
        <v>#DIV/0!</v>
      </c>
      <c r="FD114" s="652" t="s">
        <v>93</v>
      </c>
      <c r="FE114" s="599">
        <f>STDEVA(FE108:FE112)</f>
        <v>0</v>
      </c>
      <c r="FF114" s="652" t="e">
        <f t="shared" ref="FF114:FT114" si="325">STDEVA(FF108:FF112)</f>
        <v>#DIV/0!</v>
      </c>
      <c r="FG114" s="675" t="e">
        <f t="shared" si="325"/>
        <v>#DIV/0!</v>
      </c>
      <c r="FH114" s="672" t="e">
        <f t="shared" si="325"/>
        <v>#DIV/0!</v>
      </c>
      <c r="FI114" s="672" t="e">
        <f t="shared" si="325"/>
        <v>#DIV/0!</v>
      </c>
      <c r="FJ114" s="675" t="e">
        <f t="shared" si="325"/>
        <v>#DIV/0!</v>
      </c>
      <c r="FK114" s="672" t="e">
        <f t="shared" si="325"/>
        <v>#DIV/0!</v>
      </c>
      <c r="FL114" s="672" t="e">
        <f t="shared" si="325"/>
        <v>#DIV/0!</v>
      </c>
      <c r="FM114" s="672" t="e">
        <f>STDEVA(FM108:FM112)</f>
        <v>#DIV/0!</v>
      </c>
      <c r="FN114" s="672" t="e">
        <f t="shared" si="325"/>
        <v>#DIV/0!</v>
      </c>
      <c r="FO114" s="676" t="e">
        <f t="shared" si="325"/>
        <v>#DIV/0!</v>
      </c>
      <c r="FP114" s="682" t="e">
        <f t="shared" si="325"/>
        <v>#DIV/0!</v>
      </c>
      <c r="FQ114" s="691" t="e">
        <f t="shared" si="325"/>
        <v>#DIV/0!</v>
      </c>
      <c r="FR114" s="695" t="e">
        <f t="shared" si="325"/>
        <v>#DIV/0!</v>
      </c>
      <c r="FS114" s="599" t="e">
        <f t="shared" si="325"/>
        <v>#DIV/0!</v>
      </c>
      <c r="FT114" s="652" t="e">
        <f t="shared" si="325"/>
        <v>#DIV/0!</v>
      </c>
      <c r="FU114" s="652" t="s">
        <v>93</v>
      </c>
      <c r="FV114" s="599">
        <f>STDEVA(FV108:FV112)</f>
        <v>0</v>
      </c>
      <c r="FW114" s="652" t="e">
        <f t="shared" ref="FW114:GK114" si="326">STDEVA(FW108:FW112)</f>
        <v>#DIV/0!</v>
      </c>
      <c r="FX114" s="675" t="e">
        <f t="shared" si="326"/>
        <v>#DIV/0!</v>
      </c>
      <c r="FY114" s="672" t="e">
        <f t="shared" si="326"/>
        <v>#DIV/0!</v>
      </c>
      <c r="FZ114" s="672" t="e">
        <f t="shared" si="326"/>
        <v>#DIV/0!</v>
      </c>
      <c r="GA114" s="675" t="e">
        <f t="shared" si="326"/>
        <v>#DIV/0!</v>
      </c>
      <c r="GB114" s="672" t="e">
        <f t="shared" si="326"/>
        <v>#DIV/0!</v>
      </c>
      <c r="GC114" s="672" t="e">
        <f t="shared" si="326"/>
        <v>#DIV/0!</v>
      </c>
      <c r="GD114" s="672" t="e">
        <f>STDEVA(GD108:GD112)</f>
        <v>#DIV/0!</v>
      </c>
      <c r="GE114" s="672" t="e">
        <f t="shared" si="326"/>
        <v>#DIV/0!</v>
      </c>
      <c r="GF114" s="676" t="e">
        <f t="shared" si="326"/>
        <v>#DIV/0!</v>
      </c>
      <c r="GG114" s="682" t="e">
        <f t="shared" si="326"/>
        <v>#DIV/0!</v>
      </c>
      <c r="GH114" s="691" t="e">
        <f t="shared" si="326"/>
        <v>#DIV/0!</v>
      </c>
      <c r="GI114" s="695" t="e">
        <f t="shared" si="326"/>
        <v>#DIV/0!</v>
      </c>
      <c r="GJ114" s="653" t="e">
        <f t="shared" si="326"/>
        <v>#DIV/0!</v>
      </c>
      <c r="GK114" s="652" t="e">
        <f t="shared" si="326"/>
        <v>#DIV/0!</v>
      </c>
      <c r="GL114" s="652" t="s">
        <v>93</v>
      </c>
      <c r="GM114" s="599">
        <f>STDEVA(GM108:GM112)</f>
        <v>0</v>
      </c>
      <c r="GN114" s="652" t="e">
        <f t="shared" ref="GN114:HB114" si="327">STDEVA(GN108:GN112)</f>
        <v>#DIV/0!</v>
      </c>
      <c r="GO114" s="675" t="e">
        <f t="shared" si="327"/>
        <v>#DIV/0!</v>
      </c>
      <c r="GP114" s="672" t="e">
        <f t="shared" si="327"/>
        <v>#DIV/0!</v>
      </c>
      <c r="GQ114" s="672" t="e">
        <f t="shared" si="327"/>
        <v>#DIV/0!</v>
      </c>
      <c r="GR114" s="675" t="e">
        <f t="shared" si="327"/>
        <v>#DIV/0!</v>
      </c>
      <c r="GS114" s="672" t="e">
        <f t="shared" si="327"/>
        <v>#DIV/0!</v>
      </c>
      <c r="GT114" s="672" t="e">
        <f t="shared" si="327"/>
        <v>#DIV/0!</v>
      </c>
      <c r="GU114" s="672" t="e">
        <f>STDEVA(GU108:GU112)</f>
        <v>#DIV/0!</v>
      </c>
      <c r="GV114" s="672" t="e">
        <f t="shared" si="327"/>
        <v>#DIV/0!</v>
      </c>
      <c r="GW114" s="676" t="e">
        <f t="shared" si="327"/>
        <v>#DIV/0!</v>
      </c>
      <c r="GX114" s="682" t="e">
        <f t="shared" si="327"/>
        <v>#DIV/0!</v>
      </c>
      <c r="GY114" s="691" t="e">
        <f t="shared" si="327"/>
        <v>#DIV/0!</v>
      </c>
      <c r="GZ114" s="695" t="e">
        <f t="shared" si="327"/>
        <v>#DIV/0!</v>
      </c>
      <c r="HA114" s="599" t="e">
        <f t="shared" si="327"/>
        <v>#DIV/0!</v>
      </c>
      <c r="HB114" s="652" t="e">
        <f t="shared" si="327"/>
        <v>#DIV/0!</v>
      </c>
      <c r="HC114" s="652" t="s">
        <v>93</v>
      </c>
      <c r="HD114" s="599">
        <f>STDEVA(HD108:HD112)</f>
        <v>0</v>
      </c>
      <c r="HE114" s="652" t="e">
        <f t="shared" ref="HE114:HS114" si="328">STDEVA(HE108:HE112)</f>
        <v>#DIV/0!</v>
      </c>
      <c r="HF114" s="675" t="e">
        <f t="shared" si="328"/>
        <v>#DIV/0!</v>
      </c>
      <c r="HG114" s="672" t="e">
        <f t="shared" si="328"/>
        <v>#DIV/0!</v>
      </c>
      <c r="HH114" s="672" t="e">
        <f t="shared" si="328"/>
        <v>#DIV/0!</v>
      </c>
      <c r="HI114" s="675" t="e">
        <f t="shared" si="328"/>
        <v>#DIV/0!</v>
      </c>
      <c r="HJ114" s="672" t="e">
        <f t="shared" si="328"/>
        <v>#DIV/0!</v>
      </c>
      <c r="HK114" s="672" t="e">
        <f t="shared" si="328"/>
        <v>#DIV/0!</v>
      </c>
      <c r="HL114" s="672" t="e">
        <f>STDEVA(HL108:HL112)</f>
        <v>#DIV/0!</v>
      </c>
      <c r="HM114" s="672" t="e">
        <f t="shared" si="328"/>
        <v>#DIV/0!</v>
      </c>
      <c r="HN114" s="676" t="e">
        <f t="shared" si="328"/>
        <v>#DIV/0!</v>
      </c>
      <c r="HO114" s="682" t="e">
        <f t="shared" si="328"/>
        <v>#DIV/0!</v>
      </c>
      <c r="HP114" s="691" t="e">
        <f t="shared" si="328"/>
        <v>#DIV/0!</v>
      </c>
      <c r="HQ114" s="695" t="e">
        <f t="shared" si="328"/>
        <v>#DIV/0!</v>
      </c>
      <c r="HR114" s="599" t="e">
        <f t="shared" si="328"/>
        <v>#DIV/0!</v>
      </c>
      <c r="HS114" s="652" t="e">
        <f t="shared" si="328"/>
        <v>#DIV/0!</v>
      </c>
      <c r="HT114" s="652" t="s">
        <v>93</v>
      </c>
      <c r="HU114" s="599">
        <f>STDEVA(HU108:HU112)</f>
        <v>0</v>
      </c>
      <c r="HV114" s="652" t="e">
        <f t="shared" ref="HV114:IJ114" si="329">STDEVA(HV108:HV112)</f>
        <v>#DIV/0!</v>
      </c>
      <c r="HW114" s="675" t="e">
        <f t="shared" si="329"/>
        <v>#DIV/0!</v>
      </c>
      <c r="HX114" s="672" t="e">
        <f t="shared" si="329"/>
        <v>#DIV/0!</v>
      </c>
      <c r="HY114" s="672" t="e">
        <f t="shared" si="329"/>
        <v>#DIV/0!</v>
      </c>
      <c r="HZ114" s="675" t="e">
        <f t="shared" si="329"/>
        <v>#DIV/0!</v>
      </c>
      <c r="IA114" s="672" t="e">
        <f t="shared" si="329"/>
        <v>#DIV/0!</v>
      </c>
      <c r="IB114" s="672" t="e">
        <f t="shared" si="329"/>
        <v>#DIV/0!</v>
      </c>
      <c r="IC114" s="672" t="e">
        <f>STDEVA(IC108:IC112)</f>
        <v>#DIV/0!</v>
      </c>
      <c r="ID114" s="672" t="e">
        <f t="shared" si="329"/>
        <v>#DIV/0!</v>
      </c>
      <c r="IE114" s="676" t="e">
        <f t="shared" si="329"/>
        <v>#DIV/0!</v>
      </c>
      <c r="IF114" s="682" t="e">
        <f t="shared" si="329"/>
        <v>#DIV/0!</v>
      </c>
      <c r="IG114" s="691" t="e">
        <f t="shared" si="329"/>
        <v>#DIV/0!</v>
      </c>
      <c r="IH114" s="695" t="e">
        <f t="shared" si="329"/>
        <v>#DIV/0!</v>
      </c>
      <c r="II114" s="599" t="e">
        <f t="shared" si="329"/>
        <v>#DIV/0!</v>
      </c>
      <c r="IJ114" s="652" t="e">
        <f t="shared" si="329"/>
        <v>#DIV/0!</v>
      </c>
      <c r="IK114" s="652" t="s">
        <v>93</v>
      </c>
      <c r="IL114" s="599">
        <f>STDEVA(IL108:IL112)</f>
        <v>0</v>
      </c>
      <c r="IM114" s="652" t="e">
        <f t="shared" ref="IM114:JA114" si="330">STDEVA(IM108:IM112)</f>
        <v>#DIV/0!</v>
      </c>
      <c r="IN114" s="675" t="e">
        <f t="shared" si="330"/>
        <v>#DIV/0!</v>
      </c>
      <c r="IO114" s="672" t="e">
        <f t="shared" si="330"/>
        <v>#DIV/0!</v>
      </c>
      <c r="IP114" s="672" t="e">
        <f t="shared" si="330"/>
        <v>#DIV/0!</v>
      </c>
      <c r="IQ114" s="675" t="e">
        <f t="shared" si="330"/>
        <v>#DIV/0!</v>
      </c>
      <c r="IR114" s="672" t="e">
        <f t="shared" si="330"/>
        <v>#DIV/0!</v>
      </c>
      <c r="IS114" s="672" t="e">
        <f t="shared" si="330"/>
        <v>#DIV/0!</v>
      </c>
      <c r="IT114" s="672" t="e">
        <f>STDEVA(IT108:IT112)</f>
        <v>#DIV/0!</v>
      </c>
      <c r="IU114" s="672" t="e">
        <f t="shared" si="330"/>
        <v>#DIV/0!</v>
      </c>
      <c r="IV114" s="676" t="e">
        <f t="shared" si="330"/>
        <v>#DIV/0!</v>
      </c>
      <c r="IW114" s="682" t="e">
        <f t="shared" si="330"/>
        <v>#DIV/0!</v>
      </c>
      <c r="IX114" s="691" t="e">
        <f t="shared" si="330"/>
        <v>#DIV/0!</v>
      </c>
      <c r="IY114" s="695" t="e">
        <f t="shared" si="330"/>
        <v>#DIV/0!</v>
      </c>
      <c r="IZ114" s="599" t="e">
        <f t="shared" si="330"/>
        <v>#DIV/0!</v>
      </c>
      <c r="JA114" s="652" t="e">
        <f t="shared" si="330"/>
        <v>#DIV/0!</v>
      </c>
      <c r="JB114" s="652" t="s">
        <v>93</v>
      </c>
      <c r="JC114" s="599">
        <f>STDEVA(JC108:JC112)</f>
        <v>0</v>
      </c>
      <c r="JD114" s="652" t="e">
        <f t="shared" ref="JD114:JR114" si="331">STDEVA(JD108:JD112)</f>
        <v>#DIV/0!</v>
      </c>
      <c r="JE114" s="675" t="e">
        <f t="shared" si="331"/>
        <v>#DIV/0!</v>
      </c>
      <c r="JF114" s="672" t="e">
        <f t="shared" si="331"/>
        <v>#DIV/0!</v>
      </c>
      <c r="JG114" s="672" t="e">
        <f t="shared" si="331"/>
        <v>#DIV/0!</v>
      </c>
      <c r="JH114" s="675" t="e">
        <f t="shared" si="331"/>
        <v>#DIV/0!</v>
      </c>
      <c r="JI114" s="672" t="e">
        <f t="shared" si="331"/>
        <v>#DIV/0!</v>
      </c>
      <c r="JJ114" s="672" t="e">
        <f t="shared" si="331"/>
        <v>#DIV/0!</v>
      </c>
      <c r="JK114" s="672" t="e">
        <f>STDEVA(JK108:JK112)</f>
        <v>#DIV/0!</v>
      </c>
      <c r="JL114" s="672" t="e">
        <f t="shared" si="331"/>
        <v>#DIV/0!</v>
      </c>
      <c r="JM114" s="676" t="e">
        <f t="shared" si="331"/>
        <v>#DIV/0!</v>
      </c>
      <c r="JN114" s="682" t="e">
        <f t="shared" si="331"/>
        <v>#DIV/0!</v>
      </c>
      <c r="JO114" s="691" t="e">
        <f t="shared" si="331"/>
        <v>#DIV/0!</v>
      </c>
      <c r="JP114" s="695" t="e">
        <f t="shared" si="331"/>
        <v>#DIV/0!</v>
      </c>
      <c r="JQ114" s="599" t="e">
        <f t="shared" si="331"/>
        <v>#DIV/0!</v>
      </c>
      <c r="JR114" s="652" t="e">
        <f t="shared" si="331"/>
        <v>#DIV/0!</v>
      </c>
      <c r="JS114" s="652" t="s">
        <v>93</v>
      </c>
      <c r="JT114" s="599">
        <f>STDEVA(JT108:JT112)</f>
        <v>0</v>
      </c>
      <c r="JU114" s="652" t="e">
        <f t="shared" ref="JU114:KI114" si="332">STDEVA(JU108:JU112)</f>
        <v>#DIV/0!</v>
      </c>
      <c r="JV114" s="675" t="e">
        <f t="shared" si="332"/>
        <v>#DIV/0!</v>
      </c>
      <c r="JW114" s="672" t="e">
        <f t="shared" si="332"/>
        <v>#DIV/0!</v>
      </c>
      <c r="JX114" s="672" t="e">
        <f t="shared" si="332"/>
        <v>#DIV/0!</v>
      </c>
      <c r="JY114" s="675" t="e">
        <f t="shared" si="332"/>
        <v>#DIV/0!</v>
      </c>
      <c r="JZ114" s="672" t="e">
        <f t="shared" si="332"/>
        <v>#DIV/0!</v>
      </c>
      <c r="KA114" s="672" t="e">
        <f t="shared" si="332"/>
        <v>#DIV/0!</v>
      </c>
      <c r="KB114" s="672" t="e">
        <f>STDEVA(KB108:KB112)</f>
        <v>#DIV/0!</v>
      </c>
      <c r="KC114" s="672" t="e">
        <f t="shared" si="332"/>
        <v>#DIV/0!</v>
      </c>
      <c r="KD114" s="676" t="e">
        <f t="shared" si="332"/>
        <v>#DIV/0!</v>
      </c>
      <c r="KE114" s="682" t="e">
        <f t="shared" si="332"/>
        <v>#DIV/0!</v>
      </c>
      <c r="KF114" s="691" t="e">
        <f t="shared" si="332"/>
        <v>#DIV/0!</v>
      </c>
      <c r="KG114" s="695" t="e">
        <f t="shared" si="332"/>
        <v>#DIV/0!</v>
      </c>
      <c r="KH114" s="599" t="e">
        <f t="shared" si="332"/>
        <v>#DIV/0!</v>
      </c>
      <c r="KI114" s="652" t="e">
        <f t="shared" si="332"/>
        <v>#DIV/0!</v>
      </c>
      <c r="KJ114" s="652" t="s">
        <v>93</v>
      </c>
      <c r="KK114" s="599">
        <f>STDEVA(KK108:KK112)</f>
        <v>0</v>
      </c>
      <c r="KL114" s="652" t="e">
        <f t="shared" ref="KL114:KZ114" si="333">STDEVA(KL108:KL112)</f>
        <v>#DIV/0!</v>
      </c>
      <c r="KM114" s="675" t="e">
        <f t="shared" si="333"/>
        <v>#DIV/0!</v>
      </c>
      <c r="KN114" s="672" t="e">
        <f t="shared" si="333"/>
        <v>#DIV/0!</v>
      </c>
      <c r="KO114" s="672" t="e">
        <f t="shared" si="333"/>
        <v>#DIV/0!</v>
      </c>
      <c r="KP114" s="675" t="e">
        <f t="shared" si="333"/>
        <v>#DIV/0!</v>
      </c>
      <c r="KQ114" s="672" t="e">
        <f t="shared" si="333"/>
        <v>#DIV/0!</v>
      </c>
      <c r="KR114" s="672" t="e">
        <f t="shared" si="333"/>
        <v>#DIV/0!</v>
      </c>
      <c r="KS114" s="672" t="e">
        <f>STDEVA(KS108:KS112)</f>
        <v>#DIV/0!</v>
      </c>
      <c r="KT114" s="672" t="e">
        <f t="shared" si="333"/>
        <v>#DIV/0!</v>
      </c>
      <c r="KU114" s="676" t="e">
        <f t="shared" si="333"/>
        <v>#DIV/0!</v>
      </c>
      <c r="KV114" s="682" t="e">
        <f t="shared" si="333"/>
        <v>#DIV/0!</v>
      </c>
      <c r="KW114" s="691" t="e">
        <f t="shared" si="333"/>
        <v>#DIV/0!</v>
      </c>
      <c r="KX114" s="695" t="e">
        <f t="shared" si="333"/>
        <v>#DIV/0!</v>
      </c>
      <c r="KY114" s="599" t="e">
        <f t="shared" si="333"/>
        <v>#DIV/0!</v>
      </c>
      <c r="KZ114" s="652" t="e">
        <f t="shared" si="333"/>
        <v>#DIV/0!</v>
      </c>
      <c r="LA114" s="652" t="s">
        <v>93</v>
      </c>
      <c r="LB114" s="599">
        <f>STDEVA(LB108:LB112)</f>
        <v>0</v>
      </c>
      <c r="LC114" s="652" t="e">
        <f t="shared" ref="LC114:LQ114" si="334">STDEVA(LC108:LC112)</f>
        <v>#DIV/0!</v>
      </c>
      <c r="LD114" s="675" t="e">
        <f t="shared" si="334"/>
        <v>#DIV/0!</v>
      </c>
      <c r="LE114" s="672" t="e">
        <f t="shared" si="334"/>
        <v>#DIV/0!</v>
      </c>
      <c r="LF114" s="672" t="e">
        <f t="shared" si="334"/>
        <v>#DIV/0!</v>
      </c>
      <c r="LG114" s="675" t="e">
        <f t="shared" si="334"/>
        <v>#DIV/0!</v>
      </c>
      <c r="LH114" s="672" t="e">
        <f t="shared" si="334"/>
        <v>#DIV/0!</v>
      </c>
      <c r="LI114" s="672" t="e">
        <f t="shared" si="334"/>
        <v>#DIV/0!</v>
      </c>
      <c r="LJ114" s="672" t="e">
        <f>STDEVA(LJ108:LJ112)</f>
        <v>#DIV/0!</v>
      </c>
      <c r="LK114" s="672" t="e">
        <f t="shared" si="334"/>
        <v>#DIV/0!</v>
      </c>
      <c r="LL114" s="676" t="e">
        <f t="shared" si="334"/>
        <v>#DIV/0!</v>
      </c>
      <c r="LM114" s="682" t="e">
        <f t="shared" si="334"/>
        <v>#DIV/0!</v>
      </c>
      <c r="LN114" s="691" t="e">
        <f t="shared" si="334"/>
        <v>#DIV/0!</v>
      </c>
      <c r="LO114" s="695" t="e">
        <f t="shared" si="334"/>
        <v>#DIV/0!</v>
      </c>
      <c r="LP114" s="599" t="e">
        <f t="shared" si="334"/>
        <v>#DIV/0!</v>
      </c>
      <c r="LQ114" s="652" t="e">
        <f t="shared" si="334"/>
        <v>#DIV/0!</v>
      </c>
      <c r="LR114" s="652" t="s">
        <v>93</v>
      </c>
      <c r="LS114" s="599">
        <f>STDEVA(LS108:LS112)</f>
        <v>0</v>
      </c>
      <c r="LT114" s="652" t="e">
        <f t="shared" ref="LT114:MH114" si="335">STDEVA(LT108:LT112)</f>
        <v>#DIV/0!</v>
      </c>
      <c r="LU114" s="675" t="e">
        <f t="shared" si="335"/>
        <v>#DIV/0!</v>
      </c>
      <c r="LV114" s="672" t="e">
        <f t="shared" si="335"/>
        <v>#DIV/0!</v>
      </c>
      <c r="LW114" s="672" t="e">
        <f t="shared" si="335"/>
        <v>#DIV/0!</v>
      </c>
      <c r="LX114" s="675" t="e">
        <f t="shared" si="335"/>
        <v>#DIV/0!</v>
      </c>
      <c r="LY114" s="672" t="e">
        <f t="shared" si="335"/>
        <v>#DIV/0!</v>
      </c>
      <c r="LZ114" s="672" t="e">
        <f t="shared" si="335"/>
        <v>#DIV/0!</v>
      </c>
      <c r="MA114" s="672" t="e">
        <f>STDEVA(MA108:MA112)</f>
        <v>#DIV/0!</v>
      </c>
      <c r="MB114" s="672" t="e">
        <f t="shared" si="335"/>
        <v>#DIV/0!</v>
      </c>
      <c r="MC114" s="676" t="e">
        <f t="shared" si="335"/>
        <v>#DIV/0!</v>
      </c>
      <c r="MD114" s="682" t="e">
        <f t="shared" si="335"/>
        <v>#DIV/0!</v>
      </c>
      <c r="ME114" s="691" t="e">
        <f t="shared" si="335"/>
        <v>#DIV/0!</v>
      </c>
      <c r="MF114" s="695" t="e">
        <f t="shared" si="335"/>
        <v>#DIV/0!</v>
      </c>
      <c r="MG114" s="599" t="e">
        <f t="shared" si="335"/>
        <v>#DIV/0!</v>
      </c>
      <c r="MH114" s="652" t="e">
        <f t="shared" si="335"/>
        <v>#DIV/0!</v>
      </c>
      <c r="MI114" s="652" t="s">
        <v>93</v>
      </c>
      <c r="MJ114" s="599">
        <f>STDEVA(MJ108:MJ112)</f>
        <v>0</v>
      </c>
      <c r="MK114" s="652" t="e">
        <f t="shared" ref="MK114:MY114" si="336">STDEVA(MK108:MK112)</f>
        <v>#DIV/0!</v>
      </c>
      <c r="ML114" s="675" t="e">
        <f t="shared" si="336"/>
        <v>#DIV/0!</v>
      </c>
      <c r="MM114" s="672" t="e">
        <f t="shared" si="336"/>
        <v>#DIV/0!</v>
      </c>
      <c r="MN114" s="672" t="e">
        <f t="shared" si="336"/>
        <v>#DIV/0!</v>
      </c>
      <c r="MO114" s="675" t="e">
        <f t="shared" si="336"/>
        <v>#DIV/0!</v>
      </c>
      <c r="MP114" s="672" t="e">
        <f t="shared" si="336"/>
        <v>#DIV/0!</v>
      </c>
      <c r="MQ114" s="672" t="e">
        <f t="shared" si="336"/>
        <v>#DIV/0!</v>
      </c>
      <c r="MR114" s="672" t="e">
        <f>STDEVA(MR108:MR112)</f>
        <v>#DIV/0!</v>
      </c>
      <c r="MS114" s="672" t="e">
        <f t="shared" si="336"/>
        <v>#DIV/0!</v>
      </c>
      <c r="MT114" s="676" t="e">
        <f t="shared" si="336"/>
        <v>#DIV/0!</v>
      </c>
      <c r="MU114" s="682" t="e">
        <f t="shared" si="336"/>
        <v>#DIV/0!</v>
      </c>
      <c r="MV114" s="691" t="e">
        <f t="shared" si="336"/>
        <v>#DIV/0!</v>
      </c>
      <c r="MW114" s="695" t="e">
        <f t="shared" si="336"/>
        <v>#DIV/0!</v>
      </c>
      <c r="MX114" s="599" t="e">
        <f t="shared" si="336"/>
        <v>#DIV/0!</v>
      </c>
      <c r="MY114" s="652" t="e">
        <f t="shared" si="336"/>
        <v>#DIV/0!</v>
      </c>
      <c r="MZ114" s="652" t="s">
        <v>93</v>
      </c>
      <c r="NA114" s="599">
        <f>STDEVA(NA108:NA112)</f>
        <v>0</v>
      </c>
      <c r="NB114" s="652" t="e">
        <f t="shared" ref="NB114:NP114" si="337">STDEVA(NB108:NB112)</f>
        <v>#DIV/0!</v>
      </c>
      <c r="NC114" s="675" t="e">
        <f t="shared" si="337"/>
        <v>#DIV/0!</v>
      </c>
      <c r="ND114" s="672" t="e">
        <f t="shared" si="337"/>
        <v>#DIV/0!</v>
      </c>
      <c r="NE114" s="672" t="e">
        <f t="shared" si="337"/>
        <v>#DIV/0!</v>
      </c>
      <c r="NF114" s="675" t="e">
        <f t="shared" si="337"/>
        <v>#DIV/0!</v>
      </c>
      <c r="NG114" s="672" t="e">
        <f t="shared" si="337"/>
        <v>#DIV/0!</v>
      </c>
      <c r="NH114" s="672" t="e">
        <f t="shared" si="337"/>
        <v>#DIV/0!</v>
      </c>
      <c r="NI114" s="672" t="e">
        <f>STDEVA(NI108:NI112)</f>
        <v>#DIV/0!</v>
      </c>
      <c r="NJ114" s="672" t="e">
        <f t="shared" si="337"/>
        <v>#DIV/0!</v>
      </c>
      <c r="NK114" s="676" t="e">
        <f t="shared" si="337"/>
        <v>#DIV/0!</v>
      </c>
      <c r="NL114" s="682" t="e">
        <f t="shared" si="337"/>
        <v>#DIV/0!</v>
      </c>
      <c r="NM114" s="691" t="e">
        <f t="shared" si="337"/>
        <v>#DIV/0!</v>
      </c>
      <c r="NN114" s="695" t="e">
        <f t="shared" si="337"/>
        <v>#DIV/0!</v>
      </c>
      <c r="NO114" s="599" t="e">
        <f t="shared" si="337"/>
        <v>#DIV/0!</v>
      </c>
      <c r="NP114" s="652" t="e">
        <f t="shared" si="337"/>
        <v>#DIV/0!</v>
      </c>
      <c r="NQ114" s="652" t="s">
        <v>93</v>
      </c>
      <c r="NR114" s="599">
        <f>STDEVA(NR108:NR112)</f>
        <v>0</v>
      </c>
      <c r="NS114" s="652" t="e">
        <f t="shared" ref="NS114:OG114" si="338">STDEVA(NS108:NS112)</f>
        <v>#DIV/0!</v>
      </c>
      <c r="NT114" s="675" t="e">
        <f t="shared" si="338"/>
        <v>#DIV/0!</v>
      </c>
      <c r="NU114" s="672" t="e">
        <f t="shared" si="338"/>
        <v>#DIV/0!</v>
      </c>
      <c r="NV114" s="672" t="e">
        <f t="shared" si="338"/>
        <v>#DIV/0!</v>
      </c>
      <c r="NW114" s="675" t="e">
        <f t="shared" si="338"/>
        <v>#DIV/0!</v>
      </c>
      <c r="NX114" s="672" t="e">
        <f t="shared" si="338"/>
        <v>#DIV/0!</v>
      </c>
      <c r="NY114" s="672" t="e">
        <f t="shared" si="338"/>
        <v>#DIV/0!</v>
      </c>
      <c r="NZ114" s="672" t="e">
        <f>STDEVA(NZ108:NZ112)</f>
        <v>#DIV/0!</v>
      </c>
      <c r="OA114" s="672" t="e">
        <f t="shared" si="338"/>
        <v>#DIV/0!</v>
      </c>
      <c r="OB114" s="676" t="e">
        <f t="shared" si="338"/>
        <v>#DIV/0!</v>
      </c>
      <c r="OC114" s="682" t="e">
        <f t="shared" si="338"/>
        <v>#DIV/0!</v>
      </c>
      <c r="OD114" s="691" t="e">
        <f t="shared" si="338"/>
        <v>#DIV/0!</v>
      </c>
      <c r="OE114" s="695" t="e">
        <f t="shared" si="338"/>
        <v>#DIV/0!</v>
      </c>
      <c r="OF114" s="599" t="e">
        <f t="shared" si="338"/>
        <v>#DIV/0!</v>
      </c>
      <c r="OG114" s="652" t="e">
        <f t="shared" si="338"/>
        <v>#DIV/0!</v>
      </c>
      <c r="OH114" s="652" t="s">
        <v>93</v>
      </c>
      <c r="OI114" s="599">
        <f>STDEVA(OI108:OI112)</f>
        <v>0</v>
      </c>
      <c r="OJ114" s="652" t="e">
        <f t="shared" ref="OJ114:OX114" si="339">STDEVA(OJ108:OJ112)</f>
        <v>#DIV/0!</v>
      </c>
      <c r="OK114" s="675" t="e">
        <f t="shared" si="339"/>
        <v>#DIV/0!</v>
      </c>
      <c r="OL114" s="672" t="e">
        <f t="shared" si="339"/>
        <v>#DIV/0!</v>
      </c>
      <c r="OM114" s="672" t="e">
        <f t="shared" si="339"/>
        <v>#DIV/0!</v>
      </c>
      <c r="ON114" s="675" t="e">
        <f t="shared" si="339"/>
        <v>#DIV/0!</v>
      </c>
      <c r="OO114" s="672" t="e">
        <f t="shared" si="339"/>
        <v>#DIV/0!</v>
      </c>
      <c r="OP114" s="672" t="e">
        <f t="shared" si="339"/>
        <v>#DIV/0!</v>
      </c>
      <c r="OQ114" s="672" t="e">
        <f>STDEVA(OQ108:OQ112)</f>
        <v>#DIV/0!</v>
      </c>
      <c r="OR114" s="672" t="e">
        <f t="shared" si="339"/>
        <v>#DIV/0!</v>
      </c>
      <c r="OS114" s="676" t="e">
        <f t="shared" si="339"/>
        <v>#DIV/0!</v>
      </c>
      <c r="OT114" s="682" t="e">
        <f t="shared" si="339"/>
        <v>#DIV/0!</v>
      </c>
      <c r="OU114" s="691" t="e">
        <f t="shared" si="339"/>
        <v>#DIV/0!</v>
      </c>
      <c r="OV114" s="695" t="e">
        <f t="shared" si="339"/>
        <v>#DIV/0!</v>
      </c>
      <c r="OW114" s="599" t="e">
        <f t="shared" si="339"/>
        <v>#DIV/0!</v>
      </c>
      <c r="OX114" s="652" t="e">
        <f t="shared" si="339"/>
        <v>#DIV/0!</v>
      </c>
      <c r="OY114" s="652" t="s">
        <v>93</v>
      </c>
      <c r="OZ114" s="599">
        <f>STDEVA(OZ108:OZ112)</f>
        <v>0</v>
      </c>
      <c r="PA114" s="652" t="e">
        <f t="shared" ref="PA114:PO114" si="340">STDEVA(PA108:PA112)</f>
        <v>#DIV/0!</v>
      </c>
      <c r="PB114" s="675" t="e">
        <f t="shared" si="340"/>
        <v>#DIV/0!</v>
      </c>
      <c r="PC114" s="672" t="e">
        <f t="shared" si="340"/>
        <v>#DIV/0!</v>
      </c>
      <c r="PD114" s="672" t="e">
        <f t="shared" si="340"/>
        <v>#DIV/0!</v>
      </c>
      <c r="PE114" s="675" t="e">
        <f t="shared" si="340"/>
        <v>#DIV/0!</v>
      </c>
      <c r="PF114" s="672" t="e">
        <f t="shared" si="340"/>
        <v>#DIV/0!</v>
      </c>
      <c r="PG114" s="672" t="e">
        <f t="shared" si="340"/>
        <v>#DIV/0!</v>
      </c>
      <c r="PH114" s="672" t="e">
        <f>STDEVA(PH108:PH112)</f>
        <v>#DIV/0!</v>
      </c>
      <c r="PI114" s="672" t="e">
        <f t="shared" si="340"/>
        <v>#DIV/0!</v>
      </c>
      <c r="PJ114" s="676" t="e">
        <f t="shared" si="340"/>
        <v>#DIV/0!</v>
      </c>
      <c r="PK114" s="682" t="e">
        <f t="shared" si="340"/>
        <v>#DIV/0!</v>
      </c>
      <c r="PL114" s="691" t="e">
        <f t="shared" si="340"/>
        <v>#DIV/0!</v>
      </c>
      <c r="PM114" s="695" t="e">
        <f t="shared" si="340"/>
        <v>#DIV/0!</v>
      </c>
      <c r="PN114" s="599" t="e">
        <f t="shared" si="340"/>
        <v>#DIV/0!</v>
      </c>
      <c r="PO114" s="652" t="e">
        <f t="shared" si="340"/>
        <v>#DIV/0!</v>
      </c>
      <c r="PP114" s="652" t="s">
        <v>93</v>
      </c>
      <c r="PQ114" s="599">
        <f>STDEVA(PQ108:PQ112)</f>
        <v>0</v>
      </c>
      <c r="PR114" s="652" t="e">
        <f t="shared" ref="PR114:QF114" si="341">STDEVA(PR108:PR112)</f>
        <v>#DIV/0!</v>
      </c>
      <c r="PS114" s="675" t="e">
        <f t="shared" si="341"/>
        <v>#DIV/0!</v>
      </c>
      <c r="PT114" s="672" t="e">
        <f t="shared" si="341"/>
        <v>#DIV/0!</v>
      </c>
      <c r="PU114" s="672" t="e">
        <f t="shared" si="341"/>
        <v>#DIV/0!</v>
      </c>
      <c r="PV114" s="675" t="e">
        <f t="shared" si="341"/>
        <v>#DIV/0!</v>
      </c>
      <c r="PW114" s="672" t="e">
        <f t="shared" si="341"/>
        <v>#DIV/0!</v>
      </c>
      <c r="PX114" s="672" t="e">
        <f t="shared" si="341"/>
        <v>#DIV/0!</v>
      </c>
      <c r="PY114" s="672" t="e">
        <f>STDEVA(PY108:PY112)</f>
        <v>#DIV/0!</v>
      </c>
      <c r="PZ114" s="672" t="e">
        <f t="shared" si="341"/>
        <v>#DIV/0!</v>
      </c>
      <c r="QA114" s="676" t="e">
        <f t="shared" si="341"/>
        <v>#DIV/0!</v>
      </c>
      <c r="QB114" s="682" t="e">
        <f t="shared" si="341"/>
        <v>#DIV/0!</v>
      </c>
      <c r="QC114" s="691" t="e">
        <f t="shared" si="341"/>
        <v>#DIV/0!</v>
      </c>
      <c r="QD114" s="695" t="e">
        <f t="shared" si="341"/>
        <v>#DIV/0!</v>
      </c>
      <c r="QE114" s="599" t="e">
        <f t="shared" si="341"/>
        <v>#DIV/0!</v>
      </c>
      <c r="QF114" s="652" t="e">
        <f t="shared" si="341"/>
        <v>#DIV/0!</v>
      </c>
      <c r="QG114" s="652" t="s">
        <v>93</v>
      </c>
      <c r="QH114" s="599">
        <f>STDEVA(QH108:QH112)</f>
        <v>0</v>
      </c>
      <c r="QI114" s="652" t="e">
        <f t="shared" ref="QI114:QW114" si="342">STDEVA(QI108:QI112)</f>
        <v>#DIV/0!</v>
      </c>
      <c r="QJ114" s="675" t="e">
        <f t="shared" si="342"/>
        <v>#DIV/0!</v>
      </c>
      <c r="QK114" s="672" t="e">
        <f t="shared" si="342"/>
        <v>#DIV/0!</v>
      </c>
      <c r="QL114" s="672" t="e">
        <f t="shared" si="342"/>
        <v>#DIV/0!</v>
      </c>
      <c r="QM114" s="675" t="e">
        <f t="shared" si="342"/>
        <v>#DIV/0!</v>
      </c>
      <c r="QN114" s="672" t="e">
        <f t="shared" si="342"/>
        <v>#DIV/0!</v>
      </c>
      <c r="QO114" s="672" t="e">
        <f t="shared" si="342"/>
        <v>#DIV/0!</v>
      </c>
      <c r="QP114" s="672" t="e">
        <f>STDEVA(QP108:QP112)</f>
        <v>#DIV/0!</v>
      </c>
      <c r="QQ114" s="672" t="e">
        <f t="shared" si="342"/>
        <v>#DIV/0!</v>
      </c>
      <c r="QR114" s="676" t="e">
        <f t="shared" si="342"/>
        <v>#DIV/0!</v>
      </c>
      <c r="QS114" s="682" t="e">
        <f t="shared" si="342"/>
        <v>#DIV/0!</v>
      </c>
      <c r="QT114" s="691" t="e">
        <f t="shared" si="342"/>
        <v>#DIV/0!</v>
      </c>
      <c r="QU114" s="695" t="e">
        <f t="shared" si="342"/>
        <v>#DIV/0!</v>
      </c>
      <c r="QV114" s="599" t="e">
        <f t="shared" si="342"/>
        <v>#DIV/0!</v>
      </c>
      <c r="QW114" s="652" t="e">
        <f t="shared" si="342"/>
        <v>#DIV/0!</v>
      </c>
      <c r="QX114" s="652" t="s">
        <v>93</v>
      </c>
      <c r="QY114" s="599">
        <f>STDEVA(QY108:QY112)</f>
        <v>0</v>
      </c>
      <c r="QZ114" s="652" t="e">
        <f t="shared" ref="QZ114:RN114" si="343">STDEVA(QZ108:QZ112)</f>
        <v>#DIV/0!</v>
      </c>
      <c r="RA114" s="675" t="e">
        <f t="shared" si="343"/>
        <v>#DIV/0!</v>
      </c>
      <c r="RB114" s="672" t="e">
        <f t="shared" si="343"/>
        <v>#DIV/0!</v>
      </c>
      <c r="RC114" s="672" t="e">
        <f t="shared" si="343"/>
        <v>#DIV/0!</v>
      </c>
      <c r="RD114" s="675" t="e">
        <f t="shared" si="343"/>
        <v>#DIV/0!</v>
      </c>
      <c r="RE114" s="672" t="e">
        <f t="shared" si="343"/>
        <v>#DIV/0!</v>
      </c>
      <c r="RF114" s="672" t="e">
        <f t="shared" si="343"/>
        <v>#DIV/0!</v>
      </c>
      <c r="RG114" s="672" t="e">
        <f>STDEVA(RG108:RG112)</f>
        <v>#DIV/0!</v>
      </c>
      <c r="RH114" s="672" t="e">
        <f t="shared" si="343"/>
        <v>#DIV/0!</v>
      </c>
      <c r="RI114" s="676" t="e">
        <f t="shared" si="343"/>
        <v>#DIV/0!</v>
      </c>
      <c r="RJ114" s="682" t="e">
        <f t="shared" si="343"/>
        <v>#DIV/0!</v>
      </c>
      <c r="RK114" s="691" t="e">
        <f t="shared" si="343"/>
        <v>#DIV/0!</v>
      </c>
      <c r="RL114" s="695" t="e">
        <f t="shared" si="343"/>
        <v>#DIV/0!</v>
      </c>
      <c r="RM114" s="599" t="e">
        <f t="shared" si="343"/>
        <v>#DIV/0!</v>
      </c>
      <c r="RN114" s="652" t="e">
        <f t="shared" si="343"/>
        <v>#DIV/0!</v>
      </c>
      <c r="RO114" s="652" t="s">
        <v>93</v>
      </c>
      <c r="RP114" s="599">
        <f>STDEVA(RP108:RP112)</f>
        <v>0</v>
      </c>
      <c r="RQ114" s="652" t="e">
        <f t="shared" ref="RQ114:SE114" si="344">STDEVA(RQ108:RQ112)</f>
        <v>#DIV/0!</v>
      </c>
      <c r="RR114" s="675" t="e">
        <f t="shared" si="344"/>
        <v>#DIV/0!</v>
      </c>
      <c r="RS114" s="672" t="e">
        <f t="shared" si="344"/>
        <v>#DIV/0!</v>
      </c>
      <c r="RT114" s="672" t="e">
        <f t="shared" si="344"/>
        <v>#DIV/0!</v>
      </c>
      <c r="RU114" s="675" t="e">
        <f t="shared" si="344"/>
        <v>#DIV/0!</v>
      </c>
      <c r="RV114" s="672" t="e">
        <f t="shared" si="344"/>
        <v>#DIV/0!</v>
      </c>
      <c r="RW114" s="672" t="e">
        <f t="shared" si="344"/>
        <v>#DIV/0!</v>
      </c>
      <c r="RX114" s="672" t="e">
        <f>STDEVA(RX108:RX112)</f>
        <v>#DIV/0!</v>
      </c>
      <c r="RY114" s="672" t="e">
        <f t="shared" si="344"/>
        <v>#DIV/0!</v>
      </c>
      <c r="RZ114" s="676" t="e">
        <f t="shared" si="344"/>
        <v>#DIV/0!</v>
      </c>
      <c r="SA114" s="682" t="e">
        <f t="shared" si="344"/>
        <v>#DIV/0!</v>
      </c>
      <c r="SB114" s="691" t="e">
        <f t="shared" si="344"/>
        <v>#DIV/0!</v>
      </c>
      <c r="SC114" s="695" t="e">
        <f t="shared" si="344"/>
        <v>#DIV/0!</v>
      </c>
      <c r="SD114" s="599" t="e">
        <f t="shared" si="344"/>
        <v>#DIV/0!</v>
      </c>
      <c r="SE114" s="652" t="e">
        <f t="shared" si="344"/>
        <v>#DIV/0!</v>
      </c>
      <c r="SF114" s="652" t="s">
        <v>93</v>
      </c>
      <c r="SG114" s="599">
        <f>STDEVA(SG108:SG112)</f>
        <v>0</v>
      </c>
      <c r="SH114" s="652" t="e">
        <f t="shared" ref="SH114:SV114" si="345">STDEVA(SH108:SH112)</f>
        <v>#DIV/0!</v>
      </c>
      <c r="SI114" s="675" t="e">
        <f t="shared" si="345"/>
        <v>#DIV/0!</v>
      </c>
      <c r="SJ114" s="672" t="e">
        <f t="shared" si="345"/>
        <v>#DIV/0!</v>
      </c>
      <c r="SK114" s="672" t="e">
        <f t="shared" si="345"/>
        <v>#DIV/0!</v>
      </c>
      <c r="SL114" s="675" t="e">
        <f t="shared" si="345"/>
        <v>#DIV/0!</v>
      </c>
      <c r="SM114" s="672" t="e">
        <f t="shared" si="345"/>
        <v>#DIV/0!</v>
      </c>
      <c r="SN114" s="672" t="e">
        <f t="shared" si="345"/>
        <v>#DIV/0!</v>
      </c>
      <c r="SO114" s="672" t="e">
        <f>STDEVA(SO108:SO112)</f>
        <v>#DIV/0!</v>
      </c>
      <c r="SP114" s="672" t="e">
        <f t="shared" si="345"/>
        <v>#DIV/0!</v>
      </c>
      <c r="SQ114" s="676" t="e">
        <f t="shared" si="345"/>
        <v>#DIV/0!</v>
      </c>
      <c r="SR114" s="682" t="e">
        <f t="shared" si="345"/>
        <v>#DIV/0!</v>
      </c>
      <c r="SS114" s="691" t="e">
        <f t="shared" si="345"/>
        <v>#DIV/0!</v>
      </c>
      <c r="ST114" s="695" t="e">
        <f t="shared" si="345"/>
        <v>#DIV/0!</v>
      </c>
      <c r="SU114" s="599" t="e">
        <f t="shared" si="345"/>
        <v>#DIV/0!</v>
      </c>
      <c r="SV114" s="652" t="e">
        <f t="shared" si="345"/>
        <v>#DIV/0!</v>
      </c>
      <c r="SW114" s="652" t="s">
        <v>93</v>
      </c>
      <c r="SX114" s="599">
        <f>STDEVA(SX108:SX112)</f>
        <v>0</v>
      </c>
      <c r="SY114" s="652" t="e">
        <f t="shared" ref="SY114:TM114" si="346">STDEVA(SY108:SY112)</f>
        <v>#DIV/0!</v>
      </c>
      <c r="SZ114" s="675" t="e">
        <f t="shared" si="346"/>
        <v>#DIV/0!</v>
      </c>
      <c r="TA114" s="672" t="e">
        <f t="shared" si="346"/>
        <v>#DIV/0!</v>
      </c>
      <c r="TB114" s="672" t="e">
        <f t="shared" si="346"/>
        <v>#DIV/0!</v>
      </c>
      <c r="TC114" s="675" t="e">
        <f t="shared" si="346"/>
        <v>#DIV/0!</v>
      </c>
      <c r="TD114" s="672" t="e">
        <f t="shared" si="346"/>
        <v>#DIV/0!</v>
      </c>
      <c r="TE114" s="672" t="e">
        <f t="shared" si="346"/>
        <v>#DIV/0!</v>
      </c>
      <c r="TF114" s="672" t="e">
        <f>STDEVA(TF108:TF112)</f>
        <v>#DIV/0!</v>
      </c>
      <c r="TG114" s="672" t="e">
        <f t="shared" si="346"/>
        <v>#DIV/0!</v>
      </c>
      <c r="TH114" s="676" t="e">
        <f t="shared" si="346"/>
        <v>#DIV/0!</v>
      </c>
      <c r="TI114" s="682" t="e">
        <f t="shared" si="346"/>
        <v>#DIV/0!</v>
      </c>
      <c r="TJ114" s="691" t="e">
        <f t="shared" si="346"/>
        <v>#DIV/0!</v>
      </c>
      <c r="TK114" s="695" t="e">
        <f t="shared" si="346"/>
        <v>#DIV/0!</v>
      </c>
      <c r="TL114" s="599" t="e">
        <f t="shared" si="346"/>
        <v>#DIV/0!</v>
      </c>
      <c r="TM114" s="652" t="e">
        <f t="shared" si="346"/>
        <v>#DIV/0!</v>
      </c>
      <c r="TN114" s="652" t="s">
        <v>93</v>
      </c>
      <c r="TO114" s="599">
        <f>STDEVA(TO108:TO112)</f>
        <v>0</v>
      </c>
      <c r="TP114" s="652" t="e">
        <f t="shared" ref="TP114:TY114" si="347">STDEVA(TP108:TP112)</f>
        <v>#DIV/0!</v>
      </c>
      <c r="TQ114" s="675" t="e">
        <f t="shared" si="347"/>
        <v>#DIV/0!</v>
      </c>
      <c r="TR114" s="672" t="e">
        <f t="shared" si="347"/>
        <v>#DIV/0!</v>
      </c>
      <c r="TS114" s="672" t="e">
        <f t="shared" si="347"/>
        <v>#DIV/0!</v>
      </c>
      <c r="TT114" s="675" t="e">
        <f t="shared" si="347"/>
        <v>#DIV/0!</v>
      </c>
      <c r="TU114" s="672" t="e">
        <f t="shared" si="347"/>
        <v>#DIV/0!</v>
      </c>
      <c r="TV114" s="672" t="e">
        <f t="shared" si="347"/>
        <v>#DIV/0!</v>
      </c>
      <c r="TW114" s="672" t="e">
        <f>STDEVA(TW108:TW112)</f>
        <v>#DIV/0!</v>
      </c>
      <c r="TX114" s="672" t="e">
        <f t="shared" si="347"/>
        <v>#DIV/0!</v>
      </c>
      <c r="TY114" s="676" t="e">
        <f t="shared" si="347"/>
        <v>#DIV/0!</v>
      </c>
    </row>
    <row r="115" spans="1:545" x14ac:dyDescent="0.25">
      <c r="A115" s="1537" t="s">
        <v>63</v>
      </c>
      <c r="B115" s="688"/>
      <c r="C115" s="619"/>
      <c r="D115" s="619"/>
      <c r="E115" s="672"/>
      <c r="F115" s="619"/>
      <c r="G115" s="619"/>
      <c r="H115" s="672"/>
      <c r="I115" s="619"/>
      <c r="J115" s="675"/>
      <c r="K115" s="672"/>
      <c r="L115" s="672"/>
      <c r="M115" s="675"/>
      <c r="N115" s="672"/>
      <c r="O115" s="672"/>
      <c r="P115" s="672"/>
      <c r="Q115" s="672"/>
      <c r="R115" s="676"/>
      <c r="S115" s="1538" t="e">
        <f t="shared" ref="S115:W115" si="348">S114/S113*100</f>
        <v>#DIV/0!</v>
      </c>
      <c r="T115" s="1538" t="e">
        <f t="shared" si="348"/>
        <v>#DIV/0!</v>
      </c>
      <c r="U115" s="1539" t="e">
        <f t="shared" si="348"/>
        <v>#DIV/0!</v>
      </c>
      <c r="V115" s="672" t="e">
        <f t="shared" si="348"/>
        <v>#DIV/0!</v>
      </c>
      <c r="W115" s="619" t="e">
        <f t="shared" si="348"/>
        <v>#DIV/0!</v>
      </c>
      <c r="X115" s="619" t="s">
        <v>93</v>
      </c>
      <c r="Y115" s="672" t="e">
        <f t="shared" ref="Y115:AI115" si="349">Y114/Y113*100</f>
        <v>#DIV/0!</v>
      </c>
      <c r="Z115" s="619" t="e">
        <f t="shared" si="349"/>
        <v>#DIV/0!</v>
      </c>
      <c r="AA115" s="675" t="e">
        <f t="shared" si="349"/>
        <v>#DIV/0!</v>
      </c>
      <c r="AB115" s="672" t="e">
        <f t="shared" si="349"/>
        <v>#DIV/0!</v>
      </c>
      <c r="AC115" s="672" t="e">
        <f t="shared" si="349"/>
        <v>#DIV/0!</v>
      </c>
      <c r="AD115" s="675" t="e">
        <f t="shared" si="349"/>
        <v>#DIV/0!</v>
      </c>
      <c r="AE115" s="672" t="e">
        <f t="shared" si="349"/>
        <v>#DIV/0!</v>
      </c>
      <c r="AF115" s="672" t="e">
        <f t="shared" si="349"/>
        <v>#DIV/0!</v>
      </c>
      <c r="AG115" s="672" t="e">
        <f t="shared" si="349"/>
        <v>#DIV/0!</v>
      </c>
      <c r="AH115" s="672" t="e">
        <f t="shared" si="349"/>
        <v>#DIV/0!</v>
      </c>
      <c r="AI115" s="676" t="e">
        <f t="shared" si="349"/>
        <v>#DIV/0!</v>
      </c>
      <c r="AJ115" s="688"/>
      <c r="AK115" s="1538"/>
      <c r="AL115" s="1539"/>
      <c r="AM115" s="672"/>
      <c r="AN115" s="619"/>
      <c r="AO115" s="619"/>
      <c r="AP115" s="672" t="e">
        <f t="shared" ref="AP115:BE115" si="350">AP114/AP113*100</f>
        <v>#DIV/0!</v>
      </c>
      <c r="AQ115" s="619" t="e">
        <f t="shared" si="350"/>
        <v>#DIV/0!</v>
      </c>
      <c r="AR115" s="675" t="e">
        <f t="shared" si="350"/>
        <v>#DIV/0!</v>
      </c>
      <c r="AS115" s="672" t="e">
        <f t="shared" si="350"/>
        <v>#DIV/0!</v>
      </c>
      <c r="AT115" s="672" t="e">
        <f t="shared" si="350"/>
        <v>#DIV/0!</v>
      </c>
      <c r="AU115" s="675" t="e">
        <f t="shared" si="350"/>
        <v>#DIV/0!</v>
      </c>
      <c r="AV115" s="672" t="e">
        <f t="shared" si="350"/>
        <v>#DIV/0!</v>
      </c>
      <c r="AW115" s="672" t="e">
        <f t="shared" si="350"/>
        <v>#DIV/0!</v>
      </c>
      <c r="AX115" s="672" t="e">
        <f t="shared" si="350"/>
        <v>#DIV/0!</v>
      </c>
      <c r="AY115" s="672" t="e">
        <f t="shared" si="350"/>
        <v>#DIV/0!</v>
      </c>
      <c r="AZ115" s="676" t="e">
        <f t="shared" si="350"/>
        <v>#DIV/0!</v>
      </c>
      <c r="BA115" s="688" t="e">
        <f t="shared" si="350"/>
        <v>#DIV/0!</v>
      </c>
      <c r="BB115" s="1538" t="e">
        <f t="shared" si="350"/>
        <v>#DIV/0!</v>
      </c>
      <c r="BC115" s="1539" t="e">
        <f t="shared" si="350"/>
        <v>#DIV/0!</v>
      </c>
      <c r="BD115" s="672" t="e">
        <f t="shared" si="350"/>
        <v>#DIV/0!</v>
      </c>
      <c r="BE115" s="619" t="e">
        <f t="shared" si="350"/>
        <v>#DIV/0!</v>
      </c>
      <c r="BF115" s="619" t="s">
        <v>93</v>
      </c>
      <c r="BG115" s="672" t="e">
        <f t="shared" ref="BG115:BV115" si="351">BG114/BG113*100</f>
        <v>#DIV/0!</v>
      </c>
      <c r="BH115" s="619" t="e">
        <f t="shared" si="351"/>
        <v>#DIV/0!</v>
      </c>
      <c r="BI115" s="675" t="e">
        <f t="shared" si="351"/>
        <v>#DIV/0!</v>
      </c>
      <c r="BJ115" s="672" t="e">
        <f t="shared" si="351"/>
        <v>#DIV/0!</v>
      </c>
      <c r="BK115" s="672" t="e">
        <f t="shared" si="351"/>
        <v>#DIV/0!</v>
      </c>
      <c r="BL115" s="675" t="e">
        <f t="shared" si="351"/>
        <v>#DIV/0!</v>
      </c>
      <c r="BM115" s="672" t="e">
        <f t="shared" si="351"/>
        <v>#DIV/0!</v>
      </c>
      <c r="BN115" s="672" t="e">
        <f t="shared" si="351"/>
        <v>#DIV/0!</v>
      </c>
      <c r="BO115" s="672" t="e">
        <f t="shared" si="351"/>
        <v>#DIV/0!</v>
      </c>
      <c r="BP115" s="672" t="e">
        <f t="shared" si="351"/>
        <v>#DIV/0!</v>
      </c>
      <c r="BQ115" s="676" t="e">
        <f t="shared" si="351"/>
        <v>#DIV/0!</v>
      </c>
      <c r="BR115" s="688" t="e">
        <f t="shared" si="351"/>
        <v>#DIV/0!</v>
      </c>
      <c r="BS115" s="1538" t="e">
        <f t="shared" si="351"/>
        <v>#DIV/0!</v>
      </c>
      <c r="BT115" s="1539" t="e">
        <f t="shared" si="351"/>
        <v>#DIV/0!</v>
      </c>
      <c r="BU115" s="672" t="e">
        <f t="shared" si="351"/>
        <v>#DIV/0!</v>
      </c>
      <c r="BV115" s="619" t="e">
        <f t="shared" si="351"/>
        <v>#DIV/0!</v>
      </c>
      <c r="BW115" s="619" t="s">
        <v>93</v>
      </c>
      <c r="BX115" s="672" t="e">
        <f t="shared" ref="BX115:CM115" si="352">BX114/BX113*100</f>
        <v>#DIV/0!</v>
      </c>
      <c r="BY115" s="619" t="e">
        <f t="shared" si="352"/>
        <v>#DIV/0!</v>
      </c>
      <c r="BZ115" s="675" t="e">
        <f t="shared" si="352"/>
        <v>#DIV/0!</v>
      </c>
      <c r="CA115" s="672" t="e">
        <f t="shared" si="352"/>
        <v>#DIV/0!</v>
      </c>
      <c r="CB115" s="672" t="e">
        <f t="shared" si="352"/>
        <v>#DIV/0!</v>
      </c>
      <c r="CC115" s="675" t="e">
        <f t="shared" si="352"/>
        <v>#DIV/0!</v>
      </c>
      <c r="CD115" s="672" t="e">
        <f t="shared" si="352"/>
        <v>#DIV/0!</v>
      </c>
      <c r="CE115" s="672" t="e">
        <f t="shared" si="352"/>
        <v>#DIV/0!</v>
      </c>
      <c r="CF115" s="672" t="e">
        <f t="shared" si="352"/>
        <v>#DIV/0!</v>
      </c>
      <c r="CG115" s="672" t="e">
        <f t="shared" si="352"/>
        <v>#DIV/0!</v>
      </c>
      <c r="CH115" s="676" t="e">
        <f t="shared" si="352"/>
        <v>#DIV/0!</v>
      </c>
      <c r="CI115" s="688" t="e">
        <f t="shared" si="352"/>
        <v>#DIV/0!</v>
      </c>
      <c r="CJ115" s="1538" t="e">
        <f t="shared" si="352"/>
        <v>#DIV/0!</v>
      </c>
      <c r="CK115" s="1539" t="e">
        <f t="shared" si="352"/>
        <v>#DIV/0!</v>
      </c>
      <c r="CL115" s="672" t="e">
        <f t="shared" si="352"/>
        <v>#DIV/0!</v>
      </c>
      <c r="CM115" s="619" t="e">
        <f t="shared" si="352"/>
        <v>#DIV/0!</v>
      </c>
      <c r="CN115" s="619" t="s">
        <v>93</v>
      </c>
      <c r="CO115" s="672" t="e">
        <f t="shared" ref="CO115:DD115" si="353">CO114/CO113*100</f>
        <v>#DIV/0!</v>
      </c>
      <c r="CP115" s="619" t="e">
        <f t="shared" si="353"/>
        <v>#DIV/0!</v>
      </c>
      <c r="CQ115" s="675" t="e">
        <f t="shared" si="353"/>
        <v>#DIV/0!</v>
      </c>
      <c r="CR115" s="672" t="e">
        <f t="shared" si="353"/>
        <v>#DIV/0!</v>
      </c>
      <c r="CS115" s="672" t="e">
        <f t="shared" si="353"/>
        <v>#DIV/0!</v>
      </c>
      <c r="CT115" s="675" t="e">
        <f t="shared" si="353"/>
        <v>#DIV/0!</v>
      </c>
      <c r="CU115" s="672" t="e">
        <f t="shared" si="353"/>
        <v>#DIV/0!</v>
      </c>
      <c r="CV115" s="672" t="e">
        <f t="shared" si="353"/>
        <v>#DIV/0!</v>
      </c>
      <c r="CW115" s="672" t="e">
        <f t="shared" si="353"/>
        <v>#DIV/0!</v>
      </c>
      <c r="CX115" s="672" t="e">
        <f t="shared" si="353"/>
        <v>#DIV/0!</v>
      </c>
      <c r="CY115" s="676" t="e">
        <f t="shared" si="353"/>
        <v>#DIV/0!</v>
      </c>
      <c r="CZ115" s="688" t="e">
        <f t="shared" si="353"/>
        <v>#DIV/0!</v>
      </c>
      <c r="DA115" s="1538" t="e">
        <f t="shared" si="353"/>
        <v>#DIV/0!</v>
      </c>
      <c r="DB115" s="1539" t="e">
        <f t="shared" si="353"/>
        <v>#DIV/0!</v>
      </c>
      <c r="DC115" s="672" t="e">
        <f t="shared" si="353"/>
        <v>#DIV/0!</v>
      </c>
      <c r="DD115" s="619" t="e">
        <f t="shared" si="353"/>
        <v>#DIV/0!</v>
      </c>
      <c r="DE115" s="619" t="s">
        <v>93</v>
      </c>
      <c r="DF115" s="672" t="e">
        <f t="shared" ref="DF115:DU115" si="354">DF114/DF113*100</f>
        <v>#DIV/0!</v>
      </c>
      <c r="DG115" s="619" t="e">
        <f t="shared" si="354"/>
        <v>#DIV/0!</v>
      </c>
      <c r="DH115" s="675" t="e">
        <f t="shared" si="354"/>
        <v>#DIV/0!</v>
      </c>
      <c r="DI115" s="672" t="e">
        <f t="shared" si="354"/>
        <v>#DIV/0!</v>
      </c>
      <c r="DJ115" s="672" t="e">
        <f t="shared" si="354"/>
        <v>#DIV/0!</v>
      </c>
      <c r="DK115" s="675" t="e">
        <f t="shared" si="354"/>
        <v>#DIV/0!</v>
      </c>
      <c r="DL115" s="672" t="e">
        <f t="shared" si="354"/>
        <v>#DIV/0!</v>
      </c>
      <c r="DM115" s="672" t="e">
        <f t="shared" si="354"/>
        <v>#DIV/0!</v>
      </c>
      <c r="DN115" s="672" t="e">
        <f t="shared" si="354"/>
        <v>#DIV/0!</v>
      </c>
      <c r="DO115" s="672" t="e">
        <f t="shared" si="354"/>
        <v>#DIV/0!</v>
      </c>
      <c r="DP115" s="676" t="e">
        <f t="shared" si="354"/>
        <v>#DIV/0!</v>
      </c>
      <c r="DQ115" s="688" t="e">
        <f t="shared" si="354"/>
        <v>#DIV/0!</v>
      </c>
      <c r="DR115" s="1538" t="e">
        <f t="shared" si="354"/>
        <v>#DIV/0!</v>
      </c>
      <c r="DS115" s="1539" t="e">
        <f t="shared" si="354"/>
        <v>#DIV/0!</v>
      </c>
      <c r="DT115" s="674" t="e">
        <f t="shared" si="354"/>
        <v>#DIV/0!</v>
      </c>
      <c r="DU115" s="619" t="e">
        <f t="shared" si="354"/>
        <v>#DIV/0!</v>
      </c>
      <c r="DV115" s="619" t="s">
        <v>93</v>
      </c>
      <c r="DW115" s="672" t="e">
        <f t="shared" ref="DW115:EL115" si="355">DW114/DW113*100</f>
        <v>#DIV/0!</v>
      </c>
      <c r="DX115" s="619" t="e">
        <f t="shared" si="355"/>
        <v>#DIV/0!</v>
      </c>
      <c r="DY115" s="675" t="e">
        <f t="shared" si="355"/>
        <v>#DIV/0!</v>
      </c>
      <c r="DZ115" s="672" t="e">
        <f t="shared" si="355"/>
        <v>#DIV/0!</v>
      </c>
      <c r="EA115" s="672" t="e">
        <f t="shared" si="355"/>
        <v>#DIV/0!</v>
      </c>
      <c r="EB115" s="675" t="e">
        <f t="shared" si="355"/>
        <v>#DIV/0!</v>
      </c>
      <c r="EC115" s="672" t="e">
        <f t="shared" si="355"/>
        <v>#DIV/0!</v>
      </c>
      <c r="ED115" s="672" t="e">
        <f t="shared" si="355"/>
        <v>#DIV/0!</v>
      </c>
      <c r="EE115" s="672" t="e">
        <f t="shared" si="355"/>
        <v>#DIV/0!</v>
      </c>
      <c r="EF115" s="672" t="e">
        <f t="shared" si="355"/>
        <v>#DIV/0!</v>
      </c>
      <c r="EG115" s="676" t="e">
        <f t="shared" si="355"/>
        <v>#DIV/0!</v>
      </c>
      <c r="EH115" s="688" t="e">
        <f t="shared" si="355"/>
        <v>#DIV/0!</v>
      </c>
      <c r="EI115" s="1538" t="e">
        <f t="shared" si="355"/>
        <v>#DIV/0!</v>
      </c>
      <c r="EJ115" s="1539" t="e">
        <f t="shared" si="355"/>
        <v>#DIV/0!</v>
      </c>
      <c r="EK115" s="672" t="e">
        <f t="shared" si="355"/>
        <v>#DIV/0!</v>
      </c>
      <c r="EL115" s="619" t="e">
        <f t="shared" si="355"/>
        <v>#DIV/0!</v>
      </c>
      <c r="EM115" s="619" t="s">
        <v>93</v>
      </c>
      <c r="EN115" s="672" t="e">
        <f t="shared" ref="EN115:FC115" si="356">EN114/EN113*100</f>
        <v>#DIV/0!</v>
      </c>
      <c r="EO115" s="619" t="e">
        <f t="shared" si="356"/>
        <v>#DIV/0!</v>
      </c>
      <c r="EP115" s="675" t="e">
        <f t="shared" si="356"/>
        <v>#DIV/0!</v>
      </c>
      <c r="EQ115" s="672" t="e">
        <f t="shared" si="356"/>
        <v>#DIV/0!</v>
      </c>
      <c r="ER115" s="672" t="e">
        <f t="shared" si="356"/>
        <v>#DIV/0!</v>
      </c>
      <c r="ES115" s="675" t="e">
        <f t="shared" si="356"/>
        <v>#DIV/0!</v>
      </c>
      <c r="ET115" s="672" t="e">
        <f t="shared" si="356"/>
        <v>#DIV/0!</v>
      </c>
      <c r="EU115" s="672" t="e">
        <f t="shared" si="356"/>
        <v>#DIV/0!</v>
      </c>
      <c r="EV115" s="672" t="e">
        <f t="shared" si="356"/>
        <v>#DIV/0!</v>
      </c>
      <c r="EW115" s="672" t="e">
        <f t="shared" si="356"/>
        <v>#DIV/0!</v>
      </c>
      <c r="EX115" s="676" t="e">
        <f t="shared" si="356"/>
        <v>#DIV/0!</v>
      </c>
      <c r="EY115" s="688" t="e">
        <f t="shared" si="356"/>
        <v>#DIV/0!</v>
      </c>
      <c r="EZ115" s="1538" t="e">
        <f t="shared" si="356"/>
        <v>#DIV/0!</v>
      </c>
      <c r="FA115" s="1539" t="e">
        <f t="shared" si="356"/>
        <v>#DIV/0!</v>
      </c>
      <c r="FB115" s="672" t="e">
        <f t="shared" si="356"/>
        <v>#DIV/0!</v>
      </c>
      <c r="FC115" s="619" t="e">
        <f t="shared" si="356"/>
        <v>#DIV/0!</v>
      </c>
      <c r="FD115" s="619" t="s">
        <v>93</v>
      </c>
      <c r="FE115" s="672" t="e">
        <f t="shared" ref="FE115:FT115" si="357">FE114/FE113*100</f>
        <v>#DIV/0!</v>
      </c>
      <c r="FF115" s="619" t="e">
        <f t="shared" si="357"/>
        <v>#DIV/0!</v>
      </c>
      <c r="FG115" s="675" t="e">
        <f t="shared" si="357"/>
        <v>#DIV/0!</v>
      </c>
      <c r="FH115" s="672" t="e">
        <f t="shared" si="357"/>
        <v>#DIV/0!</v>
      </c>
      <c r="FI115" s="672" t="e">
        <f t="shared" si="357"/>
        <v>#DIV/0!</v>
      </c>
      <c r="FJ115" s="675" t="e">
        <f t="shared" si="357"/>
        <v>#DIV/0!</v>
      </c>
      <c r="FK115" s="672" t="e">
        <f t="shared" si="357"/>
        <v>#DIV/0!</v>
      </c>
      <c r="FL115" s="672" t="e">
        <f t="shared" si="357"/>
        <v>#DIV/0!</v>
      </c>
      <c r="FM115" s="672" t="e">
        <f t="shared" si="357"/>
        <v>#DIV/0!</v>
      </c>
      <c r="FN115" s="672" t="e">
        <f t="shared" si="357"/>
        <v>#DIV/0!</v>
      </c>
      <c r="FO115" s="676" t="e">
        <f t="shared" si="357"/>
        <v>#DIV/0!</v>
      </c>
      <c r="FP115" s="688" t="e">
        <f t="shared" si="357"/>
        <v>#DIV/0!</v>
      </c>
      <c r="FQ115" s="1538" t="e">
        <f t="shared" si="357"/>
        <v>#DIV/0!</v>
      </c>
      <c r="FR115" s="1539" t="e">
        <f t="shared" si="357"/>
        <v>#DIV/0!</v>
      </c>
      <c r="FS115" s="672" t="e">
        <f t="shared" si="357"/>
        <v>#DIV/0!</v>
      </c>
      <c r="FT115" s="619" t="e">
        <f t="shared" si="357"/>
        <v>#DIV/0!</v>
      </c>
      <c r="FU115" s="619" t="s">
        <v>93</v>
      </c>
      <c r="FV115" s="672" t="e">
        <f t="shared" ref="FV115:GK115" si="358">FV114/FV113*100</f>
        <v>#DIV/0!</v>
      </c>
      <c r="FW115" s="619" t="e">
        <f t="shared" si="358"/>
        <v>#DIV/0!</v>
      </c>
      <c r="FX115" s="675" t="e">
        <f t="shared" si="358"/>
        <v>#DIV/0!</v>
      </c>
      <c r="FY115" s="672" t="e">
        <f t="shared" si="358"/>
        <v>#DIV/0!</v>
      </c>
      <c r="FZ115" s="672" t="e">
        <f t="shared" si="358"/>
        <v>#DIV/0!</v>
      </c>
      <c r="GA115" s="675" t="e">
        <f t="shared" si="358"/>
        <v>#DIV/0!</v>
      </c>
      <c r="GB115" s="672" t="e">
        <f t="shared" si="358"/>
        <v>#DIV/0!</v>
      </c>
      <c r="GC115" s="672" t="e">
        <f t="shared" si="358"/>
        <v>#DIV/0!</v>
      </c>
      <c r="GD115" s="672" t="e">
        <f t="shared" si="358"/>
        <v>#DIV/0!</v>
      </c>
      <c r="GE115" s="672" t="e">
        <f t="shared" si="358"/>
        <v>#DIV/0!</v>
      </c>
      <c r="GF115" s="676" t="e">
        <f t="shared" si="358"/>
        <v>#DIV/0!</v>
      </c>
      <c r="GG115" s="688" t="e">
        <f t="shared" si="358"/>
        <v>#DIV/0!</v>
      </c>
      <c r="GH115" s="1538" t="e">
        <f t="shared" si="358"/>
        <v>#DIV/0!</v>
      </c>
      <c r="GI115" s="1539" t="e">
        <f t="shared" si="358"/>
        <v>#DIV/0!</v>
      </c>
      <c r="GJ115" s="674" t="e">
        <f t="shared" si="358"/>
        <v>#DIV/0!</v>
      </c>
      <c r="GK115" s="619" t="e">
        <f t="shared" si="358"/>
        <v>#DIV/0!</v>
      </c>
      <c r="GL115" s="619" t="s">
        <v>93</v>
      </c>
      <c r="GM115" s="672" t="e">
        <f t="shared" ref="GM115:HB115" si="359">GM114/GM113*100</f>
        <v>#DIV/0!</v>
      </c>
      <c r="GN115" s="619" t="e">
        <f t="shared" si="359"/>
        <v>#DIV/0!</v>
      </c>
      <c r="GO115" s="675" t="e">
        <f t="shared" si="359"/>
        <v>#DIV/0!</v>
      </c>
      <c r="GP115" s="672" t="e">
        <f t="shared" si="359"/>
        <v>#DIV/0!</v>
      </c>
      <c r="GQ115" s="672" t="e">
        <f t="shared" si="359"/>
        <v>#DIV/0!</v>
      </c>
      <c r="GR115" s="675" t="e">
        <f t="shared" si="359"/>
        <v>#DIV/0!</v>
      </c>
      <c r="GS115" s="672" t="e">
        <f t="shared" si="359"/>
        <v>#DIV/0!</v>
      </c>
      <c r="GT115" s="672" t="e">
        <f t="shared" si="359"/>
        <v>#DIV/0!</v>
      </c>
      <c r="GU115" s="672" t="e">
        <f t="shared" si="359"/>
        <v>#DIV/0!</v>
      </c>
      <c r="GV115" s="672" t="e">
        <f t="shared" si="359"/>
        <v>#DIV/0!</v>
      </c>
      <c r="GW115" s="676" t="e">
        <f t="shared" si="359"/>
        <v>#DIV/0!</v>
      </c>
      <c r="GX115" s="688" t="e">
        <f t="shared" si="359"/>
        <v>#DIV/0!</v>
      </c>
      <c r="GY115" s="1538" t="e">
        <f t="shared" si="359"/>
        <v>#DIV/0!</v>
      </c>
      <c r="GZ115" s="1539" t="e">
        <f t="shared" si="359"/>
        <v>#DIV/0!</v>
      </c>
      <c r="HA115" s="672" t="e">
        <f t="shared" si="359"/>
        <v>#DIV/0!</v>
      </c>
      <c r="HB115" s="619" t="e">
        <f t="shared" si="359"/>
        <v>#DIV/0!</v>
      </c>
      <c r="HC115" s="619" t="s">
        <v>93</v>
      </c>
      <c r="HD115" s="672" t="e">
        <f t="shared" ref="HD115:HS115" si="360">HD114/HD113*100</f>
        <v>#DIV/0!</v>
      </c>
      <c r="HE115" s="619" t="e">
        <f t="shared" si="360"/>
        <v>#DIV/0!</v>
      </c>
      <c r="HF115" s="675" t="e">
        <f t="shared" si="360"/>
        <v>#DIV/0!</v>
      </c>
      <c r="HG115" s="672" t="e">
        <f t="shared" si="360"/>
        <v>#DIV/0!</v>
      </c>
      <c r="HH115" s="672" t="e">
        <f t="shared" si="360"/>
        <v>#DIV/0!</v>
      </c>
      <c r="HI115" s="675" t="e">
        <f t="shared" si="360"/>
        <v>#DIV/0!</v>
      </c>
      <c r="HJ115" s="672" t="e">
        <f t="shared" si="360"/>
        <v>#DIV/0!</v>
      </c>
      <c r="HK115" s="672" t="e">
        <f t="shared" si="360"/>
        <v>#DIV/0!</v>
      </c>
      <c r="HL115" s="672" t="e">
        <f t="shared" si="360"/>
        <v>#DIV/0!</v>
      </c>
      <c r="HM115" s="672" t="e">
        <f t="shared" si="360"/>
        <v>#DIV/0!</v>
      </c>
      <c r="HN115" s="676" t="e">
        <f t="shared" si="360"/>
        <v>#DIV/0!</v>
      </c>
      <c r="HO115" s="688" t="e">
        <f t="shared" si="360"/>
        <v>#DIV/0!</v>
      </c>
      <c r="HP115" s="1538" t="e">
        <f t="shared" si="360"/>
        <v>#DIV/0!</v>
      </c>
      <c r="HQ115" s="1539" t="e">
        <f t="shared" si="360"/>
        <v>#DIV/0!</v>
      </c>
      <c r="HR115" s="672" t="e">
        <f t="shared" si="360"/>
        <v>#DIV/0!</v>
      </c>
      <c r="HS115" s="619" t="e">
        <f t="shared" si="360"/>
        <v>#DIV/0!</v>
      </c>
      <c r="HT115" s="619" t="s">
        <v>93</v>
      </c>
      <c r="HU115" s="672" t="e">
        <f t="shared" ref="HU115:IJ115" si="361">HU114/HU113*100</f>
        <v>#DIV/0!</v>
      </c>
      <c r="HV115" s="619" t="e">
        <f t="shared" si="361"/>
        <v>#DIV/0!</v>
      </c>
      <c r="HW115" s="675" t="e">
        <f t="shared" si="361"/>
        <v>#DIV/0!</v>
      </c>
      <c r="HX115" s="672" t="e">
        <f t="shared" si="361"/>
        <v>#DIV/0!</v>
      </c>
      <c r="HY115" s="672" t="e">
        <f t="shared" si="361"/>
        <v>#DIV/0!</v>
      </c>
      <c r="HZ115" s="675" t="e">
        <f t="shared" si="361"/>
        <v>#DIV/0!</v>
      </c>
      <c r="IA115" s="672" t="e">
        <f t="shared" si="361"/>
        <v>#DIV/0!</v>
      </c>
      <c r="IB115" s="672" t="e">
        <f t="shared" si="361"/>
        <v>#DIV/0!</v>
      </c>
      <c r="IC115" s="672" t="e">
        <f t="shared" si="361"/>
        <v>#DIV/0!</v>
      </c>
      <c r="ID115" s="672" t="e">
        <f t="shared" si="361"/>
        <v>#DIV/0!</v>
      </c>
      <c r="IE115" s="676" t="e">
        <f t="shared" si="361"/>
        <v>#DIV/0!</v>
      </c>
      <c r="IF115" s="688" t="e">
        <f t="shared" si="361"/>
        <v>#DIV/0!</v>
      </c>
      <c r="IG115" s="1538" t="e">
        <f t="shared" si="361"/>
        <v>#DIV/0!</v>
      </c>
      <c r="IH115" s="1539" t="e">
        <f t="shared" si="361"/>
        <v>#DIV/0!</v>
      </c>
      <c r="II115" s="672" t="e">
        <f t="shared" si="361"/>
        <v>#DIV/0!</v>
      </c>
      <c r="IJ115" s="619" t="e">
        <f t="shared" si="361"/>
        <v>#DIV/0!</v>
      </c>
      <c r="IK115" s="619" t="s">
        <v>93</v>
      </c>
      <c r="IL115" s="672" t="e">
        <f t="shared" ref="IL115:JA115" si="362">IL114/IL113*100</f>
        <v>#DIV/0!</v>
      </c>
      <c r="IM115" s="619" t="e">
        <f t="shared" si="362"/>
        <v>#DIV/0!</v>
      </c>
      <c r="IN115" s="675" t="e">
        <f t="shared" si="362"/>
        <v>#DIV/0!</v>
      </c>
      <c r="IO115" s="672" t="e">
        <f t="shared" si="362"/>
        <v>#DIV/0!</v>
      </c>
      <c r="IP115" s="672" t="e">
        <f t="shared" si="362"/>
        <v>#DIV/0!</v>
      </c>
      <c r="IQ115" s="675" t="e">
        <f t="shared" si="362"/>
        <v>#DIV/0!</v>
      </c>
      <c r="IR115" s="672" t="e">
        <f t="shared" si="362"/>
        <v>#DIV/0!</v>
      </c>
      <c r="IS115" s="672" t="e">
        <f t="shared" si="362"/>
        <v>#DIV/0!</v>
      </c>
      <c r="IT115" s="672" t="e">
        <f t="shared" si="362"/>
        <v>#DIV/0!</v>
      </c>
      <c r="IU115" s="672" t="e">
        <f t="shared" si="362"/>
        <v>#DIV/0!</v>
      </c>
      <c r="IV115" s="676" t="e">
        <f t="shared" si="362"/>
        <v>#DIV/0!</v>
      </c>
      <c r="IW115" s="688" t="e">
        <f t="shared" si="362"/>
        <v>#DIV/0!</v>
      </c>
      <c r="IX115" s="1538" t="e">
        <f t="shared" si="362"/>
        <v>#DIV/0!</v>
      </c>
      <c r="IY115" s="1539" t="e">
        <f t="shared" si="362"/>
        <v>#DIV/0!</v>
      </c>
      <c r="IZ115" s="672" t="e">
        <f t="shared" si="362"/>
        <v>#DIV/0!</v>
      </c>
      <c r="JA115" s="619" t="e">
        <f t="shared" si="362"/>
        <v>#DIV/0!</v>
      </c>
      <c r="JB115" s="619" t="s">
        <v>93</v>
      </c>
      <c r="JC115" s="672" t="e">
        <f t="shared" ref="JC115:JR115" si="363">JC114/JC113*100</f>
        <v>#DIV/0!</v>
      </c>
      <c r="JD115" s="619" t="e">
        <f t="shared" si="363"/>
        <v>#DIV/0!</v>
      </c>
      <c r="JE115" s="675" t="e">
        <f t="shared" si="363"/>
        <v>#DIV/0!</v>
      </c>
      <c r="JF115" s="672" t="e">
        <f t="shared" si="363"/>
        <v>#DIV/0!</v>
      </c>
      <c r="JG115" s="672" t="e">
        <f t="shared" si="363"/>
        <v>#DIV/0!</v>
      </c>
      <c r="JH115" s="675" t="e">
        <f t="shared" si="363"/>
        <v>#DIV/0!</v>
      </c>
      <c r="JI115" s="672" t="e">
        <f t="shared" si="363"/>
        <v>#DIV/0!</v>
      </c>
      <c r="JJ115" s="672" t="e">
        <f t="shared" si="363"/>
        <v>#DIV/0!</v>
      </c>
      <c r="JK115" s="672" t="e">
        <f t="shared" si="363"/>
        <v>#DIV/0!</v>
      </c>
      <c r="JL115" s="672" t="e">
        <f t="shared" si="363"/>
        <v>#DIV/0!</v>
      </c>
      <c r="JM115" s="676" t="e">
        <f t="shared" si="363"/>
        <v>#DIV/0!</v>
      </c>
      <c r="JN115" s="688" t="e">
        <f t="shared" si="363"/>
        <v>#DIV/0!</v>
      </c>
      <c r="JO115" s="1538" t="e">
        <f t="shared" si="363"/>
        <v>#DIV/0!</v>
      </c>
      <c r="JP115" s="1539" t="e">
        <f t="shared" si="363"/>
        <v>#DIV/0!</v>
      </c>
      <c r="JQ115" s="672" t="e">
        <f t="shared" si="363"/>
        <v>#DIV/0!</v>
      </c>
      <c r="JR115" s="619" t="e">
        <f t="shared" si="363"/>
        <v>#DIV/0!</v>
      </c>
      <c r="JS115" s="619" t="s">
        <v>93</v>
      </c>
      <c r="JT115" s="672" t="e">
        <f t="shared" ref="JT115:KI115" si="364">JT114/JT113*100</f>
        <v>#DIV/0!</v>
      </c>
      <c r="JU115" s="619" t="e">
        <f t="shared" si="364"/>
        <v>#DIV/0!</v>
      </c>
      <c r="JV115" s="675" t="e">
        <f t="shared" si="364"/>
        <v>#DIV/0!</v>
      </c>
      <c r="JW115" s="672" t="e">
        <f t="shared" si="364"/>
        <v>#DIV/0!</v>
      </c>
      <c r="JX115" s="672" t="e">
        <f t="shared" si="364"/>
        <v>#DIV/0!</v>
      </c>
      <c r="JY115" s="675" t="e">
        <f t="shared" si="364"/>
        <v>#DIV/0!</v>
      </c>
      <c r="JZ115" s="672" t="e">
        <f t="shared" si="364"/>
        <v>#DIV/0!</v>
      </c>
      <c r="KA115" s="672" t="e">
        <f t="shared" si="364"/>
        <v>#DIV/0!</v>
      </c>
      <c r="KB115" s="672" t="e">
        <f t="shared" si="364"/>
        <v>#DIV/0!</v>
      </c>
      <c r="KC115" s="672" t="e">
        <f t="shared" si="364"/>
        <v>#DIV/0!</v>
      </c>
      <c r="KD115" s="676" t="e">
        <f t="shared" si="364"/>
        <v>#DIV/0!</v>
      </c>
      <c r="KE115" s="688" t="e">
        <f t="shared" si="364"/>
        <v>#DIV/0!</v>
      </c>
      <c r="KF115" s="1538" t="e">
        <f t="shared" si="364"/>
        <v>#DIV/0!</v>
      </c>
      <c r="KG115" s="1539" t="e">
        <f t="shared" si="364"/>
        <v>#DIV/0!</v>
      </c>
      <c r="KH115" s="672" t="e">
        <f t="shared" si="364"/>
        <v>#DIV/0!</v>
      </c>
      <c r="KI115" s="619" t="e">
        <f t="shared" si="364"/>
        <v>#DIV/0!</v>
      </c>
      <c r="KJ115" s="619" t="s">
        <v>93</v>
      </c>
      <c r="KK115" s="672" t="e">
        <f t="shared" ref="KK115:KZ115" si="365">KK114/KK113*100</f>
        <v>#DIV/0!</v>
      </c>
      <c r="KL115" s="619" t="e">
        <f t="shared" si="365"/>
        <v>#DIV/0!</v>
      </c>
      <c r="KM115" s="675" t="e">
        <f t="shared" si="365"/>
        <v>#DIV/0!</v>
      </c>
      <c r="KN115" s="672" t="e">
        <f t="shared" si="365"/>
        <v>#DIV/0!</v>
      </c>
      <c r="KO115" s="672" t="e">
        <f t="shared" si="365"/>
        <v>#DIV/0!</v>
      </c>
      <c r="KP115" s="675" t="e">
        <f t="shared" si="365"/>
        <v>#DIV/0!</v>
      </c>
      <c r="KQ115" s="672" t="e">
        <f t="shared" si="365"/>
        <v>#DIV/0!</v>
      </c>
      <c r="KR115" s="672" t="e">
        <f t="shared" si="365"/>
        <v>#DIV/0!</v>
      </c>
      <c r="KS115" s="672" t="e">
        <f t="shared" si="365"/>
        <v>#DIV/0!</v>
      </c>
      <c r="KT115" s="672" t="e">
        <f t="shared" si="365"/>
        <v>#DIV/0!</v>
      </c>
      <c r="KU115" s="676" t="e">
        <f t="shared" si="365"/>
        <v>#DIV/0!</v>
      </c>
      <c r="KV115" s="688" t="e">
        <f t="shared" si="365"/>
        <v>#DIV/0!</v>
      </c>
      <c r="KW115" s="1538" t="e">
        <f t="shared" si="365"/>
        <v>#DIV/0!</v>
      </c>
      <c r="KX115" s="1539" t="e">
        <f t="shared" si="365"/>
        <v>#DIV/0!</v>
      </c>
      <c r="KY115" s="672" t="e">
        <f t="shared" si="365"/>
        <v>#DIV/0!</v>
      </c>
      <c r="KZ115" s="619" t="e">
        <f t="shared" si="365"/>
        <v>#DIV/0!</v>
      </c>
      <c r="LA115" s="619" t="s">
        <v>93</v>
      </c>
      <c r="LB115" s="672" t="e">
        <f t="shared" ref="LB115:LQ115" si="366">LB114/LB113*100</f>
        <v>#DIV/0!</v>
      </c>
      <c r="LC115" s="619" t="e">
        <f t="shared" si="366"/>
        <v>#DIV/0!</v>
      </c>
      <c r="LD115" s="675" t="e">
        <f t="shared" si="366"/>
        <v>#DIV/0!</v>
      </c>
      <c r="LE115" s="672" t="e">
        <f t="shared" si="366"/>
        <v>#DIV/0!</v>
      </c>
      <c r="LF115" s="672" t="e">
        <f t="shared" si="366"/>
        <v>#DIV/0!</v>
      </c>
      <c r="LG115" s="675" t="e">
        <f t="shared" si="366"/>
        <v>#DIV/0!</v>
      </c>
      <c r="LH115" s="672" t="e">
        <f t="shared" si="366"/>
        <v>#DIV/0!</v>
      </c>
      <c r="LI115" s="672" t="e">
        <f t="shared" si="366"/>
        <v>#DIV/0!</v>
      </c>
      <c r="LJ115" s="672" t="e">
        <f t="shared" si="366"/>
        <v>#DIV/0!</v>
      </c>
      <c r="LK115" s="672" t="e">
        <f t="shared" si="366"/>
        <v>#DIV/0!</v>
      </c>
      <c r="LL115" s="676" t="e">
        <f t="shared" si="366"/>
        <v>#DIV/0!</v>
      </c>
      <c r="LM115" s="688" t="e">
        <f t="shared" si="366"/>
        <v>#DIV/0!</v>
      </c>
      <c r="LN115" s="1538" t="e">
        <f t="shared" si="366"/>
        <v>#DIV/0!</v>
      </c>
      <c r="LO115" s="1539" t="e">
        <f t="shared" si="366"/>
        <v>#DIV/0!</v>
      </c>
      <c r="LP115" s="672" t="e">
        <f t="shared" si="366"/>
        <v>#DIV/0!</v>
      </c>
      <c r="LQ115" s="619" t="e">
        <f t="shared" si="366"/>
        <v>#DIV/0!</v>
      </c>
      <c r="LR115" s="619" t="s">
        <v>93</v>
      </c>
      <c r="LS115" s="672" t="e">
        <f t="shared" ref="LS115:MH115" si="367">LS114/LS113*100</f>
        <v>#DIV/0!</v>
      </c>
      <c r="LT115" s="619" t="e">
        <f t="shared" si="367"/>
        <v>#DIV/0!</v>
      </c>
      <c r="LU115" s="675" t="e">
        <f t="shared" si="367"/>
        <v>#DIV/0!</v>
      </c>
      <c r="LV115" s="672" t="e">
        <f t="shared" si="367"/>
        <v>#DIV/0!</v>
      </c>
      <c r="LW115" s="672" t="e">
        <f t="shared" si="367"/>
        <v>#DIV/0!</v>
      </c>
      <c r="LX115" s="675" t="e">
        <f t="shared" si="367"/>
        <v>#DIV/0!</v>
      </c>
      <c r="LY115" s="672" t="e">
        <f t="shared" si="367"/>
        <v>#DIV/0!</v>
      </c>
      <c r="LZ115" s="672" t="e">
        <f t="shared" si="367"/>
        <v>#DIV/0!</v>
      </c>
      <c r="MA115" s="672" t="e">
        <f t="shared" si="367"/>
        <v>#DIV/0!</v>
      </c>
      <c r="MB115" s="672" t="e">
        <f t="shared" si="367"/>
        <v>#DIV/0!</v>
      </c>
      <c r="MC115" s="676" t="e">
        <f t="shared" si="367"/>
        <v>#DIV/0!</v>
      </c>
      <c r="MD115" s="688" t="e">
        <f t="shared" si="367"/>
        <v>#DIV/0!</v>
      </c>
      <c r="ME115" s="1538" t="e">
        <f t="shared" si="367"/>
        <v>#DIV/0!</v>
      </c>
      <c r="MF115" s="1539" t="e">
        <f t="shared" si="367"/>
        <v>#DIV/0!</v>
      </c>
      <c r="MG115" s="672" t="e">
        <f t="shared" si="367"/>
        <v>#DIV/0!</v>
      </c>
      <c r="MH115" s="619" t="e">
        <f t="shared" si="367"/>
        <v>#DIV/0!</v>
      </c>
      <c r="MI115" s="619" t="s">
        <v>93</v>
      </c>
      <c r="MJ115" s="672" t="e">
        <f t="shared" ref="MJ115:MY115" si="368">MJ114/MJ113*100</f>
        <v>#DIV/0!</v>
      </c>
      <c r="MK115" s="619" t="e">
        <f t="shared" si="368"/>
        <v>#DIV/0!</v>
      </c>
      <c r="ML115" s="675" t="e">
        <f t="shared" si="368"/>
        <v>#DIV/0!</v>
      </c>
      <c r="MM115" s="672" t="e">
        <f t="shared" si="368"/>
        <v>#DIV/0!</v>
      </c>
      <c r="MN115" s="672" t="e">
        <f t="shared" si="368"/>
        <v>#DIV/0!</v>
      </c>
      <c r="MO115" s="675" t="e">
        <f t="shared" si="368"/>
        <v>#DIV/0!</v>
      </c>
      <c r="MP115" s="672" t="e">
        <f t="shared" si="368"/>
        <v>#DIV/0!</v>
      </c>
      <c r="MQ115" s="672" t="e">
        <f t="shared" si="368"/>
        <v>#DIV/0!</v>
      </c>
      <c r="MR115" s="672" t="e">
        <f t="shared" si="368"/>
        <v>#DIV/0!</v>
      </c>
      <c r="MS115" s="672" t="e">
        <f t="shared" si="368"/>
        <v>#DIV/0!</v>
      </c>
      <c r="MT115" s="676" t="e">
        <f t="shared" si="368"/>
        <v>#DIV/0!</v>
      </c>
      <c r="MU115" s="688" t="e">
        <f t="shared" si="368"/>
        <v>#DIV/0!</v>
      </c>
      <c r="MV115" s="1538" t="e">
        <f t="shared" si="368"/>
        <v>#DIV/0!</v>
      </c>
      <c r="MW115" s="1539" t="e">
        <f t="shared" si="368"/>
        <v>#DIV/0!</v>
      </c>
      <c r="MX115" s="672" t="e">
        <f t="shared" si="368"/>
        <v>#DIV/0!</v>
      </c>
      <c r="MY115" s="619" t="e">
        <f t="shared" si="368"/>
        <v>#DIV/0!</v>
      </c>
      <c r="MZ115" s="619" t="s">
        <v>93</v>
      </c>
      <c r="NA115" s="672" t="e">
        <f t="shared" ref="NA115:NP115" si="369">NA114/NA113*100</f>
        <v>#DIV/0!</v>
      </c>
      <c r="NB115" s="619" t="e">
        <f t="shared" si="369"/>
        <v>#DIV/0!</v>
      </c>
      <c r="NC115" s="675" t="e">
        <f t="shared" si="369"/>
        <v>#DIV/0!</v>
      </c>
      <c r="ND115" s="672" t="e">
        <f t="shared" si="369"/>
        <v>#DIV/0!</v>
      </c>
      <c r="NE115" s="672" t="e">
        <f t="shared" si="369"/>
        <v>#DIV/0!</v>
      </c>
      <c r="NF115" s="675" t="e">
        <f t="shared" si="369"/>
        <v>#DIV/0!</v>
      </c>
      <c r="NG115" s="672" t="e">
        <f t="shared" si="369"/>
        <v>#DIV/0!</v>
      </c>
      <c r="NH115" s="672" t="e">
        <f t="shared" si="369"/>
        <v>#DIV/0!</v>
      </c>
      <c r="NI115" s="672" t="e">
        <f t="shared" si="369"/>
        <v>#DIV/0!</v>
      </c>
      <c r="NJ115" s="672" t="e">
        <f t="shared" si="369"/>
        <v>#DIV/0!</v>
      </c>
      <c r="NK115" s="676" t="e">
        <f t="shared" si="369"/>
        <v>#DIV/0!</v>
      </c>
      <c r="NL115" s="688" t="e">
        <f t="shared" si="369"/>
        <v>#DIV/0!</v>
      </c>
      <c r="NM115" s="1538" t="e">
        <f t="shared" si="369"/>
        <v>#DIV/0!</v>
      </c>
      <c r="NN115" s="1539" t="e">
        <f t="shared" si="369"/>
        <v>#DIV/0!</v>
      </c>
      <c r="NO115" s="672" t="e">
        <f t="shared" si="369"/>
        <v>#DIV/0!</v>
      </c>
      <c r="NP115" s="619" t="e">
        <f t="shared" si="369"/>
        <v>#DIV/0!</v>
      </c>
      <c r="NQ115" s="619" t="s">
        <v>93</v>
      </c>
      <c r="NR115" s="672" t="e">
        <f t="shared" ref="NR115:OG115" si="370">NR114/NR113*100</f>
        <v>#DIV/0!</v>
      </c>
      <c r="NS115" s="619" t="e">
        <f t="shared" si="370"/>
        <v>#DIV/0!</v>
      </c>
      <c r="NT115" s="675" t="e">
        <f t="shared" si="370"/>
        <v>#DIV/0!</v>
      </c>
      <c r="NU115" s="672" t="e">
        <f t="shared" si="370"/>
        <v>#DIV/0!</v>
      </c>
      <c r="NV115" s="672" t="e">
        <f t="shared" si="370"/>
        <v>#DIV/0!</v>
      </c>
      <c r="NW115" s="675" t="e">
        <f t="shared" si="370"/>
        <v>#DIV/0!</v>
      </c>
      <c r="NX115" s="672" t="e">
        <f t="shared" si="370"/>
        <v>#DIV/0!</v>
      </c>
      <c r="NY115" s="672" t="e">
        <f t="shared" si="370"/>
        <v>#DIV/0!</v>
      </c>
      <c r="NZ115" s="672" t="e">
        <f t="shared" si="370"/>
        <v>#DIV/0!</v>
      </c>
      <c r="OA115" s="672" t="e">
        <f t="shared" si="370"/>
        <v>#DIV/0!</v>
      </c>
      <c r="OB115" s="676" t="e">
        <f t="shared" si="370"/>
        <v>#DIV/0!</v>
      </c>
      <c r="OC115" s="688" t="e">
        <f t="shared" si="370"/>
        <v>#DIV/0!</v>
      </c>
      <c r="OD115" s="1538" t="e">
        <f t="shared" si="370"/>
        <v>#DIV/0!</v>
      </c>
      <c r="OE115" s="1539" t="e">
        <f t="shared" si="370"/>
        <v>#DIV/0!</v>
      </c>
      <c r="OF115" s="672" t="e">
        <f t="shared" si="370"/>
        <v>#DIV/0!</v>
      </c>
      <c r="OG115" s="619" t="e">
        <f t="shared" si="370"/>
        <v>#DIV/0!</v>
      </c>
      <c r="OH115" s="619" t="s">
        <v>93</v>
      </c>
      <c r="OI115" s="672" t="e">
        <f t="shared" ref="OI115:OX115" si="371">OI114/OI113*100</f>
        <v>#DIV/0!</v>
      </c>
      <c r="OJ115" s="619" t="e">
        <f t="shared" si="371"/>
        <v>#DIV/0!</v>
      </c>
      <c r="OK115" s="675" t="e">
        <f t="shared" si="371"/>
        <v>#DIV/0!</v>
      </c>
      <c r="OL115" s="672" t="e">
        <f t="shared" si="371"/>
        <v>#DIV/0!</v>
      </c>
      <c r="OM115" s="672" t="e">
        <f t="shared" si="371"/>
        <v>#DIV/0!</v>
      </c>
      <c r="ON115" s="675" t="e">
        <f t="shared" si="371"/>
        <v>#DIV/0!</v>
      </c>
      <c r="OO115" s="672" t="e">
        <f t="shared" si="371"/>
        <v>#DIV/0!</v>
      </c>
      <c r="OP115" s="672" t="e">
        <f t="shared" si="371"/>
        <v>#DIV/0!</v>
      </c>
      <c r="OQ115" s="672" t="e">
        <f t="shared" si="371"/>
        <v>#DIV/0!</v>
      </c>
      <c r="OR115" s="672" t="e">
        <f t="shared" si="371"/>
        <v>#DIV/0!</v>
      </c>
      <c r="OS115" s="676" t="e">
        <f t="shared" si="371"/>
        <v>#DIV/0!</v>
      </c>
      <c r="OT115" s="688" t="e">
        <f t="shared" si="371"/>
        <v>#DIV/0!</v>
      </c>
      <c r="OU115" s="1538" t="e">
        <f t="shared" si="371"/>
        <v>#DIV/0!</v>
      </c>
      <c r="OV115" s="1539" t="e">
        <f t="shared" si="371"/>
        <v>#DIV/0!</v>
      </c>
      <c r="OW115" s="672" t="e">
        <f t="shared" si="371"/>
        <v>#DIV/0!</v>
      </c>
      <c r="OX115" s="619" t="e">
        <f t="shared" si="371"/>
        <v>#DIV/0!</v>
      </c>
      <c r="OY115" s="619" t="s">
        <v>93</v>
      </c>
      <c r="OZ115" s="672" t="e">
        <f t="shared" ref="OZ115:PO115" si="372">OZ114/OZ113*100</f>
        <v>#DIV/0!</v>
      </c>
      <c r="PA115" s="619" t="e">
        <f t="shared" si="372"/>
        <v>#DIV/0!</v>
      </c>
      <c r="PB115" s="675" t="e">
        <f t="shared" si="372"/>
        <v>#DIV/0!</v>
      </c>
      <c r="PC115" s="672" t="e">
        <f t="shared" si="372"/>
        <v>#DIV/0!</v>
      </c>
      <c r="PD115" s="672" t="e">
        <f t="shared" si="372"/>
        <v>#DIV/0!</v>
      </c>
      <c r="PE115" s="675" t="e">
        <f t="shared" si="372"/>
        <v>#DIV/0!</v>
      </c>
      <c r="PF115" s="672" t="e">
        <f t="shared" si="372"/>
        <v>#DIV/0!</v>
      </c>
      <c r="PG115" s="672" t="e">
        <f t="shared" si="372"/>
        <v>#DIV/0!</v>
      </c>
      <c r="PH115" s="672" t="e">
        <f t="shared" si="372"/>
        <v>#DIV/0!</v>
      </c>
      <c r="PI115" s="672" t="e">
        <f t="shared" si="372"/>
        <v>#DIV/0!</v>
      </c>
      <c r="PJ115" s="676" t="e">
        <f t="shared" si="372"/>
        <v>#DIV/0!</v>
      </c>
      <c r="PK115" s="688" t="e">
        <f t="shared" si="372"/>
        <v>#DIV/0!</v>
      </c>
      <c r="PL115" s="1538" t="e">
        <f t="shared" si="372"/>
        <v>#DIV/0!</v>
      </c>
      <c r="PM115" s="1539" t="e">
        <f t="shared" si="372"/>
        <v>#DIV/0!</v>
      </c>
      <c r="PN115" s="672" t="e">
        <f t="shared" si="372"/>
        <v>#DIV/0!</v>
      </c>
      <c r="PO115" s="619" t="e">
        <f t="shared" si="372"/>
        <v>#DIV/0!</v>
      </c>
      <c r="PP115" s="619" t="s">
        <v>93</v>
      </c>
      <c r="PQ115" s="672" t="e">
        <f t="shared" ref="PQ115:QF115" si="373">PQ114/PQ113*100</f>
        <v>#DIV/0!</v>
      </c>
      <c r="PR115" s="619" t="e">
        <f t="shared" si="373"/>
        <v>#DIV/0!</v>
      </c>
      <c r="PS115" s="675" t="e">
        <f t="shared" si="373"/>
        <v>#DIV/0!</v>
      </c>
      <c r="PT115" s="672" t="e">
        <f t="shared" si="373"/>
        <v>#DIV/0!</v>
      </c>
      <c r="PU115" s="672" t="e">
        <f t="shared" si="373"/>
        <v>#DIV/0!</v>
      </c>
      <c r="PV115" s="675" t="e">
        <f t="shared" si="373"/>
        <v>#DIV/0!</v>
      </c>
      <c r="PW115" s="672" t="e">
        <f t="shared" si="373"/>
        <v>#DIV/0!</v>
      </c>
      <c r="PX115" s="672" t="e">
        <f t="shared" si="373"/>
        <v>#DIV/0!</v>
      </c>
      <c r="PY115" s="672" t="e">
        <f t="shared" si="373"/>
        <v>#DIV/0!</v>
      </c>
      <c r="PZ115" s="672" t="e">
        <f t="shared" si="373"/>
        <v>#DIV/0!</v>
      </c>
      <c r="QA115" s="676" t="e">
        <f t="shared" si="373"/>
        <v>#DIV/0!</v>
      </c>
      <c r="QB115" s="688" t="e">
        <f t="shared" si="373"/>
        <v>#DIV/0!</v>
      </c>
      <c r="QC115" s="1538" t="e">
        <f t="shared" si="373"/>
        <v>#DIV/0!</v>
      </c>
      <c r="QD115" s="1539" t="e">
        <f t="shared" si="373"/>
        <v>#DIV/0!</v>
      </c>
      <c r="QE115" s="672" t="e">
        <f t="shared" si="373"/>
        <v>#DIV/0!</v>
      </c>
      <c r="QF115" s="619" t="e">
        <f t="shared" si="373"/>
        <v>#DIV/0!</v>
      </c>
      <c r="QG115" s="619" t="s">
        <v>93</v>
      </c>
      <c r="QH115" s="672" t="e">
        <f t="shared" ref="QH115:QW115" si="374">QH114/QH113*100</f>
        <v>#DIV/0!</v>
      </c>
      <c r="QI115" s="619" t="e">
        <f t="shared" si="374"/>
        <v>#DIV/0!</v>
      </c>
      <c r="QJ115" s="675" t="e">
        <f t="shared" si="374"/>
        <v>#DIV/0!</v>
      </c>
      <c r="QK115" s="672" t="e">
        <f t="shared" si="374"/>
        <v>#DIV/0!</v>
      </c>
      <c r="QL115" s="672" t="e">
        <f t="shared" si="374"/>
        <v>#DIV/0!</v>
      </c>
      <c r="QM115" s="675" t="e">
        <f t="shared" si="374"/>
        <v>#DIV/0!</v>
      </c>
      <c r="QN115" s="672" t="e">
        <f t="shared" si="374"/>
        <v>#DIV/0!</v>
      </c>
      <c r="QO115" s="672" t="e">
        <f t="shared" si="374"/>
        <v>#DIV/0!</v>
      </c>
      <c r="QP115" s="672" t="e">
        <f t="shared" si="374"/>
        <v>#DIV/0!</v>
      </c>
      <c r="QQ115" s="672" t="e">
        <f t="shared" si="374"/>
        <v>#DIV/0!</v>
      </c>
      <c r="QR115" s="676" t="e">
        <f t="shared" si="374"/>
        <v>#DIV/0!</v>
      </c>
      <c r="QS115" s="688" t="e">
        <f t="shared" si="374"/>
        <v>#DIV/0!</v>
      </c>
      <c r="QT115" s="1538" t="e">
        <f t="shared" si="374"/>
        <v>#DIV/0!</v>
      </c>
      <c r="QU115" s="1539" t="e">
        <f t="shared" si="374"/>
        <v>#DIV/0!</v>
      </c>
      <c r="QV115" s="672" t="e">
        <f t="shared" si="374"/>
        <v>#DIV/0!</v>
      </c>
      <c r="QW115" s="619" t="e">
        <f t="shared" si="374"/>
        <v>#DIV/0!</v>
      </c>
      <c r="QX115" s="619" t="s">
        <v>93</v>
      </c>
      <c r="QY115" s="672" t="e">
        <f t="shared" ref="QY115:RN115" si="375">QY114/QY113*100</f>
        <v>#DIV/0!</v>
      </c>
      <c r="QZ115" s="619" t="e">
        <f t="shared" si="375"/>
        <v>#DIV/0!</v>
      </c>
      <c r="RA115" s="675" t="e">
        <f t="shared" si="375"/>
        <v>#DIV/0!</v>
      </c>
      <c r="RB115" s="672" t="e">
        <f t="shared" si="375"/>
        <v>#DIV/0!</v>
      </c>
      <c r="RC115" s="672" t="e">
        <f t="shared" si="375"/>
        <v>#DIV/0!</v>
      </c>
      <c r="RD115" s="675" t="e">
        <f t="shared" si="375"/>
        <v>#DIV/0!</v>
      </c>
      <c r="RE115" s="672" t="e">
        <f t="shared" si="375"/>
        <v>#DIV/0!</v>
      </c>
      <c r="RF115" s="672" t="e">
        <f t="shared" si="375"/>
        <v>#DIV/0!</v>
      </c>
      <c r="RG115" s="672" t="e">
        <f t="shared" si="375"/>
        <v>#DIV/0!</v>
      </c>
      <c r="RH115" s="672" t="e">
        <f t="shared" si="375"/>
        <v>#DIV/0!</v>
      </c>
      <c r="RI115" s="676" t="e">
        <f t="shared" si="375"/>
        <v>#DIV/0!</v>
      </c>
      <c r="RJ115" s="688" t="e">
        <f t="shared" si="375"/>
        <v>#DIV/0!</v>
      </c>
      <c r="RK115" s="1538" t="e">
        <f t="shared" si="375"/>
        <v>#DIV/0!</v>
      </c>
      <c r="RL115" s="1539" t="e">
        <f t="shared" si="375"/>
        <v>#DIV/0!</v>
      </c>
      <c r="RM115" s="672" t="e">
        <f t="shared" si="375"/>
        <v>#DIV/0!</v>
      </c>
      <c r="RN115" s="619" t="e">
        <f t="shared" si="375"/>
        <v>#DIV/0!</v>
      </c>
      <c r="RO115" s="619" t="s">
        <v>93</v>
      </c>
      <c r="RP115" s="672" t="e">
        <f t="shared" ref="RP115:SE115" si="376">RP114/RP113*100</f>
        <v>#DIV/0!</v>
      </c>
      <c r="RQ115" s="619" t="e">
        <f t="shared" si="376"/>
        <v>#DIV/0!</v>
      </c>
      <c r="RR115" s="675" t="e">
        <f t="shared" si="376"/>
        <v>#DIV/0!</v>
      </c>
      <c r="RS115" s="672" t="e">
        <f t="shared" si="376"/>
        <v>#DIV/0!</v>
      </c>
      <c r="RT115" s="672" t="e">
        <f t="shared" si="376"/>
        <v>#DIV/0!</v>
      </c>
      <c r="RU115" s="675" t="e">
        <f t="shared" si="376"/>
        <v>#DIV/0!</v>
      </c>
      <c r="RV115" s="672" t="e">
        <f t="shared" si="376"/>
        <v>#DIV/0!</v>
      </c>
      <c r="RW115" s="672" t="e">
        <f t="shared" si="376"/>
        <v>#DIV/0!</v>
      </c>
      <c r="RX115" s="672" t="e">
        <f t="shared" si="376"/>
        <v>#DIV/0!</v>
      </c>
      <c r="RY115" s="672" t="e">
        <f t="shared" si="376"/>
        <v>#DIV/0!</v>
      </c>
      <c r="RZ115" s="676" t="e">
        <f t="shared" si="376"/>
        <v>#DIV/0!</v>
      </c>
      <c r="SA115" s="688" t="e">
        <f t="shared" si="376"/>
        <v>#DIV/0!</v>
      </c>
      <c r="SB115" s="1538" t="e">
        <f t="shared" si="376"/>
        <v>#DIV/0!</v>
      </c>
      <c r="SC115" s="1539" t="e">
        <f t="shared" si="376"/>
        <v>#DIV/0!</v>
      </c>
      <c r="SD115" s="672" t="e">
        <f t="shared" si="376"/>
        <v>#DIV/0!</v>
      </c>
      <c r="SE115" s="619" t="e">
        <f t="shared" si="376"/>
        <v>#DIV/0!</v>
      </c>
      <c r="SF115" s="619" t="s">
        <v>93</v>
      </c>
      <c r="SG115" s="672" t="e">
        <f t="shared" ref="SG115:SV115" si="377">SG114/SG113*100</f>
        <v>#DIV/0!</v>
      </c>
      <c r="SH115" s="619" t="e">
        <f t="shared" si="377"/>
        <v>#DIV/0!</v>
      </c>
      <c r="SI115" s="675" t="e">
        <f t="shared" si="377"/>
        <v>#DIV/0!</v>
      </c>
      <c r="SJ115" s="672" t="e">
        <f t="shared" si="377"/>
        <v>#DIV/0!</v>
      </c>
      <c r="SK115" s="672" t="e">
        <f t="shared" si="377"/>
        <v>#DIV/0!</v>
      </c>
      <c r="SL115" s="675" t="e">
        <f t="shared" si="377"/>
        <v>#DIV/0!</v>
      </c>
      <c r="SM115" s="672" t="e">
        <f t="shared" si="377"/>
        <v>#DIV/0!</v>
      </c>
      <c r="SN115" s="672" t="e">
        <f t="shared" si="377"/>
        <v>#DIV/0!</v>
      </c>
      <c r="SO115" s="672" t="e">
        <f t="shared" si="377"/>
        <v>#DIV/0!</v>
      </c>
      <c r="SP115" s="672" t="e">
        <f t="shared" si="377"/>
        <v>#DIV/0!</v>
      </c>
      <c r="SQ115" s="676" t="e">
        <f t="shared" si="377"/>
        <v>#DIV/0!</v>
      </c>
      <c r="SR115" s="688" t="e">
        <f t="shared" si="377"/>
        <v>#DIV/0!</v>
      </c>
      <c r="SS115" s="1538" t="e">
        <f t="shared" si="377"/>
        <v>#DIV/0!</v>
      </c>
      <c r="ST115" s="1539" t="e">
        <f t="shared" si="377"/>
        <v>#DIV/0!</v>
      </c>
      <c r="SU115" s="672" t="e">
        <f t="shared" si="377"/>
        <v>#DIV/0!</v>
      </c>
      <c r="SV115" s="619" t="e">
        <f t="shared" si="377"/>
        <v>#DIV/0!</v>
      </c>
      <c r="SW115" s="619" t="s">
        <v>93</v>
      </c>
      <c r="SX115" s="672" t="e">
        <f t="shared" ref="SX115:TM115" si="378">SX114/SX113*100</f>
        <v>#DIV/0!</v>
      </c>
      <c r="SY115" s="619" t="e">
        <f t="shared" si="378"/>
        <v>#DIV/0!</v>
      </c>
      <c r="SZ115" s="675" t="e">
        <f t="shared" si="378"/>
        <v>#DIV/0!</v>
      </c>
      <c r="TA115" s="672" t="e">
        <f t="shared" si="378"/>
        <v>#DIV/0!</v>
      </c>
      <c r="TB115" s="672" t="e">
        <f t="shared" si="378"/>
        <v>#DIV/0!</v>
      </c>
      <c r="TC115" s="675" t="e">
        <f t="shared" si="378"/>
        <v>#DIV/0!</v>
      </c>
      <c r="TD115" s="672" t="e">
        <f t="shared" si="378"/>
        <v>#DIV/0!</v>
      </c>
      <c r="TE115" s="672" t="e">
        <f t="shared" si="378"/>
        <v>#DIV/0!</v>
      </c>
      <c r="TF115" s="672" t="e">
        <f t="shared" si="378"/>
        <v>#DIV/0!</v>
      </c>
      <c r="TG115" s="672" t="e">
        <f t="shared" si="378"/>
        <v>#DIV/0!</v>
      </c>
      <c r="TH115" s="676" t="e">
        <f t="shared" si="378"/>
        <v>#DIV/0!</v>
      </c>
      <c r="TI115" s="688" t="e">
        <f t="shared" si="378"/>
        <v>#DIV/0!</v>
      </c>
      <c r="TJ115" s="1538" t="e">
        <f t="shared" si="378"/>
        <v>#DIV/0!</v>
      </c>
      <c r="TK115" s="1539" t="e">
        <f t="shared" si="378"/>
        <v>#DIV/0!</v>
      </c>
      <c r="TL115" s="672" t="e">
        <f t="shared" si="378"/>
        <v>#DIV/0!</v>
      </c>
      <c r="TM115" s="619" t="e">
        <f t="shared" si="378"/>
        <v>#DIV/0!</v>
      </c>
      <c r="TN115" s="619" t="s">
        <v>93</v>
      </c>
      <c r="TO115" s="672" t="e">
        <f t="shared" ref="TO115:TY115" si="379">TO114/TO113*100</f>
        <v>#DIV/0!</v>
      </c>
      <c r="TP115" s="619" t="e">
        <f t="shared" si="379"/>
        <v>#DIV/0!</v>
      </c>
      <c r="TQ115" s="675" t="e">
        <f t="shared" si="379"/>
        <v>#DIV/0!</v>
      </c>
      <c r="TR115" s="672" t="e">
        <f t="shared" si="379"/>
        <v>#DIV/0!</v>
      </c>
      <c r="TS115" s="672" t="e">
        <f t="shared" si="379"/>
        <v>#DIV/0!</v>
      </c>
      <c r="TT115" s="675" t="e">
        <f t="shared" si="379"/>
        <v>#DIV/0!</v>
      </c>
      <c r="TU115" s="672" t="e">
        <f t="shared" si="379"/>
        <v>#DIV/0!</v>
      </c>
      <c r="TV115" s="672" t="e">
        <f t="shared" si="379"/>
        <v>#DIV/0!</v>
      </c>
      <c r="TW115" s="672" t="e">
        <f t="shared" si="379"/>
        <v>#DIV/0!</v>
      </c>
      <c r="TX115" s="672" t="e">
        <f t="shared" si="379"/>
        <v>#DIV/0!</v>
      </c>
      <c r="TY115" s="676" t="e">
        <f t="shared" si="379"/>
        <v>#DIV/0!</v>
      </c>
    </row>
    <row r="116" spans="1:545" ht="15.75" thickBot="1" x14ac:dyDescent="0.3">
      <c r="A116" s="1541" t="s">
        <v>1059</v>
      </c>
      <c r="B116" s="699"/>
      <c r="C116" s="700"/>
      <c r="D116" s="700"/>
      <c r="E116" s="604"/>
      <c r="F116" s="700"/>
      <c r="G116" s="700"/>
      <c r="H116" s="604"/>
      <c r="I116" s="700"/>
      <c r="J116" s="698"/>
      <c r="K116" s="604"/>
      <c r="L116" s="604"/>
      <c r="M116" s="697"/>
      <c r="N116" s="604"/>
      <c r="O116" s="19"/>
      <c r="P116" s="19"/>
      <c r="Q116" s="19"/>
      <c r="R116" s="607"/>
      <c r="S116" s="1535"/>
      <c r="T116" s="1535"/>
      <c r="U116" s="1536"/>
      <c r="V116" s="604"/>
      <c r="W116" s="700"/>
      <c r="X116" s="700"/>
      <c r="Y116" s="604"/>
      <c r="Z116" s="700"/>
      <c r="AA116" s="698"/>
      <c r="AB116" s="604"/>
      <c r="AC116" s="604"/>
      <c r="AD116" s="697"/>
      <c r="AE116" s="604"/>
      <c r="AF116" s="604"/>
      <c r="AG116" s="604"/>
      <c r="AH116" s="604"/>
      <c r="AI116" s="607"/>
      <c r="AJ116" s="1535"/>
      <c r="AK116" s="1535"/>
      <c r="AL116" s="1536"/>
      <c r="AM116" s="604"/>
      <c r="AN116" s="700"/>
      <c r="AO116" s="700"/>
      <c r="AP116" s="604"/>
      <c r="AQ116" s="700"/>
      <c r="AR116" s="698"/>
      <c r="AS116" s="604"/>
      <c r="AT116" s="604"/>
      <c r="AU116" s="697"/>
      <c r="AV116" s="604"/>
      <c r="AW116" s="604"/>
      <c r="AX116" s="604"/>
      <c r="AY116" s="604"/>
      <c r="AZ116" s="607"/>
      <c r="BA116" s="699"/>
      <c r="BB116" s="1535"/>
      <c r="BC116" s="1536"/>
      <c r="BD116" s="604"/>
      <c r="BE116" s="700"/>
      <c r="BF116" s="700"/>
      <c r="BG116" s="604"/>
      <c r="BH116" s="700"/>
      <c r="BI116" s="698"/>
      <c r="BJ116" s="604"/>
      <c r="BK116" s="604"/>
      <c r="BL116" s="697"/>
      <c r="BM116" s="604"/>
      <c r="BN116" s="604"/>
      <c r="BO116" s="604"/>
      <c r="BP116" s="604"/>
      <c r="BQ116" s="607"/>
      <c r="BR116" s="699"/>
      <c r="BS116" s="1535"/>
      <c r="BT116" s="1536"/>
      <c r="BU116" s="604"/>
      <c r="BV116" s="700"/>
      <c r="BW116" s="700"/>
      <c r="BX116" s="604"/>
      <c r="BY116" s="700"/>
      <c r="BZ116" s="698"/>
      <c r="CA116" s="604"/>
      <c r="CB116" s="604"/>
      <c r="CC116" s="697"/>
      <c r="CD116" s="604"/>
      <c r="CE116" s="604"/>
      <c r="CF116" s="604"/>
      <c r="CG116" s="604"/>
      <c r="CH116" s="607"/>
      <c r="CI116" s="699"/>
      <c r="CJ116" s="1535"/>
      <c r="CK116" s="1536"/>
      <c r="CL116" s="604"/>
      <c r="CM116" s="700"/>
      <c r="CN116" s="700"/>
      <c r="CO116" s="604"/>
      <c r="CP116" s="700"/>
      <c r="CQ116" s="698"/>
      <c r="CR116" s="604"/>
      <c r="CS116" s="604"/>
      <c r="CT116" s="697"/>
      <c r="CU116" s="604"/>
      <c r="CV116" s="604"/>
      <c r="CW116" s="604"/>
      <c r="CX116" s="604"/>
      <c r="CY116" s="607"/>
      <c r="CZ116" s="699"/>
      <c r="DA116" s="1535"/>
      <c r="DB116" s="1536"/>
      <c r="DC116" s="604"/>
      <c r="DD116" s="700"/>
      <c r="DE116" s="700"/>
      <c r="DF116" s="604"/>
      <c r="DG116" s="700"/>
      <c r="DH116" s="698"/>
      <c r="DI116" s="604"/>
      <c r="DJ116" s="604"/>
      <c r="DK116" s="697"/>
      <c r="DL116" s="604"/>
      <c r="DM116" s="604"/>
      <c r="DN116" s="604"/>
      <c r="DO116" s="604"/>
      <c r="DP116" s="607"/>
      <c r="DQ116" s="699"/>
      <c r="DR116" s="1535"/>
      <c r="DS116" s="1536"/>
      <c r="DT116" s="698"/>
      <c r="DU116" s="700"/>
      <c r="DV116" s="700"/>
      <c r="DW116" s="604"/>
      <c r="DX116" s="700"/>
      <c r="DY116" s="698"/>
      <c r="DZ116" s="604"/>
      <c r="EA116" s="604"/>
      <c r="EB116" s="697"/>
      <c r="EC116" s="604"/>
      <c r="ED116" s="604"/>
      <c r="EE116" s="604"/>
      <c r="EF116" s="604"/>
      <c r="EG116" s="607"/>
      <c r="EH116" s="699"/>
      <c r="EI116" s="1535"/>
      <c r="EJ116" s="1536"/>
      <c r="EK116" s="604"/>
      <c r="EL116" s="700"/>
      <c r="EM116" s="700"/>
      <c r="EN116" s="604"/>
      <c r="EO116" s="700"/>
      <c r="EP116" s="698"/>
      <c r="EQ116" s="604"/>
      <c r="ER116" s="604"/>
      <c r="ES116" s="697"/>
      <c r="ET116" s="604"/>
      <c r="EU116" s="604"/>
      <c r="EV116" s="604"/>
      <c r="EW116" s="604"/>
      <c r="EX116" s="607"/>
      <c r="EY116" s="699"/>
      <c r="EZ116" s="1535"/>
      <c r="FA116" s="1536"/>
      <c r="FB116" s="604"/>
      <c r="FC116" s="700"/>
      <c r="FD116" s="700"/>
      <c r="FE116" s="604"/>
      <c r="FF116" s="700"/>
      <c r="FG116" s="698"/>
      <c r="FH116" s="604"/>
      <c r="FI116" s="604"/>
      <c r="FJ116" s="697"/>
      <c r="FK116" s="604"/>
      <c r="FL116" s="604"/>
      <c r="FM116" s="604"/>
      <c r="FN116" s="604"/>
      <c r="FO116" s="607"/>
      <c r="FP116" s="699"/>
      <c r="FQ116" s="1535"/>
      <c r="FR116" s="1536"/>
      <c r="FS116" s="604"/>
      <c r="FT116" s="700"/>
      <c r="FU116" s="700"/>
      <c r="FV116" s="604"/>
      <c r="FW116" s="700"/>
      <c r="FX116" s="698"/>
      <c r="FY116" s="604"/>
      <c r="FZ116" s="604"/>
      <c r="GA116" s="697"/>
      <c r="GB116" s="604"/>
      <c r="GC116" s="604"/>
      <c r="GD116" s="604"/>
      <c r="GE116" s="604"/>
      <c r="GF116" s="607"/>
      <c r="GG116" s="699"/>
      <c r="GH116" s="1535"/>
      <c r="GI116" s="1536"/>
      <c r="GJ116" s="698"/>
      <c r="GK116" s="700"/>
      <c r="GL116" s="700"/>
      <c r="GM116" s="604"/>
      <c r="GN116" s="700"/>
      <c r="GO116" s="698"/>
      <c r="GP116" s="604"/>
      <c r="GQ116" s="604"/>
      <c r="GR116" s="697"/>
      <c r="GS116" s="604"/>
      <c r="GT116" s="604"/>
      <c r="GU116" s="604"/>
      <c r="GV116" s="604"/>
      <c r="GW116" s="607"/>
      <c r="GX116" s="699"/>
      <c r="GY116" s="1535"/>
      <c r="GZ116" s="1536"/>
      <c r="HA116" s="604"/>
      <c r="HB116" s="700"/>
      <c r="HC116" s="700"/>
      <c r="HD116" s="604"/>
      <c r="HE116" s="700"/>
      <c r="HF116" s="698"/>
      <c r="HG116" s="604"/>
      <c r="HH116" s="604"/>
      <c r="HI116" s="697"/>
      <c r="HJ116" s="604"/>
      <c r="HK116" s="604"/>
      <c r="HL116" s="604"/>
      <c r="HM116" s="604"/>
      <c r="HN116" s="607"/>
      <c r="HO116" s="699"/>
      <c r="HP116" s="1535"/>
      <c r="HQ116" s="1536"/>
      <c r="HR116" s="604"/>
      <c r="HS116" s="700"/>
      <c r="HT116" s="700"/>
      <c r="HU116" s="604"/>
      <c r="HV116" s="700"/>
      <c r="HW116" s="698"/>
      <c r="HX116" s="604"/>
      <c r="HY116" s="604"/>
      <c r="HZ116" s="697"/>
      <c r="IA116" s="604"/>
      <c r="IB116" s="604"/>
      <c r="IC116" s="604"/>
      <c r="ID116" s="604"/>
      <c r="IE116" s="607"/>
      <c r="IF116" s="699"/>
      <c r="IG116" s="1535"/>
      <c r="IH116" s="1536"/>
      <c r="II116" s="604"/>
      <c r="IJ116" s="700"/>
      <c r="IK116" s="700"/>
      <c r="IL116" s="604"/>
      <c r="IM116" s="700"/>
      <c r="IN116" s="698"/>
      <c r="IO116" s="604"/>
      <c r="IP116" s="604"/>
      <c r="IQ116" s="697"/>
      <c r="IR116" s="604"/>
      <c r="IS116" s="604"/>
      <c r="IT116" s="604"/>
      <c r="IU116" s="604"/>
      <c r="IV116" s="607"/>
      <c r="IW116" s="699"/>
      <c r="IX116" s="1535"/>
      <c r="IY116" s="1536"/>
      <c r="IZ116" s="604"/>
      <c r="JA116" s="700"/>
      <c r="JB116" s="700"/>
      <c r="JC116" s="604"/>
      <c r="JD116" s="700"/>
      <c r="JE116" s="698"/>
      <c r="JF116" s="604"/>
      <c r="JG116" s="604"/>
      <c r="JH116" s="697"/>
      <c r="JI116" s="604"/>
      <c r="JJ116" s="604"/>
      <c r="JK116" s="604"/>
      <c r="JL116" s="604"/>
      <c r="JM116" s="607"/>
      <c r="JN116" s="699"/>
      <c r="JO116" s="1535"/>
      <c r="JP116" s="1536"/>
      <c r="JQ116" s="604"/>
      <c r="JR116" s="700"/>
      <c r="JS116" s="700"/>
      <c r="JT116" s="604"/>
      <c r="JU116" s="700"/>
      <c r="JV116" s="698"/>
      <c r="JW116" s="604"/>
      <c r="JX116" s="604"/>
      <c r="JY116" s="697"/>
      <c r="JZ116" s="604"/>
      <c r="KA116" s="604"/>
      <c r="KB116" s="604"/>
      <c r="KC116" s="604"/>
      <c r="KD116" s="607"/>
      <c r="KE116" s="699"/>
      <c r="KF116" s="1535"/>
      <c r="KG116" s="1536"/>
      <c r="KH116" s="604"/>
      <c r="KI116" s="700"/>
      <c r="KJ116" s="700"/>
      <c r="KK116" s="604"/>
      <c r="KL116" s="700"/>
      <c r="KM116" s="698"/>
      <c r="KN116" s="604"/>
      <c r="KO116" s="604"/>
      <c r="KP116" s="697"/>
      <c r="KQ116" s="604"/>
      <c r="KR116" s="604"/>
      <c r="KS116" s="604"/>
      <c r="KT116" s="604"/>
      <c r="KU116" s="607"/>
      <c r="KV116" s="699"/>
      <c r="KW116" s="1535"/>
      <c r="KX116" s="1536"/>
      <c r="KY116" s="604"/>
      <c r="KZ116" s="700"/>
      <c r="LA116" s="700"/>
      <c r="LB116" s="604"/>
      <c r="LC116" s="700"/>
      <c r="LD116" s="698"/>
      <c r="LE116" s="604"/>
      <c r="LF116" s="604"/>
      <c r="LG116" s="697"/>
      <c r="LH116" s="604"/>
      <c r="LI116" s="604"/>
      <c r="LJ116" s="604"/>
      <c r="LK116" s="604"/>
      <c r="LL116" s="607"/>
      <c r="LM116" s="699"/>
      <c r="LN116" s="1535"/>
      <c r="LO116" s="1536"/>
      <c r="LP116" s="604"/>
      <c r="LQ116" s="700"/>
      <c r="LR116" s="700"/>
      <c r="LS116" s="604"/>
      <c r="LT116" s="700"/>
      <c r="LU116" s="698"/>
      <c r="LV116" s="604"/>
      <c r="LW116" s="604"/>
      <c r="LX116" s="697"/>
      <c r="LY116" s="604"/>
      <c r="LZ116" s="604"/>
      <c r="MA116" s="604"/>
      <c r="MB116" s="604"/>
      <c r="MC116" s="607"/>
      <c r="MD116" s="699"/>
      <c r="ME116" s="1535"/>
      <c r="MF116" s="1536"/>
      <c r="MG116" s="604"/>
      <c r="MH116" s="700"/>
      <c r="MI116" s="700"/>
      <c r="MJ116" s="604"/>
      <c r="MK116" s="700"/>
      <c r="ML116" s="698"/>
      <c r="MM116" s="604"/>
      <c r="MN116" s="604"/>
      <c r="MO116" s="697"/>
      <c r="MP116" s="604"/>
      <c r="MQ116" s="604"/>
      <c r="MR116" s="604"/>
      <c r="MS116" s="604"/>
      <c r="MT116" s="607"/>
      <c r="MU116" s="699"/>
      <c r="MV116" s="1535"/>
      <c r="MW116" s="1536"/>
      <c r="MX116" s="604"/>
      <c r="MY116" s="700"/>
      <c r="MZ116" s="700"/>
      <c r="NA116" s="604"/>
      <c r="NB116" s="700"/>
      <c r="NC116" s="698"/>
      <c r="ND116" s="604"/>
      <c r="NE116" s="604"/>
      <c r="NF116" s="697"/>
      <c r="NG116" s="604"/>
      <c r="NH116" s="604"/>
      <c r="NI116" s="604"/>
      <c r="NJ116" s="604"/>
      <c r="NK116" s="607"/>
      <c r="NL116" s="699"/>
      <c r="NM116" s="1535"/>
      <c r="NN116" s="1536"/>
      <c r="NO116" s="604"/>
      <c r="NP116" s="700"/>
      <c r="NQ116" s="700"/>
      <c r="NR116" s="604"/>
      <c r="NS116" s="700"/>
      <c r="NT116" s="698"/>
      <c r="NU116" s="604"/>
      <c r="NV116" s="604"/>
      <c r="NW116" s="697"/>
      <c r="NX116" s="604"/>
      <c r="NY116" s="604"/>
      <c r="NZ116" s="604"/>
      <c r="OA116" s="604"/>
      <c r="OB116" s="607"/>
      <c r="OC116" s="699"/>
      <c r="OD116" s="1535"/>
      <c r="OE116" s="1536"/>
      <c r="OF116" s="604"/>
      <c r="OG116" s="700"/>
      <c r="OH116" s="700"/>
      <c r="OI116" s="604"/>
      <c r="OJ116" s="700"/>
      <c r="OK116" s="698"/>
      <c r="OL116" s="604"/>
      <c r="OM116" s="604"/>
      <c r="ON116" s="697"/>
      <c r="OO116" s="604"/>
      <c r="OP116" s="604"/>
      <c r="OQ116" s="604"/>
      <c r="OR116" s="604"/>
      <c r="OS116" s="607"/>
      <c r="OT116" s="699"/>
      <c r="OU116" s="1535"/>
      <c r="OV116" s="1536"/>
      <c r="OW116" s="604"/>
      <c r="OX116" s="700"/>
      <c r="OY116" s="700"/>
      <c r="OZ116" s="604"/>
      <c r="PA116" s="700"/>
      <c r="PB116" s="698"/>
      <c r="PC116" s="604"/>
      <c r="PD116" s="604"/>
      <c r="PE116" s="697"/>
      <c r="PF116" s="604"/>
      <c r="PG116" s="604"/>
      <c r="PH116" s="604"/>
      <c r="PI116" s="604"/>
      <c r="PJ116" s="607"/>
      <c r="PK116" s="699"/>
      <c r="PL116" s="1535"/>
      <c r="PM116" s="1536"/>
      <c r="PN116" s="604"/>
      <c r="PO116" s="700"/>
      <c r="PP116" s="700"/>
      <c r="PQ116" s="604"/>
      <c r="PR116" s="700"/>
      <c r="PS116" s="698"/>
      <c r="PT116" s="604"/>
      <c r="PU116" s="604"/>
      <c r="PV116" s="697"/>
      <c r="PW116" s="604"/>
      <c r="PX116" s="604"/>
      <c r="PY116" s="604"/>
      <c r="PZ116" s="604"/>
      <c r="QA116" s="607"/>
      <c r="QB116" s="699"/>
      <c r="QC116" s="1535"/>
      <c r="QD116" s="1536"/>
      <c r="QE116" s="604"/>
      <c r="QF116" s="700"/>
      <c r="QG116" s="700"/>
      <c r="QH116" s="604"/>
      <c r="QI116" s="700"/>
      <c r="QJ116" s="698"/>
      <c r="QK116" s="604"/>
      <c r="QL116" s="604"/>
      <c r="QM116" s="697"/>
      <c r="QN116" s="604"/>
      <c r="QO116" s="604"/>
      <c r="QP116" s="604"/>
      <c r="QQ116" s="604"/>
      <c r="QR116" s="607"/>
      <c r="QS116" s="699"/>
      <c r="QT116" s="1535"/>
      <c r="QU116" s="1536"/>
      <c r="QV116" s="698"/>
      <c r="QW116" s="700"/>
      <c r="QX116" s="700"/>
      <c r="QY116" s="604"/>
      <c r="QZ116" s="700"/>
      <c r="RA116" s="698"/>
      <c r="RB116" s="604"/>
      <c r="RC116" s="604"/>
      <c r="RD116" s="697"/>
      <c r="RE116" s="604"/>
      <c r="RF116" s="604"/>
      <c r="RG116" s="604"/>
      <c r="RH116" s="604"/>
      <c r="RI116" s="607"/>
      <c r="RJ116" s="699"/>
      <c r="RK116" s="1535"/>
      <c r="RL116" s="1536"/>
      <c r="RM116" s="604"/>
      <c r="RN116" s="700"/>
      <c r="RO116" s="700"/>
      <c r="RP116" s="604"/>
      <c r="RQ116" s="700"/>
      <c r="RR116" s="698"/>
      <c r="RS116" s="604"/>
      <c r="RT116" s="604"/>
      <c r="RU116" s="697"/>
      <c r="RV116" s="604"/>
      <c r="RW116" s="604"/>
      <c r="RX116" s="604"/>
      <c r="RY116" s="604"/>
      <c r="RZ116" s="607"/>
      <c r="SA116" s="699"/>
      <c r="SB116" s="1535"/>
      <c r="SC116" s="1536"/>
      <c r="SD116" s="604"/>
      <c r="SE116" s="700"/>
      <c r="SF116" s="700"/>
      <c r="SG116" s="604"/>
      <c r="SH116" s="700"/>
      <c r="SI116" s="698"/>
      <c r="SJ116" s="604"/>
      <c r="SK116" s="604"/>
      <c r="SL116" s="697"/>
      <c r="SM116" s="604"/>
      <c r="SN116" s="604"/>
      <c r="SO116" s="604"/>
      <c r="SP116" s="604"/>
      <c r="SQ116" s="607"/>
      <c r="SR116" s="699"/>
      <c r="SS116" s="1535"/>
      <c r="ST116" s="1536"/>
      <c r="SU116" s="604"/>
      <c r="SV116" s="700"/>
      <c r="SW116" s="700"/>
      <c r="SX116" s="604"/>
      <c r="SY116" s="700"/>
      <c r="SZ116" s="698"/>
      <c r="TA116" s="604"/>
      <c r="TB116" s="604"/>
      <c r="TC116" s="697"/>
      <c r="TD116" s="604"/>
      <c r="TE116" s="604"/>
      <c r="TF116" s="604"/>
      <c r="TG116" s="604"/>
      <c r="TH116" s="607"/>
      <c r="TI116" s="699"/>
      <c r="TJ116" s="1535"/>
      <c r="TK116" s="1536"/>
      <c r="TL116" s="604"/>
      <c r="TM116" s="700"/>
      <c r="TN116" s="700"/>
      <c r="TO116" s="604"/>
      <c r="TP116" s="700"/>
      <c r="TQ116" s="698"/>
      <c r="TR116" s="604"/>
      <c r="TS116" s="604"/>
      <c r="TT116" s="697"/>
      <c r="TU116" s="604"/>
      <c r="TV116" s="604"/>
      <c r="TW116" s="604"/>
      <c r="TX116" s="604"/>
      <c r="TY116" s="607"/>
    </row>
    <row r="117" spans="1:545" x14ac:dyDescent="0.25">
      <c r="A117" s="2218">
        <v>150</v>
      </c>
      <c r="B117" s="664"/>
      <c r="C117" s="667"/>
      <c r="D117" s="667"/>
      <c r="E117" s="651"/>
      <c r="F117" s="667"/>
      <c r="G117" s="663"/>
      <c r="H117" s="651"/>
      <c r="I117" s="652"/>
      <c r="J117" s="653"/>
      <c r="K117" s="599"/>
      <c r="L117" s="599"/>
      <c r="M117" s="657"/>
      <c r="N117" s="600"/>
      <c r="O117" s="599"/>
      <c r="P117" s="600"/>
      <c r="Q117" s="599"/>
      <c r="R117" s="658"/>
      <c r="S117" s="659"/>
      <c r="T117" s="660"/>
      <c r="U117" s="661"/>
      <c r="V117" s="651"/>
      <c r="W117" s="662"/>
      <c r="X117" s="663"/>
      <c r="Y117" s="651">
        <f>IF(AND(ABS(V117)&gt;=$F$42,ABS(V117)&lt;=$G$42),V117*$D$42,IF(AND(ABS(V117)&gt;=$F$43,ABS(V117)&lt;=$G$43),V117*$D$43,IF(AND(ABS(V117)&gt;=$F$44,ABS(V117)&lt;=$G$44),V117*$D$44,"rango cal. out")))</f>
        <v>0</v>
      </c>
      <c r="Z117" s="652" t="e">
        <f>((273.2+S117)*$F$32/((273.2+$F$31)*U117))</f>
        <v>#DIV/0!</v>
      </c>
      <c r="AA117" s="653" t="e">
        <f>Y117/W117*Z117*EXP(-LN(2)/10990*($F$88-X117))</f>
        <v>#DIV/0!</v>
      </c>
      <c r="AB117" s="599" t="e">
        <f>AA117-AVERAGE(AI94:AI95)</f>
        <v>#DIV/0!</v>
      </c>
      <c r="AC117" s="599" t="e">
        <f>ABS($B$33*AB117*3600)</f>
        <v>#DIV/0!</v>
      </c>
      <c r="AD117" s="657" t="e">
        <f>ABS($B$34*AB117*3600)</f>
        <v>#DIV/0!</v>
      </c>
      <c r="AE117" s="600" t="e">
        <f>AD117*$C$79</f>
        <v>#DIV/0!</v>
      </c>
      <c r="AF117" s="599" t="e">
        <f>AD117*$F$70</f>
        <v>#DIV/0!</v>
      </c>
      <c r="AG117" s="600" t="e">
        <f>AD117*$F$75</f>
        <v>#DIV/0!</v>
      </c>
      <c r="AH117" s="599" t="e">
        <f>AD117*$F$72</f>
        <v>#DIV/0!</v>
      </c>
      <c r="AI117" s="658" t="e">
        <f>AD117*$F$71</f>
        <v>#DIV/0!</v>
      </c>
      <c r="AJ117" s="659"/>
      <c r="AK117" s="660"/>
      <c r="AL117" s="661"/>
      <c r="AM117" s="651"/>
      <c r="AN117" s="662"/>
      <c r="AO117" s="663"/>
      <c r="AP117" s="651">
        <f>IF(AND(ABS(AM117)&gt;=$F$42,ABS(AM117)&lt;=$G$42),AM117*$D$42,IF(AND(ABS(AM117)&gt;=$F$43,ABS(AM117)&lt;=$G$43),AM117*$D$43,IF(AND(ABS(AM117)&gt;=$F$44,ABS(AM117)&lt;=$G$44),AM117*$D$44,"rango cal. out")))</f>
        <v>0</v>
      </c>
      <c r="AQ117" s="652" t="e">
        <f>((273.2+AJ117)*$F$32/((273.2+$F$31)*AL117))</f>
        <v>#DIV/0!</v>
      </c>
      <c r="AR117" s="653" t="e">
        <f>AP117/AN117*AQ117*EXP(-LN(2)/10990*($F$88-AO117))</f>
        <v>#DIV/0!</v>
      </c>
      <c r="AS117" s="599" t="e">
        <f>AR117-AVERAGE(AZ94:AZ95)</f>
        <v>#DIV/0!</v>
      </c>
      <c r="AT117" s="599" t="e">
        <f>ABS($B$33*AS117*3600)</f>
        <v>#DIV/0!</v>
      </c>
      <c r="AU117" s="657" t="e">
        <f>ABS($B$34*AS117*3600)</f>
        <v>#DIV/0!</v>
      </c>
      <c r="AV117" s="600" t="e">
        <f>AU117*$C$79</f>
        <v>#DIV/0!</v>
      </c>
      <c r="AW117" s="599" t="e">
        <f>AU117*$F$70</f>
        <v>#DIV/0!</v>
      </c>
      <c r="AX117" s="600" t="e">
        <f>AU117*$F$75</f>
        <v>#DIV/0!</v>
      </c>
      <c r="AY117" s="599" t="e">
        <f>AU117*$F$72</f>
        <v>#DIV/0!</v>
      </c>
      <c r="AZ117" s="658" t="e">
        <f>AU117*$F$71</f>
        <v>#DIV/0!</v>
      </c>
      <c r="BA117" s="664">
        <v>20.5</v>
      </c>
      <c r="BB117" s="660">
        <v>53</v>
      </c>
      <c r="BC117" s="666">
        <v>1008</v>
      </c>
      <c r="BD117" s="651">
        <v>-1.4990000000000001E-9</v>
      </c>
      <c r="BE117" s="667">
        <v>60</v>
      </c>
      <c r="BF117" s="663">
        <v>43403</v>
      </c>
      <c r="BG117" s="651" t="str">
        <f>IF(AND(ABS(BD117)&gt;=$F$42,ABS(BD117)&lt;=$G$42),BD117*$D$42,IF(AND(ABS(BD117)&gt;=$F$43,ABS(BD117)&lt;=$G$43),BD117*$D$43,IF(AND(ABS(BD117)&gt;=$F$44,ABS(BD117)&lt;=$G$44),BD117*$D$44,"rango cal. out")))</f>
        <v>rango cal. out</v>
      </c>
      <c r="BH117" s="652">
        <f>((273.2+BA117)*$F$32/((273.2+$F$31)*BC117))</f>
        <v>0</v>
      </c>
      <c r="BI117" s="653" t="e">
        <f>BG117/BE117*BH117*EXP(-LN(2)/10990*($F$88-BF117))</f>
        <v>#VALUE!</v>
      </c>
      <c r="BJ117" s="599" t="e">
        <f>BI117-AVERAGE(BQ94:BQ95)</f>
        <v>#VALUE!</v>
      </c>
      <c r="BK117" s="599" t="e">
        <f>ABS($B$33*BJ117*3600)</f>
        <v>#VALUE!</v>
      </c>
      <c r="BL117" s="657" t="e">
        <f>ABS($B$34*BJ117*3600)</f>
        <v>#VALUE!</v>
      </c>
      <c r="BM117" s="600" t="e">
        <f>BL117*$C$79</f>
        <v>#VALUE!</v>
      </c>
      <c r="BN117" s="599" t="e">
        <f>BL117*$F$70</f>
        <v>#VALUE!</v>
      </c>
      <c r="BO117" s="600" t="e">
        <f>BL117*$F$75</f>
        <v>#VALUE!</v>
      </c>
      <c r="BP117" s="599" t="e">
        <f>BL117*$F$72</f>
        <v>#VALUE!</v>
      </c>
      <c r="BQ117" s="658" t="e">
        <f>BL117*$F$71</f>
        <v>#VALUE!</v>
      </c>
      <c r="BR117" s="664">
        <v>20.5</v>
      </c>
      <c r="BS117" s="660">
        <v>49</v>
      </c>
      <c r="BT117" s="666">
        <v>1007</v>
      </c>
      <c r="BU117" s="651">
        <v>-6.2019999999999996E-11</v>
      </c>
      <c r="BV117" s="667">
        <v>60</v>
      </c>
      <c r="BW117" s="663">
        <v>43403</v>
      </c>
      <c r="BX117" s="651" t="str">
        <f>IF(AND(ABS(BU117)&gt;=$F$42,ABS(BU117)&lt;=$G$42),BU117*$D$42,IF(AND(ABS(BU117)&gt;=$F$43,ABS(BU117)&lt;=$G$43),BU117*$D$43,IF(AND(ABS(BU117)&gt;=$F$44,ABS(BU117)&lt;=$G$44),BU117*$D$44,"rango cal. out")))</f>
        <v>rango cal. out</v>
      </c>
      <c r="BY117" s="652">
        <f>((273.2+BR117)*$F$32/((273.2+$F$31)*BT117))</f>
        <v>0</v>
      </c>
      <c r="BZ117" s="653" t="e">
        <f>BX117/BV117*BY117*EXP(-LN(2)/10990*($F$88-BW117))</f>
        <v>#VALUE!</v>
      </c>
      <c r="CA117" s="599" t="e">
        <f>BZ117-AVERAGE(CH94:CH95)</f>
        <v>#VALUE!</v>
      </c>
      <c r="CB117" s="599" t="e">
        <f>ABS($B$33*CA117*3600)</f>
        <v>#VALUE!</v>
      </c>
      <c r="CC117" s="657" t="e">
        <f>ABS($B$34*CA117*3600)</f>
        <v>#VALUE!</v>
      </c>
      <c r="CD117" s="600" t="e">
        <f>CC117*$C$79</f>
        <v>#VALUE!</v>
      </c>
      <c r="CE117" s="599" t="e">
        <f>CC117*$F$70</f>
        <v>#VALUE!</v>
      </c>
      <c r="CF117" s="600" t="e">
        <f>CC117*$F$75</f>
        <v>#VALUE!</v>
      </c>
      <c r="CG117" s="599" t="e">
        <f>CC117*$F$72</f>
        <v>#VALUE!</v>
      </c>
      <c r="CH117" s="658" t="e">
        <f>CC117*$F$71</f>
        <v>#VALUE!</v>
      </c>
      <c r="CI117" s="664">
        <v>20.3</v>
      </c>
      <c r="CJ117" s="660">
        <v>51</v>
      </c>
      <c r="CK117" s="666">
        <v>1007</v>
      </c>
      <c r="CL117" s="651">
        <v>-3.5009999999999998E-9</v>
      </c>
      <c r="CM117" s="667">
        <v>60</v>
      </c>
      <c r="CN117" s="663">
        <v>43403</v>
      </c>
      <c r="CO117" s="651" t="str">
        <f>IF(AND(ABS(CL117)&gt;=$F$42,ABS(CL117)&lt;=$G$42),CL117*$D$42,IF(AND(ABS(CL117)&gt;=$F$43,ABS(CL117)&lt;=$G$43),CL117*$D$43,IF(AND(ABS(CL117)&gt;=$F$44,ABS(CL117)&lt;=$G$44),CL117*$D$44,"rango cal. out")))</f>
        <v>rango cal. out</v>
      </c>
      <c r="CP117" s="652">
        <f>((273.2+CI117)*$F$32/((273.2+$F$31)*CK117))</f>
        <v>0</v>
      </c>
      <c r="CQ117" s="653" t="e">
        <f>CO117/CM117*CP117*EXP(-LN(2)/10990*($F$88-CN117))</f>
        <v>#VALUE!</v>
      </c>
      <c r="CR117" s="599" t="e">
        <f>CQ117-AVERAGE(CY94:CY95)</f>
        <v>#VALUE!</v>
      </c>
      <c r="CS117" s="599" t="e">
        <f>ABS($B$33*CR117*3600)</f>
        <v>#VALUE!</v>
      </c>
      <c r="CT117" s="657" t="e">
        <f>ABS($B$34*CR117*3600)</f>
        <v>#VALUE!</v>
      </c>
      <c r="CU117" s="600" t="e">
        <f>CT117*$C$79</f>
        <v>#VALUE!</v>
      </c>
      <c r="CV117" s="599" t="e">
        <f>CT117*$F$70</f>
        <v>#VALUE!</v>
      </c>
      <c r="CW117" s="600" t="e">
        <f>CT117*$F$75</f>
        <v>#VALUE!</v>
      </c>
      <c r="CX117" s="599" t="e">
        <f>CT117*$F$72</f>
        <v>#VALUE!</v>
      </c>
      <c r="CY117" s="658" t="e">
        <f>CT117*$F$71</f>
        <v>#VALUE!</v>
      </c>
      <c r="CZ117" s="664"/>
      <c r="DA117" s="660"/>
      <c r="DB117" s="661"/>
      <c r="DC117" s="651"/>
      <c r="DD117" s="662"/>
      <c r="DE117" s="663"/>
      <c r="DF117" s="651">
        <f>IF(AND(ABS(DC117)&gt;=$F$42,ABS(DC117)&lt;=$G$42),DC117*$D$42,IF(AND(ABS(DC117)&gt;=$F$43,ABS(DC117)&lt;=$G$43),DC117*$D$43,IF(AND(ABS(DC117)&gt;=$F$44,ABS(DC117)&lt;=$G$44),DC117*$D$44,"rango cal. out")))</f>
        <v>0</v>
      </c>
      <c r="DG117" s="652" t="e">
        <f>((273.2+CZ117)*$F$32/((273.2+$F$31)*DB117))</f>
        <v>#DIV/0!</v>
      </c>
      <c r="DH117" s="653" t="e">
        <f>DF117/DD117*DG117*EXP(-LN(2)/10990*($F$88-DE117))</f>
        <v>#DIV/0!</v>
      </c>
      <c r="DI117" s="599" t="e">
        <f>DH117-AVERAGE(DP94:DP95)</f>
        <v>#DIV/0!</v>
      </c>
      <c r="DJ117" s="599" t="e">
        <f>ABS($B$33*DI117*3600)</f>
        <v>#DIV/0!</v>
      </c>
      <c r="DK117" s="657" t="e">
        <f>ABS($B$34*DI117*3600)</f>
        <v>#DIV/0!</v>
      </c>
      <c r="DL117" s="600" t="e">
        <f>DK117*$C$79</f>
        <v>#DIV/0!</v>
      </c>
      <c r="DM117" s="599" t="e">
        <f>DK117*$F$70</f>
        <v>#DIV/0!</v>
      </c>
      <c r="DN117" s="600" t="e">
        <f>DK117*$F$75</f>
        <v>#DIV/0!</v>
      </c>
      <c r="DO117" s="599" t="e">
        <f>DK117*$F$72</f>
        <v>#DIV/0!</v>
      </c>
      <c r="DP117" s="658" t="e">
        <f>DK117*$F$71</f>
        <v>#DIV/0!</v>
      </c>
      <c r="DQ117" s="664"/>
      <c r="DR117" s="660"/>
      <c r="DS117" s="659"/>
      <c r="DT117" s="665"/>
      <c r="DU117" s="662"/>
      <c r="DV117" s="663"/>
      <c r="DW117" s="651">
        <f>IF(AND(ABS(DT117)&gt;=$F$42,ABS(DT117)&lt;=$G$42),DT117*$D$42,IF(AND(ABS(DT117)&gt;=$F$43,ABS(DT117)&lt;=$G$43),DT117*$D$43,IF(AND(ABS(DT117)&gt;=$F$44,ABS(DT117)&lt;=$G$44),DT117*$D$44,"rango cal. out")))</f>
        <v>0</v>
      </c>
      <c r="DX117" s="652" t="e">
        <f>((273.2+DQ117)*$F$32/((273.2+$F$31)*DS117))</f>
        <v>#DIV/0!</v>
      </c>
      <c r="DY117" s="653" t="e">
        <f>DW117/DU117*DX117*EXP(-LN(2)/10990*($F$88-DV117))</f>
        <v>#DIV/0!</v>
      </c>
      <c r="DZ117" s="599" t="e">
        <f>DY117-AVERAGE(EG94:EG95)</f>
        <v>#DIV/0!</v>
      </c>
      <c r="EA117" s="599" t="e">
        <f>ABS($B$33*DZ117*3600)</f>
        <v>#DIV/0!</v>
      </c>
      <c r="EB117" s="657" t="e">
        <f>ABS($B$34*DZ117*3600)</f>
        <v>#DIV/0!</v>
      </c>
      <c r="EC117" s="600" t="e">
        <f>EB117*$C$79</f>
        <v>#DIV/0!</v>
      </c>
      <c r="ED117" s="599" t="e">
        <f>EB117*$F$70</f>
        <v>#DIV/0!</v>
      </c>
      <c r="EE117" s="600" t="e">
        <f>EB117*$F$75</f>
        <v>#DIV/0!</v>
      </c>
      <c r="EF117" s="599" t="e">
        <f>EB117*$F$72</f>
        <v>#DIV/0!</v>
      </c>
      <c r="EG117" s="658" t="e">
        <f>EB117*$F$71</f>
        <v>#DIV/0!</v>
      </c>
      <c r="EH117" s="664">
        <v>20.5</v>
      </c>
      <c r="EI117" s="660">
        <v>53</v>
      </c>
      <c r="EJ117" s="666">
        <v>1007</v>
      </c>
      <c r="EK117" s="651">
        <v>-4.6999999999999998E-12</v>
      </c>
      <c r="EL117" s="667">
        <v>60</v>
      </c>
      <c r="EM117" s="663">
        <v>43403</v>
      </c>
      <c r="EN117" s="651" t="str">
        <f>IF(AND(ABS(EK117)&gt;=$F$42,ABS(EK117)&lt;=$G$42),EK117*$D$42,IF(AND(ABS(EK117)&gt;=$F$43,ABS(EK117)&lt;=$G$43),EK117*$D$43,IF(AND(ABS(EK117)&gt;=$F$44,ABS(EK117)&lt;=$G$44),EK117*$D$44,"rango cal. out")))</f>
        <v>rango cal. out</v>
      </c>
      <c r="EO117" s="652">
        <f>((273.2+EH117)*$F$32/((273.2+$F$31)*EJ117))</f>
        <v>0</v>
      </c>
      <c r="EP117" s="653" t="e">
        <f>EN117/EL117*EO117*EXP(-LN(2)/10990*($F$88-EM117))</f>
        <v>#VALUE!</v>
      </c>
      <c r="EQ117" s="599" t="e">
        <f>EP117-AVERAGE(EX94:EX95)</f>
        <v>#VALUE!</v>
      </c>
      <c r="ER117" s="599" t="e">
        <f>ABS($B$33*EQ117*3600)</f>
        <v>#VALUE!</v>
      </c>
      <c r="ES117" s="657" t="e">
        <f>ABS($B$34*EQ117*3600)</f>
        <v>#VALUE!</v>
      </c>
      <c r="ET117" s="600" t="e">
        <f>ES117*$C$79</f>
        <v>#VALUE!</v>
      </c>
      <c r="EU117" s="599" t="e">
        <f>ES117*$F$70</f>
        <v>#VALUE!</v>
      </c>
      <c r="EV117" s="600" t="e">
        <f>ES117*$F$75</f>
        <v>#VALUE!</v>
      </c>
      <c r="EW117" s="599" t="e">
        <f>ES117*$F$72</f>
        <v>#VALUE!</v>
      </c>
      <c r="EX117" s="658" t="e">
        <f>ES117*$F$71</f>
        <v>#VALUE!</v>
      </c>
      <c r="EY117" s="664"/>
      <c r="EZ117" s="660"/>
      <c r="FA117" s="661"/>
      <c r="FB117" s="651"/>
      <c r="FC117" s="662"/>
      <c r="FD117" s="663"/>
      <c r="FE117" s="651">
        <f>IF(AND(ABS(FB117)&gt;=$F$42,ABS(FB117)&lt;=$G$42),FB117*$D$42,IF(AND(ABS(FB117)&gt;=$F$43,ABS(FB117)&lt;=$G$43),FB117*$D$43,IF(AND(ABS(FB117)&gt;=$F$44,ABS(FB117)&lt;=$G$44),FB117*$D$44,"rango cal. out")))</f>
        <v>0</v>
      </c>
      <c r="FF117" s="652" t="e">
        <f>((273.2+EY117)*$F$32/((273.2+$F$31)*FA117))</f>
        <v>#DIV/0!</v>
      </c>
      <c r="FG117" s="653" t="e">
        <f>FE117/FC117*FF117*EXP(-LN(2)/10990*($F$88-FD117))</f>
        <v>#DIV/0!</v>
      </c>
      <c r="FH117" s="599" t="e">
        <f>FG117-AVERAGE(FO94:FO95)</f>
        <v>#DIV/0!</v>
      </c>
      <c r="FI117" s="599" t="e">
        <f>ABS($B$33*FH117*3600)</f>
        <v>#DIV/0!</v>
      </c>
      <c r="FJ117" s="657" t="e">
        <f>ABS($B$34*FH117*3600)</f>
        <v>#DIV/0!</v>
      </c>
      <c r="FK117" s="600" t="e">
        <f>FJ117*$C$79</f>
        <v>#DIV/0!</v>
      </c>
      <c r="FL117" s="599" t="e">
        <f>FJ117*$F$70</f>
        <v>#DIV/0!</v>
      </c>
      <c r="FM117" s="600" t="e">
        <f>FJ117*$F$75</f>
        <v>#DIV/0!</v>
      </c>
      <c r="FN117" s="599" t="e">
        <f>FJ117*$F$72</f>
        <v>#DIV/0!</v>
      </c>
      <c r="FO117" s="658" t="e">
        <f>FJ117*$F$71</f>
        <v>#DIV/0!</v>
      </c>
      <c r="FP117" s="664"/>
      <c r="FQ117" s="660"/>
      <c r="FR117" s="661"/>
      <c r="FS117" s="651"/>
      <c r="FT117" s="662"/>
      <c r="FU117" s="663"/>
      <c r="FV117" s="651">
        <f>IF(AND(ABS(FS117)&gt;=$F$42,ABS(FS117)&lt;=$G$42),FS117*$D$42,IF(AND(ABS(FS117)&gt;=$F$43,ABS(FS117)&lt;=$G$43),FS117*$D$43,IF(AND(ABS(FS117)&gt;=$F$44,ABS(FS117)&lt;=$G$44),FS117*$D$44,"rango cal. out")))</f>
        <v>0</v>
      </c>
      <c r="FW117" s="652" t="e">
        <f>((273.2+FP117)*$F$32/((273.2+$F$31)*FR117))</f>
        <v>#DIV/0!</v>
      </c>
      <c r="FX117" s="653" t="e">
        <f>FV117/FT117*FW117*EXP(-LN(2)/10990*($F$88-FU117))</f>
        <v>#DIV/0!</v>
      </c>
      <c r="FY117" s="599" t="e">
        <f>FX117-AVERAGE(GF94:GF95)</f>
        <v>#DIV/0!</v>
      </c>
      <c r="FZ117" s="599" t="e">
        <f>ABS($B$33*FY117*3600)</f>
        <v>#DIV/0!</v>
      </c>
      <c r="GA117" s="657" t="e">
        <f>ABS($B$34*FY117*3600)</f>
        <v>#DIV/0!</v>
      </c>
      <c r="GB117" s="600" t="e">
        <f>GA117*$C$79</f>
        <v>#DIV/0!</v>
      </c>
      <c r="GC117" s="599" t="e">
        <f>GA117*$F$70</f>
        <v>#DIV/0!</v>
      </c>
      <c r="GD117" s="600" t="e">
        <f>GA117*$F$75</f>
        <v>#DIV/0!</v>
      </c>
      <c r="GE117" s="599" t="e">
        <f>GA117*$F$72</f>
        <v>#DIV/0!</v>
      </c>
      <c r="GF117" s="658" t="e">
        <f>GA117*$F$71</f>
        <v>#DIV/0!</v>
      </c>
      <c r="GG117" s="664"/>
      <c r="GH117" s="660"/>
      <c r="GI117" s="659"/>
      <c r="GJ117" s="665"/>
      <c r="GK117" s="662"/>
      <c r="GL117" s="663"/>
      <c r="GM117" s="651">
        <f>IF(AND(ABS(GJ117)&gt;=$F$42,ABS(GJ117)&lt;=$G$42),GJ117*$D$42,IF(AND(ABS(GJ117)&gt;=$F$43,ABS(GJ117)&lt;=$G$43),GJ117*$D$43,IF(AND(ABS(GJ117)&gt;=$F$44,ABS(GJ117)&lt;=$G$44),GJ117*$D$44,"rango cal. out")))</f>
        <v>0</v>
      </c>
      <c r="GN117" s="652" t="e">
        <f>((273.2+GG117)*$F$32/((273.2+$F$31)*GI117))</f>
        <v>#DIV/0!</v>
      </c>
      <c r="GO117" s="653" t="e">
        <f>GM117/GK117*GN117*EXP(-LN(2)/10990*($F$88-GL117))</f>
        <v>#DIV/0!</v>
      </c>
      <c r="GP117" s="599" t="e">
        <f>GO117-AVERAGE(GW94:GW95)</f>
        <v>#DIV/0!</v>
      </c>
      <c r="GQ117" s="599" t="e">
        <f>ABS($B$33*GP117*3600)</f>
        <v>#DIV/0!</v>
      </c>
      <c r="GR117" s="657" t="e">
        <f>ABS($B$34*GP117*3600)</f>
        <v>#DIV/0!</v>
      </c>
      <c r="GS117" s="600" t="e">
        <f>GR117*$C$79</f>
        <v>#DIV/0!</v>
      </c>
      <c r="GT117" s="599" t="e">
        <f>GR117*$F$70</f>
        <v>#DIV/0!</v>
      </c>
      <c r="GU117" s="600" t="e">
        <f>GR117*$F$75</f>
        <v>#DIV/0!</v>
      </c>
      <c r="GV117" s="599" t="e">
        <f>GR117*$F$72</f>
        <v>#DIV/0!</v>
      </c>
      <c r="GW117" s="658" t="e">
        <f>GR117*$F$71</f>
        <v>#DIV/0!</v>
      </c>
      <c r="GX117" s="664"/>
      <c r="GY117" s="660"/>
      <c r="GZ117" s="661"/>
      <c r="HA117" s="651"/>
      <c r="HB117" s="662"/>
      <c r="HC117" s="663"/>
      <c r="HD117" s="651">
        <f>IF(AND(ABS(HA117)&gt;=$F$42,ABS(HA117)&lt;=$G$42),HA117*$D$42,IF(AND(ABS(HA117)&gt;=$F$43,ABS(HA117)&lt;=$G$43),HA117*$D$43,IF(AND(ABS(HA117)&gt;=$F$44,ABS(HA117)&lt;=$G$44),HA117*$D$44,"rango cal. out")))</f>
        <v>0</v>
      </c>
      <c r="HE117" s="652" t="e">
        <f>((273.2+GX117)*$F$32/((273.2+$F$31)*GZ117))</f>
        <v>#DIV/0!</v>
      </c>
      <c r="HF117" s="653" t="e">
        <f>HD117/HB117*HE117*EXP(-LN(2)/10990*($F$88-HC117))</f>
        <v>#DIV/0!</v>
      </c>
      <c r="HG117" s="599" t="e">
        <f>HF117-AVERAGE(HN94:HN95)</f>
        <v>#DIV/0!</v>
      </c>
      <c r="HH117" s="599" t="e">
        <f>ABS($B$33*HG117*3600)</f>
        <v>#DIV/0!</v>
      </c>
      <c r="HI117" s="657" t="e">
        <f>ABS($B$34*HG117*3600)</f>
        <v>#DIV/0!</v>
      </c>
      <c r="HJ117" s="600" t="e">
        <f>HI117*$C$79</f>
        <v>#DIV/0!</v>
      </c>
      <c r="HK117" s="599" t="e">
        <f>HI117*$F$70</f>
        <v>#DIV/0!</v>
      </c>
      <c r="HL117" s="600" t="e">
        <f>HI117*$F$75</f>
        <v>#DIV/0!</v>
      </c>
      <c r="HM117" s="599" t="e">
        <f>HI117*$F$72</f>
        <v>#DIV/0!</v>
      </c>
      <c r="HN117" s="658" t="e">
        <f>HI117*$F$71</f>
        <v>#DIV/0!</v>
      </c>
      <c r="HO117" s="664"/>
      <c r="HP117" s="660"/>
      <c r="HQ117" s="661"/>
      <c r="HR117" s="651"/>
      <c r="HS117" s="662"/>
      <c r="HT117" s="663"/>
      <c r="HU117" s="651">
        <f>IF(AND(ABS(HR117)&gt;=$F$42,ABS(HR117)&lt;=$G$42),HR117*$D$42,IF(AND(ABS(HR117)&gt;=$F$43,ABS(HR117)&lt;=$G$43),HR117*$D$43,IF(AND(ABS(HR117)&gt;=$F$44,ABS(HR117)&lt;=$G$44),HR117*$D$44,"rango cal. out")))</f>
        <v>0</v>
      </c>
      <c r="HV117" s="652" t="e">
        <f>((273.2+HO117)*$F$32/((273.2+$F$31)*HQ117))</f>
        <v>#DIV/0!</v>
      </c>
      <c r="HW117" s="653" t="e">
        <f>HU117/HS117*HV117*EXP(-LN(2)/10990*($F$88-HT117))</f>
        <v>#DIV/0!</v>
      </c>
      <c r="HX117" s="599" t="e">
        <f>HW117-AVERAGE(IE94:IE95)</f>
        <v>#DIV/0!</v>
      </c>
      <c r="HY117" s="599" t="e">
        <f>ABS($B$33*HX117*3600)</f>
        <v>#DIV/0!</v>
      </c>
      <c r="HZ117" s="657" t="e">
        <f>ABS($B$34*HX117*3600)</f>
        <v>#DIV/0!</v>
      </c>
      <c r="IA117" s="600" t="e">
        <f>HZ117*$C$79</f>
        <v>#DIV/0!</v>
      </c>
      <c r="IB117" s="599" t="e">
        <f>HZ117*$F$70</f>
        <v>#DIV/0!</v>
      </c>
      <c r="IC117" s="600" t="e">
        <f>HZ117*$F$75</f>
        <v>#DIV/0!</v>
      </c>
      <c r="ID117" s="599" t="e">
        <f>HZ117*$F$72</f>
        <v>#DIV/0!</v>
      </c>
      <c r="IE117" s="658" t="e">
        <f>HZ117*$F$71</f>
        <v>#DIV/0!</v>
      </c>
      <c r="IF117" s="664"/>
      <c r="IG117" s="660"/>
      <c r="IH117" s="661"/>
      <c r="II117" s="651"/>
      <c r="IJ117" s="662"/>
      <c r="IK117" s="663"/>
      <c r="IL117" s="651">
        <f>IF(AND(ABS(II117)&gt;=$F$42,ABS(II117)&lt;=$G$42),II117*$D$42,IF(AND(ABS(II117)&gt;=$F$43,ABS(II117)&lt;=$G$43),II117*$D$43,IF(AND(ABS(II117)&gt;=$F$44,ABS(II117)&lt;=$G$44),II117*$D$44,"rango cal. out")))</f>
        <v>0</v>
      </c>
      <c r="IM117" s="652" t="e">
        <f>((273.2+IF117)*$F$32/((273.2+$F$31)*IH117))</f>
        <v>#DIV/0!</v>
      </c>
      <c r="IN117" s="653" t="e">
        <f>IL117/IJ117*IM117*EXP(-LN(2)/10990*($F$88-IK117))</f>
        <v>#DIV/0!</v>
      </c>
      <c r="IO117" s="599" t="e">
        <f>IN117-AVERAGE(IV94:IV95)</f>
        <v>#DIV/0!</v>
      </c>
      <c r="IP117" s="599" t="e">
        <f>ABS($B$33*IO117*3600)</f>
        <v>#DIV/0!</v>
      </c>
      <c r="IQ117" s="657" t="e">
        <f>ABS($B$34*IO117*3600)</f>
        <v>#DIV/0!</v>
      </c>
      <c r="IR117" s="600" t="e">
        <f>IQ117*$C$79</f>
        <v>#DIV/0!</v>
      </c>
      <c r="IS117" s="599" t="e">
        <f>IQ117*$F$70</f>
        <v>#DIV/0!</v>
      </c>
      <c r="IT117" s="600" t="e">
        <f>IQ117*$F$75</f>
        <v>#DIV/0!</v>
      </c>
      <c r="IU117" s="599" t="e">
        <f>IQ117*$F$72</f>
        <v>#DIV/0!</v>
      </c>
      <c r="IV117" s="658" t="e">
        <f>IQ117*$F$71</f>
        <v>#DIV/0!</v>
      </c>
      <c r="IW117" s="664"/>
      <c r="IX117" s="660"/>
      <c r="IY117" s="661"/>
      <c r="IZ117" s="651"/>
      <c r="JA117" s="662"/>
      <c r="JB117" s="663"/>
      <c r="JC117" s="651">
        <f>IF(AND(ABS(IZ117)&gt;=$F$42,ABS(IZ117)&lt;=$G$42),IZ117*$D$42,IF(AND(ABS(IZ117)&gt;=$F$43,ABS(IZ117)&lt;=$G$43),IZ117*$D$43,IF(AND(ABS(IZ117)&gt;=$F$44,ABS(IZ117)&lt;=$G$44),IZ117*$D$44,"rango cal. out")))</f>
        <v>0</v>
      </c>
      <c r="JD117" s="652" t="e">
        <f>((273.2+IW117)*$F$32/((273.2+$F$31)*IY117))</f>
        <v>#DIV/0!</v>
      </c>
      <c r="JE117" s="653" t="e">
        <f>JC117/JA117*JD117*EXP(-LN(2)/10990*($F$88-JB117))</f>
        <v>#DIV/0!</v>
      </c>
      <c r="JF117" s="599" t="e">
        <f>JE117-AVERAGE(JM94:JM95)</f>
        <v>#DIV/0!</v>
      </c>
      <c r="JG117" s="599" t="e">
        <f>ABS($B$33*JF117*3600)</f>
        <v>#DIV/0!</v>
      </c>
      <c r="JH117" s="657" t="e">
        <f>ABS($B$34*JF117*3600)</f>
        <v>#DIV/0!</v>
      </c>
      <c r="JI117" s="600" t="e">
        <f>JH117*$C$79</f>
        <v>#DIV/0!</v>
      </c>
      <c r="JJ117" s="599" t="e">
        <f>JH117*$F$70</f>
        <v>#DIV/0!</v>
      </c>
      <c r="JK117" s="600" t="e">
        <f>JH117*$F$75</f>
        <v>#DIV/0!</v>
      </c>
      <c r="JL117" s="599" t="e">
        <f>JH117*$F$72</f>
        <v>#DIV/0!</v>
      </c>
      <c r="JM117" s="658" t="e">
        <f>JH117*$F$71</f>
        <v>#DIV/0!</v>
      </c>
      <c r="JN117" s="664"/>
      <c r="JO117" s="660"/>
      <c r="JP117" s="661"/>
      <c r="JQ117" s="651"/>
      <c r="JR117" s="662"/>
      <c r="JS117" s="663"/>
      <c r="JT117" s="651">
        <f>IF(AND(ABS(JQ117)&gt;=$F$42,ABS(JQ117)&lt;=$G$42),JQ117*$D$42,IF(AND(ABS(JQ117)&gt;=$F$43,ABS(JQ117)&lt;=$G$43),JQ117*$D$43,IF(AND(ABS(JQ117)&gt;=$F$44,ABS(JQ117)&lt;=$G$44),JQ117*$D$44,"rango cal. out")))</f>
        <v>0</v>
      </c>
      <c r="JU117" s="652" t="e">
        <f>((273.2+JN117)*$F$32/((273.2+$F$31)*JP117))</f>
        <v>#DIV/0!</v>
      </c>
      <c r="JV117" s="653" t="e">
        <f>JT117/JR117*JU117*EXP(-LN(2)/10990*($F$88-JS117))</f>
        <v>#DIV/0!</v>
      </c>
      <c r="JW117" s="599" t="e">
        <f>JV117-AVERAGE(KD94:KD95)</f>
        <v>#DIV/0!</v>
      </c>
      <c r="JX117" s="599" t="e">
        <f>ABS($B$33*JW117*3600)</f>
        <v>#DIV/0!</v>
      </c>
      <c r="JY117" s="657" t="e">
        <f>ABS($B$34*JW117*3600)</f>
        <v>#DIV/0!</v>
      </c>
      <c r="JZ117" s="600" t="e">
        <f>JY117*$C$79</f>
        <v>#DIV/0!</v>
      </c>
      <c r="KA117" s="599" t="e">
        <f>JY117*$F$70</f>
        <v>#DIV/0!</v>
      </c>
      <c r="KB117" s="600" t="e">
        <f>JY117*$F$75</f>
        <v>#DIV/0!</v>
      </c>
      <c r="KC117" s="599" t="e">
        <f>JY117*$F$72</f>
        <v>#DIV/0!</v>
      </c>
      <c r="KD117" s="658" t="e">
        <f>JY117*$F$71</f>
        <v>#DIV/0!</v>
      </c>
      <c r="KE117" s="664"/>
      <c r="KF117" s="660"/>
      <c r="KG117" s="661"/>
      <c r="KH117" s="651"/>
      <c r="KI117" s="662"/>
      <c r="KJ117" s="663"/>
      <c r="KK117" s="651">
        <f>IF(AND(ABS(KH117)&gt;=$F$42,ABS(KH117)&lt;=$G$42),KH117*$D$42,IF(AND(ABS(KH117)&gt;=$F$43,ABS(KH117)&lt;=$G$43),KH117*$D$43,IF(AND(ABS(KH117)&gt;=$F$44,ABS(KH117)&lt;=$G$44),KH117*$D$44,"rango cal. out")))</f>
        <v>0</v>
      </c>
      <c r="KL117" s="652" t="e">
        <f>((273.2+KE117)*$F$32/((273.2+$F$31)*KG117))</f>
        <v>#DIV/0!</v>
      </c>
      <c r="KM117" s="653" t="e">
        <f>KK117/KI117*KL117*EXP(-LN(2)/10990*($F$88-KJ117))</f>
        <v>#DIV/0!</v>
      </c>
      <c r="KN117" s="599" t="e">
        <f>KM117-AVERAGE(KU94:KU95)</f>
        <v>#DIV/0!</v>
      </c>
      <c r="KO117" s="599" t="e">
        <f>ABS($B$33*KN117*3600)</f>
        <v>#DIV/0!</v>
      </c>
      <c r="KP117" s="657" t="e">
        <f>ABS($B$34*KN117*3600)</f>
        <v>#DIV/0!</v>
      </c>
      <c r="KQ117" s="600" t="e">
        <f>KP117*$C$79</f>
        <v>#DIV/0!</v>
      </c>
      <c r="KR117" s="599" t="e">
        <f>KP117*$F$70</f>
        <v>#DIV/0!</v>
      </c>
      <c r="KS117" s="600" t="e">
        <f>KP117*$F$75</f>
        <v>#DIV/0!</v>
      </c>
      <c r="KT117" s="599" t="e">
        <f>KP117*$F$72</f>
        <v>#DIV/0!</v>
      </c>
      <c r="KU117" s="658" t="e">
        <f>KP117*$F$71</f>
        <v>#DIV/0!</v>
      </c>
      <c r="KV117" s="664"/>
      <c r="KW117" s="660"/>
      <c r="KX117" s="661"/>
      <c r="KY117" s="651"/>
      <c r="KZ117" s="662"/>
      <c r="LA117" s="663"/>
      <c r="LB117" s="651">
        <f>IF(AND(ABS(KY117)&gt;=$F$42,ABS(KY117)&lt;=$G$42),KY117*$D$42,IF(AND(ABS(KY117)&gt;=$F$43,ABS(KY117)&lt;=$G$43),KY117*$D$43,IF(AND(ABS(KY117)&gt;=$F$44,ABS(KY117)&lt;=$G$44),KY117*$D$44,"rango cal. out")))</f>
        <v>0</v>
      </c>
      <c r="LC117" s="652" t="e">
        <f>((273.2+KV117)*$F$32/((273.2+$F$31)*KX117))</f>
        <v>#DIV/0!</v>
      </c>
      <c r="LD117" s="653" t="e">
        <f>LB117/KZ117*LC117*EXP(-LN(2)/10990*($F$88-LA117))</f>
        <v>#DIV/0!</v>
      </c>
      <c r="LE117" s="599" t="e">
        <f>LD117-AVERAGE(LL94:LL95)</f>
        <v>#DIV/0!</v>
      </c>
      <c r="LF117" s="599" t="e">
        <f>ABS($B$33*LE117*3600)</f>
        <v>#DIV/0!</v>
      </c>
      <c r="LG117" s="657" t="e">
        <f>ABS($B$34*LE117*3600)</f>
        <v>#DIV/0!</v>
      </c>
      <c r="LH117" s="600" t="e">
        <f>LG117*$C$79</f>
        <v>#DIV/0!</v>
      </c>
      <c r="LI117" s="599" t="e">
        <f>LG117*$F$70</f>
        <v>#DIV/0!</v>
      </c>
      <c r="LJ117" s="600" t="e">
        <f>LG117*$F$75</f>
        <v>#DIV/0!</v>
      </c>
      <c r="LK117" s="599" t="e">
        <f>LG117*$F$72</f>
        <v>#DIV/0!</v>
      </c>
      <c r="LL117" s="658" t="e">
        <f>LG117*$F$71</f>
        <v>#DIV/0!</v>
      </c>
      <c r="LM117" s="664"/>
      <c r="LN117" s="660"/>
      <c r="LO117" s="661"/>
      <c r="LP117" s="651"/>
      <c r="LQ117" s="662"/>
      <c r="LR117" s="663"/>
      <c r="LS117" s="651">
        <f>IF(AND(ABS(LP117)&gt;=$F$42,ABS(LP117)&lt;=$G$42),LP117*$D$42,IF(AND(ABS(LP117)&gt;=$F$43,ABS(LP117)&lt;=$G$43),LP117*$D$43,IF(AND(ABS(LP117)&gt;=$F$44,ABS(LP117)&lt;=$G$44),LP117*$D$44,"rango cal. out")))</f>
        <v>0</v>
      </c>
      <c r="LT117" s="652" t="e">
        <f>((273.2+LM117)*$F$32/((273.2+$F$31)*LO117))</f>
        <v>#DIV/0!</v>
      </c>
      <c r="LU117" s="653" t="e">
        <f>LS117/LQ117*LT117*EXP(-LN(2)/10990*($F$88-LR117))</f>
        <v>#DIV/0!</v>
      </c>
      <c r="LV117" s="599" t="e">
        <f>LU117-AVERAGE(MC94:MC95)</f>
        <v>#DIV/0!</v>
      </c>
      <c r="LW117" s="599" t="e">
        <f>ABS($B$33*LV117*3600)</f>
        <v>#DIV/0!</v>
      </c>
      <c r="LX117" s="657" t="e">
        <f>ABS($B$34*LV117*3600)</f>
        <v>#DIV/0!</v>
      </c>
      <c r="LY117" s="600" t="e">
        <f>LX117*$C$79</f>
        <v>#DIV/0!</v>
      </c>
      <c r="LZ117" s="599" t="e">
        <f>LX117*$F$70</f>
        <v>#DIV/0!</v>
      </c>
      <c r="MA117" s="600" t="e">
        <f>LX117*$F$75</f>
        <v>#DIV/0!</v>
      </c>
      <c r="MB117" s="599" t="e">
        <f>LX117*$F$72</f>
        <v>#DIV/0!</v>
      </c>
      <c r="MC117" s="658" t="e">
        <f>LX117*$F$71</f>
        <v>#DIV/0!</v>
      </c>
      <c r="MD117" s="664"/>
      <c r="ME117" s="660"/>
      <c r="MF117" s="666"/>
      <c r="MG117" s="651"/>
      <c r="MH117" s="667"/>
      <c r="MI117" s="663"/>
      <c r="MJ117" s="651">
        <f>IF(AND(ABS(MG117)&gt;=$F$42,ABS(MG117)&lt;=$G$42),MG117*$D$42,IF(AND(ABS(MG117)&gt;=$F$43,ABS(MG117)&lt;=$G$43),MG117*$D$43,IF(AND(ABS(MG117)&gt;=$F$44,ABS(MG117)&lt;=$G$44),MG117*$D$44,"rango cal. out")))</f>
        <v>0</v>
      </c>
      <c r="MK117" s="652" t="e">
        <f>((273.2+MD117)*$F$32/((273.2+$F$31)*MF117))</f>
        <v>#DIV/0!</v>
      </c>
      <c r="ML117" s="653" t="e">
        <f>MJ117/MH117*MK117*EXP(-LN(2)/10990*($F$88-MI117))</f>
        <v>#DIV/0!</v>
      </c>
      <c r="MM117" s="599" t="e">
        <f>ML117-AVERAGE(MT94:MT95)</f>
        <v>#DIV/0!</v>
      </c>
      <c r="MN117" s="599" t="e">
        <f>ABS($B$33*MM117*3600)</f>
        <v>#DIV/0!</v>
      </c>
      <c r="MO117" s="657" t="e">
        <f>ABS($B$34*MM117*3600)</f>
        <v>#DIV/0!</v>
      </c>
      <c r="MP117" s="600" t="e">
        <f>MO117*$C$79</f>
        <v>#DIV/0!</v>
      </c>
      <c r="MQ117" s="599" t="e">
        <f>MO117*$F$70</f>
        <v>#DIV/0!</v>
      </c>
      <c r="MR117" s="600" t="e">
        <f>MO117*$F$75</f>
        <v>#DIV/0!</v>
      </c>
      <c r="MS117" s="599" t="e">
        <f>MO117*$F$72</f>
        <v>#DIV/0!</v>
      </c>
      <c r="MT117" s="658" t="e">
        <f>MO117*$F$71</f>
        <v>#DIV/0!</v>
      </c>
      <c r="MU117" s="664">
        <v>20.5</v>
      </c>
      <c r="MV117" s="660">
        <v>53</v>
      </c>
      <c r="MW117" s="666">
        <v>1007</v>
      </c>
      <c r="MX117" s="651">
        <v>-1.007E-10</v>
      </c>
      <c r="MY117" s="662">
        <v>60</v>
      </c>
      <c r="MZ117" s="663">
        <v>43403</v>
      </c>
      <c r="NA117" s="651" t="str">
        <f>IF(AND(ABS(MX117)&gt;=$F$42,ABS(MX117)&lt;=$G$42),MX117*$D$42,IF(AND(ABS(MX117)&gt;=$F$43,ABS(MX117)&lt;=$G$43),MX117*$D$43,IF(AND(ABS(MX117)&gt;=$F$44,ABS(MX117)&lt;=$G$44),MX117*$D$44,"rango cal. out")))</f>
        <v>rango cal. out</v>
      </c>
      <c r="NB117" s="652">
        <f>((273.2+MU117)*$F$32/((273.2+$F$31)*MW117))</f>
        <v>0</v>
      </c>
      <c r="NC117" s="653" t="e">
        <f>NA117/MY117*NB117*EXP(-LN(2)/10990*($F$88-MZ117))</f>
        <v>#VALUE!</v>
      </c>
      <c r="ND117" s="599" t="e">
        <f>NC117-AVERAGE(NK94:NK95)</f>
        <v>#VALUE!</v>
      </c>
      <c r="NE117" s="599" t="e">
        <f>ABS($B$33*ND117*3600)</f>
        <v>#VALUE!</v>
      </c>
      <c r="NF117" s="657" t="e">
        <f>ABS($B$34*ND117*3600)</f>
        <v>#VALUE!</v>
      </c>
      <c r="NG117" s="600" t="e">
        <f>NF117*$C$79</f>
        <v>#VALUE!</v>
      </c>
      <c r="NH117" s="599" t="e">
        <f>NF117*$F$70</f>
        <v>#VALUE!</v>
      </c>
      <c r="NI117" s="600" t="e">
        <f>NF117*$F$75</f>
        <v>#VALUE!</v>
      </c>
      <c r="NJ117" s="599" t="e">
        <f>NF117*$F$72</f>
        <v>#VALUE!</v>
      </c>
      <c r="NK117" s="658" t="e">
        <f>NF117*$F$71</f>
        <v>#VALUE!</v>
      </c>
      <c r="NL117" s="664"/>
      <c r="NM117" s="660"/>
      <c r="NN117" s="661"/>
      <c r="NO117" s="651"/>
      <c r="NP117" s="662"/>
      <c r="NQ117" s="663"/>
      <c r="NR117" s="651">
        <f>IF(AND(ABS(NO117)&gt;=$F$42,ABS(NO117)&lt;=$G$42),NO117*$D$42,IF(AND(ABS(NO117)&gt;=$F$43,ABS(NO117)&lt;=$G$43),NO117*$D$43,IF(AND(ABS(NO117)&gt;=$F$44,ABS(NO117)&lt;=$G$44),NO117*$D$44,"rango cal. out")))</f>
        <v>0</v>
      </c>
      <c r="NS117" s="652" t="e">
        <f>((273.2+NL117)*$F$32/((273.2+$F$31)*NN117))</f>
        <v>#DIV/0!</v>
      </c>
      <c r="NT117" s="653" t="e">
        <f>NR117/NP117*NS117*EXP(-LN(2)/10990*($F$88-NQ117))</f>
        <v>#DIV/0!</v>
      </c>
      <c r="NU117" s="599" t="e">
        <f>NT117-AVERAGE(OB94:OB95)</f>
        <v>#DIV/0!</v>
      </c>
      <c r="NV117" s="599" t="e">
        <f>ABS($B$33*NU117*3600)</f>
        <v>#DIV/0!</v>
      </c>
      <c r="NW117" s="657" t="e">
        <f>ABS($B$34*NU117*3600)</f>
        <v>#DIV/0!</v>
      </c>
      <c r="NX117" s="600" t="e">
        <f>NW117*$C$79</f>
        <v>#DIV/0!</v>
      </c>
      <c r="NY117" s="599" t="e">
        <f>NW117*$F$70</f>
        <v>#DIV/0!</v>
      </c>
      <c r="NZ117" s="600" t="e">
        <f>NW117*$F$75</f>
        <v>#DIV/0!</v>
      </c>
      <c r="OA117" s="599" t="e">
        <f>NW117*$F$72</f>
        <v>#DIV/0!</v>
      </c>
      <c r="OB117" s="658" t="e">
        <f>NW117*$F$71</f>
        <v>#DIV/0!</v>
      </c>
      <c r="OC117" s="664">
        <v>20.5</v>
      </c>
      <c r="OD117" s="660">
        <v>53</v>
      </c>
      <c r="OE117" s="666">
        <v>1007</v>
      </c>
      <c r="OF117" s="651">
        <v>-2.3400000000000002E-10</v>
      </c>
      <c r="OG117" s="667">
        <v>60</v>
      </c>
      <c r="OH117" s="663">
        <v>43403</v>
      </c>
      <c r="OI117" s="651" t="str">
        <f>IF(AND(ABS(OF117)&gt;=$F$42,ABS(OF117)&lt;=$G$42),OF117*$D$42,IF(AND(ABS(OF117)&gt;=$F$43,ABS(OF117)&lt;=$G$43),OF117*$D$43,IF(AND(ABS(OF117)&gt;=$F$44,ABS(OF117)&lt;=$G$44),OF117*$D$44,"rango cal. out")))</f>
        <v>rango cal. out</v>
      </c>
      <c r="OJ117" s="652">
        <f>((273.2+OC117)*$F$32/((273.2+$F$31)*OE117))</f>
        <v>0</v>
      </c>
      <c r="OK117" s="653" t="e">
        <f>OI117/OG117*OJ117*EXP(-LN(2)/10990*($F$88-OH117))</f>
        <v>#VALUE!</v>
      </c>
      <c r="OL117" s="599" t="e">
        <f>OK117-AVERAGE(OS94:OS95)</f>
        <v>#VALUE!</v>
      </c>
      <c r="OM117" s="599" t="e">
        <f>ABS($B$33*OL117*3600)</f>
        <v>#VALUE!</v>
      </c>
      <c r="ON117" s="657" t="e">
        <f>ABS($B$34*OL117*3600)</f>
        <v>#VALUE!</v>
      </c>
      <c r="OO117" s="600" t="e">
        <f>ON117*$C$79</f>
        <v>#VALUE!</v>
      </c>
      <c r="OP117" s="599" t="e">
        <f>ON117*$F$70</f>
        <v>#VALUE!</v>
      </c>
      <c r="OQ117" s="600" t="e">
        <f>ON117*$F$75</f>
        <v>#VALUE!</v>
      </c>
      <c r="OR117" s="599" t="e">
        <f>ON117*$F$72</f>
        <v>#VALUE!</v>
      </c>
      <c r="OS117" s="658" t="e">
        <f>ON117*$F$71</f>
        <v>#VALUE!</v>
      </c>
      <c r="OT117" s="664"/>
      <c r="OU117" s="660"/>
      <c r="OV117" s="661"/>
      <c r="OW117" s="651"/>
      <c r="OX117" s="662"/>
      <c r="OY117" s="663"/>
      <c r="OZ117" s="651">
        <f>IF(AND(ABS(OW117)&gt;=$F$42,ABS(OW117)&lt;=$G$42),OW117*$D$42,IF(AND(ABS(OW117)&gt;=$F$43,ABS(OW117)&lt;=$G$43),OW117*$D$43,IF(AND(ABS(OW117)&gt;=$F$44,ABS(OW117)&lt;=$G$44),OW117*$D$44,"rango cal. out")))</f>
        <v>0</v>
      </c>
      <c r="PA117" s="652" t="e">
        <f>((273.2+OT117)*$F$32/((273.2+$F$31)*OV117))</f>
        <v>#DIV/0!</v>
      </c>
      <c r="PB117" s="653" t="e">
        <f>OZ117/OX117*PA117*EXP(-LN(2)/10990*($F$88-OY117))</f>
        <v>#DIV/0!</v>
      </c>
      <c r="PC117" s="599" t="e">
        <f>PB117-AVERAGE(PJ94:PJ95)</f>
        <v>#DIV/0!</v>
      </c>
      <c r="PD117" s="599" t="e">
        <f>ABS($B$33*PC117*3600)</f>
        <v>#DIV/0!</v>
      </c>
      <c r="PE117" s="657" t="e">
        <f>ABS($B$34*PC117*3600)</f>
        <v>#DIV/0!</v>
      </c>
      <c r="PF117" s="600" t="e">
        <f>PE117*$C$79</f>
        <v>#DIV/0!</v>
      </c>
      <c r="PG117" s="599" t="e">
        <f>PE117*$F$70</f>
        <v>#DIV/0!</v>
      </c>
      <c r="PH117" s="600" t="e">
        <f>PE117*$F$75</f>
        <v>#DIV/0!</v>
      </c>
      <c r="PI117" s="599" t="e">
        <f>PE117*$F$72</f>
        <v>#DIV/0!</v>
      </c>
      <c r="PJ117" s="658" t="e">
        <f>PE117*$F$71</f>
        <v>#DIV/0!</v>
      </c>
      <c r="PK117" s="664"/>
      <c r="PL117" s="660"/>
      <c r="PM117" s="661"/>
      <c r="PN117" s="651"/>
      <c r="PO117" s="662"/>
      <c r="PP117" s="663"/>
      <c r="PQ117" s="651">
        <f>IF(AND(ABS(PN117)&gt;=$F$42,ABS(PN117)&lt;=$G$42),PN117*$D$42,IF(AND(ABS(PN117)&gt;=$F$43,ABS(PN117)&lt;=$G$43),PN117*$D$43,IF(AND(ABS(PN117)&gt;=$F$44,ABS(PN117)&lt;=$G$44),PN117*$D$44,"rango cal. out")))</f>
        <v>0</v>
      </c>
      <c r="PR117" s="652" t="e">
        <f>((273.2+PK117)*$F$32/((273.2+$F$31)*PM117))</f>
        <v>#DIV/0!</v>
      </c>
      <c r="PS117" s="653" t="e">
        <f>PQ117/PO117*PR117*EXP(-LN(2)/10990*($F$88-PP117))</f>
        <v>#DIV/0!</v>
      </c>
      <c r="PT117" s="599" t="e">
        <f>PS117-AVERAGE(QA94:QA95)</f>
        <v>#DIV/0!</v>
      </c>
      <c r="PU117" s="599" t="e">
        <f>ABS($B$33*PT117*3600)</f>
        <v>#DIV/0!</v>
      </c>
      <c r="PV117" s="657" t="e">
        <f>ABS($B$34*PT117*3600)</f>
        <v>#DIV/0!</v>
      </c>
      <c r="PW117" s="600" t="e">
        <f>PV117*$C$79</f>
        <v>#DIV/0!</v>
      </c>
      <c r="PX117" s="599" t="e">
        <f>PV117*$F$70</f>
        <v>#DIV/0!</v>
      </c>
      <c r="PY117" s="600" t="e">
        <f>PV117*$F$75</f>
        <v>#DIV/0!</v>
      </c>
      <c r="PZ117" s="599" t="e">
        <f>PV117*$F$72</f>
        <v>#DIV/0!</v>
      </c>
      <c r="QA117" s="658" t="e">
        <f>PV117*$F$71</f>
        <v>#DIV/0!</v>
      </c>
      <c r="QB117" s="664"/>
      <c r="QC117" s="660"/>
      <c r="QD117" s="666"/>
      <c r="QE117" s="651"/>
      <c r="QF117" s="667"/>
      <c r="QG117" s="663"/>
      <c r="QH117" s="651">
        <f>IF(AND(ABS(QE117)&gt;=$F$42,ABS(QE117)&lt;=$G$42),QE117*$D$42,IF(AND(ABS(QE117)&gt;=$F$43,ABS(QE117)&lt;=$G$43),QE117*$D$43,IF(AND(ABS(QE117)&gt;=$F$44,ABS(QE117)&lt;=$G$44),QE117*$D$44,"rango cal. out")))</f>
        <v>0</v>
      </c>
      <c r="QI117" s="652" t="e">
        <f>((273.2+QB117)*$F$32/((273.2+$F$31)*QD117))</f>
        <v>#DIV/0!</v>
      </c>
      <c r="QJ117" s="653" t="e">
        <f>QH117/QF117*QI117*EXP(-LN(2)/10990*($F$88-QG117))</f>
        <v>#DIV/0!</v>
      </c>
      <c r="QK117" s="599" t="e">
        <f>QJ117-AVERAGE(QR94:QR95)</f>
        <v>#DIV/0!</v>
      </c>
      <c r="QL117" s="599" t="e">
        <f>ABS($B$33*QK117*3600)</f>
        <v>#DIV/0!</v>
      </c>
      <c r="QM117" s="657" t="e">
        <f>ABS($B$34*QK117*3600)</f>
        <v>#DIV/0!</v>
      </c>
      <c r="QN117" s="600" t="e">
        <f>QM117*$C$79</f>
        <v>#DIV/0!</v>
      </c>
      <c r="QO117" s="599" t="e">
        <f>QM117*$F$70</f>
        <v>#DIV/0!</v>
      </c>
      <c r="QP117" s="600" t="e">
        <f>QM117*$F$75</f>
        <v>#DIV/0!</v>
      </c>
      <c r="QQ117" s="599" t="e">
        <f>QM117*$F$72</f>
        <v>#DIV/0!</v>
      </c>
      <c r="QR117" s="658" t="e">
        <f>QM117*$F$71</f>
        <v>#DIV/0!</v>
      </c>
      <c r="QS117" s="664"/>
      <c r="QT117" s="660"/>
      <c r="QU117" s="659"/>
      <c r="QV117" s="665"/>
      <c r="QW117" s="667"/>
      <c r="QX117" s="663"/>
      <c r="QY117" s="651">
        <f>IF(AND(ABS(QV117)&gt;=$F$42,ABS(QV117)&lt;=$G$42),QV117*$D$42,IF(AND(ABS(QV117)&gt;=$F$43,ABS(QV117)&lt;=$G$43),QV117*$D$43,IF(AND(ABS(QV117)&gt;=$F$44,ABS(QV117)&lt;=$G$44),QV117*$D$44,"rango cal. out")))</f>
        <v>0</v>
      </c>
      <c r="QZ117" s="652" t="e">
        <f>((273.2+QS117)*$F$32/((273.2+$F$31)*QU117))</f>
        <v>#DIV/0!</v>
      </c>
      <c r="RA117" s="653" t="e">
        <f>QY117/QW117*QZ117*EXP(-LN(2)/10990*($F$88-QX117))</f>
        <v>#DIV/0!</v>
      </c>
      <c r="RB117" s="599" t="e">
        <f>RA117-AVERAGE(RI94:RI95)</f>
        <v>#DIV/0!</v>
      </c>
      <c r="RC117" s="599" t="e">
        <f>ABS($B$33*RB117*3600)</f>
        <v>#DIV/0!</v>
      </c>
      <c r="RD117" s="657" t="e">
        <f>ABS($B$34*RB117*3600)</f>
        <v>#DIV/0!</v>
      </c>
      <c r="RE117" s="600" t="e">
        <f>RD117*$C$79</f>
        <v>#DIV/0!</v>
      </c>
      <c r="RF117" s="599" t="e">
        <f>RD117*$F$70</f>
        <v>#DIV/0!</v>
      </c>
      <c r="RG117" s="600" t="e">
        <f>RD117*$F$75</f>
        <v>#DIV/0!</v>
      </c>
      <c r="RH117" s="599" t="e">
        <f>RD117*$F$72</f>
        <v>#DIV/0!</v>
      </c>
      <c r="RI117" s="658" t="e">
        <f>RD117*$F$71</f>
        <v>#DIV/0!</v>
      </c>
      <c r="RJ117" s="664">
        <v>20.399999999999999</v>
      </c>
      <c r="RK117" s="660">
        <v>54</v>
      </c>
      <c r="RL117" s="666">
        <v>1008</v>
      </c>
      <c r="RM117" s="651">
        <v>-1.0699999999999999E-11</v>
      </c>
      <c r="RN117" s="667">
        <v>60</v>
      </c>
      <c r="RO117" s="663">
        <v>43403</v>
      </c>
      <c r="RP117" s="651" t="str">
        <f>IF(AND(ABS(RM117)&gt;=$F$42,ABS(RM117)&lt;=$G$42),RM117*$D$42,IF(AND(ABS(RM117)&gt;=$F$43,ABS(RM117)&lt;=$G$43),RM117*$D$43,IF(AND(ABS(RM117)&gt;=$F$44,ABS(RM117)&lt;=$G$44),RM117*$D$44,"rango cal. out")))</f>
        <v>rango cal. out</v>
      </c>
      <c r="RQ117" s="652">
        <f>((273.2+RJ117)*$F$32/((273.2+$F$31)*RL117))</f>
        <v>0</v>
      </c>
      <c r="RR117" s="653" t="e">
        <f>RP117/RN117*RQ117*EXP(-LN(2)/10990*($F$88-RO117))</f>
        <v>#VALUE!</v>
      </c>
      <c r="RS117" s="599" t="e">
        <f>RR117-AVERAGE(RZ94:RZ95)</f>
        <v>#VALUE!</v>
      </c>
      <c r="RT117" s="599" t="e">
        <f>ABS($B$33*RS117*3600)</f>
        <v>#VALUE!</v>
      </c>
      <c r="RU117" s="657" t="e">
        <f>ABS($B$34*RS117*3600)</f>
        <v>#VALUE!</v>
      </c>
      <c r="RV117" s="600" t="e">
        <f>RU117*$C$79</f>
        <v>#VALUE!</v>
      </c>
      <c r="RW117" s="599" t="e">
        <f>RU117*$F$70</f>
        <v>#VALUE!</v>
      </c>
      <c r="RX117" s="600" t="e">
        <f>RU117*$F$75</f>
        <v>#VALUE!</v>
      </c>
      <c r="RY117" s="599" t="e">
        <f>RU117*$F$72</f>
        <v>#VALUE!</v>
      </c>
      <c r="RZ117" s="658" t="e">
        <f>RU117*$F$71</f>
        <v>#VALUE!</v>
      </c>
      <c r="SA117" s="664">
        <v>20.3</v>
      </c>
      <c r="SB117" s="660">
        <v>55</v>
      </c>
      <c r="SC117" s="666">
        <v>1008</v>
      </c>
      <c r="SD117" s="651">
        <v>-5.7920000000000003E-10</v>
      </c>
      <c r="SE117" s="667">
        <v>60</v>
      </c>
      <c r="SF117" s="663">
        <v>43403</v>
      </c>
      <c r="SG117" s="651" t="str">
        <f>IF(AND(ABS(SD117)&gt;=$F$42,ABS(SD117)&lt;=$G$42),SD117*$D$42,IF(AND(ABS(SD117)&gt;=$F$43,ABS(SD117)&lt;=$G$43),SD117*$D$43,IF(AND(ABS(SD117)&gt;=$F$44,ABS(SD117)&lt;=$G$44),SD117*$D$44,"rango cal. out")))</f>
        <v>rango cal. out</v>
      </c>
      <c r="SH117" s="652">
        <f>((273.2+SA117)*$F$32/((273.2+$F$31)*SC117))</f>
        <v>0</v>
      </c>
      <c r="SI117" s="653" t="e">
        <f>SG117/SE117*SH117*EXP(-LN(2)/10990*($F$88-SF117))</f>
        <v>#VALUE!</v>
      </c>
      <c r="SJ117" s="599" t="e">
        <f>SI117-AVERAGE(SQ94:SQ95)</f>
        <v>#VALUE!</v>
      </c>
      <c r="SK117" s="599" t="e">
        <f>ABS($B$33*SJ117*3600)</f>
        <v>#VALUE!</v>
      </c>
      <c r="SL117" s="657" t="e">
        <f>ABS($B$34*SJ117*3600)</f>
        <v>#VALUE!</v>
      </c>
      <c r="SM117" s="600" t="e">
        <f>SL117*$C$79</f>
        <v>#VALUE!</v>
      </c>
      <c r="SN117" s="599" t="e">
        <f>SL117*$F$70</f>
        <v>#VALUE!</v>
      </c>
      <c r="SO117" s="600" t="e">
        <f>SL117*$F$75</f>
        <v>#VALUE!</v>
      </c>
      <c r="SP117" s="599" t="e">
        <f>SL117*$F$72</f>
        <v>#VALUE!</v>
      </c>
      <c r="SQ117" s="658" t="e">
        <f>SL117*$F$71</f>
        <v>#VALUE!</v>
      </c>
      <c r="SR117" s="664"/>
      <c r="SS117" s="660"/>
      <c r="ST117" s="661"/>
      <c r="SU117" s="651"/>
      <c r="SV117" s="662"/>
      <c r="SW117" s="663"/>
      <c r="SX117" s="651">
        <f>IF(AND(ABS(SU117)&gt;=$F$42,ABS(SU117)&lt;=$G$42),SU117*$D$42,IF(AND(ABS(SU117)&gt;=$F$43,ABS(SU117)&lt;=$G$43),SU117*$D$43,IF(AND(ABS(SU117)&gt;=$F$44,ABS(SU117)&lt;=$G$44),SU117*$D$44,"rango cal. out")))</f>
        <v>0</v>
      </c>
      <c r="SY117" s="652" t="e">
        <f>((273.2+SR117)*$F$32/((273.2+$F$31)*ST117))</f>
        <v>#DIV/0!</v>
      </c>
      <c r="SZ117" s="653" t="e">
        <f>SX117/SV117*SY117*EXP(-LN(2)/10990*($F$88-SW117))</f>
        <v>#DIV/0!</v>
      </c>
      <c r="TA117" s="599" t="e">
        <f>SZ117-AVERAGE(TH94:TH95)</f>
        <v>#DIV/0!</v>
      </c>
      <c r="TB117" s="599" t="e">
        <f>ABS($B$33*TA117*3600)</f>
        <v>#DIV/0!</v>
      </c>
      <c r="TC117" s="657" t="e">
        <f>ABS($B$34*TA117*3600)</f>
        <v>#DIV/0!</v>
      </c>
      <c r="TD117" s="600" t="e">
        <f>TC117*$C$79</f>
        <v>#DIV/0!</v>
      </c>
      <c r="TE117" s="599" t="e">
        <f>TC117*$F$70</f>
        <v>#DIV/0!</v>
      </c>
      <c r="TF117" s="600" t="e">
        <f>TC117*$F$75</f>
        <v>#DIV/0!</v>
      </c>
      <c r="TG117" s="599" t="e">
        <f>TC117*$F$72</f>
        <v>#DIV/0!</v>
      </c>
      <c r="TH117" s="658" t="e">
        <f>TC117*$F$71</f>
        <v>#DIV/0!</v>
      </c>
      <c r="TI117" s="664">
        <v>20.5</v>
      </c>
      <c r="TJ117" s="660">
        <v>54</v>
      </c>
      <c r="TK117" s="666">
        <v>1008</v>
      </c>
      <c r="TL117" s="651">
        <v>-2.4470000000000001E-11</v>
      </c>
      <c r="TM117" s="667">
        <v>60</v>
      </c>
      <c r="TN117" s="663">
        <v>43403</v>
      </c>
      <c r="TO117" s="651" t="str">
        <f>IF(AND(ABS(TL117)&gt;=$F$42,ABS(TL117)&lt;=$G$42),TL117*$D$42,IF(AND(ABS(TL117)&gt;=$F$43,ABS(TL117)&lt;=$G$43),TL117*$D$43,IF(AND(ABS(TL117)&gt;=$F$44,ABS(TL117)&lt;=$G$44),TL117*$D$44,"rango cal. out")))</f>
        <v>rango cal. out</v>
      </c>
      <c r="TP117" s="652">
        <f>((273.2+TI117)*$F$32/((273.2+$F$31)*TK117))</f>
        <v>0</v>
      </c>
      <c r="TQ117" s="653" t="e">
        <f>TO117/TM117*TP117*EXP(-LN(2)/10990*($F$88-TN117))</f>
        <v>#VALUE!</v>
      </c>
      <c r="TR117" s="599" t="e">
        <f>TQ117-AVERAGE(TY94:TY95)</f>
        <v>#VALUE!</v>
      </c>
      <c r="TS117" s="599" t="e">
        <f>ABS($B$33*TR117*3600)</f>
        <v>#VALUE!</v>
      </c>
      <c r="TT117" s="657" t="e">
        <f>ABS($B$34*TR117*3600)</f>
        <v>#VALUE!</v>
      </c>
      <c r="TU117" s="600" t="e">
        <f>TT117*$C$79</f>
        <v>#VALUE!</v>
      </c>
      <c r="TV117" s="599" t="e">
        <f>TT117*$F$70</f>
        <v>#VALUE!</v>
      </c>
      <c r="TW117" s="600" t="e">
        <f>TT117*$F$75</f>
        <v>#VALUE!</v>
      </c>
      <c r="TX117" s="599" t="e">
        <f>TT117*$F$72</f>
        <v>#VALUE!</v>
      </c>
      <c r="TY117" s="658" t="e">
        <f>TT117*$F$71</f>
        <v>#VALUE!</v>
      </c>
    </row>
    <row r="118" spans="1:545" x14ac:dyDescent="0.25">
      <c r="A118" s="2219"/>
      <c r="B118" s="668"/>
      <c r="C118" s="673"/>
      <c r="D118" s="673"/>
      <c r="E118" s="671"/>
      <c r="F118" s="673"/>
      <c r="G118" s="650"/>
      <c r="H118" s="651"/>
      <c r="I118" s="619"/>
      <c r="J118" s="674"/>
      <c r="K118" s="599"/>
      <c r="L118" s="672"/>
      <c r="M118" s="675"/>
      <c r="N118" s="614"/>
      <c r="O118" s="672"/>
      <c r="P118" s="600"/>
      <c r="Q118" s="672"/>
      <c r="R118" s="676"/>
      <c r="S118" s="677"/>
      <c r="T118" s="669"/>
      <c r="U118" s="670"/>
      <c r="V118" s="671"/>
      <c r="W118" s="678"/>
      <c r="X118" s="650"/>
      <c r="Y118" s="651">
        <f t="shared" ref="Y118:Y121" si="380">IF(AND(ABS(V118)&gt;=$F$42,ABS(V118)&lt;=$G$42),V118*$D$42,IF(AND(ABS(V118)&gt;=$F$43,ABS(V118)&lt;=$G$43),V118*$D$43,IF(AND(ABS(V118)&gt;=$F$44,ABS(V118)&lt;=$G$44),V118*$D$44,"rango cal. out")))</f>
        <v>0</v>
      </c>
      <c r="Z118" s="619" t="e">
        <f>((273.2+S118)*$F$32/((273.2+$F$31)*U118))</f>
        <v>#DIV/0!</v>
      </c>
      <c r="AA118" s="674" t="e">
        <f>Y118/W118*Z118*EXP(-LN(2)/10990*($F$88-X118))</f>
        <v>#DIV/0!</v>
      </c>
      <c r="AB118" s="599" t="e">
        <f>AA118-AVERAGE(AI94:AI95)</f>
        <v>#DIV/0!</v>
      </c>
      <c r="AC118" s="672" t="e">
        <f>ABS($B$33*AB118*3600)</f>
        <v>#DIV/0!</v>
      </c>
      <c r="AD118" s="675" t="e">
        <f>ABS($B$34*AB118*3600)</f>
        <v>#DIV/0!</v>
      </c>
      <c r="AE118" s="614" t="e">
        <f>AD118*$C$79</f>
        <v>#DIV/0!</v>
      </c>
      <c r="AF118" s="672" t="e">
        <f>AD118*$F$70</f>
        <v>#DIV/0!</v>
      </c>
      <c r="AG118" s="600" t="e">
        <f t="shared" ref="AG118:AG121" si="381">AD118*$F$75</f>
        <v>#DIV/0!</v>
      </c>
      <c r="AH118" s="672" t="e">
        <f>AD118*$F$72</f>
        <v>#DIV/0!</v>
      </c>
      <c r="AI118" s="676" t="e">
        <f>AD118*$F$71</f>
        <v>#DIV/0!</v>
      </c>
      <c r="AJ118" s="677"/>
      <c r="AK118" s="669"/>
      <c r="AL118" s="670"/>
      <c r="AM118" s="671"/>
      <c r="AN118" s="678"/>
      <c r="AO118" s="650"/>
      <c r="AP118" s="651">
        <f t="shared" ref="AP118:AP121" si="382">IF(AND(ABS(AM118)&gt;=$F$42,ABS(AM118)&lt;=$G$42),AM118*$D$42,IF(AND(ABS(AM118)&gt;=$F$43,ABS(AM118)&lt;=$G$43),AM118*$D$43,IF(AND(ABS(AM118)&gt;=$F$44,ABS(AM118)&lt;=$G$44),AM118*$D$44,"rango cal. out")))</f>
        <v>0</v>
      </c>
      <c r="AQ118" s="619" t="e">
        <f>((273.2+AJ118)*$F$32/((273.2+$F$31)*AL118))</f>
        <v>#DIV/0!</v>
      </c>
      <c r="AR118" s="674" t="e">
        <f>AP118/AN118*AQ118*EXP(-LN(2)/10990*($F$88-AO118))</f>
        <v>#DIV/0!</v>
      </c>
      <c r="AS118" s="599" t="e">
        <f>AR118-AVERAGE(AZ94:AZ95)</f>
        <v>#DIV/0!</v>
      </c>
      <c r="AT118" s="672" t="e">
        <f>ABS($B$33*AS118*3600)</f>
        <v>#DIV/0!</v>
      </c>
      <c r="AU118" s="675" t="e">
        <f>ABS($B$34*AS118*3600)</f>
        <v>#DIV/0!</v>
      </c>
      <c r="AV118" s="614" t="e">
        <f>AU118*$C$79</f>
        <v>#DIV/0!</v>
      </c>
      <c r="AW118" s="672" t="e">
        <f>AU118*$F$70</f>
        <v>#DIV/0!</v>
      </c>
      <c r="AX118" s="600" t="e">
        <f t="shared" ref="AX118:AX121" si="383">AU118*$F$75</f>
        <v>#DIV/0!</v>
      </c>
      <c r="AY118" s="672" t="e">
        <f>AU118*$F$72</f>
        <v>#DIV/0!</v>
      </c>
      <c r="AZ118" s="676" t="e">
        <f>AU118*$F$71</f>
        <v>#DIV/0!</v>
      </c>
      <c r="BA118" s="668">
        <v>20.7</v>
      </c>
      <c r="BB118" s="669">
        <v>50</v>
      </c>
      <c r="BC118" s="680">
        <v>1008</v>
      </c>
      <c r="BD118" s="671">
        <v>-1.4990000000000001E-9</v>
      </c>
      <c r="BE118" s="673">
        <v>60</v>
      </c>
      <c r="BF118" s="650">
        <v>43403</v>
      </c>
      <c r="BG118" s="651" t="str">
        <f t="shared" ref="BG118:BG121" si="384">IF(AND(ABS(BD118)&gt;=$F$42,ABS(BD118)&lt;=$G$42),BD118*$D$42,IF(AND(ABS(BD118)&gt;=$F$43,ABS(BD118)&lt;=$G$43),BD118*$D$43,IF(AND(ABS(BD118)&gt;=$F$44,ABS(BD118)&lt;=$G$44),BD118*$D$44,"rango cal. out")))</f>
        <v>rango cal. out</v>
      </c>
      <c r="BH118" s="619">
        <f>((273.2+BA118)*$F$32/((273.2+$F$31)*BC118))</f>
        <v>0</v>
      </c>
      <c r="BI118" s="674" t="e">
        <f>BG118/BE118*BH118*EXP(-LN(2)/10990*($F$88-BF118))</f>
        <v>#VALUE!</v>
      </c>
      <c r="BJ118" s="599" t="e">
        <f>BI118-AVERAGE(BQ94:BQ95)</f>
        <v>#VALUE!</v>
      </c>
      <c r="BK118" s="672" t="e">
        <f>ABS($B$33*BJ118*3600)</f>
        <v>#VALUE!</v>
      </c>
      <c r="BL118" s="675" t="e">
        <f>ABS($B$34*BJ118*3600)</f>
        <v>#VALUE!</v>
      </c>
      <c r="BM118" s="614" t="e">
        <f>BL118*$C$79</f>
        <v>#VALUE!</v>
      </c>
      <c r="BN118" s="672" t="e">
        <f>BL118*$F$70</f>
        <v>#VALUE!</v>
      </c>
      <c r="BO118" s="600" t="e">
        <f t="shared" ref="BO118:BO121" si="385">BL118*$F$75</f>
        <v>#VALUE!</v>
      </c>
      <c r="BP118" s="672" t="e">
        <f>BL118*$F$72</f>
        <v>#VALUE!</v>
      </c>
      <c r="BQ118" s="676" t="e">
        <f>BL118*$F$71</f>
        <v>#VALUE!</v>
      </c>
      <c r="BR118" s="668">
        <v>20.3</v>
      </c>
      <c r="BS118" s="669">
        <v>50</v>
      </c>
      <c r="BT118" s="680">
        <v>1007</v>
      </c>
      <c r="BU118" s="671">
        <v>-6.1989999999999997E-11</v>
      </c>
      <c r="BV118" s="673">
        <v>60</v>
      </c>
      <c r="BW118" s="650">
        <v>43403</v>
      </c>
      <c r="BX118" s="651" t="str">
        <f t="shared" ref="BX118:BX121" si="386">IF(AND(ABS(BU118)&gt;=$F$42,ABS(BU118)&lt;=$G$42),BU118*$D$42,IF(AND(ABS(BU118)&gt;=$F$43,ABS(BU118)&lt;=$G$43),BU118*$D$43,IF(AND(ABS(BU118)&gt;=$F$44,ABS(BU118)&lt;=$G$44),BU118*$D$44,"rango cal. out")))</f>
        <v>rango cal. out</v>
      </c>
      <c r="BY118" s="619">
        <f>((273.2+BR118)*$F$32/((273.2+$F$31)*BT118))</f>
        <v>0</v>
      </c>
      <c r="BZ118" s="674" t="e">
        <f>BX118/BV118*BY118*EXP(-LN(2)/10990*($F$88-BW118))</f>
        <v>#VALUE!</v>
      </c>
      <c r="CA118" s="599" t="e">
        <f>BZ118-AVERAGE(CH94:CH95)</f>
        <v>#VALUE!</v>
      </c>
      <c r="CB118" s="672" t="e">
        <f>ABS($B$33*CA118*3600)</f>
        <v>#VALUE!</v>
      </c>
      <c r="CC118" s="675" t="e">
        <f>ABS($B$34*CA118*3600)</f>
        <v>#VALUE!</v>
      </c>
      <c r="CD118" s="614" t="e">
        <f>CC118*$C$79</f>
        <v>#VALUE!</v>
      </c>
      <c r="CE118" s="672" t="e">
        <f>CC118*$F$70</f>
        <v>#VALUE!</v>
      </c>
      <c r="CF118" s="600" t="e">
        <f t="shared" ref="CF118:CF121" si="387">CC118*$F$75</f>
        <v>#VALUE!</v>
      </c>
      <c r="CG118" s="672" t="e">
        <f>CC118*$F$72</f>
        <v>#VALUE!</v>
      </c>
      <c r="CH118" s="676" t="e">
        <f>CC118*$F$71</f>
        <v>#VALUE!</v>
      </c>
      <c r="CI118" s="668">
        <v>20.3</v>
      </c>
      <c r="CJ118" s="669">
        <v>52</v>
      </c>
      <c r="CK118" s="680">
        <v>1007</v>
      </c>
      <c r="CL118" s="671">
        <v>-3.5020000000000001E-9</v>
      </c>
      <c r="CM118" s="673">
        <v>60</v>
      </c>
      <c r="CN118" s="650">
        <v>43403</v>
      </c>
      <c r="CO118" s="651" t="str">
        <f t="shared" ref="CO118:CO121" si="388">IF(AND(ABS(CL118)&gt;=$F$42,ABS(CL118)&lt;=$G$42),CL118*$D$42,IF(AND(ABS(CL118)&gt;=$F$43,ABS(CL118)&lt;=$G$43),CL118*$D$43,IF(AND(ABS(CL118)&gt;=$F$44,ABS(CL118)&lt;=$G$44),CL118*$D$44,"rango cal. out")))</f>
        <v>rango cal. out</v>
      </c>
      <c r="CP118" s="619">
        <f>((273.2+CI118)*$F$32/((273.2+$F$31)*CK118))</f>
        <v>0</v>
      </c>
      <c r="CQ118" s="674" t="e">
        <f>CO118/CM118*CP118*EXP(-LN(2)/10990*($F$88-CN118))</f>
        <v>#VALUE!</v>
      </c>
      <c r="CR118" s="599" t="e">
        <f>CQ118-AVERAGE(CY94:CY95)</f>
        <v>#VALUE!</v>
      </c>
      <c r="CS118" s="672" t="e">
        <f>ABS($B$33*CR118*3600)</f>
        <v>#VALUE!</v>
      </c>
      <c r="CT118" s="675" t="e">
        <f>ABS($B$34*CR118*3600)</f>
        <v>#VALUE!</v>
      </c>
      <c r="CU118" s="614" t="e">
        <f>CT118*$C$79</f>
        <v>#VALUE!</v>
      </c>
      <c r="CV118" s="672" t="e">
        <f>CT118*$F$70</f>
        <v>#VALUE!</v>
      </c>
      <c r="CW118" s="600" t="e">
        <f t="shared" ref="CW118:CW121" si="389">CT118*$F$75</f>
        <v>#VALUE!</v>
      </c>
      <c r="CX118" s="672" t="e">
        <f>CT118*$F$72</f>
        <v>#VALUE!</v>
      </c>
      <c r="CY118" s="676" t="e">
        <f>CT118*$F$71</f>
        <v>#VALUE!</v>
      </c>
      <c r="CZ118" s="668"/>
      <c r="DA118" s="669"/>
      <c r="DB118" s="670"/>
      <c r="DC118" s="671"/>
      <c r="DD118" s="678"/>
      <c r="DE118" s="650"/>
      <c r="DF118" s="651">
        <f t="shared" ref="DF118:DF121" si="390">IF(AND(ABS(DC118)&gt;=$F$42,ABS(DC118)&lt;=$G$42),DC118*$D$42,IF(AND(ABS(DC118)&gt;=$F$43,ABS(DC118)&lt;=$G$43),DC118*$D$43,IF(AND(ABS(DC118)&gt;=$F$44,ABS(DC118)&lt;=$G$44),DC118*$D$44,"rango cal. out")))</f>
        <v>0</v>
      </c>
      <c r="DG118" s="619" t="e">
        <f>((273.2+CZ118)*$F$32/((273.2+$F$31)*DB118))</f>
        <v>#DIV/0!</v>
      </c>
      <c r="DH118" s="674" t="e">
        <f>DF118/DD118*DG118*EXP(-LN(2)/10990*($F$88-DE118))</f>
        <v>#DIV/0!</v>
      </c>
      <c r="DI118" s="599" t="e">
        <f>DH118-AVERAGE(DP94:DP95)</f>
        <v>#DIV/0!</v>
      </c>
      <c r="DJ118" s="672" t="e">
        <f>ABS($B$33*DI118*3600)</f>
        <v>#DIV/0!</v>
      </c>
      <c r="DK118" s="675" t="e">
        <f>ABS($B$34*DI118*3600)</f>
        <v>#DIV/0!</v>
      </c>
      <c r="DL118" s="614" t="e">
        <f>DK118*$C$79</f>
        <v>#DIV/0!</v>
      </c>
      <c r="DM118" s="672" t="e">
        <f>DK118*$F$70</f>
        <v>#DIV/0!</v>
      </c>
      <c r="DN118" s="600" t="e">
        <f t="shared" ref="DN118:DN121" si="391">DK118*$F$75</f>
        <v>#DIV/0!</v>
      </c>
      <c r="DO118" s="672" t="e">
        <f>DK118*$F$72</f>
        <v>#DIV/0!</v>
      </c>
      <c r="DP118" s="676" t="e">
        <f>DK118*$F$71</f>
        <v>#DIV/0!</v>
      </c>
      <c r="DQ118" s="668"/>
      <c r="DR118" s="669"/>
      <c r="DS118" s="677"/>
      <c r="DT118" s="679"/>
      <c r="DU118" s="678"/>
      <c r="DV118" s="650"/>
      <c r="DW118" s="651">
        <f t="shared" ref="DW118:DW121" si="392">IF(AND(ABS(DT118)&gt;=$F$42,ABS(DT118)&lt;=$G$42),DT118*$D$42,IF(AND(ABS(DT118)&gt;=$F$43,ABS(DT118)&lt;=$G$43),DT118*$D$43,IF(AND(ABS(DT118)&gt;=$F$44,ABS(DT118)&lt;=$G$44),DT118*$D$44,"rango cal. out")))</f>
        <v>0</v>
      </c>
      <c r="DX118" s="619" t="e">
        <f>((273.2+DQ118)*$F$32/((273.2+$F$31)*DS118))</f>
        <v>#DIV/0!</v>
      </c>
      <c r="DY118" s="674" t="e">
        <f>DW118/DU118*DX118*EXP(-LN(2)/10990*($F$88-DV118))</f>
        <v>#DIV/0!</v>
      </c>
      <c r="DZ118" s="599" t="e">
        <f>DY118-AVERAGE(EG94:EG95)</f>
        <v>#DIV/0!</v>
      </c>
      <c r="EA118" s="672" t="e">
        <f>ABS($B$33*DZ118*3600)</f>
        <v>#DIV/0!</v>
      </c>
      <c r="EB118" s="675" t="e">
        <f>ABS($B$34*DZ118*3600)</f>
        <v>#DIV/0!</v>
      </c>
      <c r="EC118" s="614" t="e">
        <f>EB118*$C$79</f>
        <v>#DIV/0!</v>
      </c>
      <c r="ED118" s="672" t="e">
        <f>EB118*$F$70</f>
        <v>#DIV/0!</v>
      </c>
      <c r="EE118" s="600" t="e">
        <f t="shared" ref="EE118:EE121" si="393">EB118*$F$75</f>
        <v>#DIV/0!</v>
      </c>
      <c r="EF118" s="672" t="e">
        <f>EB118*$F$72</f>
        <v>#DIV/0!</v>
      </c>
      <c r="EG118" s="676" t="e">
        <f>EB118*$F$71</f>
        <v>#DIV/0!</v>
      </c>
      <c r="EH118" s="668">
        <v>20.7</v>
      </c>
      <c r="EI118" s="669">
        <v>51</v>
      </c>
      <c r="EJ118" s="680">
        <v>1007</v>
      </c>
      <c r="EK118" s="671">
        <v>-4.7700000000000001E-12</v>
      </c>
      <c r="EL118" s="673">
        <v>60</v>
      </c>
      <c r="EM118" s="650">
        <v>43403</v>
      </c>
      <c r="EN118" s="651" t="str">
        <f t="shared" ref="EN118:EN121" si="394">IF(AND(ABS(EK118)&gt;=$F$42,ABS(EK118)&lt;=$G$42),EK118*$D$42,IF(AND(ABS(EK118)&gt;=$F$43,ABS(EK118)&lt;=$G$43),EK118*$D$43,IF(AND(ABS(EK118)&gt;=$F$44,ABS(EK118)&lt;=$G$44),EK118*$D$44,"rango cal. out")))</f>
        <v>rango cal. out</v>
      </c>
      <c r="EO118" s="619">
        <f>((273.2+EH118)*$F$32/((273.2+$F$31)*EJ118))</f>
        <v>0</v>
      </c>
      <c r="EP118" s="674" t="e">
        <f>EN118/EL118*EO118*EXP(-LN(2)/10990*($F$88-EM118))</f>
        <v>#VALUE!</v>
      </c>
      <c r="EQ118" s="599" t="e">
        <f>EP118-AVERAGE(EX94:EX95)</f>
        <v>#VALUE!</v>
      </c>
      <c r="ER118" s="672" t="e">
        <f>ABS($B$33*EQ118*3600)</f>
        <v>#VALUE!</v>
      </c>
      <c r="ES118" s="675" t="e">
        <f>ABS($B$34*EQ118*3600)</f>
        <v>#VALUE!</v>
      </c>
      <c r="ET118" s="614" t="e">
        <f>ES118*$C$79</f>
        <v>#VALUE!</v>
      </c>
      <c r="EU118" s="672" t="e">
        <f>ES118*$F$70</f>
        <v>#VALUE!</v>
      </c>
      <c r="EV118" s="600" t="e">
        <f t="shared" ref="EV118:EV121" si="395">ES118*$F$75</f>
        <v>#VALUE!</v>
      </c>
      <c r="EW118" s="672" t="e">
        <f>ES118*$F$72</f>
        <v>#VALUE!</v>
      </c>
      <c r="EX118" s="676" t="e">
        <f>ES118*$F$71</f>
        <v>#VALUE!</v>
      </c>
      <c r="EY118" s="668"/>
      <c r="EZ118" s="669"/>
      <c r="FA118" s="670"/>
      <c r="FB118" s="671"/>
      <c r="FC118" s="678"/>
      <c r="FD118" s="650"/>
      <c r="FE118" s="651">
        <f t="shared" ref="FE118:FE121" si="396">IF(AND(ABS(FB118)&gt;=$F$42,ABS(FB118)&lt;=$G$42),FB118*$D$42,IF(AND(ABS(FB118)&gt;=$F$43,ABS(FB118)&lt;=$G$43),FB118*$D$43,IF(AND(ABS(FB118)&gt;=$F$44,ABS(FB118)&lt;=$G$44),FB118*$D$44,"rango cal. out")))</f>
        <v>0</v>
      </c>
      <c r="FF118" s="619" t="e">
        <f>((273.2+EY118)*$F$32/((273.2+$F$31)*FA118))</f>
        <v>#DIV/0!</v>
      </c>
      <c r="FG118" s="674" t="e">
        <f>FE118/FC118*FF118*EXP(-LN(2)/10990*($F$88-FD118))</f>
        <v>#DIV/0!</v>
      </c>
      <c r="FH118" s="599" t="e">
        <f>FG118-AVERAGE(FO94:FO95)</f>
        <v>#DIV/0!</v>
      </c>
      <c r="FI118" s="672" t="e">
        <f>ABS($B$33*FH118*3600)</f>
        <v>#DIV/0!</v>
      </c>
      <c r="FJ118" s="675" t="e">
        <f>ABS($B$34*FH118*3600)</f>
        <v>#DIV/0!</v>
      </c>
      <c r="FK118" s="614" t="e">
        <f>FJ118*$C$79</f>
        <v>#DIV/0!</v>
      </c>
      <c r="FL118" s="672" t="e">
        <f>FJ118*$F$70</f>
        <v>#DIV/0!</v>
      </c>
      <c r="FM118" s="600" t="e">
        <f t="shared" ref="FM118:FM121" si="397">FJ118*$F$75</f>
        <v>#DIV/0!</v>
      </c>
      <c r="FN118" s="672" t="e">
        <f>FJ118*$F$72</f>
        <v>#DIV/0!</v>
      </c>
      <c r="FO118" s="676" t="e">
        <f>FJ118*$F$71</f>
        <v>#DIV/0!</v>
      </c>
      <c r="FP118" s="668"/>
      <c r="FQ118" s="669"/>
      <c r="FR118" s="670"/>
      <c r="FS118" s="671"/>
      <c r="FT118" s="678"/>
      <c r="FU118" s="650"/>
      <c r="FV118" s="651">
        <f t="shared" ref="FV118:FV121" si="398">IF(AND(ABS(FS118)&gt;=$F$42,ABS(FS118)&lt;=$G$42),FS118*$D$42,IF(AND(ABS(FS118)&gt;=$F$43,ABS(FS118)&lt;=$G$43),FS118*$D$43,IF(AND(ABS(FS118)&gt;=$F$44,ABS(FS118)&lt;=$G$44),FS118*$D$44,"rango cal. out")))</f>
        <v>0</v>
      </c>
      <c r="FW118" s="619" t="e">
        <f>((273.2+FP118)*$F$32/((273.2+$F$31)*FR118))</f>
        <v>#DIV/0!</v>
      </c>
      <c r="FX118" s="674" t="e">
        <f>FV118/FT118*FW118*EXP(-LN(2)/10990*($F$88-FU118))</f>
        <v>#DIV/0!</v>
      </c>
      <c r="FY118" s="599" t="e">
        <f>FX118-AVERAGE(GF94:GF95)</f>
        <v>#DIV/0!</v>
      </c>
      <c r="FZ118" s="672" t="e">
        <f>ABS($B$33*FY118*3600)</f>
        <v>#DIV/0!</v>
      </c>
      <c r="GA118" s="675" t="e">
        <f>ABS($B$34*FY118*3600)</f>
        <v>#DIV/0!</v>
      </c>
      <c r="GB118" s="614" t="e">
        <f>GA118*$C$79</f>
        <v>#DIV/0!</v>
      </c>
      <c r="GC118" s="672" t="e">
        <f>GA118*$F$70</f>
        <v>#DIV/0!</v>
      </c>
      <c r="GD118" s="600" t="e">
        <f t="shared" ref="GD118:GD121" si="399">GA118*$F$75</f>
        <v>#DIV/0!</v>
      </c>
      <c r="GE118" s="672" t="e">
        <f>GA118*$F$72</f>
        <v>#DIV/0!</v>
      </c>
      <c r="GF118" s="676" t="e">
        <f>GA118*$F$71</f>
        <v>#DIV/0!</v>
      </c>
      <c r="GG118" s="668"/>
      <c r="GH118" s="669"/>
      <c r="GI118" s="677"/>
      <c r="GJ118" s="679"/>
      <c r="GK118" s="678"/>
      <c r="GL118" s="650"/>
      <c r="GM118" s="651">
        <f t="shared" ref="GM118:GM121" si="400">IF(AND(ABS(GJ118)&gt;=$F$42,ABS(GJ118)&lt;=$G$42),GJ118*$D$42,IF(AND(ABS(GJ118)&gt;=$F$43,ABS(GJ118)&lt;=$G$43),GJ118*$D$43,IF(AND(ABS(GJ118)&gt;=$F$44,ABS(GJ118)&lt;=$G$44),GJ118*$D$44,"rango cal. out")))</f>
        <v>0</v>
      </c>
      <c r="GN118" s="619" t="e">
        <f>((273.2+GG118)*$F$32/((273.2+$F$31)*GI118))</f>
        <v>#DIV/0!</v>
      </c>
      <c r="GO118" s="674" t="e">
        <f>GM118/GK118*GN118*EXP(-LN(2)/10990*($F$88-GL118))</f>
        <v>#DIV/0!</v>
      </c>
      <c r="GP118" s="599" t="e">
        <f>GO118-AVERAGE(GW94:GW95)</f>
        <v>#DIV/0!</v>
      </c>
      <c r="GQ118" s="672" t="e">
        <f>ABS($B$33*GP118*3600)</f>
        <v>#DIV/0!</v>
      </c>
      <c r="GR118" s="675" t="e">
        <f>ABS($B$34*GP118*3600)</f>
        <v>#DIV/0!</v>
      </c>
      <c r="GS118" s="614" t="e">
        <f>GR118*$C$79</f>
        <v>#DIV/0!</v>
      </c>
      <c r="GT118" s="672" t="e">
        <f>GR118*$F$70</f>
        <v>#DIV/0!</v>
      </c>
      <c r="GU118" s="600" t="e">
        <f t="shared" ref="GU118:GU121" si="401">GR118*$F$75</f>
        <v>#DIV/0!</v>
      </c>
      <c r="GV118" s="672" t="e">
        <f>GR118*$F$72</f>
        <v>#DIV/0!</v>
      </c>
      <c r="GW118" s="676" t="e">
        <f>GR118*$F$71</f>
        <v>#DIV/0!</v>
      </c>
      <c r="GX118" s="668"/>
      <c r="GY118" s="669"/>
      <c r="GZ118" s="670"/>
      <c r="HA118" s="671"/>
      <c r="HB118" s="678"/>
      <c r="HC118" s="650"/>
      <c r="HD118" s="651">
        <f t="shared" ref="HD118:HD121" si="402">IF(AND(ABS(HA118)&gt;=$F$42,ABS(HA118)&lt;=$G$42),HA118*$D$42,IF(AND(ABS(HA118)&gt;=$F$43,ABS(HA118)&lt;=$G$43),HA118*$D$43,IF(AND(ABS(HA118)&gt;=$F$44,ABS(HA118)&lt;=$G$44),HA118*$D$44,"rango cal. out")))</f>
        <v>0</v>
      </c>
      <c r="HE118" s="619" t="e">
        <f>((273.2+GX118)*$F$32/((273.2+$F$31)*GZ118))</f>
        <v>#DIV/0!</v>
      </c>
      <c r="HF118" s="674" t="e">
        <f>HD118/HB118*HE118*EXP(-LN(2)/10990*($F$88-HC118))</f>
        <v>#DIV/0!</v>
      </c>
      <c r="HG118" s="599" t="e">
        <f>HF118-AVERAGE(HN94:HN95)</f>
        <v>#DIV/0!</v>
      </c>
      <c r="HH118" s="672" t="e">
        <f>ABS($B$33*HG118*3600)</f>
        <v>#DIV/0!</v>
      </c>
      <c r="HI118" s="675" t="e">
        <f>ABS($B$34*HG118*3600)</f>
        <v>#DIV/0!</v>
      </c>
      <c r="HJ118" s="614" t="e">
        <f>HI118*$C$79</f>
        <v>#DIV/0!</v>
      </c>
      <c r="HK118" s="672" t="e">
        <f>HI118*$F$70</f>
        <v>#DIV/0!</v>
      </c>
      <c r="HL118" s="600" t="e">
        <f t="shared" ref="HL118:HL121" si="403">HI118*$F$75</f>
        <v>#DIV/0!</v>
      </c>
      <c r="HM118" s="672" t="e">
        <f>HI118*$F$72</f>
        <v>#DIV/0!</v>
      </c>
      <c r="HN118" s="676" t="e">
        <f>HI118*$F$71</f>
        <v>#DIV/0!</v>
      </c>
      <c r="HO118" s="668"/>
      <c r="HP118" s="669"/>
      <c r="HQ118" s="670"/>
      <c r="HR118" s="671"/>
      <c r="HS118" s="678"/>
      <c r="HT118" s="650"/>
      <c r="HU118" s="651">
        <f t="shared" ref="HU118:HU121" si="404">IF(AND(ABS(HR118)&gt;=$F$42,ABS(HR118)&lt;=$G$42),HR118*$D$42,IF(AND(ABS(HR118)&gt;=$F$43,ABS(HR118)&lt;=$G$43),HR118*$D$43,IF(AND(ABS(HR118)&gt;=$F$44,ABS(HR118)&lt;=$G$44),HR118*$D$44,"rango cal. out")))</f>
        <v>0</v>
      </c>
      <c r="HV118" s="619" t="e">
        <f>((273.2+HO118)*$F$32/((273.2+$F$31)*HQ118))</f>
        <v>#DIV/0!</v>
      </c>
      <c r="HW118" s="674" t="e">
        <f>HU118/HS118*HV118*EXP(-LN(2)/10990*($F$88-HT118))</f>
        <v>#DIV/0!</v>
      </c>
      <c r="HX118" s="599" t="e">
        <f>HW118-AVERAGE(IE94:IE95)</f>
        <v>#DIV/0!</v>
      </c>
      <c r="HY118" s="672" t="e">
        <f>ABS($B$33*HX118*3600)</f>
        <v>#DIV/0!</v>
      </c>
      <c r="HZ118" s="675" t="e">
        <f>ABS($B$34*HX118*3600)</f>
        <v>#DIV/0!</v>
      </c>
      <c r="IA118" s="614" t="e">
        <f>HZ118*$C$79</f>
        <v>#DIV/0!</v>
      </c>
      <c r="IB118" s="672" t="e">
        <f>HZ118*$F$70</f>
        <v>#DIV/0!</v>
      </c>
      <c r="IC118" s="600" t="e">
        <f t="shared" ref="IC118:IC121" si="405">HZ118*$F$75</f>
        <v>#DIV/0!</v>
      </c>
      <c r="ID118" s="672" t="e">
        <f>HZ118*$F$72</f>
        <v>#DIV/0!</v>
      </c>
      <c r="IE118" s="676" t="e">
        <f>HZ118*$F$71</f>
        <v>#DIV/0!</v>
      </c>
      <c r="IF118" s="668"/>
      <c r="IG118" s="669"/>
      <c r="IH118" s="670"/>
      <c r="II118" s="671"/>
      <c r="IJ118" s="678"/>
      <c r="IK118" s="650"/>
      <c r="IL118" s="651">
        <f t="shared" ref="IL118:IL121" si="406">IF(AND(ABS(II118)&gt;=$F$42,ABS(II118)&lt;=$G$42),II118*$D$42,IF(AND(ABS(II118)&gt;=$F$43,ABS(II118)&lt;=$G$43),II118*$D$43,IF(AND(ABS(II118)&gt;=$F$44,ABS(II118)&lt;=$G$44),II118*$D$44,"rango cal. out")))</f>
        <v>0</v>
      </c>
      <c r="IM118" s="619" t="e">
        <f>((273.2+IF118)*$F$32/((273.2+$F$31)*IH118))</f>
        <v>#DIV/0!</v>
      </c>
      <c r="IN118" s="674" t="e">
        <f>IL118/IJ118*IM118*EXP(-LN(2)/10990*($F$88-IK118))</f>
        <v>#DIV/0!</v>
      </c>
      <c r="IO118" s="599" t="e">
        <f>IN118-AVERAGE(IV94:IV95)</f>
        <v>#DIV/0!</v>
      </c>
      <c r="IP118" s="672" t="e">
        <f>ABS($B$33*IO118*3600)</f>
        <v>#DIV/0!</v>
      </c>
      <c r="IQ118" s="675" t="e">
        <f>ABS($B$34*IO118*3600)</f>
        <v>#DIV/0!</v>
      </c>
      <c r="IR118" s="614" t="e">
        <f>IQ118*$C$79</f>
        <v>#DIV/0!</v>
      </c>
      <c r="IS118" s="672" t="e">
        <f>IQ118*$F$70</f>
        <v>#DIV/0!</v>
      </c>
      <c r="IT118" s="600" t="e">
        <f t="shared" ref="IT118:IT121" si="407">IQ118*$F$75</f>
        <v>#DIV/0!</v>
      </c>
      <c r="IU118" s="672" t="e">
        <f>IQ118*$F$72</f>
        <v>#DIV/0!</v>
      </c>
      <c r="IV118" s="676" t="e">
        <f>IQ118*$F$71</f>
        <v>#DIV/0!</v>
      </c>
      <c r="IW118" s="668"/>
      <c r="IX118" s="669"/>
      <c r="IY118" s="670"/>
      <c r="IZ118" s="671"/>
      <c r="JA118" s="678"/>
      <c r="JB118" s="650"/>
      <c r="JC118" s="651">
        <f t="shared" ref="JC118:JC121" si="408">IF(AND(ABS(IZ118)&gt;=$F$42,ABS(IZ118)&lt;=$G$42),IZ118*$D$42,IF(AND(ABS(IZ118)&gt;=$F$43,ABS(IZ118)&lt;=$G$43),IZ118*$D$43,IF(AND(ABS(IZ118)&gt;=$F$44,ABS(IZ118)&lt;=$G$44),IZ118*$D$44,"rango cal. out")))</f>
        <v>0</v>
      </c>
      <c r="JD118" s="619" t="e">
        <f>((273.2+IW118)*$F$32/((273.2+$F$31)*IY118))</f>
        <v>#DIV/0!</v>
      </c>
      <c r="JE118" s="674" t="e">
        <f>JC118/JA118*JD118*EXP(-LN(2)/10990*($F$88-JB118))</f>
        <v>#DIV/0!</v>
      </c>
      <c r="JF118" s="599" t="e">
        <f>JE118-AVERAGE(JM94:JM95)</f>
        <v>#DIV/0!</v>
      </c>
      <c r="JG118" s="672" t="e">
        <f>ABS($B$33*JF118*3600)</f>
        <v>#DIV/0!</v>
      </c>
      <c r="JH118" s="675" t="e">
        <f>ABS($B$34*JF118*3600)</f>
        <v>#DIV/0!</v>
      </c>
      <c r="JI118" s="614" t="e">
        <f>JH118*$C$79</f>
        <v>#DIV/0!</v>
      </c>
      <c r="JJ118" s="672" t="e">
        <f>JH118*$F$70</f>
        <v>#DIV/0!</v>
      </c>
      <c r="JK118" s="600" t="e">
        <f t="shared" ref="JK118:JK121" si="409">JH118*$F$75</f>
        <v>#DIV/0!</v>
      </c>
      <c r="JL118" s="672" t="e">
        <f>JH118*$F$72</f>
        <v>#DIV/0!</v>
      </c>
      <c r="JM118" s="676" t="e">
        <f>JH118*$F$71</f>
        <v>#DIV/0!</v>
      </c>
      <c r="JN118" s="668"/>
      <c r="JO118" s="669"/>
      <c r="JP118" s="670"/>
      <c r="JQ118" s="671"/>
      <c r="JR118" s="678"/>
      <c r="JS118" s="650"/>
      <c r="JT118" s="651">
        <f t="shared" ref="JT118:JT121" si="410">IF(AND(ABS(JQ118)&gt;=$F$42,ABS(JQ118)&lt;=$G$42),JQ118*$D$42,IF(AND(ABS(JQ118)&gt;=$F$43,ABS(JQ118)&lt;=$G$43),JQ118*$D$43,IF(AND(ABS(JQ118)&gt;=$F$44,ABS(JQ118)&lt;=$G$44),JQ118*$D$44,"rango cal. out")))</f>
        <v>0</v>
      </c>
      <c r="JU118" s="619" t="e">
        <f>((273.2+JN118)*$F$32/((273.2+$F$31)*JP118))</f>
        <v>#DIV/0!</v>
      </c>
      <c r="JV118" s="674" t="e">
        <f>JT118/JR118*JU118*EXP(-LN(2)/10990*($F$88-JS118))</f>
        <v>#DIV/0!</v>
      </c>
      <c r="JW118" s="599" t="e">
        <f>JV118-AVERAGE(KD94:KD95)</f>
        <v>#DIV/0!</v>
      </c>
      <c r="JX118" s="672" t="e">
        <f>ABS($B$33*JW118*3600)</f>
        <v>#DIV/0!</v>
      </c>
      <c r="JY118" s="675" t="e">
        <f>ABS($B$34*JW118*3600)</f>
        <v>#DIV/0!</v>
      </c>
      <c r="JZ118" s="614" t="e">
        <f>JY118*$C$79</f>
        <v>#DIV/0!</v>
      </c>
      <c r="KA118" s="672" t="e">
        <f>JY118*$F$70</f>
        <v>#DIV/0!</v>
      </c>
      <c r="KB118" s="600" t="e">
        <f t="shared" ref="KB118:KB121" si="411">JY118*$F$75</f>
        <v>#DIV/0!</v>
      </c>
      <c r="KC118" s="672" t="e">
        <f>JY118*$F$72</f>
        <v>#DIV/0!</v>
      </c>
      <c r="KD118" s="676" t="e">
        <f>JY118*$F$71</f>
        <v>#DIV/0!</v>
      </c>
      <c r="KE118" s="668"/>
      <c r="KF118" s="669"/>
      <c r="KG118" s="670"/>
      <c r="KH118" s="671"/>
      <c r="KI118" s="678"/>
      <c r="KJ118" s="650"/>
      <c r="KK118" s="651">
        <f t="shared" ref="KK118:KK121" si="412">IF(AND(ABS(KH118)&gt;=$F$42,ABS(KH118)&lt;=$G$42),KH118*$D$42,IF(AND(ABS(KH118)&gt;=$F$43,ABS(KH118)&lt;=$G$43),KH118*$D$43,IF(AND(ABS(KH118)&gt;=$F$44,ABS(KH118)&lt;=$G$44),KH118*$D$44,"rango cal. out")))</f>
        <v>0</v>
      </c>
      <c r="KL118" s="619" t="e">
        <f>((273.2+KE118)*$F$32/((273.2+$F$31)*KG118))</f>
        <v>#DIV/0!</v>
      </c>
      <c r="KM118" s="674" t="e">
        <f>KK118/KI118*KL118*EXP(-LN(2)/10990*($F$88-KJ118))</f>
        <v>#DIV/0!</v>
      </c>
      <c r="KN118" s="599" t="e">
        <f>KM118-AVERAGE(KU94:KU95)</f>
        <v>#DIV/0!</v>
      </c>
      <c r="KO118" s="672" t="e">
        <f>ABS($B$33*KN118*3600)</f>
        <v>#DIV/0!</v>
      </c>
      <c r="KP118" s="675" t="e">
        <f>ABS($B$34*KN118*3600)</f>
        <v>#DIV/0!</v>
      </c>
      <c r="KQ118" s="614" t="e">
        <f>KP118*$C$79</f>
        <v>#DIV/0!</v>
      </c>
      <c r="KR118" s="672" t="e">
        <f>KP118*$F$70</f>
        <v>#DIV/0!</v>
      </c>
      <c r="KS118" s="600" t="e">
        <f t="shared" ref="KS118:KS121" si="413">KP118*$F$75</f>
        <v>#DIV/0!</v>
      </c>
      <c r="KT118" s="672" t="e">
        <f>KP118*$F$72</f>
        <v>#DIV/0!</v>
      </c>
      <c r="KU118" s="676" t="e">
        <f>KP118*$F$71</f>
        <v>#DIV/0!</v>
      </c>
      <c r="KV118" s="668"/>
      <c r="KW118" s="669"/>
      <c r="KX118" s="670"/>
      <c r="KY118" s="671"/>
      <c r="KZ118" s="678"/>
      <c r="LA118" s="650"/>
      <c r="LB118" s="651">
        <f t="shared" ref="LB118:LB121" si="414">IF(AND(ABS(KY118)&gt;=$F$42,ABS(KY118)&lt;=$G$42),KY118*$D$42,IF(AND(ABS(KY118)&gt;=$F$43,ABS(KY118)&lt;=$G$43),KY118*$D$43,IF(AND(ABS(KY118)&gt;=$F$44,ABS(KY118)&lt;=$G$44),KY118*$D$44,"rango cal. out")))</f>
        <v>0</v>
      </c>
      <c r="LC118" s="619" t="e">
        <f>((273.2+KV118)*$F$32/((273.2+$F$31)*KX118))</f>
        <v>#DIV/0!</v>
      </c>
      <c r="LD118" s="674" t="e">
        <f>LB118/KZ118*LC118*EXP(-LN(2)/10990*($F$88-LA118))</f>
        <v>#DIV/0!</v>
      </c>
      <c r="LE118" s="599" t="e">
        <f>LD118-AVERAGE(LL94:LL95)</f>
        <v>#DIV/0!</v>
      </c>
      <c r="LF118" s="672" t="e">
        <f>ABS($B$33*LE118*3600)</f>
        <v>#DIV/0!</v>
      </c>
      <c r="LG118" s="675" t="e">
        <f>ABS($B$34*LE118*3600)</f>
        <v>#DIV/0!</v>
      </c>
      <c r="LH118" s="614" t="e">
        <f>LG118*$C$79</f>
        <v>#DIV/0!</v>
      </c>
      <c r="LI118" s="672" t="e">
        <f>LG118*$F$70</f>
        <v>#DIV/0!</v>
      </c>
      <c r="LJ118" s="600" t="e">
        <f t="shared" ref="LJ118:LJ121" si="415">LG118*$F$75</f>
        <v>#DIV/0!</v>
      </c>
      <c r="LK118" s="672" t="e">
        <f>LG118*$F$72</f>
        <v>#DIV/0!</v>
      </c>
      <c r="LL118" s="676" t="e">
        <f>LG118*$F$71</f>
        <v>#DIV/0!</v>
      </c>
      <c r="LM118" s="668"/>
      <c r="LN118" s="669"/>
      <c r="LO118" s="670"/>
      <c r="LP118" s="671"/>
      <c r="LQ118" s="678"/>
      <c r="LR118" s="650"/>
      <c r="LS118" s="651">
        <f t="shared" ref="LS118:LS121" si="416">IF(AND(ABS(LP118)&gt;=$F$42,ABS(LP118)&lt;=$G$42),LP118*$D$42,IF(AND(ABS(LP118)&gt;=$F$43,ABS(LP118)&lt;=$G$43),LP118*$D$43,IF(AND(ABS(LP118)&gt;=$F$44,ABS(LP118)&lt;=$G$44),LP118*$D$44,"rango cal. out")))</f>
        <v>0</v>
      </c>
      <c r="LT118" s="619" t="e">
        <f>((273.2+LM118)*$F$32/((273.2+$F$31)*LO118))</f>
        <v>#DIV/0!</v>
      </c>
      <c r="LU118" s="674" t="e">
        <f>LS118/LQ118*LT118*EXP(-LN(2)/10990*($F$88-LR118))</f>
        <v>#DIV/0!</v>
      </c>
      <c r="LV118" s="599" t="e">
        <f>LU118-AVERAGE(MC94:MC95)</f>
        <v>#DIV/0!</v>
      </c>
      <c r="LW118" s="672" t="e">
        <f>ABS($B$33*LV118*3600)</f>
        <v>#DIV/0!</v>
      </c>
      <c r="LX118" s="675" t="e">
        <f>ABS($B$34*LV118*3600)</f>
        <v>#DIV/0!</v>
      </c>
      <c r="LY118" s="614" t="e">
        <f>LX118*$C$79</f>
        <v>#DIV/0!</v>
      </c>
      <c r="LZ118" s="672" t="e">
        <f>LX118*$F$70</f>
        <v>#DIV/0!</v>
      </c>
      <c r="MA118" s="600" t="e">
        <f t="shared" ref="MA118:MA121" si="417">LX118*$F$75</f>
        <v>#DIV/0!</v>
      </c>
      <c r="MB118" s="672" t="e">
        <f>LX118*$F$72</f>
        <v>#DIV/0!</v>
      </c>
      <c r="MC118" s="676" t="e">
        <f>LX118*$F$71</f>
        <v>#DIV/0!</v>
      </c>
      <c r="MD118" s="668"/>
      <c r="ME118" s="669"/>
      <c r="MF118" s="680"/>
      <c r="MG118" s="671"/>
      <c r="MH118" s="673"/>
      <c r="MI118" s="650"/>
      <c r="MJ118" s="651">
        <f t="shared" ref="MJ118:MJ121" si="418">IF(AND(ABS(MG118)&gt;=$F$42,ABS(MG118)&lt;=$G$42),MG118*$D$42,IF(AND(ABS(MG118)&gt;=$F$43,ABS(MG118)&lt;=$G$43),MG118*$D$43,IF(AND(ABS(MG118)&gt;=$F$44,ABS(MG118)&lt;=$G$44),MG118*$D$44,"rango cal. out")))</f>
        <v>0</v>
      </c>
      <c r="MK118" s="619" t="e">
        <f>((273.2+MD118)*$F$32/((273.2+$F$31)*MF118))</f>
        <v>#DIV/0!</v>
      </c>
      <c r="ML118" s="674" t="e">
        <f>MJ118/MH118*MK118*EXP(-LN(2)/10990*($F$88-MI118))</f>
        <v>#DIV/0!</v>
      </c>
      <c r="MM118" s="599" t="e">
        <f>ML118-AVERAGE(MT94:MT95)</f>
        <v>#DIV/0!</v>
      </c>
      <c r="MN118" s="672" t="e">
        <f>ABS($B$33*MM118*3600)</f>
        <v>#DIV/0!</v>
      </c>
      <c r="MO118" s="675" t="e">
        <f>ABS($B$34*MM118*3600)</f>
        <v>#DIV/0!</v>
      </c>
      <c r="MP118" s="614" t="e">
        <f>MO118*$C$79</f>
        <v>#DIV/0!</v>
      </c>
      <c r="MQ118" s="672" t="e">
        <f>MO118*$F$70</f>
        <v>#DIV/0!</v>
      </c>
      <c r="MR118" s="600" t="e">
        <f t="shared" ref="MR118:MR121" si="419">MO118*$F$75</f>
        <v>#DIV/0!</v>
      </c>
      <c r="MS118" s="672" t="e">
        <f>MO118*$F$72</f>
        <v>#DIV/0!</v>
      </c>
      <c r="MT118" s="676" t="e">
        <f>MO118*$F$71</f>
        <v>#DIV/0!</v>
      </c>
      <c r="MU118" s="668">
        <v>20.7</v>
      </c>
      <c r="MV118" s="669">
        <v>52</v>
      </c>
      <c r="MW118" s="680">
        <v>1007</v>
      </c>
      <c r="MX118" s="671">
        <v>-1.01E-10</v>
      </c>
      <c r="MY118" s="678">
        <v>60</v>
      </c>
      <c r="MZ118" s="650">
        <v>43403</v>
      </c>
      <c r="NA118" s="651" t="str">
        <f t="shared" ref="NA118:NA121" si="420">IF(AND(ABS(MX118)&gt;=$F$42,ABS(MX118)&lt;=$G$42),MX118*$D$42,IF(AND(ABS(MX118)&gt;=$F$43,ABS(MX118)&lt;=$G$43),MX118*$D$43,IF(AND(ABS(MX118)&gt;=$F$44,ABS(MX118)&lt;=$G$44),MX118*$D$44,"rango cal. out")))</f>
        <v>rango cal. out</v>
      </c>
      <c r="NB118" s="619">
        <f>((273.2+MU118)*$F$32/((273.2+$F$31)*MW118))</f>
        <v>0</v>
      </c>
      <c r="NC118" s="674" t="e">
        <f>NA118/MY118*NB118*EXP(-LN(2)/10990*($F$88-MZ118))</f>
        <v>#VALUE!</v>
      </c>
      <c r="ND118" s="599" t="e">
        <f>NC118-AVERAGE(NK94:NK95)</f>
        <v>#VALUE!</v>
      </c>
      <c r="NE118" s="672" t="e">
        <f>ABS($B$33*ND118*3600)</f>
        <v>#VALUE!</v>
      </c>
      <c r="NF118" s="675" t="e">
        <f>ABS($B$34*ND118*3600)</f>
        <v>#VALUE!</v>
      </c>
      <c r="NG118" s="614" t="e">
        <f>NF118*$C$79</f>
        <v>#VALUE!</v>
      </c>
      <c r="NH118" s="672" t="e">
        <f>NF118*$F$70</f>
        <v>#VALUE!</v>
      </c>
      <c r="NI118" s="600" t="e">
        <f t="shared" ref="NI118:NI121" si="421">NF118*$F$75</f>
        <v>#VALUE!</v>
      </c>
      <c r="NJ118" s="672" t="e">
        <f>NF118*$F$72</f>
        <v>#VALUE!</v>
      </c>
      <c r="NK118" s="676" t="e">
        <f>NF118*$F$71</f>
        <v>#VALUE!</v>
      </c>
      <c r="NL118" s="668"/>
      <c r="NM118" s="669"/>
      <c r="NN118" s="670"/>
      <c r="NO118" s="671"/>
      <c r="NP118" s="678"/>
      <c r="NQ118" s="650"/>
      <c r="NR118" s="651">
        <f t="shared" ref="NR118:NR121" si="422">IF(AND(ABS(NO118)&gt;=$F$42,ABS(NO118)&lt;=$G$42),NO118*$D$42,IF(AND(ABS(NO118)&gt;=$F$43,ABS(NO118)&lt;=$G$43),NO118*$D$43,IF(AND(ABS(NO118)&gt;=$F$44,ABS(NO118)&lt;=$G$44),NO118*$D$44,"rango cal. out")))</f>
        <v>0</v>
      </c>
      <c r="NS118" s="619" t="e">
        <f>((273.2+NL118)*$F$32/((273.2+$F$31)*NN118))</f>
        <v>#DIV/0!</v>
      </c>
      <c r="NT118" s="674" t="e">
        <f>NR118/NP118*NS118*EXP(-LN(2)/10990*($F$88-NQ118))</f>
        <v>#DIV/0!</v>
      </c>
      <c r="NU118" s="599" t="e">
        <f>NT118-AVERAGE(OB94:OB95)</f>
        <v>#DIV/0!</v>
      </c>
      <c r="NV118" s="672" t="e">
        <f>ABS($B$33*NU118*3600)</f>
        <v>#DIV/0!</v>
      </c>
      <c r="NW118" s="675" t="e">
        <f>ABS($B$34*NU118*3600)</f>
        <v>#DIV/0!</v>
      </c>
      <c r="NX118" s="614" t="e">
        <f>NW118*$C$79</f>
        <v>#DIV/0!</v>
      </c>
      <c r="NY118" s="672" t="e">
        <f>NW118*$F$70</f>
        <v>#DIV/0!</v>
      </c>
      <c r="NZ118" s="600" t="e">
        <f t="shared" ref="NZ118:NZ121" si="423">NW118*$F$75</f>
        <v>#DIV/0!</v>
      </c>
      <c r="OA118" s="672" t="e">
        <f>NW118*$F$72</f>
        <v>#DIV/0!</v>
      </c>
      <c r="OB118" s="676" t="e">
        <f>NW118*$F$71</f>
        <v>#DIV/0!</v>
      </c>
      <c r="OC118" s="668">
        <v>20.6</v>
      </c>
      <c r="OD118" s="669">
        <v>54</v>
      </c>
      <c r="OE118" s="680">
        <v>1007</v>
      </c>
      <c r="OF118" s="671">
        <v>-2.3380000000000001E-10</v>
      </c>
      <c r="OG118" s="673">
        <v>60</v>
      </c>
      <c r="OH118" s="650">
        <v>43403</v>
      </c>
      <c r="OI118" s="651" t="str">
        <f t="shared" ref="OI118:OI121" si="424">IF(AND(ABS(OF118)&gt;=$F$42,ABS(OF118)&lt;=$G$42),OF118*$D$42,IF(AND(ABS(OF118)&gt;=$F$43,ABS(OF118)&lt;=$G$43),OF118*$D$43,IF(AND(ABS(OF118)&gt;=$F$44,ABS(OF118)&lt;=$G$44),OF118*$D$44,"rango cal. out")))</f>
        <v>rango cal. out</v>
      </c>
      <c r="OJ118" s="619">
        <f>((273.2+OC118)*$F$32/((273.2+$F$31)*OE118))</f>
        <v>0</v>
      </c>
      <c r="OK118" s="674" t="e">
        <f>OI118/OG118*OJ118*EXP(-LN(2)/10990*($F$88-OH118))</f>
        <v>#VALUE!</v>
      </c>
      <c r="OL118" s="599" t="e">
        <f>OK118-AVERAGE(OS94:OS95)</f>
        <v>#VALUE!</v>
      </c>
      <c r="OM118" s="672" t="e">
        <f>ABS($B$33*OL118*3600)</f>
        <v>#VALUE!</v>
      </c>
      <c r="ON118" s="675" t="e">
        <f>ABS($B$34*OL118*3600)</f>
        <v>#VALUE!</v>
      </c>
      <c r="OO118" s="614" t="e">
        <f>ON118*$C$79</f>
        <v>#VALUE!</v>
      </c>
      <c r="OP118" s="672" t="e">
        <f>ON118*$F$70</f>
        <v>#VALUE!</v>
      </c>
      <c r="OQ118" s="600" t="e">
        <f t="shared" ref="OQ118:OQ121" si="425">ON118*$F$75</f>
        <v>#VALUE!</v>
      </c>
      <c r="OR118" s="672" t="e">
        <f>ON118*$F$72</f>
        <v>#VALUE!</v>
      </c>
      <c r="OS118" s="676" t="e">
        <f>ON118*$F$71</f>
        <v>#VALUE!</v>
      </c>
      <c r="OT118" s="668"/>
      <c r="OU118" s="669"/>
      <c r="OV118" s="670"/>
      <c r="OW118" s="671"/>
      <c r="OX118" s="678"/>
      <c r="OY118" s="650"/>
      <c r="OZ118" s="651">
        <f t="shared" ref="OZ118:OZ121" si="426">IF(AND(ABS(OW118)&gt;=$F$42,ABS(OW118)&lt;=$G$42),OW118*$D$42,IF(AND(ABS(OW118)&gt;=$F$43,ABS(OW118)&lt;=$G$43),OW118*$D$43,IF(AND(ABS(OW118)&gt;=$F$44,ABS(OW118)&lt;=$G$44),OW118*$D$44,"rango cal. out")))</f>
        <v>0</v>
      </c>
      <c r="PA118" s="619" t="e">
        <f>((273.2+OT118)*$F$32/((273.2+$F$31)*OV118))</f>
        <v>#DIV/0!</v>
      </c>
      <c r="PB118" s="674" t="e">
        <f>OZ118/OX118*PA118*EXP(-LN(2)/10990*($F$88-OY118))</f>
        <v>#DIV/0!</v>
      </c>
      <c r="PC118" s="599" t="e">
        <f>PB118-AVERAGE(PJ94:PJ95)</f>
        <v>#DIV/0!</v>
      </c>
      <c r="PD118" s="672" t="e">
        <f>ABS($B$33*PC118*3600)</f>
        <v>#DIV/0!</v>
      </c>
      <c r="PE118" s="675" t="e">
        <f>ABS($B$34*PC118*3600)</f>
        <v>#DIV/0!</v>
      </c>
      <c r="PF118" s="614" t="e">
        <f>PE118*$C$79</f>
        <v>#DIV/0!</v>
      </c>
      <c r="PG118" s="672" t="e">
        <f>PE118*$F$70</f>
        <v>#DIV/0!</v>
      </c>
      <c r="PH118" s="600" t="e">
        <f t="shared" ref="PH118:PH121" si="427">PE118*$F$75</f>
        <v>#DIV/0!</v>
      </c>
      <c r="PI118" s="672" t="e">
        <f>PE118*$F$72</f>
        <v>#DIV/0!</v>
      </c>
      <c r="PJ118" s="676" t="e">
        <f>PE118*$F$71</f>
        <v>#DIV/0!</v>
      </c>
      <c r="PK118" s="668"/>
      <c r="PL118" s="669"/>
      <c r="PM118" s="670"/>
      <c r="PN118" s="671"/>
      <c r="PO118" s="678"/>
      <c r="PP118" s="650"/>
      <c r="PQ118" s="651">
        <f t="shared" ref="PQ118:PQ121" si="428">IF(AND(ABS(PN118)&gt;=$F$42,ABS(PN118)&lt;=$G$42),PN118*$D$42,IF(AND(ABS(PN118)&gt;=$F$43,ABS(PN118)&lt;=$G$43),PN118*$D$43,IF(AND(ABS(PN118)&gt;=$F$44,ABS(PN118)&lt;=$G$44),PN118*$D$44,"rango cal. out")))</f>
        <v>0</v>
      </c>
      <c r="PR118" s="619" t="e">
        <f>((273.2+PK118)*$F$32/((273.2+$F$31)*PM118))</f>
        <v>#DIV/0!</v>
      </c>
      <c r="PS118" s="674" t="e">
        <f>PQ118/PO118*PR118*EXP(-LN(2)/10990*($F$88-PP118))</f>
        <v>#DIV/0!</v>
      </c>
      <c r="PT118" s="599" t="e">
        <f>PS118-AVERAGE(QA94:QA95)</f>
        <v>#DIV/0!</v>
      </c>
      <c r="PU118" s="672" t="e">
        <f>ABS($B$33*PT118*3600)</f>
        <v>#DIV/0!</v>
      </c>
      <c r="PV118" s="675" t="e">
        <f>ABS($B$34*PT118*3600)</f>
        <v>#DIV/0!</v>
      </c>
      <c r="PW118" s="614" t="e">
        <f>PV118*$C$79</f>
        <v>#DIV/0!</v>
      </c>
      <c r="PX118" s="672" t="e">
        <f>PV118*$F$70</f>
        <v>#DIV/0!</v>
      </c>
      <c r="PY118" s="600" t="e">
        <f t="shared" ref="PY118:PY121" si="429">PV118*$F$75</f>
        <v>#DIV/0!</v>
      </c>
      <c r="PZ118" s="672" t="e">
        <f>PV118*$F$72</f>
        <v>#DIV/0!</v>
      </c>
      <c r="QA118" s="676" t="e">
        <f>PV118*$F$71</f>
        <v>#DIV/0!</v>
      </c>
      <c r="QB118" s="668"/>
      <c r="QC118" s="669"/>
      <c r="QD118" s="680"/>
      <c r="QE118" s="671"/>
      <c r="QF118" s="673"/>
      <c r="QG118" s="650"/>
      <c r="QH118" s="651">
        <f t="shared" ref="QH118:QH121" si="430">IF(AND(ABS(QE118)&gt;=$F$42,ABS(QE118)&lt;=$G$42),QE118*$D$42,IF(AND(ABS(QE118)&gt;=$F$43,ABS(QE118)&lt;=$G$43),QE118*$D$43,IF(AND(ABS(QE118)&gt;=$F$44,ABS(QE118)&lt;=$G$44),QE118*$D$44,"rango cal. out")))</f>
        <v>0</v>
      </c>
      <c r="QI118" s="619" t="e">
        <f>((273.2+QB118)*$F$32/((273.2+$F$31)*QD118))</f>
        <v>#DIV/0!</v>
      </c>
      <c r="QJ118" s="674" t="e">
        <f>QH118/QF118*QI118*EXP(-LN(2)/10990*($F$88-QG118))</f>
        <v>#DIV/0!</v>
      </c>
      <c r="QK118" s="599" t="e">
        <f>QJ118-AVERAGE(QR94:QR95)</f>
        <v>#DIV/0!</v>
      </c>
      <c r="QL118" s="672" t="e">
        <f>ABS($B$33*QK118*3600)</f>
        <v>#DIV/0!</v>
      </c>
      <c r="QM118" s="675" t="e">
        <f>ABS($B$34*QK118*3600)</f>
        <v>#DIV/0!</v>
      </c>
      <c r="QN118" s="614" t="e">
        <f>QM118*$C$79</f>
        <v>#DIV/0!</v>
      </c>
      <c r="QO118" s="672" t="e">
        <f>QM118*$F$70</f>
        <v>#DIV/0!</v>
      </c>
      <c r="QP118" s="600" t="e">
        <f t="shared" ref="QP118:QP121" si="431">QM118*$F$75</f>
        <v>#DIV/0!</v>
      </c>
      <c r="QQ118" s="672" t="e">
        <f>QM118*$F$72</f>
        <v>#DIV/0!</v>
      </c>
      <c r="QR118" s="676" t="e">
        <f>QM118*$F$71</f>
        <v>#DIV/0!</v>
      </c>
      <c r="QS118" s="668"/>
      <c r="QT118" s="669"/>
      <c r="QU118" s="677"/>
      <c r="QV118" s="679"/>
      <c r="QW118" s="673"/>
      <c r="QX118" s="650"/>
      <c r="QY118" s="651">
        <f t="shared" ref="QY118:QY121" si="432">IF(AND(ABS(QV118)&gt;=$F$42,ABS(QV118)&lt;=$G$42),QV118*$D$42,IF(AND(ABS(QV118)&gt;=$F$43,ABS(QV118)&lt;=$G$43),QV118*$D$43,IF(AND(ABS(QV118)&gt;=$F$44,ABS(QV118)&lt;=$G$44),QV118*$D$44,"rango cal. out")))</f>
        <v>0</v>
      </c>
      <c r="QZ118" s="619" t="e">
        <f>((273.2+QS118)*$F$32/((273.2+$F$31)*QU118))</f>
        <v>#DIV/0!</v>
      </c>
      <c r="RA118" s="674" t="e">
        <f>QY118/QW118*QZ118*EXP(-LN(2)/10990*($F$88-QX118))</f>
        <v>#DIV/0!</v>
      </c>
      <c r="RB118" s="599" t="e">
        <f>RA118-AVERAGE(RI94:RI95)</f>
        <v>#DIV/0!</v>
      </c>
      <c r="RC118" s="672" t="e">
        <f>ABS($B$33*RB118*3600)</f>
        <v>#DIV/0!</v>
      </c>
      <c r="RD118" s="675" t="e">
        <f>ABS($B$34*RB118*3600)</f>
        <v>#DIV/0!</v>
      </c>
      <c r="RE118" s="614" t="e">
        <f>RD118*$C$79</f>
        <v>#DIV/0!</v>
      </c>
      <c r="RF118" s="672" t="e">
        <f>RD118*$F$70</f>
        <v>#DIV/0!</v>
      </c>
      <c r="RG118" s="600" t="e">
        <f t="shared" ref="RG118:RG121" si="433">RD118*$F$75</f>
        <v>#DIV/0!</v>
      </c>
      <c r="RH118" s="672" t="e">
        <f>RD118*$F$72</f>
        <v>#DIV/0!</v>
      </c>
      <c r="RI118" s="676" t="e">
        <f>RD118*$F$71</f>
        <v>#DIV/0!</v>
      </c>
      <c r="RJ118" s="668">
        <v>20.5</v>
      </c>
      <c r="RK118" s="669">
        <v>54</v>
      </c>
      <c r="RL118" s="680">
        <v>1008</v>
      </c>
      <c r="RM118" s="671">
        <v>-1.073E-11</v>
      </c>
      <c r="RN118" s="673">
        <v>60</v>
      </c>
      <c r="RO118" s="650">
        <v>43403</v>
      </c>
      <c r="RP118" s="651" t="str">
        <f t="shared" ref="RP118:RP121" si="434">IF(AND(ABS(RM118)&gt;=$F$42,ABS(RM118)&lt;=$G$42),RM118*$D$42,IF(AND(ABS(RM118)&gt;=$F$43,ABS(RM118)&lt;=$G$43),RM118*$D$43,IF(AND(ABS(RM118)&gt;=$F$44,ABS(RM118)&lt;=$G$44),RM118*$D$44,"rango cal. out")))</f>
        <v>rango cal. out</v>
      </c>
      <c r="RQ118" s="619">
        <f>((273.2+RJ118)*$F$32/((273.2+$F$31)*RL118))</f>
        <v>0</v>
      </c>
      <c r="RR118" s="674" t="e">
        <f>RP118/RN118*RQ118*EXP(-LN(2)/10990*($F$88-RO118))</f>
        <v>#VALUE!</v>
      </c>
      <c r="RS118" s="599" t="e">
        <f>RR118-AVERAGE(RZ94:RZ95)</f>
        <v>#VALUE!</v>
      </c>
      <c r="RT118" s="672" t="e">
        <f>ABS($B$33*RS118*3600)</f>
        <v>#VALUE!</v>
      </c>
      <c r="RU118" s="675" t="e">
        <f>ABS($B$34*RS118*3600)</f>
        <v>#VALUE!</v>
      </c>
      <c r="RV118" s="614" t="e">
        <f>RU118*$C$79</f>
        <v>#VALUE!</v>
      </c>
      <c r="RW118" s="672" t="e">
        <f>RU118*$F$70</f>
        <v>#VALUE!</v>
      </c>
      <c r="RX118" s="600" t="e">
        <f t="shared" ref="RX118:RX121" si="435">RU118*$F$75</f>
        <v>#VALUE!</v>
      </c>
      <c r="RY118" s="672" t="e">
        <f>RU118*$F$72</f>
        <v>#VALUE!</v>
      </c>
      <c r="RZ118" s="676" t="e">
        <f>RU118*$F$71</f>
        <v>#VALUE!</v>
      </c>
      <c r="SA118" s="668">
        <v>20.5</v>
      </c>
      <c r="SB118" s="669">
        <v>56</v>
      </c>
      <c r="SC118" s="680">
        <v>1008</v>
      </c>
      <c r="SD118" s="671">
        <v>-5.7899999999999997E-10</v>
      </c>
      <c r="SE118" s="673">
        <v>60</v>
      </c>
      <c r="SF118" s="650">
        <v>43403</v>
      </c>
      <c r="SG118" s="651" t="str">
        <f t="shared" ref="SG118:SG121" si="436">IF(AND(ABS(SD118)&gt;=$F$42,ABS(SD118)&lt;=$G$42),SD118*$D$42,IF(AND(ABS(SD118)&gt;=$F$43,ABS(SD118)&lt;=$G$43),SD118*$D$43,IF(AND(ABS(SD118)&gt;=$F$44,ABS(SD118)&lt;=$G$44),SD118*$D$44,"rango cal. out")))</f>
        <v>rango cal. out</v>
      </c>
      <c r="SH118" s="619">
        <f>((273.2+SA118)*$F$32/((273.2+$F$31)*SC118))</f>
        <v>0</v>
      </c>
      <c r="SI118" s="674" t="e">
        <f>SG118/SE118*SH118*EXP(-LN(2)/10990*($F$88-SF118))</f>
        <v>#VALUE!</v>
      </c>
      <c r="SJ118" s="599" t="e">
        <f>SI118-AVERAGE(SQ94:SQ95)</f>
        <v>#VALUE!</v>
      </c>
      <c r="SK118" s="672" t="e">
        <f>ABS($B$33*SJ118*3600)</f>
        <v>#VALUE!</v>
      </c>
      <c r="SL118" s="675" t="e">
        <f>ABS($B$34*SJ118*3600)</f>
        <v>#VALUE!</v>
      </c>
      <c r="SM118" s="614" t="e">
        <f>SL118*$C$79</f>
        <v>#VALUE!</v>
      </c>
      <c r="SN118" s="672" t="e">
        <f>SL118*$F$70</f>
        <v>#VALUE!</v>
      </c>
      <c r="SO118" s="600" t="e">
        <f t="shared" ref="SO118:SO121" si="437">SL118*$F$75</f>
        <v>#VALUE!</v>
      </c>
      <c r="SP118" s="672" t="e">
        <f>SL118*$F$72</f>
        <v>#VALUE!</v>
      </c>
      <c r="SQ118" s="676" t="e">
        <f>SL118*$F$71</f>
        <v>#VALUE!</v>
      </c>
      <c r="SR118" s="668"/>
      <c r="SS118" s="669"/>
      <c r="ST118" s="670"/>
      <c r="SU118" s="671"/>
      <c r="SV118" s="678"/>
      <c r="SW118" s="650"/>
      <c r="SX118" s="651">
        <f t="shared" ref="SX118:SX121" si="438">IF(AND(ABS(SU118)&gt;=$F$42,ABS(SU118)&lt;=$G$42),SU118*$D$42,IF(AND(ABS(SU118)&gt;=$F$43,ABS(SU118)&lt;=$G$43),SU118*$D$43,IF(AND(ABS(SU118)&gt;=$F$44,ABS(SU118)&lt;=$G$44),SU118*$D$44,"rango cal. out")))</f>
        <v>0</v>
      </c>
      <c r="SY118" s="619" t="e">
        <f>((273.2+SR118)*$F$32/((273.2+$F$31)*ST118))</f>
        <v>#DIV/0!</v>
      </c>
      <c r="SZ118" s="674" t="e">
        <f>SX118/SV118*SY118*EXP(-LN(2)/10990*($F$88-SW118))</f>
        <v>#DIV/0!</v>
      </c>
      <c r="TA118" s="599" t="e">
        <f>SZ118-AVERAGE(TH94:TH95)</f>
        <v>#DIV/0!</v>
      </c>
      <c r="TB118" s="672" t="e">
        <f>ABS($B$33*TA118*3600)</f>
        <v>#DIV/0!</v>
      </c>
      <c r="TC118" s="675" t="e">
        <f>ABS($B$34*TA118*3600)</f>
        <v>#DIV/0!</v>
      </c>
      <c r="TD118" s="614" t="e">
        <f>TC118*$C$79</f>
        <v>#DIV/0!</v>
      </c>
      <c r="TE118" s="672" t="e">
        <f>TC118*$F$70</f>
        <v>#DIV/0!</v>
      </c>
      <c r="TF118" s="600" t="e">
        <f t="shared" ref="TF118:TF121" si="439">TC118*$F$75</f>
        <v>#DIV/0!</v>
      </c>
      <c r="TG118" s="672" t="e">
        <f>TC118*$F$72</f>
        <v>#DIV/0!</v>
      </c>
      <c r="TH118" s="676" t="e">
        <f>TC118*$F$71</f>
        <v>#DIV/0!</v>
      </c>
      <c r="TI118" s="668">
        <v>20.5</v>
      </c>
      <c r="TJ118" s="669">
        <v>55</v>
      </c>
      <c r="TK118" s="680">
        <v>1008</v>
      </c>
      <c r="TL118" s="671">
        <v>-2.4439999999999998E-11</v>
      </c>
      <c r="TM118" s="673">
        <v>60</v>
      </c>
      <c r="TN118" s="650">
        <v>43403</v>
      </c>
      <c r="TO118" s="651" t="str">
        <f t="shared" ref="TO118:TO121" si="440">IF(AND(ABS(TL118)&gt;=$F$42,ABS(TL118)&lt;=$G$42),TL118*$D$42,IF(AND(ABS(TL118)&gt;=$F$43,ABS(TL118)&lt;=$G$43),TL118*$D$43,IF(AND(ABS(TL118)&gt;=$F$44,ABS(TL118)&lt;=$G$44),TL118*$D$44,"rango cal. out")))</f>
        <v>rango cal. out</v>
      </c>
      <c r="TP118" s="619">
        <f>((273.2+TI118)*$F$32/((273.2+$F$31)*TK118))</f>
        <v>0</v>
      </c>
      <c r="TQ118" s="674" t="e">
        <f>TO118/TM118*TP118*EXP(-LN(2)/10990*($F$88-TN118))</f>
        <v>#VALUE!</v>
      </c>
      <c r="TR118" s="599" t="e">
        <f>TQ118-AVERAGE(TY94:TY95)</f>
        <v>#VALUE!</v>
      </c>
      <c r="TS118" s="672" t="e">
        <f>ABS($B$33*TR118*3600)</f>
        <v>#VALUE!</v>
      </c>
      <c r="TT118" s="675" t="e">
        <f>ABS($B$34*TR118*3600)</f>
        <v>#VALUE!</v>
      </c>
      <c r="TU118" s="614" t="e">
        <f>TT118*$C$79</f>
        <v>#VALUE!</v>
      </c>
      <c r="TV118" s="672" t="e">
        <f>TT118*$F$70</f>
        <v>#VALUE!</v>
      </c>
      <c r="TW118" s="600" t="e">
        <f t="shared" ref="TW118:TW121" si="441">TT118*$F$75</f>
        <v>#VALUE!</v>
      </c>
      <c r="TX118" s="672" t="e">
        <f>TT118*$F$72</f>
        <v>#VALUE!</v>
      </c>
      <c r="TY118" s="676" t="e">
        <f>TT118*$F$71</f>
        <v>#VALUE!</v>
      </c>
    </row>
    <row r="119" spans="1:545" x14ac:dyDescent="0.25">
      <c r="A119" s="2219"/>
      <c r="B119" s="668"/>
      <c r="C119" s="673"/>
      <c r="D119" s="673"/>
      <c r="E119" s="671"/>
      <c r="F119" s="673"/>
      <c r="G119" s="650"/>
      <c r="H119" s="651"/>
      <c r="I119" s="619"/>
      <c r="J119" s="674"/>
      <c r="K119" s="599"/>
      <c r="L119" s="672"/>
      <c r="M119" s="675"/>
      <c r="N119" s="672"/>
      <c r="O119" s="672"/>
      <c r="P119" s="600"/>
      <c r="Q119" s="672"/>
      <c r="R119" s="676"/>
      <c r="S119" s="677"/>
      <c r="T119" s="669"/>
      <c r="U119" s="670"/>
      <c r="V119" s="671"/>
      <c r="W119" s="678"/>
      <c r="X119" s="650"/>
      <c r="Y119" s="651">
        <f t="shared" si="380"/>
        <v>0</v>
      </c>
      <c r="Z119" s="619" t="e">
        <f>((273.2+S119)*$F$32/((273.2+$F$31)*U119))</f>
        <v>#DIV/0!</v>
      </c>
      <c r="AA119" s="674" t="e">
        <f>Y119/W119*Z119*EXP(-LN(2)/10990*($F$88-X119))</f>
        <v>#DIV/0!</v>
      </c>
      <c r="AB119" s="599" t="e">
        <f>AA119-AVERAGE(AI94:AI95)</f>
        <v>#DIV/0!</v>
      </c>
      <c r="AC119" s="672" t="e">
        <f>ABS($B$33*AB119*3600)</f>
        <v>#DIV/0!</v>
      </c>
      <c r="AD119" s="675" t="e">
        <f>ABS($B$34*AB119*3600)</f>
        <v>#DIV/0!</v>
      </c>
      <c r="AE119" s="672" t="e">
        <f>AD119*$C$79</f>
        <v>#DIV/0!</v>
      </c>
      <c r="AF119" s="672" t="e">
        <f>AD119*$F$70</f>
        <v>#DIV/0!</v>
      </c>
      <c r="AG119" s="600" t="e">
        <f t="shared" si="381"/>
        <v>#DIV/0!</v>
      </c>
      <c r="AH119" s="672" t="e">
        <f>AD119*$F$72</f>
        <v>#DIV/0!</v>
      </c>
      <c r="AI119" s="676" t="e">
        <f>AD119*$F$71</f>
        <v>#DIV/0!</v>
      </c>
      <c r="AJ119" s="677"/>
      <c r="AK119" s="669"/>
      <c r="AL119" s="670"/>
      <c r="AM119" s="671"/>
      <c r="AN119" s="678"/>
      <c r="AO119" s="650"/>
      <c r="AP119" s="651">
        <f t="shared" si="382"/>
        <v>0</v>
      </c>
      <c r="AQ119" s="619" t="e">
        <f>((273.2+AJ119)*$F$32/((273.2+$F$31)*AL119))</f>
        <v>#DIV/0!</v>
      </c>
      <c r="AR119" s="674" t="e">
        <f>AP119/AN119*AQ119*EXP(-LN(2)/10990*($F$88-AO119))</f>
        <v>#DIV/0!</v>
      </c>
      <c r="AS119" s="599" t="e">
        <f>AR119-AVERAGE(AZ94:AZ95)</f>
        <v>#DIV/0!</v>
      </c>
      <c r="AT119" s="672" t="e">
        <f>ABS($B$33*AS119*3600)</f>
        <v>#DIV/0!</v>
      </c>
      <c r="AU119" s="675" t="e">
        <f>ABS($B$34*AS119*3600)</f>
        <v>#DIV/0!</v>
      </c>
      <c r="AV119" s="672" t="e">
        <f>AU119*$C$79</f>
        <v>#DIV/0!</v>
      </c>
      <c r="AW119" s="672" t="e">
        <f>AU119*$F$70</f>
        <v>#DIV/0!</v>
      </c>
      <c r="AX119" s="600" t="e">
        <f t="shared" si="383"/>
        <v>#DIV/0!</v>
      </c>
      <c r="AY119" s="672" t="e">
        <f>AU119*$F$72</f>
        <v>#DIV/0!</v>
      </c>
      <c r="AZ119" s="676" t="e">
        <f>AU119*$F$71</f>
        <v>#DIV/0!</v>
      </c>
      <c r="BA119" s="668">
        <v>20.5</v>
      </c>
      <c r="BB119" s="669">
        <v>50</v>
      </c>
      <c r="BC119" s="680">
        <v>1008</v>
      </c>
      <c r="BD119" s="671">
        <v>-1.5E-9</v>
      </c>
      <c r="BE119" s="673">
        <v>60</v>
      </c>
      <c r="BF119" s="650">
        <v>43403</v>
      </c>
      <c r="BG119" s="651" t="str">
        <f t="shared" si="384"/>
        <v>rango cal. out</v>
      </c>
      <c r="BH119" s="619">
        <f>((273.2+BA119)*$F$32/((273.2+$F$31)*BC119))</f>
        <v>0</v>
      </c>
      <c r="BI119" s="674" t="e">
        <f>BG119/BE119*BH119*EXP(-LN(2)/10990*($F$88-BF119))</f>
        <v>#VALUE!</v>
      </c>
      <c r="BJ119" s="599" t="e">
        <f>BI119-AVERAGE(BQ94:BQ95)</f>
        <v>#VALUE!</v>
      </c>
      <c r="BK119" s="672" t="e">
        <f>ABS($B$33*BJ119*3600)</f>
        <v>#VALUE!</v>
      </c>
      <c r="BL119" s="675" t="e">
        <f>ABS($B$34*BJ119*3600)</f>
        <v>#VALUE!</v>
      </c>
      <c r="BM119" s="672" t="e">
        <f>BL119*$C$79</f>
        <v>#VALUE!</v>
      </c>
      <c r="BN119" s="672" t="e">
        <f>BL119*$F$70</f>
        <v>#VALUE!</v>
      </c>
      <c r="BO119" s="600" t="e">
        <f t="shared" si="385"/>
        <v>#VALUE!</v>
      </c>
      <c r="BP119" s="672" t="e">
        <f>BL119*$F$72</f>
        <v>#VALUE!</v>
      </c>
      <c r="BQ119" s="676" t="e">
        <f>BL119*$F$71</f>
        <v>#VALUE!</v>
      </c>
      <c r="BR119" s="668">
        <v>20.5</v>
      </c>
      <c r="BS119" s="669">
        <v>51</v>
      </c>
      <c r="BT119" s="680">
        <v>1007</v>
      </c>
      <c r="BU119" s="671">
        <v>-6.1900000000000001E-11</v>
      </c>
      <c r="BV119" s="673">
        <v>60</v>
      </c>
      <c r="BW119" s="650">
        <v>43403</v>
      </c>
      <c r="BX119" s="651" t="str">
        <f t="shared" si="386"/>
        <v>rango cal. out</v>
      </c>
      <c r="BY119" s="619">
        <f>((273.2+BR119)*$F$32/((273.2+$F$31)*BT119))</f>
        <v>0</v>
      </c>
      <c r="BZ119" s="674" t="e">
        <f>BX119/BV119*BY119*EXP(-LN(2)/10990*($F$88-BW119))</f>
        <v>#VALUE!</v>
      </c>
      <c r="CA119" s="599" t="e">
        <f>BZ119-AVERAGE(CH94:CH95)</f>
        <v>#VALUE!</v>
      </c>
      <c r="CB119" s="672" t="e">
        <f>ABS($B$33*CA119*3600)</f>
        <v>#VALUE!</v>
      </c>
      <c r="CC119" s="675" t="e">
        <f>ABS($B$34*CA119*3600)</f>
        <v>#VALUE!</v>
      </c>
      <c r="CD119" s="672" t="e">
        <f>CC119*$C$79</f>
        <v>#VALUE!</v>
      </c>
      <c r="CE119" s="672" t="e">
        <f>CC119*$F$70</f>
        <v>#VALUE!</v>
      </c>
      <c r="CF119" s="600" t="e">
        <f t="shared" si="387"/>
        <v>#VALUE!</v>
      </c>
      <c r="CG119" s="672" t="e">
        <f>CC119*$F$72</f>
        <v>#VALUE!</v>
      </c>
      <c r="CH119" s="676" t="e">
        <f>CC119*$F$71</f>
        <v>#VALUE!</v>
      </c>
      <c r="CI119" s="668">
        <v>20.5</v>
      </c>
      <c r="CJ119" s="669">
        <v>53</v>
      </c>
      <c r="CK119" s="680">
        <v>1007</v>
      </c>
      <c r="CL119" s="671">
        <v>-3.5039999999999999E-9</v>
      </c>
      <c r="CM119" s="673">
        <v>60</v>
      </c>
      <c r="CN119" s="650">
        <v>43403</v>
      </c>
      <c r="CO119" s="651" t="str">
        <f t="shared" si="388"/>
        <v>rango cal. out</v>
      </c>
      <c r="CP119" s="619">
        <f>((273.2+CI119)*$F$32/((273.2+$F$31)*CK119))</f>
        <v>0</v>
      </c>
      <c r="CQ119" s="674" t="e">
        <f>CO119/CM119*CP119*EXP(-LN(2)/10990*($F$88-CN119))</f>
        <v>#VALUE!</v>
      </c>
      <c r="CR119" s="599" t="e">
        <f>CQ119-AVERAGE(CY94:CY95)</f>
        <v>#VALUE!</v>
      </c>
      <c r="CS119" s="672" t="e">
        <f>ABS($B$33*CR119*3600)</f>
        <v>#VALUE!</v>
      </c>
      <c r="CT119" s="675" t="e">
        <f>ABS($B$34*CR119*3600)</f>
        <v>#VALUE!</v>
      </c>
      <c r="CU119" s="672" t="e">
        <f>CT119*$C$79</f>
        <v>#VALUE!</v>
      </c>
      <c r="CV119" s="672" t="e">
        <f>CT119*$F$70</f>
        <v>#VALUE!</v>
      </c>
      <c r="CW119" s="600" t="e">
        <f t="shared" si="389"/>
        <v>#VALUE!</v>
      </c>
      <c r="CX119" s="672" t="e">
        <f>CT119*$F$72</f>
        <v>#VALUE!</v>
      </c>
      <c r="CY119" s="676" t="e">
        <f>CT119*$F$71</f>
        <v>#VALUE!</v>
      </c>
      <c r="CZ119" s="668"/>
      <c r="DA119" s="669"/>
      <c r="DB119" s="670"/>
      <c r="DC119" s="671"/>
      <c r="DD119" s="678"/>
      <c r="DE119" s="650"/>
      <c r="DF119" s="651">
        <f t="shared" si="390"/>
        <v>0</v>
      </c>
      <c r="DG119" s="619" t="e">
        <f>((273.2+CZ119)*$F$32/((273.2+$F$31)*DB119))</f>
        <v>#DIV/0!</v>
      </c>
      <c r="DH119" s="674" t="e">
        <f>DF119/DD119*DG119*EXP(-LN(2)/10990*($F$88-DE119))</f>
        <v>#DIV/0!</v>
      </c>
      <c r="DI119" s="599" t="e">
        <f>DH119-AVERAGE(DP94:DP95)</f>
        <v>#DIV/0!</v>
      </c>
      <c r="DJ119" s="672" t="e">
        <f>ABS($B$33*DI119*3600)</f>
        <v>#DIV/0!</v>
      </c>
      <c r="DK119" s="675" t="e">
        <f>ABS($B$34*DI119*3600)</f>
        <v>#DIV/0!</v>
      </c>
      <c r="DL119" s="672" t="e">
        <f>DK119*$C$79</f>
        <v>#DIV/0!</v>
      </c>
      <c r="DM119" s="672" t="e">
        <f>DK119*$F$70</f>
        <v>#DIV/0!</v>
      </c>
      <c r="DN119" s="600" t="e">
        <f t="shared" si="391"/>
        <v>#DIV/0!</v>
      </c>
      <c r="DO119" s="672" t="e">
        <f>DK119*$F$72</f>
        <v>#DIV/0!</v>
      </c>
      <c r="DP119" s="676" t="e">
        <f>DK119*$F$71</f>
        <v>#DIV/0!</v>
      </c>
      <c r="DQ119" s="668"/>
      <c r="DR119" s="669"/>
      <c r="DS119" s="677"/>
      <c r="DT119" s="679"/>
      <c r="DU119" s="678"/>
      <c r="DV119" s="650"/>
      <c r="DW119" s="651">
        <f t="shared" si="392"/>
        <v>0</v>
      </c>
      <c r="DX119" s="619" t="e">
        <f>((273.2+DQ119)*$F$32/((273.2+$F$31)*DS119))</f>
        <v>#DIV/0!</v>
      </c>
      <c r="DY119" s="674" t="e">
        <f>DW119/DU119*DX119*EXP(-LN(2)/10990*($F$88-DV119))</f>
        <v>#DIV/0!</v>
      </c>
      <c r="DZ119" s="599" t="e">
        <f>DY119-AVERAGE(EG94:EG95)</f>
        <v>#DIV/0!</v>
      </c>
      <c r="EA119" s="672" t="e">
        <f>ABS($B$33*DZ119*3600)</f>
        <v>#DIV/0!</v>
      </c>
      <c r="EB119" s="675" t="e">
        <f>ABS($B$34*DZ119*3600)</f>
        <v>#DIV/0!</v>
      </c>
      <c r="EC119" s="672" t="e">
        <f>EB119*$C$79</f>
        <v>#DIV/0!</v>
      </c>
      <c r="ED119" s="672" t="e">
        <f>EB119*$F$70</f>
        <v>#DIV/0!</v>
      </c>
      <c r="EE119" s="600" t="e">
        <f t="shared" si="393"/>
        <v>#DIV/0!</v>
      </c>
      <c r="EF119" s="672" t="e">
        <f>EB119*$F$72</f>
        <v>#DIV/0!</v>
      </c>
      <c r="EG119" s="676" t="e">
        <f>EB119*$F$71</f>
        <v>#DIV/0!</v>
      </c>
      <c r="EH119" s="668">
        <v>20.3</v>
      </c>
      <c r="EI119" s="669">
        <v>52</v>
      </c>
      <c r="EJ119" s="680">
        <v>1007</v>
      </c>
      <c r="EK119" s="671">
        <v>-4.6300000000000003E-12</v>
      </c>
      <c r="EL119" s="673">
        <v>60</v>
      </c>
      <c r="EM119" s="650">
        <v>43403</v>
      </c>
      <c r="EN119" s="651" t="str">
        <f t="shared" si="394"/>
        <v>rango cal. out</v>
      </c>
      <c r="EO119" s="619">
        <f>((273.2+EH119)*$F$32/((273.2+$F$31)*EJ119))</f>
        <v>0</v>
      </c>
      <c r="EP119" s="674" t="e">
        <f>EN119/EL119*EO119*EXP(-LN(2)/10990*($F$88-EM119))</f>
        <v>#VALUE!</v>
      </c>
      <c r="EQ119" s="599" t="e">
        <f>EP119-AVERAGE(EX94:EX95)</f>
        <v>#VALUE!</v>
      </c>
      <c r="ER119" s="672" t="e">
        <f>ABS($B$33*EQ119*3600)</f>
        <v>#VALUE!</v>
      </c>
      <c r="ES119" s="675" t="e">
        <f>ABS($B$34*EQ119*3600)</f>
        <v>#VALUE!</v>
      </c>
      <c r="ET119" s="672" t="e">
        <f>ES119*$C$79</f>
        <v>#VALUE!</v>
      </c>
      <c r="EU119" s="672" t="e">
        <f>ES119*$F$70</f>
        <v>#VALUE!</v>
      </c>
      <c r="EV119" s="600" t="e">
        <f t="shared" si="395"/>
        <v>#VALUE!</v>
      </c>
      <c r="EW119" s="672" t="e">
        <f>ES119*$F$72</f>
        <v>#VALUE!</v>
      </c>
      <c r="EX119" s="676" t="e">
        <f>ES119*$F$71</f>
        <v>#VALUE!</v>
      </c>
      <c r="EY119" s="668"/>
      <c r="EZ119" s="669"/>
      <c r="FA119" s="670"/>
      <c r="FB119" s="671"/>
      <c r="FC119" s="678"/>
      <c r="FD119" s="650"/>
      <c r="FE119" s="651">
        <f t="shared" si="396"/>
        <v>0</v>
      </c>
      <c r="FF119" s="619" t="e">
        <f>((273.2+EY119)*$F$32/((273.2+$F$31)*FA119))</f>
        <v>#DIV/0!</v>
      </c>
      <c r="FG119" s="674" t="e">
        <f>FE119/FC119*FF119*EXP(-LN(2)/10990*($F$88-FD119))</f>
        <v>#DIV/0!</v>
      </c>
      <c r="FH119" s="599" t="e">
        <f>FG119-AVERAGE(FO94:FO95)</f>
        <v>#DIV/0!</v>
      </c>
      <c r="FI119" s="672" t="e">
        <f>ABS($B$33*FH119*3600)</f>
        <v>#DIV/0!</v>
      </c>
      <c r="FJ119" s="675" t="e">
        <f>ABS($B$34*FH119*3600)</f>
        <v>#DIV/0!</v>
      </c>
      <c r="FK119" s="672" t="e">
        <f>FJ119*$C$79</f>
        <v>#DIV/0!</v>
      </c>
      <c r="FL119" s="672" t="e">
        <f>FJ119*$F$70</f>
        <v>#DIV/0!</v>
      </c>
      <c r="FM119" s="600" t="e">
        <f t="shared" si="397"/>
        <v>#DIV/0!</v>
      </c>
      <c r="FN119" s="672" t="e">
        <f>FJ119*$F$72</f>
        <v>#DIV/0!</v>
      </c>
      <c r="FO119" s="676" t="e">
        <f>FJ119*$F$71</f>
        <v>#DIV/0!</v>
      </c>
      <c r="FP119" s="668"/>
      <c r="FQ119" s="669"/>
      <c r="FR119" s="670"/>
      <c r="FS119" s="671"/>
      <c r="FT119" s="678"/>
      <c r="FU119" s="650"/>
      <c r="FV119" s="651">
        <f t="shared" si="398"/>
        <v>0</v>
      </c>
      <c r="FW119" s="619" t="e">
        <f>((273.2+FP119)*$F$32/((273.2+$F$31)*FR119))</f>
        <v>#DIV/0!</v>
      </c>
      <c r="FX119" s="674" t="e">
        <f>FV119/FT119*FW119*EXP(-LN(2)/10990*($F$88-FU119))</f>
        <v>#DIV/0!</v>
      </c>
      <c r="FY119" s="599" t="e">
        <f>FX119-AVERAGE(GF94:GF95)</f>
        <v>#DIV/0!</v>
      </c>
      <c r="FZ119" s="672" t="e">
        <f>ABS($B$33*FY119*3600)</f>
        <v>#DIV/0!</v>
      </c>
      <c r="GA119" s="675" t="e">
        <f>ABS($B$34*FY119*3600)</f>
        <v>#DIV/0!</v>
      </c>
      <c r="GB119" s="672" t="e">
        <f>GA119*$C$79</f>
        <v>#DIV/0!</v>
      </c>
      <c r="GC119" s="672" t="e">
        <f>GA119*$F$70</f>
        <v>#DIV/0!</v>
      </c>
      <c r="GD119" s="600" t="e">
        <f t="shared" si="399"/>
        <v>#DIV/0!</v>
      </c>
      <c r="GE119" s="672" t="e">
        <f>GA119*$F$72</f>
        <v>#DIV/0!</v>
      </c>
      <c r="GF119" s="676" t="e">
        <f>GA119*$F$71</f>
        <v>#DIV/0!</v>
      </c>
      <c r="GG119" s="668"/>
      <c r="GH119" s="669"/>
      <c r="GI119" s="677"/>
      <c r="GJ119" s="679"/>
      <c r="GK119" s="678"/>
      <c r="GL119" s="650"/>
      <c r="GM119" s="651">
        <f t="shared" si="400"/>
        <v>0</v>
      </c>
      <c r="GN119" s="619" t="e">
        <f>((273.2+GG119)*$F$32/((273.2+$F$31)*GI119))</f>
        <v>#DIV/0!</v>
      </c>
      <c r="GO119" s="674" t="e">
        <f>GM119/GK119*GN119*EXP(-LN(2)/10990*($F$88-GL119))</f>
        <v>#DIV/0!</v>
      </c>
      <c r="GP119" s="599" t="e">
        <f>GO119-AVERAGE(GW94:GW95)</f>
        <v>#DIV/0!</v>
      </c>
      <c r="GQ119" s="672" t="e">
        <f>ABS($B$33*GP119*3600)</f>
        <v>#DIV/0!</v>
      </c>
      <c r="GR119" s="675" t="e">
        <f>ABS($B$34*GP119*3600)</f>
        <v>#DIV/0!</v>
      </c>
      <c r="GS119" s="672" t="e">
        <f>GR119*$C$79</f>
        <v>#DIV/0!</v>
      </c>
      <c r="GT119" s="672" t="e">
        <f>GR119*$F$70</f>
        <v>#DIV/0!</v>
      </c>
      <c r="GU119" s="600" t="e">
        <f t="shared" si="401"/>
        <v>#DIV/0!</v>
      </c>
      <c r="GV119" s="672" t="e">
        <f>GR119*$F$72</f>
        <v>#DIV/0!</v>
      </c>
      <c r="GW119" s="676" t="e">
        <f>GR119*$F$71</f>
        <v>#DIV/0!</v>
      </c>
      <c r="GX119" s="668"/>
      <c r="GY119" s="669"/>
      <c r="GZ119" s="670"/>
      <c r="HA119" s="671"/>
      <c r="HB119" s="678"/>
      <c r="HC119" s="650"/>
      <c r="HD119" s="651">
        <f t="shared" si="402"/>
        <v>0</v>
      </c>
      <c r="HE119" s="619" t="e">
        <f>((273.2+GX119)*$F$32/((273.2+$F$31)*GZ119))</f>
        <v>#DIV/0!</v>
      </c>
      <c r="HF119" s="674" t="e">
        <f>HD119/HB119*HE119*EXP(-LN(2)/10990*($F$88-HC119))</f>
        <v>#DIV/0!</v>
      </c>
      <c r="HG119" s="599" t="e">
        <f>HF119-AVERAGE(HN94:HN95)</f>
        <v>#DIV/0!</v>
      </c>
      <c r="HH119" s="672" t="e">
        <f>ABS($B$33*HG119*3600)</f>
        <v>#DIV/0!</v>
      </c>
      <c r="HI119" s="675" t="e">
        <f>ABS($B$34*HG119*3600)</f>
        <v>#DIV/0!</v>
      </c>
      <c r="HJ119" s="672" t="e">
        <f>HI119*$C$79</f>
        <v>#DIV/0!</v>
      </c>
      <c r="HK119" s="672" t="e">
        <f>HI119*$F$70</f>
        <v>#DIV/0!</v>
      </c>
      <c r="HL119" s="600" t="e">
        <f t="shared" si="403"/>
        <v>#DIV/0!</v>
      </c>
      <c r="HM119" s="672" t="e">
        <f>HI119*$F$72</f>
        <v>#DIV/0!</v>
      </c>
      <c r="HN119" s="676" t="e">
        <f>HI119*$F$71</f>
        <v>#DIV/0!</v>
      </c>
      <c r="HO119" s="668"/>
      <c r="HP119" s="669"/>
      <c r="HQ119" s="670"/>
      <c r="HR119" s="671"/>
      <c r="HS119" s="678"/>
      <c r="HT119" s="650"/>
      <c r="HU119" s="651">
        <f t="shared" si="404"/>
        <v>0</v>
      </c>
      <c r="HV119" s="619" t="e">
        <f>((273.2+HO119)*$F$32/((273.2+$F$31)*HQ119))</f>
        <v>#DIV/0!</v>
      </c>
      <c r="HW119" s="674" t="e">
        <f>HU119/HS119*HV119*EXP(-LN(2)/10990*($F$88-HT119))</f>
        <v>#DIV/0!</v>
      </c>
      <c r="HX119" s="599" t="e">
        <f>HW119-AVERAGE(IE94:IE95)</f>
        <v>#DIV/0!</v>
      </c>
      <c r="HY119" s="672" t="e">
        <f>ABS($B$33*HX119*3600)</f>
        <v>#DIV/0!</v>
      </c>
      <c r="HZ119" s="675" t="e">
        <f>ABS($B$34*HX119*3600)</f>
        <v>#DIV/0!</v>
      </c>
      <c r="IA119" s="672" t="e">
        <f>HZ119*$C$79</f>
        <v>#DIV/0!</v>
      </c>
      <c r="IB119" s="672" t="e">
        <f>HZ119*$F$70</f>
        <v>#DIV/0!</v>
      </c>
      <c r="IC119" s="600" t="e">
        <f t="shared" si="405"/>
        <v>#DIV/0!</v>
      </c>
      <c r="ID119" s="672" t="e">
        <f>HZ119*$F$72</f>
        <v>#DIV/0!</v>
      </c>
      <c r="IE119" s="676" t="e">
        <f>HZ119*$F$71</f>
        <v>#DIV/0!</v>
      </c>
      <c r="IF119" s="668"/>
      <c r="IG119" s="669"/>
      <c r="IH119" s="670"/>
      <c r="II119" s="671"/>
      <c r="IJ119" s="678"/>
      <c r="IK119" s="650"/>
      <c r="IL119" s="651">
        <f t="shared" si="406"/>
        <v>0</v>
      </c>
      <c r="IM119" s="619" t="e">
        <f>((273.2+IF119)*$F$32/((273.2+$F$31)*IH119))</f>
        <v>#DIV/0!</v>
      </c>
      <c r="IN119" s="674" t="e">
        <f>IL119/IJ119*IM119*EXP(-LN(2)/10990*($F$88-IK119))</f>
        <v>#DIV/0!</v>
      </c>
      <c r="IO119" s="599" t="e">
        <f>IN119-AVERAGE(IV94:IV95)</f>
        <v>#DIV/0!</v>
      </c>
      <c r="IP119" s="672" t="e">
        <f>ABS($B$33*IO119*3600)</f>
        <v>#DIV/0!</v>
      </c>
      <c r="IQ119" s="675" t="e">
        <f>ABS($B$34*IO119*3600)</f>
        <v>#DIV/0!</v>
      </c>
      <c r="IR119" s="672" t="e">
        <f>IQ119*$C$79</f>
        <v>#DIV/0!</v>
      </c>
      <c r="IS119" s="672" t="e">
        <f>IQ119*$F$70</f>
        <v>#DIV/0!</v>
      </c>
      <c r="IT119" s="600" t="e">
        <f t="shared" si="407"/>
        <v>#DIV/0!</v>
      </c>
      <c r="IU119" s="672" t="e">
        <f>IQ119*$F$72</f>
        <v>#DIV/0!</v>
      </c>
      <c r="IV119" s="676" t="e">
        <f>IQ119*$F$71</f>
        <v>#DIV/0!</v>
      </c>
      <c r="IW119" s="668"/>
      <c r="IX119" s="669"/>
      <c r="IY119" s="670"/>
      <c r="IZ119" s="671"/>
      <c r="JA119" s="678"/>
      <c r="JB119" s="650"/>
      <c r="JC119" s="651">
        <f t="shared" si="408"/>
        <v>0</v>
      </c>
      <c r="JD119" s="619" t="e">
        <f>((273.2+IW119)*$F$32/((273.2+$F$31)*IY119))</f>
        <v>#DIV/0!</v>
      </c>
      <c r="JE119" s="674" t="e">
        <f>JC119/JA119*JD119*EXP(-LN(2)/10990*($F$88-JB119))</f>
        <v>#DIV/0!</v>
      </c>
      <c r="JF119" s="599" t="e">
        <f>JE119-AVERAGE(JM94:JM95)</f>
        <v>#DIV/0!</v>
      </c>
      <c r="JG119" s="672" t="e">
        <f>ABS($B$33*JF119*3600)</f>
        <v>#DIV/0!</v>
      </c>
      <c r="JH119" s="675" t="e">
        <f>ABS($B$34*JF119*3600)</f>
        <v>#DIV/0!</v>
      </c>
      <c r="JI119" s="672" t="e">
        <f>JH119*$C$79</f>
        <v>#DIV/0!</v>
      </c>
      <c r="JJ119" s="672" t="e">
        <f>JH119*$F$70</f>
        <v>#DIV/0!</v>
      </c>
      <c r="JK119" s="600" t="e">
        <f t="shared" si="409"/>
        <v>#DIV/0!</v>
      </c>
      <c r="JL119" s="672" t="e">
        <f>JH119*$F$72</f>
        <v>#DIV/0!</v>
      </c>
      <c r="JM119" s="676" t="e">
        <f>JH119*$F$71</f>
        <v>#DIV/0!</v>
      </c>
      <c r="JN119" s="668"/>
      <c r="JO119" s="669"/>
      <c r="JP119" s="670"/>
      <c r="JQ119" s="671"/>
      <c r="JR119" s="678"/>
      <c r="JS119" s="650"/>
      <c r="JT119" s="651">
        <f t="shared" si="410"/>
        <v>0</v>
      </c>
      <c r="JU119" s="619" t="e">
        <f>((273.2+JN119)*$F$32/((273.2+$F$31)*JP119))</f>
        <v>#DIV/0!</v>
      </c>
      <c r="JV119" s="674" t="e">
        <f>JT119/JR119*JU119*EXP(-LN(2)/10990*($F$88-JS119))</f>
        <v>#DIV/0!</v>
      </c>
      <c r="JW119" s="599" t="e">
        <f>JV119-AVERAGE(KD94:KD95)</f>
        <v>#DIV/0!</v>
      </c>
      <c r="JX119" s="672" t="e">
        <f>ABS($B$33*JW119*3600)</f>
        <v>#DIV/0!</v>
      </c>
      <c r="JY119" s="675" t="e">
        <f>ABS($B$34*JW119*3600)</f>
        <v>#DIV/0!</v>
      </c>
      <c r="JZ119" s="672" t="e">
        <f>JY119*$C$79</f>
        <v>#DIV/0!</v>
      </c>
      <c r="KA119" s="672" t="e">
        <f>JY119*$F$70</f>
        <v>#DIV/0!</v>
      </c>
      <c r="KB119" s="600" t="e">
        <f t="shared" si="411"/>
        <v>#DIV/0!</v>
      </c>
      <c r="KC119" s="672" t="e">
        <f>JY119*$F$72</f>
        <v>#DIV/0!</v>
      </c>
      <c r="KD119" s="676" t="e">
        <f>JY119*$F$71</f>
        <v>#DIV/0!</v>
      </c>
      <c r="KE119" s="668"/>
      <c r="KF119" s="669"/>
      <c r="KG119" s="670"/>
      <c r="KH119" s="671"/>
      <c r="KI119" s="678"/>
      <c r="KJ119" s="650"/>
      <c r="KK119" s="651">
        <f t="shared" si="412"/>
        <v>0</v>
      </c>
      <c r="KL119" s="619" t="e">
        <f>((273.2+KE119)*$F$32/((273.2+$F$31)*KG119))</f>
        <v>#DIV/0!</v>
      </c>
      <c r="KM119" s="674" t="e">
        <f>KK119/KI119*KL119*EXP(-LN(2)/10990*($F$88-KJ119))</f>
        <v>#DIV/0!</v>
      </c>
      <c r="KN119" s="599" t="e">
        <f>KM119-AVERAGE(KU94:KU95)</f>
        <v>#DIV/0!</v>
      </c>
      <c r="KO119" s="672" t="e">
        <f>ABS($B$33*KN119*3600)</f>
        <v>#DIV/0!</v>
      </c>
      <c r="KP119" s="675" t="e">
        <f>ABS($B$34*KN119*3600)</f>
        <v>#DIV/0!</v>
      </c>
      <c r="KQ119" s="672" t="e">
        <f>KP119*$C$79</f>
        <v>#DIV/0!</v>
      </c>
      <c r="KR119" s="672" t="e">
        <f>KP119*$F$70</f>
        <v>#DIV/0!</v>
      </c>
      <c r="KS119" s="600" t="e">
        <f t="shared" si="413"/>
        <v>#DIV/0!</v>
      </c>
      <c r="KT119" s="672" t="e">
        <f>KP119*$F$72</f>
        <v>#DIV/0!</v>
      </c>
      <c r="KU119" s="676" t="e">
        <f>KP119*$F$71</f>
        <v>#DIV/0!</v>
      </c>
      <c r="KV119" s="668"/>
      <c r="KW119" s="669"/>
      <c r="KX119" s="670"/>
      <c r="KY119" s="671"/>
      <c r="KZ119" s="678"/>
      <c r="LA119" s="650"/>
      <c r="LB119" s="651">
        <f t="shared" si="414"/>
        <v>0</v>
      </c>
      <c r="LC119" s="619" t="e">
        <f>((273.2+KV119)*$F$32/((273.2+$F$31)*KX119))</f>
        <v>#DIV/0!</v>
      </c>
      <c r="LD119" s="674" t="e">
        <f>LB119/KZ119*LC119*EXP(-LN(2)/10990*($F$88-LA119))</f>
        <v>#DIV/0!</v>
      </c>
      <c r="LE119" s="599" t="e">
        <f>LD119-AVERAGE(LL94:LL95)</f>
        <v>#DIV/0!</v>
      </c>
      <c r="LF119" s="672" t="e">
        <f>ABS($B$33*LE119*3600)</f>
        <v>#DIV/0!</v>
      </c>
      <c r="LG119" s="675" t="e">
        <f>ABS($B$34*LE119*3600)</f>
        <v>#DIV/0!</v>
      </c>
      <c r="LH119" s="672" t="e">
        <f>LG119*$C$79</f>
        <v>#DIV/0!</v>
      </c>
      <c r="LI119" s="672" t="e">
        <f>LG119*$F$70</f>
        <v>#DIV/0!</v>
      </c>
      <c r="LJ119" s="600" t="e">
        <f t="shared" si="415"/>
        <v>#DIV/0!</v>
      </c>
      <c r="LK119" s="672" t="e">
        <f>LG119*$F$72</f>
        <v>#DIV/0!</v>
      </c>
      <c r="LL119" s="676" t="e">
        <f>LG119*$F$71</f>
        <v>#DIV/0!</v>
      </c>
      <c r="LM119" s="668"/>
      <c r="LN119" s="669"/>
      <c r="LO119" s="670"/>
      <c r="LP119" s="671"/>
      <c r="LQ119" s="678"/>
      <c r="LR119" s="650"/>
      <c r="LS119" s="651">
        <f t="shared" si="416"/>
        <v>0</v>
      </c>
      <c r="LT119" s="619" t="e">
        <f>((273.2+LM119)*$F$32/((273.2+$F$31)*LO119))</f>
        <v>#DIV/0!</v>
      </c>
      <c r="LU119" s="674" t="e">
        <f>LS119/LQ119*LT119*EXP(-LN(2)/10990*($F$88-LR119))</f>
        <v>#DIV/0!</v>
      </c>
      <c r="LV119" s="599" t="e">
        <f>LU119-AVERAGE(MC94:MC95)</f>
        <v>#DIV/0!</v>
      </c>
      <c r="LW119" s="672" t="e">
        <f>ABS($B$33*LV119*3600)</f>
        <v>#DIV/0!</v>
      </c>
      <c r="LX119" s="675" t="e">
        <f>ABS($B$34*LV119*3600)</f>
        <v>#DIV/0!</v>
      </c>
      <c r="LY119" s="672" t="e">
        <f>LX119*$C$79</f>
        <v>#DIV/0!</v>
      </c>
      <c r="LZ119" s="672" t="e">
        <f>LX119*$F$70</f>
        <v>#DIV/0!</v>
      </c>
      <c r="MA119" s="600" t="e">
        <f t="shared" si="417"/>
        <v>#DIV/0!</v>
      </c>
      <c r="MB119" s="672" t="e">
        <f>LX119*$F$72</f>
        <v>#DIV/0!</v>
      </c>
      <c r="MC119" s="676" t="e">
        <f>LX119*$F$71</f>
        <v>#DIV/0!</v>
      </c>
      <c r="MD119" s="668"/>
      <c r="ME119" s="669"/>
      <c r="MF119" s="680"/>
      <c r="MG119" s="671"/>
      <c r="MH119" s="673"/>
      <c r="MI119" s="650"/>
      <c r="MJ119" s="651">
        <f t="shared" si="418"/>
        <v>0</v>
      </c>
      <c r="MK119" s="619" t="e">
        <f>((273.2+MD119)*$F$32/((273.2+$F$31)*MF119))</f>
        <v>#DIV/0!</v>
      </c>
      <c r="ML119" s="674" t="e">
        <f>MJ119/MH119*MK119*EXP(-LN(2)/10990*($F$88-MI119))</f>
        <v>#DIV/0!</v>
      </c>
      <c r="MM119" s="599" t="e">
        <f>ML119-AVERAGE(MT94:MT95)</f>
        <v>#DIV/0!</v>
      </c>
      <c r="MN119" s="672" t="e">
        <f>ABS($B$33*MM119*3600)</f>
        <v>#DIV/0!</v>
      </c>
      <c r="MO119" s="675" t="e">
        <f>ABS($B$34*MM119*3600)</f>
        <v>#DIV/0!</v>
      </c>
      <c r="MP119" s="672" t="e">
        <f>MO119*$C$79</f>
        <v>#DIV/0!</v>
      </c>
      <c r="MQ119" s="672" t="e">
        <f>MO119*$F$70</f>
        <v>#DIV/0!</v>
      </c>
      <c r="MR119" s="600" t="e">
        <f t="shared" si="419"/>
        <v>#DIV/0!</v>
      </c>
      <c r="MS119" s="672" t="e">
        <f>MO119*$F$72</f>
        <v>#DIV/0!</v>
      </c>
      <c r="MT119" s="676" t="e">
        <f>MO119*$F$71</f>
        <v>#DIV/0!</v>
      </c>
      <c r="MU119" s="668">
        <v>20.3</v>
      </c>
      <c r="MV119" s="669">
        <v>53</v>
      </c>
      <c r="MW119" s="680">
        <v>1007</v>
      </c>
      <c r="MX119" s="671">
        <v>-1.009E-10</v>
      </c>
      <c r="MY119" s="678">
        <v>60</v>
      </c>
      <c r="MZ119" s="650">
        <v>43403</v>
      </c>
      <c r="NA119" s="651" t="str">
        <f t="shared" si="420"/>
        <v>rango cal. out</v>
      </c>
      <c r="NB119" s="619">
        <f>((273.2+MU119)*$F$32/((273.2+$F$31)*MW119))</f>
        <v>0</v>
      </c>
      <c r="NC119" s="674" t="e">
        <f>NA119/MY119*NB119*EXP(-LN(2)/10990*($F$88-MZ119))</f>
        <v>#VALUE!</v>
      </c>
      <c r="ND119" s="599" t="e">
        <f>NC119-AVERAGE(NK94:NK95)</f>
        <v>#VALUE!</v>
      </c>
      <c r="NE119" s="672" t="e">
        <f>ABS($B$33*ND119*3600)</f>
        <v>#VALUE!</v>
      </c>
      <c r="NF119" s="675" t="e">
        <f>ABS($B$34*ND119*3600)</f>
        <v>#VALUE!</v>
      </c>
      <c r="NG119" s="672" t="e">
        <f>NF119*$C$79</f>
        <v>#VALUE!</v>
      </c>
      <c r="NH119" s="672" t="e">
        <f>NF119*$F$70</f>
        <v>#VALUE!</v>
      </c>
      <c r="NI119" s="600" t="e">
        <f t="shared" si="421"/>
        <v>#VALUE!</v>
      </c>
      <c r="NJ119" s="672" t="e">
        <f>NF119*$F$72</f>
        <v>#VALUE!</v>
      </c>
      <c r="NK119" s="676" t="e">
        <f>NF119*$F$71</f>
        <v>#VALUE!</v>
      </c>
      <c r="NL119" s="668"/>
      <c r="NM119" s="669"/>
      <c r="NN119" s="670"/>
      <c r="NO119" s="671"/>
      <c r="NP119" s="678"/>
      <c r="NQ119" s="650"/>
      <c r="NR119" s="651">
        <f t="shared" si="422"/>
        <v>0</v>
      </c>
      <c r="NS119" s="619" t="e">
        <f>((273.2+NL119)*$F$32/((273.2+$F$31)*NN119))</f>
        <v>#DIV/0!</v>
      </c>
      <c r="NT119" s="674" t="e">
        <f>NR119/NP119*NS119*EXP(-LN(2)/10990*($F$88-NQ119))</f>
        <v>#DIV/0!</v>
      </c>
      <c r="NU119" s="599" t="e">
        <f>NT119-AVERAGE(OB94:OB95)</f>
        <v>#DIV/0!</v>
      </c>
      <c r="NV119" s="672" t="e">
        <f>ABS($B$33*NU119*3600)</f>
        <v>#DIV/0!</v>
      </c>
      <c r="NW119" s="675" t="e">
        <f>ABS($B$34*NU119*3600)</f>
        <v>#DIV/0!</v>
      </c>
      <c r="NX119" s="672" t="e">
        <f>NW119*$C$79</f>
        <v>#DIV/0!</v>
      </c>
      <c r="NY119" s="672" t="e">
        <f>NW119*$F$70</f>
        <v>#DIV/0!</v>
      </c>
      <c r="NZ119" s="600" t="e">
        <f t="shared" si="423"/>
        <v>#DIV/0!</v>
      </c>
      <c r="OA119" s="672" t="e">
        <f>NW119*$F$72</f>
        <v>#DIV/0!</v>
      </c>
      <c r="OB119" s="676" t="e">
        <f>NW119*$F$71</f>
        <v>#DIV/0!</v>
      </c>
      <c r="OC119" s="668">
        <v>20.5</v>
      </c>
      <c r="OD119" s="669">
        <v>52</v>
      </c>
      <c r="OE119" s="680">
        <v>1007</v>
      </c>
      <c r="OF119" s="671">
        <v>-2.3400000000000002E-10</v>
      </c>
      <c r="OG119" s="673">
        <v>60</v>
      </c>
      <c r="OH119" s="650">
        <v>43403</v>
      </c>
      <c r="OI119" s="651" t="str">
        <f t="shared" si="424"/>
        <v>rango cal. out</v>
      </c>
      <c r="OJ119" s="619">
        <f>((273.2+OC119)*$F$32/((273.2+$F$31)*OE119))</f>
        <v>0</v>
      </c>
      <c r="OK119" s="674" t="e">
        <f>OI119/OG119*OJ119*EXP(-LN(2)/10990*($F$88-OH119))</f>
        <v>#VALUE!</v>
      </c>
      <c r="OL119" s="599" t="e">
        <f>OK119-AVERAGE(OS94:OS95)</f>
        <v>#VALUE!</v>
      </c>
      <c r="OM119" s="672" t="e">
        <f>ABS($B$33*OL119*3600)</f>
        <v>#VALUE!</v>
      </c>
      <c r="ON119" s="675" t="e">
        <f>ABS($B$34*OL119*3600)</f>
        <v>#VALUE!</v>
      </c>
      <c r="OO119" s="672" t="e">
        <f>ON119*$C$79</f>
        <v>#VALUE!</v>
      </c>
      <c r="OP119" s="672" t="e">
        <f>ON119*$F$70</f>
        <v>#VALUE!</v>
      </c>
      <c r="OQ119" s="600" t="e">
        <f t="shared" si="425"/>
        <v>#VALUE!</v>
      </c>
      <c r="OR119" s="672" t="e">
        <f>ON119*$F$72</f>
        <v>#VALUE!</v>
      </c>
      <c r="OS119" s="676" t="e">
        <f>ON119*$F$71</f>
        <v>#VALUE!</v>
      </c>
      <c r="OT119" s="668"/>
      <c r="OU119" s="669"/>
      <c r="OV119" s="670"/>
      <c r="OW119" s="671"/>
      <c r="OX119" s="678"/>
      <c r="OY119" s="650"/>
      <c r="OZ119" s="651">
        <f t="shared" si="426"/>
        <v>0</v>
      </c>
      <c r="PA119" s="619" t="e">
        <f>((273.2+OT119)*$F$32/((273.2+$F$31)*OV119))</f>
        <v>#DIV/0!</v>
      </c>
      <c r="PB119" s="674" t="e">
        <f>OZ119/OX119*PA119*EXP(-LN(2)/10990*($F$88-OY119))</f>
        <v>#DIV/0!</v>
      </c>
      <c r="PC119" s="599" t="e">
        <f>PB119-AVERAGE(PJ94:PJ95)</f>
        <v>#DIV/0!</v>
      </c>
      <c r="PD119" s="672" t="e">
        <f>ABS($B$33*PC119*3600)</f>
        <v>#DIV/0!</v>
      </c>
      <c r="PE119" s="675" t="e">
        <f>ABS($B$34*PC119*3600)</f>
        <v>#DIV/0!</v>
      </c>
      <c r="PF119" s="672" t="e">
        <f>PE119*$C$79</f>
        <v>#DIV/0!</v>
      </c>
      <c r="PG119" s="672" t="e">
        <f>PE119*$F$70</f>
        <v>#DIV/0!</v>
      </c>
      <c r="PH119" s="600" t="e">
        <f t="shared" si="427"/>
        <v>#DIV/0!</v>
      </c>
      <c r="PI119" s="672" t="e">
        <f>PE119*$F$72</f>
        <v>#DIV/0!</v>
      </c>
      <c r="PJ119" s="676" t="e">
        <f>PE119*$F$71</f>
        <v>#DIV/0!</v>
      </c>
      <c r="PK119" s="668"/>
      <c r="PL119" s="669"/>
      <c r="PM119" s="670"/>
      <c r="PN119" s="671"/>
      <c r="PO119" s="678"/>
      <c r="PP119" s="650"/>
      <c r="PQ119" s="651">
        <f t="shared" si="428"/>
        <v>0</v>
      </c>
      <c r="PR119" s="619" t="e">
        <f>((273.2+PK119)*$F$32/((273.2+$F$31)*PM119))</f>
        <v>#DIV/0!</v>
      </c>
      <c r="PS119" s="674" t="e">
        <f>PQ119/PO119*PR119*EXP(-LN(2)/10990*($F$88-PP119))</f>
        <v>#DIV/0!</v>
      </c>
      <c r="PT119" s="599" t="e">
        <f>PS119-AVERAGE(QA94:QA95)</f>
        <v>#DIV/0!</v>
      </c>
      <c r="PU119" s="672" t="e">
        <f>ABS($B$33*PT119*3600)</f>
        <v>#DIV/0!</v>
      </c>
      <c r="PV119" s="675" t="e">
        <f>ABS($B$34*PT119*3600)</f>
        <v>#DIV/0!</v>
      </c>
      <c r="PW119" s="672" t="e">
        <f>PV119*$C$79</f>
        <v>#DIV/0!</v>
      </c>
      <c r="PX119" s="672" t="e">
        <f>PV119*$F$70</f>
        <v>#DIV/0!</v>
      </c>
      <c r="PY119" s="600" t="e">
        <f t="shared" si="429"/>
        <v>#DIV/0!</v>
      </c>
      <c r="PZ119" s="672" t="e">
        <f>PV119*$F$72</f>
        <v>#DIV/0!</v>
      </c>
      <c r="QA119" s="676" t="e">
        <f>PV119*$F$71</f>
        <v>#DIV/0!</v>
      </c>
      <c r="QB119" s="668"/>
      <c r="QC119" s="669"/>
      <c r="QD119" s="680"/>
      <c r="QE119" s="671"/>
      <c r="QF119" s="673"/>
      <c r="QG119" s="650"/>
      <c r="QH119" s="651">
        <f t="shared" si="430"/>
        <v>0</v>
      </c>
      <c r="QI119" s="619" t="e">
        <f>((273.2+QB119)*$F$32/((273.2+$F$31)*QD119))</f>
        <v>#DIV/0!</v>
      </c>
      <c r="QJ119" s="674" t="e">
        <f>QH119/QF119*QI119*EXP(-LN(2)/10990*($F$88-QG119))</f>
        <v>#DIV/0!</v>
      </c>
      <c r="QK119" s="599" t="e">
        <f>QJ119-AVERAGE(QR94:QR95)</f>
        <v>#DIV/0!</v>
      </c>
      <c r="QL119" s="672" t="e">
        <f>ABS($B$33*QK119*3600)</f>
        <v>#DIV/0!</v>
      </c>
      <c r="QM119" s="675" t="e">
        <f>ABS($B$34*QK119*3600)</f>
        <v>#DIV/0!</v>
      </c>
      <c r="QN119" s="672" t="e">
        <f>QM119*$C$79</f>
        <v>#DIV/0!</v>
      </c>
      <c r="QO119" s="672" t="e">
        <f>QM119*$F$70</f>
        <v>#DIV/0!</v>
      </c>
      <c r="QP119" s="600" t="e">
        <f t="shared" si="431"/>
        <v>#DIV/0!</v>
      </c>
      <c r="QQ119" s="672" t="e">
        <f>QM119*$F$72</f>
        <v>#DIV/0!</v>
      </c>
      <c r="QR119" s="676" t="e">
        <f>QM119*$F$71</f>
        <v>#DIV/0!</v>
      </c>
      <c r="QS119" s="668"/>
      <c r="QT119" s="669"/>
      <c r="QU119" s="677"/>
      <c r="QV119" s="679"/>
      <c r="QW119" s="673"/>
      <c r="QX119" s="650"/>
      <c r="QY119" s="651">
        <f t="shared" si="432"/>
        <v>0</v>
      </c>
      <c r="QZ119" s="619" t="e">
        <f>((273.2+QS119)*$F$32/((273.2+$F$31)*QU119))</f>
        <v>#DIV/0!</v>
      </c>
      <c r="RA119" s="674" t="e">
        <f>QY119/QW119*QZ119*EXP(-LN(2)/10990*($F$88-QX119))</f>
        <v>#DIV/0!</v>
      </c>
      <c r="RB119" s="599" t="e">
        <f>RA119-AVERAGE(RI94:RI95)</f>
        <v>#DIV/0!</v>
      </c>
      <c r="RC119" s="672" t="e">
        <f>ABS($B$33*RB119*3600)</f>
        <v>#DIV/0!</v>
      </c>
      <c r="RD119" s="675" t="e">
        <f>ABS($B$34*RB119*3600)</f>
        <v>#DIV/0!</v>
      </c>
      <c r="RE119" s="672" t="e">
        <f>RD119*$C$79</f>
        <v>#DIV/0!</v>
      </c>
      <c r="RF119" s="672" t="e">
        <f>RD119*$F$70</f>
        <v>#DIV/0!</v>
      </c>
      <c r="RG119" s="600" t="e">
        <f t="shared" si="433"/>
        <v>#DIV/0!</v>
      </c>
      <c r="RH119" s="672" t="e">
        <f>RD119*$F$72</f>
        <v>#DIV/0!</v>
      </c>
      <c r="RI119" s="676" t="e">
        <f>RD119*$F$71</f>
        <v>#DIV/0!</v>
      </c>
      <c r="RJ119" s="668">
        <v>20.5</v>
      </c>
      <c r="RK119" s="669">
        <v>52</v>
      </c>
      <c r="RL119" s="680">
        <v>1008</v>
      </c>
      <c r="RM119" s="671">
        <v>-1.0809999999999999E-11</v>
      </c>
      <c r="RN119" s="673">
        <v>60</v>
      </c>
      <c r="RO119" s="650">
        <v>43403</v>
      </c>
      <c r="RP119" s="651" t="str">
        <f t="shared" si="434"/>
        <v>rango cal. out</v>
      </c>
      <c r="RQ119" s="619">
        <f>((273.2+RJ119)*$F$32/((273.2+$F$31)*RL119))</f>
        <v>0</v>
      </c>
      <c r="RR119" s="674" t="e">
        <f>RP119/RN119*RQ119*EXP(-LN(2)/10990*($F$88-RO119))</f>
        <v>#VALUE!</v>
      </c>
      <c r="RS119" s="599" t="e">
        <f>RR119-AVERAGE(RZ94:RZ95)</f>
        <v>#VALUE!</v>
      </c>
      <c r="RT119" s="672" t="e">
        <f>ABS($B$33*RS119*3600)</f>
        <v>#VALUE!</v>
      </c>
      <c r="RU119" s="675" t="e">
        <f>ABS($B$34*RS119*3600)</f>
        <v>#VALUE!</v>
      </c>
      <c r="RV119" s="672" t="e">
        <f>RU119*$C$79</f>
        <v>#VALUE!</v>
      </c>
      <c r="RW119" s="672" t="e">
        <f>RU119*$F$70</f>
        <v>#VALUE!</v>
      </c>
      <c r="RX119" s="600" t="e">
        <f t="shared" si="435"/>
        <v>#VALUE!</v>
      </c>
      <c r="RY119" s="672" t="e">
        <f>RU119*$F$72</f>
        <v>#VALUE!</v>
      </c>
      <c r="RZ119" s="676" t="e">
        <f>RU119*$F$71</f>
        <v>#VALUE!</v>
      </c>
      <c r="SA119" s="668">
        <v>20.5</v>
      </c>
      <c r="SB119" s="669">
        <v>54</v>
      </c>
      <c r="SC119" s="680">
        <v>1008</v>
      </c>
      <c r="SD119" s="671">
        <v>-5.7890000000000004E-10</v>
      </c>
      <c r="SE119" s="673">
        <v>60</v>
      </c>
      <c r="SF119" s="650">
        <v>43403</v>
      </c>
      <c r="SG119" s="651" t="str">
        <f t="shared" si="436"/>
        <v>rango cal. out</v>
      </c>
      <c r="SH119" s="619">
        <f>((273.2+SA119)*$F$32/((273.2+$F$31)*SC119))</f>
        <v>0</v>
      </c>
      <c r="SI119" s="674" t="e">
        <f>SG119/SE119*SH119*EXP(-LN(2)/10990*($F$88-SF119))</f>
        <v>#VALUE!</v>
      </c>
      <c r="SJ119" s="599" t="e">
        <f>SI119-AVERAGE(SQ94:SQ95)</f>
        <v>#VALUE!</v>
      </c>
      <c r="SK119" s="672" t="e">
        <f>ABS($B$33*SJ119*3600)</f>
        <v>#VALUE!</v>
      </c>
      <c r="SL119" s="675" t="e">
        <f>ABS($B$34*SJ119*3600)</f>
        <v>#VALUE!</v>
      </c>
      <c r="SM119" s="672" t="e">
        <f>SL119*$C$79</f>
        <v>#VALUE!</v>
      </c>
      <c r="SN119" s="672" t="e">
        <f>SL119*$F$70</f>
        <v>#VALUE!</v>
      </c>
      <c r="SO119" s="600" t="e">
        <f t="shared" si="437"/>
        <v>#VALUE!</v>
      </c>
      <c r="SP119" s="672" t="e">
        <f>SL119*$F$72</f>
        <v>#VALUE!</v>
      </c>
      <c r="SQ119" s="676" t="e">
        <f>SL119*$F$71</f>
        <v>#VALUE!</v>
      </c>
      <c r="SR119" s="668"/>
      <c r="SS119" s="669"/>
      <c r="ST119" s="670"/>
      <c r="SU119" s="671"/>
      <c r="SV119" s="678"/>
      <c r="SW119" s="650"/>
      <c r="SX119" s="651">
        <f t="shared" si="438"/>
        <v>0</v>
      </c>
      <c r="SY119" s="619" t="e">
        <f>((273.2+SR119)*$F$32/((273.2+$F$31)*ST119))</f>
        <v>#DIV/0!</v>
      </c>
      <c r="SZ119" s="674" t="e">
        <f>SX119/SV119*SY119*EXP(-LN(2)/10990*($F$88-SW119))</f>
        <v>#DIV/0!</v>
      </c>
      <c r="TA119" s="599" t="e">
        <f>SZ119-AVERAGE(TH94:TH95)</f>
        <v>#DIV/0!</v>
      </c>
      <c r="TB119" s="672" t="e">
        <f>ABS($B$33*TA119*3600)</f>
        <v>#DIV/0!</v>
      </c>
      <c r="TC119" s="675" t="e">
        <f>ABS($B$34*TA119*3600)</f>
        <v>#DIV/0!</v>
      </c>
      <c r="TD119" s="672" t="e">
        <f>TC119*$C$79</f>
        <v>#DIV/0!</v>
      </c>
      <c r="TE119" s="672" t="e">
        <f>TC119*$F$70</f>
        <v>#DIV/0!</v>
      </c>
      <c r="TF119" s="600" t="e">
        <f t="shared" si="439"/>
        <v>#DIV/0!</v>
      </c>
      <c r="TG119" s="672" t="e">
        <f>TC119*$F$72</f>
        <v>#DIV/0!</v>
      </c>
      <c r="TH119" s="676" t="e">
        <f>TC119*$F$71</f>
        <v>#DIV/0!</v>
      </c>
      <c r="TI119" s="668">
        <v>20.5</v>
      </c>
      <c r="TJ119" s="669">
        <v>55</v>
      </c>
      <c r="TK119" s="680">
        <v>1008</v>
      </c>
      <c r="TL119" s="671">
        <v>-2.4439999999999998E-11</v>
      </c>
      <c r="TM119" s="673">
        <v>60</v>
      </c>
      <c r="TN119" s="650">
        <v>43403</v>
      </c>
      <c r="TO119" s="651" t="str">
        <f t="shared" si="440"/>
        <v>rango cal. out</v>
      </c>
      <c r="TP119" s="619">
        <f>((273.2+TI119)*$F$32/((273.2+$F$31)*TK119))</f>
        <v>0</v>
      </c>
      <c r="TQ119" s="674" t="e">
        <f>TO119/TM119*TP119*EXP(-LN(2)/10990*($F$88-TN119))</f>
        <v>#VALUE!</v>
      </c>
      <c r="TR119" s="599" t="e">
        <f>TQ119-AVERAGE(TY94:TY95)</f>
        <v>#VALUE!</v>
      </c>
      <c r="TS119" s="672" t="e">
        <f>ABS($B$33*TR119*3600)</f>
        <v>#VALUE!</v>
      </c>
      <c r="TT119" s="675" t="e">
        <f>ABS($B$34*TR119*3600)</f>
        <v>#VALUE!</v>
      </c>
      <c r="TU119" s="672" t="e">
        <f>TT119*$C$79</f>
        <v>#VALUE!</v>
      </c>
      <c r="TV119" s="672" t="e">
        <f>TT119*$F$70</f>
        <v>#VALUE!</v>
      </c>
      <c r="TW119" s="600" t="e">
        <f t="shared" si="441"/>
        <v>#VALUE!</v>
      </c>
      <c r="TX119" s="672" t="e">
        <f>TT119*$F$72</f>
        <v>#VALUE!</v>
      </c>
      <c r="TY119" s="676" t="e">
        <f>TT119*$F$71</f>
        <v>#VALUE!</v>
      </c>
    </row>
    <row r="120" spans="1:545" x14ac:dyDescent="0.25">
      <c r="A120" s="2219"/>
      <c r="B120" s="668"/>
      <c r="C120" s="673"/>
      <c r="D120" s="673"/>
      <c r="E120" s="671"/>
      <c r="F120" s="673"/>
      <c r="G120" s="650"/>
      <c r="H120" s="651"/>
      <c r="I120" s="619"/>
      <c r="J120" s="674"/>
      <c r="K120" s="599"/>
      <c r="L120" s="672"/>
      <c r="M120" s="675"/>
      <c r="N120" s="614"/>
      <c r="O120" s="672"/>
      <c r="P120" s="600"/>
      <c r="Q120" s="672"/>
      <c r="R120" s="676"/>
      <c r="S120" s="677"/>
      <c r="T120" s="669"/>
      <c r="U120" s="670"/>
      <c r="V120" s="671"/>
      <c r="W120" s="678"/>
      <c r="X120" s="650"/>
      <c r="Y120" s="651">
        <f t="shared" si="380"/>
        <v>0</v>
      </c>
      <c r="Z120" s="619" t="e">
        <f>((273.2+S120)*$F$32/((273.2+$F$31)*U120))</f>
        <v>#DIV/0!</v>
      </c>
      <c r="AA120" s="674" t="e">
        <f>Y120/W120*Z120*EXP(-LN(2)/10990*($F$88-X120))</f>
        <v>#DIV/0!</v>
      </c>
      <c r="AB120" s="599" t="e">
        <f>AA120-AVERAGE(AI94:AI95)</f>
        <v>#DIV/0!</v>
      </c>
      <c r="AC120" s="672" t="e">
        <f>ABS($B$33*AB120*3600)</f>
        <v>#DIV/0!</v>
      </c>
      <c r="AD120" s="675" t="e">
        <f>ABS($B$34*AB120*3600)</f>
        <v>#DIV/0!</v>
      </c>
      <c r="AE120" s="614" t="e">
        <f>AD120*$C$79</f>
        <v>#DIV/0!</v>
      </c>
      <c r="AF120" s="672" t="e">
        <f>AD120*$F$70</f>
        <v>#DIV/0!</v>
      </c>
      <c r="AG120" s="600" t="e">
        <f>AD120*$F$75</f>
        <v>#DIV/0!</v>
      </c>
      <c r="AH120" s="672" t="e">
        <f>AD120*$F$72</f>
        <v>#DIV/0!</v>
      </c>
      <c r="AI120" s="676" t="e">
        <f>AD120*$F$71</f>
        <v>#DIV/0!</v>
      </c>
      <c r="AJ120" s="677"/>
      <c r="AK120" s="669"/>
      <c r="AL120" s="670"/>
      <c r="AM120" s="671"/>
      <c r="AN120" s="678"/>
      <c r="AO120" s="650"/>
      <c r="AP120" s="651">
        <f t="shared" si="382"/>
        <v>0</v>
      </c>
      <c r="AQ120" s="619" t="e">
        <f>((273.2+AJ120)*$F$32/((273.2+$F$31)*AL120))</f>
        <v>#DIV/0!</v>
      </c>
      <c r="AR120" s="674" t="e">
        <f>AP120/AN120*AQ120*EXP(-LN(2)/10990*($F$88-AO120))</f>
        <v>#DIV/0!</v>
      </c>
      <c r="AS120" s="599" t="e">
        <f>AR120-AVERAGE(AZ94:AZ95)</f>
        <v>#DIV/0!</v>
      </c>
      <c r="AT120" s="672" t="e">
        <f>ABS($B$33*AS120*3600)</f>
        <v>#DIV/0!</v>
      </c>
      <c r="AU120" s="675" t="e">
        <f>ABS($B$34*AS120*3600)</f>
        <v>#DIV/0!</v>
      </c>
      <c r="AV120" s="614" t="e">
        <f>AU120*$C$79</f>
        <v>#DIV/0!</v>
      </c>
      <c r="AW120" s="672" t="e">
        <f>AU120*$F$70</f>
        <v>#DIV/0!</v>
      </c>
      <c r="AX120" s="600" t="e">
        <f>AU120*$F$75</f>
        <v>#DIV/0!</v>
      </c>
      <c r="AY120" s="672" t="e">
        <f>AU120*$F$72</f>
        <v>#DIV/0!</v>
      </c>
      <c r="AZ120" s="676" t="e">
        <f>AU120*$F$71</f>
        <v>#DIV/0!</v>
      </c>
      <c r="BA120" s="668">
        <v>20.5</v>
      </c>
      <c r="BB120" s="669">
        <v>51</v>
      </c>
      <c r="BC120" s="680">
        <v>1008</v>
      </c>
      <c r="BD120" s="671">
        <v>-1.4990000000000001E-9</v>
      </c>
      <c r="BE120" s="673">
        <v>60</v>
      </c>
      <c r="BF120" s="650">
        <v>43403</v>
      </c>
      <c r="BG120" s="651" t="str">
        <f t="shared" si="384"/>
        <v>rango cal. out</v>
      </c>
      <c r="BH120" s="619">
        <f>((273.2+BA120)*$F$32/((273.2+$F$31)*BC120))</f>
        <v>0</v>
      </c>
      <c r="BI120" s="674" t="e">
        <f>BG120/BE120*BH120*EXP(-LN(2)/10990*($F$88-BF120))</f>
        <v>#VALUE!</v>
      </c>
      <c r="BJ120" s="599" t="e">
        <f>BI120-AVERAGE(BQ94:BQ95)</f>
        <v>#VALUE!</v>
      </c>
      <c r="BK120" s="672" t="e">
        <f>ABS($B$33*BJ120*3600)</f>
        <v>#VALUE!</v>
      </c>
      <c r="BL120" s="675" t="e">
        <f>ABS($B$34*BJ120*3600)</f>
        <v>#VALUE!</v>
      </c>
      <c r="BM120" s="614" t="e">
        <f>BL120*$C$79</f>
        <v>#VALUE!</v>
      </c>
      <c r="BN120" s="672" t="e">
        <f>BL120*$F$70</f>
        <v>#VALUE!</v>
      </c>
      <c r="BO120" s="600" t="e">
        <f>BL120*$F$75</f>
        <v>#VALUE!</v>
      </c>
      <c r="BP120" s="672" t="e">
        <f>BL120*$F$72</f>
        <v>#VALUE!</v>
      </c>
      <c r="BQ120" s="676" t="e">
        <f>BL120*$F$71</f>
        <v>#VALUE!</v>
      </c>
      <c r="BR120" s="668">
        <v>20.3</v>
      </c>
      <c r="BS120" s="669">
        <v>48</v>
      </c>
      <c r="BT120" s="680">
        <v>1007</v>
      </c>
      <c r="BU120" s="671">
        <v>-6.2299999999999994E-11</v>
      </c>
      <c r="BV120" s="673">
        <v>60</v>
      </c>
      <c r="BW120" s="650">
        <v>43403</v>
      </c>
      <c r="BX120" s="651" t="str">
        <f t="shared" si="386"/>
        <v>rango cal. out</v>
      </c>
      <c r="BY120" s="619">
        <f>((273.2+BR120)*$F$32/((273.2+$F$31)*BT120))</f>
        <v>0</v>
      </c>
      <c r="BZ120" s="674" t="e">
        <f>BX120/BV120*BY120*EXP(-LN(2)/10990*($F$88-BW120))</f>
        <v>#VALUE!</v>
      </c>
      <c r="CA120" s="599" t="e">
        <f>BZ120-AVERAGE(CH94:CH95)</f>
        <v>#VALUE!</v>
      </c>
      <c r="CB120" s="672" t="e">
        <f>ABS($B$33*CA120*3600)</f>
        <v>#VALUE!</v>
      </c>
      <c r="CC120" s="675" t="e">
        <f>ABS($B$34*CA120*3600)</f>
        <v>#VALUE!</v>
      </c>
      <c r="CD120" s="614" t="e">
        <f>CC120*$C$79</f>
        <v>#VALUE!</v>
      </c>
      <c r="CE120" s="672" t="e">
        <f>CC120*$F$70</f>
        <v>#VALUE!</v>
      </c>
      <c r="CF120" s="600" t="e">
        <f>CC120*$F$75</f>
        <v>#VALUE!</v>
      </c>
      <c r="CG120" s="672" t="e">
        <f>CC120*$F$72</f>
        <v>#VALUE!</v>
      </c>
      <c r="CH120" s="676" t="e">
        <f>CC120*$F$71</f>
        <v>#VALUE!</v>
      </c>
      <c r="CI120" s="668">
        <v>20.3</v>
      </c>
      <c r="CJ120" s="669">
        <v>50</v>
      </c>
      <c r="CK120" s="680">
        <v>1007</v>
      </c>
      <c r="CL120" s="671">
        <v>-3.5009999999999998E-9</v>
      </c>
      <c r="CM120" s="673">
        <v>60</v>
      </c>
      <c r="CN120" s="650">
        <v>43403</v>
      </c>
      <c r="CO120" s="651" t="str">
        <f t="shared" si="388"/>
        <v>rango cal. out</v>
      </c>
      <c r="CP120" s="619">
        <f>((273.2+CI120)*$F$32/((273.2+$F$31)*CK120))</f>
        <v>0</v>
      </c>
      <c r="CQ120" s="674" t="e">
        <f>CO120/CM120*CP120*EXP(-LN(2)/10990*($F$88-CN120))</f>
        <v>#VALUE!</v>
      </c>
      <c r="CR120" s="599" t="e">
        <f>CQ120-AVERAGE(CY94:CY95)</f>
        <v>#VALUE!</v>
      </c>
      <c r="CS120" s="672" t="e">
        <f>ABS($B$33*CR120*3600)</f>
        <v>#VALUE!</v>
      </c>
      <c r="CT120" s="675" t="e">
        <f>ABS($B$34*CR120*3600)</f>
        <v>#VALUE!</v>
      </c>
      <c r="CU120" s="614" t="e">
        <f>CT120*$C$79</f>
        <v>#VALUE!</v>
      </c>
      <c r="CV120" s="672" t="e">
        <f>CT120*$F$70</f>
        <v>#VALUE!</v>
      </c>
      <c r="CW120" s="600" t="e">
        <f>CT120*$F$75</f>
        <v>#VALUE!</v>
      </c>
      <c r="CX120" s="672" t="e">
        <f>CT120*$F$72</f>
        <v>#VALUE!</v>
      </c>
      <c r="CY120" s="676" t="e">
        <f>CT120*$F$71</f>
        <v>#VALUE!</v>
      </c>
      <c r="CZ120" s="668"/>
      <c r="DA120" s="669"/>
      <c r="DB120" s="670"/>
      <c r="DC120" s="671"/>
      <c r="DD120" s="678"/>
      <c r="DE120" s="650"/>
      <c r="DF120" s="651">
        <f t="shared" si="390"/>
        <v>0</v>
      </c>
      <c r="DG120" s="619" t="e">
        <f>((273.2+CZ120)*$F$32/((273.2+$F$31)*DB120))</f>
        <v>#DIV/0!</v>
      </c>
      <c r="DH120" s="674" t="e">
        <f>DF120/DD120*DG120*EXP(-LN(2)/10990*($F$88-DE120))</f>
        <v>#DIV/0!</v>
      </c>
      <c r="DI120" s="599" t="e">
        <f>DH120-AVERAGE(DP94:DP95)</f>
        <v>#DIV/0!</v>
      </c>
      <c r="DJ120" s="672" t="e">
        <f>ABS($B$33*DI120*3600)</f>
        <v>#DIV/0!</v>
      </c>
      <c r="DK120" s="675" t="e">
        <f>ABS($B$34*DI120*3600)</f>
        <v>#DIV/0!</v>
      </c>
      <c r="DL120" s="614" t="e">
        <f>DK120*$C$79</f>
        <v>#DIV/0!</v>
      </c>
      <c r="DM120" s="672" t="e">
        <f>DK120*$F$70</f>
        <v>#DIV/0!</v>
      </c>
      <c r="DN120" s="600" t="e">
        <f>DK120*$F$75</f>
        <v>#DIV/0!</v>
      </c>
      <c r="DO120" s="672" t="e">
        <f>DK120*$F$72</f>
        <v>#DIV/0!</v>
      </c>
      <c r="DP120" s="676" t="e">
        <f>DK120*$F$71</f>
        <v>#DIV/0!</v>
      </c>
      <c r="DQ120" s="668"/>
      <c r="DR120" s="669"/>
      <c r="DS120" s="677"/>
      <c r="DT120" s="679"/>
      <c r="DU120" s="678"/>
      <c r="DV120" s="650"/>
      <c r="DW120" s="651">
        <f t="shared" si="392"/>
        <v>0</v>
      </c>
      <c r="DX120" s="619" t="e">
        <f>((273.2+DQ120)*$F$32/((273.2+$F$31)*DS120))</f>
        <v>#DIV/0!</v>
      </c>
      <c r="DY120" s="674" t="e">
        <f>DW120/DU120*DX120*EXP(-LN(2)/10990*($F$88-DV120))</f>
        <v>#DIV/0!</v>
      </c>
      <c r="DZ120" s="599" t="e">
        <f>DY120-AVERAGE(EG94:EG95)</f>
        <v>#DIV/0!</v>
      </c>
      <c r="EA120" s="672" t="e">
        <f>ABS($B$33*DZ120*3600)</f>
        <v>#DIV/0!</v>
      </c>
      <c r="EB120" s="675" t="e">
        <f>ABS($B$34*DZ120*3600)</f>
        <v>#DIV/0!</v>
      </c>
      <c r="EC120" s="614" t="e">
        <f>EB120*$C$79</f>
        <v>#DIV/0!</v>
      </c>
      <c r="ED120" s="672" t="e">
        <f>EB120*$F$70</f>
        <v>#DIV/0!</v>
      </c>
      <c r="EE120" s="600" t="e">
        <f>EB120*$F$75</f>
        <v>#DIV/0!</v>
      </c>
      <c r="EF120" s="672" t="e">
        <f>EB120*$F$72</f>
        <v>#DIV/0!</v>
      </c>
      <c r="EG120" s="676" t="e">
        <f>EB120*$F$71</f>
        <v>#DIV/0!</v>
      </c>
      <c r="EH120" s="668">
        <v>20.399999999999999</v>
      </c>
      <c r="EI120" s="669">
        <v>53</v>
      </c>
      <c r="EJ120" s="680">
        <v>1007</v>
      </c>
      <c r="EK120" s="671">
        <v>-4.5999999999999998E-12</v>
      </c>
      <c r="EL120" s="673">
        <v>60</v>
      </c>
      <c r="EM120" s="650">
        <v>43403</v>
      </c>
      <c r="EN120" s="651" t="str">
        <f t="shared" si="394"/>
        <v>rango cal. out</v>
      </c>
      <c r="EO120" s="619">
        <f>((273.2+EH120)*$F$32/((273.2+$F$31)*EJ120))</f>
        <v>0</v>
      </c>
      <c r="EP120" s="674" t="e">
        <f>EN120/EL120*EO120*EXP(-LN(2)/10990*($F$88-EM120))</f>
        <v>#VALUE!</v>
      </c>
      <c r="EQ120" s="599" t="e">
        <f>EP120-AVERAGE(EX94:EX95)</f>
        <v>#VALUE!</v>
      </c>
      <c r="ER120" s="672" t="e">
        <f>ABS($B$33*EQ120*3600)</f>
        <v>#VALUE!</v>
      </c>
      <c r="ES120" s="675" t="e">
        <f>ABS($B$34*EQ120*3600)</f>
        <v>#VALUE!</v>
      </c>
      <c r="ET120" s="614" t="e">
        <f>ES120*$C$79</f>
        <v>#VALUE!</v>
      </c>
      <c r="EU120" s="672" t="e">
        <f>ES120*$F$70</f>
        <v>#VALUE!</v>
      </c>
      <c r="EV120" s="600" t="e">
        <f>ES120*$F$75</f>
        <v>#VALUE!</v>
      </c>
      <c r="EW120" s="672" t="e">
        <f>ES120*$F$72</f>
        <v>#VALUE!</v>
      </c>
      <c r="EX120" s="676" t="e">
        <f>ES120*$F$71</f>
        <v>#VALUE!</v>
      </c>
      <c r="EY120" s="668"/>
      <c r="EZ120" s="669"/>
      <c r="FA120" s="670"/>
      <c r="FB120" s="671"/>
      <c r="FC120" s="678"/>
      <c r="FD120" s="650"/>
      <c r="FE120" s="651">
        <f t="shared" si="396"/>
        <v>0</v>
      </c>
      <c r="FF120" s="619" t="e">
        <f>((273.2+EY120)*$F$32/((273.2+$F$31)*FA120))</f>
        <v>#DIV/0!</v>
      </c>
      <c r="FG120" s="674" t="e">
        <f>FE120/FC120*FF120*EXP(-LN(2)/10990*($F$88-FD120))</f>
        <v>#DIV/0!</v>
      </c>
      <c r="FH120" s="599" t="e">
        <f>FG120-AVERAGE(FO94:FO95)</f>
        <v>#DIV/0!</v>
      </c>
      <c r="FI120" s="672" t="e">
        <f>ABS($B$33*FH120*3600)</f>
        <v>#DIV/0!</v>
      </c>
      <c r="FJ120" s="675" t="e">
        <f>ABS($B$34*FH120*3600)</f>
        <v>#DIV/0!</v>
      </c>
      <c r="FK120" s="614" t="e">
        <f>FJ120*$C$79</f>
        <v>#DIV/0!</v>
      </c>
      <c r="FL120" s="672" t="e">
        <f>FJ120*$F$70</f>
        <v>#DIV/0!</v>
      </c>
      <c r="FM120" s="600" t="e">
        <f>FJ120*$F$75</f>
        <v>#DIV/0!</v>
      </c>
      <c r="FN120" s="672" t="e">
        <f>FJ120*$F$72</f>
        <v>#DIV/0!</v>
      </c>
      <c r="FO120" s="676" t="e">
        <f>FJ120*$F$71</f>
        <v>#DIV/0!</v>
      </c>
      <c r="FP120" s="668"/>
      <c r="FQ120" s="669"/>
      <c r="FR120" s="670"/>
      <c r="FS120" s="671"/>
      <c r="FT120" s="678"/>
      <c r="FU120" s="650"/>
      <c r="FV120" s="651">
        <f t="shared" si="398"/>
        <v>0</v>
      </c>
      <c r="FW120" s="619" t="e">
        <f>((273.2+FP120)*$F$32/((273.2+$F$31)*FR120))</f>
        <v>#DIV/0!</v>
      </c>
      <c r="FX120" s="674" t="e">
        <f>FV120/FT120*FW120*EXP(-LN(2)/10990*($F$88-FU120))</f>
        <v>#DIV/0!</v>
      </c>
      <c r="FY120" s="599" t="e">
        <f>FX120-AVERAGE(GF94:GF95)</f>
        <v>#DIV/0!</v>
      </c>
      <c r="FZ120" s="672" t="e">
        <f>ABS($B$33*FY120*3600)</f>
        <v>#DIV/0!</v>
      </c>
      <c r="GA120" s="675" t="e">
        <f>ABS($B$34*FY120*3600)</f>
        <v>#DIV/0!</v>
      </c>
      <c r="GB120" s="614" t="e">
        <f>GA120*$C$79</f>
        <v>#DIV/0!</v>
      </c>
      <c r="GC120" s="672" t="e">
        <f>GA120*$F$70</f>
        <v>#DIV/0!</v>
      </c>
      <c r="GD120" s="600" t="e">
        <f>GA120*$F$75</f>
        <v>#DIV/0!</v>
      </c>
      <c r="GE120" s="672" t="e">
        <f>GA120*$F$72</f>
        <v>#DIV/0!</v>
      </c>
      <c r="GF120" s="676" t="e">
        <f>GA120*$F$71</f>
        <v>#DIV/0!</v>
      </c>
      <c r="GG120" s="668"/>
      <c r="GH120" s="669"/>
      <c r="GI120" s="677"/>
      <c r="GJ120" s="679"/>
      <c r="GK120" s="678"/>
      <c r="GL120" s="650"/>
      <c r="GM120" s="651">
        <f t="shared" si="400"/>
        <v>0</v>
      </c>
      <c r="GN120" s="619" t="e">
        <f>((273.2+GG120)*$F$32/((273.2+$F$31)*GI120))</f>
        <v>#DIV/0!</v>
      </c>
      <c r="GO120" s="674" t="e">
        <f>GM120/GK120*GN120*EXP(-LN(2)/10990*($F$88-GL120))</f>
        <v>#DIV/0!</v>
      </c>
      <c r="GP120" s="599" t="e">
        <f>GO120-AVERAGE(GW94:GW95)</f>
        <v>#DIV/0!</v>
      </c>
      <c r="GQ120" s="672" t="e">
        <f>ABS($B$33*GP120*3600)</f>
        <v>#DIV/0!</v>
      </c>
      <c r="GR120" s="675" t="e">
        <f>ABS($B$34*GP120*3600)</f>
        <v>#DIV/0!</v>
      </c>
      <c r="GS120" s="614" t="e">
        <f>GR120*$C$79</f>
        <v>#DIV/0!</v>
      </c>
      <c r="GT120" s="672" t="e">
        <f>GR120*$F$70</f>
        <v>#DIV/0!</v>
      </c>
      <c r="GU120" s="600" t="e">
        <f>GR120*$F$75</f>
        <v>#DIV/0!</v>
      </c>
      <c r="GV120" s="672" t="e">
        <f>GR120*$F$72</f>
        <v>#DIV/0!</v>
      </c>
      <c r="GW120" s="676" t="e">
        <f>GR120*$F$71</f>
        <v>#DIV/0!</v>
      </c>
      <c r="GX120" s="668"/>
      <c r="GY120" s="669"/>
      <c r="GZ120" s="670"/>
      <c r="HA120" s="671"/>
      <c r="HB120" s="678"/>
      <c r="HC120" s="650"/>
      <c r="HD120" s="651">
        <f t="shared" si="402"/>
        <v>0</v>
      </c>
      <c r="HE120" s="619" t="e">
        <f>((273.2+GX120)*$F$32/((273.2+$F$31)*GZ120))</f>
        <v>#DIV/0!</v>
      </c>
      <c r="HF120" s="674" t="e">
        <f>HD120/HB120*HE120*EXP(-LN(2)/10990*($F$88-HC120))</f>
        <v>#DIV/0!</v>
      </c>
      <c r="HG120" s="599" t="e">
        <f>HF120-AVERAGE(HN94:HN95)</f>
        <v>#DIV/0!</v>
      </c>
      <c r="HH120" s="672" t="e">
        <f>ABS($B$33*HG120*3600)</f>
        <v>#DIV/0!</v>
      </c>
      <c r="HI120" s="675" t="e">
        <f>ABS($B$34*HG120*3600)</f>
        <v>#DIV/0!</v>
      </c>
      <c r="HJ120" s="614" t="e">
        <f>HI120*$C$79</f>
        <v>#DIV/0!</v>
      </c>
      <c r="HK120" s="672" t="e">
        <f>HI120*$F$70</f>
        <v>#DIV/0!</v>
      </c>
      <c r="HL120" s="600" t="e">
        <f>HI120*$F$75</f>
        <v>#DIV/0!</v>
      </c>
      <c r="HM120" s="672" t="e">
        <f>HI120*$F$72</f>
        <v>#DIV/0!</v>
      </c>
      <c r="HN120" s="676" t="e">
        <f>HI120*$F$71</f>
        <v>#DIV/0!</v>
      </c>
      <c r="HO120" s="668"/>
      <c r="HP120" s="669"/>
      <c r="HQ120" s="670"/>
      <c r="HR120" s="671"/>
      <c r="HS120" s="678"/>
      <c r="HT120" s="650"/>
      <c r="HU120" s="651">
        <f t="shared" si="404"/>
        <v>0</v>
      </c>
      <c r="HV120" s="619" t="e">
        <f>((273.2+HO120)*$F$32/((273.2+$F$31)*HQ120))</f>
        <v>#DIV/0!</v>
      </c>
      <c r="HW120" s="674" t="e">
        <f>HU120/HS120*HV120*EXP(-LN(2)/10990*($F$88-HT120))</f>
        <v>#DIV/0!</v>
      </c>
      <c r="HX120" s="599" t="e">
        <f>HW120-AVERAGE(IE94:IE95)</f>
        <v>#DIV/0!</v>
      </c>
      <c r="HY120" s="672" t="e">
        <f>ABS($B$33*HX120*3600)</f>
        <v>#DIV/0!</v>
      </c>
      <c r="HZ120" s="675" t="e">
        <f>ABS($B$34*HX120*3600)</f>
        <v>#DIV/0!</v>
      </c>
      <c r="IA120" s="614" t="e">
        <f>HZ120*$C$79</f>
        <v>#DIV/0!</v>
      </c>
      <c r="IB120" s="672" t="e">
        <f>HZ120*$F$70</f>
        <v>#DIV/0!</v>
      </c>
      <c r="IC120" s="600" t="e">
        <f>HZ120*$F$75</f>
        <v>#DIV/0!</v>
      </c>
      <c r="ID120" s="672" t="e">
        <f>HZ120*$F$72</f>
        <v>#DIV/0!</v>
      </c>
      <c r="IE120" s="676" t="e">
        <f>HZ120*$F$71</f>
        <v>#DIV/0!</v>
      </c>
      <c r="IF120" s="668"/>
      <c r="IG120" s="669"/>
      <c r="IH120" s="670"/>
      <c r="II120" s="671"/>
      <c r="IJ120" s="678"/>
      <c r="IK120" s="650"/>
      <c r="IL120" s="651">
        <f t="shared" si="406"/>
        <v>0</v>
      </c>
      <c r="IM120" s="619" t="e">
        <f>((273.2+IF120)*$F$32/((273.2+$F$31)*IH120))</f>
        <v>#DIV/0!</v>
      </c>
      <c r="IN120" s="674" t="e">
        <f>IL120/IJ120*IM120*EXP(-LN(2)/10990*($F$88-IK120))</f>
        <v>#DIV/0!</v>
      </c>
      <c r="IO120" s="599" t="e">
        <f>IN120-AVERAGE(IV94:IV95)</f>
        <v>#DIV/0!</v>
      </c>
      <c r="IP120" s="672" t="e">
        <f>ABS($B$33*IO120*3600)</f>
        <v>#DIV/0!</v>
      </c>
      <c r="IQ120" s="675" t="e">
        <f>ABS($B$34*IO120*3600)</f>
        <v>#DIV/0!</v>
      </c>
      <c r="IR120" s="614" t="e">
        <f>IQ120*$C$79</f>
        <v>#DIV/0!</v>
      </c>
      <c r="IS120" s="672" t="e">
        <f>IQ120*$F$70</f>
        <v>#DIV/0!</v>
      </c>
      <c r="IT120" s="600" t="e">
        <f>IQ120*$F$75</f>
        <v>#DIV/0!</v>
      </c>
      <c r="IU120" s="672" t="e">
        <f>IQ120*$F$72</f>
        <v>#DIV/0!</v>
      </c>
      <c r="IV120" s="676" t="e">
        <f>IQ120*$F$71</f>
        <v>#DIV/0!</v>
      </c>
      <c r="IW120" s="668"/>
      <c r="IX120" s="669"/>
      <c r="IY120" s="670"/>
      <c r="IZ120" s="671"/>
      <c r="JA120" s="678"/>
      <c r="JB120" s="650"/>
      <c r="JC120" s="651">
        <f t="shared" si="408"/>
        <v>0</v>
      </c>
      <c r="JD120" s="619" t="e">
        <f>((273.2+IW120)*$F$32/((273.2+$F$31)*IY120))</f>
        <v>#DIV/0!</v>
      </c>
      <c r="JE120" s="674" t="e">
        <f>JC120/JA120*JD120*EXP(-LN(2)/10990*($F$88-JB120))</f>
        <v>#DIV/0!</v>
      </c>
      <c r="JF120" s="599" t="e">
        <f>JE120-AVERAGE(JM94:JM95)</f>
        <v>#DIV/0!</v>
      </c>
      <c r="JG120" s="672" t="e">
        <f>ABS($B$33*JF120*3600)</f>
        <v>#DIV/0!</v>
      </c>
      <c r="JH120" s="675" t="e">
        <f>ABS($B$34*JF120*3600)</f>
        <v>#DIV/0!</v>
      </c>
      <c r="JI120" s="614" t="e">
        <f>JH120*$C$79</f>
        <v>#DIV/0!</v>
      </c>
      <c r="JJ120" s="672" t="e">
        <f>JH120*$F$70</f>
        <v>#DIV/0!</v>
      </c>
      <c r="JK120" s="600" t="e">
        <f>JH120*$F$75</f>
        <v>#DIV/0!</v>
      </c>
      <c r="JL120" s="672" t="e">
        <f>JH120*$F$72</f>
        <v>#DIV/0!</v>
      </c>
      <c r="JM120" s="676" t="e">
        <f>JH120*$F$71</f>
        <v>#DIV/0!</v>
      </c>
      <c r="JN120" s="668"/>
      <c r="JO120" s="669"/>
      <c r="JP120" s="670"/>
      <c r="JQ120" s="671"/>
      <c r="JR120" s="678"/>
      <c r="JS120" s="650"/>
      <c r="JT120" s="651">
        <f t="shared" si="410"/>
        <v>0</v>
      </c>
      <c r="JU120" s="619" t="e">
        <f>((273.2+JN120)*$F$32/((273.2+$F$31)*JP120))</f>
        <v>#DIV/0!</v>
      </c>
      <c r="JV120" s="674" t="e">
        <f>JT120/JR120*JU120*EXP(-LN(2)/10990*($F$88-JS120))</f>
        <v>#DIV/0!</v>
      </c>
      <c r="JW120" s="599" t="e">
        <f>JV120-AVERAGE(KD94:KD95)</f>
        <v>#DIV/0!</v>
      </c>
      <c r="JX120" s="672" t="e">
        <f>ABS($B$33*JW120*3600)</f>
        <v>#DIV/0!</v>
      </c>
      <c r="JY120" s="675" t="e">
        <f>ABS($B$34*JW120*3600)</f>
        <v>#DIV/0!</v>
      </c>
      <c r="JZ120" s="614" t="e">
        <f>JY120*$C$79</f>
        <v>#DIV/0!</v>
      </c>
      <c r="KA120" s="672" t="e">
        <f>JY120*$F$70</f>
        <v>#DIV/0!</v>
      </c>
      <c r="KB120" s="600" t="e">
        <f>JY120*$F$75</f>
        <v>#DIV/0!</v>
      </c>
      <c r="KC120" s="672" t="e">
        <f>JY120*$F$72</f>
        <v>#DIV/0!</v>
      </c>
      <c r="KD120" s="676" t="e">
        <f>JY120*$F$71</f>
        <v>#DIV/0!</v>
      </c>
      <c r="KE120" s="668"/>
      <c r="KF120" s="669"/>
      <c r="KG120" s="670"/>
      <c r="KH120" s="671"/>
      <c r="KI120" s="678"/>
      <c r="KJ120" s="650"/>
      <c r="KK120" s="651">
        <f t="shared" si="412"/>
        <v>0</v>
      </c>
      <c r="KL120" s="619" t="e">
        <f>((273.2+KE120)*$F$32/((273.2+$F$31)*KG120))</f>
        <v>#DIV/0!</v>
      </c>
      <c r="KM120" s="674" t="e">
        <f>KK120/KI120*KL120*EXP(-LN(2)/10990*($F$88-KJ120))</f>
        <v>#DIV/0!</v>
      </c>
      <c r="KN120" s="599" t="e">
        <f>KM120-AVERAGE(KU94:KU95)</f>
        <v>#DIV/0!</v>
      </c>
      <c r="KO120" s="672" t="e">
        <f>ABS($B$33*KN120*3600)</f>
        <v>#DIV/0!</v>
      </c>
      <c r="KP120" s="675" t="e">
        <f>ABS($B$34*KN120*3600)</f>
        <v>#DIV/0!</v>
      </c>
      <c r="KQ120" s="614" t="e">
        <f>KP120*$C$79</f>
        <v>#DIV/0!</v>
      </c>
      <c r="KR120" s="672" t="e">
        <f>KP120*$F$70</f>
        <v>#DIV/0!</v>
      </c>
      <c r="KS120" s="600" t="e">
        <f>KP120*$F$75</f>
        <v>#DIV/0!</v>
      </c>
      <c r="KT120" s="672" t="e">
        <f>KP120*$F$72</f>
        <v>#DIV/0!</v>
      </c>
      <c r="KU120" s="676" t="e">
        <f>KP120*$F$71</f>
        <v>#DIV/0!</v>
      </c>
      <c r="KV120" s="668"/>
      <c r="KW120" s="669"/>
      <c r="KX120" s="670"/>
      <c r="KY120" s="671"/>
      <c r="KZ120" s="678"/>
      <c r="LA120" s="650"/>
      <c r="LB120" s="651">
        <f t="shared" si="414"/>
        <v>0</v>
      </c>
      <c r="LC120" s="619" t="e">
        <f>((273.2+KV120)*$F$32/((273.2+$F$31)*KX120))</f>
        <v>#DIV/0!</v>
      </c>
      <c r="LD120" s="674" t="e">
        <f>LB120/KZ120*LC120*EXP(-LN(2)/10990*($F$88-LA120))</f>
        <v>#DIV/0!</v>
      </c>
      <c r="LE120" s="599" t="e">
        <f>LD120-AVERAGE(LL94:LL95)</f>
        <v>#DIV/0!</v>
      </c>
      <c r="LF120" s="672" t="e">
        <f>ABS($B$33*LE120*3600)</f>
        <v>#DIV/0!</v>
      </c>
      <c r="LG120" s="675" t="e">
        <f>ABS($B$34*LE120*3600)</f>
        <v>#DIV/0!</v>
      </c>
      <c r="LH120" s="614" t="e">
        <f>LG120*$C$79</f>
        <v>#DIV/0!</v>
      </c>
      <c r="LI120" s="672" t="e">
        <f>LG120*$F$70</f>
        <v>#DIV/0!</v>
      </c>
      <c r="LJ120" s="600" t="e">
        <f>LG120*$F$75</f>
        <v>#DIV/0!</v>
      </c>
      <c r="LK120" s="672" t="e">
        <f>LG120*$F$72</f>
        <v>#DIV/0!</v>
      </c>
      <c r="LL120" s="676" t="e">
        <f>LG120*$F$71</f>
        <v>#DIV/0!</v>
      </c>
      <c r="LM120" s="668"/>
      <c r="LN120" s="669"/>
      <c r="LO120" s="670"/>
      <c r="LP120" s="671"/>
      <c r="LQ120" s="678"/>
      <c r="LR120" s="650"/>
      <c r="LS120" s="651">
        <f t="shared" si="416"/>
        <v>0</v>
      </c>
      <c r="LT120" s="619" t="e">
        <f>((273.2+LM120)*$F$32/((273.2+$F$31)*LO120))</f>
        <v>#DIV/0!</v>
      </c>
      <c r="LU120" s="674" t="e">
        <f>LS120/LQ120*LT120*EXP(-LN(2)/10990*($F$88-LR120))</f>
        <v>#DIV/0!</v>
      </c>
      <c r="LV120" s="599" t="e">
        <f>LU120-AVERAGE(MC94:MC95)</f>
        <v>#DIV/0!</v>
      </c>
      <c r="LW120" s="672" t="e">
        <f>ABS($B$33*LV120*3600)</f>
        <v>#DIV/0!</v>
      </c>
      <c r="LX120" s="675" t="e">
        <f>ABS($B$34*LV120*3600)</f>
        <v>#DIV/0!</v>
      </c>
      <c r="LY120" s="614" t="e">
        <f>LX120*$C$79</f>
        <v>#DIV/0!</v>
      </c>
      <c r="LZ120" s="672" t="e">
        <f>LX120*$F$70</f>
        <v>#DIV/0!</v>
      </c>
      <c r="MA120" s="600" t="e">
        <f>LX120*$F$75</f>
        <v>#DIV/0!</v>
      </c>
      <c r="MB120" s="672" t="e">
        <f>LX120*$F$72</f>
        <v>#DIV/0!</v>
      </c>
      <c r="MC120" s="676" t="e">
        <f>LX120*$F$71</f>
        <v>#DIV/0!</v>
      </c>
      <c r="MD120" s="668"/>
      <c r="ME120" s="669"/>
      <c r="MF120" s="680"/>
      <c r="MG120" s="671"/>
      <c r="MH120" s="673"/>
      <c r="MI120" s="650"/>
      <c r="MJ120" s="651">
        <f t="shared" si="418"/>
        <v>0</v>
      </c>
      <c r="MK120" s="619" t="e">
        <f>((273.2+MD120)*$F$32/((273.2+$F$31)*MF120))</f>
        <v>#DIV/0!</v>
      </c>
      <c r="ML120" s="674" t="e">
        <f>MJ120/MH120*MK120*EXP(-LN(2)/10990*($F$88-MI120))</f>
        <v>#DIV/0!</v>
      </c>
      <c r="MM120" s="599" t="e">
        <f>ML120-AVERAGE(MT94:MT95)</f>
        <v>#DIV/0!</v>
      </c>
      <c r="MN120" s="672" t="e">
        <f>ABS($B$33*MM120*3600)</f>
        <v>#DIV/0!</v>
      </c>
      <c r="MO120" s="675" t="e">
        <f>ABS($B$34*MM120*3600)</f>
        <v>#DIV/0!</v>
      </c>
      <c r="MP120" s="614" t="e">
        <f>MO120*$C$79</f>
        <v>#DIV/0!</v>
      </c>
      <c r="MQ120" s="672" t="e">
        <f>MO120*$F$70</f>
        <v>#DIV/0!</v>
      </c>
      <c r="MR120" s="600" t="e">
        <f>MO120*$F$75</f>
        <v>#DIV/0!</v>
      </c>
      <c r="MS120" s="672" t="e">
        <f>MO120*$F$72</f>
        <v>#DIV/0!</v>
      </c>
      <c r="MT120" s="676" t="e">
        <f>MO120*$F$71</f>
        <v>#DIV/0!</v>
      </c>
      <c r="MU120" s="668">
        <v>20.399999999999999</v>
      </c>
      <c r="MV120" s="669">
        <v>53</v>
      </c>
      <c r="MW120" s="680">
        <v>1007</v>
      </c>
      <c r="MX120" s="671">
        <v>-1.007E-10</v>
      </c>
      <c r="MY120" s="678">
        <v>60</v>
      </c>
      <c r="MZ120" s="650">
        <v>43403</v>
      </c>
      <c r="NA120" s="651" t="str">
        <f t="shared" si="420"/>
        <v>rango cal. out</v>
      </c>
      <c r="NB120" s="619">
        <f>((273.2+MU120)*$F$32/((273.2+$F$31)*MW120))</f>
        <v>0</v>
      </c>
      <c r="NC120" s="674" t="e">
        <f>NA120/MY120*NB120*EXP(-LN(2)/10990*($F$88-MZ120))</f>
        <v>#VALUE!</v>
      </c>
      <c r="ND120" s="599" t="e">
        <f>NC120-AVERAGE(NK94:NK95)</f>
        <v>#VALUE!</v>
      </c>
      <c r="NE120" s="672" t="e">
        <f>ABS($B$33*ND120*3600)</f>
        <v>#VALUE!</v>
      </c>
      <c r="NF120" s="675" t="e">
        <f>ABS($B$34*ND120*3600)</f>
        <v>#VALUE!</v>
      </c>
      <c r="NG120" s="614" t="e">
        <f>NF120*$C$79</f>
        <v>#VALUE!</v>
      </c>
      <c r="NH120" s="672" t="e">
        <f>NF120*$F$70</f>
        <v>#VALUE!</v>
      </c>
      <c r="NI120" s="600" t="e">
        <f>NF120*$F$75</f>
        <v>#VALUE!</v>
      </c>
      <c r="NJ120" s="672" t="e">
        <f>NF120*$F$72</f>
        <v>#VALUE!</v>
      </c>
      <c r="NK120" s="676" t="e">
        <f>NF120*$F$71</f>
        <v>#VALUE!</v>
      </c>
      <c r="NL120" s="668"/>
      <c r="NM120" s="669"/>
      <c r="NN120" s="670"/>
      <c r="NO120" s="671"/>
      <c r="NP120" s="678"/>
      <c r="NQ120" s="650"/>
      <c r="NR120" s="651">
        <f t="shared" si="422"/>
        <v>0</v>
      </c>
      <c r="NS120" s="619" t="e">
        <f>((273.2+NL120)*$F$32/((273.2+$F$31)*NN120))</f>
        <v>#DIV/0!</v>
      </c>
      <c r="NT120" s="674" t="e">
        <f>NR120/NP120*NS120*EXP(-LN(2)/10990*($F$88-NQ120))</f>
        <v>#DIV/0!</v>
      </c>
      <c r="NU120" s="599" t="e">
        <f>NT120-AVERAGE(OB94:OB95)</f>
        <v>#DIV/0!</v>
      </c>
      <c r="NV120" s="672" t="e">
        <f>ABS($B$33*NU120*3600)</f>
        <v>#DIV/0!</v>
      </c>
      <c r="NW120" s="675" t="e">
        <f>ABS($B$34*NU120*3600)</f>
        <v>#DIV/0!</v>
      </c>
      <c r="NX120" s="614" t="e">
        <f>NW120*$C$79</f>
        <v>#DIV/0!</v>
      </c>
      <c r="NY120" s="672" t="e">
        <f>NW120*$F$70</f>
        <v>#DIV/0!</v>
      </c>
      <c r="NZ120" s="600" t="e">
        <f>NW120*$F$75</f>
        <v>#DIV/0!</v>
      </c>
      <c r="OA120" s="672" t="e">
        <f>NW120*$F$72</f>
        <v>#DIV/0!</v>
      </c>
      <c r="OB120" s="676" t="e">
        <f>NW120*$F$71</f>
        <v>#DIV/0!</v>
      </c>
      <c r="OC120" s="668">
        <v>20.399999999999999</v>
      </c>
      <c r="OD120" s="669">
        <v>53</v>
      </c>
      <c r="OE120" s="680">
        <v>1007</v>
      </c>
      <c r="OF120" s="671">
        <v>-2.3400000000000002E-10</v>
      </c>
      <c r="OG120" s="673">
        <v>60</v>
      </c>
      <c r="OH120" s="650">
        <v>43403</v>
      </c>
      <c r="OI120" s="651" t="str">
        <f t="shared" si="424"/>
        <v>rango cal. out</v>
      </c>
      <c r="OJ120" s="619">
        <f>((273.2+OC120)*$F$32/((273.2+$F$31)*OE120))</f>
        <v>0</v>
      </c>
      <c r="OK120" s="674" t="e">
        <f>OI120/OG120*OJ120*EXP(-LN(2)/10990*($F$88-OH120))</f>
        <v>#VALUE!</v>
      </c>
      <c r="OL120" s="599" t="e">
        <f>OK120-AVERAGE(OS94:OS95)</f>
        <v>#VALUE!</v>
      </c>
      <c r="OM120" s="672" t="e">
        <f>ABS($B$33*OL120*3600)</f>
        <v>#VALUE!</v>
      </c>
      <c r="ON120" s="675" t="e">
        <f>ABS($B$34*OL120*3600)</f>
        <v>#VALUE!</v>
      </c>
      <c r="OO120" s="614" t="e">
        <f>ON120*$C$79</f>
        <v>#VALUE!</v>
      </c>
      <c r="OP120" s="672" t="e">
        <f>ON120*$F$70</f>
        <v>#VALUE!</v>
      </c>
      <c r="OQ120" s="600" t="e">
        <f>ON120*$F$75</f>
        <v>#VALUE!</v>
      </c>
      <c r="OR120" s="672" t="e">
        <f>ON120*$F$72</f>
        <v>#VALUE!</v>
      </c>
      <c r="OS120" s="676" t="e">
        <f>ON120*$F$71</f>
        <v>#VALUE!</v>
      </c>
      <c r="OT120" s="668"/>
      <c r="OU120" s="669"/>
      <c r="OV120" s="670"/>
      <c r="OW120" s="671"/>
      <c r="OX120" s="678"/>
      <c r="OY120" s="650"/>
      <c r="OZ120" s="651">
        <f t="shared" si="426"/>
        <v>0</v>
      </c>
      <c r="PA120" s="619" t="e">
        <f>((273.2+OT120)*$F$32/((273.2+$F$31)*OV120))</f>
        <v>#DIV/0!</v>
      </c>
      <c r="PB120" s="674" t="e">
        <f>OZ120/OX120*PA120*EXP(-LN(2)/10990*($F$88-OY120))</f>
        <v>#DIV/0!</v>
      </c>
      <c r="PC120" s="599" t="e">
        <f>PB120-AVERAGE(PJ94:PJ95)</f>
        <v>#DIV/0!</v>
      </c>
      <c r="PD120" s="672" t="e">
        <f>ABS($B$33*PC120*3600)</f>
        <v>#DIV/0!</v>
      </c>
      <c r="PE120" s="675" t="e">
        <f>ABS($B$34*PC120*3600)</f>
        <v>#DIV/0!</v>
      </c>
      <c r="PF120" s="614" t="e">
        <f>PE120*$C$79</f>
        <v>#DIV/0!</v>
      </c>
      <c r="PG120" s="672" t="e">
        <f>PE120*$F$70</f>
        <v>#DIV/0!</v>
      </c>
      <c r="PH120" s="600" t="e">
        <f>PE120*$F$75</f>
        <v>#DIV/0!</v>
      </c>
      <c r="PI120" s="672" t="e">
        <f>PE120*$F$72</f>
        <v>#DIV/0!</v>
      </c>
      <c r="PJ120" s="676" t="e">
        <f>PE120*$F$71</f>
        <v>#DIV/0!</v>
      </c>
      <c r="PK120" s="668"/>
      <c r="PL120" s="669"/>
      <c r="PM120" s="670"/>
      <c r="PN120" s="671"/>
      <c r="PO120" s="678"/>
      <c r="PP120" s="650"/>
      <c r="PQ120" s="651">
        <f t="shared" si="428"/>
        <v>0</v>
      </c>
      <c r="PR120" s="619" t="e">
        <f>((273.2+PK120)*$F$32/((273.2+$F$31)*PM120))</f>
        <v>#DIV/0!</v>
      </c>
      <c r="PS120" s="674" t="e">
        <f>PQ120/PO120*PR120*EXP(-LN(2)/10990*($F$88-PP120))</f>
        <v>#DIV/0!</v>
      </c>
      <c r="PT120" s="599" t="e">
        <f>PS120-AVERAGE(QA94:QA95)</f>
        <v>#DIV/0!</v>
      </c>
      <c r="PU120" s="672" t="e">
        <f>ABS($B$33*PT120*3600)</f>
        <v>#DIV/0!</v>
      </c>
      <c r="PV120" s="675" t="e">
        <f>ABS($B$34*PT120*3600)</f>
        <v>#DIV/0!</v>
      </c>
      <c r="PW120" s="614" t="e">
        <f>PV120*$C$79</f>
        <v>#DIV/0!</v>
      </c>
      <c r="PX120" s="672" t="e">
        <f>PV120*$F$70</f>
        <v>#DIV/0!</v>
      </c>
      <c r="PY120" s="600" t="e">
        <f>PV120*$F$75</f>
        <v>#DIV/0!</v>
      </c>
      <c r="PZ120" s="672" t="e">
        <f>PV120*$F$72</f>
        <v>#DIV/0!</v>
      </c>
      <c r="QA120" s="676" t="e">
        <f>PV120*$F$71</f>
        <v>#DIV/0!</v>
      </c>
      <c r="QB120" s="668"/>
      <c r="QC120" s="669"/>
      <c r="QD120" s="680"/>
      <c r="QE120" s="671"/>
      <c r="QF120" s="673"/>
      <c r="QG120" s="650"/>
      <c r="QH120" s="651">
        <f t="shared" si="430"/>
        <v>0</v>
      </c>
      <c r="QI120" s="619" t="e">
        <f>((273.2+QB120)*$F$32/((273.2+$F$31)*QD120))</f>
        <v>#DIV/0!</v>
      </c>
      <c r="QJ120" s="674" t="e">
        <f>QH120/QF120*QI120*EXP(-LN(2)/10990*($F$88-QG120))</f>
        <v>#DIV/0!</v>
      </c>
      <c r="QK120" s="599" t="e">
        <f>QJ120-AVERAGE(QR94:QR95)</f>
        <v>#DIV/0!</v>
      </c>
      <c r="QL120" s="672" t="e">
        <f>ABS($B$33*QK120*3600)</f>
        <v>#DIV/0!</v>
      </c>
      <c r="QM120" s="675" t="e">
        <f>ABS($B$34*QK120*3600)</f>
        <v>#DIV/0!</v>
      </c>
      <c r="QN120" s="614" t="e">
        <f>QM120*$C$79</f>
        <v>#DIV/0!</v>
      </c>
      <c r="QO120" s="672" t="e">
        <f>QM120*$F$70</f>
        <v>#DIV/0!</v>
      </c>
      <c r="QP120" s="600" t="e">
        <f>QM120*$F$75</f>
        <v>#DIV/0!</v>
      </c>
      <c r="QQ120" s="672" t="e">
        <f>QM120*$F$72</f>
        <v>#DIV/0!</v>
      </c>
      <c r="QR120" s="676" t="e">
        <f>QM120*$F$71</f>
        <v>#DIV/0!</v>
      </c>
      <c r="QS120" s="668"/>
      <c r="QT120" s="669"/>
      <c r="QU120" s="677"/>
      <c r="QV120" s="679"/>
      <c r="QW120" s="673"/>
      <c r="QX120" s="650"/>
      <c r="QY120" s="651">
        <f t="shared" si="432"/>
        <v>0</v>
      </c>
      <c r="QZ120" s="619" t="e">
        <f>((273.2+QS120)*$F$32/((273.2+$F$31)*QU120))</f>
        <v>#DIV/0!</v>
      </c>
      <c r="RA120" s="674" t="e">
        <f>QY120/QW120*QZ120*EXP(-LN(2)/10990*($F$88-QX120))</f>
        <v>#DIV/0!</v>
      </c>
      <c r="RB120" s="599" t="e">
        <f>RA120-AVERAGE(RI94:RI95)</f>
        <v>#DIV/0!</v>
      </c>
      <c r="RC120" s="672" t="e">
        <f>ABS($B$33*RB120*3600)</f>
        <v>#DIV/0!</v>
      </c>
      <c r="RD120" s="675" t="e">
        <f>ABS($B$34*RB120*3600)</f>
        <v>#DIV/0!</v>
      </c>
      <c r="RE120" s="614" t="e">
        <f>RD120*$C$79</f>
        <v>#DIV/0!</v>
      </c>
      <c r="RF120" s="672" t="e">
        <f>RD120*$F$70</f>
        <v>#DIV/0!</v>
      </c>
      <c r="RG120" s="600" t="e">
        <f>RD120*$F$75</f>
        <v>#DIV/0!</v>
      </c>
      <c r="RH120" s="672" t="e">
        <f>RD120*$F$72</f>
        <v>#DIV/0!</v>
      </c>
      <c r="RI120" s="676" t="e">
        <f>RD120*$F$71</f>
        <v>#DIV/0!</v>
      </c>
      <c r="RJ120" s="668">
        <v>20.5</v>
      </c>
      <c r="RK120" s="669">
        <v>54</v>
      </c>
      <c r="RL120" s="680">
        <v>1008</v>
      </c>
      <c r="RM120" s="671">
        <v>-1.0709999999999999E-11</v>
      </c>
      <c r="RN120" s="673">
        <v>60</v>
      </c>
      <c r="RO120" s="650">
        <v>43403</v>
      </c>
      <c r="RP120" s="651" t="str">
        <f t="shared" si="434"/>
        <v>rango cal. out</v>
      </c>
      <c r="RQ120" s="619">
        <f>((273.2+RJ120)*$F$32/((273.2+$F$31)*RL120))</f>
        <v>0</v>
      </c>
      <c r="RR120" s="674" t="e">
        <f>RP120/RN120*RQ120*EXP(-LN(2)/10990*($F$88-RO120))</f>
        <v>#VALUE!</v>
      </c>
      <c r="RS120" s="599" t="e">
        <f>RR120-AVERAGE(RZ94:RZ95)</f>
        <v>#VALUE!</v>
      </c>
      <c r="RT120" s="672" t="e">
        <f>ABS($B$33*RS120*3600)</f>
        <v>#VALUE!</v>
      </c>
      <c r="RU120" s="675" t="e">
        <f>ABS($B$34*RS120*3600)</f>
        <v>#VALUE!</v>
      </c>
      <c r="RV120" s="614" t="e">
        <f>RU120*$C$79</f>
        <v>#VALUE!</v>
      </c>
      <c r="RW120" s="672" t="e">
        <f>RU120*$F$70</f>
        <v>#VALUE!</v>
      </c>
      <c r="RX120" s="600" t="e">
        <f>RU120*$F$75</f>
        <v>#VALUE!</v>
      </c>
      <c r="RY120" s="672" t="e">
        <f>RU120*$F$72</f>
        <v>#VALUE!</v>
      </c>
      <c r="RZ120" s="676" t="e">
        <f>RU120*$F$71</f>
        <v>#VALUE!</v>
      </c>
      <c r="SA120" s="668">
        <v>20.399999999999999</v>
      </c>
      <c r="SB120" s="669">
        <v>55</v>
      </c>
      <c r="SC120" s="680">
        <v>1008</v>
      </c>
      <c r="SD120" s="671">
        <v>-5.7890000000000004E-10</v>
      </c>
      <c r="SE120" s="673">
        <v>60</v>
      </c>
      <c r="SF120" s="650">
        <v>43403</v>
      </c>
      <c r="SG120" s="651" t="str">
        <f t="shared" si="436"/>
        <v>rango cal. out</v>
      </c>
      <c r="SH120" s="619">
        <f>((273.2+SA120)*$F$32/((273.2+$F$31)*SC120))</f>
        <v>0</v>
      </c>
      <c r="SI120" s="674" t="e">
        <f>SG120/SE120*SH120*EXP(-LN(2)/10990*($F$88-SF120))</f>
        <v>#VALUE!</v>
      </c>
      <c r="SJ120" s="599" t="e">
        <f>SI120-AVERAGE(SQ94:SQ95)</f>
        <v>#VALUE!</v>
      </c>
      <c r="SK120" s="672" t="e">
        <f>ABS($B$33*SJ120*3600)</f>
        <v>#VALUE!</v>
      </c>
      <c r="SL120" s="675" t="e">
        <f>ABS($B$34*SJ120*3600)</f>
        <v>#VALUE!</v>
      </c>
      <c r="SM120" s="614" t="e">
        <f>SL120*$C$79</f>
        <v>#VALUE!</v>
      </c>
      <c r="SN120" s="672" t="e">
        <f>SL120*$F$70</f>
        <v>#VALUE!</v>
      </c>
      <c r="SO120" s="600" t="e">
        <f>SL120*$F$75</f>
        <v>#VALUE!</v>
      </c>
      <c r="SP120" s="672" t="e">
        <f>SL120*$F$72</f>
        <v>#VALUE!</v>
      </c>
      <c r="SQ120" s="676" t="e">
        <f>SL120*$F$71</f>
        <v>#VALUE!</v>
      </c>
      <c r="SR120" s="668"/>
      <c r="SS120" s="669"/>
      <c r="ST120" s="670"/>
      <c r="SU120" s="671"/>
      <c r="SV120" s="678"/>
      <c r="SW120" s="650"/>
      <c r="SX120" s="651">
        <f t="shared" si="438"/>
        <v>0</v>
      </c>
      <c r="SY120" s="619" t="e">
        <f>((273.2+SR120)*$F$32/((273.2+$F$31)*ST120))</f>
        <v>#DIV/0!</v>
      </c>
      <c r="SZ120" s="674" t="e">
        <f>SX120/SV120*SY120*EXP(-LN(2)/10990*($F$88-SW120))</f>
        <v>#DIV/0!</v>
      </c>
      <c r="TA120" s="599" t="e">
        <f>SZ120-AVERAGE(TH94:TH95)</f>
        <v>#DIV/0!</v>
      </c>
      <c r="TB120" s="672" t="e">
        <f>ABS($B$33*TA120*3600)</f>
        <v>#DIV/0!</v>
      </c>
      <c r="TC120" s="675" t="e">
        <f>ABS($B$34*TA120*3600)</f>
        <v>#DIV/0!</v>
      </c>
      <c r="TD120" s="614" t="e">
        <f>TC120*$C$79</f>
        <v>#DIV/0!</v>
      </c>
      <c r="TE120" s="672" t="e">
        <f>TC120*$F$70</f>
        <v>#DIV/0!</v>
      </c>
      <c r="TF120" s="600" t="e">
        <f>TC120*$F$75</f>
        <v>#DIV/0!</v>
      </c>
      <c r="TG120" s="672" t="e">
        <f>TC120*$F$72</f>
        <v>#DIV/0!</v>
      </c>
      <c r="TH120" s="676" t="e">
        <f>TC120*$F$71</f>
        <v>#DIV/0!</v>
      </c>
      <c r="TI120" s="668">
        <v>20.5</v>
      </c>
      <c r="TJ120" s="669">
        <v>55</v>
      </c>
      <c r="TK120" s="680">
        <v>1008</v>
      </c>
      <c r="TL120" s="671">
        <v>-2.445E-11</v>
      </c>
      <c r="TM120" s="673">
        <v>60</v>
      </c>
      <c r="TN120" s="650">
        <v>43403</v>
      </c>
      <c r="TO120" s="651" t="str">
        <f t="shared" si="440"/>
        <v>rango cal. out</v>
      </c>
      <c r="TP120" s="619">
        <f>((273.2+TI120)*$F$32/((273.2+$F$31)*TK120))</f>
        <v>0</v>
      </c>
      <c r="TQ120" s="674" t="e">
        <f>TO120/TM120*TP120*EXP(-LN(2)/10990*($F$88-TN120))</f>
        <v>#VALUE!</v>
      </c>
      <c r="TR120" s="599" t="e">
        <f>TQ120-AVERAGE(TY94:TY95)</f>
        <v>#VALUE!</v>
      </c>
      <c r="TS120" s="672" t="e">
        <f>ABS($B$33*TR120*3600)</f>
        <v>#VALUE!</v>
      </c>
      <c r="TT120" s="675" t="e">
        <f>ABS($B$34*TR120*3600)</f>
        <v>#VALUE!</v>
      </c>
      <c r="TU120" s="614" t="e">
        <f>TT120*$C$79</f>
        <v>#VALUE!</v>
      </c>
      <c r="TV120" s="672" t="e">
        <f>TT120*$F$70</f>
        <v>#VALUE!</v>
      </c>
      <c r="TW120" s="600" t="e">
        <f>TT120*$F$75</f>
        <v>#VALUE!</v>
      </c>
      <c r="TX120" s="672" t="e">
        <f>TT120*$F$72</f>
        <v>#VALUE!</v>
      </c>
      <c r="TY120" s="676" t="e">
        <f>TT120*$F$71</f>
        <v>#VALUE!</v>
      </c>
    </row>
    <row r="121" spans="1:545" x14ac:dyDescent="0.25">
      <c r="A121" s="2220"/>
      <c r="B121" s="668"/>
      <c r="C121" s="673"/>
      <c r="D121" s="673"/>
      <c r="E121" s="671"/>
      <c r="F121" s="673"/>
      <c r="G121" s="650"/>
      <c r="H121" s="651"/>
      <c r="I121" s="619"/>
      <c r="J121" s="674"/>
      <c r="K121" s="599"/>
      <c r="L121" s="599"/>
      <c r="M121" s="657"/>
      <c r="N121" s="614"/>
      <c r="O121" s="672"/>
      <c r="P121" s="600"/>
      <c r="Q121" s="672"/>
      <c r="R121" s="676"/>
      <c r="S121" s="677"/>
      <c r="T121" s="669"/>
      <c r="U121" s="670"/>
      <c r="V121" s="671"/>
      <c r="W121" s="678"/>
      <c r="X121" s="663"/>
      <c r="Y121" s="651">
        <f t="shared" si="380"/>
        <v>0</v>
      </c>
      <c r="Z121" s="619" t="e">
        <f>((273.2+S121)*$F$32/((273.2+$F$31)*U121))</f>
        <v>#DIV/0!</v>
      </c>
      <c r="AA121" s="674" t="e">
        <f>Y121/W121*Z121*EXP(-LN(2)/10990*($F$88-X121))</f>
        <v>#DIV/0!</v>
      </c>
      <c r="AB121" s="599" t="e">
        <f>AA121-AVERAGE(AI94:AI95)</f>
        <v>#DIV/0!</v>
      </c>
      <c r="AC121" s="599" t="e">
        <f>ABS($B$33*AB121*3600)</f>
        <v>#DIV/0!</v>
      </c>
      <c r="AD121" s="657" t="e">
        <f>ABS($B$34*AB121*3600)</f>
        <v>#DIV/0!</v>
      </c>
      <c r="AE121" s="614" t="e">
        <f>AD121*$C$79</f>
        <v>#DIV/0!</v>
      </c>
      <c r="AF121" s="672" t="e">
        <f>AD121*$F$70</f>
        <v>#DIV/0!</v>
      </c>
      <c r="AG121" s="600" t="e">
        <f t="shared" si="381"/>
        <v>#DIV/0!</v>
      </c>
      <c r="AH121" s="672" t="e">
        <f>AD121*$F$72</f>
        <v>#DIV/0!</v>
      </c>
      <c r="AI121" s="676" t="e">
        <f>AD121*$F$71</f>
        <v>#DIV/0!</v>
      </c>
      <c r="AJ121" s="677"/>
      <c r="AK121" s="669"/>
      <c r="AL121" s="670"/>
      <c r="AM121" s="671"/>
      <c r="AN121" s="678"/>
      <c r="AO121" s="663"/>
      <c r="AP121" s="651">
        <f t="shared" si="382"/>
        <v>0</v>
      </c>
      <c r="AQ121" s="619" t="e">
        <f>((273.2+AJ121)*$F$32/((273.2+$F$31)*AL121))</f>
        <v>#DIV/0!</v>
      </c>
      <c r="AR121" s="674" t="e">
        <f>AP121/AN121*AQ121*EXP(-LN(2)/10990*($F$88-AO121))</f>
        <v>#DIV/0!</v>
      </c>
      <c r="AS121" s="599" t="e">
        <f>AR121-AVERAGE(AZ94:AZ95)</f>
        <v>#DIV/0!</v>
      </c>
      <c r="AT121" s="599" t="e">
        <f>ABS($B$33*AS121*3600)</f>
        <v>#DIV/0!</v>
      </c>
      <c r="AU121" s="657" t="e">
        <f>ABS($B$34*AS121*3600)</f>
        <v>#DIV/0!</v>
      </c>
      <c r="AV121" s="614" t="e">
        <f>AU121*$C$79</f>
        <v>#DIV/0!</v>
      </c>
      <c r="AW121" s="672" t="e">
        <f>AU121*$F$70</f>
        <v>#DIV/0!</v>
      </c>
      <c r="AX121" s="600" t="e">
        <f t="shared" si="383"/>
        <v>#DIV/0!</v>
      </c>
      <c r="AY121" s="672" t="e">
        <f>AU121*$F$72</f>
        <v>#DIV/0!</v>
      </c>
      <c r="AZ121" s="676" t="e">
        <f>AU121*$F$71</f>
        <v>#DIV/0!</v>
      </c>
      <c r="BA121" s="668">
        <v>20.5</v>
      </c>
      <c r="BB121" s="669">
        <v>53</v>
      </c>
      <c r="BC121" s="680">
        <v>1008</v>
      </c>
      <c r="BD121" s="671">
        <v>-1.5E-9</v>
      </c>
      <c r="BE121" s="673">
        <v>60</v>
      </c>
      <c r="BF121" s="650">
        <v>43403</v>
      </c>
      <c r="BG121" s="651" t="str">
        <f t="shared" si="384"/>
        <v>rango cal. out</v>
      </c>
      <c r="BH121" s="619">
        <f>((273.2+BA121)*$F$32/((273.2+$F$31)*BC121))</f>
        <v>0</v>
      </c>
      <c r="BI121" s="674" t="e">
        <f>BG121/BE121*BH121*EXP(-LN(2)/10990*($F$88-BF121))</f>
        <v>#VALUE!</v>
      </c>
      <c r="BJ121" s="599" t="e">
        <f>BI121-AVERAGE(BQ94:BQ95)</f>
        <v>#VALUE!</v>
      </c>
      <c r="BK121" s="599" t="e">
        <f>ABS($B$33*BJ121*3600)</f>
        <v>#VALUE!</v>
      </c>
      <c r="BL121" s="657" t="e">
        <f>ABS($B$34*BJ121*3600)</f>
        <v>#VALUE!</v>
      </c>
      <c r="BM121" s="614" t="e">
        <f>BL121*$C$79</f>
        <v>#VALUE!</v>
      </c>
      <c r="BN121" s="672" t="e">
        <f>BL121*$F$70</f>
        <v>#VALUE!</v>
      </c>
      <c r="BO121" s="600" t="e">
        <f t="shared" si="385"/>
        <v>#VALUE!</v>
      </c>
      <c r="BP121" s="672" t="e">
        <f>BL121*$F$72</f>
        <v>#VALUE!</v>
      </c>
      <c r="BQ121" s="676" t="e">
        <f>BL121*$F$71</f>
        <v>#VALUE!</v>
      </c>
      <c r="BR121" s="668">
        <v>20.399999999999999</v>
      </c>
      <c r="BS121" s="669">
        <v>48</v>
      </c>
      <c r="BT121" s="680">
        <v>1007</v>
      </c>
      <c r="BU121" s="671">
        <v>-6.2159999999999995E-11</v>
      </c>
      <c r="BV121" s="673">
        <v>60</v>
      </c>
      <c r="BW121" s="663">
        <v>43403</v>
      </c>
      <c r="BX121" s="651" t="str">
        <f t="shared" si="386"/>
        <v>rango cal. out</v>
      </c>
      <c r="BY121" s="619">
        <f>((273.2+BR121)*$F$32/((273.2+$F$31)*BT121))</f>
        <v>0</v>
      </c>
      <c r="BZ121" s="674" t="e">
        <f>BX121/BV121*BY121*EXP(-LN(2)/10990*($F$88-BW121))</f>
        <v>#VALUE!</v>
      </c>
      <c r="CA121" s="599" t="e">
        <f>BZ121-AVERAGE(CH94:CH95)</f>
        <v>#VALUE!</v>
      </c>
      <c r="CB121" s="599" t="e">
        <f>ABS($B$33*CA121*3600)</f>
        <v>#VALUE!</v>
      </c>
      <c r="CC121" s="657" t="e">
        <f>ABS($B$34*CA121*3600)</f>
        <v>#VALUE!</v>
      </c>
      <c r="CD121" s="614" t="e">
        <f>CC121*$C$79</f>
        <v>#VALUE!</v>
      </c>
      <c r="CE121" s="672" t="e">
        <f>CC121*$F$70</f>
        <v>#VALUE!</v>
      </c>
      <c r="CF121" s="600" t="e">
        <f t="shared" si="387"/>
        <v>#VALUE!</v>
      </c>
      <c r="CG121" s="672" t="e">
        <f>CC121*$F$72</f>
        <v>#VALUE!</v>
      </c>
      <c r="CH121" s="676" t="e">
        <f>CC121*$F$71</f>
        <v>#VALUE!</v>
      </c>
      <c r="CI121" s="668">
        <v>20.3</v>
      </c>
      <c r="CJ121" s="669">
        <v>51</v>
      </c>
      <c r="CK121" s="680">
        <v>1007</v>
      </c>
      <c r="CL121" s="671">
        <v>-3.5039999999999999E-9</v>
      </c>
      <c r="CM121" s="673">
        <v>60</v>
      </c>
      <c r="CN121" s="663">
        <v>43403</v>
      </c>
      <c r="CO121" s="651" t="str">
        <f t="shared" si="388"/>
        <v>rango cal. out</v>
      </c>
      <c r="CP121" s="619">
        <f>((273.2+CI121)*$F$32/((273.2+$F$31)*CK121))</f>
        <v>0</v>
      </c>
      <c r="CQ121" s="674" t="e">
        <f>CO121/CM121*CP121*EXP(-LN(2)/10990*($F$88-CN121))</f>
        <v>#VALUE!</v>
      </c>
      <c r="CR121" s="599" t="e">
        <f>CQ121-AVERAGE(CY94:CY95)</f>
        <v>#VALUE!</v>
      </c>
      <c r="CS121" s="599" t="e">
        <f>ABS($B$33*CR121*3600)</f>
        <v>#VALUE!</v>
      </c>
      <c r="CT121" s="657" t="e">
        <f>ABS($B$34*CR121*3600)</f>
        <v>#VALUE!</v>
      </c>
      <c r="CU121" s="614" t="e">
        <f>CT121*$C$79</f>
        <v>#VALUE!</v>
      </c>
      <c r="CV121" s="672" t="e">
        <f>CT121*$F$70</f>
        <v>#VALUE!</v>
      </c>
      <c r="CW121" s="600" t="e">
        <f t="shared" si="389"/>
        <v>#VALUE!</v>
      </c>
      <c r="CX121" s="672" t="e">
        <f>CT121*$F$72</f>
        <v>#VALUE!</v>
      </c>
      <c r="CY121" s="676" t="e">
        <f>CT121*$F$71</f>
        <v>#VALUE!</v>
      </c>
      <c r="CZ121" s="668"/>
      <c r="DA121" s="669"/>
      <c r="DB121" s="670"/>
      <c r="DC121" s="671"/>
      <c r="DD121" s="678"/>
      <c r="DE121" s="663"/>
      <c r="DF121" s="651">
        <f t="shared" si="390"/>
        <v>0</v>
      </c>
      <c r="DG121" s="619" t="e">
        <f>((273.2+CZ121)*$F$32/((273.2+$F$31)*DB121))</f>
        <v>#DIV/0!</v>
      </c>
      <c r="DH121" s="674" t="e">
        <f>DF121/DD121*DG121*EXP(-LN(2)/10990*($F$88-DE121))</f>
        <v>#DIV/0!</v>
      </c>
      <c r="DI121" s="599" t="e">
        <f>DH121-AVERAGE(DP94:DP95)</f>
        <v>#DIV/0!</v>
      </c>
      <c r="DJ121" s="599" t="e">
        <f>ABS($B$33*DI121*3600)</f>
        <v>#DIV/0!</v>
      </c>
      <c r="DK121" s="657" t="e">
        <f>ABS($B$34*DI121*3600)</f>
        <v>#DIV/0!</v>
      </c>
      <c r="DL121" s="614" t="e">
        <f>DK121*$C$79</f>
        <v>#DIV/0!</v>
      </c>
      <c r="DM121" s="672" t="e">
        <f>DK121*$F$70</f>
        <v>#DIV/0!</v>
      </c>
      <c r="DN121" s="600" t="e">
        <f t="shared" si="391"/>
        <v>#DIV/0!</v>
      </c>
      <c r="DO121" s="672" t="e">
        <f>DK121*$F$72</f>
        <v>#DIV/0!</v>
      </c>
      <c r="DP121" s="676" t="e">
        <f>DK121*$F$71</f>
        <v>#DIV/0!</v>
      </c>
      <c r="DQ121" s="668"/>
      <c r="DR121" s="669"/>
      <c r="DS121" s="677"/>
      <c r="DT121" s="679"/>
      <c r="DU121" s="678"/>
      <c r="DV121" s="663"/>
      <c r="DW121" s="651">
        <f t="shared" si="392"/>
        <v>0</v>
      </c>
      <c r="DX121" s="619" t="e">
        <f>((273.2+DQ121)*$F$32/((273.2+$F$31)*DS121))</f>
        <v>#DIV/0!</v>
      </c>
      <c r="DY121" s="674" t="e">
        <f>DW121/DU121*DX121*EXP(-LN(2)/10990*($F$88-DV121))</f>
        <v>#DIV/0!</v>
      </c>
      <c r="DZ121" s="599" t="e">
        <f>DY121-AVERAGE(EG94:EG95)</f>
        <v>#DIV/0!</v>
      </c>
      <c r="EA121" s="599" t="e">
        <f>ABS($B$33*DZ121*3600)</f>
        <v>#DIV/0!</v>
      </c>
      <c r="EB121" s="657" t="e">
        <f>ABS($B$34*DZ121*3600)</f>
        <v>#DIV/0!</v>
      </c>
      <c r="EC121" s="614" t="e">
        <f>EB121*$C$79</f>
        <v>#DIV/0!</v>
      </c>
      <c r="ED121" s="672" t="e">
        <f>EB121*$F$70</f>
        <v>#DIV/0!</v>
      </c>
      <c r="EE121" s="600" t="e">
        <f t="shared" si="393"/>
        <v>#DIV/0!</v>
      </c>
      <c r="EF121" s="672" t="e">
        <f>EB121*$F$72</f>
        <v>#DIV/0!</v>
      </c>
      <c r="EG121" s="676" t="e">
        <f>EB121*$F$71</f>
        <v>#DIV/0!</v>
      </c>
      <c r="EH121" s="668">
        <v>20.7</v>
      </c>
      <c r="EI121" s="669">
        <v>52</v>
      </c>
      <c r="EJ121" s="680">
        <v>1007</v>
      </c>
      <c r="EK121" s="671">
        <v>-4.7300000000000002E-12</v>
      </c>
      <c r="EL121" s="673">
        <v>60</v>
      </c>
      <c r="EM121" s="663">
        <v>43403</v>
      </c>
      <c r="EN121" s="651" t="str">
        <f t="shared" si="394"/>
        <v>rango cal. out</v>
      </c>
      <c r="EO121" s="619">
        <f>((273.2+EH121)*$F$32/((273.2+$F$31)*EJ121))</f>
        <v>0</v>
      </c>
      <c r="EP121" s="674" t="e">
        <f>EN121/EL121*EO121*EXP(-LN(2)/10990*($F$88-EM121))</f>
        <v>#VALUE!</v>
      </c>
      <c r="EQ121" s="599" t="e">
        <f>EP121-AVERAGE(EX94:EX95)</f>
        <v>#VALUE!</v>
      </c>
      <c r="ER121" s="599" t="e">
        <f>ABS($B$33*EQ121*3600)</f>
        <v>#VALUE!</v>
      </c>
      <c r="ES121" s="657" t="e">
        <f>ABS($B$34*EQ121*3600)</f>
        <v>#VALUE!</v>
      </c>
      <c r="ET121" s="614" t="e">
        <f>ES121*$C$79</f>
        <v>#VALUE!</v>
      </c>
      <c r="EU121" s="672" t="e">
        <f>ES121*$F$70</f>
        <v>#VALUE!</v>
      </c>
      <c r="EV121" s="600" t="e">
        <f t="shared" si="395"/>
        <v>#VALUE!</v>
      </c>
      <c r="EW121" s="672" t="e">
        <f>ES121*$F$72</f>
        <v>#VALUE!</v>
      </c>
      <c r="EX121" s="676" t="e">
        <f>ES121*$F$71</f>
        <v>#VALUE!</v>
      </c>
      <c r="EY121" s="668"/>
      <c r="EZ121" s="669"/>
      <c r="FA121" s="670"/>
      <c r="FB121" s="671"/>
      <c r="FC121" s="678"/>
      <c r="FD121" s="663"/>
      <c r="FE121" s="651">
        <f t="shared" si="396"/>
        <v>0</v>
      </c>
      <c r="FF121" s="619" t="e">
        <f>((273.2+EY121)*$F$32/((273.2+$F$31)*FA121))</f>
        <v>#DIV/0!</v>
      </c>
      <c r="FG121" s="674" t="e">
        <f>FE121/FC121*FF121*EXP(-LN(2)/10990*($F$88-FD121))</f>
        <v>#DIV/0!</v>
      </c>
      <c r="FH121" s="599" t="e">
        <f>FG121-AVERAGE(FO94:FO95)</f>
        <v>#DIV/0!</v>
      </c>
      <c r="FI121" s="599" t="e">
        <f>ABS($B$33*FH121*3600)</f>
        <v>#DIV/0!</v>
      </c>
      <c r="FJ121" s="657" t="e">
        <f>ABS($B$34*FH121*3600)</f>
        <v>#DIV/0!</v>
      </c>
      <c r="FK121" s="614" t="e">
        <f>FJ121*$C$79</f>
        <v>#DIV/0!</v>
      </c>
      <c r="FL121" s="672" t="e">
        <f>FJ121*$F$70</f>
        <v>#DIV/0!</v>
      </c>
      <c r="FM121" s="600" t="e">
        <f t="shared" si="397"/>
        <v>#DIV/0!</v>
      </c>
      <c r="FN121" s="672" t="e">
        <f>FJ121*$F$72</f>
        <v>#DIV/0!</v>
      </c>
      <c r="FO121" s="676" t="e">
        <f>FJ121*$F$71</f>
        <v>#DIV/0!</v>
      </c>
      <c r="FP121" s="668"/>
      <c r="FQ121" s="669"/>
      <c r="FR121" s="670"/>
      <c r="FS121" s="671"/>
      <c r="FT121" s="678"/>
      <c r="FU121" s="663"/>
      <c r="FV121" s="651">
        <f t="shared" si="398"/>
        <v>0</v>
      </c>
      <c r="FW121" s="619" t="e">
        <f>((273.2+FP121)*$F$32/((273.2+$F$31)*FR121))</f>
        <v>#DIV/0!</v>
      </c>
      <c r="FX121" s="674" t="e">
        <f>FV121/FT121*FW121*EXP(-LN(2)/10990*($F$88-FU121))</f>
        <v>#DIV/0!</v>
      </c>
      <c r="FY121" s="599" t="e">
        <f>FX121-AVERAGE(GF94:GF95)</f>
        <v>#DIV/0!</v>
      </c>
      <c r="FZ121" s="599" t="e">
        <f>ABS($B$33*FY121*3600)</f>
        <v>#DIV/0!</v>
      </c>
      <c r="GA121" s="657" t="e">
        <f>ABS($B$34*FY121*3600)</f>
        <v>#DIV/0!</v>
      </c>
      <c r="GB121" s="614" t="e">
        <f>GA121*$C$79</f>
        <v>#DIV/0!</v>
      </c>
      <c r="GC121" s="672" t="e">
        <f>GA121*$F$70</f>
        <v>#DIV/0!</v>
      </c>
      <c r="GD121" s="600" t="e">
        <f t="shared" si="399"/>
        <v>#DIV/0!</v>
      </c>
      <c r="GE121" s="672" t="e">
        <f>GA121*$F$72</f>
        <v>#DIV/0!</v>
      </c>
      <c r="GF121" s="676" t="e">
        <f>GA121*$F$71</f>
        <v>#DIV/0!</v>
      </c>
      <c r="GG121" s="668"/>
      <c r="GH121" s="669"/>
      <c r="GI121" s="677"/>
      <c r="GJ121" s="679"/>
      <c r="GK121" s="678"/>
      <c r="GL121" s="663"/>
      <c r="GM121" s="651">
        <f t="shared" si="400"/>
        <v>0</v>
      </c>
      <c r="GN121" s="619" t="e">
        <f>((273.2+GG121)*$F$32/((273.2+$F$31)*GI121))</f>
        <v>#DIV/0!</v>
      </c>
      <c r="GO121" s="674" t="e">
        <f>GM121/GK121*GN121*EXP(-LN(2)/10990*($F$88-GL121))</f>
        <v>#DIV/0!</v>
      </c>
      <c r="GP121" s="599" t="e">
        <f>GO121-AVERAGE(GW94:GW95)</f>
        <v>#DIV/0!</v>
      </c>
      <c r="GQ121" s="599" t="e">
        <f>ABS($B$33*GP121*3600)</f>
        <v>#DIV/0!</v>
      </c>
      <c r="GR121" s="657" t="e">
        <f>ABS($B$34*GP121*3600)</f>
        <v>#DIV/0!</v>
      </c>
      <c r="GS121" s="614" t="e">
        <f>GR121*$C$79</f>
        <v>#DIV/0!</v>
      </c>
      <c r="GT121" s="672" t="e">
        <f>GR121*$F$70</f>
        <v>#DIV/0!</v>
      </c>
      <c r="GU121" s="600" t="e">
        <f t="shared" si="401"/>
        <v>#DIV/0!</v>
      </c>
      <c r="GV121" s="672" t="e">
        <f>GR121*$F$72</f>
        <v>#DIV/0!</v>
      </c>
      <c r="GW121" s="676" t="e">
        <f>GR121*$F$71</f>
        <v>#DIV/0!</v>
      </c>
      <c r="GX121" s="668"/>
      <c r="GY121" s="669"/>
      <c r="GZ121" s="670"/>
      <c r="HA121" s="671"/>
      <c r="HB121" s="678"/>
      <c r="HC121" s="663"/>
      <c r="HD121" s="651">
        <f t="shared" si="402"/>
        <v>0</v>
      </c>
      <c r="HE121" s="619" t="e">
        <f>((273.2+GX121)*$F$32/((273.2+$F$31)*GZ121))</f>
        <v>#DIV/0!</v>
      </c>
      <c r="HF121" s="674" t="e">
        <f>HD121/HB121*HE121*EXP(-LN(2)/10990*($F$88-HC121))</f>
        <v>#DIV/0!</v>
      </c>
      <c r="HG121" s="599" t="e">
        <f>HF121-AVERAGE(HN94:HN95)</f>
        <v>#DIV/0!</v>
      </c>
      <c r="HH121" s="599" t="e">
        <f>ABS($B$33*HG121*3600)</f>
        <v>#DIV/0!</v>
      </c>
      <c r="HI121" s="657" t="e">
        <f>ABS($B$34*HG121*3600)</f>
        <v>#DIV/0!</v>
      </c>
      <c r="HJ121" s="614" t="e">
        <f>HI121*$C$79</f>
        <v>#DIV/0!</v>
      </c>
      <c r="HK121" s="672" t="e">
        <f>HI121*$F$70</f>
        <v>#DIV/0!</v>
      </c>
      <c r="HL121" s="600" t="e">
        <f t="shared" si="403"/>
        <v>#DIV/0!</v>
      </c>
      <c r="HM121" s="672" t="e">
        <f>HI121*$F$72</f>
        <v>#DIV/0!</v>
      </c>
      <c r="HN121" s="676" t="e">
        <f>HI121*$F$71</f>
        <v>#DIV/0!</v>
      </c>
      <c r="HO121" s="668"/>
      <c r="HP121" s="669"/>
      <c r="HQ121" s="670"/>
      <c r="HR121" s="671"/>
      <c r="HS121" s="678"/>
      <c r="HT121" s="663"/>
      <c r="HU121" s="651">
        <f t="shared" si="404"/>
        <v>0</v>
      </c>
      <c r="HV121" s="619" t="e">
        <f>((273.2+HO121)*$F$32/((273.2+$F$31)*HQ121))</f>
        <v>#DIV/0!</v>
      </c>
      <c r="HW121" s="674" t="e">
        <f>HU121/HS121*HV121*EXP(-LN(2)/10990*($F$88-HT121))</f>
        <v>#DIV/0!</v>
      </c>
      <c r="HX121" s="599" t="e">
        <f>HW121-AVERAGE(IE94:IE95)</f>
        <v>#DIV/0!</v>
      </c>
      <c r="HY121" s="599" t="e">
        <f>ABS($B$33*HX121*3600)</f>
        <v>#DIV/0!</v>
      </c>
      <c r="HZ121" s="657" t="e">
        <f>ABS($B$34*HX121*3600)</f>
        <v>#DIV/0!</v>
      </c>
      <c r="IA121" s="614" t="e">
        <f>HZ121*$C$79</f>
        <v>#DIV/0!</v>
      </c>
      <c r="IB121" s="672" t="e">
        <f>HZ121*$F$70</f>
        <v>#DIV/0!</v>
      </c>
      <c r="IC121" s="600" t="e">
        <f t="shared" si="405"/>
        <v>#DIV/0!</v>
      </c>
      <c r="ID121" s="672" t="e">
        <f>HZ121*$F$72</f>
        <v>#DIV/0!</v>
      </c>
      <c r="IE121" s="676" t="e">
        <f>HZ121*$F$71</f>
        <v>#DIV/0!</v>
      </c>
      <c r="IF121" s="668"/>
      <c r="IG121" s="669"/>
      <c r="IH121" s="670"/>
      <c r="II121" s="671"/>
      <c r="IJ121" s="678"/>
      <c r="IK121" s="663"/>
      <c r="IL121" s="651">
        <f t="shared" si="406"/>
        <v>0</v>
      </c>
      <c r="IM121" s="619" t="e">
        <f>((273.2+IF121)*$F$32/((273.2+$F$31)*IH121))</f>
        <v>#DIV/0!</v>
      </c>
      <c r="IN121" s="674" t="e">
        <f>IL121/IJ121*IM121*EXP(-LN(2)/10990*($F$88-IK121))</f>
        <v>#DIV/0!</v>
      </c>
      <c r="IO121" s="599" t="e">
        <f>IN121-AVERAGE(IV94:IV95)</f>
        <v>#DIV/0!</v>
      </c>
      <c r="IP121" s="599" t="e">
        <f>ABS($B$33*IO121*3600)</f>
        <v>#DIV/0!</v>
      </c>
      <c r="IQ121" s="657" t="e">
        <f>ABS($B$34*IO121*3600)</f>
        <v>#DIV/0!</v>
      </c>
      <c r="IR121" s="614" t="e">
        <f>IQ121*$C$79</f>
        <v>#DIV/0!</v>
      </c>
      <c r="IS121" s="672" t="e">
        <f>IQ121*$F$70</f>
        <v>#DIV/0!</v>
      </c>
      <c r="IT121" s="600" t="e">
        <f t="shared" si="407"/>
        <v>#DIV/0!</v>
      </c>
      <c r="IU121" s="672" t="e">
        <f>IQ121*$F$72</f>
        <v>#DIV/0!</v>
      </c>
      <c r="IV121" s="676" t="e">
        <f>IQ121*$F$71</f>
        <v>#DIV/0!</v>
      </c>
      <c r="IW121" s="668"/>
      <c r="IX121" s="669"/>
      <c r="IY121" s="670"/>
      <c r="IZ121" s="671"/>
      <c r="JA121" s="678"/>
      <c r="JB121" s="663"/>
      <c r="JC121" s="651">
        <f t="shared" si="408"/>
        <v>0</v>
      </c>
      <c r="JD121" s="619" t="e">
        <f>((273.2+IW121)*$F$32/((273.2+$F$31)*IY121))</f>
        <v>#DIV/0!</v>
      </c>
      <c r="JE121" s="674" t="e">
        <f>JC121/JA121*JD121*EXP(-LN(2)/10990*($F$88-JB121))</f>
        <v>#DIV/0!</v>
      </c>
      <c r="JF121" s="599" t="e">
        <f>JE121-AVERAGE(JM94:JM95)</f>
        <v>#DIV/0!</v>
      </c>
      <c r="JG121" s="599" t="e">
        <f>ABS($B$33*JF121*3600)</f>
        <v>#DIV/0!</v>
      </c>
      <c r="JH121" s="657" t="e">
        <f>ABS($B$34*JF121*3600)</f>
        <v>#DIV/0!</v>
      </c>
      <c r="JI121" s="614" t="e">
        <f>JH121*$C$79</f>
        <v>#DIV/0!</v>
      </c>
      <c r="JJ121" s="672" t="e">
        <f>JH121*$F$70</f>
        <v>#DIV/0!</v>
      </c>
      <c r="JK121" s="600" t="e">
        <f t="shared" si="409"/>
        <v>#DIV/0!</v>
      </c>
      <c r="JL121" s="672" t="e">
        <f>JH121*$F$72</f>
        <v>#DIV/0!</v>
      </c>
      <c r="JM121" s="676" t="e">
        <f>JH121*$F$71</f>
        <v>#DIV/0!</v>
      </c>
      <c r="JN121" s="668"/>
      <c r="JO121" s="669"/>
      <c r="JP121" s="670"/>
      <c r="JQ121" s="671"/>
      <c r="JR121" s="678"/>
      <c r="JS121" s="663"/>
      <c r="JT121" s="651">
        <f t="shared" si="410"/>
        <v>0</v>
      </c>
      <c r="JU121" s="619" t="e">
        <f>((273.2+JN121)*$F$32/((273.2+$F$31)*JP121))</f>
        <v>#DIV/0!</v>
      </c>
      <c r="JV121" s="674" t="e">
        <f>JT121/JR121*JU121*EXP(-LN(2)/10990*($F$88-JS121))</f>
        <v>#DIV/0!</v>
      </c>
      <c r="JW121" s="599" t="e">
        <f>JV121-AVERAGE(KD94:KD95)</f>
        <v>#DIV/0!</v>
      </c>
      <c r="JX121" s="599" t="e">
        <f>ABS($B$33*JW121*3600)</f>
        <v>#DIV/0!</v>
      </c>
      <c r="JY121" s="657" t="e">
        <f>ABS($B$34*JW121*3600)</f>
        <v>#DIV/0!</v>
      </c>
      <c r="JZ121" s="614" t="e">
        <f>JY121*$C$79</f>
        <v>#DIV/0!</v>
      </c>
      <c r="KA121" s="672" t="e">
        <f>JY121*$F$70</f>
        <v>#DIV/0!</v>
      </c>
      <c r="KB121" s="600" t="e">
        <f t="shared" si="411"/>
        <v>#DIV/0!</v>
      </c>
      <c r="KC121" s="672" t="e">
        <f>JY121*$F$72</f>
        <v>#DIV/0!</v>
      </c>
      <c r="KD121" s="676" t="e">
        <f>JY121*$F$71</f>
        <v>#DIV/0!</v>
      </c>
      <c r="KE121" s="668"/>
      <c r="KF121" s="669"/>
      <c r="KG121" s="670"/>
      <c r="KH121" s="671"/>
      <c r="KI121" s="678"/>
      <c r="KJ121" s="663"/>
      <c r="KK121" s="651">
        <f t="shared" si="412"/>
        <v>0</v>
      </c>
      <c r="KL121" s="619" t="e">
        <f>((273.2+KE121)*$F$32/((273.2+$F$31)*KG121))</f>
        <v>#DIV/0!</v>
      </c>
      <c r="KM121" s="674" t="e">
        <f>KK121/KI121*KL121*EXP(-LN(2)/10990*($F$88-KJ121))</f>
        <v>#DIV/0!</v>
      </c>
      <c r="KN121" s="599" t="e">
        <f>KM121-AVERAGE(KU94:KU95)</f>
        <v>#DIV/0!</v>
      </c>
      <c r="KO121" s="599" t="e">
        <f>ABS($B$33*KN121*3600)</f>
        <v>#DIV/0!</v>
      </c>
      <c r="KP121" s="657" t="e">
        <f>ABS($B$34*KN121*3600)</f>
        <v>#DIV/0!</v>
      </c>
      <c r="KQ121" s="614" t="e">
        <f>KP121*$C$79</f>
        <v>#DIV/0!</v>
      </c>
      <c r="KR121" s="672" t="e">
        <f>KP121*$F$70</f>
        <v>#DIV/0!</v>
      </c>
      <c r="KS121" s="600" t="e">
        <f t="shared" si="413"/>
        <v>#DIV/0!</v>
      </c>
      <c r="KT121" s="672" t="e">
        <f>KP121*$F$72</f>
        <v>#DIV/0!</v>
      </c>
      <c r="KU121" s="676" t="e">
        <f>KP121*$F$71</f>
        <v>#DIV/0!</v>
      </c>
      <c r="KV121" s="668"/>
      <c r="KW121" s="669"/>
      <c r="KX121" s="670"/>
      <c r="KY121" s="671"/>
      <c r="KZ121" s="678"/>
      <c r="LA121" s="663"/>
      <c r="LB121" s="651">
        <f t="shared" si="414"/>
        <v>0</v>
      </c>
      <c r="LC121" s="619" t="e">
        <f>((273.2+KV121)*$F$32/((273.2+$F$31)*KX121))</f>
        <v>#DIV/0!</v>
      </c>
      <c r="LD121" s="674" t="e">
        <f>LB121/KZ121*LC121*EXP(-LN(2)/10990*($F$88-LA121))</f>
        <v>#DIV/0!</v>
      </c>
      <c r="LE121" s="599" t="e">
        <f>LD121-AVERAGE(LL94:LL95)</f>
        <v>#DIV/0!</v>
      </c>
      <c r="LF121" s="599" t="e">
        <f>ABS($B$33*LE121*3600)</f>
        <v>#DIV/0!</v>
      </c>
      <c r="LG121" s="657" t="e">
        <f>ABS($B$34*LE121*3600)</f>
        <v>#DIV/0!</v>
      </c>
      <c r="LH121" s="614" t="e">
        <f>LG121*$C$79</f>
        <v>#DIV/0!</v>
      </c>
      <c r="LI121" s="672" t="e">
        <f>LG121*$F$70</f>
        <v>#DIV/0!</v>
      </c>
      <c r="LJ121" s="600" t="e">
        <f t="shared" si="415"/>
        <v>#DIV/0!</v>
      </c>
      <c r="LK121" s="672" t="e">
        <f>LG121*$F$72</f>
        <v>#DIV/0!</v>
      </c>
      <c r="LL121" s="676" t="e">
        <f>LG121*$F$71</f>
        <v>#DIV/0!</v>
      </c>
      <c r="LM121" s="668"/>
      <c r="LN121" s="669"/>
      <c r="LO121" s="670"/>
      <c r="LP121" s="671"/>
      <c r="LQ121" s="678"/>
      <c r="LR121" s="663"/>
      <c r="LS121" s="651">
        <f t="shared" si="416"/>
        <v>0</v>
      </c>
      <c r="LT121" s="619" t="e">
        <f>((273.2+LM121)*$F$32/((273.2+$F$31)*LO121))</f>
        <v>#DIV/0!</v>
      </c>
      <c r="LU121" s="674" t="e">
        <f>LS121/LQ121*LT121*EXP(-LN(2)/10990*($F$88-LR121))</f>
        <v>#DIV/0!</v>
      </c>
      <c r="LV121" s="599" t="e">
        <f>LU121-AVERAGE(MC94:MC95)</f>
        <v>#DIV/0!</v>
      </c>
      <c r="LW121" s="599" t="e">
        <f>ABS($B$33*LV121*3600)</f>
        <v>#DIV/0!</v>
      </c>
      <c r="LX121" s="657" t="e">
        <f>ABS($B$34*LV121*3600)</f>
        <v>#DIV/0!</v>
      </c>
      <c r="LY121" s="614" t="e">
        <f>LX121*$C$79</f>
        <v>#DIV/0!</v>
      </c>
      <c r="LZ121" s="672" t="e">
        <f>LX121*$F$70</f>
        <v>#DIV/0!</v>
      </c>
      <c r="MA121" s="600" t="e">
        <f t="shared" si="417"/>
        <v>#DIV/0!</v>
      </c>
      <c r="MB121" s="672" t="e">
        <f>LX121*$F$72</f>
        <v>#DIV/0!</v>
      </c>
      <c r="MC121" s="676" t="e">
        <f>LX121*$F$71</f>
        <v>#DIV/0!</v>
      </c>
      <c r="MD121" s="668"/>
      <c r="ME121" s="669"/>
      <c r="MF121" s="680"/>
      <c r="MG121" s="671"/>
      <c r="MH121" s="673"/>
      <c r="MI121" s="663"/>
      <c r="MJ121" s="651">
        <f t="shared" si="418"/>
        <v>0</v>
      </c>
      <c r="MK121" s="619" t="e">
        <f>((273.2+MD121)*$F$32/((273.2+$F$31)*MF121))</f>
        <v>#DIV/0!</v>
      </c>
      <c r="ML121" s="674" t="e">
        <f>MJ121/MH121*MK121*EXP(-LN(2)/10990*($F$88-MI121))</f>
        <v>#DIV/0!</v>
      </c>
      <c r="MM121" s="599" t="e">
        <f>ML121-AVERAGE(MT94:MT95)</f>
        <v>#DIV/0!</v>
      </c>
      <c r="MN121" s="599" t="e">
        <f>ABS($B$33*MM121*3600)</f>
        <v>#DIV/0!</v>
      </c>
      <c r="MO121" s="657" t="e">
        <f>ABS($B$34*MM121*3600)</f>
        <v>#DIV/0!</v>
      </c>
      <c r="MP121" s="614" t="e">
        <f>MO121*$C$79</f>
        <v>#DIV/0!</v>
      </c>
      <c r="MQ121" s="672" t="e">
        <f>MO121*$F$70</f>
        <v>#DIV/0!</v>
      </c>
      <c r="MR121" s="600" t="e">
        <f t="shared" si="419"/>
        <v>#DIV/0!</v>
      </c>
      <c r="MS121" s="672" t="e">
        <f>MO121*$F$72</f>
        <v>#DIV/0!</v>
      </c>
      <c r="MT121" s="676" t="e">
        <f>MO121*$F$71</f>
        <v>#DIV/0!</v>
      </c>
      <c r="MU121" s="668">
        <v>20.5</v>
      </c>
      <c r="MV121" s="669">
        <v>53</v>
      </c>
      <c r="MW121" s="680">
        <v>1007</v>
      </c>
      <c r="MX121" s="671">
        <v>-1.01E-10</v>
      </c>
      <c r="MY121" s="678">
        <v>60</v>
      </c>
      <c r="MZ121" s="663">
        <v>43403</v>
      </c>
      <c r="NA121" s="651" t="str">
        <f t="shared" si="420"/>
        <v>rango cal. out</v>
      </c>
      <c r="NB121" s="619">
        <f>((273.2+MU121)*$F$32/((273.2+$F$31)*MW121))</f>
        <v>0</v>
      </c>
      <c r="NC121" s="674" t="e">
        <f>NA121/MY121*NB121*EXP(-LN(2)/10990*($F$88-MZ121))</f>
        <v>#VALUE!</v>
      </c>
      <c r="ND121" s="599" t="e">
        <f>NC121-AVERAGE(NK94:NK95)</f>
        <v>#VALUE!</v>
      </c>
      <c r="NE121" s="599" t="e">
        <f>ABS($B$33*ND121*3600)</f>
        <v>#VALUE!</v>
      </c>
      <c r="NF121" s="657" t="e">
        <f>ABS($B$34*ND121*3600)</f>
        <v>#VALUE!</v>
      </c>
      <c r="NG121" s="614" t="e">
        <f>NF121*$C$79</f>
        <v>#VALUE!</v>
      </c>
      <c r="NH121" s="672" t="e">
        <f>NF121*$F$70</f>
        <v>#VALUE!</v>
      </c>
      <c r="NI121" s="600" t="e">
        <f t="shared" si="421"/>
        <v>#VALUE!</v>
      </c>
      <c r="NJ121" s="672" t="e">
        <f>NF121*$F$72</f>
        <v>#VALUE!</v>
      </c>
      <c r="NK121" s="676" t="e">
        <f>NF121*$F$71</f>
        <v>#VALUE!</v>
      </c>
      <c r="NL121" s="668"/>
      <c r="NM121" s="669"/>
      <c r="NN121" s="670"/>
      <c r="NO121" s="671"/>
      <c r="NP121" s="678"/>
      <c r="NQ121" s="663"/>
      <c r="NR121" s="651">
        <f t="shared" si="422"/>
        <v>0</v>
      </c>
      <c r="NS121" s="619" t="e">
        <f>((273.2+NL121)*$F$32/((273.2+$F$31)*NN121))</f>
        <v>#DIV/0!</v>
      </c>
      <c r="NT121" s="674" t="e">
        <f>NR121/NP121*NS121*EXP(-LN(2)/10990*($F$88-NQ121))</f>
        <v>#DIV/0!</v>
      </c>
      <c r="NU121" s="599" t="e">
        <f>NT121-AVERAGE(OB94:OB95)</f>
        <v>#DIV/0!</v>
      </c>
      <c r="NV121" s="599" t="e">
        <f>ABS($B$33*NU121*3600)</f>
        <v>#DIV/0!</v>
      </c>
      <c r="NW121" s="657" t="e">
        <f>ABS($B$34*NU121*3600)</f>
        <v>#DIV/0!</v>
      </c>
      <c r="NX121" s="614" t="e">
        <f>NW121*$C$79</f>
        <v>#DIV/0!</v>
      </c>
      <c r="NY121" s="672" t="e">
        <f>NW121*$F$70</f>
        <v>#DIV/0!</v>
      </c>
      <c r="NZ121" s="600" t="e">
        <f t="shared" si="423"/>
        <v>#DIV/0!</v>
      </c>
      <c r="OA121" s="672" t="e">
        <f>NW121*$F$72</f>
        <v>#DIV/0!</v>
      </c>
      <c r="OB121" s="676" t="e">
        <f>NW121*$F$71</f>
        <v>#DIV/0!</v>
      </c>
      <c r="OC121" s="668">
        <v>20.5</v>
      </c>
      <c r="OD121" s="669">
        <v>54</v>
      </c>
      <c r="OE121" s="680">
        <v>1007</v>
      </c>
      <c r="OF121" s="671">
        <v>-2.3400000000000002E-10</v>
      </c>
      <c r="OG121" s="673">
        <v>60</v>
      </c>
      <c r="OH121" s="663">
        <v>43403</v>
      </c>
      <c r="OI121" s="651" t="str">
        <f t="shared" si="424"/>
        <v>rango cal. out</v>
      </c>
      <c r="OJ121" s="619">
        <f>((273.2+OC121)*$F$32/((273.2+$F$31)*OE121))</f>
        <v>0</v>
      </c>
      <c r="OK121" s="674" t="e">
        <f>OI121/OG121*OJ121*EXP(-LN(2)/10990*($F$88-OH121))</f>
        <v>#VALUE!</v>
      </c>
      <c r="OL121" s="599" t="e">
        <f>OK121-AVERAGE(OS94:OS95)</f>
        <v>#VALUE!</v>
      </c>
      <c r="OM121" s="599" t="e">
        <f>ABS($B$33*OL121*3600)</f>
        <v>#VALUE!</v>
      </c>
      <c r="ON121" s="657" t="e">
        <f>ABS($B$34*OL121*3600)</f>
        <v>#VALUE!</v>
      </c>
      <c r="OO121" s="614" t="e">
        <f>ON121*$C$79</f>
        <v>#VALUE!</v>
      </c>
      <c r="OP121" s="672" t="e">
        <f>ON121*$F$70</f>
        <v>#VALUE!</v>
      </c>
      <c r="OQ121" s="600" t="e">
        <f t="shared" si="425"/>
        <v>#VALUE!</v>
      </c>
      <c r="OR121" s="672" t="e">
        <f>ON121*$F$72</f>
        <v>#VALUE!</v>
      </c>
      <c r="OS121" s="676" t="e">
        <f>ON121*$F$71</f>
        <v>#VALUE!</v>
      </c>
      <c r="OT121" s="668"/>
      <c r="OU121" s="669"/>
      <c r="OV121" s="670"/>
      <c r="OW121" s="671"/>
      <c r="OX121" s="678"/>
      <c r="OY121" s="663"/>
      <c r="OZ121" s="651">
        <f t="shared" si="426"/>
        <v>0</v>
      </c>
      <c r="PA121" s="619" t="e">
        <f>((273.2+OT121)*$F$32/((273.2+$F$31)*OV121))</f>
        <v>#DIV/0!</v>
      </c>
      <c r="PB121" s="674" t="e">
        <f>OZ121/OX121*PA121*EXP(-LN(2)/10990*($F$88-OY121))</f>
        <v>#DIV/0!</v>
      </c>
      <c r="PC121" s="599" t="e">
        <f>PB121-AVERAGE(PJ94:PJ95)</f>
        <v>#DIV/0!</v>
      </c>
      <c r="PD121" s="599" t="e">
        <f>ABS($B$33*PC121*3600)</f>
        <v>#DIV/0!</v>
      </c>
      <c r="PE121" s="657" t="e">
        <f>ABS($B$34*PC121*3600)</f>
        <v>#DIV/0!</v>
      </c>
      <c r="PF121" s="614" t="e">
        <f>PE121*$C$79</f>
        <v>#DIV/0!</v>
      </c>
      <c r="PG121" s="672" t="e">
        <f>PE121*$F$70</f>
        <v>#DIV/0!</v>
      </c>
      <c r="PH121" s="600" t="e">
        <f t="shared" si="427"/>
        <v>#DIV/0!</v>
      </c>
      <c r="PI121" s="672" t="e">
        <f>PE121*$F$72</f>
        <v>#DIV/0!</v>
      </c>
      <c r="PJ121" s="676" t="e">
        <f>PE121*$F$71</f>
        <v>#DIV/0!</v>
      </c>
      <c r="PK121" s="668"/>
      <c r="PL121" s="669"/>
      <c r="PM121" s="670"/>
      <c r="PN121" s="671"/>
      <c r="PO121" s="678"/>
      <c r="PP121" s="663"/>
      <c r="PQ121" s="651">
        <f t="shared" si="428"/>
        <v>0</v>
      </c>
      <c r="PR121" s="619" t="e">
        <f>((273.2+PK121)*$F$32/((273.2+$F$31)*PM121))</f>
        <v>#DIV/0!</v>
      </c>
      <c r="PS121" s="674" t="e">
        <f>PQ121/PO121*PR121*EXP(-LN(2)/10990*($F$88-PP121))</f>
        <v>#DIV/0!</v>
      </c>
      <c r="PT121" s="599" t="e">
        <f>PS121-AVERAGE(QA94:QA95)</f>
        <v>#DIV/0!</v>
      </c>
      <c r="PU121" s="599" t="e">
        <f>ABS($B$33*PT121*3600)</f>
        <v>#DIV/0!</v>
      </c>
      <c r="PV121" s="657" t="e">
        <f>ABS($B$34*PT121*3600)</f>
        <v>#DIV/0!</v>
      </c>
      <c r="PW121" s="614" t="e">
        <f>PV121*$C$79</f>
        <v>#DIV/0!</v>
      </c>
      <c r="PX121" s="672" t="e">
        <f>PV121*$F$70</f>
        <v>#DIV/0!</v>
      </c>
      <c r="PY121" s="600" t="e">
        <f t="shared" si="429"/>
        <v>#DIV/0!</v>
      </c>
      <c r="PZ121" s="672" t="e">
        <f>PV121*$F$72</f>
        <v>#DIV/0!</v>
      </c>
      <c r="QA121" s="676" t="e">
        <f>PV121*$F$71</f>
        <v>#DIV/0!</v>
      </c>
      <c r="QB121" s="668"/>
      <c r="QC121" s="669"/>
      <c r="QD121" s="680"/>
      <c r="QE121" s="671"/>
      <c r="QF121" s="673"/>
      <c r="QG121" s="663"/>
      <c r="QH121" s="651">
        <f t="shared" si="430"/>
        <v>0</v>
      </c>
      <c r="QI121" s="619" t="e">
        <f>((273.2+QB121)*$F$32/((273.2+$F$31)*QD121))</f>
        <v>#DIV/0!</v>
      </c>
      <c r="QJ121" s="674" t="e">
        <f>QH121/QF121*QI121*EXP(-LN(2)/10990*($F$88-QG121))</f>
        <v>#DIV/0!</v>
      </c>
      <c r="QK121" s="599" t="e">
        <f>QJ121-AVERAGE(QR94:QR95)</f>
        <v>#DIV/0!</v>
      </c>
      <c r="QL121" s="599" t="e">
        <f>ABS($B$33*QK121*3600)</f>
        <v>#DIV/0!</v>
      </c>
      <c r="QM121" s="657" t="e">
        <f>ABS($B$34*QK121*3600)</f>
        <v>#DIV/0!</v>
      </c>
      <c r="QN121" s="614" t="e">
        <f>QM121*$C$79</f>
        <v>#DIV/0!</v>
      </c>
      <c r="QO121" s="672" t="e">
        <f>QM121*$F$70</f>
        <v>#DIV/0!</v>
      </c>
      <c r="QP121" s="600" t="e">
        <f t="shared" si="431"/>
        <v>#DIV/0!</v>
      </c>
      <c r="QQ121" s="672" t="e">
        <f>QM121*$F$72</f>
        <v>#DIV/0!</v>
      </c>
      <c r="QR121" s="676" t="e">
        <f>QM121*$F$71</f>
        <v>#DIV/0!</v>
      </c>
      <c r="QS121" s="668"/>
      <c r="QT121" s="669"/>
      <c r="QU121" s="677"/>
      <c r="QV121" s="679"/>
      <c r="QW121" s="673"/>
      <c r="QX121" s="663"/>
      <c r="QY121" s="651">
        <f t="shared" si="432"/>
        <v>0</v>
      </c>
      <c r="QZ121" s="619" t="e">
        <f>((273.2+QS121)*$F$32/((273.2+$F$31)*QU121))</f>
        <v>#DIV/0!</v>
      </c>
      <c r="RA121" s="674" t="e">
        <f>QY121/QW121*QZ121*EXP(-LN(2)/10990*($F$88-QX121))</f>
        <v>#DIV/0!</v>
      </c>
      <c r="RB121" s="599" t="e">
        <f>RA121-AVERAGE(RI94:RI95)</f>
        <v>#DIV/0!</v>
      </c>
      <c r="RC121" s="599" t="e">
        <f>ABS($B$33*RB121*3600)</f>
        <v>#DIV/0!</v>
      </c>
      <c r="RD121" s="657" t="e">
        <f>ABS($B$34*RB121*3600)</f>
        <v>#DIV/0!</v>
      </c>
      <c r="RE121" s="614" t="e">
        <f>RD121*$C$79</f>
        <v>#DIV/0!</v>
      </c>
      <c r="RF121" s="672" t="e">
        <f>RD121*$F$70</f>
        <v>#DIV/0!</v>
      </c>
      <c r="RG121" s="600" t="e">
        <f t="shared" si="433"/>
        <v>#DIV/0!</v>
      </c>
      <c r="RH121" s="672" t="e">
        <f>RD121*$F$72</f>
        <v>#DIV/0!</v>
      </c>
      <c r="RI121" s="676" t="e">
        <f>RD121*$F$71</f>
        <v>#DIV/0!</v>
      </c>
      <c r="RJ121" s="668">
        <v>20.5</v>
      </c>
      <c r="RK121" s="669">
        <v>54</v>
      </c>
      <c r="RL121" s="680">
        <v>1008</v>
      </c>
      <c r="RM121" s="671">
        <v>-1.067E-11</v>
      </c>
      <c r="RN121" s="673">
        <v>60</v>
      </c>
      <c r="RO121" s="663">
        <v>43403</v>
      </c>
      <c r="RP121" s="651" t="str">
        <f t="shared" si="434"/>
        <v>rango cal. out</v>
      </c>
      <c r="RQ121" s="619">
        <f>((273.2+RJ121)*$F$32/((273.2+$F$31)*RL121))</f>
        <v>0</v>
      </c>
      <c r="RR121" s="674" t="e">
        <f>RP121/RN121*RQ121*EXP(-LN(2)/10990*($F$88-RO121))</f>
        <v>#VALUE!</v>
      </c>
      <c r="RS121" s="599" t="e">
        <f>RR121-AVERAGE(RZ94:RZ95)</f>
        <v>#VALUE!</v>
      </c>
      <c r="RT121" s="599" t="e">
        <f>ABS($B$33*RS121*3600)</f>
        <v>#VALUE!</v>
      </c>
      <c r="RU121" s="657" t="e">
        <f>ABS($B$34*RS121*3600)</f>
        <v>#VALUE!</v>
      </c>
      <c r="RV121" s="614" t="e">
        <f>RU121*$C$79</f>
        <v>#VALUE!</v>
      </c>
      <c r="RW121" s="672" t="e">
        <f>RU121*$F$70</f>
        <v>#VALUE!</v>
      </c>
      <c r="RX121" s="600" t="e">
        <f t="shared" si="435"/>
        <v>#VALUE!</v>
      </c>
      <c r="RY121" s="672" t="e">
        <f>RU121*$F$72</f>
        <v>#VALUE!</v>
      </c>
      <c r="RZ121" s="676" t="e">
        <f>RU121*$F$71</f>
        <v>#VALUE!</v>
      </c>
      <c r="SA121" s="668">
        <v>20.5</v>
      </c>
      <c r="SB121" s="669">
        <v>55</v>
      </c>
      <c r="SC121" s="680">
        <v>1008</v>
      </c>
      <c r="SD121" s="671">
        <v>-5.7899999999999997E-10</v>
      </c>
      <c r="SE121" s="673">
        <v>60</v>
      </c>
      <c r="SF121" s="663">
        <v>43403</v>
      </c>
      <c r="SG121" s="651" t="str">
        <f t="shared" si="436"/>
        <v>rango cal. out</v>
      </c>
      <c r="SH121" s="619">
        <f>((273.2+SA121)*$F$32/((273.2+$F$31)*SC121))</f>
        <v>0</v>
      </c>
      <c r="SI121" s="674" t="e">
        <f>SG121/SE121*SH121*EXP(-LN(2)/10990*($F$88-SF121))</f>
        <v>#VALUE!</v>
      </c>
      <c r="SJ121" s="599" t="e">
        <f>SI121-AVERAGE(SQ94:SQ95)</f>
        <v>#VALUE!</v>
      </c>
      <c r="SK121" s="599" t="e">
        <f>ABS($B$33*SJ121*3600)</f>
        <v>#VALUE!</v>
      </c>
      <c r="SL121" s="657" t="e">
        <f>ABS($B$34*SJ121*3600)</f>
        <v>#VALUE!</v>
      </c>
      <c r="SM121" s="614" t="e">
        <f>SL121*$C$79</f>
        <v>#VALUE!</v>
      </c>
      <c r="SN121" s="672" t="e">
        <f>SL121*$F$70</f>
        <v>#VALUE!</v>
      </c>
      <c r="SO121" s="600" t="e">
        <f t="shared" si="437"/>
        <v>#VALUE!</v>
      </c>
      <c r="SP121" s="672" t="e">
        <f>SL121*$F$72</f>
        <v>#VALUE!</v>
      </c>
      <c r="SQ121" s="676" t="e">
        <f>SL121*$F$71</f>
        <v>#VALUE!</v>
      </c>
      <c r="SR121" s="668"/>
      <c r="SS121" s="669"/>
      <c r="ST121" s="670"/>
      <c r="SU121" s="671"/>
      <c r="SV121" s="678"/>
      <c r="SW121" s="663"/>
      <c r="SX121" s="651">
        <f t="shared" si="438"/>
        <v>0</v>
      </c>
      <c r="SY121" s="619" t="e">
        <f>((273.2+SR121)*$F$32/((273.2+$F$31)*ST121))</f>
        <v>#DIV/0!</v>
      </c>
      <c r="SZ121" s="674" t="e">
        <f>SX121/SV121*SY121*EXP(-LN(2)/10990*($F$88-SW121))</f>
        <v>#DIV/0!</v>
      </c>
      <c r="TA121" s="599" t="e">
        <f>SZ121-AVERAGE(TH94:TH95)</f>
        <v>#DIV/0!</v>
      </c>
      <c r="TB121" s="599" t="e">
        <f>ABS($B$33*TA121*3600)</f>
        <v>#DIV/0!</v>
      </c>
      <c r="TC121" s="657" t="e">
        <f>ABS($B$34*TA121*3600)</f>
        <v>#DIV/0!</v>
      </c>
      <c r="TD121" s="614" t="e">
        <f>TC121*$C$79</f>
        <v>#DIV/0!</v>
      </c>
      <c r="TE121" s="672" t="e">
        <f>TC121*$F$70</f>
        <v>#DIV/0!</v>
      </c>
      <c r="TF121" s="600" t="e">
        <f t="shared" si="439"/>
        <v>#DIV/0!</v>
      </c>
      <c r="TG121" s="672" t="e">
        <f>TC121*$F$72</f>
        <v>#DIV/0!</v>
      </c>
      <c r="TH121" s="676" t="e">
        <f>TC121*$F$71</f>
        <v>#DIV/0!</v>
      </c>
      <c r="TI121" s="668">
        <v>20.399999999999999</v>
      </c>
      <c r="TJ121" s="669">
        <v>55</v>
      </c>
      <c r="TK121" s="680">
        <v>1008</v>
      </c>
      <c r="TL121" s="671">
        <v>-2.445E-11</v>
      </c>
      <c r="TM121" s="673">
        <v>60</v>
      </c>
      <c r="TN121" s="663">
        <v>43403</v>
      </c>
      <c r="TO121" s="651" t="str">
        <f t="shared" si="440"/>
        <v>rango cal. out</v>
      </c>
      <c r="TP121" s="619">
        <f>((273.2+TI121)*$F$32/((273.2+$F$31)*TK121))</f>
        <v>0</v>
      </c>
      <c r="TQ121" s="674" t="e">
        <f>TO121/TM121*TP121*EXP(-LN(2)/10990*($F$88-TN121))</f>
        <v>#VALUE!</v>
      </c>
      <c r="TR121" s="599" t="e">
        <f>TQ121-AVERAGE(TY94:TY95)</f>
        <v>#VALUE!</v>
      </c>
      <c r="TS121" s="599" t="e">
        <f>ABS($B$33*TR121*3600)</f>
        <v>#VALUE!</v>
      </c>
      <c r="TT121" s="657" t="e">
        <f>ABS($B$34*TR121*3600)</f>
        <v>#VALUE!</v>
      </c>
      <c r="TU121" s="614" t="e">
        <f>TT121*$C$79</f>
        <v>#VALUE!</v>
      </c>
      <c r="TV121" s="672" t="e">
        <f>TT121*$F$70</f>
        <v>#VALUE!</v>
      </c>
      <c r="TW121" s="600" t="e">
        <f t="shared" si="441"/>
        <v>#VALUE!</v>
      </c>
      <c r="TX121" s="672" t="e">
        <f>TT121*$F$72</f>
        <v>#VALUE!</v>
      </c>
      <c r="TY121" s="676" t="e">
        <f>TT121*$F$71</f>
        <v>#VALUE!</v>
      </c>
    </row>
    <row r="122" spans="1:545" x14ac:dyDescent="0.25">
      <c r="A122" s="681" t="s">
        <v>61</v>
      </c>
      <c r="B122" s="709"/>
      <c r="C122" s="710"/>
      <c r="D122" s="710"/>
      <c r="E122" s="672"/>
      <c r="F122" s="710"/>
      <c r="G122" s="685"/>
      <c r="H122" s="599"/>
      <c r="I122" s="619"/>
      <c r="J122" s="675"/>
      <c r="K122" s="672"/>
      <c r="L122" s="687"/>
      <c r="M122" s="686"/>
      <c r="N122" s="687"/>
      <c r="O122" s="687"/>
      <c r="P122" s="687"/>
      <c r="Q122" s="687"/>
      <c r="R122" s="690"/>
      <c r="S122" s="691" t="e">
        <f t="shared" ref="S122:W122" si="442">AVERAGE(S117:S121)</f>
        <v>#DIV/0!</v>
      </c>
      <c r="T122" s="683" t="e">
        <f t="shared" si="442"/>
        <v>#DIV/0!</v>
      </c>
      <c r="U122" s="684" t="e">
        <f t="shared" si="442"/>
        <v>#DIV/0!</v>
      </c>
      <c r="V122" s="599" t="e">
        <f t="shared" si="442"/>
        <v>#DIV/0!</v>
      </c>
      <c r="W122" s="685" t="e">
        <f t="shared" si="442"/>
        <v>#DIV/0!</v>
      </c>
      <c r="X122" s="685" t="s">
        <v>93</v>
      </c>
      <c r="Y122" s="599">
        <f t="shared" ref="Y122:AN122" si="443">AVERAGE(Y117:Y121)</f>
        <v>0</v>
      </c>
      <c r="Z122" s="619" t="e">
        <f t="shared" si="443"/>
        <v>#DIV/0!</v>
      </c>
      <c r="AA122" s="675" t="e">
        <f t="shared" si="443"/>
        <v>#DIV/0!</v>
      </c>
      <c r="AB122" s="672" t="e">
        <f t="shared" si="443"/>
        <v>#DIV/0!</v>
      </c>
      <c r="AC122" s="687" t="e">
        <f t="shared" si="443"/>
        <v>#DIV/0!</v>
      </c>
      <c r="AD122" s="686" t="e">
        <f t="shared" si="443"/>
        <v>#DIV/0!</v>
      </c>
      <c r="AE122" s="687" t="e">
        <f t="shared" si="443"/>
        <v>#DIV/0!</v>
      </c>
      <c r="AF122" s="687" t="e">
        <f t="shared" si="443"/>
        <v>#DIV/0!</v>
      </c>
      <c r="AG122" s="687" t="e">
        <f t="shared" si="443"/>
        <v>#DIV/0!</v>
      </c>
      <c r="AH122" s="687" t="e">
        <f t="shared" si="443"/>
        <v>#DIV/0!</v>
      </c>
      <c r="AI122" s="690" t="e">
        <f t="shared" si="443"/>
        <v>#DIV/0!</v>
      </c>
      <c r="AJ122" s="691" t="e">
        <f t="shared" si="443"/>
        <v>#DIV/0!</v>
      </c>
      <c r="AK122" s="683" t="e">
        <f t="shared" si="443"/>
        <v>#DIV/0!</v>
      </c>
      <c r="AL122" s="684" t="e">
        <f t="shared" si="443"/>
        <v>#DIV/0!</v>
      </c>
      <c r="AM122" s="599" t="e">
        <f t="shared" si="443"/>
        <v>#DIV/0!</v>
      </c>
      <c r="AN122" s="685" t="e">
        <f t="shared" si="443"/>
        <v>#DIV/0!</v>
      </c>
      <c r="AO122" s="685" t="s">
        <v>93</v>
      </c>
      <c r="AP122" s="599">
        <f t="shared" ref="AP122:BE122" si="444">AVERAGE(AP117:AP121)</f>
        <v>0</v>
      </c>
      <c r="AQ122" s="619" t="e">
        <f t="shared" si="444"/>
        <v>#DIV/0!</v>
      </c>
      <c r="AR122" s="675" t="e">
        <f t="shared" si="444"/>
        <v>#DIV/0!</v>
      </c>
      <c r="AS122" s="672" t="e">
        <f t="shared" si="444"/>
        <v>#DIV/0!</v>
      </c>
      <c r="AT122" s="687" t="e">
        <f t="shared" si="444"/>
        <v>#DIV/0!</v>
      </c>
      <c r="AU122" s="686" t="e">
        <f t="shared" si="444"/>
        <v>#DIV/0!</v>
      </c>
      <c r="AV122" s="687" t="e">
        <f t="shared" si="444"/>
        <v>#DIV/0!</v>
      </c>
      <c r="AW122" s="687" t="e">
        <f t="shared" si="444"/>
        <v>#DIV/0!</v>
      </c>
      <c r="AX122" s="687" t="e">
        <f t="shared" si="444"/>
        <v>#DIV/0!</v>
      </c>
      <c r="AY122" s="687" t="e">
        <f t="shared" si="444"/>
        <v>#DIV/0!</v>
      </c>
      <c r="AZ122" s="690" t="e">
        <f t="shared" si="444"/>
        <v>#DIV/0!</v>
      </c>
      <c r="BA122" s="692">
        <f t="shared" si="444"/>
        <v>20.54</v>
      </c>
      <c r="BB122" s="711">
        <f t="shared" si="444"/>
        <v>51.4</v>
      </c>
      <c r="BC122" s="693">
        <f t="shared" si="444"/>
        <v>1008</v>
      </c>
      <c r="BD122" s="599">
        <f t="shared" si="444"/>
        <v>-1.4993999999999998E-9</v>
      </c>
      <c r="BE122" s="694">
        <f t="shared" si="444"/>
        <v>60</v>
      </c>
      <c r="BF122" s="685" t="s">
        <v>93</v>
      </c>
      <c r="BG122" s="599" t="e">
        <f t="shared" ref="BG122:BV122" si="445">AVERAGE(BG117:BG121)</f>
        <v>#DIV/0!</v>
      </c>
      <c r="BH122" s="619">
        <f t="shared" si="445"/>
        <v>0</v>
      </c>
      <c r="BI122" s="675" t="e">
        <f t="shared" si="445"/>
        <v>#VALUE!</v>
      </c>
      <c r="BJ122" s="672" t="e">
        <f t="shared" si="445"/>
        <v>#VALUE!</v>
      </c>
      <c r="BK122" s="687" t="e">
        <f t="shared" si="445"/>
        <v>#VALUE!</v>
      </c>
      <c r="BL122" s="686" t="e">
        <f t="shared" si="445"/>
        <v>#VALUE!</v>
      </c>
      <c r="BM122" s="687" t="e">
        <f t="shared" si="445"/>
        <v>#VALUE!</v>
      </c>
      <c r="BN122" s="687" t="e">
        <f t="shared" si="445"/>
        <v>#VALUE!</v>
      </c>
      <c r="BO122" s="687" t="e">
        <f t="shared" si="445"/>
        <v>#VALUE!</v>
      </c>
      <c r="BP122" s="687" t="e">
        <f t="shared" si="445"/>
        <v>#VALUE!</v>
      </c>
      <c r="BQ122" s="690" t="e">
        <f t="shared" si="445"/>
        <v>#VALUE!</v>
      </c>
      <c r="BR122" s="682">
        <f t="shared" si="445"/>
        <v>20.399999999999999</v>
      </c>
      <c r="BS122" s="683">
        <f t="shared" si="445"/>
        <v>49.2</v>
      </c>
      <c r="BT122" s="693">
        <f t="shared" si="445"/>
        <v>1007</v>
      </c>
      <c r="BU122" s="599">
        <f t="shared" si="445"/>
        <v>-6.2073999999999981E-11</v>
      </c>
      <c r="BV122" s="694">
        <f t="shared" si="445"/>
        <v>60</v>
      </c>
      <c r="BW122" s="685" t="s">
        <v>93</v>
      </c>
      <c r="BX122" s="599" t="e">
        <f t="shared" ref="BX122:CM122" si="446">AVERAGE(BX117:BX121)</f>
        <v>#DIV/0!</v>
      </c>
      <c r="BY122" s="619">
        <f t="shared" si="446"/>
        <v>0</v>
      </c>
      <c r="BZ122" s="675" t="e">
        <f t="shared" si="446"/>
        <v>#VALUE!</v>
      </c>
      <c r="CA122" s="672" t="e">
        <f t="shared" si="446"/>
        <v>#VALUE!</v>
      </c>
      <c r="CB122" s="687" t="e">
        <f t="shared" si="446"/>
        <v>#VALUE!</v>
      </c>
      <c r="CC122" s="686" t="e">
        <f t="shared" si="446"/>
        <v>#VALUE!</v>
      </c>
      <c r="CD122" s="687" t="e">
        <f t="shared" si="446"/>
        <v>#VALUE!</v>
      </c>
      <c r="CE122" s="687" t="e">
        <f t="shared" si="446"/>
        <v>#VALUE!</v>
      </c>
      <c r="CF122" s="687" t="e">
        <f t="shared" si="446"/>
        <v>#VALUE!</v>
      </c>
      <c r="CG122" s="687" t="e">
        <f t="shared" si="446"/>
        <v>#VALUE!</v>
      </c>
      <c r="CH122" s="690" t="e">
        <f t="shared" si="446"/>
        <v>#VALUE!</v>
      </c>
      <c r="CI122" s="692">
        <f t="shared" si="446"/>
        <v>20.34</v>
      </c>
      <c r="CJ122" s="711">
        <f t="shared" si="446"/>
        <v>51.4</v>
      </c>
      <c r="CK122" s="693">
        <f t="shared" si="446"/>
        <v>1007</v>
      </c>
      <c r="CL122" s="599">
        <f t="shared" si="446"/>
        <v>-3.5023999999999998E-9</v>
      </c>
      <c r="CM122" s="694">
        <f t="shared" si="446"/>
        <v>60</v>
      </c>
      <c r="CN122" s="685" t="s">
        <v>93</v>
      </c>
      <c r="CO122" s="599" t="e">
        <f t="shared" ref="CO122:DD122" si="447">AVERAGE(CO117:CO121)</f>
        <v>#DIV/0!</v>
      </c>
      <c r="CP122" s="619">
        <f t="shared" si="447"/>
        <v>0</v>
      </c>
      <c r="CQ122" s="675" t="e">
        <f t="shared" si="447"/>
        <v>#VALUE!</v>
      </c>
      <c r="CR122" s="672" t="e">
        <f t="shared" si="447"/>
        <v>#VALUE!</v>
      </c>
      <c r="CS122" s="687" t="e">
        <f t="shared" si="447"/>
        <v>#VALUE!</v>
      </c>
      <c r="CT122" s="686" t="e">
        <f t="shared" si="447"/>
        <v>#VALUE!</v>
      </c>
      <c r="CU122" s="687" t="e">
        <f t="shared" si="447"/>
        <v>#VALUE!</v>
      </c>
      <c r="CV122" s="687" t="e">
        <f t="shared" si="447"/>
        <v>#VALUE!</v>
      </c>
      <c r="CW122" s="687" t="e">
        <f t="shared" si="447"/>
        <v>#VALUE!</v>
      </c>
      <c r="CX122" s="687" t="e">
        <f t="shared" si="447"/>
        <v>#VALUE!</v>
      </c>
      <c r="CY122" s="690" t="e">
        <f t="shared" si="447"/>
        <v>#VALUE!</v>
      </c>
      <c r="CZ122" s="682" t="e">
        <f t="shared" si="447"/>
        <v>#DIV/0!</v>
      </c>
      <c r="DA122" s="683" t="e">
        <f t="shared" si="447"/>
        <v>#DIV/0!</v>
      </c>
      <c r="DB122" s="684" t="e">
        <f t="shared" si="447"/>
        <v>#DIV/0!</v>
      </c>
      <c r="DC122" s="599" t="e">
        <f t="shared" si="447"/>
        <v>#DIV/0!</v>
      </c>
      <c r="DD122" s="685" t="e">
        <f t="shared" si="447"/>
        <v>#DIV/0!</v>
      </c>
      <c r="DE122" s="685" t="s">
        <v>93</v>
      </c>
      <c r="DF122" s="599">
        <f t="shared" ref="DF122:DU122" si="448">AVERAGE(DF117:DF121)</f>
        <v>0</v>
      </c>
      <c r="DG122" s="619" t="e">
        <f t="shared" si="448"/>
        <v>#DIV/0!</v>
      </c>
      <c r="DH122" s="675" t="e">
        <f t="shared" si="448"/>
        <v>#DIV/0!</v>
      </c>
      <c r="DI122" s="672" t="e">
        <f t="shared" si="448"/>
        <v>#DIV/0!</v>
      </c>
      <c r="DJ122" s="687" t="e">
        <f t="shared" si="448"/>
        <v>#DIV/0!</v>
      </c>
      <c r="DK122" s="686" t="e">
        <f t="shared" si="448"/>
        <v>#DIV/0!</v>
      </c>
      <c r="DL122" s="687" t="e">
        <f t="shared" si="448"/>
        <v>#DIV/0!</v>
      </c>
      <c r="DM122" s="687" t="e">
        <f t="shared" si="448"/>
        <v>#DIV/0!</v>
      </c>
      <c r="DN122" s="687" t="e">
        <f t="shared" si="448"/>
        <v>#DIV/0!</v>
      </c>
      <c r="DO122" s="687" t="e">
        <f t="shared" si="448"/>
        <v>#DIV/0!</v>
      </c>
      <c r="DP122" s="690" t="e">
        <f t="shared" si="448"/>
        <v>#DIV/0!</v>
      </c>
      <c r="DQ122" s="682" t="e">
        <f t="shared" si="448"/>
        <v>#DIV/0!</v>
      </c>
      <c r="DR122" s="683" t="e">
        <f t="shared" si="448"/>
        <v>#DIV/0!</v>
      </c>
      <c r="DS122" s="684" t="e">
        <f t="shared" si="448"/>
        <v>#DIV/0!</v>
      </c>
      <c r="DT122" s="653" t="e">
        <f t="shared" si="448"/>
        <v>#DIV/0!</v>
      </c>
      <c r="DU122" s="685" t="e">
        <f t="shared" si="448"/>
        <v>#DIV/0!</v>
      </c>
      <c r="DV122" s="685" t="s">
        <v>93</v>
      </c>
      <c r="DW122" s="599">
        <f t="shared" ref="DW122:EL122" si="449">AVERAGE(DW117:DW121)</f>
        <v>0</v>
      </c>
      <c r="DX122" s="619" t="e">
        <f t="shared" si="449"/>
        <v>#DIV/0!</v>
      </c>
      <c r="DY122" s="675" t="e">
        <f t="shared" si="449"/>
        <v>#DIV/0!</v>
      </c>
      <c r="DZ122" s="672" t="e">
        <f t="shared" si="449"/>
        <v>#DIV/0!</v>
      </c>
      <c r="EA122" s="687" t="e">
        <f t="shared" si="449"/>
        <v>#DIV/0!</v>
      </c>
      <c r="EB122" s="686" t="e">
        <f t="shared" si="449"/>
        <v>#DIV/0!</v>
      </c>
      <c r="EC122" s="687" t="e">
        <f t="shared" si="449"/>
        <v>#DIV/0!</v>
      </c>
      <c r="ED122" s="687" t="e">
        <f t="shared" si="449"/>
        <v>#DIV/0!</v>
      </c>
      <c r="EE122" s="687" t="e">
        <f t="shared" si="449"/>
        <v>#DIV/0!</v>
      </c>
      <c r="EF122" s="687" t="e">
        <f t="shared" si="449"/>
        <v>#DIV/0!</v>
      </c>
      <c r="EG122" s="690" t="e">
        <f t="shared" si="449"/>
        <v>#DIV/0!</v>
      </c>
      <c r="EH122" s="682">
        <f t="shared" si="449"/>
        <v>20.520000000000003</v>
      </c>
      <c r="EI122" s="683">
        <f t="shared" si="449"/>
        <v>52.2</v>
      </c>
      <c r="EJ122" s="693">
        <f t="shared" si="449"/>
        <v>1007</v>
      </c>
      <c r="EK122" s="599">
        <f>AVERAGE(EK117:EK121)</f>
        <v>-4.686E-12</v>
      </c>
      <c r="EL122" s="694">
        <f t="shared" si="449"/>
        <v>60</v>
      </c>
      <c r="EM122" s="685" t="s">
        <v>93</v>
      </c>
      <c r="EN122" s="599" t="e">
        <f t="shared" ref="EN122:FC122" si="450">AVERAGE(EN117:EN121)</f>
        <v>#DIV/0!</v>
      </c>
      <c r="EO122" s="619">
        <f t="shared" si="450"/>
        <v>0</v>
      </c>
      <c r="EP122" s="675" t="e">
        <f t="shared" si="450"/>
        <v>#VALUE!</v>
      </c>
      <c r="EQ122" s="672" t="e">
        <f t="shared" si="450"/>
        <v>#VALUE!</v>
      </c>
      <c r="ER122" s="687" t="e">
        <f t="shared" si="450"/>
        <v>#VALUE!</v>
      </c>
      <c r="ES122" s="686" t="e">
        <f t="shared" si="450"/>
        <v>#VALUE!</v>
      </c>
      <c r="ET122" s="687" t="e">
        <f t="shared" si="450"/>
        <v>#VALUE!</v>
      </c>
      <c r="EU122" s="687" t="e">
        <f t="shared" si="450"/>
        <v>#VALUE!</v>
      </c>
      <c r="EV122" s="687" t="e">
        <f t="shared" si="450"/>
        <v>#VALUE!</v>
      </c>
      <c r="EW122" s="687" t="e">
        <f t="shared" si="450"/>
        <v>#VALUE!</v>
      </c>
      <c r="EX122" s="690" t="e">
        <f t="shared" si="450"/>
        <v>#VALUE!</v>
      </c>
      <c r="EY122" s="682" t="e">
        <f t="shared" si="450"/>
        <v>#DIV/0!</v>
      </c>
      <c r="EZ122" s="683" t="e">
        <f t="shared" si="450"/>
        <v>#DIV/0!</v>
      </c>
      <c r="FA122" s="684" t="e">
        <f t="shared" si="450"/>
        <v>#DIV/0!</v>
      </c>
      <c r="FB122" s="599" t="e">
        <f t="shared" si="450"/>
        <v>#DIV/0!</v>
      </c>
      <c r="FC122" s="685" t="e">
        <f t="shared" si="450"/>
        <v>#DIV/0!</v>
      </c>
      <c r="FD122" s="685" t="s">
        <v>93</v>
      </c>
      <c r="FE122" s="599">
        <f t="shared" ref="FE122:FT122" si="451">AVERAGE(FE117:FE121)</f>
        <v>0</v>
      </c>
      <c r="FF122" s="619" t="e">
        <f t="shared" si="451"/>
        <v>#DIV/0!</v>
      </c>
      <c r="FG122" s="675" t="e">
        <f t="shared" si="451"/>
        <v>#DIV/0!</v>
      </c>
      <c r="FH122" s="672" t="e">
        <f t="shared" si="451"/>
        <v>#DIV/0!</v>
      </c>
      <c r="FI122" s="687" t="e">
        <f t="shared" si="451"/>
        <v>#DIV/0!</v>
      </c>
      <c r="FJ122" s="686" t="e">
        <f t="shared" si="451"/>
        <v>#DIV/0!</v>
      </c>
      <c r="FK122" s="687" t="e">
        <f t="shared" si="451"/>
        <v>#DIV/0!</v>
      </c>
      <c r="FL122" s="687" t="e">
        <f t="shared" si="451"/>
        <v>#DIV/0!</v>
      </c>
      <c r="FM122" s="687" t="e">
        <f t="shared" si="451"/>
        <v>#DIV/0!</v>
      </c>
      <c r="FN122" s="687" t="e">
        <f t="shared" si="451"/>
        <v>#DIV/0!</v>
      </c>
      <c r="FO122" s="690" t="e">
        <f t="shared" si="451"/>
        <v>#DIV/0!</v>
      </c>
      <c r="FP122" s="682" t="e">
        <f t="shared" si="451"/>
        <v>#DIV/0!</v>
      </c>
      <c r="FQ122" s="683" t="e">
        <f t="shared" si="451"/>
        <v>#DIV/0!</v>
      </c>
      <c r="FR122" s="684" t="e">
        <f t="shared" si="451"/>
        <v>#DIV/0!</v>
      </c>
      <c r="FS122" s="599" t="e">
        <f t="shared" si="451"/>
        <v>#DIV/0!</v>
      </c>
      <c r="FT122" s="685" t="e">
        <f t="shared" si="451"/>
        <v>#DIV/0!</v>
      </c>
      <c r="FU122" s="685" t="s">
        <v>93</v>
      </c>
      <c r="FV122" s="599">
        <f t="shared" ref="FV122:GK122" si="452">AVERAGE(FV117:FV121)</f>
        <v>0</v>
      </c>
      <c r="FW122" s="619" t="e">
        <f t="shared" si="452"/>
        <v>#DIV/0!</v>
      </c>
      <c r="FX122" s="675" t="e">
        <f t="shared" si="452"/>
        <v>#DIV/0!</v>
      </c>
      <c r="FY122" s="672" t="e">
        <f t="shared" si="452"/>
        <v>#DIV/0!</v>
      </c>
      <c r="FZ122" s="687" t="e">
        <f t="shared" si="452"/>
        <v>#DIV/0!</v>
      </c>
      <c r="GA122" s="686" t="e">
        <f t="shared" si="452"/>
        <v>#DIV/0!</v>
      </c>
      <c r="GB122" s="687" t="e">
        <f t="shared" si="452"/>
        <v>#DIV/0!</v>
      </c>
      <c r="GC122" s="687" t="e">
        <f t="shared" si="452"/>
        <v>#DIV/0!</v>
      </c>
      <c r="GD122" s="687" t="e">
        <f t="shared" si="452"/>
        <v>#DIV/0!</v>
      </c>
      <c r="GE122" s="687" t="e">
        <f t="shared" si="452"/>
        <v>#DIV/0!</v>
      </c>
      <c r="GF122" s="690" t="e">
        <f t="shared" si="452"/>
        <v>#DIV/0!</v>
      </c>
      <c r="GG122" s="682" t="e">
        <f t="shared" si="452"/>
        <v>#DIV/0!</v>
      </c>
      <c r="GH122" s="683" t="e">
        <f t="shared" si="452"/>
        <v>#DIV/0!</v>
      </c>
      <c r="GI122" s="684" t="e">
        <f t="shared" si="452"/>
        <v>#DIV/0!</v>
      </c>
      <c r="GJ122" s="653" t="e">
        <f t="shared" si="452"/>
        <v>#DIV/0!</v>
      </c>
      <c r="GK122" s="685" t="e">
        <f t="shared" si="452"/>
        <v>#DIV/0!</v>
      </c>
      <c r="GL122" s="685" t="s">
        <v>93</v>
      </c>
      <c r="GM122" s="599">
        <f t="shared" ref="GM122:HB122" si="453">AVERAGE(GM117:GM121)</f>
        <v>0</v>
      </c>
      <c r="GN122" s="619" t="e">
        <f t="shared" si="453"/>
        <v>#DIV/0!</v>
      </c>
      <c r="GO122" s="675" t="e">
        <f t="shared" si="453"/>
        <v>#DIV/0!</v>
      </c>
      <c r="GP122" s="672" t="e">
        <f t="shared" si="453"/>
        <v>#DIV/0!</v>
      </c>
      <c r="GQ122" s="687" t="e">
        <f t="shared" si="453"/>
        <v>#DIV/0!</v>
      </c>
      <c r="GR122" s="686" t="e">
        <f t="shared" si="453"/>
        <v>#DIV/0!</v>
      </c>
      <c r="GS122" s="687" t="e">
        <f t="shared" si="453"/>
        <v>#DIV/0!</v>
      </c>
      <c r="GT122" s="687" t="e">
        <f t="shared" si="453"/>
        <v>#DIV/0!</v>
      </c>
      <c r="GU122" s="687" t="e">
        <f t="shared" si="453"/>
        <v>#DIV/0!</v>
      </c>
      <c r="GV122" s="687" t="e">
        <f t="shared" si="453"/>
        <v>#DIV/0!</v>
      </c>
      <c r="GW122" s="690" t="e">
        <f t="shared" si="453"/>
        <v>#DIV/0!</v>
      </c>
      <c r="GX122" s="682" t="e">
        <f t="shared" si="453"/>
        <v>#DIV/0!</v>
      </c>
      <c r="GY122" s="683" t="e">
        <f t="shared" si="453"/>
        <v>#DIV/0!</v>
      </c>
      <c r="GZ122" s="684" t="e">
        <f t="shared" si="453"/>
        <v>#DIV/0!</v>
      </c>
      <c r="HA122" s="599" t="e">
        <f t="shared" si="453"/>
        <v>#DIV/0!</v>
      </c>
      <c r="HB122" s="685" t="e">
        <f t="shared" si="453"/>
        <v>#DIV/0!</v>
      </c>
      <c r="HC122" s="685" t="s">
        <v>93</v>
      </c>
      <c r="HD122" s="599">
        <f t="shared" ref="HD122:HS122" si="454">AVERAGE(HD117:HD121)</f>
        <v>0</v>
      </c>
      <c r="HE122" s="619" t="e">
        <f t="shared" si="454"/>
        <v>#DIV/0!</v>
      </c>
      <c r="HF122" s="675" t="e">
        <f t="shared" si="454"/>
        <v>#DIV/0!</v>
      </c>
      <c r="HG122" s="672" t="e">
        <f t="shared" si="454"/>
        <v>#DIV/0!</v>
      </c>
      <c r="HH122" s="687" t="e">
        <f t="shared" si="454"/>
        <v>#DIV/0!</v>
      </c>
      <c r="HI122" s="686" t="e">
        <f t="shared" si="454"/>
        <v>#DIV/0!</v>
      </c>
      <c r="HJ122" s="687" t="e">
        <f t="shared" si="454"/>
        <v>#DIV/0!</v>
      </c>
      <c r="HK122" s="687" t="e">
        <f t="shared" si="454"/>
        <v>#DIV/0!</v>
      </c>
      <c r="HL122" s="687" t="e">
        <f t="shared" si="454"/>
        <v>#DIV/0!</v>
      </c>
      <c r="HM122" s="687" t="e">
        <f t="shared" si="454"/>
        <v>#DIV/0!</v>
      </c>
      <c r="HN122" s="690" t="e">
        <f t="shared" si="454"/>
        <v>#DIV/0!</v>
      </c>
      <c r="HO122" s="682" t="e">
        <f t="shared" si="454"/>
        <v>#DIV/0!</v>
      </c>
      <c r="HP122" s="683" t="e">
        <f t="shared" si="454"/>
        <v>#DIV/0!</v>
      </c>
      <c r="HQ122" s="684" t="e">
        <f t="shared" si="454"/>
        <v>#DIV/0!</v>
      </c>
      <c r="HR122" s="599" t="e">
        <f t="shared" si="454"/>
        <v>#DIV/0!</v>
      </c>
      <c r="HS122" s="685" t="e">
        <f t="shared" si="454"/>
        <v>#DIV/0!</v>
      </c>
      <c r="HT122" s="685" t="s">
        <v>93</v>
      </c>
      <c r="HU122" s="599">
        <f t="shared" ref="HU122:IJ122" si="455">AVERAGE(HU117:HU121)</f>
        <v>0</v>
      </c>
      <c r="HV122" s="619" t="e">
        <f t="shared" si="455"/>
        <v>#DIV/0!</v>
      </c>
      <c r="HW122" s="675" t="e">
        <f t="shared" si="455"/>
        <v>#DIV/0!</v>
      </c>
      <c r="HX122" s="672" t="e">
        <f t="shared" si="455"/>
        <v>#DIV/0!</v>
      </c>
      <c r="HY122" s="687" t="e">
        <f t="shared" si="455"/>
        <v>#DIV/0!</v>
      </c>
      <c r="HZ122" s="686" t="e">
        <f t="shared" si="455"/>
        <v>#DIV/0!</v>
      </c>
      <c r="IA122" s="687" t="e">
        <f t="shared" si="455"/>
        <v>#DIV/0!</v>
      </c>
      <c r="IB122" s="687" t="e">
        <f t="shared" si="455"/>
        <v>#DIV/0!</v>
      </c>
      <c r="IC122" s="687" t="e">
        <f t="shared" si="455"/>
        <v>#DIV/0!</v>
      </c>
      <c r="ID122" s="687" t="e">
        <f t="shared" si="455"/>
        <v>#DIV/0!</v>
      </c>
      <c r="IE122" s="690" t="e">
        <f t="shared" si="455"/>
        <v>#DIV/0!</v>
      </c>
      <c r="IF122" s="682" t="e">
        <f t="shared" si="455"/>
        <v>#DIV/0!</v>
      </c>
      <c r="IG122" s="683" t="e">
        <f t="shared" si="455"/>
        <v>#DIV/0!</v>
      </c>
      <c r="IH122" s="684" t="e">
        <f t="shared" si="455"/>
        <v>#DIV/0!</v>
      </c>
      <c r="II122" s="599" t="e">
        <f t="shared" si="455"/>
        <v>#DIV/0!</v>
      </c>
      <c r="IJ122" s="685" t="e">
        <f t="shared" si="455"/>
        <v>#DIV/0!</v>
      </c>
      <c r="IK122" s="685" t="s">
        <v>93</v>
      </c>
      <c r="IL122" s="599">
        <f t="shared" ref="IL122:JA122" si="456">AVERAGE(IL117:IL121)</f>
        <v>0</v>
      </c>
      <c r="IM122" s="619" t="e">
        <f t="shared" si="456"/>
        <v>#DIV/0!</v>
      </c>
      <c r="IN122" s="675" t="e">
        <f t="shared" si="456"/>
        <v>#DIV/0!</v>
      </c>
      <c r="IO122" s="672" t="e">
        <f t="shared" si="456"/>
        <v>#DIV/0!</v>
      </c>
      <c r="IP122" s="687" t="e">
        <f t="shared" si="456"/>
        <v>#DIV/0!</v>
      </c>
      <c r="IQ122" s="686" t="e">
        <f t="shared" si="456"/>
        <v>#DIV/0!</v>
      </c>
      <c r="IR122" s="687" t="e">
        <f t="shared" si="456"/>
        <v>#DIV/0!</v>
      </c>
      <c r="IS122" s="687" t="e">
        <f t="shared" si="456"/>
        <v>#DIV/0!</v>
      </c>
      <c r="IT122" s="687" t="e">
        <f t="shared" si="456"/>
        <v>#DIV/0!</v>
      </c>
      <c r="IU122" s="687" t="e">
        <f t="shared" si="456"/>
        <v>#DIV/0!</v>
      </c>
      <c r="IV122" s="690" t="e">
        <f t="shared" si="456"/>
        <v>#DIV/0!</v>
      </c>
      <c r="IW122" s="682" t="e">
        <f t="shared" si="456"/>
        <v>#DIV/0!</v>
      </c>
      <c r="IX122" s="683" t="e">
        <f t="shared" si="456"/>
        <v>#DIV/0!</v>
      </c>
      <c r="IY122" s="684" t="e">
        <f t="shared" si="456"/>
        <v>#DIV/0!</v>
      </c>
      <c r="IZ122" s="599" t="e">
        <f t="shared" si="456"/>
        <v>#DIV/0!</v>
      </c>
      <c r="JA122" s="685" t="e">
        <f t="shared" si="456"/>
        <v>#DIV/0!</v>
      </c>
      <c r="JB122" s="685" t="s">
        <v>93</v>
      </c>
      <c r="JC122" s="599">
        <f t="shared" ref="JC122:JR122" si="457">AVERAGE(JC117:JC121)</f>
        <v>0</v>
      </c>
      <c r="JD122" s="619" t="e">
        <f t="shared" si="457"/>
        <v>#DIV/0!</v>
      </c>
      <c r="JE122" s="675" t="e">
        <f t="shared" si="457"/>
        <v>#DIV/0!</v>
      </c>
      <c r="JF122" s="672" t="e">
        <f t="shared" si="457"/>
        <v>#DIV/0!</v>
      </c>
      <c r="JG122" s="687" t="e">
        <f t="shared" si="457"/>
        <v>#DIV/0!</v>
      </c>
      <c r="JH122" s="686" t="e">
        <f t="shared" si="457"/>
        <v>#DIV/0!</v>
      </c>
      <c r="JI122" s="687" t="e">
        <f t="shared" si="457"/>
        <v>#DIV/0!</v>
      </c>
      <c r="JJ122" s="687" t="e">
        <f t="shared" si="457"/>
        <v>#DIV/0!</v>
      </c>
      <c r="JK122" s="687" t="e">
        <f t="shared" si="457"/>
        <v>#DIV/0!</v>
      </c>
      <c r="JL122" s="687" t="e">
        <f t="shared" si="457"/>
        <v>#DIV/0!</v>
      </c>
      <c r="JM122" s="690" t="e">
        <f t="shared" si="457"/>
        <v>#DIV/0!</v>
      </c>
      <c r="JN122" s="682" t="e">
        <f t="shared" si="457"/>
        <v>#DIV/0!</v>
      </c>
      <c r="JO122" s="683" t="e">
        <f t="shared" si="457"/>
        <v>#DIV/0!</v>
      </c>
      <c r="JP122" s="684" t="e">
        <f t="shared" si="457"/>
        <v>#DIV/0!</v>
      </c>
      <c r="JQ122" s="599" t="e">
        <f t="shared" si="457"/>
        <v>#DIV/0!</v>
      </c>
      <c r="JR122" s="685" t="e">
        <f t="shared" si="457"/>
        <v>#DIV/0!</v>
      </c>
      <c r="JS122" s="685" t="s">
        <v>93</v>
      </c>
      <c r="JT122" s="599">
        <f t="shared" ref="JT122:KI122" si="458">AVERAGE(JT117:JT121)</f>
        <v>0</v>
      </c>
      <c r="JU122" s="619" t="e">
        <f t="shared" si="458"/>
        <v>#DIV/0!</v>
      </c>
      <c r="JV122" s="675" t="e">
        <f t="shared" si="458"/>
        <v>#DIV/0!</v>
      </c>
      <c r="JW122" s="672" t="e">
        <f t="shared" si="458"/>
        <v>#DIV/0!</v>
      </c>
      <c r="JX122" s="687" t="e">
        <f t="shared" si="458"/>
        <v>#DIV/0!</v>
      </c>
      <c r="JY122" s="686" t="e">
        <f t="shared" si="458"/>
        <v>#DIV/0!</v>
      </c>
      <c r="JZ122" s="687" t="e">
        <f t="shared" si="458"/>
        <v>#DIV/0!</v>
      </c>
      <c r="KA122" s="687" t="e">
        <f t="shared" si="458"/>
        <v>#DIV/0!</v>
      </c>
      <c r="KB122" s="687" t="e">
        <f t="shared" si="458"/>
        <v>#DIV/0!</v>
      </c>
      <c r="KC122" s="687" t="e">
        <f t="shared" si="458"/>
        <v>#DIV/0!</v>
      </c>
      <c r="KD122" s="690" t="e">
        <f t="shared" si="458"/>
        <v>#DIV/0!</v>
      </c>
      <c r="KE122" s="682" t="e">
        <f t="shared" si="458"/>
        <v>#DIV/0!</v>
      </c>
      <c r="KF122" s="683" t="e">
        <f t="shared" si="458"/>
        <v>#DIV/0!</v>
      </c>
      <c r="KG122" s="684" t="e">
        <f t="shared" si="458"/>
        <v>#DIV/0!</v>
      </c>
      <c r="KH122" s="599" t="e">
        <f t="shared" si="458"/>
        <v>#DIV/0!</v>
      </c>
      <c r="KI122" s="685" t="e">
        <f t="shared" si="458"/>
        <v>#DIV/0!</v>
      </c>
      <c r="KJ122" s="685" t="s">
        <v>93</v>
      </c>
      <c r="KK122" s="599">
        <f t="shared" ref="KK122:KZ122" si="459">AVERAGE(KK117:KK121)</f>
        <v>0</v>
      </c>
      <c r="KL122" s="619" t="e">
        <f t="shared" si="459"/>
        <v>#DIV/0!</v>
      </c>
      <c r="KM122" s="675" t="e">
        <f t="shared" si="459"/>
        <v>#DIV/0!</v>
      </c>
      <c r="KN122" s="672" t="e">
        <f t="shared" si="459"/>
        <v>#DIV/0!</v>
      </c>
      <c r="KO122" s="687" t="e">
        <f t="shared" si="459"/>
        <v>#DIV/0!</v>
      </c>
      <c r="KP122" s="686" t="e">
        <f t="shared" si="459"/>
        <v>#DIV/0!</v>
      </c>
      <c r="KQ122" s="687" t="e">
        <f t="shared" si="459"/>
        <v>#DIV/0!</v>
      </c>
      <c r="KR122" s="687" t="e">
        <f t="shared" si="459"/>
        <v>#DIV/0!</v>
      </c>
      <c r="KS122" s="687" t="e">
        <f t="shared" si="459"/>
        <v>#DIV/0!</v>
      </c>
      <c r="KT122" s="687" t="e">
        <f t="shared" si="459"/>
        <v>#DIV/0!</v>
      </c>
      <c r="KU122" s="690" t="e">
        <f t="shared" si="459"/>
        <v>#DIV/0!</v>
      </c>
      <c r="KV122" s="682" t="e">
        <f t="shared" si="459"/>
        <v>#DIV/0!</v>
      </c>
      <c r="KW122" s="683" t="e">
        <f t="shared" si="459"/>
        <v>#DIV/0!</v>
      </c>
      <c r="KX122" s="684" t="e">
        <f t="shared" si="459"/>
        <v>#DIV/0!</v>
      </c>
      <c r="KY122" s="599" t="e">
        <f t="shared" si="459"/>
        <v>#DIV/0!</v>
      </c>
      <c r="KZ122" s="685" t="e">
        <f t="shared" si="459"/>
        <v>#DIV/0!</v>
      </c>
      <c r="LA122" s="685" t="s">
        <v>93</v>
      </c>
      <c r="LB122" s="599">
        <f t="shared" ref="LB122:LQ122" si="460">AVERAGE(LB117:LB121)</f>
        <v>0</v>
      </c>
      <c r="LC122" s="619" t="e">
        <f t="shared" si="460"/>
        <v>#DIV/0!</v>
      </c>
      <c r="LD122" s="675" t="e">
        <f t="shared" si="460"/>
        <v>#DIV/0!</v>
      </c>
      <c r="LE122" s="672" t="e">
        <f t="shared" si="460"/>
        <v>#DIV/0!</v>
      </c>
      <c r="LF122" s="687" t="e">
        <f t="shared" si="460"/>
        <v>#DIV/0!</v>
      </c>
      <c r="LG122" s="686" t="e">
        <f t="shared" si="460"/>
        <v>#DIV/0!</v>
      </c>
      <c r="LH122" s="687" t="e">
        <f t="shared" si="460"/>
        <v>#DIV/0!</v>
      </c>
      <c r="LI122" s="687" t="e">
        <f t="shared" si="460"/>
        <v>#DIV/0!</v>
      </c>
      <c r="LJ122" s="687" t="e">
        <f t="shared" si="460"/>
        <v>#DIV/0!</v>
      </c>
      <c r="LK122" s="687" t="e">
        <f t="shared" si="460"/>
        <v>#DIV/0!</v>
      </c>
      <c r="LL122" s="690" t="e">
        <f t="shared" si="460"/>
        <v>#DIV/0!</v>
      </c>
      <c r="LM122" s="682" t="e">
        <f t="shared" si="460"/>
        <v>#DIV/0!</v>
      </c>
      <c r="LN122" s="683" t="e">
        <f t="shared" si="460"/>
        <v>#DIV/0!</v>
      </c>
      <c r="LO122" s="684" t="e">
        <f t="shared" si="460"/>
        <v>#DIV/0!</v>
      </c>
      <c r="LP122" s="599" t="e">
        <f t="shared" si="460"/>
        <v>#DIV/0!</v>
      </c>
      <c r="LQ122" s="685" t="e">
        <f t="shared" si="460"/>
        <v>#DIV/0!</v>
      </c>
      <c r="LR122" s="685" t="s">
        <v>93</v>
      </c>
      <c r="LS122" s="599">
        <f t="shared" ref="LS122:MH122" si="461">AVERAGE(LS117:LS121)</f>
        <v>0</v>
      </c>
      <c r="LT122" s="619" t="e">
        <f t="shared" si="461"/>
        <v>#DIV/0!</v>
      </c>
      <c r="LU122" s="675" t="e">
        <f t="shared" si="461"/>
        <v>#DIV/0!</v>
      </c>
      <c r="LV122" s="672" t="e">
        <f t="shared" si="461"/>
        <v>#DIV/0!</v>
      </c>
      <c r="LW122" s="687" t="e">
        <f t="shared" si="461"/>
        <v>#DIV/0!</v>
      </c>
      <c r="LX122" s="686" t="e">
        <f t="shared" si="461"/>
        <v>#DIV/0!</v>
      </c>
      <c r="LY122" s="687" t="e">
        <f t="shared" si="461"/>
        <v>#DIV/0!</v>
      </c>
      <c r="LZ122" s="687" t="e">
        <f t="shared" si="461"/>
        <v>#DIV/0!</v>
      </c>
      <c r="MA122" s="687" t="e">
        <f t="shared" si="461"/>
        <v>#DIV/0!</v>
      </c>
      <c r="MB122" s="687" t="e">
        <f t="shared" si="461"/>
        <v>#DIV/0!</v>
      </c>
      <c r="MC122" s="690" t="e">
        <f t="shared" si="461"/>
        <v>#DIV/0!</v>
      </c>
      <c r="MD122" s="682" t="e">
        <f t="shared" si="461"/>
        <v>#DIV/0!</v>
      </c>
      <c r="ME122" s="711" t="e">
        <f t="shared" si="461"/>
        <v>#DIV/0!</v>
      </c>
      <c r="MF122" s="693" t="e">
        <f t="shared" si="461"/>
        <v>#DIV/0!</v>
      </c>
      <c r="MG122" s="599" t="e">
        <f t="shared" si="461"/>
        <v>#DIV/0!</v>
      </c>
      <c r="MH122" s="694" t="e">
        <f t="shared" si="461"/>
        <v>#DIV/0!</v>
      </c>
      <c r="MI122" s="685" t="s">
        <v>93</v>
      </c>
      <c r="MJ122" s="599">
        <f t="shared" ref="MJ122:MY122" si="462">AVERAGE(MJ117:MJ121)</f>
        <v>0</v>
      </c>
      <c r="MK122" s="619" t="e">
        <f t="shared" si="462"/>
        <v>#DIV/0!</v>
      </c>
      <c r="ML122" s="675" t="e">
        <f t="shared" si="462"/>
        <v>#DIV/0!</v>
      </c>
      <c r="MM122" s="672" t="e">
        <f t="shared" si="462"/>
        <v>#DIV/0!</v>
      </c>
      <c r="MN122" s="687" t="e">
        <f t="shared" si="462"/>
        <v>#DIV/0!</v>
      </c>
      <c r="MO122" s="686" t="e">
        <f t="shared" si="462"/>
        <v>#DIV/0!</v>
      </c>
      <c r="MP122" s="687" t="e">
        <f t="shared" si="462"/>
        <v>#DIV/0!</v>
      </c>
      <c r="MQ122" s="687" t="e">
        <f t="shared" si="462"/>
        <v>#DIV/0!</v>
      </c>
      <c r="MR122" s="687" t="e">
        <f t="shared" si="462"/>
        <v>#DIV/0!</v>
      </c>
      <c r="MS122" s="687" t="e">
        <f t="shared" si="462"/>
        <v>#DIV/0!</v>
      </c>
      <c r="MT122" s="690" t="e">
        <f t="shared" si="462"/>
        <v>#DIV/0!</v>
      </c>
      <c r="MU122" s="692">
        <f t="shared" si="462"/>
        <v>20.48</v>
      </c>
      <c r="MV122" s="711">
        <f t="shared" si="462"/>
        <v>52.8</v>
      </c>
      <c r="MW122" s="693">
        <f t="shared" si="462"/>
        <v>1007</v>
      </c>
      <c r="MX122" s="599">
        <f t="shared" si="462"/>
        <v>-1.0085999999999998E-10</v>
      </c>
      <c r="MY122" s="685">
        <f t="shared" si="462"/>
        <v>60</v>
      </c>
      <c r="MZ122" s="685" t="s">
        <v>93</v>
      </c>
      <c r="NA122" s="599" t="e">
        <f t="shared" ref="NA122:NP122" si="463">AVERAGE(NA117:NA121)</f>
        <v>#DIV/0!</v>
      </c>
      <c r="NB122" s="619">
        <f t="shared" si="463"/>
        <v>0</v>
      </c>
      <c r="NC122" s="675" t="e">
        <f t="shared" si="463"/>
        <v>#VALUE!</v>
      </c>
      <c r="ND122" s="672" t="e">
        <f t="shared" si="463"/>
        <v>#VALUE!</v>
      </c>
      <c r="NE122" s="687" t="e">
        <f t="shared" si="463"/>
        <v>#VALUE!</v>
      </c>
      <c r="NF122" s="686" t="e">
        <f t="shared" si="463"/>
        <v>#VALUE!</v>
      </c>
      <c r="NG122" s="687" t="e">
        <f t="shared" si="463"/>
        <v>#VALUE!</v>
      </c>
      <c r="NH122" s="687" t="e">
        <f t="shared" si="463"/>
        <v>#VALUE!</v>
      </c>
      <c r="NI122" s="687" t="e">
        <f t="shared" si="463"/>
        <v>#VALUE!</v>
      </c>
      <c r="NJ122" s="687" t="e">
        <f t="shared" si="463"/>
        <v>#VALUE!</v>
      </c>
      <c r="NK122" s="690" t="e">
        <f t="shared" si="463"/>
        <v>#VALUE!</v>
      </c>
      <c r="NL122" s="682" t="e">
        <f t="shared" si="463"/>
        <v>#DIV/0!</v>
      </c>
      <c r="NM122" s="683" t="e">
        <f t="shared" si="463"/>
        <v>#DIV/0!</v>
      </c>
      <c r="NN122" s="684" t="e">
        <f t="shared" si="463"/>
        <v>#DIV/0!</v>
      </c>
      <c r="NO122" s="599" t="e">
        <f t="shared" si="463"/>
        <v>#DIV/0!</v>
      </c>
      <c r="NP122" s="685" t="e">
        <f t="shared" si="463"/>
        <v>#DIV/0!</v>
      </c>
      <c r="NQ122" s="685" t="s">
        <v>93</v>
      </c>
      <c r="NR122" s="599">
        <f t="shared" ref="NR122:OG122" si="464">AVERAGE(NR117:NR121)</f>
        <v>0</v>
      </c>
      <c r="NS122" s="619" t="e">
        <f t="shared" si="464"/>
        <v>#DIV/0!</v>
      </c>
      <c r="NT122" s="675" t="e">
        <f t="shared" si="464"/>
        <v>#DIV/0!</v>
      </c>
      <c r="NU122" s="672" t="e">
        <f t="shared" si="464"/>
        <v>#DIV/0!</v>
      </c>
      <c r="NV122" s="687" t="e">
        <f t="shared" si="464"/>
        <v>#DIV/0!</v>
      </c>
      <c r="NW122" s="686" t="e">
        <f t="shared" si="464"/>
        <v>#DIV/0!</v>
      </c>
      <c r="NX122" s="687" t="e">
        <f t="shared" si="464"/>
        <v>#DIV/0!</v>
      </c>
      <c r="NY122" s="687" t="e">
        <f t="shared" si="464"/>
        <v>#DIV/0!</v>
      </c>
      <c r="NZ122" s="687" t="e">
        <f t="shared" si="464"/>
        <v>#DIV/0!</v>
      </c>
      <c r="OA122" s="687" t="e">
        <f t="shared" si="464"/>
        <v>#DIV/0!</v>
      </c>
      <c r="OB122" s="690" t="e">
        <f t="shared" si="464"/>
        <v>#DIV/0!</v>
      </c>
      <c r="OC122" s="682">
        <f t="shared" si="464"/>
        <v>20.5</v>
      </c>
      <c r="OD122" s="683">
        <f t="shared" si="464"/>
        <v>53.2</v>
      </c>
      <c r="OE122" s="693">
        <f t="shared" si="464"/>
        <v>1007</v>
      </c>
      <c r="OF122" s="599">
        <f t="shared" si="464"/>
        <v>-2.3395999999999999E-10</v>
      </c>
      <c r="OG122" s="694">
        <f t="shared" si="464"/>
        <v>60</v>
      </c>
      <c r="OH122" s="685" t="s">
        <v>93</v>
      </c>
      <c r="OI122" s="599" t="e">
        <f t="shared" ref="OI122:OX122" si="465">AVERAGE(OI117:OI121)</f>
        <v>#DIV/0!</v>
      </c>
      <c r="OJ122" s="619">
        <f t="shared" si="465"/>
        <v>0</v>
      </c>
      <c r="OK122" s="675" t="e">
        <f t="shared" si="465"/>
        <v>#VALUE!</v>
      </c>
      <c r="OL122" s="672" t="e">
        <f t="shared" si="465"/>
        <v>#VALUE!</v>
      </c>
      <c r="OM122" s="687" t="e">
        <f t="shared" si="465"/>
        <v>#VALUE!</v>
      </c>
      <c r="ON122" s="686" t="e">
        <f t="shared" si="465"/>
        <v>#VALUE!</v>
      </c>
      <c r="OO122" s="687" t="e">
        <f t="shared" si="465"/>
        <v>#VALUE!</v>
      </c>
      <c r="OP122" s="687" t="e">
        <f t="shared" si="465"/>
        <v>#VALUE!</v>
      </c>
      <c r="OQ122" s="687" t="e">
        <f t="shared" si="465"/>
        <v>#VALUE!</v>
      </c>
      <c r="OR122" s="687" t="e">
        <f t="shared" si="465"/>
        <v>#VALUE!</v>
      </c>
      <c r="OS122" s="690" t="e">
        <f t="shared" si="465"/>
        <v>#VALUE!</v>
      </c>
      <c r="OT122" s="682" t="e">
        <f t="shared" si="465"/>
        <v>#DIV/0!</v>
      </c>
      <c r="OU122" s="683" t="e">
        <f t="shared" si="465"/>
        <v>#DIV/0!</v>
      </c>
      <c r="OV122" s="684" t="e">
        <f t="shared" si="465"/>
        <v>#DIV/0!</v>
      </c>
      <c r="OW122" s="599" t="e">
        <f t="shared" si="465"/>
        <v>#DIV/0!</v>
      </c>
      <c r="OX122" s="685" t="e">
        <f t="shared" si="465"/>
        <v>#DIV/0!</v>
      </c>
      <c r="OY122" s="685" t="s">
        <v>93</v>
      </c>
      <c r="OZ122" s="599">
        <f t="shared" ref="OZ122:PO122" si="466">AVERAGE(OZ117:OZ121)</f>
        <v>0</v>
      </c>
      <c r="PA122" s="619" t="e">
        <f t="shared" si="466"/>
        <v>#DIV/0!</v>
      </c>
      <c r="PB122" s="675" t="e">
        <f t="shared" si="466"/>
        <v>#DIV/0!</v>
      </c>
      <c r="PC122" s="672" t="e">
        <f t="shared" si="466"/>
        <v>#DIV/0!</v>
      </c>
      <c r="PD122" s="687" t="e">
        <f t="shared" si="466"/>
        <v>#DIV/0!</v>
      </c>
      <c r="PE122" s="686" t="e">
        <f t="shared" si="466"/>
        <v>#DIV/0!</v>
      </c>
      <c r="PF122" s="687" t="e">
        <f t="shared" si="466"/>
        <v>#DIV/0!</v>
      </c>
      <c r="PG122" s="687" t="e">
        <f t="shared" si="466"/>
        <v>#DIV/0!</v>
      </c>
      <c r="PH122" s="687" t="e">
        <f t="shared" si="466"/>
        <v>#DIV/0!</v>
      </c>
      <c r="PI122" s="687" t="e">
        <f t="shared" si="466"/>
        <v>#DIV/0!</v>
      </c>
      <c r="PJ122" s="690" t="e">
        <f t="shared" si="466"/>
        <v>#DIV/0!</v>
      </c>
      <c r="PK122" s="682" t="e">
        <f t="shared" si="466"/>
        <v>#DIV/0!</v>
      </c>
      <c r="PL122" s="683" t="e">
        <f t="shared" si="466"/>
        <v>#DIV/0!</v>
      </c>
      <c r="PM122" s="684" t="e">
        <f t="shared" si="466"/>
        <v>#DIV/0!</v>
      </c>
      <c r="PN122" s="599" t="e">
        <f t="shared" si="466"/>
        <v>#DIV/0!</v>
      </c>
      <c r="PO122" s="685" t="e">
        <f t="shared" si="466"/>
        <v>#DIV/0!</v>
      </c>
      <c r="PP122" s="685" t="s">
        <v>93</v>
      </c>
      <c r="PQ122" s="599">
        <f t="shared" ref="PQ122:QF122" si="467">AVERAGE(PQ117:PQ121)</f>
        <v>0</v>
      </c>
      <c r="PR122" s="619" t="e">
        <f t="shared" si="467"/>
        <v>#DIV/0!</v>
      </c>
      <c r="PS122" s="675" t="e">
        <f t="shared" si="467"/>
        <v>#DIV/0!</v>
      </c>
      <c r="PT122" s="672" t="e">
        <f t="shared" si="467"/>
        <v>#DIV/0!</v>
      </c>
      <c r="PU122" s="687" t="e">
        <f t="shared" si="467"/>
        <v>#DIV/0!</v>
      </c>
      <c r="PV122" s="686" t="e">
        <f t="shared" si="467"/>
        <v>#DIV/0!</v>
      </c>
      <c r="PW122" s="687" t="e">
        <f t="shared" si="467"/>
        <v>#DIV/0!</v>
      </c>
      <c r="PX122" s="687" t="e">
        <f t="shared" si="467"/>
        <v>#DIV/0!</v>
      </c>
      <c r="PY122" s="687" t="e">
        <f t="shared" si="467"/>
        <v>#DIV/0!</v>
      </c>
      <c r="PZ122" s="687" t="e">
        <f t="shared" si="467"/>
        <v>#DIV/0!</v>
      </c>
      <c r="QA122" s="690" t="e">
        <f t="shared" si="467"/>
        <v>#DIV/0!</v>
      </c>
      <c r="QB122" s="692" t="e">
        <f t="shared" si="467"/>
        <v>#DIV/0!</v>
      </c>
      <c r="QC122" s="683" t="e">
        <f t="shared" si="467"/>
        <v>#DIV/0!</v>
      </c>
      <c r="QD122" s="693" t="e">
        <f t="shared" si="467"/>
        <v>#DIV/0!</v>
      </c>
      <c r="QE122" s="599" t="e">
        <f t="shared" si="467"/>
        <v>#DIV/0!</v>
      </c>
      <c r="QF122" s="694" t="e">
        <f t="shared" si="467"/>
        <v>#DIV/0!</v>
      </c>
      <c r="QG122" s="685" t="s">
        <v>93</v>
      </c>
      <c r="QH122" s="599">
        <f t="shared" ref="QH122:QW122" si="468">AVERAGE(QH117:QH121)</f>
        <v>0</v>
      </c>
      <c r="QI122" s="619" t="e">
        <f t="shared" si="468"/>
        <v>#DIV/0!</v>
      </c>
      <c r="QJ122" s="675" t="e">
        <f t="shared" si="468"/>
        <v>#DIV/0!</v>
      </c>
      <c r="QK122" s="672" t="e">
        <f t="shared" si="468"/>
        <v>#DIV/0!</v>
      </c>
      <c r="QL122" s="687" t="e">
        <f t="shared" si="468"/>
        <v>#DIV/0!</v>
      </c>
      <c r="QM122" s="686" t="e">
        <f t="shared" si="468"/>
        <v>#DIV/0!</v>
      </c>
      <c r="QN122" s="687" t="e">
        <f t="shared" si="468"/>
        <v>#DIV/0!</v>
      </c>
      <c r="QO122" s="687" t="e">
        <f t="shared" si="468"/>
        <v>#DIV/0!</v>
      </c>
      <c r="QP122" s="687" t="e">
        <f t="shared" si="468"/>
        <v>#DIV/0!</v>
      </c>
      <c r="QQ122" s="687" t="e">
        <f t="shared" si="468"/>
        <v>#DIV/0!</v>
      </c>
      <c r="QR122" s="690" t="e">
        <f t="shared" si="468"/>
        <v>#DIV/0!</v>
      </c>
      <c r="QS122" s="682" t="e">
        <f t="shared" si="468"/>
        <v>#DIV/0!</v>
      </c>
      <c r="QT122" s="711" t="e">
        <f t="shared" si="468"/>
        <v>#DIV/0!</v>
      </c>
      <c r="QU122" s="684" t="e">
        <f t="shared" si="468"/>
        <v>#DIV/0!</v>
      </c>
      <c r="QV122" s="672" t="e">
        <f t="shared" si="468"/>
        <v>#DIV/0!</v>
      </c>
      <c r="QW122" s="694" t="e">
        <f t="shared" si="468"/>
        <v>#DIV/0!</v>
      </c>
      <c r="QX122" s="685" t="s">
        <v>93</v>
      </c>
      <c r="QY122" s="599">
        <f t="shared" ref="QY122:RN122" si="469">AVERAGE(QY117:QY121)</f>
        <v>0</v>
      </c>
      <c r="QZ122" s="619" t="e">
        <f t="shared" si="469"/>
        <v>#DIV/0!</v>
      </c>
      <c r="RA122" s="675" t="e">
        <f t="shared" si="469"/>
        <v>#DIV/0!</v>
      </c>
      <c r="RB122" s="672" t="e">
        <f t="shared" si="469"/>
        <v>#DIV/0!</v>
      </c>
      <c r="RC122" s="687" t="e">
        <f t="shared" si="469"/>
        <v>#DIV/0!</v>
      </c>
      <c r="RD122" s="686" t="e">
        <f t="shared" si="469"/>
        <v>#DIV/0!</v>
      </c>
      <c r="RE122" s="687" t="e">
        <f t="shared" si="469"/>
        <v>#DIV/0!</v>
      </c>
      <c r="RF122" s="687" t="e">
        <f t="shared" si="469"/>
        <v>#DIV/0!</v>
      </c>
      <c r="RG122" s="687" t="e">
        <f t="shared" si="469"/>
        <v>#DIV/0!</v>
      </c>
      <c r="RH122" s="687" t="e">
        <f t="shared" si="469"/>
        <v>#DIV/0!</v>
      </c>
      <c r="RI122" s="690" t="e">
        <f t="shared" si="469"/>
        <v>#DIV/0!</v>
      </c>
      <c r="RJ122" s="692">
        <f t="shared" si="469"/>
        <v>20.48</v>
      </c>
      <c r="RK122" s="711">
        <f t="shared" si="469"/>
        <v>53.6</v>
      </c>
      <c r="RL122" s="693">
        <f t="shared" si="469"/>
        <v>1008</v>
      </c>
      <c r="RM122" s="599">
        <f t="shared" si="469"/>
        <v>-1.0724E-11</v>
      </c>
      <c r="RN122" s="694">
        <f t="shared" si="469"/>
        <v>60</v>
      </c>
      <c r="RO122" s="685" t="s">
        <v>93</v>
      </c>
      <c r="RP122" s="599" t="e">
        <f t="shared" ref="RP122:SE122" si="470">AVERAGE(RP117:RP121)</f>
        <v>#DIV/0!</v>
      </c>
      <c r="RQ122" s="619">
        <f t="shared" si="470"/>
        <v>0</v>
      </c>
      <c r="RR122" s="675" t="e">
        <f t="shared" si="470"/>
        <v>#VALUE!</v>
      </c>
      <c r="RS122" s="672" t="e">
        <f t="shared" si="470"/>
        <v>#VALUE!</v>
      </c>
      <c r="RT122" s="687" t="e">
        <f t="shared" si="470"/>
        <v>#VALUE!</v>
      </c>
      <c r="RU122" s="686" t="e">
        <f t="shared" si="470"/>
        <v>#VALUE!</v>
      </c>
      <c r="RV122" s="687" t="e">
        <f t="shared" si="470"/>
        <v>#VALUE!</v>
      </c>
      <c r="RW122" s="687" t="e">
        <f t="shared" si="470"/>
        <v>#VALUE!</v>
      </c>
      <c r="RX122" s="687" t="e">
        <f t="shared" si="470"/>
        <v>#VALUE!</v>
      </c>
      <c r="RY122" s="687" t="e">
        <f t="shared" si="470"/>
        <v>#VALUE!</v>
      </c>
      <c r="RZ122" s="690" t="e">
        <f t="shared" si="470"/>
        <v>#VALUE!</v>
      </c>
      <c r="SA122" s="692">
        <f t="shared" si="470"/>
        <v>20.439999999999998</v>
      </c>
      <c r="SB122" s="711">
        <f t="shared" si="470"/>
        <v>55</v>
      </c>
      <c r="SC122" s="693">
        <f t="shared" si="470"/>
        <v>1008</v>
      </c>
      <c r="SD122" s="599">
        <f t="shared" si="470"/>
        <v>-5.7900000000000007E-10</v>
      </c>
      <c r="SE122" s="694">
        <f t="shared" si="470"/>
        <v>60</v>
      </c>
      <c r="SF122" s="685" t="s">
        <v>93</v>
      </c>
      <c r="SG122" s="599" t="e">
        <f t="shared" ref="SG122:SV122" si="471">AVERAGE(SG117:SG121)</f>
        <v>#DIV/0!</v>
      </c>
      <c r="SH122" s="619">
        <f t="shared" si="471"/>
        <v>0</v>
      </c>
      <c r="SI122" s="675" t="e">
        <f t="shared" si="471"/>
        <v>#VALUE!</v>
      </c>
      <c r="SJ122" s="672" t="e">
        <f t="shared" si="471"/>
        <v>#VALUE!</v>
      </c>
      <c r="SK122" s="687" t="e">
        <f t="shared" si="471"/>
        <v>#VALUE!</v>
      </c>
      <c r="SL122" s="686" t="e">
        <f t="shared" si="471"/>
        <v>#VALUE!</v>
      </c>
      <c r="SM122" s="687" t="e">
        <f t="shared" si="471"/>
        <v>#VALUE!</v>
      </c>
      <c r="SN122" s="687" t="e">
        <f t="shared" si="471"/>
        <v>#VALUE!</v>
      </c>
      <c r="SO122" s="687" t="e">
        <f t="shared" si="471"/>
        <v>#VALUE!</v>
      </c>
      <c r="SP122" s="687" t="e">
        <f t="shared" si="471"/>
        <v>#VALUE!</v>
      </c>
      <c r="SQ122" s="690" t="e">
        <f t="shared" si="471"/>
        <v>#VALUE!</v>
      </c>
      <c r="SR122" s="682" t="e">
        <f t="shared" si="471"/>
        <v>#DIV/0!</v>
      </c>
      <c r="SS122" s="683" t="e">
        <f t="shared" si="471"/>
        <v>#DIV/0!</v>
      </c>
      <c r="ST122" s="684" t="e">
        <f t="shared" si="471"/>
        <v>#DIV/0!</v>
      </c>
      <c r="SU122" s="599" t="e">
        <f t="shared" si="471"/>
        <v>#DIV/0!</v>
      </c>
      <c r="SV122" s="685" t="e">
        <f t="shared" si="471"/>
        <v>#DIV/0!</v>
      </c>
      <c r="SW122" s="685" t="s">
        <v>93</v>
      </c>
      <c r="SX122" s="599">
        <f t="shared" ref="SX122:TM122" si="472">AVERAGE(SX117:SX121)</f>
        <v>0</v>
      </c>
      <c r="SY122" s="619" t="e">
        <f t="shared" si="472"/>
        <v>#DIV/0!</v>
      </c>
      <c r="SZ122" s="675" t="e">
        <f t="shared" si="472"/>
        <v>#DIV/0!</v>
      </c>
      <c r="TA122" s="672" t="e">
        <f t="shared" si="472"/>
        <v>#DIV/0!</v>
      </c>
      <c r="TB122" s="687" t="e">
        <f t="shared" si="472"/>
        <v>#DIV/0!</v>
      </c>
      <c r="TC122" s="686" t="e">
        <f t="shared" si="472"/>
        <v>#DIV/0!</v>
      </c>
      <c r="TD122" s="687" t="e">
        <f t="shared" si="472"/>
        <v>#DIV/0!</v>
      </c>
      <c r="TE122" s="687" t="e">
        <f t="shared" si="472"/>
        <v>#DIV/0!</v>
      </c>
      <c r="TF122" s="687" t="e">
        <f t="shared" si="472"/>
        <v>#DIV/0!</v>
      </c>
      <c r="TG122" s="687" t="e">
        <f t="shared" si="472"/>
        <v>#DIV/0!</v>
      </c>
      <c r="TH122" s="690" t="e">
        <f t="shared" si="472"/>
        <v>#DIV/0!</v>
      </c>
      <c r="TI122" s="682">
        <f t="shared" si="472"/>
        <v>20.48</v>
      </c>
      <c r="TJ122" s="683">
        <f t="shared" si="472"/>
        <v>54.8</v>
      </c>
      <c r="TK122" s="693">
        <f t="shared" si="472"/>
        <v>1008</v>
      </c>
      <c r="TL122" s="599">
        <f t="shared" si="472"/>
        <v>-2.4449999999999997E-11</v>
      </c>
      <c r="TM122" s="694">
        <f t="shared" si="472"/>
        <v>60</v>
      </c>
      <c r="TN122" s="685" t="s">
        <v>93</v>
      </c>
      <c r="TO122" s="599" t="e">
        <f t="shared" ref="TO122:TY122" si="473">AVERAGE(TO117:TO121)</f>
        <v>#DIV/0!</v>
      </c>
      <c r="TP122" s="619">
        <f t="shared" si="473"/>
        <v>0</v>
      </c>
      <c r="TQ122" s="675" t="e">
        <f t="shared" si="473"/>
        <v>#VALUE!</v>
      </c>
      <c r="TR122" s="672" t="e">
        <f t="shared" si="473"/>
        <v>#VALUE!</v>
      </c>
      <c r="TS122" s="687" t="e">
        <f t="shared" si="473"/>
        <v>#VALUE!</v>
      </c>
      <c r="TT122" s="686" t="e">
        <f t="shared" si="473"/>
        <v>#VALUE!</v>
      </c>
      <c r="TU122" s="687" t="e">
        <f t="shared" si="473"/>
        <v>#VALUE!</v>
      </c>
      <c r="TV122" s="687" t="e">
        <f t="shared" si="473"/>
        <v>#VALUE!</v>
      </c>
      <c r="TW122" s="687" t="e">
        <f t="shared" si="473"/>
        <v>#VALUE!</v>
      </c>
      <c r="TX122" s="687" t="e">
        <f t="shared" si="473"/>
        <v>#VALUE!</v>
      </c>
      <c r="TY122" s="690" t="e">
        <f t="shared" si="473"/>
        <v>#VALUE!</v>
      </c>
    </row>
    <row r="123" spans="1:545" x14ac:dyDescent="0.25">
      <c r="A123" s="681" t="s">
        <v>62</v>
      </c>
      <c r="B123" s="688"/>
      <c r="C123" s="619"/>
      <c r="D123" s="619"/>
      <c r="E123" s="672"/>
      <c r="F123" s="619"/>
      <c r="G123" s="652"/>
      <c r="H123" s="599"/>
      <c r="I123" s="652"/>
      <c r="J123" s="675"/>
      <c r="K123" s="672"/>
      <c r="L123" s="672"/>
      <c r="M123" s="675"/>
      <c r="N123" s="672"/>
      <c r="O123" s="672"/>
      <c r="P123" s="672"/>
      <c r="Q123" s="672"/>
      <c r="R123" s="676"/>
      <c r="S123" s="691" t="e">
        <f t="shared" ref="S123:W123" si="474">STDEVA(S117:S121)</f>
        <v>#DIV/0!</v>
      </c>
      <c r="T123" s="691" t="e">
        <f t="shared" si="474"/>
        <v>#DIV/0!</v>
      </c>
      <c r="U123" s="695" t="e">
        <f t="shared" si="474"/>
        <v>#DIV/0!</v>
      </c>
      <c r="V123" s="599" t="e">
        <f t="shared" si="474"/>
        <v>#DIV/0!</v>
      </c>
      <c r="W123" s="652" t="e">
        <f t="shared" si="474"/>
        <v>#DIV/0!</v>
      </c>
      <c r="X123" s="652" t="s">
        <v>93</v>
      </c>
      <c r="Y123" s="599">
        <f>STDEVA(Y117:Y121)</f>
        <v>0</v>
      </c>
      <c r="Z123" s="652" t="e">
        <f t="shared" ref="Z123:AN123" si="475">STDEVA(Z117:Z121)</f>
        <v>#DIV/0!</v>
      </c>
      <c r="AA123" s="675" t="e">
        <f t="shared" si="475"/>
        <v>#DIV/0!</v>
      </c>
      <c r="AB123" s="672" t="e">
        <f t="shared" si="475"/>
        <v>#DIV/0!</v>
      </c>
      <c r="AC123" s="672" t="e">
        <f t="shared" si="475"/>
        <v>#DIV/0!</v>
      </c>
      <c r="AD123" s="675" t="e">
        <f t="shared" si="475"/>
        <v>#DIV/0!</v>
      </c>
      <c r="AE123" s="672" t="e">
        <f t="shared" si="475"/>
        <v>#DIV/0!</v>
      </c>
      <c r="AF123" s="672" t="e">
        <f t="shared" si="475"/>
        <v>#DIV/0!</v>
      </c>
      <c r="AG123" s="672" t="e">
        <f>STDEVA(AG117:AG121)</f>
        <v>#DIV/0!</v>
      </c>
      <c r="AH123" s="672" t="e">
        <f t="shared" si="475"/>
        <v>#DIV/0!</v>
      </c>
      <c r="AI123" s="676" t="e">
        <f t="shared" si="475"/>
        <v>#DIV/0!</v>
      </c>
      <c r="AJ123" s="691" t="e">
        <f t="shared" si="475"/>
        <v>#DIV/0!</v>
      </c>
      <c r="AK123" s="691" t="e">
        <f t="shared" si="475"/>
        <v>#DIV/0!</v>
      </c>
      <c r="AL123" s="695" t="e">
        <f t="shared" si="475"/>
        <v>#DIV/0!</v>
      </c>
      <c r="AM123" s="599" t="e">
        <f t="shared" si="475"/>
        <v>#DIV/0!</v>
      </c>
      <c r="AN123" s="652" t="e">
        <f t="shared" si="475"/>
        <v>#DIV/0!</v>
      </c>
      <c r="AO123" s="652" t="s">
        <v>93</v>
      </c>
      <c r="AP123" s="599">
        <f>STDEVA(AP117:AP121)</f>
        <v>0</v>
      </c>
      <c r="AQ123" s="652" t="e">
        <f t="shared" ref="AQ123:BE123" si="476">STDEVA(AQ117:AQ121)</f>
        <v>#DIV/0!</v>
      </c>
      <c r="AR123" s="675" t="e">
        <f t="shared" si="476"/>
        <v>#DIV/0!</v>
      </c>
      <c r="AS123" s="672" t="e">
        <f t="shared" si="476"/>
        <v>#DIV/0!</v>
      </c>
      <c r="AT123" s="672" t="e">
        <f t="shared" si="476"/>
        <v>#DIV/0!</v>
      </c>
      <c r="AU123" s="675" t="e">
        <f t="shared" si="476"/>
        <v>#DIV/0!</v>
      </c>
      <c r="AV123" s="672" t="e">
        <f t="shared" si="476"/>
        <v>#DIV/0!</v>
      </c>
      <c r="AW123" s="672" t="e">
        <f t="shared" si="476"/>
        <v>#DIV/0!</v>
      </c>
      <c r="AX123" s="672" t="e">
        <f>STDEVA(AX117:AX121)</f>
        <v>#DIV/0!</v>
      </c>
      <c r="AY123" s="672" t="e">
        <f t="shared" si="476"/>
        <v>#DIV/0!</v>
      </c>
      <c r="AZ123" s="676" t="e">
        <f t="shared" si="476"/>
        <v>#DIV/0!</v>
      </c>
      <c r="BA123" s="682">
        <f t="shared" si="476"/>
        <v>8.9442719099991269E-2</v>
      </c>
      <c r="BB123" s="691">
        <f t="shared" si="476"/>
        <v>1.5165750888103102</v>
      </c>
      <c r="BC123" s="695">
        <f t="shared" si="476"/>
        <v>0</v>
      </c>
      <c r="BD123" s="599">
        <f t="shared" si="476"/>
        <v>5.4772255750510761E-13</v>
      </c>
      <c r="BE123" s="652">
        <f t="shared" si="476"/>
        <v>0</v>
      </c>
      <c r="BF123" s="652" t="s">
        <v>93</v>
      </c>
      <c r="BG123" s="599">
        <f>STDEVA(BG117:BG121)</f>
        <v>0</v>
      </c>
      <c r="BH123" s="652">
        <f t="shared" ref="BH123:BV123" si="477">STDEVA(BH117:BH121)</f>
        <v>0</v>
      </c>
      <c r="BI123" s="675" t="e">
        <f t="shared" si="477"/>
        <v>#VALUE!</v>
      </c>
      <c r="BJ123" s="672" t="e">
        <f t="shared" si="477"/>
        <v>#VALUE!</v>
      </c>
      <c r="BK123" s="672" t="e">
        <f t="shared" si="477"/>
        <v>#VALUE!</v>
      </c>
      <c r="BL123" s="675" t="e">
        <f t="shared" si="477"/>
        <v>#VALUE!</v>
      </c>
      <c r="BM123" s="672" t="e">
        <f t="shared" si="477"/>
        <v>#VALUE!</v>
      </c>
      <c r="BN123" s="672" t="e">
        <f t="shared" si="477"/>
        <v>#VALUE!</v>
      </c>
      <c r="BO123" s="672" t="e">
        <f>STDEVA(BO117:BO121)</f>
        <v>#VALUE!</v>
      </c>
      <c r="BP123" s="672" t="e">
        <f t="shared" si="477"/>
        <v>#VALUE!</v>
      </c>
      <c r="BQ123" s="676" t="e">
        <f t="shared" si="477"/>
        <v>#VALUE!</v>
      </c>
      <c r="BR123" s="682">
        <f t="shared" si="477"/>
        <v>9.9999999999999645E-2</v>
      </c>
      <c r="BS123" s="691">
        <f t="shared" si="477"/>
        <v>1.3038404810405297</v>
      </c>
      <c r="BT123" s="695">
        <f t="shared" si="477"/>
        <v>0</v>
      </c>
      <c r="BU123" s="599">
        <f t="shared" si="477"/>
        <v>1.5709869509324159E-13</v>
      </c>
      <c r="BV123" s="652">
        <f t="shared" si="477"/>
        <v>0</v>
      </c>
      <c r="BW123" s="652" t="s">
        <v>93</v>
      </c>
      <c r="BX123" s="599">
        <f>STDEVA(BX117:BX121)</f>
        <v>0</v>
      </c>
      <c r="BY123" s="652">
        <f t="shared" ref="BY123:CM123" si="478">STDEVA(BY117:BY121)</f>
        <v>0</v>
      </c>
      <c r="BZ123" s="675" t="e">
        <f t="shared" si="478"/>
        <v>#VALUE!</v>
      </c>
      <c r="CA123" s="672" t="e">
        <f t="shared" si="478"/>
        <v>#VALUE!</v>
      </c>
      <c r="CB123" s="672" t="e">
        <f t="shared" si="478"/>
        <v>#VALUE!</v>
      </c>
      <c r="CC123" s="675" t="e">
        <f t="shared" si="478"/>
        <v>#VALUE!</v>
      </c>
      <c r="CD123" s="672" t="e">
        <f t="shared" si="478"/>
        <v>#VALUE!</v>
      </c>
      <c r="CE123" s="672" t="e">
        <f t="shared" si="478"/>
        <v>#VALUE!</v>
      </c>
      <c r="CF123" s="672" t="e">
        <f>STDEVA(CF117:CF121)</f>
        <v>#VALUE!</v>
      </c>
      <c r="CG123" s="672" t="e">
        <f t="shared" si="478"/>
        <v>#VALUE!</v>
      </c>
      <c r="CH123" s="676" t="e">
        <f t="shared" si="478"/>
        <v>#VALUE!</v>
      </c>
      <c r="CI123" s="682">
        <f t="shared" si="478"/>
        <v>8.9442719099991269E-2</v>
      </c>
      <c r="CJ123" s="691">
        <f t="shared" si="478"/>
        <v>1.1401754250991381</v>
      </c>
      <c r="CK123" s="695">
        <f t="shared" si="478"/>
        <v>0</v>
      </c>
      <c r="CL123" s="599">
        <f t="shared" si="478"/>
        <v>1.5165750888103389E-12</v>
      </c>
      <c r="CM123" s="652">
        <f t="shared" si="478"/>
        <v>0</v>
      </c>
      <c r="CN123" s="652" t="s">
        <v>93</v>
      </c>
      <c r="CO123" s="599">
        <f>STDEVA(CO117:CO121)</f>
        <v>0</v>
      </c>
      <c r="CP123" s="652">
        <f t="shared" ref="CP123:DD123" si="479">STDEVA(CP117:CP121)</f>
        <v>0</v>
      </c>
      <c r="CQ123" s="675" t="e">
        <f t="shared" si="479"/>
        <v>#VALUE!</v>
      </c>
      <c r="CR123" s="672" t="e">
        <f t="shared" si="479"/>
        <v>#VALUE!</v>
      </c>
      <c r="CS123" s="672" t="e">
        <f t="shared" si="479"/>
        <v>#VALUE!</v>
      </c>
      <c r="CT123" s="675" t="e">
        <f t="shared" si="479"/>
        <v>#VALUE!</v>
      </c>
      <c r="CU123" s="672" t="e">
        <f t="shared" si="479"/>
        <v>#VALUE!</v>
      </c>
      <c r="CV123" s="672" t="e">
        <f t="shared" si="479"/>
        <v>#VALUE!</v>
      </c>
      <c r="CW123" s="672" t="e">
        <f>STDEVA(CW117:CW121)</f>
        <v>#VALUE!</v>
      </c>
      <c r="CX123" s="672" t="e">
        <f t="shared" si="479"/>
        <v>#VALUE!</v>
      </c>
      <c r="CY123" s="676" t="e">
        <f t="shared" si="479"/>
        <v>#VALUE!</v>
      </c>
      <c r="CZ123" s="682" t="e">
        <f t="shared" si="479"/>
        <v>#DIV/0!</v>
      </c>
      <c r="DA123" s="691" t="e">
        <f t="shared" si="479"/>
        <v>#DIV/0!</v>
      </c>
      <c r="DB123" s="695" t="e">
        <f t="shared" si="479"/>
        <v>#DIV/0!</v>
      </c>
      <c r="DC123" s="599" t="e">
        <f t="shared" si="479"/>
        <v>#DIV/0!</v>
      </c>
      <c r="DD123" s="652" t="e">
        <f t="shared" si="479"/>
        <v>#DIV/0!</v>
      </c>
      <c r="DE123" s="652" t="s">
        <v>93</v>
      </c>
      <c r="DF123" s="599">
        <f>STDEVA(DF117:DF121)</f>
        <v>0</v>
      </c>
      <c r="DG123" s="652" t="e">
        <f t="shared" ref="DG123:DU123" si="480">STDEVA(DG117:DG121)</f>
        <v>#DIV/0!</v>
      </c>
      <c r="DH123" s="675" t="e">
        <f t="shared" si="480"/>
        <v>#DIV/0!</v>
      </c>
      <c r="DI123" s="672" t="e">
        <f t="shared" si="480"/>
        <v>#DIV/0!</v>
      </c>
      <c r="DJ123" s="672" t="e">
        <f t="shared" si="480"/>
        <v>#DIV/0!</v>
      </c>
      <c r="DK123" s="675" t="e">
        <f t="shared" si="480"/>
        <v>#DIV/0!</v>
      </c>
      <c r="DL123" s="672" t="e">
        <f t="shared" si="480"/>
        <v>#DIV/0!</v>
      </c>
      <c r="DM123" s="672" t="e">
        <f t="shared" si="480"/>
        <v>#DIV/0!</v>
      </c>
      <c r="DN123" s="672" t="e">
        <f>STDEVA(DN117:DN121)</f>
        <v>#DIV/0!</v>
      </c>
      <c r="DO123" s="672" t="e">
        <f t="shared" si="480"/>
        <v>#DIV/0!</v>
      </c>
      <c r="DP123" s="676" t="e">
        <f t="shared" si="480"/>
        <v>#DIV/0!</v>
      </c>
      <c r="DQ123" s="682" t="e">
        <f t="shared" si="480"/>
        <v>#DIV/0!</v>
      </c>
      <c r="DR123" s="691" t="e">
        <f t="shared" si="480"/>
        <v>#DIV/0!</v>
      </c>
      <c r="DS123" s="695" t="e">
        <f t="shared" si="480"/>
        <v>#DIV/0!</v>
      </c>
      <c r="DT123" s="653" t="e">
        <f t="shared" si="480"/>
        <v>#DIV/0!</v>
      </c>
      <c r="DU123" s="652" t="e">
        <f t="shared" si="480"/>
        <v>#DIV/0!</v>
      </c>
      <c r="DV123" s="652" t="s">
        <v>93</v>
      </c>
      <c r="DW123" s="599">
        <f>STDEVA(DW117:DW121)</f>
        <v>0</v>
      </c>
      <c r="DX123" s="652" t="e">
        <f t="shared" ref="DX123:EL123" si="481">STDEVA(DX117:DX121)</f>
        <v>#DIV/0!</v>
      </c>
      <c r="DY123" s="675" t="e">
        <f t="shared" si="481"/>
        <v>#DIV/0!</v>
      </c>
      <c r="DZ123" s="672" t="e">
        <f t="shared" si="481"/>
        <v>#DIV/0!</v>
      </c>
      <c r="EA123" s="672" t="e">
        <f t="shared" si="481"/>
        <v>#DIV/0!</v>
      </c>
      <c r="EB123" s="675" t="e">
        <f t="shared" si="481"/>
        <v>#DIV/0!</v>
      </c>
      <c r="EC123" s="672" t="e">
        <f t="shared" si="481"/>
        <v>#DIV/0!</v>
      </c>
      <c r="ED123" s="672" t="e">
        <f t="shared" si="481"/>
        <v>#DIV/0!</v>
      </c>
      <c r="EE123" s="672" t="e">
        <f>STDEVA(EE117:EE121)</f>
        <v>#DIV/0!</v>
      </c>
      <c r="EF123" s="672" t="e">
        <f t="shared" si="481"/>
        <v>#DIV/0!</v>
      </c>
      <c r="EG123" s="676" t="e">
        <f t="shared" si="481"/>
        <v>#DIV/0!</v>
      </c>
      <c r="EH123" s="682">
        <f t="shared" si="481"/>
        <v>0.17888543819998282</v>
      </c>
      <c r="EI123" s="691">
        <f t="shared" si="481"/>
        <v>0.83666002653407556</v>
      </c>
      <c r="EJ123" s="695">
        <f t="shared" si="481"/>
        <v>0</v>
      </c>
      <c r="EK123" s="599">
        <f t="shared" si="481"/>
        <v>7.0213958726167887E-14</v>
      </c>
      <c r="EL123" s="652">
        <f t="shared" si="481"/>
        <v>0</v>
      </c>
      <c r="EM123" s="652" t="s">
        <v>93</v>
      </c>
      <c r="EN123" s="599">
        <f>STDEVA(EN117:EN121)</f>
        <v>0</v>
      </c>
      <c r="EO123" s="652">
        <f t="shared" ref="EO123:FC123" si="482">STDEVA(EO117:EO121)</f>
        <v>0</v>
      </c>
      <c r="EP123" s="675" t="e">
        <f t="shared" si="482"/>
        <v>#VALUE!</v>
      </c>
      <c r="EQ123" s="672" t="e">
        <f t="shared" si="482"/>
        <v>#VALUE!</v>
      </c>
      <c r="ER123" s="672" t="e">
        <f t="shared" si="482"/>
        <v>#VALUE!</v>
      </c>
      <c r="ES123" s="675" t="e">
        <f t="shared" si="482"/>
        <v>#VALUE!</v>
      </c>
      <c r="ET123" s="672" t="e">
        <f t="shared" si="482"/>
        <v>#VALUE!</v>
      </c>
      <c r="EU123" s="672" t="e">
        <f t="shared" si="482"/>
        <v>#VALUE!</v>
      </c>
      <c r="EV123" s="672" t="e">
        <f>STDEVA(EV117:EV121)</f>
        <v>#VALUE!</v>
      </c>
      <c r="EW123" s="672" t="e">
        <f t="shared" si="482"/>
        <v>#VALUE!</v>
      </c>
      <c r="EX123" s="676" t="e">
        <f t="shared" si="482"/>
        <v>#VALUE!</v>
      </c>
      <c r="EY123" s="682" t="e">
        <f t="shared" si="482"/>
        <v>#DIV/0!</v>
      </c>
      <c r="EZ123" s="691" t="e">
        <f t="shared" si="482"/>
        <v>#DIV/0!</v>
      </c>
      <c r="FA123" s="695" t="e">
        <f t="shared" si="482"/>
        <v>#DIV/0!</v>
      </c>
      <c r="FB123" s="599" t="e">
        <f t="shared" si="482"/>
        <v>#DIV/0!</v>
      </c>
      <c r="FC123" s="652" t="e">
        <f t="shared" si="482"/>
        <v>#DIV/0!</v>
      </c>
      <c r="FD123" s="652" t="s">
        <v>93</v>
      </c>
      <c r="FE123" s="599">
        <f>STDEVA(FE117:FE121)</f>
        <v>0</v>
      </c>
      <c r="FF123" s="652" t="e">
        <f t="shared" ref="FF123:FT123" si="483">STDEVA(FF117:FF121)</f>
        <v>#DIV/0!</v>
      </c>
      <c r="FG123" s="675" t="e">
        <f t="shared" si="483"/>
        <v>#DIV/0!</v>
      </c>
      <c r="FH123" s="672" t="e">
        <f t="shared" si="483"/>
        <v>#DIV/0!</v>
      </c>
      <c r="FI123" s="672" t="e">
        <f t="shared" si="483"/>
        <v>#DIV/0!</v>
      </c>
      <c r="FJ123" s="675" t="e">
        <f t="shared" si="483"/>
        <v>#DIV/0!</v>
      </c>
      <c r="FK123" s="672" t="e">
        <f t="shared" si="483"/>
        <v>#DIV/0!</v>
      </c>
      <c r="FL123" s="672" t="e">
        <f t="shared" si="483"/>
        <v>#DIV/0!</v>
      </c>
      <c r="FM123" s="672" t="e">
        <f>STDEVA(FM117:FM121)</f>
        <v>#DIV/0!</v>
      </c>
      <c r="FN123" s="672" t="e">
        <f t="shared" si="483"/>
        <v>#DIV/0!</v>
      </c>
      <c r="FO123" s="676" t="e">
        <f t="shared" si="483"/>
        <v>#DIV/0!</v>
      </c>
      <c r="FP123" s="682" t="e">
        <f t="shared" si="483"/>
        <v>#DIV/0!</v>
      </c>
      <c r="FQ123" s="691" t="e">
        <f t="shared" si="483"/>
        <v>#DIV/0!</v>
      </c>
      <c r="FR123" s="695" t="e">
        <f t="shared" si="483"/>
        <v>#DIV/0!</v>
      </c>
      <c r="FS123" s="599" t="e">
        <f t="shared" si="483"/>
        <v>#DIV/0!</v>
      </c>
      <c r="FT123" s="652" t="e">
        <f t="shared" si="483"/>
        <v>#DIV/0!</v>
      </c>
      <c r="FU123" s="652" t="s">
        <v>93</v>
      </c>
      <c r="FV123" s="599">
        <f>STDEVA(FV117:FV121)</f>
        <v>0</v>
      </c>
      <c r="FW123" s="652" t="e">
        <f t="shared" ref="FW123:GK123" si="484">STDEVA(FW117:FW121)</f>
        <v>#DIV/0!</v>
      </c>
      <c r="FX123" s="675" t="e">
        <f t="shared" si="484"/>
        <v>#DIV/0!</v>
      </c>
      <c r="FY123" s="672" t="e">
        <f t="shared" si="484"/>
        <v>#DIV/0!</v>
      </c>
      <c r="FZ123" s="672" t="e">
        <f t="shared" si="484"/>
        <v>#DIV/0!</v>
      </c>
      <c r="GA123" s="675" t="e">
        <f t="shared" si="484"/>
        <v>#DIV/0!</v>
      </c>
      <c r="GB123" s="672" t="e">
        <f t="shared" si="484"/>
        <v>#DIV/0!</v>
      </c>
      <c r="GC123" s="672" t="e">
        <f t="shared" si="484"/>
        <v>#DIV/0!</v>
      </c>
      <c r="GD123" s="672" t="e">
        <f>STDEVA(GD117:GD121)</f>
        <v>#DIV/0!</v>
      </c>
      <c r="GE123" s="672" t="e">
        <f t="shared" si="484"/>
        <v>#DIV/0!</v>
      </c>
      <c r="GF123" s="676" t="e">
        <f t="shared" si="484"/>
        <v>#DIV/0!</v>
      </c>
      <c r="GG123" s="682" t="e">
        <f t="shared" si="484"/>
        <v>#DIV/0!</v>
      </c>
      <c r="GH123" s="691" t="e">
        <f t="shared" si="484"/>
        <v>#DIV/0!</v>
      </c>
      <c r="GI123" s="695" t="e">
        <f t="shared" si="484"/>
        <v>#DIV/0!</v>
      </c>
      <c r="GJ123" s="653" t="e">
        <f t="shared" si="484"/>
        <v>#DIV/0!</v>
      </c>
      <c r="GK123" s="652" t="e">
        <f t="shared" si="484"/>
        <v>#DIV/0!</v>
      </c>
      <c r="GL123" s="652" t="s">
        <v>93</v>
      </c>
      <c r="GM123" s="599">
        <f>STDEVA(GM117:GM121)</f>
        <v>0</v>
      </c>
      <c r="GN123" s="652" t="e">
        <f t="shared" ref="GN123:HB123" si="485">STDEVA(GN117:GN121)</f>
        <v>#DIV/0!</v>
      </c>
      <c r="GO123" s="675" t="e">
        <f t="shared" si="485"/>
        <v>#DIV/0!</v>
      </c>
      <c r="GP123" s="672" t="e">
        <f t="shared" si="485"/>
        <v>#DIV/0!</v>
      </c>
      <c r="GQ123" s="672" t="e">
        <f t="shared" si="485"/>
        <v>#DIV/0!</v>
      </c>
      <c r="GR123" s="675" t="e">
        <f t="shared" si="485"/>
        <v>#DIV/0!</v>
      </c>
      <c r="GS123" s="672" t="e">
        <f t="shared" si="485"/>
        <v>#DIV/0!</v>
      </c>
      <c r="GT123" s="672" t="e">
        <f t="shared" si="485"/>
        <v>#DIV/0!</v>
      </c>
      <c r="GU123" s="672" t="e">
        <f>STDEVA(GU117:GU121)</f>
        <v>#DIV/0!</v>
      </c>
      <c r="GV123" s="672" t="e">
        <f t="shared" si="485"/>
        <v>#DIV/0!</v>
      </c>
      <c r="GW123" s="676" t="e">
        <f t="shared" si="485"/>
        <v>#DIV/0!</v>
      </c>
      <c r="GX123" s="682" t="e">
        <f t="shared" si="485"/>
        <v>#DIV/0!</v>
      </c>
      <c r="GY123" s="691" t="e">
        <f t="shared" si="485"/>
        <v>#DIV/0!</v>
      </c>
      <c r="GZ123" s="695" t="e">
        <f t="shared" si="485"/>
        <v>#DIV/0!</v>
      </c>
      <c r="HA123" s="599" t="e">
        <f t="shared" si="485"/>
        <v>#DIV/0!</v>
      </c>
      <c r="HB123" s="652" t="e">
        <f t="shared" si="485"/>
        <v>#DIV/0!</v>
      </c>
      <c r="HC123" s="652" t="s">
        <v>93</v>
      </c>
      <c r="HD123" s="599">
        <f>STDEVA(HD117:HD121)</f>
        <v>0</v>
      </c>
      <c r="HE123" s="652" t="e">
        <f t="shared" ref="HE123:HS123" si="486">STDEVA(HE117:HE121)</f>
        <v>#DIV/0!</v>
      </c>
      <c r="HF123" s="675" t="e">
        <f t="shared" si="486"/>
        <v>#DIV/0!</v>
      </c>
      <c r="HG123" s="672" t="e">
        <f t="shared" si="486"/>
        <v>#DIV/0!</v>
      </c>
      <c r="HH123" s="672" t="e">
        <f t="shared" si="486"/>
        <v>#DIV/0!</v>
      </c>
      <c r="HI123" s="675" t="e">
        <f t="shared" si="486"/>
        <v>#DIV/0!</v>
      </c>
      <c r="HJ123" s="672" t="e">
        <f t="shared" si="486"/>
        <v>#DIV/0!</v>
      </c>
      <c r="HK123" s="672" t="e">
        <f t="shared" si="486"/>
        <v>#DIV/0!</v>
      </c>
      <c r="HL123" s="672" t="e">
        <f>STDEVA(HL117:HL121)</f>
        <v>#DIV/0!</v>
      </c>
      <c r="HM123" s="672" t="e">
        <f t="shared" si="486"/>
        <v>#DIV/0!</v>
      </c>
      <c r="HN123" s="676" t="e">
        <f t="shared" si="486"/>
        <v>#DIV/0!</v>
      </c>
      <c r="HO123" s="682" t="e">
        <f t="shared" si="486"/>
        <v>#DIV/0!</v>
      </c>
      <c r="HP123" s="691" t="e">
        <f t="shared" si="486"/>
        <v>#DIV/0!</v>
      </c>
      <c r="HQ123" s="695" t="e">
        <f t="shared" si="486"/>
        <v>#DIV/0!</v>
      </c>
      <c r="HR123" s="599" t="e">
        <f t="shared" si="486"/>
        <v>#DIV/0!</v>
      </c>
      <c r="HS123" s="652" t="e">
        <f t="shared" si="486"/>
        <v>#DIV/0!</v>
      </c>
      <c r="HT123" s="652" t="s">
        <v>93</v>
      </c>
      <c r="HU123" s="599">
        <f>STDEVA(HU117:HU121)</f>
        <v>0</v>
      </c>
      <c r="HV123" s="652" t="e">
        <f t="shared" ref="HV123:IJ123" si="487">STDEVA(HV117:HV121)</f>
        <v>#DIV/0!</v>
      </c>
      <c r="HW123" s="675" t="e">
        <f t="shared" si="487"/>
        <v>#DIV/0!</v>
      </c>
      <c r="HX123" s="672" t="e">
        <f t="shared" si="487"/>
        <v>#DIV/0!</v>
      </c>
      <c r="HY123" s="672" t="e">
        <f t="shared" si="487"/>
        <v>#DIV/0!</v>
      </c>
      <c r="HZ123" s="675" t="e">
        <f t="shared" si="487"/>
        <v>#DIV/0!</v>
      </c>
      <c r="IA123" s="672" t="e">
        <f t="shared" si="487"/>
        <v>#DIV/0!</v>
      </c>
      <c r="IB123" s="672" t="e">
        <f t="shared" si="487"/>
        <v>#DIV/0!</v>
      </c>
      <c r="IC123" s="672" t="e">
        <f>STDEVA(IC117:IC121)</f>
        <v>#DIV/0!</v>
      </c>
      <c r="ID123" s="672" t="e">
        <f t="shared" si="487"/>
        <v>#DIV/0!</v>
      </c>
      <c r="IE123" s="676" t="e">
        <f t="shared" si="487"/>
        <v>#DIV/0!</v>
      </c>
      <c r="IF123" s="682" t="e">
        <f t="shared" si="487"/>
        <v>#DIV/0!</v>
      </c>
      <c r="IG123" s="691" t="e">
        <f t="shared" si="487"/>
        <v>#DIV/0!</v>
      </c>
      <c r="IH123" s="695" t="e">
        <f t="shared" si="487"/>
        <v>#DIV/0!</v>
      </c>
      <c r="II123" s="599" t="e">
        <f t="shared" si="487"/>
        <v>#DIV/0!</v>
      </c>
      <c r="IJ123" s="652" t="e">
        <f t="shared" si="487"/>
        <v>#DIV/0!</v>
      </c>
      <c r="IK123" s="652" t="s">
        <v>93</v>
      </c>
      <c r="IL123" s="599">
        <f>STDEVA(IL117:IL121)</f>
        <v>0</v>
      </c>
      <c r="IM123" s="652" t="e">
        <f t="shared" ref="IM123:JA123" si="488">STDEVA(IM117:IM121)</f>
        <v>#DIV/0!</v>
      </c>
      <c r="IN123" s="675" t="e">
        <f t="shared" si="488"/>
        <v>#DIV/0!</v>
      </c>
      <c r="IO123" s="672" t="e">
        <f t="shared" si="488"/>
        <v>#DIV/0!</v>
      </c>
      <c r="IP123" s="672" t="e">
        <f t="shared" si="488"/>
        <v>#DIV/0!</v>
      </c>
      <c r="IQ123" s="675" t="e">
        <f t="shared" si="488"/>
        <v>#DIV/0!</v>
      </c>
      <c r="IR123" s="672" t="e">
        <f t="shared" si="488"/>
        <v>#DIV/0!</v>
      </c>
      <c r="IS123" s="672" t="e">
        <f t="shared" si="488"/>
        <v>#DIV/0!</v>
      </c>
      <c r="IT123" s="672" t="e">
        <f>STDEVA(IT117:IT121)</f>
        <v>#DIV/0!</v>
      </c>
      <c r="IU123" s="672" t="e">
        <f t="shared" si="488"/>
        <v>#DIV/0!</v>
      </c>
      <c r="IV123" s="676" t="e">
        <f t="shared" si="488"/>
        <v>#DIV/0!</v>
      </c>
      <c r="IW123" s="682" t="e">
        <f t="shared" si="488"/>
        <v>#DIV/0!</v>
      </c>
      <c r="IX123" s="691" t="e">
        <f t="shared" si="488"/>
        <v>#DIV/0!</v>
      </c>
      <c r="IY123" s="695" t="e">
        <f t="shared" si="488"/>
        <v>#DIV/0!</v>
      </c>
      <c r="IZ123" s="599" t="e">
        <f t="shared" si="488"/>
        <v>#DIV/0!</v>
      </c>
      <c r="JA123" s="652" t="e">
        <f t="shared" si="488"/>
        <v>#DIV/0!</v>
      </c>
      <c r="JB123" s="652" t="s">
        <v>93</v>
      </c>
      <c r="JC123" s="599">
        <f>STDEVA(JC117:JC121)</f>
        <v>0</v>
      </c>
      <c r="JD123" s="652" t="e">
        <f t="shared" ref="JD123:JR123" si="489">STDEVA(JD117:JD121)</f>
        <v>#DIV/0!</v>
      </c>
      <c r="JE123" s="675" t="e">
        <f t="shared" si="489"/>
        <v>#DIV/0!</v>
      </c>
      <c r="JF123" s="672" t="e">
        <f t="shared" si="489"/>
        <v>#DIV/0!</v>
      </c>
      <c r="JG123" s="672" t="e">
        <f t="shared" si="489"/>
        <v>#DIV/0!</v>
      </c>
      <c r="JH123" s="675" t="e">
        <f t="shared" si="489"/>
        <v>#DIV/0!</v>
      </c>
      <c r="JI123" s="672" t="e">
        <f t="shared" si="489"/>
        <v>#DIV/0!</v>
      </c>
      <c r="JJ123" s="672" t="e">
        <f t="shared" si="489"/>
        <v>#DIV/0!</v>
      </c>
      <c r="JK123" s="672" t="e">
        <f>STDEVA(JK117:JK121)</f>
        <v>#DIV/0!</v>
      </c>
      <c r="JL123" s="672" t="e">
        <f t="shared" si="489"/>
        <v>#DIV/0!</v>
      </c>
      <c r="JM123" s="676" t="e">
        <f t="shared" si="489"/>
        <v>#DIV/0!</v>
      </c>
      <c r="JN123" s="682" t="e">
        <f t="shared" si="489"/>
        <v>#DIV/0!</v>
      </c>
      <c r="JO123" s="691" t="e">
        <f t="shared" si="489"/>
        <v>#DIV/0!</v>
      </c>
      <c r="JP123" s="695" t="e">
        <f t="shared" si="489"/>
        <v>#DIV/0!</v>
      </c>
      <c r="JQ123" s="599" t="e">
        <f t="shared" si="489"/>
        <v>#DIV/0!</v>
      </c>
      <c r="JR123" s="652" t="e">
        <f t="shared" si="489"/>
        <v>#DIV/0!</v>
      </c>
      <c r="JS123" s="652" t="s">
        <v>93</v>
      </c>
      <c r="JT123" s="599">
        <f>STDEVA(JT117:JT121)</f>
        <v>0</v>
      </c>
      <c r="JU123" s="652" t="e">
        <f t="shared" ref="JU123:KI123" si="490">STDEVA(JU117:JU121)</f>
        <v>#DIV/0!</v>
      </c>
      <c r="JV123" s="675" t="e">
        <f t="shared" si="490"/>
        <v>#DIV/0!</v>
      </c>
      <c r="JW123" s="672" t="e">
        <f t="shared" si="490"/>
        <v>#DIV/0!</v>
      </c>
      <c r="JX123" s="672" t="e">
        <f t="shared" si="490"/>
        <v>#DIV/0!</v>
      </c>
      <c r="JY123" s="675" t="e">
        <f t="shared" si="490"/>
        <v>#DIV/0!</v>
      </c>
      <c r="JZ123" s="672" t="e">
        <f t="shared" si="490"/>
        <v>#DIV/0!</v>
      </c>
      <c r="KA123" s="672" t="e">
        <f t="shared" si="490"/>
        <v>#DIV/0!</v>
      </c>
      <c r="KB123" s="672" t="e">
        <f>STDEVA(KB117:KB121)</f>
        <v>#DIV/0!</v>
      </c>
      <c r="KC123" s="672" t="e">
        <f t="shared" si="490"/>
        <v>#DIV/0!</v>
      </c>
      <c r="KD123" s="676" t="e">
        <f t="shared" si="490"/>
        <v>#DIV/0!</v>
      </c>
      <c r="KE123" s="682" t="e">
        <f t="shared" si="490"/>
        <v>#DIV/0!</v>
      </c>
      <c r="KF123" s="691" t="e">
        <f t="shared" si="490"/>
        <v>#DIV/0!</v>
      </c>
      <c r="KG123" s="695" t="e">
        <f t="shared" si="490"/>
        <v>#DIV/0!</v>
      </c>
      <c r="KH123" s="599" t="e">
        <f t="shared" si="490"/>
        <v>#DIV/0!</v>
      </c>
      <c r="KI123" s="652" t="e">
        <f t="shared" si="490"/>
        <v>#DIV/0!</v>
      </c>
      <c r="KJ123" s="652" t="s">
        <v>93</v>
      </c>
      <c r="KK123" s="599">
        <f>STDEVA(KK117:KK121)</f>
        <v>0</v>
      </c>
      <c r="KL123" s="652" t="e">
        <f t="shared" ref="KL123:KZ123" si="491">STDEVA(KL117:KL121)</f>
        <v>#DIV/0!</v>
      </c>
      <c r="KM123" s="675" t="e">
        <f t="shared" si="491"/>
        <v>#DIV/0!</v>
      </c>
      <c r="KN123" s="672" t="e">
        <f t="shared" si="491"/>
        <v>#DIV/0!</v>
      </c>
      <c r="KO123" s="672" t="e">
        <f t="shared" si="491"/>
        <v>#DIV/0!</v>
      </c>
      <c r="KP123" s="675" t="e">
        <f t="shared" si="491"/>
        <v>#DIV/0!</v>
      </c>
      <c r="KQ123" s="672" t="e">
        <f t="shared" si="491"/>
        <v>#DIV/0!</v>
      </c>
      <c r="KR123" s="672" t="e">
        <f t="shared" si="491"/>
        <v>#DIV/0!</v>
      </c>
      <c r="KS123" s="672" t="e">
        <f>STDEVA(KS117:KS121)</f>
        <v>#DIV/0!</v>
      </c>
      <c r="KT123" s="672" t="e">
        <f t="shared" si="491"/>
        <v>#DIV/0!</v>
      </c>
      <c r="KU123" s="676" t="e">
        <f t="shared" si="491"/>
        <v>#DIV/0!</v>
      </c>
      <c r="KV123" s="682" t="e">
        <f t="shared" si="491"/>
        <v>#DIV/0!</v>
      </c>
      <c r="KW123" s="691" t="e">
        <f t="shared" si="491"/>
        <v>#DIV/0!</v>
      </c>
      <c r="KX123" s="695" t="e">
        <f t="shared" si="491"/>
        <v>#DIV/0!</v>
      </c>
      <c r="KY123" s="599" t="e">
        <f t="shared" si="491"/>
        <v>#DIV/0!</v>
      </c>
      <c r="KZ123" s="652" t="e">
        <f t="shared" si="491"/>
        <v>#DIV/0!</v>
      </c>
      <c r="LA123" s="652" t="s">
        <v>93</v>
      </c>
      <c r="LB123" s="599">
        <f>STDEVA(LB117:LB121)</f>
        <v>0</v>
      </c>
      <c r="LC123" s="652" t="e">
        <f t="shared" ref="LC123:LQ123" si="492">STDEVA(LC117:LC121)</f>
        <v>#DIV/0!</v>
      </c>
      <c r="LD123" s="675" t="e">
        <f t="shared" si="492"/>
        <v>#DIV/0!</v>
      </c>
      <c r="LE123" s="672" t="e">
        <f t="shared" si="492"/>
        <v>#DIV/0!</v>
      </c>
      <c r="LF123" s="672" t="e">
        <f t="shared" si="492"/>
        <v>#DIV/0!</v>
      </c>
      <c r="LG123" s="675" t="e">
        <f t="shared" si="492"/>
        <v>#DIV/0!</v>
      </c>
      <c r="LH123" s="672" t="e">
        <f t="shared" si="492"/>
        <v>#DIV/0!</v>
      </c>
      <c r="LI123" s="672" t="e">
        <f t="shared" si="492"/>
        <v>#DIV/0!</v>
      </c>
      <c r="LJ123" s="672" t="e">
        <f>STDEVA(LJ117:LJ121)</f>
        <v>#DIV/0!</v>
      </c>
      <c r="LK123" s="672" t="e">
        <f t="shared" si="492"/>
        <v>#DIV/0!</v>
      </c>
      <c r="LL123" s="676" t="e">
        <f t="shared" si="492"/>
        <v>#DIV/0!</v>
      </c>
      <c r="LM123" s="682" t="e">
        <f t="shared" si="492"/>
        <v>#DIV/0!</v>
      </c>
      <c r="LN123" s="691" t="e">
        <f t="shared" si="492"/>
        <v>#DIV/0!</v>
      </c>
      <c r="LO123" s="695" t="e">
        <f t="shared" si="492"/>
        <v>#DIV/0!</v>
      </c>
      <c r="LP123" s="599" t="e">
        <f t="shared" si="492"/>
        <v>#DIV/0!</v>
      </c>
      <c r="LQ123" s="652" t="e">
        <f t="shared" si="492"/>
        <v>#DIV/0!</v>
      </c>
      <c r="LR123" s="652" t="s">
        <v>93</v>
      </c>
      <c r="LS123" s="599">
        <f>STDEVA(LS117:LS121)</f>
        <v>0</v>
      </c>
      <c r="LT123" s="652" t="e">
        <f t="shared" ref="LT123:MH123" si="493">STDEVA(LT117:LT121)</f>
        <v>#DIV/0!</v>
      </c>
      <c r="LU123" s="675" t="e">
        <f t="shared" si="493"/>
        <v>#DIV/0!</v>
      </c>
      <c r="LV123" s="672" t="e">
        <f t="shared" si="493"/>
        <v>#DIV/0!</v>
      </c>
      <c r="LW123" s="672" t="e">
        <f t="shared" si="493"/>
        <v>#DIV/0!</v>
      </c>
      <c r="LX123" s="675" t="e">
        <f t="shared" si="493"/>
        <v>#DIV/0!</v>
      </c>
      <c r="LY123" s="672" t="e">
        <f t="shared" si="493"/>
        <v>#DIV/0!</v>
      </c>
      <c r="LZ123" s="672" t="e">
        <f t="shared" si="493"/>
        <v>#DIV/0!</v>
      </c>
      <c r="MA123" s="672" t="e">
        <f>STDEVA(MA117:MA121)</f>
        <v>#DIV/0!</v>
      </c>
      <c r="MB123" s="672" t="e">
        <f t="shared" si="493"/>
        <v>#DIV/0!</v>
      </c>
      <c r="MC123" s="676" t="e">
        <f t="shared" si="493"/>
        <v>#DIV/0!</v>
      </c>
      <c r="MD123" s="682" t="e">
        <f t="shared" si="493"/>
        <v>#DIV/0!</v>
      </c>
      <c r="ME123" s="691" t="e">
        <f t="shared" si="493"/>
        <v>#DIV/0!</v>
      </c>
      <c r="MF123" s="695" t="e">
        <f t="shared" si="493"/>
        <v>#DIV/0!</v>
      </c>
      <c r="MG123" s="599" t="e">
        <f t="shared" si="493"/>
        <v>#DIV/0!</v>
      </c>
      <c r="MH123" s="652" t="e">
        <f t="shared" si="493"/>
        <v>#DIV/0!</v>
      </c>
      <c r="MI123" s="652" t="s">
        <v>93</v>
      </c>
      <c r="MJ123" s="599">
        <f>STDEVA(MJ117:MJ121)</f>
        <v>0</v>
      </c>
      <c r="MK123" s="652" t="e">
        <f t="shared" ref="MK123:MY123" si="494">STDEVA(MK117:MK121)</f>
        <v>#DIV/0!</v>
      </c>
      <c r="ML123" s="675" t="e">
        <f t="shared" si="494"/>
        <v>#DIV/0!</v>
      </c>
      <c r="MM123" s="672" t="e">
        <f t="shared" si="494"/>
        <v>#DIV/0!</v>
      </c>
      <c r="MN123" s="672" t="e">
        <f t="shared" si="494"/>
        <v>#DIV/0!</v>
      </c>
      <c r="MO123" s="675" t="e">
        <f t="shared" si="494"/>
        <v>#DIV/0!</v>
      </c>
      <c r="MP123" s="672" t="e">
        <f t="shared" si="494"/>
        <v>#DIV/0!</v>
      </c>
      <c r="MQ123" s="672" t="e">
        <f t="shared" si="494"/>
        <v>#DIV/0!</v>
      </c>
      <c r="MR123" s="672" t="e">
        <f>STDEVA(MR117:MR121)</f>
        <v>#DIV/0!</v>
      </c>
      <c r="MS123" s="672" t="e">
        <f t="shared" si="494"/>
        <v>#DIV/0!</v>
      </c>
      <c r="MT123" s="676" t="e">
        <f t="shared" si="494"/>
        <v>#DIV/0!</v>
      </c>
      <c r="MU123" s="682">
        <f t="shared" si="494"/>
        <v>0.14832396974191298</v>
      </c>
      <c r="MV123" s="691">
        <f t="shared" si="494"/>
        <v>0.44721359549995793</v>
      </c>
      <c r="MW123" s="695">
        <f t="shared" si="494"/>
        <v>0</v>
      </c>
      <c r="MX123" s="599">
        <f t="shared" si="494"/>
        <v>1.5165750888103152E-13</v>
      </c>
      <c r="MY123" s="652">
        <f t="shared" si="494"/>
        <v>0</v>
      </c>
      <c r="MZ123" s="652" t="s">
        <v>93</v>
      </c>
      <c r="NA123" s="599">
        <f>STDEVA(NA117:NA121)</f>
        <v>0</v>
      </c>
      <c r="NB123" s="652">
        <f t="shared" ref="NB123:NP123" si="495">STDEVA(NB117:NB121)</f>
        <v>0</v>
      </c>
      <c r="NC123" s="675" t="e">
        <f t="shared" si="495"/>
        <v>#VALUE!</v>
      </c>
      <c r="ND123" s="672" t="e">
        <f t="shared" si="495"/>
        <v>#VALUE!</v>
      </c>
      <c r="NE123" s="672" t="e">
        <f t="shared" si="495"/>
        <v>#VALUE!</v>
      </c>
      <c r="NF123" s="675" t="e">
        <f t="shared" si="495"/>
        <v>#VALUE!</v>
      </c>
      <c r="NG123" s="672" t="e">
        <f t="shared" si="495"/>
        <v>#VALUE!</v>
      </c>
      <c r="NH123" s="672" t="e">
        <f t="shared" si="495"/>
        <v>#VALUE!</v>
      </c>
      <c r="NI123" s="672" t="e">
        <f>STDEVA(NI117:NI121)</f>
        <v>#VALUE!</v>
      </c>
      <c r="NJ123" s="672" t="e">
        <f t="shared" si="495"/>
        <v>#VALUE!</v>
      </c>
      <c r="NK123" s="676" t="e">
        <f t="shared" si="495"/>
        <v>#VALUE!</v>
      </c>
      <c r="NL123" s="682" t="e">
        <f t="shared" si="495"/>
        <v>#DIV/0!</v>
      </c>
      <c r="NM123" s="691" t="e">
        <f t="shared" si="495"/>
        <v>#DIV/0!</v>
      </c>
      <c r="NN123" s="695" t="e">
        <f t="shared" si="495"/>
        <v>#DIV/0!</v>
      </c>
      <c r="NO123" s="599" t="e">
        <f t="shared" si="495"/>
        <v>#DIV/0!</v>
      </c>
      <c r="NP123" s="652" t="e">
        <f t="shared" si="495"/>
        <v>#DIV/0!</v>
      </c>
      <c r="NQ123" s="652" t="s">
        <v>93</v>
      </c>
      <c r="NR123" s="599">
        <f>STDEVA(NR117:NR121)</f>
        <v>0</v>
      </c>
      <c r="NS123" s="652" t="e">
        <f t="shared" ref="NS123:OG123" si="496">STDEVA(NS117:NS121)</f>
        <v>#DIV/0!</v>
      </c>
      <c r="NT123" s="675" t="e">
        <f t="shared" si="496"/>
        <v>#DIV/0!</v>
      </c>
      <c r="NU123" s="672" t="e">
        <f t="shared" si="496"/>
        <v>#DIV/0!</v>
      </c>
      <c r="NV123" s="672" t="e">
        <f t="shared" si="496"/>
        <v>#DIV/0!</v>
      </c>
      <c r="NW123" s="675" t="e">
        <f t="shared" si="496"/>
        <v>#DIV/0!</v>
      </c>
      <c r="NX123" s="672" t="e">
        <f t="shared" si="496"/>
        <v>#DIV/0!</v>
      </c>
      <c r="NY123" s="672" t="e">
        <f t="shared" si="496"/>
        <v>#DIV/0!</v>
      </c>
      <c r="NZ123" s="672" t="e">
        <f>STDEVA(NZ117:NZ121)</f>
        <v>#DIV/0!</v>
      </c>
      <c r="OA123" s="672" t="e">
        <f t="shared" si="496"/>
        <v>#DIV/0!</v>
      </c>
      <c r="OB123" s="676" t="e">
        <f t="shared" si="496"/>
        <v>#DIV/0!</v>
      </c>
      <c r="OC123" s="682">
        <f t="shared" si="496"/>
        <v>7.0710678118655765E-2</v>
      </c>
      <c r="OD123" s="691">
        <f t="shared" si="496"/>
        <v>0.83666002653407556</v>
      </c>
      <c r="OE123" s="695">
        <f t="shared" si="496"/>
        <v>0</v>
      </c>
      <c r="OF123" s="599">
        <f t="shared" si="496"/>
        <v>8.9442719099995899E-14</v>
      </c>
      <c r="OG123" s="652">
        <f t="shared" si="496"/>
        <v>0</v>
      </c>
      <c r="OH123" s="652" t="s">
        <v>93</v>
      </c>
      <c r="OI123" s="599">
        <f>STDEVA(OI117:OI121)</f>
        <v>0</v>
      </c>
      <c r="OJ123" s="652">
        <f t="shared" ref="OJ123:OX123" si="497">STDEVA(OJ117:OJ121)</f>
        <v>0</v>
      </c>
      <c r="OK123" s="675" t="e">
        <f t="shared" si="497"/>
        <v>#VALUE!</v>
      </c>
      <c r="OL123" s="672" t="e">
        <f t="shared" si="497"/>
        <v>#VALUE!</v>
      </c>
      <c r="OM123" s="672" t="e">
        <f t="shared" si="497"/>
        <v>#VALUE!</v>
      </c>
      <c r="ON123" s="675" t="e">
        <f t="shared" si="497"/>
        <v>#VALUE!</v>
      </c>
      <c r="OO123" s="672" t="e">
        <f t="shared" si="497"/>
        <v>#VALUE!</v>
      </c>
      <c r="OP123" s="672" t="e">
        <f t="shared" si="497"/>
        <v>#VALUE!</v>
      </c>
      <c r="OQ123" s="672" t="e">
        <f>STDEVA(OQ117:OQ121)</f>
        <v>#VALUE!</v>
      </c>
      <c r="OR123" s="672" t="e">
        <f t="shared" si="497"/>
        <v>#VALUE!</v>
      </c>
      <c r="OS123" s="676" t="e">
        <f t="shared" si="497"/>
        <v>#VALUE!</v>
      </c>
      <c r="OT123" s="682" t="e">
        <f t="shared" si="497"/>
        <v>#DIV/0!</v>
      </c>
      <c r="OU123" s="691" t="e">
        <f t="shared" si="497"/>
        <v>#DIV/0!</v>
      </c>
      <c r="OV123" s="695" t="e">
        <f t="shared" si="497"/>
        <v>#DIV/0!</v>
      </c>
      <c r="OW123" s="599" t="e">
        <f t="shared" si="497"/>
        <v>#DIV/0!</v>
      </c>
      <c r="OX123" s="652" t="e">
        <f t="shared" si="497"/>
        <v>#DIV/0!</v>
      </c>
      <c r="OY123" s="652" t="s">
        <v>93</v>
      </c>
      <c r="OZ123" s="599">
        <f>STDEVA(OZ117:OZ121)</f>
        <v>0</v>
      </c>
      <c r="PA123" s="652" t="e">
        <f t="shared" ref="PA123:PO123" si="498">STDEVA(PA117:PA121)</f>
        <v>#DIV/0!</v>
      </c>
      <c r="PB123" s="675" t="e">
        <f t="shared" si="498"/>
        <v>#DIV/0!</v>
      </c>
      <c r="PC123" s="672" t="e">
        <f t="shared" si="498"/>
        <v>#DIV/0!</v>
      </c>
      <c r="PD123" s="672" t="e">
        <f t="shared" si="498"/>
        <v>#DIV/0!</v>
      </c>
      <c r="PE123" s="675" t="e">
        <f t="shared" si="498"/>
        <v>#DIV/0!</v>
      </c>
      <c r="PF123" s="672" t="e">
        <f t="shared" si="498"/>
        <v>#DIV/0!</v>
      </c>
      <c r="PG123" s="672" t="e">
        <f t="shared" si="498"/>
        <v>#DIV/0!</v>
      </c>
      <c r="PH123" s="672" t="e">
        <f>STDEVA(PH117:PH121)</f>
        <v>#DIV/0!</v>
      </c>
      <c r="PI123" s="672" t="e">
        <f t="shared" si="498"/>
        <v>#DIV/0!</v>
      </c>
      <c r="PJ123" s="676" t="e">
        <f t="shared" si="498"/>
        <v>#DIV/0!</v>
      </c>
      <c r="PK123" s="682" t="e">
        <f t="shared" si="498"/>
        <v>#DIV/0!</v>
      </c>
      <c r="PL123" s="691" t="e">
        <f t="shared" si="498"/>
        <v>#DIV/0!</v>
      </c>
      <c r="PM123" s="695" t="e">
        <f t="shared" si="498"/>
        <v>#DIV/0!</v>
      </c>
      <c r="PN123" s="599" t="e">
        <f t="shared" si="498"/>
        <v>#DIV/0!</v>
      </c>
      <c r="PO123" s="652" t="e">
        <f t="shared" si="498"/>
        <v>#DIV/0!</v>
      </c>
      <c r="PP123" s="652" t="s">
        <v>93</v>
      </c>
      <c r="PQ123" s="599">
        <f>STDEVA(PQ117:PQ121)</f>
        <v>0</v>
      </c>
      <c r="PR123" s="652" t="e">
        <f t="shared" ref="PR123:QF123" si="499">STDEVA(PR117:PR121)</f>
        <v>#DIV/0!</v>
      </c>
      <c r="PS123" s="675" t="e">
        <f t="shared" si="499"/>
        <v>#DIV/0!</v>
      </c>
      <c r="PT123" s="672" t="e">
        <f t="shared" si="499"/>
        <v>#DIV/0!</v>
      </c>
      <c r="PU123" s="672" t="e">
        <f t="shared" si="499"/>
        <v>#DIV/0!</v>
      </c>
      <c r="PV123" s="675" t="e">
        <f t="shared" si="499"/>
        <v>#DIV/0!</v>
      </c>
      <c r="PW123" s="672" t="e">
        <f t="shared" si="499"/>
        <v>#DIV/0!</v>
      </c>
      <c r="PX123" s="672" t="e">
        <f t="shared" si="499"/>
        <v>#DIV/0!</v>
      </c>
      <c r="PY123" s="672" t="e">
        <f>STDEVA(PY117:PY121)</f>
        <v>#DIV/0!</v>
      </c>
      <c r="PZ123" s="672" t="e">
        <f t="shared" si="499"/>
        <v>#DIV/0!</v>
      </c>
      <c r="QA123" s="676" t="e">
        <f t="shared" si="499"/>
        <v>#DIV/0!</v>
      </c>
      <c r="QB123" s="682" t="e">
        <f t="shared" si="499"/>
        <v>#DIV/0!</v>
      </c>
      <c r="QC123" s="691" t="e">
        <f t="shared" si="499"/>
        <v>#DIV/0!</v>
      </c>
      <c r="QD123" s="695" t="e">
        <f t="shared" si="499"/>
        <v>#DIV/0!</v>
      </c>
      <c r="QE123" s="599" t="e">
        <f t="shared" si="499"/>
        <v>#DIV/0!</v>
      </c>
      <c r="QF123" s="652" t="e">
        <f t="shared" si="499"/>
        <v>#DIV/0!</v>
      </c>
      <c r="QG123" s="652" t="s">
        <v>93</v>
      </c>
      <c r="QH123" s="599">
        <f>STDEVA(QH117:QH121)</f>
        <v>0</v>
      </c>
      <c r="QI123" s="652" t="e">
        <f t="shared" ref="QI123:QW123" si="500">STDEVA(QI117:QI121)</f>
        <v>#DIV/0!</v>
      </c>
      <c r="QJ123" s="675" t="e">
        <f t="shared" si="500"/>
        <v>#DIV/0!</v>
      </c>
      <c r="QK123" s="672" t="e">
        <f t="shared" si="500"/>
        <v>#DIV/0!</v>
      </c>
      <c r="QL123" s="672" t="e">
        <f t="shared" si="500"/>
        <v>#DIV/0!</v>
      </c>
      <c r="QM123" s="675" t="e">
        <f t="shared" si="500"/>
        <v>#DIV/0!</v>
      </c>
      <c r="QN123" s="672" t="e">
        <f t="shared" si="500"/>
        <v>#DIV/0!</v>
      </c>
      <c r="QO123" s="672" t="e">
        <f t="shared" si="500"/>
        <v>#DIV/0!</v>
      </c>
      <c r="QP123" s="672" t="e">
        <f>STDEVA(QP117:QP121)</f>
        <v>#DIV/0!</v>
      </c>
      <c r="QQ123" s="672" t="e">
        <f t="shared" si="500"/>
        <v>#DIV/0!</v>
      </c>
      <c r="QR123" s="676" t="e">
        <f t="shared" si="500"/>
        <v>#DIV/0!</v>
      </c>
      <c r="QS123" s="682" t="e">
        <f t="shared" si="500"/>
        <v>#DIV/0!</v>
      </c>
      <c r="QT123" s="691" t="e">
        <f t="shared" si="500"/>
        <v>#DIV/0!</v>
      </c>
      <c r="QU123" s="695" t="e">
        <f t="shared" si="500"/>
        <v>#DIV/0!</v>
      </c>
      <c r="QV123" s="599" t="e">
        <f t="shared" si="500"/>
        <v>#DIV/0!</v>
      </c>
      <c r="QW123" s="652" t="e">
        <f t="shared" si="500"/>
        <v>#DIV/0!</v>
      </c>
      <c r="QX123" s="652" t="s">
        <v>93</v>
      </c>
      <c r="QY123" s="599">
        <f>STDEVA(QY117:QY121)</f>
        <v>0</v>
      </c>
      <c r="QZ123" s="652" t="e">
        <f t="shared" ref="QZ123:RN123" si="501">STDEVA(QZ117:QZ121)</f>
        <v>#DIV/0!</v>
      </c>
      <c r="RA123" s="675" t="e">
        <f t="shared" si="501"/>
        <v>#DIV/0!</v>
      </c>
      <c r="RB123" s="672" t="e">
        <f t="shared" si="501"/>
        <v>#DIV/0!</v>
      </c>
      <c r="RC123" s="672" t="e">
        <f t="shared" si="501"/>
        <v>#DIV/0!</v>
      </c>
      <c r="RD123" s="675" t="e">
        <f t="shared" si="501"/>
        <v>#DIV/0!</v>
      </c>
      <c r="RE123" s="672" t="e">
        <f t="shared" si="501"/>
        <v>#DIV/0!</v>
      </c>
      <c r="RF123" s="672" t="e">
        <f t="shared" si="501"/>
        <v>#DIV/0!</v>
      </c>
      <c r="RG123" s="672" t="e">
        <f>STDEVA(RG117:RG121)</f>
        <v>#DIV/0!</v>
      </c>
      <c r="RH123" s="672" t="e">
        <f t="shared" si="501"/>
        <v>#DIV/0!</v>
      </c>
      <c r="RI123" s="676" t="e">
        <f t="shared" si="501"/>
        <v>#DIV/0!</v>
      </c>
      <c r="RJ123" s="682">
        <f t="shared" si="501"/>
        <v>4.4721359549996433E-2</v>
      </c>
      <c r="RK123" s="691">
        <f t="shared" si="501"/>
        <v>0.89442719099991586</v>
      </c>
      <c r="RL123" s="695">
        <f t="shared" si="501"/>
        <v>0</v>
      </c>
      <c r="RM123" s="599">
        <f t="shared" si="501"/>
        <v>5.2725705305856043E-14</v>
      </c>
      <c r="RN123" s="652">
        <f t="shared" si="501"/>
        <v>0</v>
      </c>
      <c r="RO123" s="652" t="s">
        <v>93</v>
      </c>
      <c r="RP123" s="599">
        <f>STDEVA(RP117:RP121)</f>
        <v>0</v>
      </c>
      <c r="RQ123" s="652">
        <f t="shared" ref="RQ123:SE123" si="502">STDEVA(RQ117:RQ121)</f>
        <v>0</v>
      </c>
      <c r="RR123" s="675" t="e">
        <f t="shared" si="502"/>
        <v>#VALUE!</v>
      </c>
      <c r="RS123" s="672" t="e">
        <f t="shared" si="502"/>
        <v>#VALUE!</v>
      </c>
      <c r="RT123" s="672" t="e">
        <f t="shared" si="502"/>
        <v>#VALUE!</v>
      </c>
      <c r="RU123" s="675" t="e">
        <f t="shared" si="502"/>
        <v>#VALUE!</v>
      </c>
      <c r="RV123" s="672" t="e">
        <f t="shared" si="502"/>
        <v>#VALUE!</v>
      </c>
      <c r="RW123" s="672" t="e">
        <f t="shared" si="502"/>
        <v>#VALUE!</v>
      </c>
      <c r="RX123" s="672" t="e">
        <f>STDEVA(RX117:RX121)</f>
        <v>#VALUE!</v>
      </c>
      <c r="RY123" s="672" t="e">
        <f t="shared" si="502"/>
        <v>#VALUE!</v>
      </c>
      <c r="RZ123" s="676" t="e">
        <f t="shared" si="502"/>
        <v>#VALUE!</v>
      </c>
      <c r="SA123" s="682">
        <f t="shared" si="502"/>
        <v>8.9442719099991463E-2</v>
      </c>
      <c r="SB123" s="691">
        <f t="shared" si="502"/>
        <v>0.70710678118654757</v>
      </c>
      <c r="SC123" s="695">
        <f t="shared" si="502"/>
        <v>0</v>
      </c>
      <c r="SD123" s="599">
        <f t="shared" si="502"/>
        <v>1.2247448713915424E-13</v>
      </c>
      <c r="SE123" s="652">
        <f t="shared" si="502"/>
        <v>0</v>
      </c>
      <c r="SF123" s="652" t="s">
        <v>93</v>
      </c>
      <c r="SG123" s="599">
        <f>STDEVA(SG117:SG121)</f>
        <v>0</v>
      </c>
      <c r="SH123" s="652">
        <f t="shared" ref="SH123:SV123" si="503">STDEVA(SH117:SH121)</f>
        <v>0</v>
      </c>
      <c r="SI123" s="675" t="e">
        <f t="shared" si="503"/>
        <v>#VALUE!</v>
      </c>
      <c r="SJ123" s="672" t="e">
        <f t="shared" si="503"/>
        <v>#VALUE!</v>
      </c>
      <c r="SK123" s="672" t="e">
        <f t="shared" si="503"/>
        <v>#VALUE!</v>
      </c>
      <c r="SL123" s="675" t="e">
        <f t="shared" si="503"/>
        <v>#VALUE!</v>
      </c>
      <c r="SM123" s="672" t="e">
        <f t="shared" si="503"/>
        <v>#VALUE!</v>
      </c>
      <c r="SN123" s="672" t="e">
        <f t="shared" si="503"/>
        <v>#VALUE!</v>
      </c>
      <c r="SO123" s="672" t="e">
        <f>STDEVA(SO117:SO121)</f>
        <v>#VALUE!</v>
      </c>
      <c r="SP123" s="672" t="e">
        <f t="shared" si="503"/>
        <v>#VALUE!</v>
      </c>
      <c r="SQ123" s="676" t="e">
        <f t="shared" si="503"/>
        <v>#VALUE!</v>
      </c>
      <c r="SR123" s="682" t="e">
        <f t="shared" si="503"/>
        <v>#DIV/0!</v>
      </c>
      <c r="SS123" s="691" t="e">
        <f t="shared" si="503"/>
        <v>#DIV/0!</v>
      </c>
      <c r="ST123" s="695" t="e">
        <f t="shared" si="503"/>
        <v>#DIV/0!</v>
      </c>
      <c r="SU123" s="599" t="e">
        <f t="shared" si="503"/>
        <v>#DIV/0!</v>
      </c>
      <c r="SV123" s="652" t="e">
        <f t="shared" si="503"/>
        <v>#DIV/0!</v>
      </c>
      <c r="SW123" s="652" t="s">
        <v>93</v>
      </c>
      <c r="SX123" s="599">
        <f>STDEVA(SX117:SX121)</f>
        <v>0</v>
      </c>
      <c r="SY123" s="652" t="e">
        <f t="shared" ref="SY123:TM123" si="504">STDEVA(SY117:SY121)</f>
        <v>#DIV/0!</v>
      </c>
      <c r="SZ123" s="675" t="e">
        <f t="shared" si="504"/>
        <v>#DIV/0!</v>
      </c>
      <c r="TA123" s="672" t="e">
        <f t="shared" si="504"/>
        <v>#DIV/0!</v>
      </c>
      <c r="TB123" s="672" t="e">
        <f t="shared" si="504"/>
        <v>#DIV/0!</v>
      </c>
      <c r="TC123" s="675" t="e">
        <f t="shared" si="504"/>
        <v>#DIV/0!</v>
      </c>
      <c r="TD123" s="672" t="e">
        <f t="shared" si="504"/>
        <v>#DIV/0!</v>
      </c>
      <c r="TE123" s="672" t="e">
        <f t="shared" si="504"/>
        <v>#DIV/0!</v>
      </c>
      <c r="TF123" s="672" t="e">
        <f>STDEVA(TF117:TF121)</f>
        <v>#DIV/0!</v>
      </c>
      <c r="TG123" s="672" t="e">
        <f t="shared" si="504"/>
        <v>#DIV/0!</v>
      </c>
      <c r="TH123" s="676" t="e">
        <f t="shared" si="504"/>
        <v>#DIV/0!</v>
      </c>
      <c r="TI123" s="682">
        <f t="shared" si="504"/>
        <v>4.4721359549996433E-2</v>
      </c>
      <c r="TJ123" s="691">
        <f t="shared" si="504"/>
        <v>0.44721359549995793</v>
      </c>
      <c r="TK123" s="695">
        <f t="shared" si="504"/>
        <v>0</v>
      </c>
      <c r="TL123" s="599">
        <f t="shared" si="504"/>
        <v>1.2247448713916745E-14</v>
      </c>
      <c r="TM123" s="652">
        <f t="shared" si="504"/>
        <v>0</v>
      </c>
      <c r="TN123" s="652" t="s">
        <v>93</v>
      </c>
      <c r="TO123" s="599">
        <f>STDEVA(TO117:TO121)</f>
        <v>0</v>
      </c>
      <c r="TP123" s="652">
        <f t="shared" ref="TP123:TY123" si="505">STDEVA(TP117:TP121)</f>
        <v>0</v>
      </c>
      <c r="TQ123" s="675" t="e">
        <f t="shared" si="505"/>
        <v>#VALUE!</v>
      </c>
      <c r="TR123" s="672" t="e">
        <f t="shared" si="505"/>
        <v>#VALUE!</v>
      </c>
      <c r="TS123" s="672" t="e">
        <f t="shared" si="505"/>
        <v>#VALUE!</v>
      </c>
      <c r="TT123" s="675" t="e">
        <f t="shared" si="505"/>
        <v>#VALUE!</v>
      </c>
      <c r="TU123" s="672" t="e">
        <f t="shared" si="505"/>
        <v>#VALUE!</v>
      </c>
      <c r="TV123" s="672" t="e">
        <f t="shared" si="505"/>
        <v>#VALUE!</v>
      </c>
      <c r="TW123" s="672" t="e">
        <f>STDEVA(TW117:TW121)</f>
        <v>#VALUE!</v>
      </c>
      <c r="TX123" s="672" t="e">
        <f t="shared" si="505"/>
        <v>#VALUE!</v>
      </c>
      <c r="TY123" s="676" t="e">
        <f t="shared" si="505"/>
        <v>#VALUE!</v>
      </c>
    </row>
    <row r="124" spans="1:545" x14ac:dyDescent="0.25">
      <c r="A124" s="1537" t="s">
        <v>63</v>
      </c>
      <c r="B124" s="688"/>
      <c r="C124" s="619"/>
      <c r="D124" s="619"/>
      <c r="E124" s="672"/>
      <c r="F124" s="619"/>
      <c r="G124" s="619"/>
      <c r="H124" s="672"/>
      <c r="I124" s="619"/>
      <c r="J124" s="675"/>
      <c r="K124" s="672"/>
      <c r="L124" s="672"/>
      <c r="M124" s="675"/>
      <c r="N124" s="672"/>
      <c r="O124" s="672"/>
      <c r="P124" s="672"/>
      <c r="Q124" s="672"/>
      <c r="R124" s="676"/>
      <c r="S124" s="1538" t="e">
        <f t="shared" ref="S124:W124" si="506">S123/S122*100</f>
        <v>#DIV/0!</v>
      </c>
      <c r="T124" s="1538" t="e">
        <f t="shared" si="506"/>
        <v>#DIV/0!</v>
      </c>
      <c r="U124" s="1539" t="e">
        <f t="shared" si="506"/>
        <v>#DIV/0!</v>
      </c>
      <c r="V124" s="672" t="e">
        <f t="shared" si="506"/>
        <v>#DIV/0!</v>
      </c>
      <c r="W124" s="619" t="e">
        <f t="shared" si="506"/>
        <v>#DIV/0!</v>
      </c>
      <c r="X124" s="619" t="s">
        <v>93</v>
      </c>
      <c r="Y124" s="672" t="e">
        <f t="shared" ref="Y124:AN124" si="507">Y123/Y122*100</f>
        <v>#DIV/0!</v>
      </c>
      <c r="Z124" s="619" t="e">
        <f t="shared" si="507"/>
        <v>#DIV/0!</v>
      </c>
      <c r="AA124" s="675" t="e">
        <f t="shared" si="507"/>
        <v>#DIV/0!</v>
      </c>
      <c r="AB124" s="672" t="e">
        <f t="shared" si="507"/>
        <v>#DIV/0!</v>
      </c>
      <c r="AC124" s="672" t="e">
        <f t="shared" si="507"/>
        <v>#DIV/0!</v>
      </c>
      <c r="AD124" s="675" t="e">
        <f t="shared" si="507"/>
        <v>#DIV/0!</v>
      </c>
      <c r="AE124" s="672" t="e">
        <f t="shared" si="507"/>
        <v>#DIV/0!</v>
      </c>
      <c r="AF124" s="672" t="e">
        <f t="shared" si="507"/>
        <v>#DIV/0!</v>
      </c>
      <c r="AG124" s="672" t="e">
        <f t="shared" si="507"/>
        <v>#DIV/0!</v>
      </c>
      <c r="AH124" s="672" t="e">
        <f t="shared" si="507"/>
        <v>#DIV/0!</v>
      </c>
      <c r="AI124" s="676" t="e">
        <f t="shared" si="507"/>
        <v>#DIV/0!</v>
      </c>
      <c r="AJ124" s="1538" t="e">
        <f t="shared" si="507"/>
        <v>#DIV/0!</v>
      </c>
      <c r="AK124" s="1538" t="e">
        <f t="shared" si="507"/>
        <v>#DIV/0!</v>
      </c>
      <c r="AL124" s="1539" t="e">
        <f t="shared" si="507"/>
        <v>#DIV/0!</v>
      </c>
      <c r="AM124" s="672" t="e">
        <f t="shared" si="507"/>
        <v>#DIV/0!</v>
      </c>
      <c r="AN124" s="619" t="e">
        <f t="shared" si="507"/>
        <v>#DIV/0!</v>
      </c>
      <c r="AO124" s="619" t="s">
        <v>93</v>
      </c>
      <c r="AP124" s="672" t="e">
        <f t="shared" ref="AP124:BE124" si="508">AP123/AP122*100</f>
        <v>#DIV/0!</v>
      </c>
      <c r="AQ124" s="619" t="e">
        <f t="shared" si="508"/>
        <v>#DIV/0!</v>
      </c>
      <c r="AR124" s="675" t="e">
        <f t="shared" si="508"/>
        <v>#DIV/0!</v>
      </c>
      <c r="AS124" s="672" t="e">
        <f t="shared" si="508"/>
        <v>#DIV/0!</v>
      </c>
      <c r="AT124" s="672" t="e">
        <f t="shared" si="508"/>
        <v>#DIV/0!</v>
      </c>
      <c r="AU124" s="675" t="e">
        <f t="shared" si="508"/>
        <v>#DIV/0!</v>
      </c>
      <c r="AV124" s="672" t="e">
        <f t="shared" si="508"/>
        <v>#DIV/0!</v>
      </c>
      <c r="AW124" s="672" t="e">
        <f t="shared" si="508"/>
        <v>#DIV/0!</v>
      </c>
      <c r="AX124" s="672" t="e">
        <f t="shared" si="508"/>
        <v>#DIV/0!</v>
      </c>
      <c r="AY124" s="672" t="e">
        <f t="shared" si="508"/>
        <v>#DIV/0!</v>
      </c>
      <c r="AZ124" s="676" t="e">
        <f t="shared" si="508"/>
        <v>#DIV/0!</v>
      </c>
      <c r="BA124" s="688">
        <f t="shared" si="508"/>
        <v>0.43545627604669562</v>
      </c>
      <c r="BB124" s="1538">
        <f t="shared" si="508"/>
        <v>2.9505351922379579</v>
      </c>
      <c r="BC124" s="1539">
        <f t="shared" si="508"/>
        <v>0</v>
      </c>
      <c r="BD124" s="672">
        <f t="shared" si="508"/>
        <v>-3.6529448946585816E-2</v>
      </c>
      <c r="BE124" s="619">
        <f t="shared" si="508"/>
        <v>0</v>
      </c>
      <c r="BF124" s="619" t="s">
        <v>93</v>
      </c>
      <c r="BG124" s="672" t="e">
        <f t="shared" ref="BG124:BV124" si="509">BG123/BG122*100</f>
        <v>#DIV/0!</v>
      </c>
      <c r="BH124" s="619" t="e">
        <f t="shared" si="509"/>
        <v>#DIV/0!</v>
      </c>
      <c r="BI124" s="675" t="e">
        <f t="shared" si="509"/>
        <v>#VALUE!</v>
      </c>
      <c r="BJ124" s="672" t="e">
        <f t="shared" si="509"/>
        <v>#VALUE!</v>
      </c>
      <c r="BK124" s="672" t="e">
        <f t="shared" si="509"/>
        <v>#VALUE!</v>
      </c>
      <c r="BL124" s="675" t="e">
        <f t="shared" si="509"/>
        <v>#VALUE!</v>
      </c>
      <c r="BM124" s="672" t="e">
        <f t="shared" si="509"/>
        <v>#VALUE!</v>
      </c>
      <c r="BN124" s="672" t="e">
        <f t="shared" si="509"/>
        <v>#VALUE!</v>
      </c>
      <c r="BO124" s="672" t="e">
        <f t="shared" si="509"/>
        <v>#VALUE!</v>
      </c>
      <c r="BP124" s="672" t="e">
        <f t="shared" si="509"/>
        <v>#VALUE!</v>
      </c>
      <c r="BQ124" s="676" t="e">
        <f t="shared" si="509"/>
        <v>#VALUE!</v>
      </c>
      <c r="BR124" s="688">
        <f t="shared" si="509"/>
        <v>0.49019607843137081</v>
      </c>
      <c r="BS124" s="1538">
        <f t="shared" si="509"/>
        <v>2.6500822785376617</v>
      </c>
      <c r="BT124" s="1539">
        <f t="shared" si="509"/>
        <v>0</v>
      </c>
      <c r="BU124" s="672">
        <f t="shared" si="509"/>
        <v>-0.2530829253684983</v>
      </c>
      <c r="BV124" s="619">
        <f t="shared" si="509"/>
        <v>0</v>
      </c>
      <c r="BW124" s="619" t="s">
        <v>93</v>
      </c>
      <c r="BX124" s="672" t="e">
        <f t="shared" ref="BX124:CM124" si="510">BX123/BX122*100</f>
        <v>#DIV/0!</v>
      </c>
      <c r="BY124" s="619" t="e">
        <f t="shared" si="510"/>
        <v>#DIV/0!</v>
      </c>
      <c r="BZ124" s="675" t="e">
        <f t="shared" si="510"/>
        <v>#VALUE!</v>
      </c>
      <c r="CA124" s="672" t="e">
        <f t="shared" si="510"/>
        <v>#VALUE!</v>
      </c>
      <c r="CB124" s="672" t="e">
        <f t="shared" si="510"/>
        <v>#VALUE!</v>
      </c>
      <c r="CC124" s="675" t="e">
        <f t="shared" si="510"/>
        <v>#VALUE!</v>
      </c>
      <c r="CD124" s="672" t="e">
        <f t="shared" si="510"/>
        <v>#VALUE!</v>
      </c>
      <c r="CE124" s="672" t="e">
        <f t="shared" si="510"/>
        <v>#VALUE!</v>
      </c>
      <c r="CF124" s="672" t="e">
        <f t="shared" si="510"/>
        <v>#VALUE!</v>
      </c>
      <c r="CG124" s="672" t="e">
        <f t="shared" si="510"/>
        <v>#VALUE!</v>
      </c>
      <c r="CH124" s="676" t="e">
        <f t="shared" si="510"/>
        <v>#VALUE!</v>
      </c>
      <c r="CI124" s="688">
        <f t="shared" si="510"/>
        <v>0.43973804867252342</v>
      </c>
      <c r="CJ124" s="1538">
        <f t="shared" si="510"/>
        <v>2.2182401266520198</v>
      </c>
      <c r="CK124" s="1539">
        <f t="shared" si="510"/>
        <v>0</v>
      </c>
      <c r="CL124" s="672">
        <f t="shared" si="510"/>
        <v>-4.3301024691935218E-2</v>
      </c>
      <c r="CM124" s="619">
        <f t="shared" si="510"/>
        <v>0</v>
      </c>
      <c r="CN124" s="619" t="s">
        <v>93</v>
      </c>
      <c r="CO124" s="672" t="e">
        <f t="shared" ref="CO124:DD124" si="511">CO123/CO122*100</f>
        <v>#DIV/0!</v>
      </c>
      <c r="CP124" s="619" t="e">
        <f t="shared" si="511"/>
        <v>#DIV/0!</v>
      </c>
      <c r="CQ124" s="675" t="e">
        <f t="shared" si="511"/>
        <v>#VALUE!</v>
      </c>
      <c r="CR124" s="672" t="e">
        <f t="shared" si="511"/>
        <v>#VALUE!</v>
      </c>
      <c r="CS124" s="672" t="e">
        <f t="shared" si="511"/>
        <v>#VALUE!</v>
      </c>
      <c r="CT124" s="675" t="e">
        <f t="shared" si="511"/>
        <v>#VALUE!</v>
      </c>
      <c r="CU124" s="672" t="e">
        <f t="shared" si="511"/>
        <v>#VALUE!</v>
      </c>
      <c r="CV124" s="672" t="e">
        <f t="shared" si="511"/>
        <v>#VALUE!</v>
      </c>
      <c r="CW124" s="672" t="e">
        <f t="shared" si="511"/>
        <v>#VALUE!</v>
      </c>
      <c r="CX124" s="672" t="e">
        <f t="shared" si="511"/>
        <v>#VALUE!</v>
      </c>
      <c r="CY124" s="676" t="e">
        <f t="shared" si="511"/>
        <v>#VALUE!</v>
      </c>
      <c r="CZ124" s="688" t="e">
        <f t="shared" si="511"/>
        <v>#DIV/0!</v>
      </c>
      <c r="DA124" s="1538" t="e">
        <f t="shared" si="511"/>
        <v>#DIV/0!</v>
      </c>
      <c r="DB124" s="1539" t="e">
        <f t="shared" si="511"/>
        <v>#DIV/0!</v>
      </c>
      <c r="DC124" s="672" t="e">
        <f t="shared" si="511"/>
        <v>#DIV/0!</v>
      </c>
      <c r="DD124" s="619" t="e">
        <f t="shared" si="511"/>
        <v>#DIV/0!</v>
      </c>
      <c r="DE124" s="619" t="s">
        <v>93</v>
      </c>
      <c r="DF124" s="672" t="e">
        <f t="shared" ref="DF124:DU124" si="512">DF123/DF122*100</f>
        <v>#DIV/0!</v>
      </c>
      <c r="DG124" s="619" t="e">
        <f t="shared" si="512"/>
        <v>#DIV/0!</v>
      </c>
      <c r="DH124" s="675" t="e">
        <f t="shared" si="512"/>
        <v>#DIV/0!</v>
      </c>
      <c r="DI124" s="672" t="e">
        <f t="shared" si="512"/>
        <v>#DIV/0!</v>
      </c>
      <c r="DJ124" s="672" t="e">
        <f t="shared" si="512"/>
        <v>#DIV/0!</v>
      </c>
      <c r="DK124" s="675" t="e">
        <f t="shared" si="512"/>
        <v>#DIV/0!</v>
      </c>
      <c r="DL124" s="672" t="e">
        <f t="shared" si="512"/>
        <v>#DIV/0!</v>
      </c>
      <c r="DM124" s="672" t="e">
        <f t="shared" si="512"/>
        <v>#DIV/0!</v>
      </c>
      <c r="DN124" s="672" t="e">
        <f t="shared" si="512"/>
        <v>#DIV/0!</v>
      </c>
      <c r="DO124" s="672" t="e">
        <f t="shared" si="512"/>
        <v>#DIV/0!</v>
      </c>
      <c r="DP124" s="676" t="e">
        <f t="shared" si="512"/>
        <v>#DIV/0!</v>
      </c>
      <c r="DQ124" s="688" t="e">
        <f t="shared" si="512"/>
        <v>#DIV/0!</v>
      </c>
      <c r="DR124" s="1538" t="e">
        <f t="shared" si="512"/>
        <v>#DIV/0!</v>
      </c>
      <c r="DS124" s="1539" t="e">
        <f t="shared" si="512"/>
        <v>#DIV/0!</v>
      </c>
      <c r="DT124" s="674" t="e">
        <f t="shared" si="512"/>
        <v>#DIV/0!</v>
      </c>
      <c r="DU124" s="619" t="e">
        <f t="shared" si="512"/>
        <v>#DIV/0!</v>
      </c>
      <c r="DV124" s="619" t="s">
        <v>93</v>
      </c>
      <c r="DW124" s="672" t="e">
        <f t="shared" ref="DW124:EL124" si="513">DW123/DW122*100</f>
        <v>#DIV/0!</v>
      </c>
      <c r="DX124" s="619" t="e">
        <f t="shared" si="513"/>
        <v>#DIV/0!</v>
      </c>
      <c r="DY124" s="675" t="e">
        <f t="shared" si="513"/>
        <v>#DIV/0!</v>
      </c>
      <c r="DZ124" s="672" t="e">
        <f t="shared" si="513"/>
        <v>#DIV/0!</v>
      </c>
      <c r="EA124" s="672" t="e">
        <f t="shared" si="513"/>
        <v>#DIV/0!</v>
      </c>
      <c r="EB124" s="675" t="e">
        <f t="shared" si="513"/>
        <v>#DIV/0!</v>
      </c>
      <c r="EC124" s="672" t="e">
        <f t="shared" si="513"/>
        <v>#DIV/0!</v>
      </c>
      <c r="ED124" s="672" t="e">
        <f t="shared" si="513"/>
        <v>#DIV/0!</v>
      </c>
      <c r="EE124" s="672" t="e">
        <f t="shared" si="513"/>
        <v>#DIV/0!</v>
      </c>
      <c r="EF124" s="672" t="e">
        <f t="shared" si="513"/>
        <v>#DIV/0!</v>
      </c>
      <c r="EG124" s="676" t="e">
        <f t="shared" si="513"/>
        <v>#DIV/0!</v>
      </c>
      <c r="EH124" s="688">
        <f t="shared" si="513"/>
        <v>0.87176139473675829</v>
      </c>
      <c r="EI124" s="1538">
        <f t="shared" si="513"/>
        <v>1.6027969856974627</v>
      </c>
      <c r="EJ124" s="1539">
        <f t="shared" si="513"/>
        <v>0</v>
      </c>
      <c r="EK124" s="672">
        <f t="shared" si="513"/>
        <v>-1.498377266883651</v>
      </c>
      <c r="EL124" s="619">
        <f t="shared" si="513"/>
        <v>0</v>
      </c>
      <c r="EM124" s="619" t="s">
        <v>93</v>
      </c>
      <c r="EN124" s="672" t="e">
        <f t="shared" ref="EN124:FC124" si="514">EN123/EN122*100</f>
        <v>#DIV/0!</v>
      </c>
      <c r="EO124" s="619" t="e">
        <f t="shared" si="514"/>
        <v>#DIV/0!</v>
      </c>
      <c r="EP124" s="675" t="e">
        <f t="shared" si="514"/>
        <v>#VALUE!</v>
      </c>
      <c r="EQ124" s="672" t="e">
        <f t="shared" si="514"/>
        <v>#VALUE!</v>
      </c>
      <c r="ER124" s="672" t="e">
        <f t="shared" si="514"/>
        <v>#VALUE!</v>
      </c>
      <c r="ES124" s="675" t="e">
        <f t="shared" si="514"/>
        <v>#VALUE!</v>
      </c>
      <c r="ET124" s="672" t="e">
        <f t="shared" si="514"/>
        <v>#VALUE!</v>
      </c>
      <c r="EU124" s="672" t="e">
        <f t="shared" si="514"/>
        <v>#VALUE!</v>
      </c>
      <c r="EV124" s="672" t="e">
        <f t="shared" si="514"/>
        <v>#VALUE!</v>
      </c>
      <c r="EW124" s="672" t="e">
        <f t="shared" si="514"/>
        <v>#VALUE!</v>
      </c>
      <c r="EX124" s="676" t="e">
        <f t="shared" si="514"/>
        <v>#VALUE!</v>
      </c>
      <c r="EY124" s="688" t="e">
        <f t="shared" si="514"/>
        <v>#DIV/0!</v>
      </c>
      <c r="EZ124" s="1538" t="e">
        <f t="shared" si="514"/>
        <v>#DIV/0!</v>
      </c>
      <c r="FA124" s="1539" t="e">
        <f t="shared" si="514"/>
        <v>#DIV/0!</v>
      </c>
      <c r="FB124" s="672" t="e">
        <f t="shared" si="514"/>
        <v>#DIV/0!</v>
      </c>
      <c r="FC124" s="619" t="e">
        <f t="shared" si="514"/>
        <v>#DIV/0!</v>
      </c>
      <c r="FD124" s="619" t="s">
        <v>93</v>
      </c>
      <c r="FE124" s="672" t="e">
        <f t="shared" ref="FE124:FT124" si="515">FE123/FE122*100</f>
        <v>#DIV/0!</v>
      </c>
      <c r="FF124" s="619" t="e">
        <f t="shared" si="515"/>
        <v>#DIV/0!</v>
      </c>
      <c r="FG124" s="675" t="e">
        <f t="shared" si="515"/>
        <v>#DIV/0!</v>
      </c>
      <c r="FH124" s="672" t="e">
        <f t="shared" si="515"/>
        <v>#DIV/0!</v>
      </c>
      <c r="FI124" s="672" t="e">
        <f t="shared" si="515"/>
        <v>#DIV/0!</v>
      </c>
      <c r="FJ124" s="675" t="e">
        <f t="shared" si="515"/>
        <v>#DIV/0!</v>
      </c>
      <c r="FK124" s="672" t="e">
        <f t="shared" si="515"/>
        <v>#DIV/0!</v>
      </c>
      <c r="FL124" s="672" t="e">
        <f t="shared" si="515"/>
        <v>#DIV/0!</v>
      </c>
      <c r="FM124" s="672" t="e">
        <f t="shared" si="515"/>
        <v>#DIV/0!</v>
      </c>
      <c r="FN124" s="672" t="e">
        <f t="shared" si="515"/>
        <v>#DIV/0!</v>
      </c>
      <c r="FO124" s="676" t="e">
        <f t="shared" si="515"/>
        <v>#DIV/0!</v>
      </c>
      <c r="FP124" s="688" t="e">
        <f t="shared" si="515"/>
        <v>#DIV/0!</v>
      </c>
      <c r="FQ124" s="1538" t="e">
        <f t="shared" si="515"/>
        <v>#DIV/0!</v>
      </c>
      <c r="FR124" s="1539" t="e">
        <f t="shared" si="515"/>
        <v>#DIV/0!</v>
      </c>
      <c r="FS124" s="672" t="e">
        <f t="shared" si="515"/>
        <v>#DIV/0!</v>
      </c>
      <c r="FT124" s="619" t="e">
        <f t="shared" si="515"/>
        <v>#DIV/0!</v>
      </c>
      <c r="FU124" s="619" t="s">
        <v>93</v>
      </c>
      <c r="FV124" s="672" t="e">
        <f t="shared" ref="FV124:GK124" si="516">FV123/FV122*100</f>
        <v>#DIV/0!</v>
      </c>
      <c r="FW124" s="619" t="e">
        <f t="shared" si="516"/>
        <v>#DIV/0!</v>
      </c>
      <c r="FX124" s="675" t="e">
        <f t="shared" si="516"/>
        <v>#DIV/0!</v>
      </c>
      <c r="FY124" s="672" t="e">
        <f t="shared" si="516"/>
        <v>#DIV/0!</v>
      </c>
      <c r="FZ124" s="672" t="e">
        <f t="shared" si="516"/>
        <v>#DIV/0!</v>
      </c>
      <c r="GA124" s="675" t="e">
        <f t="shared" si="516"/>
        <v>#DIV/0!</v>
      </c>
      <c r="GB124" s="672" t="e">
        <f t="shared" si="516"/>
        <v>#DIV/0!</v>
      </c>
      <c r="GC124" s="672" t="e">
        <f t="shared" si="516"/>
        <v>#DIV/0!</v>
      </c>
      <c r="GD124" s="672" t="e">
        <f t="shared" si="516"/>
        <v>#DIV/0!</v>
      </c>
      <c r="GE124" s="672" t="e">
        <f t="shared" si="516"/>
        <v>#DIV/0!</v>
      </c>
      <c r="GF124" s="676" t="e">
        <f t="shared" si="516"/>
        <v>#DIV/0!</v>
      </c>
      <c r="GG124" s="688" t="e">
        <f t="shared" si="516"/>
        <v>#DIV/0!</v>
      </c>
      <c r="GH124" s="1538" t="e">
        <f t="shared" si="516"/>
        <v>#DIV/0!</v>
      </c>
      <c r="GI124" s="1539" t="e">
        <f t="shared" si="516"/>
        <v>#DIV/0!</v>
      </c>
      <c r="GJ124" s="674" t="e">
        <f t="shared" si="516"/>
        <v>#DIV/0!</v>
      </c>
      <c r="GK124" s="619" t="e">
        <f t="shared" si="516"/>
        <v>#DIV/0!</v>
      </c>
      <c r="GL124" s="619" t="s">
        <v>93</v>
      </c>
      <c r="GM124" s="672" t="e">
        <f t="shared" ref="GM124:HB124" si="517">GM123/GM122*100</f>
        <v>#DIV/0!</v>
      </c>
      <c r="GN124" s="619" t="e">
        <f t="shared" si="517"/>
        <v>#DIV/0!</v>
      </c>
      <c r="GO124" s="675" t="e">
        <f t="shared" si="517"/>
        <v>#DIV/0!</v>
      </c>
      <c r="GP124" s="672" t="e">
        <f t="shared" si="517"/>
        <v>#DIV/0!</v>
      </c>
      <c r="GQ124" s="672" t="e">
        <f t="shared" si="517"/>
        <v>#DIV/0!</v>
      </c>
      <c r="GR124" s="675" t="e">
        <f t="shared" si="517"/>
        <v>#DIV/0!</v>
      </c>
      <c r="GS124" s="672" t="e">
        <f t="shared" si="517"/>
        <v>#DIV/0!</v>
      </c>
      <c r="GT124" s="672" t="e">
        <f t="shared" si="517"/>
        <v>#DIV/0!</v>
      </c>
      <c r="GU124" s="672" t="e">
        <f t="shared" si="517"/>
        <v>#DIV/0!</v>
      </c>
      <c r="GV124" s="672" t="e">
        <f t="shared" si="517"/>
        <v>#DIV/0!</v>
      </c>
      <c r="GW124" s="676" t="e">
        <f t="shared" si="517"/>
        <v>#DIV/0!</v>
      </c>
      <c r="GX124" s="688" t="e">
        <f t="shared" si="517"/>
        <v>#DIV/0!</v>
      </c>
      <c r="GY124" s="1538" t="e">
        <f t="shared" si="517"/>
        <v>#DIV/0!</v>
      </c>
      <c r="GZ124" s="1539" t="e">
        <f t="shared" si="517"/>
        <v>#DIV/0!</v>
      </c>
      <c r="HA124" s="672" t="e">
        <f t="shared" si="517"/>
        <v>#DIV/0!</v>
      </c>
      <c r="HB124" s="619" t="e">
        <f t="shared" si="517"/>
        <v>#DIV/0!</v>
      </c>
      <c r="HC124" s="619" t="s">
        <v>93</v>
      </c>
      <c r="HD124" s="672" t="e">
        <f t="shared" ref="HD124:HS124" si="518">HD123/HD122*100</f>
        <v>#DIV/0!</v>
      </c>
      <c r="HE124" s="619" t="e">
        <f t="shared" si="518"/>
        <v>#DIV/0!</v>
      </c>
      <c r="HF124" s="675" t="e">
        <f t="shared" si="518"/>
        <v>#DIV/0!</v>
      </c>
      <c r="HG124" s="672" t="e">
        <f t="shared" si="518"/>
        <v>#DIV/0!</v>
      </c>
      <c r="HH124" s="672" t="e">
        <f t="shared" si="518"/>
        <v>#DIV/0!</v>
      </c>
      <c r="HI124" s="675" t="e">
        <f t="shared" si="518"/>
        <v>#DIV/0!</v>
      </c>
      <c r="HJ124" s="672" t="e">
        <f t="shared" si="518"/>
        <v>#DIV/0!</v>
      </c>
      <c r="HK124" s="672" t="e">
        <f t="shared" si="518"/>
        <v>#DIV/0!</v>
      </c>
      <c r="HL124" s="672" t="e">
        <f t="shared" si="518"/>
        <v>#DIV/0!</v>
      </c>
      <c r="HM124" s="672" t="e">
        <f t="shared" si="518"/>
        <v>#DIV/0!</v>
      </c>
      <c r="HN124" s="676" t="e">
        <f t="shared" si="518"/>
        <v>#DIV/0!</v>
      </c>
      <c r="HO124" s="688" t="e">
        <f t="shared" si="518"/>
        <v>#DIV/0!</v>
      </c>
      <c r="HP124" s="1538" t="e">
        <f t="shared" si="518"/>
        <v>#DIV/0!</v>
      </c>
      <c r="HQ124" s="1539" t="e">
        <f t="shared" si="518"/>
        <v>#DIV/0!</v>
      </c>
      <c r="HR124" s="672" t="e">
        <f t="shared" si="518"/>
        <v>#DIV/0!</v>
      </c>
      <c r="HS124" s="619" t="e">
        <f t="shared" si="518"/>
        <v>#DIV/0!</v>
      </c>
      <c r="HT124" s="619" t="s">
        <v>93</v>
      </c>
      <c r="HU124" s="672" t="e">
        <f t="shared" ref="HU124:IJ124" si="519">HU123/HU122*100</f>
        <v>#DIV/0!</v>
      </c>
      <c r="HV124" s="619" t="e">
        <f t="shared" si="519"/>
        <v>#DIV/0!</v>
      </c>
      <c r="HW124" s="675" t="e">
        <f t="shared" si="519"/>
        <v>#DIV/0!</v>
      </c>
      <c r="HX124" s="672" t="e">
        <f t="shared" si="519"/>
        <v>#DIV/0!</v>
      </c>
      <c r="HY124" s="672" t="e">
        <f t="shared" si="519"/>
        <v>#DIV/0!</v>
      </c>
      <c r="HZ124" s="675" t="e">
        <f t="shared" si="519"/>
        <v>#DIV/0!</v>
      </c>
      <c r="IA124" s="672" t="e">
        <f t="shared" si="519"/>
        <v>#DIV/0!</v>
      </c>
      <c r="IB124" s="672" t="e">
        <f t="shared" si="519"/>
        <v>#DIV/0!</v>
      </c>
      <c r="IC124" s="672" t="e">
        <f t="shared" si="519"/>
        <v>#DIV/0!</v>
      </c>
      <c r="ID124" s="672" t="e">
        <f t="shared" si="519"/>
        <v>#DIV/0!</v>
      </c>
      <c r="IE124" s="676" t="e">
        <f t="shared" si="519"/>
        <v>#DIV/0!</v>
      </c>
      <c r="IF124" s="688" t="e">
        <f t="shared" si="519"/>
        <v>#DIV/0!</v>
      </c>
      <c r="IG124" s="1538" t="e">
        <f t="shared" si="519"/>
        <v>#DIV/0!</v>
      </c>
      <c r="IH124" s="1539" t="e">
        <f t="shared" si="519"/>
        <v>#DIV/0!</v>
      </c>
      <c r="II124" s="672" t="e">
        <f t="shared" si="519"/>
        <v>#DIV/0!</v>
      </c>
      <c r="IJ124" s="619" t="e">
        <f t="shared" si="519"/>
        <v>#DIV/0!</v>
      </c>
      <c r="IK124" s="619" t="s">
        <v>93</v>
      </c>
      <c r="IL124" s="672" t="e">
        <f t="shared" ref="IL124:JA124" si="520">IL123/IL122*100</f>
        <v>#DIV/0!</v>
      </c>
      <c r="IM124" s="619" t="e">
        <f t="shared" si="520"/>
        <v>#DIV/0!</v>
      </c>
      <c r="IN124" s="675" t="e">
        <f t="shared" si="520"/>
        <v>#DIV/0!</v>
      </c>
      <c r="IO124" s="672" t="e">
        <f t="shared" si="520"/>
        <v>#DIV/0!</v>
      </c>
      <c r="IP124" s="672" t="e">
        <f t="shared" si="520"/>
        <v>#DIV/0!</v>
      </c>
      <c r="IQ124" s="675" t="e">
        <f t="shared" si="520"/>
        <v>#DIV/0!</v>
      </c>
      <c r="IR124" s="672" t="e">
        <f t="shared" si="520"/>
        <v>#DIV/0!</v>
      </c>
      <c r="IS124" s="672" t="e">
        <f t="shared" si="520"/>
        <v>#DIV/0!</v>
      </c>
      <c r="IT124" s="672" t="e">
        <f t="shared" si="520"/>
        <v>#DIV/0!</v>
      </c>
      <c r="IU124" s="672" t="e">
        <f t="shared" si="520"/>
        <v>#DIV/0!</v>
      </c>
      <c r="IV124" s="676" t="e">
        <f t="shared" si="520"/>
        <v>#DIV/0!</v>
      </c>
      <c r="IW124" s="688" t="e">
        <f t="shared" si="520"/>
        <v>#DIV/0!</v>
      </c>
      <c r="IX124" s="1538" t="e">
        <f t="shared" si="520"/>
        <v>#DIV/0!</v>
      </c>
      <c r="IY124" s="1539" t="e">
        <f t="shared" si="520"/>
        <v>#DIV/0!</v>
      </c>
      <c r="IZ124" s="672" t="e">
        <f t="shared" si="520"/>
        <v>#DIV/0!</v>
      </c>
      <c r="JA124" s="619" t="e">
        <f t="shared" si="520"/>
        <v>#DIV/0!</v>
      </c>
      <c r="JB124" s="619" t="s">
        <v>93</v>
      </c>
      <c r="JC124" s="672" t="e">
        <f t="shared" ref="JC124:JR124" si="521">JC123/JC122*100</f>
        <v>#DIV/0!</v>
      </c>
      <c r="JD124" s="619" t="e">
        <f t="shared" si="521"/>
        <v>#DIV/0!</v>
      </c>
      <c r="JE124" s="675" t="e">
        <f t="shared" si="521"/>
        <v>#DIV/0!</v>
      </c>
      <c r="JF124" s="672" t="e">
        <f t="shared" si="521"/>
        <v>#DIV/0!</v>
      </c>
      <c r="JG124" s="672" t="e">
        <f t="shared" si="521"/>
        <v>#DIV/0!</v>
      </c>
      <c r="JH124" s="675" t="e">
        <f t="shared" si="521"/>
        <v>#DIV/0!</v>
      </c>
      <c r="JI124" s="672" t="e">
        <f t="shared" si="521"/>
        <v>#DIV/0!</v>
      </c>
      <c r="JJ124" s="672" t="e">
        <f t="shared" si="521"/>
        <v>#DIV/0!</v>
      </c>
      <c r="JK124" s="672" t="e">
        <f t="shared" si="521"/>
        <v>#DIV/0!</v>
      </c>
      <c r="JL124" s="672" t="e">
        <f t="shared" si="521"/>
        <v>#DIV/0!</v>
      </c>
      <c r="JM124" s="676" t="e">
        <f t="shared" si="521"/>
        <v>#DIV/0!</v>
      </c>
      <c r="JN124" s="688" t="e">
        <f t="shared" si="521"/>
        <v>#DIV/0!</v>
      </c>
      <c r="JO124" s="1538" t="e">
        <f t="shared" si="521"/>
        <v>#DIV/0!</v>
      </c>
      <c r="JP124" s="1539" t="e">
        <f t="shared" si="521"/>
        <v>#DIV/0!</v>
      </c>
      <c r="JQ124" s="672" t="e">
        <f t="shared" si="521"/>
        <v>#DIV/0!</v>
      </c>
      <c r="JR124" s="619" t="e">
        <f t="shared" si="521"/>
        <v>#DIV/0!</v>
      </c>
      <c r="JS124" s="619" t="s">
        <v>93</v>
      </c>
      <c r="JT124" s="672" t="e">
        <f t="shared" ref="JT124:KI124" si="522">JT123/JT122*100</f>
        <v>#DIV/0!</v>
      </c>
      <c r="JU124" s="619" t="e">
        <f t="shared" si="522"/>
        <v>#DIV/0!</v>
      </c>
      <c r="JV124" s="675" t="e">
        <f t="shared" si="522"/>
        <v>#DIV/0!</v>
      </c>
      <c r="JW124" s="672" t="e">
        <f t="shared" si="522"/>
        <v>#DIV/0!</v>
      </c>
      <c r="JX124" s="672" t="e">
        <f t="shared" si="522"/>
        <v>#DIV/0!</v>
      </c>
      <c r="JY124" s="675" t="e">
        <f t="shared" si="522"/>
        <v>#DIV/0!</v>
      </c>
      <c r="JZ124" s="672" t="e">
        <f t="shared" si="522"/>
        <v>#DIV/0!</v>
      </c>
      <c r="KA124" s="672" t="e">
        <f t="shared" si="522"/>
        <v>#DIV/0!</v>
      </c>
      <c r="KB124" s="672" t="e">
        <f t="shared" si="522"/>
        <v>#DIV/0!</v>
      </c>
      <c r="KC124" s="672" t="e">
        <f t="shared" si="522"/>
        <v>#DIV/0!</v>
      </c>
      <c r="KD124" s="676" t="e">
        <f t="shared" si="522"/>
        <v>#DIV/0!</v>
      </c>
      <c r="KE124" s="688" t="e">
        <f t="shared" si="522"/>
        <v>#DIV/0!</v>
      </c>
      <c r="KF124" s="1538" t="e">
        <f t="shared" si="522"/>
        <v>#DIV/0!</v>
      </c>
      <c r="KG124" s="1539" t="e">
        <f t="shared" si="522"/>
        <v>#DIV/0!</v>
      </c>
      <c r="KH124" s="672" t="e">
        <f t="shared" si="522"/>
        <v>#DIV/0!</v>
      </c>
      <c r="KI124" s="619" t="e">
        <f t="shared" si="522"/>
        <v>#DIV/0!</v>
      </c>
      <c r="KJ124" s="619" t="s">
        <v>93</v>
      </c>
      <c r="KK124" s="672" t="e">
        <f t="shared" ref="KK124:KZ124" si="523">KK123/KK122*100</f>
        <v>#DIV/0!</v>
      </c>
      <c r="KL124" s="619" t="e">
        <f t="shared" si="523"/>
        <v>#DIV/0!</v>
      </c>
      <c r="KM124" s="675" t="e">
        <f t="shared" si="523"/>
        <v>#DIV/0!</v>
      </c>
      <c r="KN124" s="672" t="e">
        <f t="shared" si="523"/>
        <v>#DIV/0!</v>
      </c>
      <c r="KO124" s="672" t="e">
        <f t="shared" si="523"/>
        <v>#DIV/0!</v>
      </c>
      <c r="KP124" s="675" t="e">
        <f t="shared" si="523"/>
        <v>#DIV/0!</v>
      </c>
      <c r="KQ124" s="672" t="e">
        <f t="shared" si="523"/>
        <v>#DIV/0!</v>
      </c>
      <c r="KR124" s="672" t="e">
        <f t="shared" si="523"/>
        <v>#DIV/0!</v>
      </c>
      <c r="KS124" s="672" t="e">
        <f t="shared" si="523"/>
        <v>#DIV/0!</v>
      </c>
      <c r="KT124" s="672" t="e">
        <f t="shared" si="523"/>
        <v>#DIV/0!</v>
      </c>
      <c r="KU124" s="676" t="e">
        <f t="shared" si="523"/>
        <v>#DIV/0!</v>
      </c>
      <c r="KV124" s="688" t="e">
        <f t="shared" si="523"/>
        <v>#DIV/0!</v>
      </c>
      <c r="KW124" s="1538" t="e">
        <f t="shared" si="523"/>
        <v>#DIV/0!</v>
      </c>
      <c r="KX124" s="1539" t="e">
        <f t="shared" si="523"/>
        <v>#DIV/0!</v>
      </c>
      <c r="KY124" s="672" t="e">
        <f t="shared" si="523"/>
        <v>#DIV/0!</v>
      </c>
      <c r="KZ124" s="619" t="e">
        <f t="shared" si="523"/>
        <v>#DIV/0!</v>
      </c>
      <c r="LA124" s="619" t="s">
        <v>93</v>
      </c>
      <c r="LB124" s="672" t="e">
        <f t="shared" ref="LB124:LQ124" si="524">LB123/LB122*100</f>
        <v>#DIV/0!</v>
      </c>
      <c r="LC124" s="619" t="e">
        <f t="shared" si="524"/>
        <v>#DIV/0!</v>
      </c>
      <c r="LD124" s="675" t="e">
        <f t="shared" si="524"/>
        <v>#DIV/0!</v>
      </c>
      <c r="LE124" s="672" t="e">
        <f t="shared" si="524"/>
        <v>#DIV/0!</v>
      </c>
      <c r="LF124" s="672" t="e">
        <f t="shared" si="524"/>
        <v>#DIV/0!</v>
      </c>
      <c r="LG124" s="675" t="e">
        <f t="shared" si="524"/>
        <v>#DIV/0!</v>
      </c>
      <c r="LH124" s="672" t="e">
        <f t="shared" si="524"/>
        <v>#DIV/0!</v>
      </c>
      <c r="LI124" s="672" t="e">
        <f t="shared" si="524"/>
        <v>#DIV/0!</v>
      </c>
      <c r="LJ124" s="672" t="e">
        <f t="shared" si="524"/>
        <v>#DIV/0!</v>
      </c>
      <c r="LK124" s="672" t="e">
        <f t="shared" si="524"/>
        <v>#DIV/0!</v>
      </c>
      <c r="LL124" s="676" t="e">
        <f t="shared" si="524"/>
        <v>#DIV/0!</v>
      </c>
      <c r="LM124" s="688" t="e">
        <f t="shared" si="524"/>
        <v>#DIV/0!</v>
      </c>
      <c r="LN124" s="1538" t="e">
        <f t="shared" si="524"/>
        <v>#DIV/0!</v>
      </c>
      <c r="LO124" s="1539" t="e">
        <f t="shared" si="524"/>
        <v>#DIV/0!</v>
      </c>
      <c r="LP124" s="672" t="e">
        <f t="shared" si="524"/>
        <v>#DIV/0!</v>
      </c>
      <c r="LQ124" s="619" t="e">
        <f t="shared" si="524"/>
        <v>#DIV/0!</v>
      </c>
      <c r="LR124" s="619" t="s">
        <v>93</v>
      </c>
      <c r="LS124" s="672" t="e">
        <f t="shared" ref="LS124:MH124" si="525">LS123/LS122*100</f>
        <v>#DIV/0!</v>
      </c>
      <c r="LT124" s="619" t="e">
        <f t="shared" si="525"/>
        <v>#DIV/0!</v>
      </c>
      <c r="LU124" s="675" t="e">
        <f t="shared" si="525"/>
        <v>#DIV/0!</v>
      </c>
      <c r="LV124" s="672" t="e">
        <f t="shared" si="525"/>
        <v>#DIV/0!</v>
      </c>
      <c r="LW124" s="672" t="e">
        <f t="shared" si="525"/>
        <v>#DIV/0!</v>
      </c>
      <c r="LX124" s="675" t="e">
        <f t="shared" si="525"/>
        <v>#DIV/0!</v>
      </c>
      <c r="LY124" s="672" t="e">
        <f t="shared" si="525"/>
        <v>#DIV/0!</v>
      </c>
      <c r="LZ124" s="672" t="e">
        <f t="shared" si="525"/>
        <v>#DIV/0!</v>
      </c>
      <c r="MA124" s="672" t="e">
        <f t="shared" si="525"/>
        <v>#DIV/0!</v>
      </c>
      <c r="MB124" s="672" t="e">
        <f t="shared" si="525"/>
        <v>#DIV/0!</v>
      </c>
      <c r="MC124" s="676" t="e">
        <f t="shared" si="525"/>
        <v>#DIV/0!</v>
      </c>
      <c r="MD124" s="688" t="e">
        <f t="shared" si="525"/>
        <v>#DIV/0!</v>
      </c>
      <c r="ME124" s="1538" t="e">
        <f t="shared" si="525"/>
        <v>#DIV/0!</v>
      </c>
      <c r="MF124" s="1539" t="e">
        <f t="shared" si="525"/>
        <v>#DIV/0!</v>
      </c>
      <c r="MG124" s="672" t="e">
        <f t="shared" si="525"/>
        <v>#DIV/0!</v>
      </c>
      <c r="MH124" s="619" t="e">
        <f t="shared" si="525"/>
        <v>#DIV/0!</v>
      </c>
      <c r="MI124" s="619" t="s">
        <v>93</v>
      </c>
      <c r="MJ124" s="672" t="e">
        <f t="shared" ref="MJ124:MY124" si="526">MJ123/MJ122*100</f>
        <v>#DIV/0!</v>
      </c>
      <c r="MK124" s="619" t="e">
        <f t="shared" si="526"/>
        <v>#DIV/0!</v>
      </c>
      <c r="ML124" s="675" t="e">
        <f t="shared" si="526"/>
        <v>#DIV/0!</v>
      </c>
      <c r="MM124" s="672" t="e">
        <f t="shared" si="526"/>
        <v>#DIV/0!</v>
      </c>
      <c r="MN124" s="672" t="e">
        <f t="shared" si="526"/>
        <v>#DIV/0!</v>
      </c>
      <c r="MO124" s="675" t="e">
        <f t="shared" si="526"/>
        <v>#DIV/0!</v>
      </c>
      <c r="MP124" s="672" t="e">
        <f t="shared" si="526"/>
        <v>#DIV/0!</v>
      </c>
      <c r="MQ124" s="672" t="e">
        <f t="shared" si="526"/>
        <v>#DIV/0!</v>
      </c>
      <c r="MR124" s="672" t="e">
        <f t="shared" si="526"/>
        <v>#DIV/0!</v>
      </c>
      <c r="MS124" s="672" t="e">
        <f t="shared" si="526"/>
        <v>#DIV/0!</v>
      </c>
      <c r="MT124" s="676" t="e">
        <f t="shared" si="526"/>
        <v>#DIV/0!</v>
      </c>
      <c r="MU124" s="688">
        <f t="shared" si="526"/>
        <v>0.72423813350543442</v>
      </c>
      <c r="MV124" s="1538">
        <f t="shared" si="526"/>
        <v>0.84699544602264765</v>
      </c>
      <c r="MW124" s="1539">
        <f t="shared" si="526"/>
        <v>0</v>
      </c>
      <c r="MX124" s="672">
        <f t="shared" si="526"/>
        <v>-0.15036437525384844</v>
      </c>
      <c r="MY124" s="619">
        <f t="shared" si="526"/>
        <v>0</v>
      </c>
      <c r="MZ124" s="619" t="s">
        <v>93</v>
      </c>
      <c r="NA124" s="672" t="e">
        <f t="shared" ref="NA124:NP124" si="527">NA123/NA122*100</f>
        <v>#DIV/0!</v>
      </c>
      <c r="NB124" s="619" t="e">
        <f t="shared" si="527"/>
        <v>#DIV/0!</v>
      </c>
      <c r="NC124" s="675" t="e">
        <f t="shared" si="527"/>
        <v>#VALUE!</v>
      </c>
      <c r="ND124" s="672" t="e">
        <f t="shared" si="527"/>
        <v>#VALUE!</v>
      </c>
      <c r="NE124" s="672" t="e">
        <f t="shared" si="527"/>
        <v>#VALUE!</v>
      </c>
      <c r="NF124" s="675" t="e">
        <f t="shared" si="527"/>
        <v>#VALUE!</v>
      </c>
      <c r="NG124" s="672" t="e">
        <f t="shared" si="527"/>
        <v>#VALUE!</v>
      </c>
      <c r="NH124" s="672" t="e">
        <f t="shared" si="527"/>
        <v>#VALUE!</v>
      </c>
      <c r="NI124" s="672" t="e">
        <f t="shared" si="527"/>
        <v>#VALUE!</v>
      </c>
      <c r="NJ124" s="672" t="e">
        <f t="shared" si="527"/>
        <v>#VALUE!</v>
      </c>
      <c r="NK124" s="676" t="e">
        <f t="shared" si="527"/>
        <v>#VALUE!</v>
      </c>
      <c r="NL124" s="688" t="e">
        <f t="shared" si="527"/>
        <v>#DIV/0!</v>
      </c>
      <c r="NM124" s="1538" t="e">
        <f t="shared" si="527"/>
        <v>#DIV/0!</v>
      </c>
      <c r="NN124" s="1539" t="e">
        <f t="shared" si="527"/>
        <v>#DIV/0!</v>
      </c>
      <c r="NO124" s="672" t="e">
        <f t="shared" si="527"/>
        <v>#DIV/0!</v>
      </c>
      <c r="NP124" s="619" t="e">
        <f t="shared" si="527"/>
        <v>#DIV/0!</v>
      </c>
      <c r="NQ124" s="619" t="s">
        <v>93</v>
      </c>
      <c r="NR124" s="672" t="e">
        <f t="shared" ref="NR124:OG124" si="528">NR123/NR122*100</f>
        <v>#DIV/0!</v>
      </c>
      <c r="NS124" s="619" t="e">
        <f t="shared" si="528"/>
        <v>#DIV/0!</v>
      </c>
      <c r="NT124" s="675" t="e">
        <f t="shared" si="528"/>
        <v>#DIV/0!</v>
      </c>
      <c r="NU124" s="672" t="e">
        <f t="shared" si="528"/>
        <v>#DIV/0!</v>
      </c>
      <c r="NV124" s="672" t="e">
        <f t="shared" si="528"/>
        <v>#DIV/0!</v>
      </c>
      <c r="NW124" s="675" t="e">
        <f t="shared" si="528"/>
        <v>#DIV/0!</v>
      </c>
      <c r="NX124" s="672" t="e">
        <f t="shared" si="528"/>
        <v>#DIV/0!</v>
      </c>
      <c r="NY124" s="672" t="e">
        <f t="shared" si="528"/>
        <v>#DIV/0!</v>
      </c>
      <c r="NZ124" s="672" t="e">
        <f t="shared" si="528"/>
        <v>#DIV/0!</v>
      </c>
      <c r="OA124" s="672" t="e">
        <f t="shared" si="528"/>
        <v>#DIV/0!</v>
      </c>
      <c r="OB124" s="676" t="e">
        <f t="shared" si="528"/>
        <v>#DIV/0!</v>
      </c>
      <c r="OC124" s="688">
        <f t="shared" si="528"/>
        <v>0.34493013716417448</v>
      </c>
      <c r="OD124" s="1538">
        <f t="shared" si="528"/>
        <v>1.5726692228084125</v>
      </c>
      <c r="OE124" s="1539">
        <f t="shared" si="528"/>
        <v>0</v>
      </c>
      <c r="OF124" s="672">
        <f t="shared" si="528"/>
        <v>-3.8229919259700762E-2</v>
      </c>
      <c r="OG124" s="619">
        <f t="shared" si="528"/>
        <v>0</v>
      </c>
      <c r="OH124" s="619" t="s">
        <v>93</v>
      </c>
      <c r="OI124" s="672" t="e">
        <f t="shared" ref="OI124:OX124" si="529">OI123/OI122*100</f>
        <v>#DIV/0!</v>
      </c>
      <c r="OJ124" s="619" t="e">
        <f t="shared" si="529"/>
        <v>#DIV/0!</v>
      </c>
      <c r="OK124" s="675" t="e">
        <f t="shared" si="529"/>
        <v>#VALUE!</v>
      </c>
      <c r="OL124" s="672" t="e">
        <f t="shared" si="529"/>
        <v>#VALUE!</v>
      </c>
      <c r="OM124" s="672" t="e">
        <f t="shared" si="529"/>
        <v>#VALUE!</v>
      </c>
      <c r="ON124" s="675" t="e">
        <f t="shared" si="529"/>
        <v>#VALUE!</v>
      </c>
      <c r="OO124" s="672" t="e">
        <f t="shared" si="529"/>
        <v>#VALUE!</v>
      </c>
      <c r="OP124" s="672" t="e">
        <f t="shared" si="529"/>
        <v>#VALUE!</v>
      </c>
      <c r="OQ124" s="672" t="e">
        <f t="shared" si="529"/>
        <v>#VALUE!</v>
      </c>
      <c r="OR124" s="672" t="e">
        <f t="shared" si="529"/>
        <v>#VALUE!</v>
      </c>
      <c r="OS124" s="676" t="e">
        <f t="shared" si="529"/>
        <v>#VALUE!</v>
      </c>
      <c r="OT124" s="688" t="e">
        <f t="shared" si="529"/>
        <v>#DIV/0!</v>
      </c>
      <c r="OU124" s="1538" t="e">
        <f t="shared" si="529"/>
        <v>#DIV/0!</v>
      </c>
      <c r="OV124" s="1539" t="e">
        <f t="shared" si="529"/>
        <v>#DIV/0!</v>
      </c>
      <c r="OW124" s="672" t="e">
        <f t="shared" si="529"/>
        <v>#DIV/0!</v>
      </c>
      <c r="OX124" s="619" t="e">
        <f t="shared" si="529"/>
        <v>#DIV/0!</v>
      </c>
      <c r="OY124" s="619" t="s">
        <v>93</v>
      </c>
      <c r="OZ124" s="672" t="e">
        <f t="shared" ref="OZ124:PO124" si="530">OZ123/OZ122*100</f>
        <v>#DIV/0!</v>
      </c>
      <c r="PA124" s="619" t="e">
        <f t="shared" si="530"/>
        <v>#DIV/0!</v>
      </c>
      <c r="PB124" s="675" t="e">
        <f t="shared" si="530"/>
        <v>#DIV/0!</v>
      </c>
      <c r="PC124" s="672" t="e">
        <f t="shared" si="530"/>
        <v>#DIV/0!</v>
      </c>
      <c r="PD124" s="672" t="e">
        <f t="shared" si="530"/>
        <v>#DIV/0!</v>
      </c>
      <c r="PE124" s="675" t="e">
        <f t="shared" si="530"/>
        <v>#DIV/0!</v>
      </c>
      <c r="PF124" s="672" t="e">
        <f t="shared" si="530"/>
        <v>#DIV/0!</v>
      </c>
      <c r="PG124" s="672" t="e">
        <f t="shared" si="530"/>
        <v>#DIV/0!</v>
      </c>
      <c r="PH124" s="672" t="e">
        <f t="shared" si="530"/>
        <v>#DIV/0!</v>
      </c>
      <c r="PI124" s="672" t="e">
        <f t="shared" si="530"/>
        <v>#DIV/0!</v>
      </c>
      <c r="PJ124" s="676" t="e">
        <f t="shared" si="530"/>
        <v>#DIV/0!</v>
      </c>
      <c r="PK124" s="688" t="e">
        <f t="shared" si="530"/>
        <v>#DIV/0!</v>
      </c>
      <c r="PL124" s="1538" t="e">
        <f t="shared" si="530"/>
        <v>#DIV/0!</v>
      </c>
      <c r="PM124" s="1539" t="e">
        <f t="shared" si="530"/>
        <v>#DIV/0!</v>
      </c>
      <c r="PN124" s="672" t="e">
        <f t="shared" si="530"/>
        <v>#DIV/0!</v>
      </c>
      <c r="PO124" s="619" t="e">
        <f t="shared" si="530"/>
        <v>#DIV/0!</v>
      </c>
      <c r="PP124" s="619" t="s">
        <v>93</v>
      </c>
      <c r="PQ124" s="672" t="e">
        <f t="shared" ref="PQ124:QF124" si="531">PQ123/PQ122*100</f>
        <v>#DIV/0!</v>
      </c>
      <c r="PR124" s="619" t="e">
        <f t="shared" si="531"/>
        <v>#DIV/0!</v>
      </c>
      <c r="PS124" s="675" t="e">
        <f t="shared" si="531"/>
        <v>#DIV/0!</v>
      </c>
      <c r="PT124" s="672" t="e">
        <f t="shared" si="531"/>
        <v>#DIV/0!</v>
      </c>
      <c r="PU124" s="672" t="e">
        <f t="shared" si="531"/>
        <v>#DIV/0!</v>
      </c>
      <c r="PV124" s="675" t="e">
        <f t="shared" si="531"/>
        <v>#DIV/0!</v>
      </c>
      <c r="PW124" s="672" t="e">
        <f t="shared" si="531"/>
        <v>#DIV/0!</v>
      </c>
      <c r="PX124" s="672" t="e">
        <f t="shared" si="531"/>
        <v>#DIV/0!</v>
      </c>
      <c r="PY124" s="672" t="e">
        <f t="shared" si="531"/>
        <v>#DIV/0!</v>
      </c>
      <c r="PZ124" s="672" t="e">
        <f t="shared" si="531"/>
        <v>#DIV/0!</v>
      </c>
      <c r="QA124" s="676" t="e">
        <f t="shared" si="531"/>
        <v>#DIV/0!</v>
      </c>
      <c r="QB124" s="688" t="e">
        <f t="shared" si="531"/>
        <v>#DIV/0!</v>
      </c>
      <c r="QC124" s="1538" t="e">
        <f t="shared" si="531"/>
        <v>#DIV/0!</v>
      </c>
      <c r="QD124" s="1539" t="e">
        <f t="shared" si="531"/>
        <v>#DIV/0!</v>
      </c>
      <c r="QE124" s="672" t="e">
        <f t="shared" si="531"/>
        <v>#DIV/0!</v>
      </c>
      <c r="QF124" s="619" t="e">
        <f t="shared" si="531"/>
        <v>#DIV/0!</v>
      </c>
      <c r="QG124" s="619" t="s">
        <v>93</v>
      </c>
      <c r="QH124" s="672" t="e">
        <f t="shared" ref="QH124:QW124" si="532">QH123/QH122*100</f>
        <v>#DIV/0!</v>
      </c>
      <c r="QI124" s="619" t="e">
        <f t="shared" si="532"/>
        <v>#DIV/0!</v>
      </c>
      <c r="QJ124" s="675" t="e">
        <f t="shared" si="532"/>
        <v>#DIV/0!</v>
      </c>
      <c r="QK124" s="672" t="e">
        <f t="shared" si="532"/>
        <v>#DIV/0!</v>
      </c>
      <c r="QL124" s="672" t="e">
        <f t="shared" si="532"/>
        <v>#DIV/0!</v>
      </c>
      <c r="QM124" s="675" t="e">
        <f t="shared" si="532"/>
        <v>#DIV/0!</v>
      </c>
      <c r="QN124" s="672" t="e">
        <f t="shared" si="532"/>
        <v>#DIV/0!</v>
      </c>
      <c r="QO124" s="672" t="e">
        <f t="shared" si="532"/>
        <v>#DIV/0!</v>
      </c>
      <c r="QP124" s="672" t="e">
        <f t="shared" si="532"/>
        <v>#DIV/0!</v>
      </c>
      <c r="QQ124" s="672" t="e">
        <f t="shared" si="532"/>
        <v>#DIV/0!</v>
      </c>
      <c r="QR124" s="676" t="e">
        <f t="shared" si="532"/>
        <v>#DIV/0!</v>
      </c>
      <c r="QS124" s="688" t="e">
        <f t="shared" si="532"/>
        <v>#DIV/0!</v>
      </c>
      <c r="QT124" s="1538" t="e">
        <f t="shared" si="532"/>
        <v>#DIV/0!</v>
      </c>
      <c r="QU124" s="1539" t="e">
        <f t="shared" si="532"/>
        <v>#DIV/0!</v>
      </c>
      <c r="QV124" s="672" t="e">
        <f t="shared" si="532"/>
        <v>#DIV/0!</v>
      </c>
      <c r="QW124" s="619" t="e">
        <f t="shared" si="532"/>
        <v>#DIV/0!</v>
      </c>
      <c r="QX124" s="619" t="s">
        <v>93</v>
      </c>
      <c r="QY124" s="672" t="e">
        <f t="shared" ref="QY124:RN124" si="533">QY123/QY122*100</f>
        <v>#DIV/0!</v>
      </c>
      <c r="QZ124" s="619" t="e">
        <f t="shared" si="533"/>
        <v>#DIV/0!</v>
      </c>
      <c r="RA124" s="675" t="e">
        <f t="shared" si="533"/>
        <v>#DIV/0!</v>
      </c>
      <c r="RB124" s="672" t="e">
        <f t="shared" si="533"/>
        <v>#DIV/0!</v>
      </c>
      <c r="RC124" s="672" t="e">
        <f t="shared" si="533"/>
        <v>#DIV/0!</v>
      </c>
      <c r="RD124" s="675" t="e">
        <f t="shared" si="533"/>
        <v>#DIV/0!</v>
      </c>
      <c r="RE124" s="672" t="e">
        <f t="shared" si="533"/>
        <v>#DIV/0!</v>
      </c>
      <c r="RF124" s="672" t="e">
        <f t="shared" si="533"/>
        <v>#DIV/0!</v>
      </c>
      <c r="RG124" s="672" t="e">
        <f t="shared" si="533"/>
        <v>#DIV/0!</v>
      </c>
      <c r="RH124" s="672" t="e">
        <f t="shared" si="533"/>
        <v>#DIV/0!</v>
      </c>
      <c r="RI124" s="676" t="e">
        <f t="shared" si="533"/>
        <v>#DIV/0!</v>
      </c>
      <c r="RJ124" s="688">
        <f t="shared" si="533"/>
        <v>0.21836601342771697</v>
      </c>
      <c r="RK124" s="1538">
        <f t="shared" si="533"/>
        <v>1.6687074458953652</v>
      </c>
      <c r="RL124" s="1539">
        <f t="shared" si="533"/>
        <v>0</v>
      </c>
      <c r="RM124" s="672">
        <f t="shared" si="533"/>
        <v>-0.49166081038657256</v>
      </c>
      <c r="RN124" s="619">
        <f t="shared" si="533"/>
        <v>0</v>
      </c>
      <c r="RO124" s="619" t="s">
        <v>93</v>
      </c>
      <c r="RP124" s="672" t="e">
        <f t="shared" ref="RP124:SE124" si="534">RP123/RP122*100</f>
        <v>#DIV/0!</v>
      </c>
      <c r="RQ124" s="619" t="e">
        <f t="shared" si="534"/>
        <v>#DIV/0!</v>
      </c>
      <c r="RR124" s="675" t="e">
        <f t="shared" si="534"/>
        <v>#VALUE!</v>
      </c>
      <c r="RS124" s="672" t="e">
        <f t="shared" si="534"/>
        <v>#VALUE!</v>
      </c>
      <c r="RT124" s="672" t="e">
        <f t="shared" si="534"/>
        <v>#VALUE!</v>
      </c>
      <c r="RU124" s="675" t="e">
        <f t="shared" si="534"/>
        <v>#VALUE!</v>
      </c>
      <c r="RV124" s="672" t="e">
        <f t="shared" si="534"/>
        <v>#VALUE!</v>
      </c>
      <c r="RW124" s="672" t="e">
        <f t="shared" si="534"/>
        <v>#VALUE!</v>
      </c>
      <c r="RX124" s="672" t="e">
        <f t="shared" si="534"/>
        <v>#VALUE!</v>
      </c>
      <c r="RY124" s="672" t="e">
        <f t="shared" si="534"/>
        <v>#VALUE!</v>
      </c>
      <c r="RZ124" s="676" t="e">
        <f t="shared" si="534"/>
        <v>#VALUE!</v>
      </c>
      <c r="SA124" s="688">
        <f t="shared" si="534"/>
        <v>0.43758668835612269</v>
      </c>
      <c r="SB124" s="1538">
        <f t="shared" si="534"/>
        <v>1.2856486930664501</v>
      </c>
      <c r="SC124" s="1539">
        <f t="shared" si="534"/>
        <v>0</v>
      </c>
      <c r="SD124" s="672">
        <f t="shared" si="534"/>
        <v>-2.1152761163929921E-2</v>
      </c>
      <c r="SE124" s="619">
        <f t="shared" si="534"/>
        <v>0</v>
      </c>
      <c r="SF124" s="619" t="s">
        <v>93</v>
      </c>
      <c r="SG124" s="672" t="e">
        <f t="shared" ref="SG124:SV124" si="535">SG123/SG122*100</f>
        <v>#DIV/0!</v>
      </c>
      <c r="SH124" s="619" t="e">
        <f t="shared" si="535"/>
        <v>#DIV/0!</v>
      </c>
      <c r="SI124" s="675" t="e">
        <f t="shared" si="535"/>
        <v>#VALUE!</v>
      </c>
      <c r="SJ124" s="672" t="e">
        <f t="shared" si="535"/>
        <v>#VALUE!</v>
      </c>
      <c r="SK124" s="672" t="e">
        <f t="shared" si="535"/>
        <v>#VALUE!</v>
      </c>
      <c r="SL124" s="675" t="e">
        <f t="shared" si="535"/>
        <v>#VALUE!</v>
      </c>
      <c r="SM124" s="672" t="e">
        <f t="shared" si="535"/>
        <v>#VALUE!</v>
      </c>
      <c r="SN124" s="672" t="e">
        <f t="shared" si="535"/>
        <v>#VALUE!</v>
      </c>
      <c r="SO124" s="672" t="e">
        <f t="shared" si="535"/>
        <v>#VALUE!</v>
      </c>
      <c r="SP124" s="672" t="e">
        <f t="shared" si="535"/>
        <v>#VALUE!</v>
      </c>
      <c r="SQ124" s="676" t="e">
        <f t="shared" si="535"/>
        <v>#VALUE!</v>
      </c>
      <c r="SR124" s="688" t="e">
        <f t="shared" si="535"/>
        <v>#DIV/0!</v>
      </c>
      <c r="SS124" s="1538" t="e">
        <f t="shared" si="535"/>
        <v>#DIV/0!</v>
      </c>
      <c r="ST124" s="1539" t="e">
        <f t="shared" si="535"/>
        <v>#DIV/0!</v>
      </c>
      <c r="SU124" s="672" t="e">
        <f t="shared" si="535"/>
        <v>#DIV/0!</v>
      </c>
      <c r="SV124" s="619" t="e">
        <f t="shared" si="535"/>
        <v>#DIV/0!</v>
      </c>
      <c r="SW124" s="619" t="s">
        <v>93</v>
      </c>
      <c r="SX124" s="672" t="e">
        <f t="shared" ref="SX124:TM124" si="536">SX123/SX122*100</f>
        <v>#DIV/0!</v>
      </c>
      <c r="SY124" s="619" t="e">
        <f t="shared" si="536"/>
        <v>#DIV/0!</v>
      </c>
      <c r="SZ124" s="675" t="e">
        <f t="shared" si="536"/>
        <v>#DIV/0!</v>
      </c>
      <c r="TA124" s="672" t="e">
        <f t="shared" si="536"/>
        <v>#DIV/0!</v>
      </c>
      <c r="TB124" s="672" t="e">
        <f t="shared" si="536"/>
        <v>#DIV/0!</v>
      </c>
      <c r="TC124" s="675" t="e">
        <f t="shared" si="536"/>
        <v>#DIV/0!</v>
      </c>
      <c r="TD124" s="672" t="e">
        <f t="shared" si="536"/>
        <v>#DIV/0!</v>
      </c>
      <c r="TE124" s="672" t="e">
        <f t="shared" si="536"/>
        <v>#DIV/0!</v>
      </c>
      <c r="TF124" s="672" t="e">
        <f t="shared" si="536"/>
        <v>#DIV/0!</v>
      </c>
      <c r="TG124" s="672" t="e">
        <f t="shared" si="536"/>
        <v>#DIV/0!</v>
      </c>
      <c r="TH124" s="676" t="e">
        <f t="shared" si="536"/>
        <v>#DIV/0!</v>
      </c>
      <c r="TI124" s="688">
        <f t="shared" si="536"/>
        <v>0.21836601342771697</v>
      </c>
      <c r="TJ124" s="1538">
        <f t="shared" si="536"/>
        <v>0.81608320346707663</v>
      </c>
      <c r="TK124" s="1539">
        <f t="shared" si="536"/>
        <v>0</v>
      </c>
      <c r="TL124" s="672">
        <f t="shared" si="536"/>
        <v>-5.0091814780845581E-2</v>
      </c>
      <c r="TM124" s="619">
        <f t="shared" si="536"/>
        <v>0</v>
      </c>
      <c r="TN124" s="619" t="s">
        <v>93</v>
      </c>
      <c r="TO124" s="672" t="e">
        <f t="shared" ref="TO124:TY124" si="537">TO123/TO122*100</f>
        <v>#DIV/0!</v>
      </c>
      <c r="TP124" s="619" t="e">
        <f t="shared" si="537"/>
        <v>#DIV/0!</v>
      </c>
      <c r="TQ124" s="675" t="e">
        <f t="shared" si="537"/>
        <v>#VALUE!</v>
      </c>
      <c r="TR124" s="672" t="e">
        <f t="shared" si="537"/>
        <v>#VALUE!</v>
      </c>
      <c r="TS124" s="672" t="e">
        <f t="shared" si="537"/>
        <v>#VALUE!</v>
      </c>
      <c r="TT124" s="675" t="e">
        <f t="shared" si="537"/>
        <v>#VALUE!</v>
      </c>
      <c r="TU124" s="672" t="e">
        <f t="shared" si="537"/>
        <v>#VALUE!</v>
      </c>
      <c r="TV124" s="672" t="e">
        <f t="shared" si="537"/>
        <v>#VALUE!</v>
      </c>
      <c r="TW124" s="672" t="e">
        <f t="shared" si="537"/>
        <v>#VALUE!</v>
      </c>
      <c r="TX124" s="672" t="e">
        <f t="shared" si="537"/>
        <v>#VALUE!</v>
      </c>
      <c r="TY124" s="676" t="e">
        <f t="shared" si="537"/>
        <v>#VALUE!</v>
      </c>
    </row>
    <row r="125" spans="1:545" ht="15.75" thickBot="1" x14ac:dyDescent="0.3">
      <c r="A125" s="1541" t="s">
        <v>1059</v>
      </c>
      <c r="B125" s="699"/>
      <c r="C125" s="700"/>
      <c r="D125" s="700"/>
      <c r="E125" s="604"/>
      <c r="F125" s="700"/>
      <c r="G125" s="700"/>
      <c r="H125" s="604"/>
      <c r="I125" s="700"/>
      <c r="J125" s="698"/>
      <c r="K125" s="604"/>
      <c r="L125" s="604"/>
      <c r="M125" s="697"/>
      <c r="N125" s="604"/>
      <c r="O125" s="19"/>
      <c r="P125" s="19"/>
      <c r="Q125" s="604"/>
      <c r="R125" s="607"/>
      <c r="S125" s="1535"/>
      <c r="T125" s="1535"/>
      <c r="U125" s="1536"/>
      <c r="V125" s="604"/>
      <c r="W125" s="700"/>
      <c r="X125" s="700"/>
      <c r="Y125" s="604"/>
      <c r="Z125" s="700"/>
      <c r="AA125" s="698"/>
      <c r="AB125" s="604"/>
      <c r="AC125" s="604"/>
      <c r="AD125" s="697"/>
      <c r="AE125" s="604"/>
      <c r="AF125" s="604"/>
      <c r="AG125" s="604"/>
      <c r="AH125" s="604"/>
      <c r="AI125" s="607"/>
      <c r="AJ125" s="1535"/>
      <c r="AK125" s="1535"/>
      <c r="AL125" s="1536"/>
      <c r="AM125" s="604"/>
      <c r="AN125" s="700"/>
      <c r="AO125" s="700"/>
      <c r="AP125" s="604"/>
      <c r="AQ125" s="700"/>
      <c r="AR125" s="698"/>
      <c r="AS125" s="604"/>
      <c r="AT125" s="604"/>
      <c r="AU125" s="697"/>
      <c r="AV125" s="604"/>
      <c r="AW125" s="604"/>
      <c r="AX125" s="604"/>
      <c r="AY125" s="604"/>
      <c r="AZ125" s="607"/>
      <c r="BA125" s="699"/>
      <c r="BB125" s="1535"/>
      <c r="BC125" s="1536"/>
      <c r="BD125" s="604"/>
      <c r="BE125" s="700"/>
      <c r="BF125" s="700"/>
      <c r="BG125" s="604"/>
      <c r="BH125" s="700"/>
      <c r="BI125" s="698"/>
      <c r="BJ125" s="604"/>
      <c r="BK125" s="604"/>
      <c r="BL125" s="697"/>
      <c r="BM125" s="604"/>
      <c r="BN125" s="19"/>
      <c r="BO125" s="604"/>
      <c r="BP125" s="604"/>
      <c r="BQ125" s="607"/>
      <c r="BR125" s="699"/>
      <c r="BS125" s="1535"/>
      <c r="BT125" s="1536"/>
      <c r="BU125" s="604"/>
      <c r="BV125" s="700"/>
      <c r="BW125" s="700"/>
      <c r="BX125" s="604"/>
      <c r="BY125" s="700"/>
      <c r="BZ125" s="698"/>
      <c r="CA125" s="604"/>
      <c r="CB125" s="604"/>
      <c r="CC125" s="697"/>
      <c r="CD125" s="604"/>
      <c r="CE125" s="19"/>
      <c r="CF125" s="604"/>
      <c r="CG125" s="604"/>
      <c r="CH125" s="607"/>
      <c r="CI125" s="699"/>
      <c r="CJ125" s="1535"/>
      <c r="CK125" s="1536"/>
      <c r="CL125" s="604"/>
      <c r="CM125" s="700"/>
      <c r="CN125" s="700"/>
      <c r="CO125" s="604"/>
      <c r="CP125" s="700"/>
      <c r="CQ125" s="698"/>
      <c r="CR125" s="604"/>
      <c r="CS125" s="604"/>
      <c r="CT125" s="697"/>
      <c r="CU125" s="604"/>
      <c r="CV125" s="19"/>
      <c r="CW125" s="604"/>
      <c r="CX125" s="604"/>
      <c r="CY125" s="607"/>
      <c r="CZ125" s="699"/>
      <c r="DA125" s="1535"/>
      <c r="DB125" s="1536"/>
      <c r="DC125" s="604"/>
      <c r="DD125" s="700"/>
      <c r="DE125" s="700"/>
      <c r="DF125" s="604"/>
      <c r="DG125" s="700"/>
      <c r="DH125" s="698"/>
      <c r="DI125" s="604"/>
      <c r="DJ125" s="604"/>
      <c r="DK125" s="697"/>
      <c r="DL125" s="604"/>
      <c r="DM125" s="604"/>
      <c r="DN125" s="604"/>
      <c r="DO125" s="604"/>
      <c r="DP125" s="607"/>
      <c r="DQ125" s="699"/>
      <c r="DR125" s="1535"/>
      <c r="DS125" s="1536"/>
      <c r="DT125" s="698"/>
      <c r="DU125" s="700"/>
      <c r="DV125" s="700"/>
      <c r="DW125" s="604"/>
      <c r="DX125" s="700"/>
      <c r="DY125" s="698"/>
      <c r="DZ125" s="604"/>
      <c r="EA125" s="604"/>
      <c r="EB125" s="697"/>
      <c r="EC125" s="604"/>
      <c r="ED125" s="604"/>
      <c r="EE125" s="604"/>
      <c r="EF125" s="604"/>
      <c r="EG125" s="607"/>
      <c r="EH125" s="699"/>
      <c r="EI125" s="1535"/>
      <c r="EJ125" s="1536"/>
      <c r="EK125" s="604"/>
      <c r="EL125" s="700"/>
      <c r="EM125" s="700"/>
      <c r="EN125" s="604"/>
      <c r="EO125" s="700"/>
      <c r="EP125" s="698"/>
      <c r="EQ125" s="604"/>
      <c r="ER125" s="604"/>
      <c r="ES125" s="697"/>
      <c r="ET125" s="604"/>
      <c r="EU125" s="19"/>
      <c r="EV125" s="604"/>
      <c r="EW125" s="604"/>
      <c r="EX125" s="607"/>
      <c r="EY125" s="699"/>
      <c r="EZ125" s="1535"/>
      <c r="FA125" s="1536"/>
      <c r="FB125" s="604"/>
      <c r="FC125" s="700"/>
      <c r="FD125" s="700"/>
      <c r="FE125" s="604"/>
      <c r="FF125" s="700"/>
      <c r="FG125" s="698"/>
      <c r="FH125" s="604"/>
      <c r="FI125" s="604"/>
      <c r="FJ125" s="697"/>
      <c r="FK125" s="604"/>
      <c r="FL125" s="604"/>
      <c r="FM125" s="604"/>
      <c r="FN125" s="604"/>
      <c r="FO125" s="607"/>
      <c r="FP125" s="699"/>
      <c r="FQ125" s="1535"/>
      <c r="FR125" s="1536"/>
      <c r="FS125" s="604"/>
      <c r="FT125" s="700"/>
      <c r="FU125" s="700"/>
      <c r="FV125" s="604"/>
      <c r="FW125" s="700"/>
      <c r="FX125" s="698"/>
      <c r="FY125" s="604"/>
      <c r="FZ125" s="604"/>
      <c r="GA125" s="697"/>
      <c r="GB125" s="604"/>
      <c r="GC125" s="604"/>
      <c r="GD125" s="604"/>
      <c r="GE125" s="604"/>
      <c r="GF125" s="607"/>
      <c r="GG125" s="699"/>
      <c r="GH125" s="1535"/>
      <c r="GI125" s="1536"/>
      <c r="GJ125" s="698"/>
      <c r="GK125" s="700"/>
      <c r="GL125" s="700"/>
      <c r="GM125" s="604"/>
      <c r="GN125" s="700"/>
      <c r="GO125" s="698"/>
      <c r="GP125" s="604"/>
      <c r="GQ125" s="604"/>
      <c r="GR125" s="697"/>
      <c r="GS125" s="604"/>
      <c r="GT125" s="604"/>
      <c r="GU125" s="604"/>
      <c r="GV125" s="604"/>
      <c r="GW125" s="607"/>
      <c r="GX125" s="699"/>
      <c r="GY125" s="1535"/>
      <c r="GZ125" s="1536"/>
      <c r="HA125" s="604"/>
      <c r="HB125" s="700"/>
      <c r="HC125" s="700"/>
      <c r="HD125" s="604"/>
      <c r="HE125" s="700"/>
      <c r="HF125" s="698"/>
      <c r="HG125" s="604"/>
      <c r="HH125" s="604"/>
      <c r="HI125" s="697"/>
      <c r="HJ125" s="604"/>
      <c r="HK125" s="604"/>
      <c r="HL125" s="604"/>
      <c r="HM125" s="604"/>
      <c r="HN125" s="607"/>
      <c r="HO125" s="699"/>
      <c r="HP125" s="1535"/>
      <c r="HQ125" s="1536"/>
      <c r="HR125" s="604"/>
      <c r="HS125" s="700"/>
      <c r="HT125" s="700"/>
      <c r="HU125" s="604"/>
      <c r="HV125" s="700"/>
      <c r="HW125" s="698"/>
      <c r="HX125" s="604"/>
      <c r="HY125" s="604"/>
      <c r="HZ125" s="697"/>
      <c r="IA125" s="604"/>
      <c r="IB125" s="604"/>
      <c r="IC125" s="604"/>
      <c r="ID125" s="604"/>
      <c r="IE125" s="607"/>
      <c r="IF125" s="699"/>
      <c r="IG125" s="1535"/>
      <c r="IH125" s="1536"/>
      <c r="II125" s="604"/>
      <c r="IJ125" s="700"/>
      <c r="IK125" s="700"/>
      <c r="IL125" s="604"/>
      <c r="IM125" s="700"/>
      <c r="IN125" s="698"/>
      <c r="IO125" s="604"/>
      <c r="IP125" s="604"/>
      <c r="IQ125" s="697"/>
      <c r="IR125" s="604"/>
      <c r="IS125" s="604"/>
      <c r="IT125" s="604"/>
      <c r="IU125" s="604"/>
      <c r="IV125" s="607"/>
      <c r="IW125" s="699"/>
      <c r="IX125" s="1535"/>
      <c r="IY125" s="1536"/>
      <c r="IZ125" s="604"/>
      <c r="JA125" s="700"/>
      <c r="JB125" s="700"/>
      <c r="JC125" s="604"/>
      <c r="JD125" s="700"/>
      <c r="JE125" s="698"/>
      <c r="JF125" s="604"/>
      <c r="JG125" s="604"/>
      <c r="JH125" s="697"/>
      <c r="JI125" s="604"/>
      <c r="JJ125" s="604"/>
      <c r="JK125" s="604"/>
      <c r="JL125" s="604"/>
      <c r="JM125" s="607"/>
      <c r="JN125" s="699"/>
      <c r="JO125" s="1535"/>
      <c r="JP125" s="1536"/>
      <c r="JQ125" s="604"/>
      <c r="JR125" s="700"/>
      <c r="JS125" s="700"/>
      <c r="JT125" s="604"/>
      <c r="JU125" s="700"/>
      <c r="JV125" s="698"/>
      <c r="JW125" s="604"/>
      <c r="JX125" s="604"/>
      <c r="JY125" s="697"/>
      <c r="JZ125" s="604"/>
      <c r="KA125" s="604"/>
      <c r="KB125" s="604"/>
      <c r="KC125" s="604"/>
      <c r="KD125" s="607"/>
      <c r="KE125" s="699"/>
      <c r="KF125" s="1535"/>
      <c r="KG125" s="1536"/>
      <c r="KH125" s="604"/>
      <c r="KI125" s="700"/>
      <c r="KJ125" s="700"/>
      <c r="KK125" s="604"/>
      <c r="KL125" s="700"/>
      <c r="KM125" s="698"/>
      <c r="KN125" s="604"/>
      <c r="KO125" s="604"/>
      <c r="KP125" s="697"/>
      <c r="KQ125" s="604"/>
      <c r="KR125" s="604"/>
      <c r="KS125" s="604"/>
      <c r="KT125" s="604"/>
      <c r="KU125" s="607"/>
      <c r="KV125" s="699"/>
      <c r="KW125" s="1535"/>
      <c r="KX125" s="1536"/>
      <c r="KY125" s="604"/>
      <c r="KZ125" s="700"/>
      <c r="LA125" s="700"/>
      <c r="LB125" s="604"/>
      <c r="LC125" s="700"/>
      <c r="LD125" s="698"/>
      <c r="LE125" s="604"/>
      <c r="LF125" s="604"/>
      <c r="LG125" s="697"/>
      <c r="LH125" s="604"/>
      <c r="LI125" s="604"/>
      <c r="LJ125" s="604"/>
      <c r="LK125" s="604"/>
      <c r="LL125" s="607"/>
      <c r="LM125" s="699"/>
      <c r="LN125" s="1535"/>
      <c r="LO125" s="1536"/>
      <c r="LP125" s="604"/>
      <c r="LQ125" s="700"/>
      <c r="LR125" s="700"/>
      <c r="LS125" s="604"/>
      <c r="LT125" s="700"/>
      <c r="LU125" s="698"/>
      <c r="LV125" s="604"/>
      <c r="LW125" s="604"/>
      <c r="LX125" s="697"/>
      <c r="LY125" s="604"/>
      <c r="LZ125" s="604"/>
      <c r="MA125" s="604"/>
      <c r="MB125" s="604"/>
      <c r="MC125" s="607"/>
      <c r="MD125" s="699"/>
      <c r="ME125" s="1535"/>
      <c r="MF125" s="1536"/>
      <c r="MG125" s="604"/>
      <c r="MH125" s="700"/>
      <c r="MI125" s="700"/>
      <c r="MJ125" s="604"/>
      <c r="MK125" s="700"/>
      <c r="ML125" s="698"/>
      <c r="MM125" s="604"/>
      <c r="MN125" s="604"/>
      <c r="MO125" s="697"/>
      <c r="MP125" s="604"/>
      <c r="MQ125" s="604"/>
      <c r="MR125" s="604"/>
      <c r="MS125" s="604"/>
      <c r="MT125" s="607"/>
      <c r="MU125" s="699"/>
      <c r="MV125" s="1535"/>
      <c r="MW125" s="1536"/>
      <c r="MX125" s="604"/>
      <c r="MY125" s="700"/>
      <c r="MZ125" s="700"/>
      <c r="NA125" s="604"/>
      <c r="NB125" s="700"/>
      <c r="NC125" s="698"/>
      <c r="ND125" s="604"/>
      <c r="NE125" s="604"/>
      <c r="NF125" s="697"/>
      <c r="NG125" s="604"/>
      <c r="NH125" s="19"/>
      <c r="NI125" s="604"/>
      <c r="NJ125" s="604"/>
      <c r="NK125" s="607"/>
      <c r="NL125" s="699"/>
      <c r="NM125" s="1535"/>
      <c r="NN125" s="1536"/>
      <c r="NO125" s="604"/>
      <c r="NP125" s="700"/>
      <c r="NQ125" s="700"/>
      <c r="NR125" s="604"/>
      <c r="NS125" s="700"/>
      <c r="NT125" s="698"/>
      <c r="NU125" s="604"/>
      <c r="NV125" s="604"/>
      <c r="NW125" s="697"/>
      <c r="NX125" s="604"/>
      <c r="NY125" s="604"/>
      <c r="NZ125" s="604"/>
      <c r="OA125" s="604"/>
      <c r="OB125" s="607"/>
      <c r="OC125" s="699"/>
      <c r="OD125" s="1535"/>
      <c r="OE125" s="1536"/>
      <c r="OF125" s="604"/>
      <c r="OG125" s="700"/>
      <c r="OH125" s="700"/>
      <c r="OI125" s="604"/>
      <c r="OJ125" s="700"/>
      <c r="OK125" s="698"/>
      <c r="OL125" s="604"/>
      <c r="OM125" s="604"/>
      <c r="ON125" s="697"/>
      <c r="OO125" s="604"/>
      <c r="OP125" s="19"/>
      <c r="OQ125" s="604"/>
      <c r="OR125" s="604"/>
      <c r="OS125" s="607"/>
      <c r="OT125" s="699"/>
      <c r="OU125" s="1535"/>
      <c r="OV125" s="1536"/>
      <c r="OW125" s="604"/>
      <c r="OX125" s="700"/>
      <c r="OY125" s="700"/>
      <c r="OZ125" s="604"/>
      <c r="PA125" s="700"/>
      <c r="PB125" s="698"/>
      <c r="PC125" s="604"/>
      <c r="PD125" s="604"/>
      <c r="PE125" s="697"/>
      <c r="PF125" s="604"/>
      <c r="PG125" s="604"/>
      <c r="PH125" s="604"/>
      <c r="PI125" s="604"/>
      <c r="PJ125" s="607"/>
      <c r="PK125" s="699"/>
      <c r="PL125" s="1535"/>
      <c r="PM125" s="1536"/>
      <c r="PN125" s="604"/>
      <c r="PO125" s="700"/>
      <c r="PP125" s="700"/>
      <c r="PQ125" s="604"/>
      <c r="PR125" s="700"/>
      <c r="PS125" s="698"/>
      <c r="PT125" s="604"/>
      <c r="PU125" s="604"/>
      <c r="PV125" s="697"/>
      <c r="PW125" s="604"/>
      <c r="PX125" s="604"/>
      <c r="PY125" s="604"/>
      <c r="PZ125" s="604"/>
      <c r="QA125" s="607"/>
      <c r="QB125" s="699"/>
      <c r="QC125" s="1535"/>
      <c r="QD125" s="1536"/>
      <c r="QE125" s="604"/>
      <c r="QF125" s="700"/>
      <c r="QG125" s="700"/>
      <c r="QH125" s="604"/>
      <c r="QI125" s="700"/>
      <c r="QJ125" s="698"/>
      <c r="QK125" s="604"/>
      <c r="QL125" s="604"/>
      <c r="QM125" s="697"/>
      <c r="QN125" s="604"/>
      <c r="QO125" s="604"/>
      <c r="QP125" s="604"/>
      <c r="QQ125" s="604"/>
      <c r="QR125" s="607"/>
      <c r="QS125" s="699"/>
      <c r="QT125" s="1535"/>
      <c r="QU125" s="1536"/>
      <c r="QV125" s="698"/>
      <c r="QW125" s="700"/>
      <c r="QX125" s="700"/>
      <c r="QY125" s="604"/>
      <c r="QZ125" s="700"/>
      <c r="RA125" s="698"/>
      <c r="RB125" s="604"/>
      <c r="RC125" s="604"/>
      <c r="RD125" s="697"/>
      <c r="RE125" s="604"/>
      <c r="RF125" s="604"/>
      <c r="RG125" s="604"/>
      <c r="RH125" s="604"/>
      <c r="RI125" s="607"/>
      <c r="RJ125" s="699"/>
      <c r="RK125" s="1535"/>
      <c r="RL125" s="1536"/>
      <c r="RM125" s="604"/>
      <c r="RN125" s="700"/>
      <c r="RO125" s="700"/>
      <c r="RP125" s="604"/>
      <c r="RQ125" s="700"/>
      <c r="RR125" s="698"/>
      <c r="RS125" s="604"/>
      <c r="RT125" s="604"/>
      <c r="RU125" s="697"/>
      <c r="RV125" s="604"/>
      <c r="RW125" s="19"/>
      <c r="RX125" s="604"/>
      <c r="RY125" s="604"/>
      <c r="RZ125" s="607"/>
      <c r="SA125" s="699"/>
      <c r="SB125" s="1535"/>
      <c r="SC125" s="1536"/>
      <c r="SD125" s="604"/>
      <c r="SE125" s="700"/>
      <c r="SF125" s="700"/>
      <c r="SG125" s="604"/>
      <c r="SH125" s="700"/>
      <c r="SI125" s="698"/>
      <c r="SJ125" s="604"/>
      <c r="SK125" s="604"/>
      <c r="SL125" s="697"/>
      <c r="SM125" s="604"/>
      <c r="SN125" s="19"/>
      <c r="SO125" s="604"/>
      <c r="SP125" s="604"/>
      <c r="SQ125" s="607"/>
      <c r="SR125" s="699"/>
      <c r="SS125" s="1535"/>
      <c r="ST125" s="1536"/>
      <c r="SU125" s="604"/>
      <c r="SV125" s="700"/>
      <c r="SW125" s="700"/>
      <c r="SX125" s="604"/>
      <c r="SY125" s="700"/>
      <c r="SZ125" s="698"/>
      <c r="TA125" s="604"/>
      <c r="TB125" s="604"/>
      <c r="TC125" s="697"/>
      <c r="TD125" s="604"/>
      <c r="TE125" s="604"/>
      <c r="TF125" s="604"/>
      <c r="TG125" s="604"/>
      <c r="TH125" s="607"/>
      <c r="TI125" s="699"/>
      <c r="TJ125" s="1535"/>
      <c r="TK125" s="1536"/>
      <c r="TL125" s="604"/>
      <c r="TM125" s="700"/>
      <c r="TN125" s="700"/>
      <c r="TO125" s="604"/>
      <c r="TP125" s="700"/>
      <c r="TQ125" s="698"/>
      <c r="TR125" s="604"/>
      <c r="TS125" s="604"/>
      <c r="TT125" s="697"/>
      <c r="TU125" s="604"/>
      <c r="TV125" s="19"/>
      <c r="TW125" s="604"/>
      <c r="TX125" s="604"/>
      <c r="TY125" s="607"/>
    </row>
    <row r="126" spans="1:545" x14ac:dyDescent="0.25">
      <c r="A126" s="2218">
        <v>200</v>
      </c>
      <c r="B126" s="664"/>
      <c r="C126" s="667"/>
      <c r="D126" s="667"/>
      <c r="E126" s="651"/>
      <c r="F126" s="667"/>
      <c r="G126" s="663"/>
      <c r="H126" s="651"/>
      <c r="I126" s="652"/>
      <c r="J126" s="653"/>
      <c r="K126" s="599"/>
      <c r="L126" s="599"/>
      <c r="M126" s="657"/>
      <c r="N126" s="600"/>
      <c r="O126" s="599"/>
      <c r="P126" s="600"/>
      <c r="Q126" s="599"/>
      <c r="R126" s="658"/>
      <c r="S126" s="659"/>
      <c r="T126" s="660"/>
      <c r="U126" s="661"/>
      <c r="V126" s="651"/>
      <c r="W126" s="662"/>
      <c r="X126" s="663"/>
      <c r="Y126" s="651">
        <f>IF(AND(ABS(V126)&gt;=$F$42,ABS(V126)&lt;=$G$42),V126*$D$42,IF(AND(ABS(V126)&gt;=$F$43,ABS(V126)&lt;=$G$43),V126*$D$43,IF(AND(ABS(V126)&gt;=$F$44,ABS(V126)&lt;=$G$44),V126*$D$44,"rango cal. out")))</f>
        <v>0</v>
      </c>
      <c r="Z126" s="652" t="e">
        <f t="shared" ref="Z126:Z135" si="538">((273.2+S126)*$F$32/((273.2+$F$31)*U126))</f>
        <v>#DIV/0!</v>
      </c>
      <c r="AA126" s="653" t="e">
        <f t="shared" ref="AA126:AA135" si="539">Y126/W126*Z126*EXP(-LN(2)/10990*($F$88-X126))</f>
        <v>#DIV/0!</v>
      </c>
      <c r="AB126" s="599" t="e">
        <f>AA126-AVERAGE(AI94:AI95)</f>
        <v>#DIV/0!</v>
      </c>
      <c r="AC126" s="599" t="e">
        <f t="shared" ref="AC126:AC135" si="540">ABS($B$33*AB126*3600)</f>
        <v>#DIV/0!</v>
      </c>
      <c r="AD126" s="657" t="e">
        <f t="shared" ref="AD126:AD135" si="541">ABS($B$34*AB126*3600)</f>
        <v>#DIV/0!</v>
      </c>
      <c r="AE126" s="600" t="e">
        <f t="shared" ref="AE126:AE135" si="542">AD126*$C$79</f>
        <v>#DIV/0!</v>
      </c>
      <c r="AF126" s="599" t="e">
        <f t="shared" ref="AF126:AF135" si="543">AD126*$F$70</f>
        <v>#DIV/0!</v>
      </c>
      <c r="AG126" s="600" t="e">
        <f>AD126*$F$75</f>
        <v>#DIV/0!</v>
      </c>
      <c r="AH126" s="599" t="e">
        <f t="shared" ref="AH126:AH135" si="544">AD126*$F$72</f>
        <v>#DIV/0!</v>
      </c>
      <c r="AI126" s="658" t="e">
        <f t="shared" ref="AI126:AI135" si="545">AD126*$F$71</f>
        <v>#DIV/0!</v>
      </c>
      <c r="AJ126" s="659"/>
      <c r="AK126" s="660"/>
      <c r="AL126" s="661"/>
      <c r="AM126" s="651"/>
      <c r="AN126" s="662"/>
      <c r="AO126" s="663"/>
      <c r="AP126" s="651">
        <f>IF(AND(ABS(AM126)&gt;=$F$42,ABS(AM126)&lt;=$G$42),AM126*$D$42,IF(AND(ABS(AM126)&gt;=$F$43,ABS(AM126)&lt;=$G$43),AM126*$D$43,IF(AND(ABS(AM126)&gt;=$F$44,ABS(AM126)&lt;=$G$44),AM126*$D$44,"rango cal. out")))</f>
        <v>0</v>
      </c>
      <c r="AQ126" s="652" t="e">
        <f t="shared" ref="AQ126:AQ135" si="546">((273.2+AJ126)*$F$32/((273.2+$F$31)*AL126))</f>
        <v>#DIV/0!</v>
      </c>
      <c r="AR126" s="653" t="e">
        <f t="shared" ref="AR126:AR135" si="547">AP126/AN126*AQ126*EXP(-LN(2)/10990*($F$88-AO126))</f>
        <v>#DIV/0!</v>
      </c>
      <c r="AS126" s="599" t="e">
        <f>AR126-AVERAGE(AZ94:AZ95)</f>
        <v>#DIV/0!</v>
      </c>
      <c r="AT126" s="599" t="e">
        <f t="shared" ref="AT126:AT135" si="548">ABS($B$33*AS126*3600)</f>
        <v>#DIV/0!</v>
      </c>
      <c r="AU126" s="657" t="e">
        <f t="shared" ref="AU126:AU135" si="549">ABS($B$34*AS126*3600)</f>
        <v>#DIV/0!</v>
      </c>
      <c r="AV126" s="600" t="e">
        <f t="shared" ref="AV126:AV135" si="550">AU126*$C$79</f>
        <v>#DIV/0!</v>
      </c>
      <c r="AW126" s="599" t="e">
        <f t="shared" ref="AW126:AW135" si="551">AU126*$F$70</f>
        <v>#DIV/0!</v>
      </c>
      <c r="AX126" s="600" t="e">
        <f>AU126*$F$75</f>
        <v>#DIV/0!</v>
      </c>
      <c r="AY126" s="599" t="e">
        <f t="shared" ref="AY126:AY135" si="552">AU126*$F$72</f>
        <v>#DIV/0!</v>
      </c>
      <c r="AZ126" s="658" t="e">
        <f t="shared" ref="AZ126:AZ135" si="553">AU126*$F$71</f>
        <v>#DIV/0!</v>
      </c>
      <c r="BA126" s="664">
        <v>20.399999999999999</v>
      </c>
      <c r="BB126" s="660">
        <v>52</v>
      </c>
      <c r="BC126" s="666">
        <v>1009</v>
      </c>
      <c r="BD126" s="651">
        <v>-8.4529999999999997E-10</v>
      </c>
      <c r="BE126" s="667">
        <v>60</v>
      </c>
      <c r="BF126" s="663">
        <v>43403</v>
      </c>
      <c r="BG126" s="651" t="str">
        <f>IF(AND(ABS(BD126)&gt;=$F$42,ABS(BD126)&lt;=$G$42),BD126*$D$42,IF(AND(ABS(BD126)&gt;=$F$43,ABS(BD126)&lt;=$G$43),BD126*$D$43,IF(AND(ABS(BD126)&gt;=$F$44,ABS(BD126)&lt;=$G$44),BD126*$D$44,"rango cal. out")))</f>
        <v>rango cal. out</v>
      </c>
      <c r="BH126" s="652">
        <f t="shared" ref="BH126:BH135" si="554">((273.2+BA126)*$F$32/((273.2+$F$31)*BC126))</f>
        <v>0</v>
      </c>
      <c r="BI126" s="653" t="e">
        <f t="shared" ref="BI126:BI135" si="555">BG126/BE126*BH126*EXP(-LN(2)/10990*($F$88-BF126))</f>
        <v>#VALUE!</v>
      </c>
      <c r="BJ126" s="599" t="e">
        <f>BI126-AVERAGE(BQ94:BQ95)</f>
        <v>#VALUE!</v>
      </c>
      <c r="BK126" s="599" t="e">
        <f t="shared" ref="BK126:BK135" si="556">ABS($B$33*BJ126*3600)</f>
        <v>#VALUE!</v>
      </c>
      <c r="BL126" s="657" t="e">
        <f t="shared" ref="BL126:BL135" si="557">ABS($B$34*BJ126*3600)</f>
        <v>#VALUE!</v>
      </c>
      <c r="BM126" s="600" t="e">
        <f t="shared" ref="BM126:BM135" si="558">BL126*$C$79</f>
        <v>#VALUE!</v>
      </c>
      <c r="BN126" s="599" t="e">
        <f t="shared" ref="BN126:BN135" si="559">BL126*$F$70</f>
        <v>#VALUE!</v>
      </c>
      <c r="BO126" s="600" t="e">
        <f>BL126*$F$75</f>
        <v>#VALUE!</v>
      </c>
      <c r="BP126" s="599" t="e">
        <f t="shared" ref="BP126:BP135" si="560">BL126*$F$72</f>
        <v>#VALUE!</v>
      </c>
      <c r="BQ126" s="658" t="e">
        <f t="shared" ref="BQ126:BQ135" si="561">BL126*$F$71</f>
        <v>#VALUE!</v>
      </c>
      <c r="BR126" s="664">
        <v>20.6</v>
      </c>
      <c r="BS126" s="660">
        <v>49</v>
      </c>
      <c r="BT126" s="666">
        <v>1008</v>
      </c>
      <c r="BU126" s="651">
        <v>-3.4410000000000001E-11</v>
      </c>
      <c r="BV126" s="667">
        <v>60</v>
      </c>
      <c r="BW126" s="663">
        <v>43403</v>
      </c>
      <c r="BX126" s="651" t="str">
        <f>IF(AND(ABS(BU126)&gt;=$F$42,ABS(BU126)&lt;=$G$42),BU126*$D$42,IF(AND(ABS(BU126)&gt;=$F$43,ABS(BU126)&lt;=$G$43),BU126*$D$43,IF(AND(ABS(BU126)&gt;=$F$44,ABS(BU126)&lt;=$G$44),BU126*$D$44,"rango cal. out")))</f>
        <v>rango cal. out</v>
      </c>
      <c r="BY126" s="652">
        <f t="shared" ref="BY126:BY135" si="562">((273.2+BR126)*$F$32/((273.2+$F$31)*BT126))</f>
        <v>0</v>
      </c>
      <c r="BZ126" s="653" t="e">
        <f t="shared" ref="BZ126:BZ135" si="563">BX126/BV126*BY126*EXP(-LN(2)/10990*($F$88-BW126))</f>
        <v>#VALUE!</v>
      </c>
      <c r="CA126" s="599" t="e">
        <f>BZ126-AVERAGE(CH94:CH95)</f>
        <v>#VALUE!</v>
      </c>
      <c r="CB126" s="599" t="e">
        <f t="shared" ref="CB126:CB135" si="564">ABS($B$33*CA126*3600)</f>
        <v>#VALUE!</v>
      </c>
      <c r="CC126" s="657" t="e">
        <f t="shared" ref="CC126:CC135" si="565">ABS($B$34*CA126*3600)</f>
        <v>#VALUE!</v>
      </c>
      <c r="CD126" s="600" t="e">
        <f t="shared" ref="CD126:CD135" si="566">CC126*$C$79</f>
        <v>#VALUE!</v>
      </c>
      <c r="CE126" s="599" t="e">
        <f t="shared" ref="CE126:CE135" si="567">CC126*$F$70</f>
        <v>#VALUE!</v>
      </c>
      <c r="CF126" s="600" t="e">
        <f>CC126*$F$75</f>
        <v>#VALUE!</v>
      </c>
      <c r="CG126" s="599" t="e">
        <f t="shared" ref="CG126:CG135" si="568">CC126*$F$72</f>
        <v>#VALUE!</v>
      </c>
      <c r="CH126" s="658" t="e">
        <f t="shared" ref="CH126:CH135" si="569">CC126*$F$71</f>
        <v>#VALUE!</v>
      </c>
      <c r="CI126" s="664">
        <v>20.5</v>
      </c>
      <c r="CJ126" s="660">
        <v>50</v>
      </c>
      <c r="CK126" s="666">
        <v>1007</v>
      </c>
      <c r="CL126" s="651">
        <v>-1.9719999999999998E-9</v>
      </c>
      <c r="CM126" s="667">
        <v>60</v>
      </c>
      <c r="CN126" s="663">
        <v>43403</v>
      </c>
      <c r="CO126" s="651" t="str">
        <f>IF(AND(ABS(CL126)&gt;=$F$42,ABS(CL126)&lt;=$G$42),CL126*$D$42,IF(AND(ABS(CL126)&gt;=$F$43,ABS(CL126)&lt;=$G$43),CL126*$D$43,IF(AND(ABS(CL126)&gt;=$F$44,ABS(CL126)&lt;=$G$44),CL126*$D$44,"rango cal. out")))</f>
        <v>rango cal. out</v>
      </c>
      <c r="CP126" s="652">
        <f t="shared" ref="CP126:CP135" si="570">((273.2+CI126)*$F$32/((273.2+$F$31)*CK126))</f>
        <v>0</v>
      </c>
      <c r="CQ126" s="653" t="e">
        <f t="shared" ref="CQ126:CQ135" si="571">CO126/CM126*CP126*EXP(-LN(2)/10990*($F$88-CN126))</f>
        <v>#VALUE!</v>
      </c>
      <c r="CR126" s="599" t="e">
        <f>CQ126-AVERAGE(CY94:CY95)</f>
        <v>#VALUE!</v>
      </c>
      <c r="CS126" s="599" t="e">
        <f t="shared" ref="CS126:CS135" si="572">ABS($B$33*CR126*3600)</f>
        <v>#VALUE!</v>
      </c>
      <c r="CT126" s="657" t="e">
        <f t="shared" ref="CT126:CT135" si="573">ABS($B$34*CR126*3600)</f>
        <v>#VALUE!</v>
      </c>
      <c r="CU126" s="600" t="e">
        <f t="shared" ref="CU126:CU135" si="574">CT126*$C$79</f>
        <v>#VALUE!</v>
      </c>
      <c r="CV126" s="599" t="e">
        <f t="shared" ref="CV126:CV135" si="575">CT126*$F$70</f>
        <v>#VALUE!</v>
      </c>
      <c r="CW126" s="600" t="e">
        <f>CT126*$F$75</f>
        <v>#VALUE!</v>
      </c>
      <c r="CX126" s="599" t="e">
        <f t="shared" ref="CX126:CX135" si="576">CT126*$F$72</f>
        <v>#VALUE!</v>
      </c>
      <c r="CY126" s="658" t="e">
        <f t="shared" ref="CY126:CY135" si="577">CT126*$F$71</f>
        <v>#VALUE!</v>
      </c>
      <c r="CZ126" s="664"/>
      <c r="DA126" s="660"/>
      <c r="DB126" s="661"/>
      <c r="DC126" s="651"/>
      <c r="DD126" s="662"/>
      <c r="DE126" s="663"/>
      <c r="DF126" s="651">
        <f>IF(AND(ABS(DC126)&gt;=$F$42,ABS(DC126)&lt;=$G$42),DC126*$D$42,IF(AND(ABS(DC126)&gt;=$F$43,ABS(DC126)&lt;=$G$43),DC126*$D$43,IF(AND(ABS(DC126)&gt;=$F$44,ABS(DC126)&lt;=$G$44),DC126*$D$44,"rango cal. out")))</f>
        <v>0</v>
      </c>
      <c r="DG126" s="652" t="e">
        <f t="shared" ref="DG126:DG135" si="578">((273.2+CZ126)*$F$32/((273.2+$F$31)*DB126))</f>
        <v>#DIV/0!</v>
      </c>
      <c r="DH126" s="653" t="e">
        <f t="shared" ref="DH126:DH135" si="579">DF126/DD126*DG126*EXP(-LN(2)/10990*($F$88-DE126))</f>
        <v>#DIV/0!</v>
      </c>
      <c r="DI126" s="599" t="e">
        <f>DH126-AVERAGE(DP94:DP95)</f>
        <v>#DIV/0!</v>
      </c>
      <c r="DJ126" s="599" t="e">
        <f t="shared" ref="DJ126:DJ135" si="580">ABS($B$33*DI126*3600)</f>
        <v>#DIV/0!</v>
      </c>
      <c r="DK126" s="657" t="e">
        <f t="shared" ref="DK126:DK135" si="581">ABS($B$34*DI126*3600)</f>
        <v>#DIV/0!</v>
      </c>
      <c r="DL126" s="600" t="e">
        <f t="shared" ref="DL126:DL135" si="582">DK126*$C$79</f>
        <v>#DIV/0!</v>
      </c>
      <c r="DM126" s="599" t="e">
        <f t="shared" ref="DM126:DM135" si="583">DK126*$F$70</f>
        <v>#DIV/0!</v>
      </c>
      <c r="DN126" s="600" t="e">
        <f>DK126*$F$75</f>
        <v>#DIV/0!</v>
      </c>
      <c r="DO126" s="599" t="e">
        <f t="shared" ref="DO126:DO135" si="584">DK126*$F$72</f>
        <v>#DIV/0!</v>
      </c>
      <c r="DP126" s="658" t="e">
        <f t="shared" ref="DP126:DP135" si="585">DK126*$F$71</f>
        <v>#DIV/0!</v>
      </c>
      <c r="DQ126" s="664"/>
      <c r="DR126" s="660"/>
      <c r="DS126" s="659"/>
      <c r="DT126" s="665"/>
      <c r="DU126" s="662"/>
      <c r="DV126" s="663"/>
      <c r="DW126" s="651">
        <f>IF(AND(ABS(DT126)&gt;=$F$42,ABS(DT126)&lt;=$G$42),DT126*$D$42,IF(AND(ABS(DT126)&gt;=$F$43,ABS(DT126)&lt;=$G$43),DT126*$D$43,IF(AND(ABS(DT126)&gt;=$F$44,ABS(DT126)&lt;=$G$44),DT126*$D$44,"rango cal. out")))</f>
        <v>0</v>
      </c>
      <c r="DX126" s="652" t="e">
        <f t="shared" ref="DX126:DX135" si="586">((273.2+DQ126)*$F$32/((273.2+$F$31)*DS126))</f>
        <v>#DIV/0!</v>
      </c>
      <c r="DY126" s="653" t="e">
        <f t="shared" ref="DY126:DY135" si="587">DW126/DU126*DX126*EXP(-LN(2)/10990*($F$88-DV126))</f>
        <v>#DIV/0!</v>
      </c>
      <c r="DZ126" s="599" t="e">
        <f>DY126-AVERAGE(EG94:EG95)</f>
        <v>#DIV/0!</v>
      </c>
      <c r="EA126" s="599" t="e">
        <f t="shared" ref="EA126:EA135" si="588">ABS($B$33*DZ126*3600)</f>
        <v>#DIV/0!</v>
      </c>
      <c r="EB126" s="657" t="e">
        <f t="shared" ref="EB126:EB135" si="589">ABS($B$34*DZ126*3600)</f>
        <v>#DIV/0!</v>
      </c>
      <c r="EC126" s="600" t="e">
        <f t="shared" ref="EC126:EC135" si="590">EB126*$C$79</f>
        <v>#DIV/0!</v>
      </c>
      <c r="ED126" s="599" t="e">
        <f t="shared" ref="ED126:ED135" si="591">EB126*$F$70</f>
        <v>#DIV/0!</v>
      </c>
      <c r="EE126" s="600" t="e">
        <f>EB126*$F$75</f>
        <v>#DIV/0!</v>
      </c>
      <c r="EF126" s="599" t="e">
        <f t="shared" ref="EF126:EF135" si="592">EB126*$F$72</f>
        <v>#DIV/0!</v>
      </c>
      <c r="EG126" s="658" t="e">
        <f t="shared" ref="EG126:EG135" si="593">EB126*$F$71</f>
        <v>#DIV/0!</v>
      </c>
      <c r="EH126" s="664">
        <v>20.3</v>
      </c>
      <c r="EI126" s="660">
        <v>53</v>
      </c>
      <c r="EJ126" s="666">
        <v>1007</v>
      </c>
      <c r="EK126" s="651">
        <v>-2.4900000000000001E-12</v>
      </c>
      <c r="EL126" s="667">
        <v>60</v>
      </c>
      <c r="EM126" s="663">
        <v>43403</v>
      </c>
      <c r="EN126" s="651" t="str">
        <f>IF(AND(ABS(EK126)&gt;=$F$42,ABS(EK126)&lt;=$G$42),EK126*$D$42,IF(AND(ABS(EK126)&gt;=$F$43,ABS(EK126)&lt;=$G$43),EK126*$D$43,IF(AND(ABS(EK126)&gt;=$F$44,ABS(EK126)&lt;=$G$44),EK126*$D$44,"rango cal. out")))</f>
        <v>rango cal. out</v>
      </c>
      <c r="EO126" s="652">
        <f t="shared" ref="EO126:EO135" si="594">((273.2+EH126)*$F$32/((273.2+$F$31)*EJ126))</f>
        <v>0</v>
      </c>
      <c r="EP126" s="653" t="e">
        <f t="shared" ref="EP126:EP135" si="595">EN126/EL126*EO126*EXP(-LN(2)/10990*($F$88-EM126))</f>
        <v>#VALUE!</v>
      </c>
      <c r="EQ126" s="599" t="e">
        <f>EP126-AVERAGE(EX94:EX95)</f>
        <v>#VALUE!</v>
      </c>
      <c r="ER126" s="599" t="e">
        <f t="shared" ref="ER126:ER135" si="596">ABS($B$33*EQ126*3600)</f>
        <v>#VALUE!</v>
      </c>
      <c r="ES126" s="657" t="e">
        <f t="shared" ref="ES126:ES135" si="597">ABS($B$34*EQ126*3600)</f>
        <v>#VALUE!</v>
      </c>
      <c r="ET126" s="600" t="e">
        <f t="shared" ref="ET126:ET135" si="598">ES126*$C$79</f>
        <v>#VALUE!</v>
      </c>
      <c r="EU126" s="599" t="e">
        <f t="shared" ref="EU126:EU135" si="599">ES126*$F$70</f>
        <v>#VALUE!</v>
      </c>
      <c r="EV126" s="600" t="e">
        <f>ES126*$F$75</f>
        <v>#VALUE!</v>
      </c>
      <c r="EW126" s="599" t="e">
        <f t="shared" ref="EW126:EW135" si="600">ES126*$F$72</f>
        <v>#VALUE!</v>
      </c>
      <c r="EX126" s="658" t="e">
        <f t="shared" ref="EX126:EX135" si="601">ES126*$F$71</f>
        <v>#VALUE!</v>
      </c>
      <c r="EY126" s="664"/>
      <c r="EZ126" s="660"/>
      <c r="FA126" s="661"/>
      <c r="FB126" s="651"/>
      <c r="FC126" s="662"/>
      <c r="FD126" s="663"/>
      <c r="FE126" s="651">
        <f>IF(AND(ABS(FB126)&gt;=$F$42,ABS(FB126)&lt;=$G$42),FB126*$D$42,IF(AND(ABS(FB126)&gt;=$F$43,ABS(FB126)&lt;=$G$43),FB126*$D$43,IF(AND(ABS(FB126)&gt;=$F$44,ABS(FB126)&lt;=$G$44),FB126*$D$44,"rango cal. out")))</f>
        <v>0</v>
      </c>
      <c r="FF126" s="652" t="e">
        <f t="shared" ref="FF126:FF135" si="602">((273.2+EY126)*$F$32/((273.2+$F$31)*FA126))</f>
        <v>#DIV/0!</v>
      </c>
      <c r="FG126" s="653" t="e">
        <f t="shared" ref="FG126:FG135" si="603">FE126/FC126*FF126*EXP(-LN(2)/10990*($F$88-FD126))</f>
        <v>#DIV/0!</v>
      </c>
      <c r="FH126" s="599" t="e">
        <f>FG126-AVERAGE(FO94:FO95)</f>
        <v>#DIV/0!</v>
      </c>
      <c r="FI126" s="599" t="e">
        <f t="shared" ref="FI126:FI135" si="604">ABS($B$33*FH126*3600)</f>
        <v>#DIV/0!</v>
      </c>
      <c r="FJ126" s="657" t="e">
        <f t="shared" ref="FJ126:FJ135" si="605">ABS($B$34*FH126*3600)</f>
        <v>#DIV/0!</v>
      </c>
      <c r="FK126" s="600" t="e">
        <f t="shared" ref="FK126:FK135" si="606">FJ126*$C$79</f>
        <v>#DIV/0!</v>
      </c>
      <c r="FL126" s="599" t="e">
        <f t="shared" ref="FL126:FL135" si="607">FJ126*$F$70</f>
        <v>#DIV/0!</v>
      </c>
      <c r="FM126" s="600" t="e">
        <f>FJ126*$F$75</f>
        <v>#DIV/0!</v>
      </c>
      <c r="FN126" s="599" t="e">
        <f t="shared" ref="FN126:FN135" si="608">FJ126*$F$72</f>
        <v>#DIV/0!</v>
      </c>
      <c r="FO126" s="658" t="e">
        <f t="shared" ref="FO126:FO135" si="609">FJ126*$F$71</f>
        <v>#DIV/0!</v>
      </c>
      <c r="FP126" s="664"/>
      <c r="FQ126" s="660"/>
      <c r="FR126" s="661"/>
      <c r="FS126" s="651"/>
      <c r="FT126" s="662"/>
      <c r="FU126" s="663"/>
      <c r="FV126" s="651">
        <f>IF(AND(ABS(FS126)&gt;=$F$42,ABS(FS126)&lt;=$G$42),FS126*$D$42,IF(AND(ABS(FS126)&gt;=$F$43,ABS(FS126)&lt;=$G$43),FS126*$D$43,IF(AND(ABS(FS126)&gt;=$F$44,ABS(FS126)&lt;=$G$44),FS126*$D$44,"rango cal. out")))</f>
        <v>0</v>
      </c>
      <c r="FW126" s="652" t="e">
        <f t="shared" ref="FW126:FW135" si="610">((273.2+FP126)*$F$32/((273.2+$F$31)*FR126))</f>
        <v>#DIV/0!</v>
      </c>
      <c r="FX126" s="653" t="e">
        <f t="shared" ref="FX126:FX135" si="611">FV126/FT126*FW126*EXP(-LN(2)/10990*($F$88-FU126))</f>
        <v>#DIV/0!</v>
      </c>
      <c r="FY126" s="599" t="e">
        <f>FX126-AVERAGE(GF94:GF95)</f>
        <v>#DIV/0!</v>
      </c>
      <c r="FZ126" s="599" t="e">
        <f t="shared" ref="FZ126:FZ135" si="612">ABS($B$33*FY126*3600)</f>
        <v>#DIV/0!</v>
      </c>
      <c r="GA126" s="657" t="e">
        <f t="shared" ref="GA126:GA135" si="613">ABS($B$34*FY126*3600)</f>
        <v>#DIV/0!</v>
      </c>
      <c r="GB126" s="600" t="e">
        <f t="shared" ref="GB126:GB135" si="614">GA126*$C$79</f>
        <v>#DIV/0!</v>
      </c>
      <c r="GC126" s="599" t="e">
        <f t="shared" ref="GC126:GC135" si="615">GA126*$F$70</f>
        <v>#DIV/0!</v>
      </c>
      <c r="GD126" s="600" t="e">
        <f>GA126*$F$75</f>
        <v>#DIV/0!</v>
      </c>
      <c r="GE126" s="599" t="e">
        <f t="shared" ref="GE126:GE135" si="616">GA126*$F$72</f>
        <v>#DIV/0!</v>
      </c>
      <c r="GF126" s="658" t="e">
        <f t="shared" ref="GF126:GF135" si="617">GA126*$F$71</f>
        <v>#DIV/0!</v>
      </c>
      <c r="GG126" s="664"/>
      <c r="GH126" s="660"/>
      <c r="GI126" s="659"/>
      <c r="GJ126" s="665"/>
      <c r="GK126" s="662"/>
      <c r="GL126" s="663"/>
      <c r="GM126" s="651">
        <f>IF(AND(ABS(GJ126)&gt;=$F$42,ABS(GJ126)&lt;=$G$42),GJ126*$D$42,IF(AND(ABS(GJ126)&gt;=$F$43,ABS(GJ126)&lt;=$G$43),GJ126*$D$43,IF(AND(ABS(GJ126)&gt;=$F$44,ABS(GJ126)&lt;=$G$44),GJ126*$D$44,"rango cal. out")))</f>
        <v>0</v>
      </c>
      <c r="GN126" s="652" t="e">
        <f t="shared" ref="GN126:GN135" si="618">((273.2+GG126)*$F$32/((273.2+$F$31)*GI126))</f>
        <v>#DIV/0!</v>
      </c>
      <c r="GO126" s="653" t="e">
        <f t="shared" ref="GO126:GO135" si="619">GM126/GK126*GN126*EXP(-LN(2)/10990*($F$88-GL126))</f>
        <v>#DIV/0!</v>
      </c>
      <c r="GP126" s="599" t="e">
        <f>GO126-AVERAGE(GW94:GW95)</f>
        <v>#DIV/0!</v>
      </c>
      <c r="GQ126" s="599" t="e">
        <f t="shared" ref="GQ126:GQ135" si="620">ABS($B$33*GP126*3600)</f>
        <v>#DIV/0!</v>
      </c>
      <c r="GR126" s="657" t="e">
        <f t="shared" ref="GR126:GR135" si="621">ABS($B$34*GP126*3600)</f>
        <v>#DIV/0!</v>
      </c>
      <c r="GS126" s="600" t="e">
        <f t="shared" ref="GS126:GS135" si="622">GR126*$C$79</f>
        <v>#DIV/0!</v>
      </c>
      <c r="GT126" s="599" t="e">
        <f t="shared" ref="GT126:GT135" si="623">GR126*$F$70</f>
        <v>#DIV/0!</v>
      </c>
      <c r="GU126" s="600" t="e">
        <f>GR126*$F$75</f>
        <v>#DIV/0!</v>
      </c>
      <c r="GV126" s="599" t="e">
        <f t="shared" ref="GV126:GV135" si="624">GR126*$F$72</f>
        <v>#DIV/0!</v>
      </c>
      <c r="GW126" s="658" t="e">
        <f t="shared" ref="GW126:GW135" si="625">GR126*$F$71</f>
        <v>#DIV/0!</v>
      </c>
      <c r="GX126" s="664"/>
      <c r="GY126" s="660"/>
      <c r="GZ126" s="661"/>
      <c r="HA126" s="651"/>
      <c r="HB126" s="662"/>
      <c r="HC126" s="663"/>
      <c r="HD126" s="651">
        <f>IF(AND(ABS(HA126)&gt;=$F$42,ABS(HA126)&lt;=$G$42),HA126*$D$42,IF(AND(ABS(HA126)&gt;=$F$43,ABS(HA126)&lt;=$G$43),HA126*$D$43,IF(AND(ABS(HA126)&gt;=$F$44,ABS(HA126)&lt;=$G$44),HA126*$D$44,"rango cal. out")))</f>
        <v>0</v>
      </c>
      <c r="HE126" s="652" t="e">
        <f t="shared" ref="HE126:HE135" si="626">((273.2+GX126)*$F$32/((273.2+$F$31)*GZ126))</f>
        <v>#DIV/0!</v>
      </c>
      <c r="HF126" s="653" t="e">
        <f t="shared" ref="HF126:HF135" si="627">HD126/HB126*HE126*EXP(-LN(2)/10990*($F$88-HC126))</f>
        <v>#DIV/0!</v>
      </c>
      <c r="HG126" s="599" t="e">
        <f>HF126-AVERAGE(HN94:HN95)</f>
        <v>#DIV/0!</v>
      </c>
      <c r="HH126" s="599" t="e">
        <f t="shared" ref="HH126:HH135" si="628">ABS($B$33*HG126*3600)</f>
        <v>#DIV/0!</v>
      </c>
      <c r="HI126" s="657" t="e">
        <f t="shared" ref="HI126:HI135" si="629">ABS($B$34*HG126*3600)</f>
        <v>#DIV/0!</v>
      </c>
      <c r="HJ126" s="600" t="e">
        <f t="shared" ref="HJ126:HJ135" si="630">HI126*$C$79</f>
        <v>#DIV/0!</v>
      </c>
      <c r="HK126" s="599" t="e">
        <f t="shared" ref="HK126:HK135" si="631">HI126*$F$70</f>
        <v>#DIV/0!</v>
      </c>
      <c r="HL126" s="600" t="e">
        <f>HI126*$F$75</f>
        <v>#DIV/0!</v>
      </c>
      <c r="HM126" s="599" t="e">
        <f t="shared" ref="HM126:HM135" si="632">HI126*$F$72</f>
        <v>#DIV/0!</v>
      </c>
      <c r="HN126" s="658" t="e">
        <f t="shared" ref="HN126:HN135" si="633">HI126*$F$71</f>
        <v>#DIV/0!</v>
      </c>
      <c r="HO126" s="664"/>
      <c r="HP126" s="660"/>
      <c r="HQ126" s="661"/>
      <c r="HR126" s="651"/>
      <c r="HS126" s="662"/>
      <c r="HT126" s="663"/>
      <c r="HU126" s="651">
        <f>IF(AND(ABS(HR126)&gt;=$F$42,ABS(HR126)&lt;=$G$42),HR126*$D$42,IF(AND(ABS(HR126)&gt;=$F$43,ABS(HR126)&lt;=$G$43),HR126*$D$43,IF(AND(ABS(HR126)&gt;=$F$44,ABS(HR126)&lt;=$G$44),HR126*$D$44,"rango cal. out")))</f>
        <v>0</v>
      </c>
      <c r="HV126" s="652" t="e">
        <f t="shared" ref="HV126:HV135" si="634">((273.2+HO126)*$F$32/((273.2+$F$31)*HQ126))</f>
        <v>#DIV/0!</v>
      </c>
      <c r="HW126" s="653" t="e">
        <f t="shared" ref="HW126:HW135" si="635">HU126/HS126*HV126*EXP(-LN(2)/10990*($F$88-HT126))</f>
        <v>#DIV/0!</v>
      </c>
      <c r="HX126" s="599" t="e">
        <f>HW126-AVERAGE(IE94:IE95)</f>
        <v>#DIV/0!</v>
      </c>
      <c r="HY126" s="599" t="e">
        <f t="shared" ref="HY126:HY135" si="636">ABS($B$33*HX126*3600)</f>
        <v>#DIV/0!</v>
      </c>
      <c r="HZ126" s="657" t="e">
        <f t="shared" ref="HZ126:HZ135" si="637">ABS($B$34*HX126*3600)</f>
        <v>#DIV/0!</v>
      </c>
      <c r="IA126" s="600" t="e">
        <f t="shared" ref="IA126:IA135" si="638">HZ126*$C$79</f>
        <v>#DIV/0!</v>
      </c>
      <c r="IB126" s="599" t="e">
        <f t="shared" ref="IB126:IB135" si="639">HZ126*$F$70</f>
        <v>#DIV/0!</v>
      </c>
      <c r="IC126" s="600" t="e">
        <f>HZ126*$F$75</f>
        <v>#DIV/0!</v>
      </c>
      <c r="ID126" s="599" t="e">
        <f t="shared" ref="ID126:ID135" si="640">HZ126*$F$72</f>
        <v>#DIV/0!</v>
      </c>
      <c r="IE126" s="658" t="e">
        <f t="shared" ref="IE126:IE135" si="641">HZ126*$F$71</f>
        <v>#DIV/0!</v>
      </c>
      <c r="IF126" s="664"/>
      <c r="IG126" s="660"/>
      <c r="IH126" s="661"/>
      <c r="II126" s="651"/>
      <c r="IJ126" s="662"/>
      <c r="IK126" s="663"/>
      <c r="IL126" s="651">
        <f>IF(AND(ABS(II126)&gt;=$F$42,ABS(II126)&lt;=$G$42),II126*$D$42,IF(AND(ABS(II126)&gt;=$F$43,ABS(II126)&lt;=$G$43),II126*$D$43,IF(AND(ABS(II126)&gt;=$F$44,ABS(II126)&lt;=$G$44),II126*$D$44,"rango cal. out")))</f>
        <v>0</v>
      </c>
      <c r="IM126" s="652" t="e">
        <f t="shared" ref="IM126:IM135" si="642">((273.2+IF126)*$F$32/((273.2+$F$31)*IH126))</f>
        <v>#DIV/0!</v>
      </c>
      <c r="IN126" s="653" t="e">
        <f t="shared" ref="IN126:IN135" si="643">IL126/IJ126*IM126*EXP(-LN(2)/10990*($F$88-IK126))</f>
        <v>#DIV/0!</v>
      </c>
      <c r="IO126" s="599" t="e">
        <f>IN126-AVERAGE(IV94:IV95)</f>
        <v>#DIV/0!</v>
      </c>
      <c r="IP126" s="599" t="e">
        <f t="shared" ref="IP126:IP135" si="644">ABS($B$33*IO126*3600)</f>
        <v>#DIV/0!</v>
      </c>
      <c r="IQ126" s="657" t="e">
        <f t="shared" ref="IQ126:IQ135" si="645">ABS($B$34*IO126*3600)</f>
        <v>#DIV/0!</v>
      </c>
      <c r="IR126" s="600" t="e">
        <f t="shared" ref="IR126:IR135" si="646">IQ126*$C$79</f>
        <v>#DIV/0!</v>
      </c>
      <c r="IS126" s="599" t="e">
        <f t="shared" ref="IS126:IS135" si="647">IQ126*$F$70</f>
        <v>#DIV/0!</v>
      </c>
      <c r="IT126" s="600" t="e">
        <f>IQ126*$F$75</f>
        <v>#DIV/0!</v>
      </c>
      <c r="IU126" s="599" t="e">
        <f t="shared" ref="IU126:IU135" si="648">IQ126*$F$72</f>
        <v>#DIV/0!</v>
      </c>
      <c r="IV126" s="658" t="e">
        <f t="shared" ref="IV126:IV135" si="649">IQ126*$F$71</f>
        <v>#DIV/0!</v>
      </c>
      <c r="IW126" s="664"/>
      <c r="IX126" s="660"/>
      <c r="IY126" s="661"/>
      <c r="IZ126" s="651"/>
      <c r="JA126" s="662"/>
      <c r="JB126" s="663"/>
      <c r="JC126" s="651">
        <f>IF(AND(ABS(IZ126)&gt;=$F$42,ABS(IZ126)&lt;=$G$42),IZ126*$D$42,IF(AND(ABS(IZ126)&gt;=$F$43,ABS(IZ126)&lt;=$G$43),IZ126*$D$43,IF(AND(ABS(IZ126)&gt;=$F$44,ABS(IZ126)&lt;=$G$44),IZ126*$D$44,"rango cal. out")))</f>
        <v>0</v>
      </c>
      <c r="JD126" s="652" t="e">
        <f t="shared" ref="JD126:JD135" si="650">((273.2+IW126)*$F$32/((273.2+$F$31)*IY126))</f>
        <v>#DIV/0!</v>
      </c>
      <c r="JE126" s="653" t="e">
        <f t="shared" ref="JE126:JE135" si="651">JC126/JA126*JD126*EXP(-LN(2)/10990*($F$88-JB126))</f>
        <v>#DIV/0!</v>
      </c>
      <c r="JF126" s="599" t="e">
        <f>JE126-AVERAGE(JM94:JM95)</f>
        <v>#DIV/0!</v>
      </c>
      <c r="JG126" s="599" t="e">
        <f t="shared" ref="JG126:JG135" si="652">ABS($B$33*JF126*3600)</f>
        <v>#DIV/0!</v>
      </c>
      <c r="JH126" s="657" t="e">
        <f t="shared" ref="JH126:JH135" si="653">ABS($B$34*JF126*3600)</f>
        <v>#DIV/0!</v>
      </c>
      <c r="JI126" s="600" t="e">
        <f t="shared" ref="JI126:JI135" si="654">JH126*$C$79</f>
        <v>#DIV/0!</v>
      </c>
      <c r="JJ126" s="599" t="e">
        <f t="shared" ref="JJ126:JJ135" si="655">JH126*$F$70</f>
        <v>#DIV/0!</v>
      </c>
      <c r="JK126" s="600" t="e">
        <f>JH126*$F$75</f>
        <v>#DIV/0!</v>
      </c>
      <c r="JL126" s="599" t="e">
        <f t="shared" ref="JL126:JL135" si="656">JH126*$F$72</f>
        <v>#DIV/0!</v>
      </c>
      <c r="JM126" s="658" t="e">
        <f t="shared" ref="JM126:JM135" si="657">JH126*$F$71</f>
        <v>#DIV/0!</v>
      </c>
      <c r="JN126" s="664"/>
      <c r="JO126" s="660"/>
      <c r="JP126" s="661"/>
      <c r="JQ126" s="651"/>
      <c r="JR126" s="662"/>
      <c r="JS126" s="663"/>
      <c r="JT126" s="651">
        <f>IF(AND(ABS(JQ126)&gt;=$F$42,ABS(JQ126)&lt;=$G$42),JQ126*$D$42,IF(AND(ABS(JQ126)&gt;=$F$43,ABS(JQ126)&lt;=$G$43),JQ126*$D$43,IF(AND(ABS(JQ126)&gt;=$F$44,ABS(JQ126)&lt;=$G$44),JQ126*$D$44,"rango cal. out")))</f>
        <v>0</v>
      </c>
      <c r="JU126" s="652" t="e">
        <f t="shared" ref="JU126:JU135" si="658">((273.2+JN126)*$F$32/((273.2+$F$31)*JP126))</f>
        <v>#DIV/0!</v>
      </c>
      <c r="JV126" s="653" t="e">
        <f t="shared" ref="JV126:JV135" si="659">JT126/JR126*JU126*EXP(-LN(2)/10990*($F$88-JS126))</f>
        <v>#DIV/0!</v>
      </c>
      <c r="JW126" s="599" t="e">
        <f>JV126-AVERAGE(KD94:KD95)</f>
        <v>#DIV/0!</v>
      </c>
      <c r="JX126" s="599" t="e">
        <f t="shared" ref="JX126:JX135" si="660">ABS($B$33*JW126*3600)</f>
        <v>#DIV/0!</v>
      </c>
      <c r="JY126" s="657" t="e">
        <f t="shared" ref="JY126:JY135" si="661">ABS($B$34*JW126*3600)</f>
        <v>#DIV/0!</v>
      </c>
      <c r="JZ126" s="600" t="e">
        <f t="shared" ref="JZ126:JZ135" si="662">JY126*$C$79</f>
        <v>#DIV/0!</v>
      </c>
      <c r="KA126" s="599" t="e">
        <f t="shared" ref="KA126:KA135" si="663">JY126*$F$70</f>
        <v>#DIV/0!</v>
      </c>
      <c r="KB126" s="600" t="e">
        <f>JY126*$F$75</f>
        <v>#DIV/0!</v>
      </c>
      <c r="KC126" s="599" t="e">
        <f t="shared" ref="KC126:KC135" si="664">JY126*$F$72</f>
        <v>#DIV/0!</v>
      </c>
      <c r="KD126" s="658" t="e">
        <f t="shared" ref="KD126:KD135" si="665">JY126*$F$71</f>
        <v>#DIV/0!</v>
      </c>
      <c r="KE126" s="664"/>
      <c r="KF126" s="660"/>
      <c r="KG126" s="661"/>
      <c r="KH126" s="651"/>
      <c r="KI126" s="662"/>
      <c r="KJ126" s="663"/>
      <c r="KK126" s="651">
        <f>IF(AND(ABS(KH126)&gt;=$F$42,ABS(KH126)&lt;=$G$42),KH126*$D$42,IF(AND(ABS(KH126)&gt;=$F$43,ABS(KH126)&lt;=$G$43),KH126*$D$43,IF(AND(ABS(KH126)&gt;=$F$44,ABS(KH126)&lt;=$G$44),KH126*$D$44,"rango cal. out")))</f>
        <v>0</v>
      </c>
      <c r="KL126" s="652" t="e">
        <f t="shared" ref="KL126:KL135" si="666">((273.2+KE126)*$F$32/((273.2+$F$31)*KG126))</f>
        <v>#DIV/0!</v>
      </c>
      <c r="KM126" s="653" t="e">
        <f t="shared" ref="KM126:KM135" si="667">KK126/KI126*KL126*EXP(-LN(2)/10990*($F$88-KJ126))</f>
        <v>#DIV/0!</v>
      </c>
      <c r="KN126" s="599" t="e">
        <f>KM126-AVERAGE(KU94:KU95)</f>
        <v>#DIV/0!</v>
      </c>
      <c r="KO126" s="599" t="e">
        <f t="shared" ref="KO126:KO135" si="668">ABS($B$33*KN126*3600)</f>
        <v>#DIV/0!</v>
      </c>
      <c r="KP126" s="657" t="e">
        <f t="shared" ref="KP126:KP135" si="669">ABS($B$34*KN126*3600)</f>
        <v>#DIV/0!</v>
      </c>
      <c r="KQ126" s="600" t="e">
        <f t="shared" ref="KQ126:KQ135" si="670">KP126*$C$79</f>
        <v>#DIV/0!</v>
      </c>
      <c r="KR126" s="599" t="e">
        <f t="shared" ref="KR126:KR135" si="671">KP126*$F$70</f>
        <v>#DIV/0!</v>
      </c>
      <c r="KS126" s="600" t="e">
        <f>KP126*$F$75</f>
        <v>#DIV/0!</v>
      </c>
      <c r="KT126" s="599" t="e">
        <f t="shared" ref="KT126:KT135" si="672">KP126*$F$72</f>
        <v>#DIV/0!</v>
      </c>
      <c r="KU126" s="658" t="e">
        <f t="shared" ref="KU126:KU135" si="673">KP126*$F$71</f>
        <v>#DIV/0!</v>
      </c>
      <c r="KV126" s="664"/>
      <c r="KW126" s="660"/>
      <c r="KX126" s="661"/>
      <c r="KY126" s="651"/>
      <c r="KZ126" s="662"/>
      <c r="LA126" s="663"/>
      <c r="LB126" s="651">
        <f>IF(AND(ABS(KY126)&gt;=$F$42,ABS(KY126)&lt;=$G$42),KY126*$D$42,IF(AND(ABS(KY126)&gt;=$F$43,ABS(KY126)&lt;=$G$43),KY126*$D$43,IF(AND(ABS(KY126)&gt;=$F$44,ABS(KY126)&lt;=$G$44),KY126*$D$44,"rango cal. out")))</f>
        <v>0</v>
      </c>
      <c r="LC126" s="652" t="e">
        <f t="shared" ref="LC126:LC135" si="674">((273.2+KV126)*$F$32/((273.2+$F$31)*KX126))</f>
        <v>#DIV/0!</v>
      </c>
      <c r="LD126" s="653" t="e">
        <f t="shared" ref="LD126:LD135" si="675">LB126/KZ126*LC126*EXP(-LN(2)/10990*($F$88-LA126))</f>
        <v>#DIV/0!</v>
      </c>
      <c r="LE126" s="599" t="e">
        <f>LD126-AVERAGE(LL94:LL95)</f>
        <v>#DIV/0!</v>
      </c>
      <c r="LF126" s="599" t="e">
        <f t="shared" ref="LF126:LF135" si="676">ABS($B$33*LE126*3600)</f>
        <v>#DIV/0!</v>
      </c>
      <c r="LG126" s="657" t="e">
        <f t="shared" ref="LG126:LG135" si="677">ABS($B$34*LE126*3600)</f>
        <v>#DIV/0!</v>
      </c>
      <c r="LH126" s="600" t="e">
        <f t="shared" ref="LH126:LH135" si="678">LG126*$C$79</f>
        <v>#DIV/0!</v>
      </c>
      <c r="LI126" s="599" t="e">
        <f t="shared" ref="LI126:LI135" si="679">LG126*$F$70</f>
        <v>#DIV/0!</v>
      </c>
      <c r="LJ126" s="600" t="e">
        <f>LG126*$F$75</f>
        <v>#DIV/0!</v>
      </c>
      <c r="LK126" s="599" t="e">
        <f t="shared" ref="LK126:LK135" si="680">LG126*$F$72</f>
        <v>#DIV/0!</v>
      </c>
      <c r="LL126" s="658" t="e">
        <f t="shared" ref="LL126:LL135" si="681">LG126*$F$71</f>
        <v>#DIV/0!</v>
      </c>
      <c r="LM126" s="664"/>
      <c r="LN126" s="660"/>
      <c r="LO126" s="661"/>
      <c r="LP126" s="651"/>
      <c r="LQ126" s="662"/>
      <c r="LR126" s="663"/>
      <c r="LS126" s="651">
        <f>IF(AND(ABS(LP126)&gt;=$F$42,ABS(LP126)&lt;=$G$42),LP126*$D$42,IF(AND(ABS(LP126)&gt;=$F$43,ABS(LP126)&lt;=$G$43),LP126*$D$43,IF(AND(ABS(LP126)&gt;=$F$44,ABS(LP126)&lt;=$G$44),LP126*$D$44,"rango cal. out")))</f>
        <v>0</v>
      </c>
      <c r="LT126" s="652" t="e">
        <f t="shared" ref="LT126:LT135" si="682">((273.2+LM126)*$F$32/((273.2+$F$31)*LO126))</f>
        <v>#DIV/0!</v>
      </c>
      <c r="LU126" s="653" t="e">
        <f t="shared" ref="LU126:LU135" si="683">LS126/LQ126*LT126*EXP(-LN(2)/10990*($F$88-LR126))</f>
        <v>#DIV/0!</v>
      </c>
      <c r="LV126" s="599" t="e">
        <f>LU126-AVERAGE(MC94:MC95)</f>
        <v>#DIV/0!</v>
      </c>
      <c r="LW126" s="599" t="e">
        <f t="shared" ref="LW126:LW135" si="684">ABS($B$33*LV126*3600)</f>
        <v>#DIV/0!</v>
      </c>
      <c r="LX126" s="657" t="e">
        <f t="shared" ref="LX126:LX135" si="685">ABS($B$34*LV126*3600)</f>
        <v>#DIV/0!</v>
      </c>
      <c r="LY126" s="600" t="e">
        <f t="shared" ref="LY126:LY135" si="686">LX126*$C$79</f>
        <v>#DIV/0!</v>
      </c>
      <c r="LZ126" s="599" t="e">
        <f t="shared" ref="LZ126:LZ135" si="687">LX126*$F$70</f>
        <v>#DIV/0!</v>
      </c>
      <c r="MA126" s="600" t="e">
        <f>LX126*$F$75</f>
        <v>#DIV/0!</v>
      </c>
      <c r="MB126" s="599" t="e">
        <f t="shared" ref="MB126:MB135" si="688">LX126*$F$72</f>
        <v>#DIV/0!</v>
      </c>
      <c r="MC126" s="658" t="e">
        <f t="shared" ref="MC126:MC135" si="689">LX126*$F$71</f>
        <v>#DIV/0!</v>
      </c>
      <c r="MD126" s="664"/>
      <c r="ME126" s="660"/>
      <c r="MF126" s="666"/>
      <c r="MG126" s="651"/>
      <c r="MH126" s="667"/>
      <c r="MI126" s="663"/>
      <c r="MJ126" s="651">
        <f>IF(AND(ABS(MG126)&gt;=$F$42,ABS(MG126)&lt;=$G$42),MG126*$D$42,IF(AND(ABS(MG126)&gt;=$F$43,ABS(MG126)&lt;=$G$43),MG126*$D$43,IF(AND(ABS(MG126)&gt;=$F$44,ABS(MG126)&lt;=$G$44),MG126*$D$44,"rango cal. out")))</f>
        <v>0</v>
      </c>
      <c r="MK126" s="652" t="e">
        <f t="shared" ref="MK126:MK135" si="690">((273.2+MD126)*$F$32/((273.2+$F$31)*MF126))</f>
        <v>#DIV/0!</v>
      </c>
      <c r="ML126" s="653" t="e">
        <f t="shared" ref="ML126:ML135" si="691">MJ126/MH126*MK126*EXP(-LN(2)/10990*($F$88-MI126))</f>
        <v>#DIV/0!</v>
      </c>
      <c r="MM126" s="599" t="e">
        <f>ML126-AVERAGE(MT94:MT95)</f>
        <v>#DIV/0!</v>
      </c>
      <c r="MN126" s="599" t="e">
        <f t="shared" ref="MN126:MN135" si="692">ABS($B$33*MM126*3600)</f>
        <v>#DIV/0!</v>
      </c>
      <c r="MO126" s="657" t="e">
        <f t="shared" ref="MO126:MO135" si="693">ABS($B$34*MM126*3600)</f>
        <v>#DIV/0!</v>
      </c>
      <c r="MP126" s="600" t="e">
        <f t="shared" ref="MP126:MP135" si="694">MO126*$C$79</f>
        <v>#DIV/0!</v>
      </c>
      <c r="MQ126" s="599" t="e">
        <f t="shared" ref="MQ126:MQ135" si="695">MO126*$F$70</f>
        <v>#DIV/0!</v>
      </c>
      <c r="MR126" s="600" t="e">
        <f>MO126*$F$75</f>
        <v>#DIV/0!</v>
      </c>
      <c r="MS126" s="599" t="e">
        <f t="shared" ref="MS126:MS135" si="696">MO126*$F$72</f>
        <v>#DIV/0!</v>
      </c>
      <c r="MT126" s="658" t="e">
        <f t="shared" ref="MT126:MT135" si="697">MO126*$F$71</f>
        <v>#DIV/0!</v>
      </c>
      <c r="MU126" s="664">
        <v>20.3</v>
      </c>
      <c r="MV126" s="660">
        <v>54</v>
      </c>
      <c r="MW126" s="666">
        <v>1007</v>
      </c>
      <c r="MX126" s="651">
        <v>-5.6429999999999999E-11</v>
      </c>
      <c r="MY126" s="662">
        <v>60</v>
      </c>
      <c r="MZ126" s="663">
        <v>43403</v>
      </c>
      <c r="NA126" s="651" t="str">
        <f>IF(AND(ABS(MX126)&gt;=$F$42,ABS(MX126)&lt;=$G$42),MX126*$D$42,IF(AND(ABS(MX126)&gt;=$F$43,ABS(MX126)&lt;=$G$43),MX126*$D$43,IF(AND(ABS(MX126)&gt;=$F$44,ABS(MX126)&lt;=$G$44),MX126*$D$44,"rango cal. out")))</f>
        <v>rango cal. out</v>
      </c>
      <c r="NB126" s="652">
        <f t="shared" ref="NB126:NB135" si="698">((273.2+MU126)*$F$32/((273.2+$F$31)*MW126))</f>
        <v>0</v>
      </c>
      <c r="NC126" s="653" t="e">
        <f t="shared" ref="NC126:NC135" si="699">NA126/MY126*NB126*EXP(-LN(2)/10990*($F$88-MZ126))</f>
        <v>#VALUE!</v>
      </c>
      <c r="ND126" s="599" t="e">
        <f>NC126-AVERAGE(NK94:NK95)</f>
        <v>#VALUE!</v>
      </c>
      <c r="NE126" s="599" t="e">
        <f t="shared" ref="NE126:NE135" si="700">ABS($B$33*ND126*3600)</f>
        <v>#VALUE!</v>
      </c>
      <c r="NF126" s="657" t="e">
        <f t="shared" ref="NF126:NF135" si="701">ABS($B$34*ND126*3600)</f>
        <v>#VALUE!</v>
      </c>
      <c r="NG126" s="600" t="e">
        <f t="shared" ref="NG126:NG135" si="702">NF126*$C$79</f>
        <v>#VALUE!</v>
      </c>
      <c r="NH126" s="599" t="e">
        <f t="shared" ref="NH126:NH135" si="703">NF126*$F$70</f>
        <v>#VALUE!</v>
      </c>
      <c r="NI126" s="600" t="e">
        <f>NF126*$F$75</f>
        <v>#VALUE!</v>
      </c>
      <c r="NJ126" s="599" t="e">
        <f t="shared" ref="NJ126:NJ135" si="704">NF126*$F$72</f>
        <v>#VALUE!</v>
      </c>
      <c r="NK126" s="658" t="e">
        <f t="shared" ref="NK126:NK135" si="705">NF126*$F$71</f>
        <v>#VALUE!</v>
      </c>
      <c r="NL126" s="664"/>
      <c r="NM126" s="660"/>
      <c r="NN126" s="661"/>
      <c r="NO126" s="651"/>
      <c r="NP126" s="662"/>
      <c r="NQ126" s="663"/>
      <c r="NR126" s="651">
        <f>IF(AND(ABS(NO126)&gt;=$F$42,ABS(NO126)&lt;=$G$42),NO126*$D$42,IF(AND(ABS(NO126)&gt;=$F$43,ABS(NO126)&lt;=$G$43),NO126*$D$43,IF(AND(ABS(NO126)&gt;=$F$44,ABS(NO126)&lt;=$G$44),NO126*$D$44,"rango cal. out")))</f>
        <v>0</v>
      </c>
      <c r="NS126" s="652" t="e">
        <f t="shared" ref="NS126:NS135" si="706">((273.2+NL126)*$F$32/((273.2+$F$31)*NN126))</f>
        <v>#DIV/0!</v>
      </c>
      <c r="NT126" s="653" t="e">
        <f t="shared" ref="NT126:NT135" si="707">NR126/NP126*NS126*EXP(-LN(2)/10990*($F$88-NQ126))</f>
        <v>#DIV/0!</v>
      </c>
      <c r="NU126" s="599" t="e">
        <f>NT126-AVERAGE(OB94:OB95)</f>
        <v>#DIV/0!</v>
      </c>
      <c r="NV126" s="599" t="e">
        <f t="shared" ref="NV126:NV135" si="708">ABS($B$33*NU126*3600)</f>
        <v>#DIV/0!</v>
      </c>
      <c r="NW126" s="657" t="e">
        <f t="shared" ref="NW126:NW135" si="709">ABS($B$34*NU126*3600)</f>
        <v>#DIV/0!</v>
      </c>
      <c r="NX126" s="600" t="e">
        <f t="shared" ref="NX126:NX135" si="710">NW126*$C$79</f>
        <v>#DIV/0!</v>
      </c>
      <c r="NY126" s="599" t="e">
        <f t="shared" ref="NY126:NY135" si="711">NW126*$F$70</f>
        <v>#DIV/0!</v>
      </c>
      <c r="NZ126" s="600" t="e">
        <f>NW126*$F$75</f>
        <v>#DIV/0!</v>
      </c>
      <c r="OA126" s="599" t="e">
        <f t="shared" ref="OA126:OA135" si="712">NW126*$F$72</f>
        <v>#DIV/0!</v>
      </c>
      <c r="OB126" s="658" t="e">
        <f t="shared" ref="OB126:OB135" si="713">NW126*$F$71</f>
        <v>#DIV/0!</v>
      </c>
      <c r="OC126" s="664">
        <v>20.6</v>
      </c>
      <c r="OD126" s="660">
        <v>53</v>
      </c>
      <c r="OE126" s="666">
        <v>1007</v>
      </c>
      <c r="OF126" s="651">
        <v>-1.3100000000000001E-10</v>
      </c>
      <c r="OG126" s="667">
        <v>60</v>
      </c>
      <c r="OH126" s="663">
        <v>43403</v>
      </c>
      <c r="OI126" s="651" t="str">
        <f>IF(AND(ABS(OF126)&gt;=$F$42,ABS(OF126)&lt;=$G$42),OF126*$D$42,IF(AND(ABS(OF126)&gt;=$F$43,ABS(OF126)&lt;=$G$43),OF126*$D$43,IF(AND(ABS(OF126)&gt;=$F$44,ABS(OF126)&lt;=$G$44),OF126*$D$44,"rango cal. out")))</f>
        <v>rango cal. out</v>
      </c>
      <c r="OJ126" s="652">
        <f t="shared" ref="OJ126:OJ135" si="714">((273.2+OC126)*$F$32/((273.2+$F$31)*OE126))</f>
        <v>0</v>
      </c>
      <c r="OK126" s="653" t="e">
        <f t="shared" ref="OK126:OK135" si="715">OI126/OG126*OJ126*EXP(-LN(2)/10990*($F$88-OH126))</f>
        <v>#VALUE!</v>
      </c>
      <c r="OL126" s="599" t="e">
        <f>OK126-AVERAGE(OS94:OS95)</f>
        <v>#VALUE!</v>
      </c>
      <c r="OM126" s="599" t="e">
        <f t="shared" ref="OM126:OM135" si="716">ABS($B$33*OL126*3600)</f>
        <v>#VALUE!</v>
      </c>
      <c r="ON126" s="657" t="e">
        <f t="shared" ref="ON126:ON135" si="717">ABS($B$34*OL126*3600)</f>
        <v>#VALUE!</v>
      </c>
      <c r="OO126" s="600" t="e">
        <f t="shared" ref="OO126:OO135" si="718">ON126*$C$79</f>
        <v>#VALUE!</v>
      </c>
      <c r="OP126" s="599" t="e">
        <f t="shared" ref="OP126:OP135" si="719">ON126*$F$70</f>
        <v>#VALUE!</v>
      </c>
      <c r="OQ126" s="600" t="e">
        <f>ON126*$F$75</f>
        <v>#VALUE!</v>
      </c>
      <c r="OR126" s="599" t="e">
        <f t="shared" ref="OR126:OR135" si="720">ON126*$F$72</f>
        <v>#VALUE!</v>
      </c>
      <c r="OS126" s="658" t="e">
        <f t="shared" ref="OS126:OS135" si="721">ON126*$F$71</f>
        <v>#VALUE!</v>
      </c>
      <c r="OT126" s="664"/>
      <c r="OU126" s="660"/>
      <c r="OV126" s="661"/>
      <c r="OW126" s="651"/>
      <c r="OX126" s="662"/>
      <c r="OY126" s="663"/>
      <c r="OZ126" s="651">
        <f>IF(AND(ABS(OW126)&gt;=$F$42,ABS(OW126)&lt;=$G$42),OW126*$D$42,IF(AND(ABS(OW126)&gt;=$F$43,ABS(OW126)&lt;=$G$43),OW126*$D$43,IF(AND(ABS(OW126)&gt;=$F$44,ABS(OW126)&lt;=$G$44),OW126*$D$44,"rango cal. out")))</f>
        <v>0</v>
      </c>
      <c r="PA126" s="652" t="e">
        <f t="shared" ref="PA126:PA135" si="722">((273.2+OT126)*$F$32/((273.2+$F$31)*OV126))</f>
        <v>#DIV/0!</v>
      </c>
      <c r="PB126" s="653" t="e">
        <f t="shared" ref="PB126:PB135" si="723">OZ126/OX126*PA126*EXP(-LN(2)/10990*($F$88-OY126))</f>
        <v>#DIV/0!</v>
      </c>
      <c r="PC126" s="599" t="e">
        <f>PB126-AVERAGE(PJ94:PJ95)</f>
        <v>#DIV/0!</v>
      </c>
      <c r="PD126" s="599" t="e">
        <f t="shared" ref="PD126:PD135" si="724">ABS($B$33*PC126*3600)</f>
        <v>#DIV/0!</v>
      </c>
      <c r="PE126" s="657" t="e">
        <f t="shared" ref="PE126:PE135" si="725">ABS($B$34*PC126*3600)</f>
        <v>#DIV/0!</v>
      </c>
      <c r="PF126" s="600" t="e">
        <f t="shared" ref="PF126:PF135" si="726">PE126*$C$79</f>
        <v>#DIV/0!</v>
      </c>
      <c r="PG126" s="599" t="e">
        <f t="shared" ref="PG126:PG135" si="727">PE126*$F$70</f>
        <v>#DIV/0!</v>
      </c>
      <c r="PH126" s="600" t="e">
        <f>PE126*$F$75</f>
        <v>#DIV/0!</v>
      </c>
      <c r="PI126" s="599" t="e">
        <f t="shared" ref="PI126:PI135" si="728">PE126*$F$72</f>
        <v>#DIV/0!</v>
      </c>
      <c r="PJ126" s="658" t="e">
        <f t="shared" ref="PJ126:PJ135" si="729">PE126*$F$71</f>
        <v>#DIV/0!</v>
      </c>
      <c r="PK126" s="664"/>
      <c r="PL126" s="660"/>
      <c r="PM126" s="661"/>
      <c r="PN126" s="651"/>
      <c r="PO126" s="662"/>
      <c r="PP126" s="663"/>
      <c r="PQ126" s="651">
        <f>IF(AND(ABS(PN126)&gt;=$F$42,ABS(PN126)&lt;=$G$42),PN126*$D$42,IF(AND(ABS(PN126)&gt;=$F$43,ABS(PN126)&lt;=$G$43),PN126*$D$43,IF(AND(ABS(PN126)&gt;=$F$44,ABS(PN126)&lt;=$G$44),PN126*$D$44,"rango cal. out")))</f>
        <v>0</v>
      </c>
      <c r="PR126" s="652" t="e">
        <f t="shared" ref="PR126:PR135" si="730">((273.2+PK126)*$F$32/((273.2+$F$31)*PM126))</f>
        <v>#DIV/0!</v>
      </c>
      <c r="PS126" s="653" t="e">
        <f t="shared" ref="PS126:PS135" si="731">PQ126/PO126*PR126*EXP(-LN(2)/10990*($F$88-PP126))</f>
        <v>#DIV/0!</v>
      </c>
      <c r="PT126" s="599" t="e">
        <f>PS126-AVERAGE(QA94:QA95)</f>
        <v>#DIV/0!</v>
      </c>
      <c r="PU126" s="599" t="e">
        <f t="shared" ref="PU126:PU135" si="732">ABS($B$33*PT126*3600)</f>
        <v>#DIV/0!</v>
      </c>
      <c r="PV126" s="657" t="e">
        <f t="shared" ref="PV126:PV135" si="733">ABS($B$34*PT126*3600)</f>
        <v>#DIV/0!</v>
      </c>
      <c r="PW126" s="600" t="e">
        <f t="shared" ref="PW126:PW135" si="734">PV126*$C$79</f>
        <v>#DIV/0!</v>
      </c>
      <c r="PX126" s="599" t="e">
        <f t="shared" ref="PX126:PX135" si="735">PV126*$F$70</f>
        <v>#DIV/0!</v>
      </c>
      <c r="PY126" s="600" t="e">
        <f>PV126*$F$75</f>
        <v>#DIV/0!</v>
      </c>
      <c r="PZ126" s="599" t="e">
        <f t="shared" ref="PZ126:PZ135" si="736">PV126*$F$72</f>
        <v>#DIV/0!</v>
      </c>
      <c r="QA126" s="658" t="e">
        <f t="shared" ref="QA126:QA135" si="737">PV126*$F$71</f>
        <v>#DIV/0!</v>
      </c>
      <c r="QB126" s="664"/>
      <c r="QC126" s="660"/>
      <c r="QD126" s="666"/>
      <c r="QE126" s="651"/>
      <c r="QF126" s="667"/>
      <c r="QG126" s="663"/>
      <c r="QH126" s="651">
        <f>IF(AND(ABS(QE126)&gt;=$F$42,ABS(QE126)&lt;=$G$42),QE126*$D$42,IF(AND(ABS(QE126)&gt;=$F$43,ABS(QE126)&lt;=$G$43),QE126*$D$43,IF(AND(ABS(QE126)&gt;=$F$44,ABS(QE126)&lt;=$G$44),QE126*$D$44,"rango cal. out")))</f>
        <v>0</v>
      </c>
      <c r="QI126" s="652" t="e">
        <f t="shared" ref="QI126:QI135" si="738">((273.2+QB126)*$F$32/((273.2+$F$31)*QD126))</f>
        <v>#DIV/0!</v>
      </c>
      <c r="QJ126" s="653" t="e">
        <f t="shared" ref="QJ126:QJ135" si="739">QH126/QF126*QI126*EXP(-LN(2)/10990*($F$88-QG126))</f>
        <v>#DIV/0!</v>
      </c>
      <c r="QK126" s="599" t="e">
        <f>QJ126-AVERAGE(QR94:QR95)</f>
        <v>#DIV/0!</v>
      </c>
      <c r="QL126" s="599" t="e">
        <f t="shared" ref="QL126:QL135" si="740">ABS($B$33*QK126*3600)</f>
        <v>#DIV/0!</v>
      </c>
      <c r="QM126" s="657" t="e">
        <f t="shared" ref="QM126:QM135" si="741">ABS($B$34*QK126*3600)</f>
        <v>#DIV/0!</v>
      </c>
      <c r="QN126" s="600" t="e">
        <f t="shared" ref="QN126:QN135" si="742">QM126*$C$79</f>
        <v>#DIV/0!</v>
      </c>
      <c r="QO126" s="599" t="e">
        <f t="shared" ref="QO126:QO135" si="743">QM126*$F$70</f>
        <v>#DIV/0!</v>
      </c>
      <c r="QP126" s="600" t="e">
        <f>QM126*$F$75</f>
        <v>#DIV/0!</v>
      </c>
      <c r="QQ126" s="599" t="e">
        <f t="shared" ref="QQ126:QQ135" si="744">QM126*$F$72</f>
        <v>#DIV/0!</v>
      </c>
      <c r="QR126" s="658" t="e">
        <f t="shared" ref="QR126:QR135" si="745">QM126*$F$71</f>
        <v>#DIV/0!</v>
      </c>
      <c r="QS126" s="664"/>
      <c r="QT126" s="660"/>
      <c r="QU126" s="660"/>
      <c r="QV126" s="665"/>
      <c r="QW126" s="667"/>
      <c r="QX126" s="663"/>
      <c r="QY126" s="651">
        <f>IF(AND(ABS(QV126)&gt;=$F$42,ABS(QV126)&lt;=$G$42),QV126*$D$42,IF(AND(ABS(QV126)&gt;=$F$43,ABS(QV126)&lt;=$G$43),QV126*$D$43,IF(AND(ABS(QV126)&gt;=$F$44,ABS(QV126)&lt;=$G$44),QV126*$D$44,"rango cal. out")))</f>
        <v>0</v>
      </c>
      <c r="QZ126" s="652" t="e">
        <f t="shared" ref="QZ126:QZ135" si="746">((273.2+QS126)*$F$32/((273.2+$F$31)*QU126))</f>
        <v>#DIV/0!</v>
      </c>
      <c r="RA126" s="653" t="e">
        <f t="shared" ref="RA126:RA135" si="747">QY126/QW126*QZ126*EXP(-LN(2)/10990*($F$88-QX126))</f>
        <v>#DIV/0!</v>
      </c>
      <c r="RB126" s="599" t="e">
        <f>RA126-AVERAGE(RI94:RI95)</f>
        <v>#DIV/0!</v>
      </c>
      <c r="RC126" s="599" t="e">
        <f t="shared" ref="RC126:RC135" si="748">ABS($B$33*RB126*3600)</f>
        <v>#DIV/0!</v>
      </c>
      <c r="RD126" s="657" t="e">
        <f t="shared" ref="RD126:RD135" si="749">ABS($B$34*RB126*3600)</f>
        <v>#DIV/0!</v>
      </c>
      <c r="RE126" s="600" t="e">
        <f t="shared" ref="RE126:RE135" si="750">RD126*$C$79</f>
        <v>#DIV/0!</v>
      </c>
      <c r="RF126" s="599" t="e">
        <f t="shared" ref="RF126:RF135" si="751">RD126*$F$70</f>
        <v>#DIV/0!</v>
      </c>
      <c r="RG126" s="600" t="e">
        <f>RD126*$F$75</f>
        <v>#DIV/0!</v>
      </c>
      <c r="RH126" s="599" t="e">
        <f t="shared" ref="RH126:RH135" si="752">RD126*$F$72</f>
        <v>#DIV/0!</v>
      </c>
      <c r="RI126" s="658" t="e">
        <f t="shared" ref="RI126:RI135" si="753">RD126*$F$71</f>
        <v>#DIV/0!</v>
      </c>
      <c r="RJ126" s="664">
        <v>20.5</v>
      </c>
      <c r="RK126" s="660">
        <v>54</v>
      </c>
      <c r="RL126" s="666">
        <v>1007</v>
      </c>
      <c r="RM126" s="651">
        <v>-6.1699999999999998E-12</v>
      </c>
      <c r="RN126" s="667">
        <v>60</v>
      </c>
      <c r="RO126" s="663">
        <v>43403</v>
      </c>
      <c r="RP126" s="651" t="str">
        <f>IF(AND(ABS(RM126)&gt;=$F$42,ABS(RM126)&lt;=$G$42),RM126*$D$42,IF(AND(ABS(RM126)&gt;=$F$43,ABS(RM126)&lt;=$G$43),RM126*$D$43,IF(AND(ABS(RM126)&gt;=$F$44,ABS(RM126)&lt;=$G$44),RM126*$D$44,"rango cal. out")))</f>
        <v>rango cal. out</v>
      </c>
      <c r="RQ126" s="652">
        <f t="shared" ref="RQ126:RQ135" si="754">((273.2+RJ126)*$F$32/((273.2+$F$31)*RL126))</f>
        <v>0</v>
      </c>
      <c r="RR126" s="653" t="e">
        <f t="shared" ref="RR126:RR135" si="755">RP126/RN126*RQ126*EXP(-LN(2)/10990*($F$88-RO126))</f>
        <v>#VALUE!</v>
      </c>
      <c r="RS126" s="599" t="e">
        <f>RR126-AVERAGE(RZ94:RZ95)</f>
        <v>#VALUE!</v>
      </c>
      <c r="RT126" s="599" t="e">
        <f t="shared" ref="RT126:RT135" si="756">ABS($B$33*RS126*3600)</f>
        <v>#VALUE!</v>
      </c>
      <c r="RU126" s="657" t="e">
        <f t="shared" ref="RU126:RU135" si="757">ABS($B$34*RS126*3600)</f>
        <v>#VALUE!</v>
      </c>
      <c r="RV126" s="600" t="e">
        <f t="shared" ref="RV126:RV135" si="758">RU126*$C$79</f>
        <v>#VALUE!</v>
      </c>
      <c r="RW126" s="599" t="e">
        <f t="shared" ref="RW126:RW135" si="759">RU126*$F$70</f>
        <v>#VALUE!</v>
      </c>
      <c r="RX126" s="600" t="e">
        <f>RU126*$F$75</f>
        <v>#VALUE!</v>
      </c>
      <c r="RY126" s="599" t="e">
        <f t="shared" ref="RY126:RY135" si="760">RU126*$F$72</f>
        <v>#VALUE!</v>
      </c>
      <c r="RZ126" s="658" t="e">
        <f t="shared" ref="RZ126:RZ135" si="761">RU126*$F$71</f>
        <v>#VALUE!</v>
      </c>
      <c r="SA126" s="664">
        <v>20.5</v>
      </c>
      <c r="SB126" s="660">
        <v>55</v>
      </c>
      <c r="SC126" s="666">
        <v>1008</v>
      </c>
      <c r="SD126" s="651">
        <v>-3.2419999999999998E-10</v>
      </c>
      <c r="SE126" s="667">
        <v>60</v>
      </c>
      <c r="SF126" s="663">
        <v>43403</v>
      </c>
      <c r="SG126" s="651" t="str">
        <f>IF(AND(ABS(SD126)&gt;=$F$42,ABS(SD126)&lt;=$G$42),SD126*$D$42,IF(AND(ABS(SD126)&gt;=$F$43,ABS(SD126)&lt;=$G$43),SD126*$D$43,IF(AND(ABS(SD126)&gt;=$F$44,ABS(SD126)&lt;=$G$44),SD126*$D$44,"rango cal. out")))</f>
        <v>rango cal. out</v>
      </c>
      <c r="SH126" s="652">
        <f t="shared" ref="SH126:SH135" si="762">((273.2+SA126)*$F$32/((273.2+$F$31)*SC126))</f>
        <v>0</v>
      </c>
      <c r="SI126" s="653" t="e">
        <f t="shared" ref="SI126:SI135" si="763">SG126/SE126*SH126*EXP(-LN(2)/10990*($F$88-SF126))</f>
        <v>#VALUE!</v>
      </c>
      <c r="SJ126" s="599" t="e">
        <f>SI126-AVERAGE(SQ94:SQ95)</f>
        <v>#VALUE!</v>
      </c>
      <c r="SK126" s="599" t="e">
        <f t="shared" ref="SK126:SK135" si="764">ABS($B$33*SJ126*3600)</f>
        <v>#VALUE!</v>
      </c>
      <c r="SL126" s="657" t="e">
        <f t="shared" ref="SL126:SL135" si="765">ABS($B$34*SJ126*3600)</f>
        <v>#VALUE!</v>
      </c>
      <c r="SM126" s="600" t="e">
        <f t="shared" ref="SM126:SM135" si="766">SL126*$C$79</f>
        <v>#VALUE!</v>
      </c>
      <c r="SN126" s="599" t="e">
        <f t="shared" ref="SN126:SN135" si="767">SL126*$F$70</f>
        <v>#VALUE!</v>
      </c>
      <c r="SO126" s="600" t="e">
        <f>SL126*$F$75</f>
        <v>#VALUE!</v>
      </c>
      <c r="SP126" s="599" t="e">
        <f t="shared" ref="SP126:SP135" si="768">SL126*$F$72</f>
        <v>#VALUE!</v>
      </c>
      <c r="SQ126" s="658" t="e">
        <f t="shared" ref="SQ126:SQ135" si="769">SL126*$F$71</f>
        <v>#VALUE!</v>
      </c>
      <c r="SR126" s="664"/>
      <c r="SS126" s="660"/>
      <c r="ST126" s="661"/>
      <c r="SU126" s="651"/>
      <c r="SV126" s="662"/>
      <c r="SW126" s="663"/>
      <c r="SX126" s="651">
        <f>IF(AND(ABS(SU126)&gt;=$F$42,ABS(SU126)&lt;=$G$42),SU126*$D$42,IF(AND(ABS(SU126)&gt;=$F$43,ABS(SU126)&lt;=$G$43),SU126*$D$43,IF(AND(ABS(SU126)&gt;=$F$44,ABS(SU126)&lt;=$G$44),SU126*$D$44,"rango cal. out")))</f>
        <v>0</v>
      </c>
      <c r="SY126" s="652" t="e">
        <f t="shared" ref="SY126:SY135" si="770">((273.2+SR126)*$F$32/((273.2+$F$31)*ST126))</f>
        <v>#DIV/0!</v>
      </c>
      <c r="SZ126" s="653" t="e">
        <f t="shared" ref="SZ126:SZ135" si="771">SX126/SV126*SY126*EXP(-LN(2)/10990*($F$88-SW126))</f>
        <v>#DIV/0!</v>
      </c>
      <c r="TA126" s="599" t="e">
        <f>SZ126-AVERAGE(TH94:TH95)</f>
        <v>#DIV/0!</v>
      </c>
      <c r="TB126" s="599" t="e">
        <f t="shared" ref="TB126:TB135" si="772">ABS($B$33*TA126*3600)</f>
        <v>#DIV/0!</v>
      </c>
      <c r="TC126" s="657" t="e">
        <f t="shared" ref="TC126:TC135" si="773">ABS($B$34*TA126*3600)</f>
        <v>#DIV/0!</v>
      </c>
      <c r="TD126" s="600" t="e">
        <f t="shared" ref="TD126:TD135" si="774">TC126*$C$79</f>
        <v>#DIV/0!</v>
      </c>
      <c r="TE126" s="599" t="e">
        <f t="shared" ref="TE126:TE135" si="775">TC126*$F$70</f>
        <v>#DIV/0!</v>
      </c>
      <c r="TF126" s="600" t="e">
        <f>TC126*$F$75</f>
        <v>#DIV/0!</v>
      </c>
      <c r="TG126" s="599" t="e">
        <f t="shared" ref="TG126:TG135" si="776">TC126*$F$72</f>
        <v>#DIV/0!</v>
      </c>
      <c r="TH126" s="658" t="e">
        <f t="shared" ref="TH126:TH135" si="777">TC126*$F$71</f>
        <v>#DIV/0!</v>
      </c>
      <c r="TI126" s="664">
        <v>20.5</v>
      </c>
      <c r="TJ126" s="660">
        <v>55</v>
      </c>
      <c r="TK126" s="666">
        <v>1008</v>
      </c>
      <c r="TL126" s="651">
        <v>-1.3620000000000001E-11</v>
      </c>
      <c r="TM126" s="667">
        <v>60</v>
      </c>
      <c r="TN126" s="663">
        <v>43403</v>
      </c>
      <c r="TO126" s="651" t="str">
        <f>IF(AND(ABS(TL126)&gt;=$F$42,ABS(TL126)&lt;=$G$42),TL126*$D$42,IF(AND(ABS(TL126)&gt;=$F$43,ABS(TL126)&lt;=$G$43),TL126*$D$43,IF(AND(ABS(TL126)&gt;=$F$44,ABS(TL126)&lt;=$G$44),TL126*$D$44,"rango cal. out")))</f>
        <v>rango cal. out</v>
      </c>
      <c r="TP126" s="652">
        <f t="shared" ref="TP126:TP135" si="778">((273.2+TI126)*$F$32/((273.2+$F$31)*TK126))</f>
        <v>0</v>
      </c>
      <c r="TQ126" s="653" t="e">
        <f t="shared" ref="TQ126:TQ135" si="779">TO126/TM126*TP126*EXP(-LN(2)/10990*($F$88-TN126))</f>
        <v>#VALUE!</v>
      </c>
      <c r="TR126" s="599" t="e">
        <f>TQ126-AVERAGE(TY94:TY95)</f>
        <v>#VALUE!</v>
      </c>
      <c r="TS126" s="599" t="e">
        <f t="shared" ref="TS126:TS135" si="780">ABS($B$33*TR126*3600)</f>
        <v>#VALUE!</v>
      </c>
      <c r="TT126" s="657" t="e">
        <f t="shared" ref="TT126:TT135" si="781">ABS($B$34*TR126*3600)</f>
        <v>#VALUE!</v>
      </c>
      <c r="TU126" s="600" t="e">
        <f t="shared" ref="TU126:TU135" si="782">TT126*$C$79</f>
        <v>#VALUE!</v>
      </c>
      <c r="TV126" s="599" t="e">
        <f t="shared" ref="TV126:TV135" si="783">TT126*$F$70</f>
        <v>#VALUE!</v>
      </c>
      <c r="TW126" s="600" t="e">
        <f>TT126*$F$75</f>
        <v>#VALUE!</v>
      </c>
      <c r="TX126" s="599" t="e">
        <f t="shared" ref="TX126:TX135" si="784">TT126*$F$72</f>
        <v>#VALUE!</v>
      </c>
      <c r="TY126" s="658" t="e">
        <f t="shared" ref="TY126:TY135" si="785">TT126*$F$71</f>
        <v>#VALUE!</v>
      </c>
    </row>
    <row r="127" spans="1:545" x14ac:dyDescent="0.25">
      <c r="A127" s="2219"/>
      <c r="B127" s="668"/>
      <c r="C127" s="673"/>
      <c r="D127" s="673"/>
      <c r="E127" s="671"/>
      <c r="F127" s="673"/>
      <c r="G127" s="650"/>
      <c r="H127" s="651"/>
      <c r="I127" s="619"/>
      <c r="J127" s="674"/>
      <c r="K127" s="599"/>
      <c r="L127" s="672"/>
      <c r="M127" s="675"/>
      <c r="N127" s="614"/>
      <c r="O127" s="672"/>
      <c r="P127" s="600"/>
      <c r="Q127" s="672"/>
      <c r="R127" s="676"/>
      <c r="S127" s="677"/>
      <c r="T127" s="669"/>
      <c r="U127" s="670"/>
      <c r="V127" s="671"/>
      <c r="W127" s="678"/>
      <c r="X127" s="650"/>
      <c r="Y127" s="651">
        <f t="shared" ref="Y127:Y135" si="786">IF(AND(ABS(V127)&gt;=$F$42,ABS(V127)&lt;=$G$42),V127*$D$42,IF(AND(ABS(V127)&gt;=$F$43,ABS(V127)&lt;=$G$43),V127*$D$43,IF(AND(ABS(V127)&gt;=$F$44,ABS(V127)&lt;=$G$44),V127*$D$44,"rango cal. out")))</f>
        <v>0</v>
      </c>
      <c r="Z127" s="619" t="e">
        <f t="shared" si="538"/>
        <v>#DIV/0!</v>
      </c>
      <c r="AA127" s="674" t="e">
        <f t="shared" si="539"/>
        <v>#DIV/0!</v>
      </c>
      <c r="AB127" s="599" t="e">
        <f>AA127-AVERAGE(AI94:AI95)</f>
        <v>#DIV/0!</v>
      </c>
      <c r="AC127" s="672" t="e">
        <f t="shared" si="540"/>
        <v>#DIV/0!</v>
      </c>
      <c r="AD127" s="675" t="e">
        <f t="shared" si="541"/>
        <v>#DIV/0!</v>
      </c>
      <c r="AE127" s="614" t="e">
        <f t="shared" si="542"/>
        <v>#DIV/0!</v>
      </c>
      <c r="AF127" s="672" t="e">
        <f t="shared" si="543"/>
        <v>#DIV/0!</v>
      </c>
      <c r="AG127" s="600" t="e">
        <f t="shared" ref="AG127:AG135" si="787">AD127*$F$75</f>
        <v>#DIV/0!</v>
      </c>
      <c r="AH127" s="672" t="e">
        <f t="shared" si="544"/>
        <v>#DIV/0!</v>
      </c>
      <c r="AI127" s="676" t="e">
        <f t="shared" si="545"/>
        <v>#DIV/0!</v>
      </c>
      <c r="AJ127" s="677"/>
      <c r="AK127" s="669"/>
      <c r="AL127" s="670"/>
      <c r="AM127" s="671"/>
      <c r="AN127" s="678"/>
      <c r="AO127" s="650"/>
      <c r="AP127" s="651">
        <f t="shared" ref="AP127:AP135" si="788">IF(AND(ABS(AM127)&gt;=$F$42,ABS(AM127)&lt;=$G$42),AM127*$D$42,IF(AND(ABS(AM127)&gt;=$F$43,ABS(AM127)&lt;=$G$43),AM127*$D$43,IF(AND(ABS(AM127)&gt;=$F$44,ABS(AM127)&lt;=$G$44),AM127*$D$44,"rango cal. out")))</f>
        <v>0</v>
      </c>
      <c r="AQ127" s="619" t="e">
        <f t="shared" si="546"/>
        <v>#DIV/0!</v>
      </c>
      <c r="AR127" s="674" t="e">
        <f t="shared" si="547"/>
        <v>#DIV/0!</v>
      </c>
      <c r="AS127" s="599" t="e">
        <f>AR127-AVERAGE(AZ94:AZ95)</f>
        <v>#DIV/0!</v>
      </c>
      <c r="AT127" s="672" t="e">
        <f t="shared" si="548"/>
        <v>#DIV/0!</v>
      </c>
      <c r="AU127" s="675" t="e">
        <f t="shared" si="549"/>
        <v>#DIV/0!</v>
      </c>
      <c r="AV127" s="614" t="e">
        <f t="shared" si="550"/>
        <v>#DIV/0!</v>
      </c>
      <c r="AW127" s="672" t="e">
        <f t="shared" si="551"/>
        <v>#DIV/0!</v>
      </c>
      <c r="AX127" s="600" t="e">
        <f t="shared" ref="AX127:AX135" si="789">AU127*$F$75</f>
        <v>#DIV/0!</v>
      </c>
      <c r="AY127" s="672" t="e">
        <f t="shared" si="552"/>
        <v>#DIV/0!</v>
      </c>
      <c r="AZ127" s="676" t="e">
        <f t="shared" si="553"/>
        <v>#DIV/0!</v>
      </c>
      <c r="BA127" s="668">
        <v>20.5</v>
      </c>
      <c r="BB127" s="669">
        <v>50</v>
      </c>
      <c r="BC127" s="680">
        <v>1009</v>
      </c>
      <c r="BD127" s="671">
        <v>-8.4510000000000001E-10</v>
      </c>
      <c r="BE127" s="673">
        <v>60</v>
      </c>
      <c r="BF127" s="650">
        <v>43403</v>
      </c>
      <c r="BG127" s="651" t="str">
        <f t="shared" ref="BG127:BG135" si="790">IF(AND(ABS(BD127)&gt;=$F$42,ABS(BD127)&lt;=$G$42),BD127*$D$42,IF(AND(ABS(BD127)&gt;=$F$43,ABS(BD127)&lt;=$G$43),BD127*$D$43,IF(AND(ABS(BD127)&gt;=$F$44,ABS(BD127)&lt;=$G$44),BD127*$D$44,"rango cal. out")))</f>
        <v>rango cal. out</v>
      </c>
      <c r="BH127" s="619">
        <f t="shared" si="554"/>
        <v>0</v>
      </c>
      <c r="BI127" s="674" t="e">
        <f t="shared" si="555"/>
        <v>#VALUE!</v>
      </c>
      <c r="BJ127" s="599" t="e">
        <f>BI127-AVERAGE(BQ94:BQ95)</f>
        <v>#VALUE!</v>
      </c>
      <c r="BK127" s="672" t="e">
        <f t="shared" si="556"/>
        <v>#VALUE!</v>
      </c>
      <c r="BL127" s="675" t="e">
        <f t="shared" si="557"/>
        <v>#VALUE!</v>
      </c>
      <c r="BM127" s="614" t="e">
        <f t="shared" si="558"/>
        <v>#VALUE!</v>
      </c>
      <c r="BN127" s="672" t="e">
        <f t="shared" si="559"/>
        <v>#VALUE!</v>
      </c>
      <c r="BO127" s="600" t="e">
        <f t="shared" ref="BO127:BO135" si="791">BL127*$F$75</f>
        <v>#VALUE!</v>
      </c>
      <c r="BP127" s="672" t="e">
        <f t="shared" si="560"/>
        <v>#VALUE!</v>
      </c>
      <c r="BQ127" s="676" t="e">
        <f t="shared" si="561"/>
        <v>#VALUE!</v>
      </c>
      <c r="BR127" s="668">
        <v>20.6</v>
      </c>
      <c r="BS127" s="669">
        <v>52</v>
      </c>
      <c r="BT127" s="680">
        <v>1008</v>
      </c>
      <c r="BU127" s="671">
        <v>-3.4420000000000002E-11</v>
      </c>
      <c r="BV127" s="673">
        <v>60</v>
      </c>
      <c r="BW127" s="650">
        <v>43403</v>
      </c>
      <c r="BX127" s="651" t="str">
        <f t="shared" ref="BX127:BX135" si="792">IF(AND(ABS(BU127)&gt;=$F$42,ABS(BU127)&lt;=$G$42),BU127*$D$42,IF(AND(ABS(BU127)&gt;=$F$43,ABS(BU127)&lt;=$G$43),BU127*$D$43,IF(AND(ABS(BU127)&gt;=$F$44,ABS(BU127)&lt;=$G$44),BU127*$D$44,"rango cal. out")))</f>
        <v>rango cal. out</v>
      </c>
      <c r="BY127" s="619">
        <f t="shared" si="562"/>
        <v>0</v>
      </c>
      <c r="BZ127" s="674" t="e">
        <f t="shared" si="563"/>
        <v>#VALUE!</v>
      </c>
      <c r="CA127" s="599" t="e">
        <f>BZ127-AVERAGE(CH94:CH95)</f>
        <v>#VALUE!</v>
      </c>
      <c r="CB127" s="672" t="e">
        <f t="shared" si="564"/>
        <v>#VALUE!</v>
      </c>
      <c r="CC127" s="675" t="e">
        <f t="shared" si="565"/>
        <v>#VALUE!</v>
      </c>
      <c r="CD127" s="614" t="e">
        <f t="shared" si="566"/>
        <v>#VALUE!</v>
      </c>
      <c r="CE127" s="672" t="e">
        <f t="shared" si="567"/>
        <v>#VALUE!</v>
      </c>
      <c r="CF127" s="600" t="e">
        <f t="shared" ref="CF127:CF135" si="793">CC127*$F$75</f>
        <v>#VALUE!</v>
      </c>
      <c r="CG127" s="672" t="e">
        <f t="shared" si="568"/>
        <v>#VALUE!</v>
      </c>
      <c r="CH127" s="676" t="e">
        <f t="shared" si="569"/>
        <v>#VALUE!</v>
      </c>
      <c r="CI127" s="668">
        <v>20.5</v>
      </c>
      <c r="CJ127" s="669">
        <v>51</v>
      </c>
      <c r="CK127" s="680">
        <v>1007</v>
      </c>
      <c r="CL127" s="671">
        <v>-1.9719999999999998E-9</v>
      </c>
      <c r="CM127" s="673">
        <v>60</v>
      </c>
      <c r="CN127" s="650">
        <v>43403</v>
      </c>
      <c r="CO127" s="651" t="str">
        <f t="shared" ref="CO127:CO135" si="794">IF(AND(ABS(CL127)&gt;=$F$42,ABS(CL127)&lt;=$G$42),CL127*$D$42,IF(AND(ABS(CL127)&gt;=$F$43,ABS(CL127)&lt;=$G$43),CL127*$D$43,IF(AND(ABS(CL127)&gt;=$F$44,ABS(CL127)&lt;=$G$44),CL127*$D$44,"rango cal. out")))</f>
        <v>rango cal. out</v>
      </c>
      <c r="CP127" s="619">
        <f t="shared" si="570"/>
        <v>0</v>
      </c>
      <c r="CQ127" s="674" t="e">
        <f t="shared" si="571"/>
        <v>#VALUE!</v>
      </c>
      <c r="CR127" s="599" t="e">
        <f>CQ127-AVERAGE(CY94:CY95)</f>
        <v>#VALUE!</v>
      </c>
      <c r="CS127" s="672" t="e">
        <f t="shared" si="572"/>
        <v>#VALUE!</v>
      </c>
      <c r="CT127" s="675" t="e">
        <f t="shared" si="573"/>
        <v>#VALUE!</v>
      </c>
      <c r="CU127" s="614" t="e">
        <f t="shared" si="574"/>
        <v>#VALUE!</v>
      </c>
      <c r="CV127" s="672" t="e">
        <f t="shared" si="575"/>
        <v>#VALUE!</v>
      </c>
      <c r="CW127" s="600" t="e">
        <f t="shared" ref="CW127:CW135" si="795">CT127*$F$75</f>
        <v>#VALUE!</v>
      </c>
      <c r="CX127" s="672" t="e">
        <f t="shared" si="576"/>
        <v>#VALUE!</v>
      </c>
      <c r="CY127" s="676" t="e">
        <f t="shared" si="577"/>
        <v>#VALUE!</v>
      </c>
      <c r="CZ127" s="668"/>
      <c r="DA127" s="669"/>
      <c r="DB127" s="670"/>
      <c r="DC127" s="671"/>
      <c r="DD127" s="678"/>
      <c r="DE127" s="650"/>
      <c r="DF127" s="651">
        <f t="shared" ref="DF127:DF135" si="796">IF(AND(ABS(DC127)&gt;=$F$42,ABS(DC127)&lt;=$G$42),DC127*$D$42,IF(AND(ABS(DC127)&gt;=$F$43,ABS(DC127)&lt;=$G$43),DC127*$D$43,IF(AND(ABS(DC127)&gt;=$F$44,ABS(DC127)&lt;=$G$44),DC127*$D$44,"rango cal. out")))</f>
        <v>0</v>
      </c>
      <c r="DG127" s="619" t="e">
        <f t="shared" si="578"/>
        <v>#DIV/0!</v>
      </c>
      <c r="DH127" s="674" t="e">
        <f t="shared" si="579"/>
        <v>#DIV/0!</v>
      </c>
      <c r="DI127" s="599" t="e">
        <f>DH127-AVERAGE(DP94:DP95)</f>
        <v>#DIV/0!</v>
      </c>
      <c r="DJ127" s="672" t="e">
        <f t="shared" si="580"/>
        <v>#DIV/0!</v>
      </c>
      <c r="DK127" s="675" t="e">
        <f t="shared" si="581"/>
        <v>#DIV/0!</v>
      </c>
      <c r="DL127" s="614" t="e">
        <f t="shared" si="582"/>
        <v>#DIV/0!</v>
      </c>
      <c r="DM127" s="672" t="e">
        <f t="shared" si="583"/>
        <v>#DIV/0!</v>
      </c>
      <c r="DN127" s="600" t="e">
        <f t="shared" ref="DN127:DN135" si="797">DK127*$F$75</f>
        <v>#DIV/0!</v>
      </c>
      <c r="DO127" s="672" t="e">
        <f t="shared" si="584"/>
        <v>#DIV/0!</v>
      </c>
      <c r="DP127" s="676" t="e">
        <f t="shared" si="585"/>
        <v>#DIV/0!</v>
      </c>
      <c r="DQ127" s="668"/>
      <c r="DR127" s="669"/>
      <c r="DS127" s="677"/>
      <c r="DT127" s="679"/>
      <c r="DU127" s="678"/>
      <c r="DV127" s="650"/>
      <c r="DW127" s="651">
        <f t="shared" ref="DW127:DW135" si="798">IF(AND(ABS(DT127)&gt;=$F$42,ABS(DT127)&lt;=$G$42),DT127*$D$42,IF(AND(ABS(DT127)&gt;=$F$43,ABS(DT127)&lt;=$G$43),DT127*$D$43,IF(AND(ABS(DT127)&gt;=$F$44,ABS(DT127)&lt;=$G$44),DT127*$D$44,"rango cal. out")))</f>
        <v>0</v>
      </c>
      <c r="DX127" s="619" t="e">
        <f t="shared" si="586"/>
        <v>#DIV/0!</v>
      </c>
      <c r="DY127" s="674" t="e">
        <f t="shared" si="587"/>
        <v>#DIV/0!</v>
      </c>
      <c r="DZ127" s="599" t="e">
        <f>DY127-AVERAGE(EG94:EG95)</f>
        <v>#DIV/0!</v>
      </c>
      <c r="EA127" s="672" t="e">
        <f t="shared" si="588"/>
        <v>#DIV/0!</v>
      </c>
      <c r="EB127" s="675" t="e">
        <f t="shared" si="589"/>
        <v>#DIV/0!</v>
      </c>
      <c r="EC127" s="614" t="e">
        <f t="shared" si="590"/>
        <v>#DIV/0!</v>
      </c>
      <c r="ED127" s="672" t="e">
        <f t="shared" si="591"/>
        <v>#DIV/0!</v>
      </c>
      <c r="EE127" s="600" t="e">
        <f t="shared" ref="EE127:EE135" si="799">EB127*$F$75</f>
        <v>#DIV/0!</v>
      </c>
      <c r="EF127" s="672" t="e">
        <f t="shared" si="592"/>
        <v>#DIV/0!</v>
      </c>
      <c r="EG127" s="676" t="e">
        <f t="shared" si="593"/>
        <v>#DIV/0!</v>
      </c>
      <c r="EH127" s="668">
        <v>20.7</v>
      </c>
      <c r="EI127" s="669">
        <v>53</v>
      </c>
      <c r="EJ127" s="680">
        <v>1007</v>
      </c>
      <c r="EK127" s="671">
        <v>-2.6499999999999998E-12</v>
      </c>
      <c r="EL127" s="673">
        <v>60</v>
      </c>
      <c r="EM127" s="650">
        <v>43403</v>
      </c>
      <c r="EN127" s="651" t="str">
        <f t="shared" ref="EN127:EN135" si="800">IF(AND(ABS(EK127)&gt;=$F$42,ABS(EK127)&lt;=$G$42),EK127*$D$42,IF(AND(ABS(EK127)&gt;=$F$43,ABS(EK127)&lt;=$G$43),EK127*$D$43,IF(AND(ABS(EK127)&gt;=$F$44,ABS(EK127)&lt;=$G$44),EK127*$D$44,"rango cal. out")))</f>
        <v>rango cal. out</v>
      </c>
      <c r="EO127" s="619">
        <f t="shared" si="594"/>
        <v>0</v>
      </c>
      <c r="EP127" s="674" t="e">
        <f t="shared" si="595"/>
        <v>#VALUE!</v>
      </c>
      <c r="EQ127" s="599" t="e">
        <f>EP127-AVERAGE(EX94:EX95)</f>
        <v>#VALUE!</v>
      </c>
      <c r="ER127" s="672" t="e">
        <f t="shared" si="596"/>
        <v>#VALUE!</v>
      </c>
      <c r="ES127" s="675" t="e">
        <f t="shared" si="597"/>
        <v>#VALUE!</v>
      </c>
      <c r="ET127" s="614" t="e">
        <f t="shared" si="598"/>
        <v>#VALUE!</v>
      </c>
      <c r="EU127" s="672" t="e">
        <f t="shared" si="599"/>
        <v>#VALUE!</v>
      </c>
      <c r="EV127" s="600" t="e">
        <f t="shared" ref="EV127:EV135" si="801">ES127*$F$75</f>
        <v>#VALUE!</v>
      </c>
      <c r="EW127" s="672" t="e">
        <f t="shared" si="600"/>
        <v>#VALUE!</v>
      </c>
      <c r="EX127" s="676" t="e">
        <f t="shared" si="601"/>
        <v>#VALUE!</v>
      </c>
      <c r="EY127" s="668"/>
      <c r="EZ127" s="669"/>
      <c r="FA127" s="670"/>
      <c r="FB127" s="671"/>
      <c r="FC127" s="678"/>
      <c r="FD127" s="650"/>
      <c r="FE127" s="651">
        <f t="shared" ref="FE127:FE135" si="802">IF(AND(ABS(FB127)&gt;=$F$42,ABS(FB127)&lt;=$G$42),FB127*$D$42,IF(AND(ABS(FB127)&gt;=$F$43,ABS(FB127)&lt;=$G$43),FB127*$D$43,IF(AND(ABS(FB127)&gt;=$F$44,ABS(FB127)&lt;=$G$44),FB127*$D$44,"rango cal. out")))</f>
        <v>0</v>
      </c>
      <c r="FF127" s="619" t="e">
        <f t="shared" si="602"/>
        <v>#DIV/0!</v>
      </c>
      <c r="FG127" s="674" t="e">
        <f t="shared" si="603"/>
        <v>#DIV/0!</v>
      </c>
      <c r="FH127" s="599" t="e">
        <f>FG127-AVERAGE(FO94:FO95)</f>
        <v>#DIV/0!</v>
      </c>
      <c r="FI127" s="672" t="e">
        <f t="shared" si="604"/>
        <v>#DIV/0!</v>
      </c>
      <c r="FJ127" s="675" t="e">
        <f t="shared" si="605"/>
        <v>#DIV/0!</v>
      </c>
      <c r="FK127" s="614" t="e">
        <f t="shared" si="606"/>
        <v>#DIV/0!</v>
      </c>
      <c r="FL127" s="672" t="e">
        <f t="shared" si="607"/>
        <v>#DIV/0!</v>
      </c>
      <c r="FM127" s="600" t="e">
        <f t="shared" ref="FM127:FM135" si="803">FJ127*$F$75</f>
        <v>#DIV/0!</v>
      </c>
      <c r="FN127" s="672" t="e">
        <f t="shared" si="608"/>
        <v>#DIV/0!</v>
      </c>
      <c r="FO127" s="676" t="e">
        <f t="shared" si="609"/>
        <v>#DIV/0!</v>
      </c>
      <c r="FP127" s="668"/>
      <c r="FQ127" s="669"/>
      <c r="FR127" s="670"/>
      <c r="FS127" s="671"/>
      <c r="FT127" s="678"/>
      <c r="FU127" s="650"/>
      <c r="FV127" s="651">
        <f t="shared" ref="FV127:FV135" si="804">IF(AND(ABS(FS127)&gt;=$F$42,ABS(FS127)&lt;=$G$42),FS127*$D$42,IF(AND(ABS(FS127)&gt;=$F$43,ABS(FS127)&lt;=$G$43),FS127*$D$43,IF(AND(ABS(FS127)&gt;=$F$44,ABS(FS127)&lt;=$G$44),FS127*$D$44,"rango cal. out")))</f>
        <v>0</v>
      </c>
      <c r="FW127" s="619" t="e">
        <f t="shared" si="610"/>
        <v>#DIV/0!</v>
      </c>
      <c r="FX127" s="674" t="e">
        <f t="shared" si="611"/>
        <v>#DIV/0!</v>
      </c>
      <c r="FY127" s="599" t="e">
        <f>FX127-AVERAGE(GF94:GF95)</f>
        <v>#DIV/0!</v>
      </c>
      <c r="FZ127" s="672" t="e">
        <f t="shared" si="612"/>
        <v>#DIV/0!</v>
      </c>
      <c r="GA127" s="675" t="e">
        <f t="shared" si="613"/>
        <v>#DIV/0!</v>
      </c>
      <c r="GB127" s="614" t="e">
        <f t="shared" si="614"/>
        <v>#DIV/0!</v>
      </c>
      <c r="GC127" s="672" t="e">
        <f t="shared" si="615"/>
        <v>#DIV/0!</v>
      </c>
      <c r="GD127" s="600" t="e">
        <f t="shared" ref="GD127:GD135" si="805">GA127*$F$75</f>
        <v>#DIV/0!</v>
      </c>
      <c r="GE127" s="672" t="e">
        <f t="shared" si="616"/>
        <v>#DIV/0!</v>
      </c>
      <c r="GF127" s="676" t="e">
        <f t="shared" si="617"/>
        <v>#DIV/0!</v>
      </c>
      <c r="GG127" s="668"/>
      <c r="GH127" s="669"/>
      <c r="GI127" s="677"/>
      <c r="GJ127" s="679"/>
      <c r="GK127" s="678"/>
      <c r="GL127" s="650"/>
      <c r="GM127" s="651">
        <f t="shared" ref="GM127:GM135" si="806">IF(AND(ABS(GJ127)&gt;=$F$42,ABS(GJ127)&lt;=$G$42),GJ127*$D$42,IF(AND(ABS(GJ127)&gt;=$F$43,ABS(GJ127)&lt;=$G$43),GJ127*$D$43,IF(AND(ABS(GJ127)&gt;=$F$44,ABS(GJ127)&lt;=$G$44),GJ127*$D$44,"rango cal. out")))</f>
        <v>0</v>
      </c>
      <c r="GN127" s="619" t="e">
        <f t="shared" si="618"/>
        <v>#DIV/0!</v>
      </c>
      <c r="GO127" s="674" t="e">
        <f t="shared" si="619"/>
        <v>#DIV/0!</v>
      </c>
      <c r="GP127" s="599" t="e">
        <f>GO127-AVERAGE(GW94:GW95)</f>
        <v>#DIV/0!</v>
      </c>
      <c r="GQ127" s="672" t="e">
        <f t="shared" si="620"/>
        <v>#DIV/0!</v>
      </c>
      <c r="GR127" s="675" t="e">
        <f t="shared" si="621"/>
        <v>#DIV/0!</v>
      </c>
      <c r="GS127" s="614" t="e">
        <f t="shared" si="622"/>
        <v>#DIV/0!</v>
      </c>
      <c r="GT127" s="672" t="e">
        <f t="shared" si="623"/>
        <v>#DIV/0!</v>
      </c>
      <c r="GU127" s="600" t="e">
        <f t="shared" ref="GU127:GU135" si="807">GR127*$F$75</f>
        <v>#DIV/0!</v>
      </c>
      <c r="GV127" s="672" t="e">
        <f t="shared" si="624"/>
        <v>#DIV/0!</v>
      </c>
      <c r="GW127" s="676" t="e">
        <f t="shared" si="625"/>
        <v>#DIV/0!</v>
      </c>
      <c r="GX127" s="668"/>
      <c r="GY127" s="669"/>
      <c r="GZ127" s="670"/>
      <c r="HA127" s="671"/>
      <c r="HB127" s="678"/>
      <c r="HC127" s="650"/>
      <c r="HD127" s="651">
        <f t="shared" ref="HD127:HD135" si="808">IF(AND(ABS(HA127)&gt;=$F$42,ABS(HA127)&lt;=$G$42),HA127*$D$42,IF(AND(ABS(HA127)&gt;=$F$43,ABS(HA127)&lt;=$G$43),HA127*$D$43,IF(AND(ABS(HA127)&gt;=$F$44,ABS(HA127)&lt;=$G$44),HA127*$D$44,"rango cal. out")))</f>
        <v>0</v>
      </c>
      <c r="HE127" s="619" t="e">
        <f t="shared" si="626"/>
        <v>#DIV/0!</v>
      </c>
      <c r="HF127" s="674" t="e">
        <f t="shared" si="627"/>
        <v>#DIV/0!</v>
      </c>
      <c r="HG127" s="599" t="e">
        <f>HF127-AVERAGE(HN94:HN95)</f>
        <v>#DIV/0!</v>
      </c>
      <c r="HH127" s="672" t="e">
        <f t="shared" si="628"/>
        <v>#DIV/0!</v>
      </c>
      <c r="HI127" s="675" t="e">
        <f t="shared" si="629"/>
        <v>#DIV/0!</v>
      </c>
      <c r="HJ127" s="614" t="e">
        <f t="shared" si="630"/>
        <v>#DIV/0!</v>
      </c>
      <c r="HK127" s="672" t="e">
        <f t="shared" si="631"/>
        <v>#DIV/0!</v>
      </c>
      <c r="HL127" s="600" t="e">
        <f t="shared" ref="HL127:HL135" si="809">HI127*$F$75</f>
        <v>#DIV/0!</v>
      </c>
      <c r="HM127" s="672" t="e">
        <f t="shared" si="632"/>
        <v>#DIV/0!</v>
      </c>
      <c r="HN127" s="676" t="e">
        <f t="shared" si="633"/>
        <v>#DIV/0!</v>
      </c>
      <c r="HO127" s="668"/>
      <c r="HP127" s="669"/>
      <c r="HQ127" s="670"/>
      <c r="HR127" s="671"/>
      <c r="HS127" s="678"/>
      <c r="HT127" s="650"/>
      <c r="HU127" s="651">
        <f t="shared" ref="HU127:HU135" si="810">IF(AND(ABS(HR127)&gt;=$F$42,ABS(HR127)&lt;=$G$42),HR127*$D$42,IF(AND(ABS(HR127)&gt;=$F$43,ABS(HR127)&lt;=$G$43),HR127*$D$43,IF(AND(ABS(HR127)&gt;=$F$44,ABS(HR127)&lt;=$G$44),HR127*$D$44,"rango cal. out")))</f>
        <v>0</v>
      </c>
      <c r="HV127" s="619" t="e">
        <f t="shared" si="634"/>
        <v>#DIV/0!</v>
      </c>
      <c r="HW127" s="674" t="e">
        <f t="shared" si="635"/>
        <v>#DIV/0!</v>
      </c>
      <c r="HX127" s="599" t="e">
        <f>HW127-AVERAGE(IE94:IE95)</f>
        <v>#DIV/0!</v>
      </c>
      <c r="HY127" s="672" t="e">
        <f t="shared" si="636"/>
        <v>#DIV/0!</v>
      </c>
      <c r="HZ127" s="675" t="e">
        <f t="shared" si="637"/>
        <v>#DIV/0!</v>
      </c>
      <c r="IA127" s="614" t="e">
        <f t="shared" si="638"/>
        <v>#DIV/0!</v>
      </c>
      <c r="IB127" s="672" t="e">
        <f t="shared" si="639"/>
        <v>#DIV/0!</v>
      </c>
      <c r="IC127" s="600" t="e">
        <f t="shared" ref="IC127:IC135" si="811">HZ127*$F$75</f>
        <v>#DIV/0!</v>
      </c>
      <c r="ID127" s="672" t="e">
        <f t="shared" si="640"/>
        <v>#DIV/0!</v>
      </c>
      <c r="IE127" s="676" t="e">
        <f t="shared" si="641"/>
        <v>#DIV/0!</v>
      </c>
      <c r="IF127" s="668"/>
      <c r="IG127" s="669"/>
      <c r="IH127" s="670"/>
      <c r="II127" s="671"/>
      <c r="IJ127" s="678"/>
      <c r="IK127" s="650"/>
      <c r="IL127" s="651">
        <f t="shared" ref="IL127:IL135" si="812">IF(AND(ABS(II127)&gt;=$F$42,ABS(II127)&lt;=$G$42),II127*$D$42,IF(AND(ABS(II127)&gt;=$F$43,ABS(II127)&lt;=$G$43),II127*$D$43,IF(AND(ABS(II127)&gt;=$F$44,ABS(II127)&lt;=$G$44),II127*$D$44,"rango cal. out")))</f>
        <v>0</v>
      </c>
      <c r="IM127" s="619" t="e">
        <f t="shared" si="642"/>
        <v>#DIV/0!</v>
      </c>
      <c r="IN127" s="674" t="e">
        <f t="shared" si="643"/>
        <v>#DIV/0!</v>
      </c>
      <c r="IO127" s="599" t="e">
        <f>IN127-AVERAGE(IV94:IV95)</f>
        <v>#DIV/0!</v>
      </c>
      <c r="IP127" s="672" t="e">
        <f t="shared" si="644"/>
        <v>#DIV/0!</v>
      </c>
      <c r="IQ127" s="675" t="e">
        <f t="shared" si="645"/>
        <v>#DIV/0!</v>
      </c>
      <c r="IR127" s="614" t="e">
        <f t="shared" si="646"/>
        <v>#DIV/0!</v>
      </c>
      <c r="IS127" s="672" t="e">
        <f t="shared" si="647"/>
        <v>#DIV/0!</v>
      </c>
      <c r="IT127" s="600" t="e">
        <f t="shared" ref="IT127:IT135" si="813">IQ127*$F$75</f>
        <v>#DIV/0!</v>
      </c>
      <c r="IU127" s="672" t="e">
        <f t="shared" si="648"/>
        <v>#DIV/0!</v>
      </c>
      <c r="IV127" s="676" t="e">
        <f t="shared" si="649"/>
        <v>#DIV/0!</v>
      </c>
      <c r="IW127" s="668"/>
      <c r="IX127" s="669"/>
      <c r="IY127" s="670"/>
      <c r="IZ127" s="671"/>
      <c r="JA127" s="678"/>
      <c r="JB127" s="650"/>
      <c r="JC127" s="651">
        <f t="shared" ref="JC127:JC135" si="814">IF(AND(ABS(IZ127)&gt;=$F$42,ABS(IZ127)&lt;=$G$42),IZ127*$D$42,IF(AND(ABS(IZ127)&gt;=$F$43,ABS(IZ127)&lt;=$G$43),IZ127*$D$43,IF(AND(ABS(IZ127)&gt;=$F$44,ABS(IZ127)&lt;=$G$44),IZ127*$D$44,"rango cal. out")))</f>
        <v>0</v>
      </c>
      <c r="JD127" s="619" t="e">
        <f t="shared" si="650"/>
        <v>#DIV/0!</v>
      </c>
      <c r="JE127" s="674" t="e">
        <f t="shared" si="651"/>
        <v>#DIV/0!</v>
      </c>
      <c r="JF127" s="599" t="e">
        <f>JE127-AVERAGE(JM94:JM95)</f>
        <v>#DIV/0!</v>
      </c>
      <c r="JG127" s="672" t="e">
        <f t="shared" si="652"/>
        <v>#DIV/0!</v>
      </c>
      <c r="JH127" s="675" t="e">
        <f t="shared" si="653"/>
        <v>#DIV/0!</v>
      </c>
      <c r="JI127" s="614" t="e">
        <f t="shared" si="654"/>
        <v>#DIV/0!</v>
      </c>
      <c r="JJ127" s="672" t="e">
        <f t="shared" si="655"/>
        <v>#DIV/0!</v>
      </c>
      <c r="JK127" s="600" t="e">
        <f t="shared" ref="JK127:JK135" si="815">JH127*$F$75</f>
        <v>#DIV/0!</v>
      </c>
      <c r="JL127" s="672" t="e">
        <f t="shared" si="656"/>
        <v>#DIV/0!</v>
      </c>
      <c r="JM127" s="676" t="e">
        <f t="shared" si="657"/>
        <v>#DIV/0!</v>
      </c>
      <c r="JN127" s="668"/>
      <c r="JO127" s="669"/>
      <c r="JP127" s="670"/>
      <c r="JQ127" s="671"/>
      <c r="JR127" s="678"/>
      <c r="JS127" s="650"/>
      <c r="JT127" s="651">
        <f t="shared" ref="JT127:JT135" si="816">IF(AND(ABS(JQ127)&gt;=$F$42,ABS(JQ127)&lt;=$G$42),JQ127*$D$42,IF(AND(ABS(JQ127)&gt;=$F$43,ABS(JQ127)&lt;=$G$43),JQ127*$D$43,IF(AND(ABS(JQ127)&gt;=$F$44,ABS(JQ127)&lt;=$G$44),JQ127*$D$44,"rango cal. out")))</f>
        <v>0</v>
      </c>
      <c r="JU127" s="619" t="e">
        <f t="shared" si="658"/>
        <v>#DIV/0!</v>
      </c>
      <c r="JV127" s="674" t="e">
        <f t="shared" si="659"/>
        <v>#DIV/0!</v>
      </c>
      <c r="JW127" s="599" t="e">
        <f>JV127-AVERAGE(KD94:KD95)</f>
        <v>#DIV/0!</v>
      </c>
      <c r="JX127" s="672" t="e">
        <f t="shared" si="660"/>
        <v>#DIV/0!</v>
      </c>
      <c r="JY127" s="675" t="e">
        <f t="shared" si="661"/>
        <v>#DIV/0!</v>
      </c>
      <c r="JZ127" s="614" t="e">
        <f t="shared" si="662"/>
        <v>#DIV/0!</v>
      </c>
      <c r="KA127" s="672" t="e">
        <f t="shared" si="663"/>
        <v>#DIV/0!</v>
      </c>
      <c r="KB127" s="600" t="e">
        <f t="shared" ref="KB127:KB135" si="817">JY127*$F$75</f>
        <v>#DIV/0!</v>
      </c>
      <c r="KC127" s="672" t="e">
        <f t="shared" si="664"/>
        <v>#DIV/0!</v>
      </c>
      <c r="KD127" s="676" t="e">
        <f t="shared" si="665"/>
        <v>#DIV/0!</v>
      </c>
      <c r="KE127" s="668"/>
      <c r="KF127" s="669"/>
      <c r="KG127" s="670"/>
      <c r="KH127" s="671"/>
      <c r="KI127" s="678"/>
      <c r="KJ127" s="650"/>
      <c r="KK127" s="651">
        <f t="shared" ref="KK127:KK135" si="818">IF(AND(ABS(KH127)&gt;=$F$42,ABS(KH127)&lt;=$G$42),KH127*$D$42,IF(AND(ABS(KH127)&gt;=$F$43,ABS(KH127)&lt;=$G$43),KH127*$D$43,IF(AND(ABS(KH127)&gt;=$F$44,ABS(KH127)&lt;=$G$44),KH127*$D$44,"rango cal. out")))</f>
        <v>0</v>
      </c>
      <c r="KL127" s="619" t="e">
        <f t="shared" si="666"/>
        <v>#DIV/0!</v>
      </c>
      <c r="KM127" s="674" t="e">
        <f t="shared" si="667"/>
        <v>#DIV/0!</v>
      </c>
      <c r="KN127" s="599" t="e">
        <f>KM127-AVERAGE(KU94:KU95)</f>
        <v>#DIV/0!</v>
      </c>
      <c r="KO127" s="672" t="e">
        <f t="shared" si="668"/>
        <v>#DIV/0!</v>
      </c>
      <c r="KP127" s="675" t="e">
        <f t="shared" si="669"/>
        <v>#DIV/0!</v>
      </c>
      <c r="KQ127" s="614" t="e">
        <f t="shared" si="670"/>
        <v>#DIV/0!</v>
      </c>
      <c r="KR127" s="672" t="e">
        <f t="shared" si="671"/>
        <v>#DIV/0!</v>
      </c>
      <c r="KS127" s="600" t="e">
        <f t="shared" ref="KS127:KS135" si="819">KP127*$F$75</f>
        <v>#DIV/0!</v>
      </c>
      <c r="KT127" s="672" t="e">
        <f t="shared" si="672"/>
        <v>#DIV/0!</v>
      </c>
      <c r="KU127" s="676" t="e">
        <f t="shared" si="673"/>
        <v>#DIV/0!</v>
      </c>
      <c r="KV127" s="668"/>
      <c r="KW127" s="669"/>
      <c r="KX127" s="670"/>
      <c r="KY127" s="671"/>
      <c r="KZ127" s="678"/>
      <c r="LA127" s="650"/>
      <c r="LB127" s="651">
        <f t="shared" ref="LB127:LB135" si="820">IF(AND(ABS(KY127)&gt;=$F$42,ABS(KY127)&lt;=$G$42),KY127*$D$42,IF(AND(ABS(KY127)&gt;=$F$43,ABS(KY127)&lt;=$G$43),KY127*$D$43,IF(AND(ABS(KY127)&gt;=$F$44,ABS(KY127)&lt;=$G$44),KY127*$D$44,"rango cal. out")))</f>
        <v>0</v>
      </c>
      <c r="LC127" s="619" t="e">
        <f t="shared" si="674"/>
        <v>#DIV/0!</v>
      </c>
      <c r="LD127" s="674" t="e">
        <f t="shared" si="675"/>
        <v>#DIV/0!</v>
      </c>
      <c r="LE127" s="599" t="e">
        <f>LD127-AVERAGE(LL94:LL95)</f>
        <v>#DIV/0!</v>
      </c>
      <c r="LF127" s="672" t="e">
        <f t="shared" si="676"/>
        <v>#DIV/0!</v>
      </c>
      <c r="LG127" s="675" t="e">
        <f t="shared" si="677"/>
        <v>#DIV/0!</v>
      </c>
      <c r="LH127" s="614" t="e">
        <f t="shared" si="678"/>
        <v>#DIV/0!</v>
      </c>
      <c r="LI127" s="672" t="e">
        <f t="shared" si="679"/>
        <v>#DIV/0!</v>
      </c>
      <c r="LJ127" s="600" t="e">
        <f t="shared" ref="LJ127:LJ135" si="821">LG127*$F$75</f>
        <v>#DIV/0!</v>
      </c>
      <c r="LK127" s="672" t="e">
        <f t="shared" si="680"/>
        <v>#DIV/0!</v>
      </c>
      <c r="LL127" s="676" t="e">
        <f t="shared" si="681"/>
        <v>#DIV/0!</v>
      </c>
      <c r="LM127" s="668"/>
      <c r="LN127" s="669"/>
      <c r="LO127" s="670"/>
      <c r="LP127" s="671"/>
      <c r="LQ127" s="678"/>
      <c r="LR127" s="650"/>
      <c r="LS127" s="651">
        <f t="shared" ref="LS127:LS135" si="822">IF(AND(ABS(LP127)&gt;=$F$42,ABS(LP127)&lt;=$G$42),LP127*$D$42,IF(AND(ABS(LP127)&gt;=$F$43,ABS(LP127)&lt;=$G$43),LP127*$D$43,IF(AND(ABS(LP127)&gt;=$F$44,ABS(LP127)&lt;=$G$44),LP127*$D$44,"rango cal. out")))</f>
        <v>0</v>
      </c>
      <c r="LT127" s="619" t="e">
        <f t="shared" si="682"/>
        <v>#DIV/0!</v>
      </c>
      <c r="LU127" s="674" t="e">
        <f t="shared" si="683"/>
        <v>#DIV/0!</v>
      </c>
      <c r="LV127" s="599" t="e">
        <f>LU127-AVERAGE(MC94:MC95)</f>
        <v>#DIV/0!</v>
      </c>
      <c r="LW127" s="672" t="e">
        <f t="shared" si="684"/>
        <v>#DIV/0!</v>
      </c>
      <c r="LX127" s="675" t="e">
        <f t="shared" si="685"/>
        <v>#DIV/0!</v>
      </c>
      <c r="LY127" s="614" t="e">
        <f t="shared" si="686"/>
        <v>#DIV/0!</v>
      </c>
      <c r="LZ127" s="672" t="e">
        <f t="shared" si="687"/>
        <v>#DIV/0!</v>
      </c>
      <c r="MA127" s="600" t="e">
        <f t="shared" ref="MA127:MA135" si="823">LX127*$F$75</f>
        <v>#DIV/0!</v>
      </c>
      <c r="MB127" s="672" t="e">
        <f t="shared" si="688"/>
        <v>#DIV/0!</v>
      </c>
      <c r="MC127" s="676" t="e">
        <f t="shared" si="689"/>
        <v>#DIV/0!</v>
      </c>
      <c r="MD127" s="668"/>
      <c r="ME127" s="669"/>
      <c r="MF127" s="680"/>
      <c r="MG127" s="671"/>
      <c r="MH127" s="673"/>
      <c r="MI127" s="650"/>
      <c r="MJ127" s="651">
        <f t="shared" ref="MJ127:MJ135" si="824">IF(AND(ABS(MG127)&gt;=$F$42,ABS(MG127)&lt;=$G$42),MG127*$D$42,IF(AND(ABS(MG127)&gt;=$F$43,ABS(MG127)&lt;=$G$43),MG127*$D$43,IF(AND(ABS(MG127)&gt;=$F$44,ABS(MG127)&lt;=$G$44),MG127*$D$44,"rango cal. out")))</f>
        <v>0</v>
      </c>
      <c r="MK127" s="619" t="e">
        <f t="shared" si="690"/>
        <v>#DIV/0!</v>
      </c>
      <c r="ML127" s="674" t="e">
        <f t="shared" si="691"/>
        <v>#DIV/0!</v>
      </c>
      <c r="MM127" s="599" t="e">
        <f>ML127-AVERAGE(MT94:MT95)</f>
        <v>#DIV/0!</v>
      </c>
      <c r="MN127" s="672" t="e">
        <f t="shared" si="692"/>
        <v>#DIV/0!</v>
      </c>
      <c r="MO127" s="675" t="e">
        <f t="shared" si="693"/>
        <v>#DIV/0!</v>
      </c>
      <c r="MP127" s="614" t="e">
        <f t="shared" si="694"/>
        <v>#DIV/0!</v>
      </c>
      <c r="MQ127" s="672" t="e">
        <f t="shared" si="695"/>
        <v>#DIV/0!</v>
      </c>
      <c r="MR127" s="600" t="e">
        <f t="shared" ref="MR127:MR135" si="825">MO127*$F$75</f>
        <v>#DIV/0!</v>
      </c>
      <c r="MS127" s="672" t="e">
        <f t="shared" si="696"/>
        <v>#DIV/0!</v>
      </c>
      <c r="MT127" s="676" t="e">
        <f t="shared" si="697"/>
        <v>#DIV/0!</v>
      </c>
      <c r="MU127" s="668">
        <v>20.5</v>
      </c>
      <c r="MV127" s="669">
        <v>54</v>
      </c>
      <c r="MW127" s="680">
        <v>1007</v>
      </c>
      <c r="MX127" s="671">
        <v>-5.6419999999999997E-11</v>
      </c>
      <c r="MY127" s="678">
        <v>60</v>
      </c>
      <c r="MZ127" s="650">
        <v>43403</v>
      </c>
      <c r="NA127" s="651" t="str">
        <f t="shared" ref="NA127:NA135" si="826">IF(AND(ABS(MX127)&gt;=$F$42,ABS(MX127)&lt;=$G$42),MX127*$D$42,IF(AND(ABS(MX127)&gt;=$F$43,ABS(MX127)&lt;=$G$43),MX127*$D$43,IF(AND(ABS(MX127)&gt;=$F$44,ABS(MX127)&lt;=$G$44),MX127*$D$44,"rango cal. out")))</f>
        <v>rango cal. out</v>
      </c>
      <c r="NB127" s="619">
        <f t="shared" si="698"/>
        <v>0</v>
      </c>
      <c r="NC127" s="674" t="e">
        <f t="shared" si="699"/>
        <v>#VALUE!</v>
      </c>
      <c r="ND127" s="599" t="e">
        <f>NC127-AVERAGE(NK94:NK95)</f>
        <v>#VALUE!</v>
      </c>
      <c r="NE127" s="672" t="e">
        <f t="shared" si="700"/>
        <v>#VALUE!</v>
      </c>
      <c r="NF127" s="675" t="e">
        <f t="shared" si="701"/>
        <v>#VALUE!</v>
      </c>
      <c r="NG127" s="614" t="e">
        <f t="shared" si="702"/>
        <v>#VALUE!</v>
      </c>
      <c r="NH127" s="672" t="e">
        <f t="shared" si="703"/>
        <v>#VALUE!</v>
      </c>
      <c r="NI127" s="600" t="e">
        <f t="shared" ref="NI127:NI135" si="827">NF127*$F$75</f>
        <v>#VALUE!</v>
      </c>
      <c r="NJ127" s="672" t="e">
        <f t="shared" si="704"/>
        <v>#VALUE!</v>
      </c>
      <c r="NK127" s="676" t="e">
        <f t="shared" si="705"/>
        <v>#VALUE!</v>
      </c>
      <c r="NL127" s="668"/>
      <c r="NM127" s="669"/>
      <c r="NN127" s="670"/>
      <c r="NO127" s="671"/>
      <c r="NP127" s="678"/>
      <c r="NQ127" s="650"/>
      <c r="NR127" s="651">
        <f t="shared" ref="NR127:NR135" si="828">IF(AND(ABS(NO127)&gt;=$F$42,ABS(NO127)&lt;=$G$42),NO127*$D$42,IF(AND(ABS(NO127)&gt;=$F$43,ABS(NO127)&lt;=$G$43),NO127*$D$43,IF(AND(ABS(NO127)&gt;=$F$44,ABS(NO127)&lt;=$G$44),NO127*$D$44,"rango cal. out")))</f>
        <v>0</v>
      </c>
      <c r="NS127" s="619" t="e">
        <f t="shared" si="706"/>
        <v>#DIV/0!</v>
      </c>
      <c r="NT127" s="674" t="e">
        <f t="shared" si="707"/>
        <v>#DIV/0!</v>
      </c>
      <c r="NU127" s="599" t="e">
        <f>NT127-AVERAGE(OB94:OB95)</f>
        <v>#DIV/0!</v>
      </c>
      <c r="NV127" s="672" t="e">
        <f t="shared" si="708"/>
        <v>#DIV/0!</v>
      </c>
      <c r="NW127" s="675" t="e">
        <f t="shared" si="709"/>
        <v>#DIV/0!</v>
      </c>
      <c r="NX127" s="614" t="e">
        <f t="shared" si="710"/>
        <v>#DIV/0!</v>
      </c>
      <c r="NY127" s="672" t="e">
        <f t="shared" si="711"/>
        <v>#DIV/0!</v>
      </c>
      <c r="NZ127" s="600" t="e">
        <f t="shared" ref="NZ127:NZ135" si="829">NW127*$F$75</f>
        <v>#DIV/0!</v>
      </c>
      <c r="OA127" s="672" t="e">
        <f t="shared" si="712"/>
        <v>#DIV/0!</v>
      </c>
      <c r="OB127" s="676" t="e">
        <f t="shared" si="713"/>
        <v>#DIV/0!</v>
      </c>
      <c r="OC127" s="668">
        <v>20.5</v>
      </c>
      <c r="OD127" s="669">
        <v>53</v>
      </c>
      <c r="OE127" s="680">
        <v>1007</v>
      </c>
      <c r="OF127" s="671">
        <v>-1.308E-10</v>
      </c>
      <c r="OG127" s="673">
        <v>60</v>
      </c>
      <c r="OH127" s="650">
        <v>43403</v>
      </c>
      <c r="OI127" s="651" t="str">
        <f t="shared" ref="OI127:OI135" si="830">IF(AND(ABS(OF127)&gt;=$F$42,ABS(OF127)&lt;=$G$42),OF127*$D$42,IF(AND(ABS(OF127)&gt;=$F$43,ABS(OF127)&lt;=$G$43),OF127*$D$43,IF(AND(ABS(OF127)&gt;=$F$44,ABS(OF127)&lt;=$G$44),OF127*$D$44,"rango cal. out")))</f>
        <v>rango cal. out</v>
      </c>
      <c r="OJ127" s="619">
        <f t="shared" si="714"/>
        <v>0</v>
      </c>
      <c r="OK127" s="674" t="e">
        <f t="shared" si="715"/>
        <v>#VALUE!</v>
      </c>
      <c r="OL127" s="599" t="e">
        <f>OK127-AVERAGE(OS94:OS95)</f>
        <v>#VALUE!</v>
      </c>
      <c r="OM127" s="672" t="e">
        <f t="shared" si="716"/>
        <v>#VALUE!</v>
      </c>
      <c r="ON127" s="675" t="e">
        <f t="shared" si="717"/>
        <v>#VALUE!</v>
      </c>
      <c r="OO127" s="614" t="e">
        <f t="shared" si="718"/>
        <v>#VALUE!</v>
      </c>
      <c r="OP127" s="672" t="e">
        <f t="shared" si="719"/>
        <v>#VALUE!</v>
      </c>
      <c r="OQ127" s="600" t="e">
        <f t="shared" ref="OQ127:OQ135" si="831">ON127*$F$75</f>
        <v>#VALUE!</v>
      </c>
      <c r="OR127" s="672" t="e">
        <f t="shared" si="720"/>
        <v>#VALUE!</v>
      </c>
      <c r="OS127" s="676" t="e">
        <f t="shared" si="721"/>
        <v>#VALUE!</v>
      </c>
      <c r="OT127" s="668"/>
      <c r="OU127" s="669"/>
      <c r="OV127" s="670"/>
      <c r="OW127" s="671"/>
      <c r="OX127" s="678"/>
      <c r="OY127" s="650"/>
      <c r="OZ127" s="651">
        <f t="shared" ref="OZ127:OZ135" si="832">IF(AND(ABS(OW127)&gt;=$F$42,ABS(OW127)&lt;=$G$42),OW127*$D$42,IF(AND(ABS(OW127)&gt;=$F$43,ABS(OW127)&lt;=$G$43),OW127*$D$43,IF(AND(ABS(OW127)&gt;=$F$44,ABS(OW127)&lt;=$G$44),OW127*$D$44,"rango cal. out")))</f>
        <v>0</v>
      </c>
      <c r="PA127" s="619" t="e">
        <f t="shared" si="722"/>
        <v>#DIV/0!</v>
      </c>
      <c r="PB127" s="674" t="e">
        <f t="shared" si="723"/>
        <v>#DIV/0!</v>
      </c>
      <c r="PC127" s="599" t="e">
        <f>PB127-AVERAGE(PJ94:PJ95)</f>
        <v>#DIV/0!</v>
      </c>
      <c r="PD127" s="672" t="e">
        <f t="shared" si="724"/>
        <v>#DIV/0!</v>
      </c>
      <c r="PE127" s="675" t="e">
        <f t="shared" si="725"/>
        <v>#DIV/0!</v>
      </c>
      <c r="PF127" s="614" t="e">
        <f t="shared" si="726"/>
        <v>#DIV/0!</v>
      </c>
      <c r="PG127" s="672" t="e">
        <f t="shared" si="727"/>
        <v>#DIV/0!</v>
      </c>
      <c r="PH127" s="600" t="e">
        <f t="shared" ref="PH127:PH135" si="833">PE127*$F$75</f>
        <v>#DIV/0!</v>
      </c>
      <c r="PI127" s="672" t="e">
        <f t="shared" si="728"/>
        <v>#DIV/0!</v>
      </c>
      <c r="PJ127" s="676" t="e">
        <f t="shared" si="729"/>
        <v>#DIV/0!</v>
      </c>
      <c r="PK127" s="668"/>
      <c r="PL127" s="669"/>
      <c r="PM127" s="670"/>
      <c r="PN127" s="671"/>
      <c r="PO127" s="678"/>
      <c r="PP127" s="650"/>
      <c r="PQ127" s="651">
        <f t="shared" ref="PQ127:PQ135" si="834">IF(AND(ABS(PN127)&gt;=$F$42,ABS(PN127)&lt;=$G$42),PN127*$D$42,IF(AND(ABS(PN127)&gt;=$F$43,ABS(PN127)&lt;=$G$43),PN127*$D$43,IF(AND(ABS(PN127)&gt;=$F$44,ABS(PN127)&lt;=$G$44),PN127*$D$44,"rango cal. out")))</f>
        <v>0</v>
      </c>
      <c r="PR127" s="619" t="e">
        <f t="shared" si="730"/>
        <v>#DIV/0!</v>
      </c>
      <c r="PS127" s="674" t="e">
        <f t="shared" si="731"/>
        <v>#DIV/0!</v>
      </c>
      <c r="PT127" s="599" t="e">
        <f>PS127-AVERAGE(QA94:QA95)</f>
        <v>#DIV/0!</v>
      </c>
      <c r="PU127" s="672" t="e">
        <f t="shared" si="732"/>
        <v>#DIV/0!</v>
      </c>
      <c r="PV127" s="675" t="e">
        <f t="shared" si="733"/>
        <v>#DIV/0!</v>
      </c>
      <c r="PW127" s="614" t="e">
        <f t="shared" si="734"/>
        <v>#DIV/0!</v>
      </c>
      <c r="PX127" s="672" t="e">
        <f t="shared" si="735"/>
        <v>#DIV/0!</v>
      </c>
      <c r="PY127" s="600" t="e">
        <f t="shared" ref="PY127:PY135" si="835">PV127*$F$75</f>
        <v>#DIV/0!</v>
      </c>
      <c r="PZ127" s="672" t="e">
        <f t="shared" si="736"/>
        <v>#DIV/0!</v>
      </c>
      <c r="QA127" s="676" t="e">
        <f t="shared" si="737"/>
        <v>#DIV/0!</v>
      </c>
      <c r="QB127" s="668"/>
      <c r="QC127" s="669"/>
      <c r="QD127" s="680"/>
      <c r="QE127" s="671"/>
      <c r="QF127" s="673"/>
      <c r="QG127" s="650"/>
      <c r="QH127" s="651">
        <f t="shared" ref="QH127:QH135" si="836">IF(AND(ABS(QE127)&gt;=$F$42,ABS(QE127)&lt;=$G$42),QE127*$D$42,IF(AND(ABS(QE127)&gt;=$F$43,ABS(QE127)&lt;=$G$43),QE127*$D$43,IF(AND(ABS(QE127)&gt;=$F$44,ABS(QE127)&lt;=$G$44),QE127*$D$44,"rango cal. out")))</f>
        <v>0</v>
      </c>
      <c r="QI127" s="619" t="e">
        <f t="shared" si="738"/>
        <v>#DIV/0!</v>
      </c>
      <c r="QJ127" s="674" t="e">
        <f t="shared" si="739"/>
        <v>#DIV/0!</v>
      </c>
      <c r="QK127" s="599" t="e">
        <f>QJ127-AVERAGE(QR94:QR95)</f>
        <v>#DIV/0!</v>
      </c>
      <c r="QL127" s="672" t="e">
        <f t="shared" si="740"/>
        <v>#DIV/0!</v>
      </c>
      <c r="QM127" s="675" t="e">
        <f t="shared" si="741"/>
        <v>#DIV/0!</v>
      </c>
      <c r="QN127" s="614" t="e">
        <f t="shared" si="742"/>
        <v>#DIV/0!</v>
      </c>
      <c r="QO127" s="672" t="e">
        <f t="shared" si="743"/>
        <v>#DIV/0!</v>
      </c>
      <c r="QP127" s="600" t="e">
        <f t="shared" ref="QP127:QP135" si="837">QM127*$F$75</f>
        <v>#DIV/0!</v>
      </c>
      <c r="QQ127" s="672" t="e">
        <f t="shared" si="744"/>
        <v>#DIV/0!</v>
      </c>
      <c r="QR127" s="676" t="e">
        <f t="shared" si="745"/>
        <v>#DIV/0!</v>
      </c>
      <c r="QS127" s="668"/>
      <c r="QT127" s="669"/>
      <c r="QU127" s="669"/>
      <c r="QV127" s="679"/>
      <c r="QW127" s="673"/>
      <c r="QX127" s="650"/>
      <c r="QY127" s="651">
        <f t="shared" ref="QY127:QY135" si="838">IF(AND(ABS(QV127)&gt;=$F$42,ABS(QV127)&lt;=$G$42),QV127*$D$42,IF(AND(ABS(QV127)&gt;=$F$43,ABS(QV127)&lt;=$G$43),QV127*$D$43,IF(AND(ABS(QV127)&gt;=$F$44,ABS(QV127)&lt;=$G$44),QV127*$D$44,"rango cal. out")))</f>
        <v>0</v>
      </c>
      <c r="QZ127" s="619" t="e">
        <f t="shared" si="746"/>
        <v>#DIV/0!</v>
      </c>
      <c r="RA127" s="674" t="e">
        <f t="shared" si="747"/>
        <v>#DIV/0!</v>
      </c>
      <c r="RB127" s="599" t="e">
        <f>RA127-AVERAGE(RI94:RI95)</f>
        <v>#DIV/0!</v>
      </c>
      <c r="RC127" s="672" t="e">
        <f t="shared" si="748"/>
        <v>#DIV/0!</v>
      </c>
      <c r="RD127" s="675" t="e">
        <f t="shared" si="749"/>
        <v>#DIV/0!</v>
      </c>
      <c r="RE127" s="614" t="e">
        <f t="shared" si="750"/>
        <v>#DIV/0!</v>
      </c>
      <c r="RF127" s="672" t="e">
        <f t="shared" si="751"/>
        <v>#DIV/0!</v>
      </c>
      <c r="RG127" s="600" t="e">
        <f t="shared" ref="RG127:RG135" si="839">RD127*$F$75</f>
        <v>#DIV/0!</v>
      </c>
      <c r="RH127" s="672" t="e">
        <f t="shared" si="752"/>
        <v>#DIV/0!</v>
      </c>
      <c r="RI127" s="676" t="e">
        <f t="shared" si="753"/>
        <v>#DIV/0!</v>
      </c>
      <c r="RJ127" s="668">
        <v>20.5</v>
      </c>
      <c r="RK127" s="669">
        <v>53</v>
      </c>
      <c r="RL127" s="680">
        <v>1007</v>
      </c>
      <c r="RM127" s="671">
        <v>-6.1199999999999998E-12</v>
      </c>
      <c r="RN127" s="673">
        <v>60</v>
      </c>
      <c r="RO127" s="650">
        <v>43403</v>
      </c>
      <c r="RP127" s="651" t="str">
        <f t="shared" ref="RP127:RP135" si="840">IF(AND(ABS(RM127)&gt;=$F$42,ABS(RM127)&lt;=$G$42),RM127*$D$42,IF(AND(ABS(RM127)&gt;=$F$43,ABS(RM127)&lt;=$G$43),RM127*$D$43,IF(AND(ABS(RM127)&gt;=$F$44,ABS(RM127)&lt;=$G$44),RM127*$D$44,"rango cal. out")))</f>
        <v>rango cal. out</v>
      </c>
      <c r="RQ127" s="619">
        <f t="shared" si="754"/>
        <v>0</v>
      </c>
      <c r="RR127" s="674" t="e">
        <f t="shared" si="755"/>
        <v>#VALUE!</v>
      </c>
      <c r="RS127" s="599" t="e">
        <f>RR127-AVERAGE(RZ94:RZ95)</f>
        <v>#VALUE!</v>
      </c>
      <c r="RT127" s="672" t="e">
        <f t="shared" si="756"/>
        <v>#VALUE!</v>
      </c>
      <c r="RU127" s="675" t="e">
        <f t="shared" si="757"/>
        <v>#VALUE!</v>
      </c>
      <c r="RV127" s="614" t="e">
        <f t="shared" si="758"/>
        <v>#VALUE!</v>
      </c>
      <c r="RW127" s="672" t="e">
        <f t="shared" si="759"/>
        <v>#VALUE!</v>
      </c>
      <c r="RX127" s="600" t="e">
        <f t="shared" ref="RX127:RX135" si="841">RU127*$F$75</f>
        <v>#VALUE!</v>
      </c>
      <c r="RY127" s="672" t="e">
        <f t="shared" si="760"/>
        <v>#VALUE!</v>
      </c>
      <c r="RZ127" s="676" t="e">
        <f t="shared" si="761"/>
        <v>#VALUE!</v>
      </c>
      <c r="SA127" s="668">
        <v>20.5</v>
      </c>
      <c r="SB127" s="669">
        <v>55</v>
      </c>
      <c r="SC127" s="680">
        <v>1008</v>
      </c>
      <c r="SD127" s="671">
        <v>-3.2450000000000002E-10</v>
      </c>
      <c r="SE127" s="673">
        <v>60</v>
      </c>
      <c r="SF127" s="650">
        <v>43403</v>
      </c>
      <c r="SG127" s="651" t="str">
        <f t="shared" ref="SG127:SG135" si="842">IF(AND(ABS(SD127)&gt;=$F$42,ABS(SD127)&lt;=$G$42),SD127*$D$42,IF(AND(ABS(SD127)&gt;=$F$43,ABS(SD127)&lt;=$G$43),SD127*$D$43,IF(AND(ABS(SD127)&gt;=$F$44,ABS(SD127)&lt;=$G$44),SD127*$D$44,"rango cal. out")))</f>
        <v>rango cal. out</v>
      </c>
      <c r="SH127" s="619">
        <f t="shared" si="762"/>
        <v>0</v>
      </c>
      <c r="SI127" s="674" t="e">
        <f t="shared" si="763"/>
        <v>#VALUE!</v>
      </c>
      <c r="SJ127" s="599" t="e">
        <f>SI127-AVERAGE(SQ94:SQ95)</f>
        <v>#VALUE!</v>
      </c>
      <c r="SK127" s="672" t="e">
        <f t="shared" si="764"/>
        <v>#VALUE!</v>
      </c>
      <c r="SL127" s="675" t="e">
        <f t="shared" si="765"/>
        <v>#VALUE!</v>
      </c>
      <c r="SM127" s="614" t="e">
        <f t="shared" si="766"/>
        <v>#VALUE!</v>
      </c>
      <c r="SN127" s="672" t="e">
        <f t="shared" si="767"/>
        <v>#VALUE!</v>
      </c>
      <c r="SO127" s="600" t="e">
        <f t="shared" ref="SO127:SO135" si="843">SL127*$F$75</f>
        <v>#VALUE!</v>
      </c>
      <c r="SP127" s="672" t="e">
        <f t="shared" si="768"/>
        <v>#VALUE!</v>
      </c>
      <c r="SQ127" s="676" t="e">
        <f t="shared" si="769"/>
        <v>#VALUE!</v>
      </c>
      <c r="SR127" s="668"/>
      <c r="SS127" s="669"/>
      <c r="ST127" s="670"/>
      <c r="SU127" s="671"/>
      <c r="SV127" s="678"/>
      <c r="SW127" s="650"/>
      <c r="SX127" s="651">
        <f t="shared" ref="SX127:SX135" si="844">IF(AND(ABS(SU127)&gt;=$F$42,ABS(SU127)&lt;=$G$42),SU127*$D$42,IF(AND(ABS(SU127)&gt;=$F$43,ABS(SU127)&lt;=$G$43),SU127*$D$43,IF(AND(ABS(SU127)&gt;=$F$44,ABS(SU127)&lt;=$G$44),SU127*$D$44,"rango cal. out")))</f>
        <v>0</v>
      </c>
      <c r="SY127" s="619" t="e">
        <f t="shared" si="770"/>
        <v>#DIV/0!</v>
      </c>
      <c r="SZ127" s="674" t="e">
        <f t="shared" si="771"/>
        <v>#DIV/0!</v>
      </c>
      <c r="TA127" s="599" t="e">
        <f>SZ127-AVERAGE(TH94:TH95)</f>
        <v>#DIV/0!</v>
      </c>
      <c r="TB127" s="672" t="e">
        <f t="shared" si="772"/>
        <v>#DIV/0!</v>
      </c>
      <c r="TC127" s="675" t="e">
        <f t="shared" si="773"/>
        <v>#DIV/0!</v>
      </c>
      <c r="TD127" s="614" t="e">
        <f t="shared" si="774"/>
        <v>#DIV/0!</v>
      </c>
      <c r="TE127" s="672" t="e">
        <f t="shared" si="775"/>
        <v>#DIV/0!</v>
      </c>
      <c r="TF127" s="600" t="e">
        <f t="shared" ref="TF127:TF135" si="845">TC127*$F$75</f>
        <v>#DIV/0!</v>
      </c>
      <c r="TG127" s="672" t="e">
        <f t="shared" si="776"/>
        <v>#DIV/0!</v>
      </c>
      <c r="TH127" s="676" t="e">
        <f t="shared" si="777"/>
        <v>#DIV/0!</v>
      </c>
      <c r="TI127" s="668">
        <v>20.5</v>
      </c>
      <c r="TJ127" s="669">
        <v>55</v>
      </c>
      <c r="TK127" s="680">
        <v>1008</v>
      </c>
      <c r="TL127" s="671">
        <v>-1.3649999999999999E-11</v>
      </c>
      <c r="TM127" s="673">
        <v>60</v>
      </c>
      <c r="TN127" s="650">
        <v>43403</v>
      </c>
      <c r="TO127" s="651" t="str">
        <f t="shared" ref="TO127:TO135" si="846">IF(AND(ABS(TL127)&gt;=$F$42,ABS(TL127)&lt;=$G$42),TL127*$D$42,IF(AND(ABS(TL127)&gt;=$F$43,ABS(TL127)&lt;=$G$43),TL127*$D$43,IF(AND(ABS(TL127)&gt;=$F$44,ABS(TL127)&lt;=$G$44),TL127*$D$44,"rango cal. out")))</f>
        <v>rango cal. out</v>
      </c>
      <c r="TP127" s="619">
        <f t="shared" si="778"/>
        <v>0</v>
      </c>
      <c r="TQ127" s="674" t="e">
        <f t="shared" si="779"/>
        <v>#VALUE!</v>
      </c>
      <c r="TR127" s="599" t="e">
        <f>TQ127-AVERAGE(TY94:TY95)</f>
        <v>#VALUE!</v>
      </c>
      <c r="TS127" s="672" t="e">
        <f t="shared" si="780"/>
        <v>#VALUE!</v>
      </c>
      <c r="TT127" s="675" t="e">
        <f t="shared" si="781"/>
        <v>#VALUE!</v>
      </c>
      <c r="TU127" s="614" t="e">
        <f t="shared" si="782"/>
        <v>#VALUE!</v>
      </c>
      <c r="TV127" s="672" t="e">
        <f t="shared" si="783"/>
        <v>#VALUE!</v>
      </c>
      <c r="TW127" s="600" t="e">
        <f t="shared" ref="TW127:TW135" si="847">TT127*$F$75</f>
        <v>#VALUE!</v>
      </c>
      <c r="TX127" s="672" t="e">
        <f t="shared" si="784"/>
        <v>#VALUE!</v>
      </c>
      <c r="TY127" s="676" t="e">
        <f t="shared" si="785"/>
        <v>#VALUE!</v>
      </c>
    </row>
    <row r="128" spans="1:545" x14ac:dyDescent="0.25">
      <c r="A128" s="2219"/>
      <c r="B128" s="668"/>
      <c r="C128" s="673"/>
      <c r="D128" s="673"/>
      <c r="E128" s="671"/>
      <c r="F128" s="673"/>
      <c r="G128" s="650"/>
      <c r="H128" s="651"/>
      <c r="I128" s="619"/>
      <c r="J128" s="674"/>
      <c r="K128" s="599"/>
      <c r="L128" s="672"/>
      <c r="M128" s="675"/>
      <c r="N128" s="614"/>
      <c r="O128" s="672"/>
      <c r="P128" s="600"/>
      <c r="Q128" s="672"/>
      <c r="R128" s="676"/>
      <c r="S128" s="677"/>
      <c r="T128" s="669"/>
      <c r="U128" s="670"/>
      <c r="V128" s="671"/>
      <c r="W128" s="678"/>
      <c r="X128" s="650"/>
      <c r="Y128" s="651">
        <f t="shared" si="786"/>
        <v>0</v>
      </c>
      <c r="Z128" s="619" t="e">
        <f t="shared" si="538"/>
        <v>#DIV/0!</v>
      </c>
      <c r="AA128" s="674" t="e">
        <f t="shared" si="539"/>
        <v>#DIV/0!</v>
      </c>
      <c r="AB128" s="599" t="e">
        <f>AA128-AVERAGE(AI94:AI95)</f>
        <v>#DIV/0!</v>
      </c>
      <c r="AC128" s="672" t="e">
        <f t="shared" si="540"/>
        <v>#DIV/0!</v>
      </c>
      <c r="AD128" s="675" t="e">
        <f t="shared" si="541"/>
        <v>#DIV/0!</v>
      </c>
      <c r="AE128" s="614" t="e">
        <f t="shared" si="542"/>
        <v>#DIV/0!</v>
      </c>
      <c r="AF128" s="672" t="e">
        <f t="shared" si="543"/>
        <v>#DIV/0!</v>
      </c>
      <c r="AG128" s="600" t="e">
        <f t="shared" si="787"/>
        <v>#DIV/0!</v>
      </c>
      <c r="AH128" s="672" t="e">
        <f t="shared" si="544"/>
        <v>#DIV/0!</v>
      </c>
      <c r="AI128" s="676" t="e">
        <f t="shared" si="545"/>
        <v>#DIV/0!</v>
      </c>
      <c r="AJ128" s="677"/>
      <c r="AK128" s="669"/>
      <c r="AL128" s="670"/>
      <c r="AM128" s="671"/>
      <c r="AN128" s="678"/>
      <c r="AO128" s="650"/>
      <c r="AP128" s="651">
        <f t="shared" si="788"/>
        <v>0</v>
      </c>
      <c r="AQ128" s="619" t="e">
        <f t="shared" si="546"/>
        <v>#DIV/0!</v>
      </c>
      <c r="AR128" s="674" t="e">
        <f t="shared" si="547"/>
        <v>#DIV/0!</v>
      </c>
      <c r="AS128" s="599" t="e">
        <f>AR128-AVERAGE(AZ94:AZ95)</f>
        <v>#DIV/0!</v>
      </c>
      <c r="AT128" s="672" t="e">
        <f t="shared" si="548"/>
        <v>#DIV/0!</v>
      </c>
      <c r="AU128" s="675" t="e">
        <f t="shared" si="549"/>
        <v>#DIV/0!</v>
      </c>
      <c r="AV128" s="614" t="e">
        <f t="shared" si="550"/>
        <v>#DIV/0!</v>
      </c>
      <c r="AW128" s="672" t="e">
        <f t="shared" si="551"/>
        <v>#DIV/0!</v>
      </c>
      <c r="AX128" s="600" t="e">
        <f t="shared" si="789"/>
        <v>#DIV/0!</v>
      </c>
      <c r="AY128" s="672" t="e">
        <f t="shared" si="552"/>
        <v>#DIV/0!</v>
      </c>
      <c r="AZ128" s="676" t="e">
        <f t="shared" si="553"/>
        <v>#DIV/0!</v>
      </c>
      <c r="BA128" s="668">
        <v>20.5</v>
      </c>
      <c r="BB128" s="669">
        <v>52</v>
      </c>
      <c r="BC128" s="680">
        <v>1009</v>
      </c>
      <c r="BD128" s="671">
        <v>-8.4520000000000004E-10</v>
      </c>
      <c r="BE128" s="673">
        <v>60</v>
      </c>
      <c r="BF128" s="650">
        <v>43403</v>
      </c>
      <c r="BG128" s="651" t="str">
        <f t="shared" si="790"/>
        <v>rango cal. out</v>
      </c>
      <c r="BH128" s="619">
        <f t="shared" si="554"/>
        <v>0</v>
      </c>
      <c r="BI128" s="674" t="e">
        <f t="shared" si="555"/>
        <v>#VALUE!</v>
      </c>
      <c r="BJ128" s="599" t="e">
        <f>BI128-AVERAGE(BQ94:BQ95)</f>
        <v>#VALUE!</v>
      </c>
      <c r="BK128" s="672" t="e">
        <f t="shared" si="556"/>
        <v>#VALUE!</v>
      </c>
      <c r="BL128" s="675" t="e">
        <f t="shared" si="557"/>
        <v>#VALUE!</v>
      </c>
      <c r="BM128" s="614" t="e">
        <f t="shared" si="558"/>
        <v>#VALUE!</v>
      </c>
      <c r="BN128" s="672" t="e">
        <f t="shared" si="559"/>
        <v>#VALUE!</v>
      </c>
      <c r="BO128" s="600" t="e">
        <f t="shared" si="791"/>
        <v>#VALUE!</v>
      </c>
      <c r="BP128" s="672" t="e">
        <f t="shared" si="560"/>
        <v>#VALUE!</v>
      </c>
      <c r="BQ128" s="676" t="e">
        <f t="shared" si="561"/>
        <v>#VALUE!</v>
      </c>
      <c r="BR128" s="668">
        <v>20.7</v>
      </c>
      <c r="BS128" s="669">
        <v>52</v>
      </c>
      <c r="BT128" s="680">
        <v>1008</v>
      </c>
      <c r="BU128" s="671">
        <v>-3.4460000000000003E-11</v>
      </c>
      <c r="BV128" s="673">
        <v>60</v>
      </c>
      <c r="BW128" s="650">
        <v>43403</v>
      </c>
      <c r="BX128" s="651" t="str">
        <f t="shared" si="792"/>
        <v>rango cal. out</v>
      </c>
      <c r="BY128" s="619">
        <f t="shared" si="562"/>
        <v>0</v>
      </c>
      <c r="BZ128" s="674" t="e">
        <f t="shared" si="563"/>
        <v>#VALUE!</v>
      </c>
      <c r="CA128" s="599" t="e">
        <f>BZ128-AVERAGE(CH94:CH95)</f>
        <v>#VALUE!</v>
      </c>
      <c r="CB128" s="672" t="e">
        <f t="shared" si="564"/>
        <v>#VALUE!</v>
      </c>
      <c r="CC128" s="675" t="e">
        <f t="shared" si="565"/>
        <v>#VALUE!</v>
      </c>
      <c r="CD128" s="614" t="e">
        <f t="shared" si="566"/>
        <v>#VALUE!</v>
      </c>
      <c r="CE128" s="672" t="e">
        <f t="shared" si="567"/>
        <v>#VALUE!</v>
      </c>
      <c r="CF128" s="600" t="e">
        <f t="shared" si="793"/>
        <v>#VALUE!</v>
      </c>
      <c r="CG128" s="672" t="e">
        <f t="shared" si="568"/>
        <v>#VALUE!</v>
      </c>
      <c r="CH128" s="676" t="e">
        <f t="shared" si="569"/>
        <v>#VALUE!</v>
      </c>
      <c r="CI128" s="668">
        <v>20.5</v>
      </c>
      <c r="CJ128" s="669">
        <v>53</v>
      </c>
      <c r="CK128" s="680">
        <v>1007</v>
      </c>
      <c r="CL128" s="671">
        <v>-1.9719999999999998E-9</v>
      </c>
      <c r="CM128" s="673">
        <v>60</v>
      </c>
      <c r="CN128" s="650">
        <v>43403</v>
      </c>
      <c r="CO128" s="651" t="str">
        <f t="shared" si="794"/>
        <v>rango cal. out</v>
      </c>
      <c r="CP128" s="619">
        <f t="shared" si="570"/>
        <v>0</v>
      </c>
      <c r="CQ128" s="674" t="e">
        <f t="shared" si="571"/>
        <v>#VALUE!</v>
      </c>
      <c r="CR128" s="599" t="e">
        <f>CQ128-AVERAGE(CY94:CY95)</f>
        <v>#VALUE!</v>
      </c>
      <c r="CS128" s="672" t="e">
        <f t="shared" si="572"/>
        <v>#VALUE!</v>
      </c>
      <c r="CT128" s="675" t="e">
        <f t="shared" si="573"/>
        <v>#VALUE!</v>
      </c>
      <c r="CU128" s="614" t="e">
        <f t="shared" si="574"/>
        <v>#VALUE!</v>
      </c>
      <c r="CV128" s="672" t="e">
        <f t="shared" si="575"/>
        <v>#VALUE!</v>
      </c>
      <c r="CW128" s="600" t="e">
        <f t="shared" si="795"/>
        <v>#VALUE!</v>
      </c>
      <c r="CX128" s="672" t="e">
        <f t="shared" si="576"/>
        <v>#VALUE!</v>
      </c>
      <c r="CY128" s="676" t="e">
        <f t="shared" si="577"/>
        <v>#VALUE!</v>
      </c>
      <c r="CZ128" s="668"/>
      <c r="DA128" s="669"/>
      <c r="DB128" s="670"/>
      <c r="DC128" s="671"/>
      <c r="DD128" s="678"/>
      <c r="DE128" s="650"/>
      <c r="DF128" s="651">
        <f t="shared" si="796"/>
        <v>0</v>
      </c>
      <c r="DG128" s="619" t="e">
        <f t="shared" si="578"/>
        <v>#DIV/0!</v>
      </c>
      <c r="DH128" s="674" t="e">
        <f t="shared" si="579"/>
        <v>#DIV/0!</v>
      </c>
      <c r="DI128" s="599" t="e">
        <f>DH128-AVERAGE(DP94:DP95)</f>
        <v>#DIV/0!</v>
      </c>
      <c r="DJ128" s="672" t="e">
        <f t="shared" si="580"/>
        <v>#DIV/0!</v>
      </c>
      <c r="DK128" s="675" t="e">
        <f t="shared" si="581"/>
        <v>#DIV/0!</v>
      </c>
      <c r="DL128" s="614" t="e">
        <f t="shared" si="582"/>
        <v>#DIV/0!</v>
      </c>
      <c r="DM128" s="672" t="e">
        <f t="shared" si="583"/>
        <v>#DIV/0!</v>
      </c>
      <c r="DN128" s="600" t="e">
        <f t="shared" si="797"/>
        <v>#DIV/0!</v>
      </c>
      <c r="DO128" s="672" t="e">
        <f t="shared" si="584"/>
        <v>#DIV/0!</v>
      </c>
      <c r="DP128" s="676" t="e">
        <f t="shared" si="585"/>
        <v>#DIV/0!</v>
      </c>
      <c r="DQ128" s="668"/>
      <c r="DR128" s="669"/>
      <c r="DS128" s="677"/>
      <c r="DT128" s="679"/>
      <c r="DU128" s="678"/>
      <c r="DV128" s="650"/>
      <c r="DW128" s="651">
        <f t="shared" si="798"/>
        <v>0</v>
      </c>
      <c r="DX128" s="619" t="e">
        <f t="shared" si="586"/>
        <v>#DIV/0!</v>
      </c>
      <c r="DY128" s="674" t="e">
        <f t="shared" si="587"/>
        <v>#DIV/0!</v>
      </c>
      <c r="DZ128" s="599" t="e">
        <f>DY128-AVERAGE(EG94:EG95)</f>
        <v>#DIV/0!</v>
      </c>
      <c r="EA128" s="672" t="e">
        <f t="shared" si="588"/>
        <v>#DIV/0!</v>
      </c>
      <c r="EB128" s="675" t="e">
        <f t="shared" si="589"/>
        <v>#DIV/0!</v>
      </c>
      <c r="EC128" s="614" t="e">
        <f t="shared" si="590"/>
        <v>#DIV/0!</v>
      </c>
      <c r="ED128" s="672" t="e">
        <f t="shared" si="591"/>
        <v>#DIV/0!</v>
      </c>
      <c r="EE128" s="600" t="e">
        <f t="shared" si="799"/>
        <v>#DIV/0!</v>
      </c>
      <c r="EF128" s="672" t="e">
        <f t="shared" si="592"/>
        <v>#DIV/0!</v>
      </c>
      <c r="EG128" s="676" t="e">
        <f t="shared" si="593"/>
        <v>#DIV/0!</v>
      </c>
      <c r="EH128" s="668">
        <v>20.5</v>
      </c>
      <c r="EI128" s="669">
        <v>51</v>
      </c>
      <c r="EJ128" s="680">
        <v>1007</v>
      </c>
      <c r="EK128" s="671">
        <v>2.5400000000000001E-12</v>
      </c>
      <c r="EL128" s="673">
        <v>60</v>
      </c>
      <c r="EM128" s="650">
        <v>43403</v>
      </c>
      <c r="EN128" s="651" t="str">
        <f t="shared" si="800"/>
        <v>rango cal. out</v>
      </c>
      <c r="EO128" s="619">
        <f t="shared" si="594"/>
        <v>0</v>
      </c>
      <c r="EP128" s="674" t="e">
        <f t="shared" si="595"/>
        <v>#VALUE!</v>
      </c>
      <c r="EQ128" s="599" t="e">
        <f>EP128-AVERAGE(EX94:EX95)</f>
        <v>#VALUE!</v>
      </c>
      <c r="ER128" s="672" t="e">
        <f t="shared" si="596"/>
        <v>#VALUE!</v>
      </c>
      <c r="ES128" s="675" t="e">
        <f t="shared" si="597"/>
        <v>#VALUE!</v>
      </c>
      <c r="ET128" s="614" t="e">
        <f t="shared" si="598"/>
        <v>#VALUE!</v>
      </c>
      <c r="EU128" s="672" t="e">
        <f t="shared" si="599"/>
        <v>#VALUE!</v>
      </c>
      <c r="EV128" s="600" t="e">
        <f t="shared" si="801"/>
        <v>#VALUE!</v>
      </c>
      <c r="EW128" s="672" t="e">
        <f t="shared" si="600"/>
        <v>#VALUE!</v>
      </c>
      <c r="EX128" s="676" t="e">
        <f t="shared" si="601"/>
        <v>#VALUE!</v>
      </c>
      <c r="EY128" s="668"/>
      <c r="EZ128" s="669"/>
      <c r="FA128" s="670"/>
      <c r="FB128" s="671"/>
      <c r="FC128" s="678"/>
      <c r="FD128" s="650"/>
      <c r="FE128" s="651">
        <f t="shared" si="802"/>
        <v>0</v>
      </c>
      <c r="FF128" s="619" t="e">
        <f t="shared" si="602"/>
        <v>#DIV/0!</v>
      </c>
      <c r="FG128" s="674" t="e">
        <f t="shared" si="603"/>
        <v>#DIV/0!</v>
      </c>
      <c r="FH128" s="599" t="e">
        <f>FG128-AVERAGE(FO94:FO95)</f>
        <v>#DIV/0!</v>
      </c>
      <c r="FI128" s="672" t="e">
        <f t="shared" si="604"/>
        <v>#DIV/0!</v>
      </c>
      <c r="FJ128" s="675" t="e">
        <f t="shared" si="605"/>
        <v>#DIV/0!</v>
      </c>
      <c r="FK128" s="614" t="e">
        <f t="shared" si="606"/>
        <v>#DIV/0!</v>
      </c>
      <c r="FL128" s="672" t="e">
        <f t="shared" si="607"/>
        <v>#DIV/0!</v>
      </c>
      <c r="FM128" s="600" t="e">
        <f t="shared" si="803"/>
        <v>#DIV/0!</v>
      </c>
      <c r="FN128" s="672" t="e">
        <f t="shared" si="608"/>
        <v>#DIV/0!</v>
      </c>
      <c r="FO128" s="676" t="e">
        <f t="shared" si="609"/>
        <v>#DIV/0!</v>
      </c>
      <c r="FP128" s="668"/>
      <c r="FQ128" s="669"/>
      <c r="FR128" s="670"/>
      <c r="FS128" s="671"/>
      <c r="FT128" s="678"/>
      <c r="FU128" s="650"/>
      <c r="FV128" s="651">
        <f t="shared" si="804"/>
        <v>0</v>
      </c>
      <c r="FW128" s="619" t="e">
        <f t="shared" si="610"/>
        <v>#DIV/0!</v>
      </c>
      <c r="FX128" s="674" t="e">
        <f t="shared" si="611"/>
        <v>#DIV/0!</v>
      </c>
      <c r="FY128" s="599" t="e">
        <f>FX128-AVERAGE(GF94:GF95)</f>
        <v>#DIV/0!</v>
      </c>
      <c r="FZ128" s="672" t="e">
        <f t="shared" si="612"/>
        <v>#DIV/0!</v>
      </c>
      <c r="GA128" s="675" t="e">
        <f t="shared" si="613"/>
        <v>#DIV/0!</v>
      </c>
      <c r="GB128" s="614" t="e">
        <f t="shared" si="614"/>
        <v>#DIV/0!</v>
      </c>
      <c r="GC128" s="672" t="e">
        <f t="shared" si="615"/>
        <v>#DIV/0!</v>
      </c>
      <c r="GD128" s="600" t="e">
        <f t="shared" si="805"/>
        <v>#DIV/0!</v>
      </c>
      <c r="GE128" s="672" t="e">
        <f t="shared" si="616"/>
        <v>#DIV/0!</v>
      </c>
      <c r="GF128" s="676" t="e">
        <f t="shared" si="617"/>
        <v>#DIV/0!</v>
      </c>
      <c r="GG128" s="668"/>
      <c r="GH128" s="669"/>
      <c r="GI128" s="677"/>
      <c r="GJ128" s="679"/>
      <c r="GK128" s="678"/>
      <c r="GL128" s="650"/>
      <c r="GM128" s="651">
        <f t="shared" si="806"/>
        <v>0</v>
      </c>
      <c r="GN128" s="619" t="e">
        <f t="shared" si="618"/>
        <v>#DIV/0!</v>
      </c>
      <c r="GO128" s="674" t="e">
        <f t="shared" si="619"/>
        <v>#DIV/0!</v>
      </c>
      <c r="GP128" s="599" t="e">
        <f>GO128-AVERAGE(GW94:GW95)</f>
        <v>#DIV/0!</v>
      </c>
      <c r="GQ128" s="672" t="e">
        <f t="shared" si="620"/>
        <v>#DIV/0!</v>
      </c>
      <c r="GR128" s="675" t="e">
        <f t="shared" si="621"/>
        <v>#DIV/0!</v>
      </c>
      <c r="GS128" s="614" t="e">
        <f t="shared" si="622"/>
        <v>#DIV/0!</v>
      </c>
      <c r="GT128" s="672" t="e">
        <f t="shared" si="623"/>
        <v>#DIV/0!</v>
      </c>
      <c r="GU128" s="600" t="e">
        <f t="shared" si="807"/>
        <v>#DIV/0!</v>
      </c>
      <c r="GV128" s="672" t="e">
        <f t="shared" si="624"/>
        <v>#DIV/0!</v>
      </c>
      <c r="GW128" s="676" t="e">
        <f t="shared" si="625"/>
        <v>#DIV/0!</v>
      </c>
      <c r="GX128" s="668"/>
      <c r="GY128" s="669"/>
      <c r="GZ128" s="670"/>
      <c r="HA128" s="671"/>
      <c r="HB128" s="678"/>
      <c r="HC128" s="650"/>
      <c r="HD128" s="651">
        <f t="shared" si="808"/>
        <v>0</v>
      </c>
      <c r="HE128" s="619" t="e">
        <f t="shared" si="626"/>
        <v>#DIV/0!</v>
      </c>
      <c r="HF128" s="674" t="e">
        <f t="shared" si="627"/>
        <v>#DIV/0!</v>
      </c>
      <c r="HG128" s="599" t="e">
        <f>HF128-AVERAGE(HN94:HN95)</f>
        <v>#DIV/0!</v>
      </c>
      <c r="HH128" s="672" t="e">
        <f t="shared" si="628"/>
        <v>#DIV/0!</v>
      </c>
      <c r="HI128" s="675" t="e">
        <f t="shared" si="629"/>
        <v>#DIV/0!</v>
      </c>
      <c r="HJ128" s="614" t="e">
        <f t="shared" si="630"/>
        <v>#DIV/0!</v>
      </c>
      <c r="HK128" s="672" t="e">
        <f t="shared" si="631"/>
        <v>#DIV/0!</v>
      </c>
      <c r="HL128" s="600" t="e">
        <f t="shared" si="809"/>
        <v>#DIV/0!</v>
      </c>
      <c r="HM128" s="672" t="e">
        <f t="shared" si="632"/>
        <v>#DIV/0!</v>
      </c>
      <c r="HN128" s="676" t="e">
        <f t="shared" si="633"/>
        <v>#DIV/0!</v>
      </c>
      <c r="HO128" s="668"/>
      <c r="HP128" s="669"/>
      <c r="HQ128" s="670"/>
      <c r="HR128" s="671"/>
      <c r="HS128" s="678"/>
      <c r="HT128" s="650"/>
      <c r="HU128" s="651">
        <f t="shared" si="810"/>
        <v>0</v>
      </c>
      <c r="HV128" s="619" t="e">
        <f t="shared" si="634"/>
        <v>#DIV/0!</v>
      </c>
      <c r="HW128" s="674" t="e">
        <f t="shared" si="635"/>
        <v>#DIV/0!</v>
      </c>
      <c r="HX128" s="599" t="e">
        <f>HW128-AVERAGE(IE94:IE95)</f>
        <v>#DIV/0!</v>
      </c>
      <c r="HY128" s="672" t="e">
        <f t="shared" si="636"/>
        <v>#DIV/0!</v>
      </c>
      <c r="HZ128" s="675" t="e">
        <f t="shared" si="637"/>
        <v>#DIV/0!</v>
      </c>
      <c r="IA128" s="614" t="e">
        <f t="shared" si="638"/>
        <v>#DIV/0!</v>
      </c>
      <c r="IB128" s="672" t="e">
        <f t="shared" si="639"/>
        <v>#DIV/0!</v>
      </c>
      <c r="IC128" s="600" t="e">
        <f t="shared" si="811"/>
        <v>#DIV/0!</v>
      </c>
      <c r="ID128" s="672" t="e">
        <f t="shared" si="640"/>
        <v>#DIV/0!</v>
      </c>
      <c r="IE128" s="676" t="e">
        <f t="shared" si="641"/>
        <v>#DIV/0!</v>
      </c>
      <c r="IF128" s="668"/>
      <c r="IG128" s="669"/>
      <c r="IH128" s="670"/>
      <c r="II128" s="671"/>
      <c r="IJ128" s="678"/>
      <c r="IK128" s="650"/>
      <c r="IL128" s="651">
        <f t="shared" si="812"/>
        <v>0</v>
      </c>
      <c r="IM128" s="619" t="e">
        <f t="shared" si="642"/>
        <v>#DIV/0!</v>
      </c>
      <c r="IN128" s="674" t="e">
        <f t="shared" si="643"/>
        <v>#DIV/0!</v>
      </c>
      <c r="IO128" s="599" t="e">
        <f>IN128-AVERAGE(IV94:IV95)</f>
        <v>#DIV/0!</v>
      </c>
      <c r="IP128" s="672" t="e">
        <f t="shared" si="644"/>
        <v>#DIV/0!</v>
      </c>
      <c r="IQ128" s="675" t="e">
        <f t="shared" si="645"/>
        <v>#DIV/0!</v>
      </c>
      <c r="IR128" s="614" t="e">
        <f t="shared" si="646"/>
        <v>#DIV/0!</v>
      </c>
      <c r="IS128" s="672" t="e">
        <f t="shared" si="647"/>
        <v>#DIV/0!</v>
      </c>
      <c r="IT128" s="600" t="e">
        <f t="shared" si="813"/>
        <v>#DIV/0!</v>
      </c>
      <c r="IU128" s="672" t="e">
        <f t="shared" si="648"/>
        <v>#DIV/0!</v>
      </c>
      <c r="IV128" s="676" t="e">
        <f t="shared" si="649"/>
        <v>#DIV/0!</v>
      </c>
      <c r="IW128" s="668"/>
      <c r="IX128" s="669"/>
      <c r="IY128" s="670"/>
      <c r="IZ128" s="671"/>
      <c r="JA128" s="678"/>
      <c r="JB128" s="650"/>
      <c r="JC128" s="651">
        <f t="shared" si="814"/>
        <v>0</v>
      </c>
      <c r="JD128" s="619" t="e">
        <f t="shared" si="650"/>
        <v>#DIV/0!</v>
      </c>
      <c r="JE128" s="674" t="e">
        <f t="shared" si="651"/>
        <v>#DIV/0!</v>
      </c>
      <c r="JF128" s="599" t="e">
        <f>JE128-AVERAGE(JM94:JM95)</f>
        <v>#DIV/0!</v>
      </c>
      <c r="JG128" s="672" t="e">
        <f t="shared" si="652"/>
        <v>#DIV/0!</v>
      </c>
      <c r="JH128" s="675" t="e">
        <f t="shared" si="653"/>
        <v>#DIV/0!</v>
      </c>
      <c r="JI128" s="614" t="e">
        <f t="shared" si="654"/>
        <v>#DIV/0!</v>
      </c>
      <c r="JJ128" s="672" t="e">
        <f t="shared" si="655"/>
        <v>#DIV/0!</v>
      </c>
      <c r="JK128" s="600" t="e">
        <f t="shared" si="815"/>
        <v>#DIV/0!</v>
      </c>
      <c r="JL128" s="672" t="e">
        <f t="shared" si="656"/>
        <v>#DIV/0!</v>
      </c>
      <c r="JM128" s="676" t="e">
        <f t="shared" si="657"/>
        <v>#DIV/0!</v>
      </c>
      <c r="JN128" s="668"/>
      <c r="JO128" s="669"/>
      <c r="JP128" s="670"/>
      <c r="JQ128" s="671"/>
      <c r="JR128" s="678"/>
      <c r="JS128" s="650"/>
      <c r="JT128" s="651">
        <f t="shared" si="816"/>
        <v>0</v>
      </c>
      <c r="JU128" s="619" t="e">
        <f t="shared" si="658"/>
        <v>#DIV/0!</v>
      </c>
      <c r="JV128" s="674" t="e">
        <f t="shared" si="659"/>
        <v>#DIV/0!</v>
      </c>
      <c r="JW128" s="599" t="e">
        <f>JV128-AVERAGE(KD94:KD95)</f>
        <v>#DIV/0!</v>
      </c>
      <c r="JX128" s="672" t="e">
        <f t="shared" si="660"/>
        <v>#DIV/0!</v>
      </c>
      <c r="JY128" s="675" t="e">
        <f t="shared" si="661"/>
        <v>#DIV/0!</v>
      </c>
      <c r="JZ128" s="614" t="e">
        <f t="shared" si="662"/>
        <v>#DIV/0!</v>
      </c>
      <c r="KA128" s="672" t="e">
        <f t="shared" si="663"/>
        <v>#DIV/0!</v>
      </c>
      <c r="KB128" s="600" t="e">
        <f t="shared" si="817"/>
        <v>#DIV/0!</v>
      </c>
      <c r="KC128" s="672" t="e">
        <f t="shared" si="664"/>
        <v>#DIV/0!</v>
      </c>
      <c r="KD128" s="676" t="e">
        <f t="shared" si="665"/>
        <v>#DIV/0!</v>
      </c>
      <c r="KE128" s="668"/>
      <c r="KF128" s="669"/>
      <c r="KG128" s="670"/>
      <c r="KH128" s="671"/>
      <c r="KI128" s="678"/>
      <c r="KJ128" s="650"/>
      <c r="KK128" s="651">
        <f t="shared" si="818"/>
        <v>0</v>
      </c>
      <c r="KL128" s="619" t="e">
        <f t="shared" si="666"/>
        <v>#DIV/0!</v>
      </c>
      <c r="KM128" s="674" t="e">
        <f t="shared" si="667"/>
        <v>#DIV/0!</v>
      </c>
      <c r="KN128" s="599" t="e">
        <f>KM128-AVERAGE(KU94:KU95)</f>
        <v>#DIV/0!</v>
      </c>
      <c r="KO128" s="672" t="e">
        <f t="shared" si="668"/>
        <v>#DIV/0!</v>
      </c>
      <c r="KP128" s="675" t="e">
        <f t="shared" si="669"/>
        <v>#DIV/0!</v>
      </c>
      <c r="KQ128" s="614" t="e">
        <f t="shared" si="670"/>
        <v>#DIV/0!</v>
      </c>
      <c r="KR128" s="672" t="e">
        <f t="shared" si="671"/>
        <v>#DIV/0!</v>
      </c>
      <c r="KS128" s="600" t="e">
        <f t="shared" si="819"/>
        <v>#DIV/0!</v>
      </c>
      <c r="KT128" s="672" t="e">
        <f t="shared" si="672"/>
        <v>#DIV/0!</v>
      </c>
      <c r="KU128" s="676" t="e">
        <f t="shared" si="673"/>
        <v>#DIV/0!</v>
      </c>
      <c r="KV128" s="668"/>
      <c r="KW128" s="669"/>
      <c r="KX128" s="670"/>
      <c r="KY128" s="671"/>
      <c r="KZ128" s="678"/>
      <c r="LA128" s="650"/>
      <c r="LB128" s="651">
        <f t="shared" si="820"/>
        <v>0</v>
      </c>
      <c r="LC128" s="619" t="e">
        <f t="shared" si="674"/>
        <v>#DIV/0!</v>
      </c>
      <c r="LD128" s="674" t="e">
        <f t="shared" si="675"/>
        <v>#DIV/0!</v>
      </c>
      <c r="LE128" s="599" t="e">
        <f>LD128-AVERAGE(LL94:LL95)</f>
        <v>#DIV/0!</v>
      </c>
      <c r="LF128" s="672" t="e">
        <f t="shared" si="676"/>
        <v>#DIV/0!</v>
      </c>
      <c r="LG128" s="675" t="e">
        <f t="shared" si="677"/>
        <v>#DIV/0!</v>
      </c>
      <c r="LH128" s="614" t="e">
        <f t="shared" si="678"/>
        <v>#DIV/0!</v>
      </c>
      <c r="LI128" s="672" t="e">
        <f t="shared" si="679"/>
        <v>#DIV/0!</v>
      </c>
      <c r="LJ128" s="600" t="e">
        <f t="shared" si="821"/>
        <v>#DIV/0!</v>
      </c>
      <c r="LK128" s="672" t="e">
        <f t="shared" si="680"/>
        <v>#DIV/0!</v>
      </c>
      <c r="LL128" s="676" t="e">
        <f t="shared" si="681"/>
        <v>#DIV/0!</v>
      </c>
      <c r="LM128" s="668"/>
      <c r="LN128" s="669"/>
      <c r="LO128" s="670"/>
      <c r="LP128" s="671"/>
      <c r="LQ128" s="678"/>
      <c r="LR128" s="650"/>
      <c r="LS128" s="651">
        <f t="shared" si="822"/>
        <v>0</v>
      </c>
      <c r="LT128" s="619" t="e">
        <f t="shared" si="682"/>
        <v>#DIV/0!</v>
      </c>
      <c r="LU128" s="674" t="e">
        <f t="shared" si="683"/>
        <v>#DIV/0!</v>
      </c>
      <c r="LV128" s="599" t="e">
        <f>LU128-AVERAGE(MC94:MC95)</f>
        <v>#DIV/0!</v>
      </c>
      <c r="LW128" s="672" t="e">
        <f t="shared" si="684"/>
        <v>#DIV/0!</v>
      </c>
      <c r="LX128" s="675" t="e">
        <f t="shared" si="685"/>
        <v>#DIV/0!</v>
      </c>
      <c r="LY128" s="614" t="e">
        <f t="shared" si="686"/>
        <v>#DIV/0!</v>
      </c>
      <c r="LZ128" s="672" t="e">
        <f t="shared" si="687"/>
        <v>#DIV/0!</v>
      </c>
      <c r="MA128" s="600" t="e">
        <f t="shared" si="823"/>
        <v>#DIV/0!</v>
      </c>
      <c r="MB128" s="672" t="e">
        <f t="shared" si="688"/>
        <v>#DIV/0!</v>
      </c>
      <c r="MC128" s="676" t="e">
        <f t="shared" si="689"/>
        <v>#DIV/0!</v>
      </c>
      <c r="MD128" s="668"/>
      <c r="ME128" s="669"/>
      <c r="MF128" s="680"/>
      <c r="MG128" s="671"/>
      <c r="MH128" s="673"/>
      <c r="MI128" s="650"/>
      <c r="MJ128" s="651">
        <f t="shared" si="824"/>
        <v>0</v>
      </c>
      <c r="MK128" s="619" t="e">
        <f t="shared" si="690"/>
        <v>#DIV/0!</v>
      </c>
      <c r="ML128" s="674" t="e">
        <f t="shared" si="691"/>
        <v>#DIV/0!</v>
      </c>
      <c r="MM128" s="599" t="e">
        <f>ML128-AVERAGE(MT94:MT95)</f>
        <v>#DIV/0!</v>
      </c>
      <c r="MN128" s="672" t="e">
        <f t="shared" si="692"/>
        <v>#DIV/0!</v>
      </c>
      <c r="MO128" s="675" t="e">
        <f t="shared" si="693"/>
        <v>#DIV/0!</v>
      </c>
      <c r="MP128" s="614" t="e">
        <f t="shared" si="694"/>
        <v>#DIV/0!</v>
      </c>
      <c r="MQ128" s="672" t="e">
        <f t="shared" si="695"/>
        <v>#DIV/0!</v>
      </c>
      <c r="MR128" s="600" t="e">
        <f t="shared" si="825"/>
        <v>#DIV/0!</v>
      </c>
      <c r="MS128" s="672" t="e">
        <f t="shared" si="696"/>
        <v>#DIV/0!</v>
      </c>
      <c r="MT128" s="676" t="e">
        <f t="shared" si="697"/>
        <v>#DIV/0!</v>
      </c>
      <c r="MU128" s="668">
        <v>20.7</v>
      </c>
      <c r="MV128" s="669">
        <v>54</v>
      </c>
      <c r="MW128" s="680">
        <v>1007</v>
      </c>
      <c r="MX128" s="671">
        <v>-5.6510000000000001E-11</v>
      </c>
      <c r="MY128" s="678">
        <v>60</v>
      </c>
      <c r="MZ128" s="650">
        <v>43403</v>
      </c>
      <c r="NA128" s="651" t="str">
        <f t="shared" si="826"/>
        <v>rango cal. out</v>
      </c>
      <c r="NB128" s="619">
        <f t="shared" si="698"/>
        <v>0</v>
      </c>
      <c r="NC128" s="674" t="e">
        <f t="shared" si="699"/>
        <v>#VALUE!</v>
      </c>
      <c r="ND128" s="599" t="e">
        <f>NC128-AVERAGE(NK94:NK95)</f>
        <v>#VALUE!</v>
      </c>
      <c r="NE128" s="672" t="e">
        <f t="shared" si="700"/>
        <v>#VALUE!</v>
      </c>
      <c r="NF128" s="675" t="e">
        <f t="shared" si="701"/>
        <v>#VALUE!</v>
      </c>
      <c r="NG128" s="614" t="e">
        <f t="shared" si="702"/>
        <v>#VALUE!</v>
      </c>
      <c r="NH128" s="672" t="e">
        <f t="shared" si="703"/>
        <v>#VALUE!</v>
      </c>
      <c r="NI128" s="600" t="e">
        <f t="shared" si="827"/>
        <v>#VALUE!</v>
      </c>
      <c r="NJ128" s="672" t="e">
        <f t="shared" si="704"/>
        <v>#VALUE!</v>
      </c>
      <c r="NK128" s="676" t="e">
        <f t="shared" si="705"/>
        <v>#VALUE!</v>
      </c>
      <c r="NL128" s="668"/>
      <c r="NM128" s="669"/>
      <c r="NN128" s="670"/>
      <c r="NO128" s="671"/>
      <c r="NP128" s="678"/>
      <c r="NQ128" s="650"/>
      <c r="NR128" s="651">
        <f t="shared" si="828"/>
        <v>0</v>
      </c>
      <c r="NS128" s="619" t="e">
        <f t="shared" si="706"/>
        <v>#DIV/0!</v>
      </c>
      <c r="NT128" s="674" t="e">
        <f t="shared" si="707"/>
        <v>#DIV/0!</v>
      </c>
      <c r="NU128" s="599" t="e">
        <f>NT128-AVERAGE(OB94:OB95)</f>
        <v>#DIV/0!</v>
      </c>
      <c r="NV128" s="672" t="e">
        <f t="shared" si="708"/>
        <v>#DIV/0!</v>
      </c>
      <c r="NW128" s="675" t="e">
        <f t="shared" si="709"/>
        <v>#DIV/0!</v>
      </c>
      <c r="NX128" s="614" t="e">
        <f t="shared" si="710"/>
        <v>#DIV/0!</v>
      </c>
      <c r="NY128" s="672" t="e">
        <f t="shared" si="711"/>
        <v>#DIV/0!</v>
      </c>
      <c r="NZ128" s="600" t="e">
        <f t="shared" si="829"/>
        <v>#DIV/0!</v>
      </c>
      <c r="OA128" s="672" t="e">
        <f t="shared" si="712"/>
        <v>#DIV/0!</v>
      </c>
      <c r="OB128" s="676" t="e">
        <f t="shared" si="713"/>
        <v>#DIV/0!</v>
      </c>
      <c r="OC128" s="668">
        <v>20.5</v>
      </c>
      <c r="OD128" s="669">
        <v>54</v>
      </c>
      <c r="OE128" s="680">
        <v>1007</v>
      </c>
      <c r="OF128" s="671">
        <v>-1.308E-10</v>
      </c>
      <c r="OG128" s="673">
        <v>60</v>
      </c>
      <c r="OH128" s="650">
        <v>43403</v>
      </c>
      <c r="OI128" s="651" t="str">
        <f t="shared" si="830"/>
        <v>rango cal. out</v>
      </c>
      <c r="OJ128" s="619">
        <f t="shared" si="714"/>
        <v>0</v>
      </c>
      <c r="OK128" s="674" t="e">
        <f t="shared" si="715"/>
        <v>#VALUE!</v>
      </c>
      <c r="OL128" s="599" t="e">
        <f>OK128-AVERAGE(OS94:OS95)</f>
        <v>#VALUE!</v>
      </c>
      <c r="OM128" s="672" t="e">
        <f t="shared" si="716"/>
        <v>#VALUE!</v>
      </c>
      <c r="ON128" s="675" t="e">
        <f t="shared" si="717"/>
        <v>#VALUE!</v>
      </c>
      <c r="OO128" s="614" t="e">
        <f t="shared" si="718"/>
        <v>#VALUE!</v>
      </c>
      <c r="OP128" s="672" t="e">
        <f t="shared" si="719"/>
        <v>#VALUE!</v>
      </c>
      <c r="OQ128" s="600" t="e">
        <f t="shared" si="831"/>
        <v>#VALUE!</v>
      </c>
      <c r="OR128" s="672" t="e">
        <f t="shared" si="720"/>
        <v>#VALUE!</v>
      </c>
      <c r="OS128" s="676" t="e">
        <f t="shared" si="721"/>
        <v>#VALUE!</v>
      </c>
      <c r="OT128" s="668"/>
      <c r="OU128" s="669"/>
      <c r="OV128" s="670"/>
      <c r="OW128" s="671"/>
      <c r="OX128" s="678"/>
      <c r="OY128" s="650"/>
      <c r="OZ128" s="651">
        <f t="shared" si="832"/>
        <v>0</v>
      </c>
      <c r="PA128" s="619" t="e">
        <f t="shared" si="722"/>
        <v>#DIV/0!</v>
      </c>
      <c r="PB128" s="674" t="e">
        <f t="shared" si="723"/>
        <v>#DIV/0!</v>
      </c>
      <c r="PC128" s="599" t="e">
        <f>PB128-AVERAGE(PJ94:PJ95)</f>
        <v>#DIV/0!</v>
      </c>
      <c r="PD128" s="672" t="e">
        <f t="shared" si="724"/>
        <v>#DIV/0!</v>
      </c>
      <c r="PE128" s="675" t="e">
        <f t="shared" si="725"/>
        <v>#DIV/0!</v>
      </c>
      <c r="PF128" s="614" t="e">
        <f t="shared" si="726"/>
        <v>#DIV/0!</v>
      </c>
      <c r="PG128" s="672" t="e">
        <f t="shared" si="727"/>
        <v>#DIV/0!</v>
      </c>
      <c r="PH128" s="600" t="e">
        <f t="shared" si="833"/>
        <v>#DIV/0!</v>
      </c>
      <c r="PI128" s="672" t="e">
        <f t="shared" si="728"/>
        <v>#DIV/0!</v>
      </c>
      <c r="PJ128" s="676" t="e">
        <f t="shared" si="729"/>
        <v>#DIV/0!</v>
      </c>
      <c r="PK128" s="668"/>
      <c r="PL128" s="669"/>
      <c r="PM128" s="670"/>
      <c r="PN128" s="671"/>
      <c r="PO128" s="678"/>
      <c r="PP128" s="650"/>
      <c r="PQ128" s="651">
        <f t="shared" si="834"/>
        <v>0</v>
      </c>
      <c r="PR128" s="619" t="e">
        <f t="shared" si="730"/>
        <v>#DIV/0!</v>
      </c>
      <c r="PS128" s="674" t="e">
        <f t="shared" si="731"/>
        <v>#DIV/0!</v>
      </c>
      <c r="PT128" s="599" t="e">
        <f>PS128-AVERAGE(QA94:QA95)</f>
        <v>#DIV/0!</v>
      </c>
      <c r="PU128" s="672" t="e">
        <f t="shared" si="732"/>
        <v>#DIV/0!</v>
      </c>
      <c r="PV128" s="675" t="e">
        <f t="shared" si="733"/>
        <v>#DIV/0!</v>
      </c>
      <c r="PW128" s="614" t="e">
        <f t="shared" si="734"/>
        <v>#DIV/0!</v>
      </c>
      <c r="PX128" s="672" t="e">
        <f t="shared" si="735"/>
        <v>#DIV/0!</v>
      </c>
      <c r="PY128" s="600" t="e">
        <f t="shared" si="835"/>
        <v>#DIV/0!</v>
      </c>
      <c r="PZ128" s="672" t="e">
        <f t="shared" si="736"/>
        <v>#DIV/0!</v>
      </c>
      <c r="QA128" s="676" t="e">
        <f t="shared" si="737"/>
        <v>#DIV/0!</v>
      </c>
      <c r="QB128" s="668"/>
      <c r="QC128" s="669"/>
      <c r="QD128" s="680"/>
      <c r="QE128" s="671"/>
      <c r="QF128" s="673"/>
      <c r="QG128" s="650"/>
      <c r="QH128" s="651">
        <f t="shared" si="836"/>
        <v>0</v>
      </c>
      <c r="QI128" s="619" t="e">
        <f t="shared" si="738"/>
        <v>#DIV/0!</v>
      </c>
      <c r="QJ128" s="674" t="e">
        <f t="shared" si="739"/>
        <v>#DIV/0!</v>
      </c>
      <c r="QK128" s="599" t="e">
        <f>QJ128-AVERAGE(QR94:QR95)</f>
        <v>#DIV/0!</v>
      </c>
      <c r="QL128" s="672" t="e">
        <f t="shared" si="740"/>
        <v>#DIV/0!</v>
      </c>
      <c r="QM128" s="675" t="e">
        <f t="shared" si="741"/>
        <v>#DIV/0!</v>
      </c>
      <c r="QN128" s="614" t="e">
        <f t="shared" si="742"/>
        <v>#DIV/0!</v>
      </c>
      <c r="QO128" s="672" t="e">
        <f t="shared" si="743"/>
        <v>#DIV/0!</v>
      </c>
      <c r="QP128" s="600" t="e">
        <f t="shared" si="837"/>
        <v>#DIV/0!</v>
      </c>
      <c r="QQ128" s="672" t="e">
        <f t="shared" si="744"/>
        <v>#DIV/0!</v>
      </c>
      <c r="QR128" s="676" t="e">
        <f t="shared" si="745"/>
        <v>#DIV/0!</v>
      </c>
      <c r="QS128" s="668"/>
      <c r="QT128" s="669"/>
      <c r="QU128" s="669"/>
      <c r="QV128" s="679"/>
      <c r="QW128" s="673"/>
      <c r="QX128" s="650"/>
      <c r="QY128" s="651">
        <f t="shared" si="838"/>
        <v>0</v>
      </c>
      <c r="QZ128" s="619" t="e">
        <f t="shared" si="746"/>
        <v>#DIV/0!</v>
      </c>
      <c r="RA128" s="674" t="e">
        <f t="shared" si="747"/>
        <v>#DIV/0!</v>
      </c>
      <c r="RB128" s="599" t="e">
        <f>RA128-AVERAGE(RI94:RI95)</f>
        <v>#DIV/0!</v>
      </c>
      <c r="RC128" s="672" t="e">
        <f t="shared" si="748"/>
        <v>#DIV/0!</v>
      </c>
      <c r="RD128" s="675" t="e">
        <f t="shared" si="749"/>
        <v>#DIV/0!</v>
      </c>
      <c r="RE128" s="614" t="e">
        <f t="shared" si="750"/>
        <v>#DIV/0!</v>
      </c>
      <c r="RF128" s="672" t="e">
        <f t="shared" si="751"/>
        <v>#DIV/0!</v>
      </c>
      <c r="RG128" s="600" t="e">
        <f t="shared" si="839"/>
        <v>#DIV/0!</v>
      </c>
      <c r="RH128" s="672" t="e">
        <f t="shared" si="752"/>
        <v>#DIV/0!</v>
      </c>
      <c r="RI128" s="676" t="e">
        <f t="shared" si="753"/>
        <v>#DIV/0!</v>
      </c>
      <c r="RJ128" s="668">
        <v>20.5</v>
      </c>
      <c r="RK128" s="669">
        <v>54</v>
      </c>
      <c r="RL128" s="680">
        <v>1007</v>
      </c>
      <c r="RM128" s="671">
        <v>-5.93E-12</v>
      </c>
      <c r="RN128" s="673">
        <v>60</v>
      </c>
      <c r="RO128" s="650">
        <v>43403</v>
      </c>
      <c r="RP128" s="651" t="str">
        <f t="shared" si="840"/>
        <v>rango cal. out</v>
      </c>
      <c r="RQ128" s="619">
        <f t="shared" si="754"/>
        <v>0</v>
      </c>
      <c r="RR128" s="674" t="e">
        <f t="shared" si="755"/>
        <v>#VALUE!</v>
      </c>
      <c r="RS128" s="599" t="e">
        <f>RR128-AVERAGE(RZ94:RZ95)</f>
        <v>#VALUE!</v>
      </c>
      <c r="RT128" s="672" t="e">
        <f t="shared" si="756"/>
        <v>#VALUE!</v>
      </c>
      <c r="RU128" s="675" t="e">
        <f t="shared" si="757"/>
        <v>#VALUE!</v>
      </c>
      <c r="RV128" s="614" t="e">
        <f t="shared" si="758"/>
        <v>#VALUE!</v>
      </c>
      <c r="RW128" s="672" t="e">
        <f t="shared" si="759"/>
        <v>#VALUE!</v>
      </c>
      <c r="RX128" s="600" t="e">
        <f t="shared" si="841"/>
        <v>#VALUE!</v>
      </c>
      <c r="RY128" s="672" t="e">
        <f t="shared" si="760"/>
        <v>#VALUE!</v>
      </c>
      <c r="RZ128" s="676" t="e">
        <f t="shared" si="761"/>
        <v>#VALUE!</v>
      </c>
      <c r="SA128" s="668">
        <v>20.399999999999999</v>
      </c>
      <c r="SB128" s="669">
        <v>55</v>
      </c>
      <c r="SC128" s="680">
        <v>1008</v>
      </c>
      <c r="SD128" s="671">
        <v>-3.241E-10</v>
      </c>
      <c r="SE128" s="673">
        <v>60</v>
      </c>
      <c r="SF128" s="650">
        <v>43403</v>
      </c>
      <c r="SG128" s="651" t="str">
        <f t="shared" si="842"/>
        <v>rango cal. out</v>
      </c>
      <c r="SH128" s="619">
        <f t="shared" si="762"/>
        <v>0</v>
      </c>
      <c r="SI128" s="674" t="e">
        <f t="shared" si="763"/>
        <v>#VALUE!</v>
      </c>
      <c r="SJ128" s="599" t="e">
        <f>SI128-AVERAGE(SQ94:SQ95)</f>
        <v>#VALUE!</v>
      </c>
      <c r="SK128" s="672" t="e">
        <f t="shared" si="764"/>
        <v>#VALUE!</v>
      </c>
      <c r="SL128" s="675" t="e">
        <f t="shared" si="765"/>
        <v>#VALUE!</v>
      </c>
      <c r="SM128" s="614" t="e">
        <f t="shared" si="766"/>
        <v>#VALUE!</v>
      </c>
      <c r="SN128" s="672" t="e">
        <f t="shared" si="767"/>
        <v>#VALUE!</v>
      </c>
      <c r="SO128" s="600" t="e">
        <f t="shared" si="843"/>
        <v>#VALUE!</v>
      </c>
      <c r="SP128" s="672" t="e">
        <f t="shared" si="768"/>
        <v>#VALUE!</v>
      </c>
      <c r="SQ128" s="676" t="e">
        <f t="shared" si="769"/>
        <v>#VALUE!</v>
      </c>
      <c r="SR128" s="668"/>
      <c r="SS128" s="669"/>
      <c r="ST128" s="670"/>
      <c r="SU128" s="671"/>
      <c r="SV128" s="678"/>
      <c r="SW128" s="650"/>
      <c r="SX128" s="651">
        <f t="shared" si="844"/>
        <v>0</v>
      </c>
      <c r="SY128" s="619" t="e">
        <f t="shared" si="770"/>
        <v>#DIV/0!</v>
      </c>
      <c r="SZ128" s="674" t="e">
        <f t="shared" si="771"/>
        <v>#DIV/0!</v>
      </c>
      <c r="TA128" s="599" t="e">
        <f>SZ128-AVERAGE(TH94:TH95)</f>
        <v>#DIV/0!</v>
      </c>
      <c r="TB128" s="672" t="e">
        <f t="shared" si="772"/>
        <v>#DIV/0!</v>
      </c>
      <c r="TC128" s="675" t="e">
        <f t="shared" si="773"/>
        <v>#DIV/0!</v>
      </c>
      <c r="TD128" s="614" t="e">
        <f t="shared" si="774"/>
        <v>#DIV/0!</v>
      </c>
      <c r="TE128" s="672" t="e">
        <f t="shared" si="775"/>
        <v>#DIV/0!</v>
      </c>
      <c r="TF128" s="600" t="e">
        <f t="shared" si="845"/>
        <v>#DIV/0!</v>
      </c>
      <c r="TG128" s="672" t="e">
        <f t="shared" si="776"/>
        <v>#DIV/0!</v>
      </c>
      <c r="TH128" s="676" t="e">
        <f t="shared" si="777"/>
        <v>#DIV/0!</v>
      </c>
      <c r="TI128" s="668">
        <v>20.399999999999999</v>
      </c>
      <c r="TJ128" s="669">
        <v>56</v>
      </c>
      <c r="TK128" s="680">
        <v>1008</v>
      </c>
      <c r="TL128" s="671">
        <v>-1.3539999999999999E-11</v>
      </c>
      <c r="TM128" s="673">
        <v>60</v>
      </c>
      <c r="TN128" s="650">
        <v>43403</v>
      </c>
      <c r="TO128" s="651" t="str">
        <f t="shared" si="846"/>
        <v>rango cal. out</v>
      </c>
      <c r="TP128" s="619">
        <f t="shared" si="778"/>
        <v>0</v>
      </c>
      <c r="TQ128" s="674" t="e">
        <f t="shared" si="779"/>
        <v>#VALUE!</v>
      </c>
      <c r="TR128" s="599" t="e">
        <f>TQ128-AVERAGE(TY94:TY95)</f>
        <v>#VALUE!</v>
      </c>
      <c r="TS128" s="672" t="e">
        <f t="shared" si="780"/>
        <v>#VALUE!</v>
      </c>
      <c r="TT128" s="675" t="e">
        <f t="shared" si="781"/>
        <v>#VALUE!</v>
      </c>
      <c r="TU128" s="614" t="e">
        <f t="shared" si="782"/>
        <v>#VALUE!</v>
      </c>
      <c r="TV128" s="672" t="e">
        <f t="shared" si="783"/>
        <v>#VALUE!</v>
      </c>
      <c r="TW128" s="600" t="e">
        <f t="shared" si="847"/>
        <v>#VALUE!</v>
      </c>
      <c r="TX128" s="672" t="e">
        <f t="shared" si="784"/>
        <v>#VALUE!</v>
      </c>
      <c r="TY128" s="676" t="e">
        <f t="shared" si="785"/>
        <v>#VALUE!</v>
      </c>
    </row>
    <row r="129" spans="1:545" x14ac:dyDescent="0.25">
      <c r="A129" s="2219"/>
      <c r="B129" s="668"/>
      <c r="C129" s="673"/>
      <c r="D129" s="673"/>
      <c r="E129" s="671"/>
      <c r="F129" s="673"/>
      <c r="G129" s="650"/>
      <c r="H129" s="651"/>
      <c r="I129" s="619"/>
      <c r="J129" s="674"/>
      <c r="K129" s="599"/>
      <c r="L129" s="672"/>
      <c r="M129" s="675"/>
      <c r="N129" s="614"/>
      <c r="O129" s="672"/>
      <c r="P129" s="600"/>
      <c r="Q129" s="672"/>
      <c r="R129" s="676"/>
      <c r="S129" s="677"/>
      <c r="T129" s="669"/>
      <c r="U129" s="670"/>
      <c r="V129" s="671"/>
      <c r="W129" s="678"/>
      <c r="X129" s="650"/>
      <c r="Y129" s="651">
        <f t="shared" si="786"/>
        <v>0</v>
      </c>
      <c r="Z129" s="619" t="e">
        <f t="shared" si="538"/>
        <v>#DIV/0!</v>
      </c>
      <c r="AA129" s="674" t="e">
        <f t="shared" si="539"/>
        <v>#DIV/0!</v>
      </c>
      <c r="AB129" s="599" t="e">
        <f>AA129-AVERAGE(AI94:AI95)</f>
        <v>#DIV/0!</v>
      </c>
      <c r="AC129" s="672" t="e">
        <f t="shared" si="540"/>
        <v>#DIV/0!</v>
      </c>
      <c r="AD129" s="675" t="e">
        <f t="shared" si="541"/>
        <v>#DIV/0!</v>
      </c>
      <c r="AE129" s="614" t="e">
        <f t="shared" si="542"/>
        <v>#DIV/0!</v>
      </c>
      <c r="AF129" s="672" t="e">
        <f t="shared" si="543"/>
        <v>#DIV/0!</v>
      </c>
      <c r="AG129" s="600" t="e">
        <f>AD129*$F$75</f>
        <v>#DIV/0!</v>
      </c>
      <c r="AH129" s="672" t="e">
        <f t="shared" si="544"/>
        <v>#DIV/0!</v>
      </c>
      <c r="AI129" s="676" t="e">
        <f t="shared" si="545"/>
        <v>#DIV/0!</v>
      </c>
      <c r="AJ129" s="677"/>
      <c r="AK129" s="669"/>
      <c r="AL129" s="670"/>
      <c r="AM129" s="671"/>
      <c r="AN129" s="678"/>
      <c r="AO129" s="650"/>
      <c r="AP129" s="651">
        <f t="shared" si="788"/>
        <v>0</v>
      </c>
      <c r="AQ129" s="619" t="e">
        <f t="shared" si="546"/>
        <v>#DIV/0!</v>
      </c>
      <c r="AR129" s="674" t="e">
        <f t="shared" si="547"/>
        <v>#DIV/0!</v>
      </c>
      <c r="AS129" s="599" t="e">
        <f>AR129-AVERAGE(AZ94:AZ95)</f>
        <v>#DIV/0!</v>
      </c>
      <c r="AT129" s="672" t="e">
        <f t="shared" si="548"/>
        <v>#DIV/0!</v>
      </c>
      <c r="AU129" s="675" t="e">
        <f t="shared" si="549"/>
        <v>#DIV/0!</v>
      </c>
      <c r="AV129" s="614" t="e">
        <f t="shared" si="550"/>
        <v>#DIV/0!</v>
      </c>
      <c r="AW129" s="672" t="e">
        <f t="shared" si="551"/>
        <v>#DIV/0!</v>
      </c>
      <c r="AX129" s="600" t="e">
        <f>AU129*$F$75</f>
        <v>#DIV/0!</v>
      </c>
      <c r="AY129" s="672" t="e">
        <f t="shared" si="552"/>
        <v>#DIV/0!</v>
      </c>
      <c r="AZ129" s="676" t="e">
        <f t="shared" si="553"/>
        <v>#DIV/0!</v>
      </c>
      <c r="BA129" s="668">
        <v>20.5</v>
      </c>
      <c r="BB129" s="669">
        <v>54</v>
      </c>
      <c r="BC129" s="680">
        <v>1009</v>
      </c>
      <c r="BD129" s="671">
        <v>-8.4499999999999998E-10</v>
      </c>
      <c r="BE129" s="673">
        <v>60</v>
      </c>
      <c r="BF129" s="650">
        <v>43403</v>
      </c>
      <c r="BG129" s="651" t="str">
        <f t="shared" si="790"/>
        <v>rango cal. out</v>
      </c>
      <c r="BH129" s="619">
        <f t="shared" si="554"/>
        <v>0</v>
      </c>
      <c r="BI129" s="674" t="e">
        <f t="shared" si="555"/>
        <v>#VALUE!</v>
      </c>
      <c r="BJ129" s="599" t="e">
        <f>BI129-AVERAGE(BQ94:BQ95)</f>
        <v>#VALUE!</v>
      </c>
      <c r="BK129" s="672" t="e">
        <f t="shared" si="556"/>
        <v>#VALUE!</v>
      </c>
      <c r="BL129" s="675" t="e">
        <f t="shared" si="557"/>
        <v>#VALUE!</v>
      </c>
      <c r="BM129" s="614" t="e">
        <f t="shared" si="558"/>
        <v>#VALUE!</v>
      </c>
      <c r="BN129" s="672" t="e">
        <f t="shared" si="559"/>
        <v>#VALUE!</v>
      </c>
      <c r="BO129" s="600" t="e">
        <f>BL129*$F$75</f>
        <v>#VALUE!</v>
      </c>
      <c r="BP129" s="672" t="e">
        <f t="shared" si="560"/>
        <v>#VALUE!</v>
      </c>
      <c r="BQ129" s="676" t="e">
        <f t="shared" si="561"/>
        <v>#VALUE!</v>
      </c>
      <c r="BR129" s="668">
        <v>20.6</v>
      </c>
      <c r="BS129" s="669">
        <v>49</v>
      </c>
      <c r="BT129" s="680">
        <v>1008</v>
      </c>
      <c r="BU129" s="671">
        <v>-3.4679999999999997E-11</v>
      </c>
      <c r="BV129" s="673">
        <v>60</v>
      </c>
      <c r="BW129" s="650">
        <v>43403</v>
      </c>
      <c r="BX129" s="651" t="str">
        <f t="shared" si="792"/>
        <v>rango cal. out</v>
      </c>
      <c r="BY129" s="619">
        <f t="shared" si="562"/>
        <v>0</v>
      </c>
      <c r="BZ129" s="674" t="e">
        <f t="shared" si="563"/>
        <v>#VALUE!</v>
      </c>
      <c r="CA129" s="599" t="e">
        <f>BZ129-AVERAGE(CH94:CH95)</f>
        <v>#VALUE!</v>
      </c>
      <c r="CB129" s="672" t="e">
        <f t="shared" si="564"/>
        <v>#VALUE!</v>
      </c>
      <c r="CC129" s="675" t="e">
        <f t="shared" si="565"/>
        <v>#VALUE!</v>
      </c>
      <c r="CD129" s="614" t="e">
        <f t="shared" si="566"/>
        <v>#VALUE!</v>
      </c>
      <c r="CE129" s="672" t="e">
        <f t="shared" si="567"/>
        <v>#VALUE!</v>
      </c>
      <c r="CF129" s="600" t="e">
        <f>CC129*$F$75</f>
        <v>#VALUE!</v>
      </c>
      <c r="CG129" s="672" t="e">
        <f t="shared" si="568"/>
        <v>#VALUE!</v>
      </c>
      <c r="CH129" s="676" t="e">
        <f t="shared" si="569"/>
        <v>#VALUE!</v>
      </c>
      <c r="CI129" s="668">
        <v>20.6</v>
      </c>
      <c r="CJ129" s="669">
        <v>53</v>
      </c>
      <c r="CK129" s="680">
        <v>1007</v>
      </c>
      <c r="CL129" s="671">
        <v>-1.9719999999999998E-9</v>
      </c>
      <c r="CM129" s="673">
        <v>60</v>
      </c>
      <c r="CN129" s="650">
        <v>43403</v>
      </c>
      <c r="CO129" s="651" t="str">
        <f t="shared" si="794"/>
        <v>rango cal. out</v>
      </c>
      <c r="CP129" s="619">
        <f t="shared" si="570"/>
        <v>0</v>
      </c>
      <c r="CQ129" s="674" t="e">
        <f t="shared" si="571"/>
        <v>#VALUE!</v>
      </c>
      <c r="CR129" s="599" t="e">
        <f>CQ129-AVERAGE(CY94:CY95)</f>
        <v>#VALUE!</v>
      </c>
      <c r="CS129" s="672" t="e">
        <f t="shared" si="572"/>
        <v>#VALUE!</v>
      </c>
      <c r="CT129" s="675" t="e">
        <f t="shared" si="573"/>
        <v>#VALUE!</v>
      </c>
      <c r="CU129" s="614" t="e">
        <f t="shared" si="574"/>
        <v>#VALUE!</v>
      </c>
      <c r="CV129" s="672" t="e">
        <f t="shared" si="575"/>
        <v>#VALUE!</v>
      </c>
      <c r="CW129" s="600" t="e">
        <f>CT129*$F$75</f>
        <v>#VALUE!</v>
      </c>
      <c r="CX129" s="672" t="e">
        <f t="shared" si="576"/>
        <v>#VALUE!</v>
      </c>
      <c r="CY129" s="676" t="e">
        <f t="shared" si="577"/>
        <v>#VALUE!</v>
      </c>
      <c r="CZ129" s="668"/>
      <c r="DA129" s="669"/>
      <c r="DB129" s="670"/>
      <c r="DC129" s="671"/>
      <c r="DD129" s="678"/>
      <c r="DE129" s="650"/>
      <c r="DF129" s="651">
        <f t="shared" si="796"/>
        <v>0</v>
      </c>
      <c r="DG129" s="619" t="e">
        <f t="shared" si="578"/>
        <v>#DIV/0!</v>
      </c>
      <c r="DH129" s="674" t="e">
        <f t="shared" si="579"/>
        <v>#DIV/0!</v>
      </c>
      <c r="DI129" s="599" t="e">
        <f>DH129-AVERAGE(DP94:DP95)</f>
        <v>#DIV/0!</v>
      </c>
      <c r="DJ129" s="672" t="e">
        <f t="shared" si="580"/>
        <v>#DIV/0!</v>
      </c>
      <c r="DK129" s="675" t="e">
        <f t="shared" si="581"/>
        <v>#DIV/0!</v>
      </c>
      <c r="DL129" s="614" t="e">
        <f t="shared" si="582"/>
        <v>#DIV/0!</v>
      </c>
      <c r="DM129" s="672" t="e">
        <f t="shared" si="583"/>
        <v>#DIV/0!</v>
      </c>
      <c r="DN129" s="600" t="e">
        <f>DK129*$F$75</f>
        <v>#DIV/0!</v>
      </c>
      <c r="DO129" s="672" t="e">
        <f t="shared" si="584"/>
        <v>#DIV/0!</v>
      </c>
      <c r="DP129" s="676" t="e">
        <f t="shared" si="585"/>
        <v>#DIV/0!</v>
      </c>
      <c r="DQ129" s="668"/>
      <c r="DR129" s="669"/>
      <c r="DS129" s="677"/>
      <c r="DT129" s="679"/>
      <c r="DU129" s="678"/>
      <c r="DV129" s="650"/>
      <c r="DW129" s="651">
        <f t="shared" si="798"/>
        <v>0</v>
      </c>
      <c r="DX129" s="619" t="e">
        <f t="shared" si="586"/>
        <v>#DIV/0!</v>
      </c>
      <c r="DY129" s="674" t="e">
        <f t="shared" si="587"/>
        <v>#DIV/0!</v>
      </c>
      <c r="DZ129" s="599" t="e">
        <f>DY129-AVERAGE(EG94:EG95)</f>
        <v>#DIV/0!</v>
      </c>
      <c r="EA129" s="672" t="e">
        <f t="shared" si="588"/>
        <v>#DIV/0!</v>
      </c>
      <c r="EB129" s="675" t="e">
        <f t="shared" si="589"/>
        <v>#DIV/0!</v>
      </c>
      <c r="EC129" s="614" t="e">
        <f t="shared" si="590"/>
        <v>#DIV/0!</v>
      </c>
      <c r="ED129" s="672" t="e">
        <f t="shared" si="591"/>
        <v>#DIV/0!</v>
      </c>
      <c r="EE129" s="600" t="e">
        <f>EB129*$F$75</f>
        <v>#DIV/0!</v>
      </c>
      <c r="EF129" s="672" t="e">
        <f t="shared" si="592"/>
        <v>#DIV/0!</v>
      </c>
      <c r="EG129" s="676" t="e">
        <f t="shared" si="593"/>
        <v>#DIV/0!</v>
      </c>
      <c r="EH129" s="668">
        <v>20.399999999999999</v>
      </c>
      <c r="EI129" s="669">
        <v>53</v>
      </c>
      <c r="EJ129" s="680">
        <v>1007</v>
      </c>
      <c r="EK129" s="671">
        <v>-2.4499999999999999E-12</v>
      </c>
      <c r="EL129" s="673">
        <v>60</v>
      </c>
      <c r="EM129" s="650">
        <v>43403</v>
      </c>
      <c r="EN129" s="651" t="str">
        <f t="shared" si="800"/>
        <v>rango cal. out</v>
      </c>
      <c r="EO129" s="619">
        <f t="shared" si="594"/>
        <v>0</v>
      </c>
      <c r="EP129" s="674" t="e">
        <f t="shared" si="595"/>
        <v>#VALUE!</v>
      </c>
      <c r="EQ129" s="599" t="e">
        <f>EP129-AVERAGE(EX94:EX95)</f>
        <v>#VALUE!</v>
      </c>
      <c r="ER129" s="672" t="e">
        <f t="shared" si="596"/>
        <v>#VALUE!</v>
      </c>
      <c r="ES129" s="675" t="e">
        <f t="shared" si="597"/>
        <v>#VALUE!</v>
      </c>
      <c r="ET129" s="614" t="e">
        <f t="shared" si="598"/>
        <v>#VALUE!</v>
      </c>
      <c r="EU129" s="672" t="e">
        <f t="shared" si="599"/>
        <v>#VALUE!</v>
      </c>
      <c r="EV129" s="600" t="e">
        <f>ES129*$F$75</f>
        <v>#VALUE!</v>
      </c>
      <c r="EW129" s="672" t="e">
        <f t="shared" si="600"/>
        <v>#VALUE!</v>
      </c>
      <c r="EX129" s="676" t="e">
        <f t="shared" si="601"/>
        <v>#VALUE!</v>
      </c>
      <c r="EY129" s="668"/>
      <c r="EZ129" s="669"/>
      <c r="FA129" s="670"/>
      <c r="FB129" s="671"/>
      <c r="FC129" s="678"/>
      <c r="FD129" s="650"/>
      <c r="FE129" s="651">
        <f t="shared" si="802"/>
        <v>0</v>
      </c>
      <c r="FF129" s="619" t="e">
        <f t="shared" si="602"/>
        <v>#DIV/0!</v>
      </c>
      <c r="FG129" s="674" t="e">
        <f t="shared" si="603"/>
        <v>#DIV/0!</v>
      </c>
      <c r="FH129" s="599" t="e">
        <f>FG129-AVERAGE(FO94:FO95)</f>
        <v>#DIV/0!</v>
      </c>
      <c r="FI129" s="672" t="e">
        <f t="shared" si="604"/>
        <v>#DIV/0!</v>
      </c>
      <c r="FJ129" s="675" t="e">
        <f t="shared" si="605"/>
        <v>#DIV/0!</v>
      </c>
      <c r="FK129" s="614" t="e">
        <f t="shared" si="606"/>
        <v>#DIV/0!</v>
      </c>
      <c r="FL129" s="672" t="e">
        <f t="shared" si="607"/>
        <v>#DIV/0!</v>
      </c>
      <c r="FM129" s="600" t="e">
        <f>FJ129*$F$75</f>
        <v>#DIV/0!</v>
      </c>
      <c r="FN129" s="672" t="e">
        <f t="shared" si="608"/>
        <v>#DIV/0!</v>
      </c>
      <c r="FO129" s="676" t="e">
        <f t="shared" si="609"/>
        <v>#DIV/0!</v>
      </c>
      <c r="FP129" s="668"/>
      <c r="FQ129" s="669"/>
      <c r="FR129" s="670"/>
      <c r="FS129" s="671"/>
      <c r="FT129" s="678"/>
      <c r="FU129" s="650"/>
      <c r="FV129" s="651">
        <f t="shared" si="804"/>
        <v>0</v>
      </c>
      <c r="FW129" s="619" t="e">
        <f t="shared" si="610"/>
        <v>#DIV/0!</v>
      </c>
      <c r="FX129" s="674" t="e">
        <f t="shared" si="611"/>
        <v>#DIV/0!</v>
      </c>
      <c r="FY129" s="599" t="e">
        <f>FX129-AVERAGE(GF94:GF95)</f>
        <v>#DIV/0!</v>
      </c>
      <c r="FZ129" s="672" t="e">
        <f t="shared" si="612"/>
        <v>#DIV/0!</v>
      </c>
      <c r="GA129" s="675" t="e">
        <f t="shared" si="613"/>
        <v>#DIV/0!</v>
      </c>
      <c r="GB129" s="614" t="e">
        <f t="shared" si="614"/>
        <v>#DIV/0!</v>
      </c>
      <c r="GC129" s="672" t="e">
        <f t="shared" si="615"/>
        <v>#DIV/0!</v>
      </c>
      <c r="GD129" s="600" t="e">
        <f>GA129*$F$75</f>
        <v>#DIV/0!</v>
      </c>
      <c r="GE129" s="672" t="e">
        <f t="shared" si="616"/>
        <v>#DIV/0!</v>
      </c>
      <c r="GF129" s="676" t="e">
        <f t="shared" si="617"/>
        <v>#DIV/0!</v>
      </c>
      <c r="GG129" s="668"/>
      <c r="GH129" s="669"/>
      <c r="GI129" s="677"/>
      <c r="GJ129" s="679"/>
      <c r="GK129" s="678"/>
      <c r="GL129" s="650"/>
      <c r="GM129" s="651">
        <f t="shared" si="806"/>
        <v>0</v>
      </c>
      <c r="GN129" s="619" t="e">
        <f t="shared" si="618"/>
        <v>#DIV/0!</v>
      </c>
      <c r="GO129" s="674" t="e">
        <f t="shared" si="619"/>
        <v>#DIV/0!</v>
      </c>
      <c r="GP129" s="599" t="e">
        <f>GO129-AVERAGE(GW94:GW95)</f>
        <v>#DIV/0!</v>
      </c>
      <c r="GQ129" s="672" t="e">
        <f t="shared" si="620"/>
        <v>#DIV/0!</v>
      </c>
      <c r="GR129" s="675" t="e">
        <f t="shared" si="621"/>
        <v>#DIV/0!</v>
      </c>
      <c r="GS129" s="614" t="e">
        <f t="shared" si="622"/>
        <v>#DIV/0!</v>
      </c>
      <c r="GT129" s="672" t="e">
        <f t="shared" si="623"/>
        <v>#DIV/0!</v>
      </c>
      <c r="GU129" s="600" t="e">
        <f>GR129*$F$75</f>
        <v>#DIV/0!</v>
      </c>
      <c r="GV129" s="672" t="e">
        <f t="shared" si="624"/>
        <v>#DIV/0!</v>
      </c>
      <c r="GW129" s="676" t="e">
        <f t="shared" si="625"/>
        <v>#DIV/0!</v>
      </c>
      <c r="GX129" s="668"/>
      <c r="GY129" s="669"/>
      <c r="GZ129" s="670"/>
      <c r="HA129" s="671"/>
      <c r="HB129" s="678"/>
      <c r="HC129" s="650"/>
      <c r="HD129" s="651">
        <f t="shared" si="808"/>
        <v>0</v>
      </c>
      <c r="HE129" s="619" t="e">
        <f t="shared" si="626"/>
        <v>#DIV/0!</v>
      </c>
      <c r="HF129" s="674" t="e">
        <f t="shared" si="627"/>
        <v>#DIV/0!</v>
      </c>
      <c r="HG129" s="599" t="e">
        <f>HF129-AVERAGE(HN94:HN95)</f>
        <v>#DIV/0!</v>
      </c>
      <c r="HH129" s="672" t="e">
        <f t="shared" si="628"/>
        <v>#DIV/0!</v>
      </c>
      <c r="HI129" s="675" t="e">
        <f t="shared" si="629"/>
        <v>#DIV/0!</v>
      </c>
      <c r="HJ129" s="614" t="e">
        <f t="shared" si="630"/>
        <v>#DIV/0!</v>
      </c>
      <c r="HK129" s="672" t="e">
        <f t="shared" si="631"/>
        <v>#DIV/0!</v>
      </c>
      <c r="HL129" s="600" t="e">
        <f>HI129*$F$75</f>
        <v>#DIV/0!</v>
      </c>
      <c r="HM129" s="672" t="e">
        <f t="shared" si="632"/>
        <v>#DIV/0!</v>
      </c>
      <c r="HN129" s="676" t="e">
        <f t="shared" si="633"/>
        <v>#DIV/0!</v>
      </c>
      <c r="HO129" s="668"/>
      <c r="HP129" s="669"/>
      <c r="HQ129" s="670"/>
      <c r="HR129" s="671"/>
      <c r="HS129" s="678"/>
      <c r="HT129" s="650"/>
      <c r="HU129" s="651">
        <f t="shared" si="810"/>
        <v>0</v>
      </c>
      <c r="HV129" s="619" t="e">
        <f t="shared" si="634"/>
        <v>#DIV/0!</v>
      </c>
      <c r="HW129" s="674" t="e">
        <f t="shared" si="635"/>
        <v>#DIV/0!</v>
      </c>
      <c r="HX129" s="599" t="e">
        <f>HW129-AVERAGE(IE94:IE95)</f>
        <v>#DIV/0!</v>
      </c>
      <c r="HY129" s="672" t="e">
        <f t="shared" si="636"/>
        <v>#DIV/0!</v>
      </c>
      <c r="HZ129" s="675" t="e">
        <f t="shared" si="637"/>
        <v>#DIV/0!</v>
      </c>
      <c r="IA129" s="614" t="e">
        <f t="shared" si="638"/>
        <v>#DIV/0!</v>
      </c>
      <c r="IB129" s="672" t="e">
        <f t="shared" si="639"/>
        <v>#DIV/0!</v>
      </c>
      <c r="IC129" s="600" t="e">
        <f>HZ129*$F$75</f>
        <v>#DIV/0!</v>
      </c>
      <c r="ID129" s="672" t="e">
        <f t="shared" si="640"/>
        <v>#DIV/0!</v>
      </c>
      <c r="IE129" s="676" t="e">
        <f t="shared" si="641"/>
        <v>#DIV/0!</v>
      </c>
      <c r="IF129" s="668"/>
      <c r="IG129" s="669"/>
      <c r="IH129" s="670"/>
      <c r="II129" s="671"/>
      <c r="IJ129" s="678"/>
      <c r="IK129" s="650"/>
      <c r="IL129" s="651">
        <f t="shared" si="812"/>
        <v>0</v>
      </c>
      <c r="IM129" s="619" t="e">
        <f t="shared" si="642"/>
        <v>#DIV/0!</v>
      </c>
      <c r="IN129" s="674" t="e">
        <f t="shared" si="643"/>
        <v>#DIV/0!</v>
      </c>
      <c r="IO129" s="599" t="e">
        <f>IN129-AVERAGE(IV94:IV95)</f>
        <v>#DIV/0!</v>
      </c>
      <c r="IP129" s="672" t="e">
        <f t="shared" si="644"/>
        <v>#DIV/0!</v>
      </c>
      <c r="IQ129" s="675" t="e">
        <f t="shared" si="645"/>
        <v>#DIV/0!</v>
      </c>
      <c r="IR129" s="614" t="e">
        <f t="shared" si="646"/>
        <v>#DIV/0!</v>
      </c>
      <c r="IS129" s="672" t="e">
        <f t="shared" si="647"/>
        <v>#DIV/0!</v>
      </c>
      <c r="IT129" s="600" t="e">
        <f>IQ129*$F$75</f>
        <v>#DIV/0!</v>
      </c>
      <c r="IU129" s="672" t="e">
        <f t="shared" si="648"/>
        <v>#DIV/0!</v>
      </c>
      <c r="IV129" s="676" t="e">
        <f t="shared" si="649"/>
        <v>#DIV/0!</v>
      </c>
      <c r="IW129" s="668"/>
      <c r="IX129" s="669"/>
      <c r="IY129" s="670"/>
      <c r="IZ129" s="671"/>
      <c r="JA129" s="678"/>
      <c r="JB129" s="650"/>
      <c r="JC129" s="651">
        <f t="shared" si="814"/>
        <v>0</v>
      </c>
      <c r="JD129" s="619" t="e">
        <f t="shared" si="650"/>
        <v>#DIV/0!</v>
      </c>
      <c r="JE129" s="674" t="e">
        <f t="shared" si="651"/>
        <v>#DIV/0!</v>
      </c>
      <c r="JF129" s="599" t="e">
        <f>JE129-AVERAGE(JM94:JM95)</f>
        <v>#DIV/0!</v>
      </c>
      <c r="JG129" s="672" t="e">
        <f t="shared" si="652"/>
        <v>#DIV/0!</v>
      </c>
      <c r="JH129" s="675" t="e">
        <f t="shared" si="653"/>
        <v>#DIV/0!</v>
      </c>
      <c r="JI129" s="614" t="e">
        <f t="shared" si="654"/>
        <v>#DIV/0!</v>
      </c>
      <c r="JJ129" s="672" t="e">
        <f t="shared" si="655"/>
        <v>#DIV/0!</v>
      </c>
      <c r="JK129" s="600" t="e">
        <f>JH129*$F$75</f>
        <v>#DIV/0!</v>
      </c>
      <c r="JL129" s="672" t="e">
        <f t="shared" si="656"/>
        <v>#DIV/0!</v>
      </c>
      <c r="JM129" s="676" t="e">
        <f t="shared" si="657"/>
        <v>#DIV/0!</v>
      </c>
      <c r="JN129" s="668"/>
      <c r="JO129" s="669"/>
      <c r="JP129" s="670"/>
      <c r="JQ129" s="671"/>
      <c r="JR129" s="678"/>
      <c r="JS129" s="650"/>
      <c r="JT129" s="651">
        <f t="shared" si="816"/>
        <v>0</v>
      </c>
      <c r="JU129" s="619" t="e">
        <f t="shared" si="658"/>
        <v>#DIV/0!</v>
      </c>
      <c r="JV129" s="674" t="e">
        <f t="shared" si="659"/>
        <v>#DIV/0!</v>
      </c>
      <c r="JW129" s="599" t="e">
        <f>JV129-AVERAGE(KD94:KD95)</f>
        <v>#DIV/0!</v>
      </c>
      <c r="JX129" s="672" t="e">
        <f t="shared" si="660"/>
        <v>#DIV/0!</v>
      </c>
      <c r="JY129" s="675" t="e">
        <f t="shared" si="661"/>
        <v>#DIV/0!</v>
      </c>
      <c r="JZ129" s="614" t="e">
        <f t="shared" si="662"/>
        <v>#DIV/0!</v>
      </c>
      <c r="KA129" s="672" t="e">
        <f t="shared" si="663"/>
        <v>#DIV/0!</v>
      </c>
      <c r="KB129" s="600" t="e">
        <f>JY129*$F$75</f>
        <v>#DIV/0!</v>
      </c>
      <c r="KC129" s="672" t="e">
        <f t="shared" si="664"/>
        <v>#DIV/0!</v>
      </c>
      <c r="KD129" s="676" t="e">
        <f t="shared" si="665"/>
        <v>#DIV/0!</v>
      </c>
      <c r="KE129" s="668"/>
      <c r="KF129" s="669"/>
      <c r="KG129" s="670"/>
      <c r="KH129" s="671"/>
      <c r="KI129" s="678"/>
      <c r="KJ129" s="650"/>
      <c r="KK129" s="651">
        <f t="shared" si="818"/>
        <v>0</v>
      </c>
      <c r="KL129" s="619" t="e">
        <f t="shared" si="666"/>
        <v>#DIV/0!</v>
      </c>
      <c r="KM129" s="674" t="e">
        <f t="shared" si="667"/>
        <v>#DIV/0!</v>
      </c>
      <c r="KN129" s="599" t="e">
        <f>KM129-AVERAGE(KU94:KU95)</f>
        <v>#DIV/0!</v>
      </c>
      <c r="KO129" s="672" t="e">
        <f t="shared" si="668"/>
        <v>#DIV/0!</v>
      </c>
      <c r="KP129" s="675" t="e">
        <f t="shared" si="669"/>
        <v>#DIV/0!</v>
      </c>
      <c r="KQ129" s="614" t="e">
        <f t="shared" si="670"/>
        <v>#DIV/0!</v>
      </c>
      <c r="KR129" s="672" t="e">
        <f t="shared" si="671"/>
        <v>#DIV/0!</v>
      </c>
      <c r="KS129" s="600" t="e">
        <f>KP129*$F$75</f>
        <v>#DIV/0!</v>
      </c>
      <c r="KT129" s="672" t="e">
        <f t="shared" si="672"/>
        <v>#DIV/0!</v>
      </c>
      <c r="KU129" s="676" t="e">
        <f t="shared" si="673"/>
        <v>#DIV/0!</v>
      </c>
      <c r="KV129" s="668"/>
      <c r="KW129" s="669"/>
      <c r="KX129" s="670"/>
      <c r="KY129" s="671"/>
      <c r="KZ129" s="678"/>
      <c r="LA129" s="650"/>
      <c r="LB129" s="651">
        <f t="shared" si="820"/>
        <v>0</v>
      </c>
      <c r="LC129" s="619" t="e">
        <f t="shared" si="674"/>
        <v>#DIV/0!</v>
      </c>
      <c r="LD129" s="674" t="e">
        <f t="shared" si="675"/>
        <v>#DIV/0!</v>
      </c>
      <c r="LE129" s="599" t="e">
        <f>LD129-AVERAGE(LL94:LL95)</f>
        <v>#DIV/0!</v>
      </c>
      <c r="LF129" s="672" t="e">
        <f t="shared" si="676"/>
        <v>#DIV/0!</v>
      </c>
      <c r="LG129" s="675" t="e">
        <f t="shared" si="677"/>
        <v>#DIV/0!</v>
      </c>
      <c r="LH129" s="614" t="e">
        <f t="shared" si="678"/>
        <v>#DIV/0!</v>
      </c>
      <c r="LI129" s="672" t="e">
        <f t="shared" si="679"/>
        <v>#DIV/0!</v>
      </c>
      <c r="LJ129" s="600" t="e">
        <f>LG129*$F$75</f>
        <v>#DIV/0!</v>
      </c>
      <c r="LK129" s="672" t="e">
        <f t="shared" si="680"/>
        <v>#DIV/0!</v>
      </c>
      <c r="LL129" s="676" t="e">
        <f t="shared" si="681"/>
        <v>#DIV/0!</v>
      </c>
      <c r="LM129" s="668"/>
      <c r="LN129" s="669"/>
      <c r="LO129" s="670"/>
      <c r="LP129" s="671"/>
      <c r="LQ129" s="678"/>
      <c r="LR129" s="650"/>
      <c r="LS129" s="651">
        <f t="shared" si="822"/>
        <v>0</v>
      </c>
      <c r="LT129" s="619" t="e">
        <f t="shared" si="682"/>
        <v>#DIV/0!</v>
      </c>
      <c r="LU129" s="674" t="e">
        <f t="shared" si="683"/>
        <v>#DIV/0!</v>
      </c>
      <c r="LV129" s="599" t="e">
        <f>LU129-AVERAGE(MC94:MC95)</f>
        <v>#DIV/0!</v>
      </c>
      <c r="LW129" s="672" t="e">
        <f t="shared" si="684"/>
        <v>#DIV/0!</v>
      </c>
      <c r="LX129" s="675" t="e">
        <f t="shared" si="685"/>
        <v>#DIV/0!</v>
      </c>
      <c r="LY129" s="614" t="e">
        <f t="shared" si="686"/>
        <v>#DIV/0!</v>
      </c>
      <c r="LZ129" s="672" t="e">
        <f t="shared" si="687"/>
        <v>#DIV/0!</v>
      </c>
      <c r="MA129" s="600" t="e">
        <f>LX129*$F$75</f>
        <v>#DIV/0!</v>
      </c>
      <c r="MB129" s="672" t="e">
        <f t="shared" si="688"/>
        <v>#DIV/0!</v>
      </c>
      <c r="MC129" s="676" t="e">
        <f t="shared" si="689"/>
        <v>#DIV/0!</v>
      </c>
      <c r="MD129" s="668"/>
      <c r="ME129" s="669"/>
      <c r="MF129" s="680"/>
      <c r="MG129" s="671"/>
      <c r="MH129" s="673"/>
      <c r="MI129" s="650"/>
      <c r="MJ129" s="651">
        <f t="shared" si="824"/>
        <v>0</v>
      </c>
      <c r="MK129" s="619" t="e">
        <f t="shared" si="690"/>
        <v>#DIV/0!</v>
      </c>
      <c r="ML129" s="674" t="e">
        <f t="shared" si="691"/>
        <v>#DIV/0!</v>
      </c>
      <c r="MM129" s="599" t="e">
        <f>ML129-AVERAGE(MT94:MT95)</f>
        <v>#DIV/0!</v>
      </c>
      <c r="MN129" s="672" t="e">
        <f t="shared" si="692"/>
        <v>#DIV/0!</v>
      </c>
      <c r="MO129" s="675" t="e">
        <f t="shared" si="693"/>
        <v>#DIV/0!</v>
      </c>
      <c r="MP129" s="614" t="e">
        <f t="shared" si="694"/>
        <v>#DIV/0!</v>
      </c>
      <c r="MQ129" s="672" t="e">
        <f t="shared" si="695"/>
        <v>#DIV/0!</v>
      </c>
      <c r="MR129" s="600" t="e">
        <f>MO129*$F$75</f>
        <v>#DIV/0!</v>
      </c>
      <c r="MS129" s="672" t="e">
        <f t="shared" si="696"/>
        <v>#DIV/0!</v>
      </c>
      <c r="MT129" s="676" t="e">
        <f t="shared" si="697"/>
        <v>#DIV/0!</v>
      </c>
      <c r="MU129" s="668">
        <v>20.5</v>
      </c>
      <c r="MV129" s="669">
        <v>54</v>
      </c>
      <c r="MW129" s="680">
        <v>1007</v>
      </c>
      <c r="MX129" s="671">
        <v>-5.6349999999999998E-11</v>
      </c>
      <c r="MY129" s="678">
        <v>60</v>
      </c>
      <c r="MZ129" s="650">
        <v>43403</v>
      </c>
      <c r="NA129" s="651" t="str">
        <f t="shared" si="826"/>
        <v>rango cal. out</v>
      </c>
      <c r="NB129" s="619">
        <f t="shared" si="698"/>
        <v>0</v>
      </c>
      <c r="NC129" s="674" t="e">
        <f t="shared" si="699"/>
        <v>#VALUE!</v>
      </c>
      <c r="ND129" s="599" t="e">
        <f>NC129-AVERAGE(NK94:NK95)</f>
        <v>#VALUE!</v>
      </c>
      <c r="NE129" s="672" t="e">
        <f t="shared" si="700"/>
        <v>#VALUE!</v>
      </c>
      <c r="NF129" s="675" t="e">
        <f t="shared" si="701"/>
        <v>#VALUE!</v>
      </c>
      <c r="NG129" s="614" t="e">
        <f t="shared" si="702"/>
        <v>#VALUE!</v>
      </c>
      <c r="NH129" s="672" t="e">
        <f t="shared" si="703"/>
        <v>#VALUE!</v>
      </c>
      <c r="NI129" s="600" t="e">
        <f>NF129*$F$75</f>
        <v>#VALUE!</v>
      </c>
      <c r="NJ129" s="672" t="e">
        <f t="shared" si="704"/>
        <v>#VALUE!</v>
      </c>
      <c r="NK129" s="676" t="e">
        <f t="shared" si="705"/>
        <v>#VALUE!</v>
      </c>
      <c r="NL129" s="668"/>
      <c r="NM129" s="669"/>
      <c r="NN129" s="670"/>
      <c r="NO129" s="671"/>
      <c r="NP129" s="678"/>
      <c r="NQ129" s="650"/>
      <c r="NR129" s="651">
        <f t="shared" si="828"/>
        <v>0</v>
      </c>
      <c r="NS129" s="619" t="e">
        <f t="shared" si="706"/>
        <v>#DIV/0!</v>
      </c>
      <c r="NT129" s="674" t="e">
        <f t="shared" si="707"/>
        <v>#DIV/0!</v>
      </c>
      <c r="NU129" s="599" t="e">
        <f>NT129-AVERAGE(OB94:OB95)</f>
        <v>#DIV/0!</v>
      </c>
      <c r="NV129" s="672" t="e">
        <f t="shared" si="708"/>
        <v>#DIV/0!</v>
      </c>
      <c r="NW129" s="675" t="e">
        <f t="shared" si="709"/>
        <v>#DIV/0!</v>
      </c>
      <c r="NX129" s="614" t="e">
        <f t="shared" si="710"/>
        <v>#DIV/0!</v>
      </c>
      <c r="NY129" s="672" t="e">
        <f t="shared" si="711"/>
        <v>#DIV/0!</v>
      </c>
      <c r="NZ129" s="600" t="e">
        <f>NW129*$F$75</f>
        <v>#DIV/0!</v>
      </c>
      <c r="OA129" s="672" t="e">
        <f t="shared" si="712"/>
        <v>#DIV/0!</v>
      </c>
      <c r="OB129" s="676" t="e">
        <f t="shared" si="713"/>
        <v>#DIV/0!</v>
      </c>
      <c r="OC129" s="668">
        <v>20.5</v>
      </c>
      <c r="OD129" s="669">
        <v>54</v>
      </c>
      <c r="OE129" s="680">
        <v>1007</v>
      </c>
      <c r="OF129" s="671">
        <v>-1.3059999999999999E-10</v>
      </c>
      <c r="OG129" s="673">
        <v>60</v>
      </c>
      <c r="OH129" s="650">
        <v>43403</v>
      </c>
      <c r="OI129" s="651" t="str">
        <f t="shared" si="830"/>
        <v>rango cal. out</v>
      </c>
      <c r="OJ129" s="619">
        <f t="shared" si="714"/>
        <v>0</v>
      </c>
      <c r="OK129" s="674" t="e">
        <f t="shared" si="715"/>
        <v>#VALUE!</v>
      </c>
      <c r="OL129" s="599" t="e">
        <f>OK129-AVERAGE(OS94:OS95)</f>
        <v>#VALUE!</v>
      </c>
      <c r="OM129" s="672" t="e">
        <f t="shared" si="716"/>
        <v>#VALUE!</v>
      </c>
      <c r="ON129" s="675" t="e">
        <f t="shared" si="717"/>
        <v>#VALUE!</v>
      </c>
      <c r="OO129" s="614" t="e">
        <f t="shared" si="718"/>
        <v>#VALUE!</v>
      </c>
      <c r="OP129" s="672" t="e">
        <f t="shared" si="719"/>
        <v>#VALUE!</v>
      </c>
      <c r="OQ129" s="600" t="e">
        <f>ON129*$F$75</f>
        <v>#VALUE!</v>
      </c>
      <c r="OR129" s="672" t="e">
        <f t="shared" si="720"/>
        <v>#VALUE!</v>
      </c>
      <c r="OS129" s="676" t="e">
        <f t="shared" si="721"/>
        <v>#VALUE!</v>
      </c>
      <c r="OT129" s="668"/>
      <c r="OU129" s="669"/>
      <c r="OV129" s="670"/>
      <c r="OW129" s="671"/>
      <c r="OX129" s="678"/>
      <c r="OY129" s="650"/>
      <c r="OZ129" s="651">
        <f t="shared" si="832"/>
        <v>0</v>
      </c>
      <c r="PA129" s="619" t="e">
        <f t="shared" si="722"/>
        <v>#DIV/0!</v>
      </c>
      <c r="PB129" s="674" t="e">
        <f t="shared" si="723"/>
        <v>#DIV/0!</v>
      </c>
      <c r="PC129" s="599" t="e">
        <f>PB129-AVERAGE(PJ94:PJ95)</f>
        <v>#DIV/0!</v>
      </c>
      <c r="PD129" s="672" t="e">
        <f t="shared" si="724"/>
        <v>#DIV/0!</v>
      </c>
      <c r="PE129" s="675" t="e">
        <f t="shared" si="725"/>
        <v>#DIV/0!</v>
      </c>
      <c r="PF129" s="614" t="e">
        <f t="shared" si="726"/>
        <v>#DIV/0!</v>
      </c>
      <c r="PG129" s="672" t="e">
        <f t="shared" si="727"/>
        <v>#DIV/0!</v>
      </c>
      <c r="PH129" s="600" t="e">
        <f>PE129*$F$75</f>
        <v>#DIV/0!</v>
      </c>
      <c r="PI129" s="672" t="e">
        <f t="shared" si="728"/>
        <v>#DIV/0!</v>
      </c>
      <c r="PJ129" s="676" t="e">
        <f t="shared" si="729"/>
        <v>#DIV/0!</v>
      </c>
      <c r="PK129" s="668"/>
      <c r="PL129" s="669"/>
      <c r="PM129" s="670"/>
      <c r="PN129" s="671"/>
      <c r="PO129" s="678"/>
      <c r="PP129" s="650"/>
      <c r="PQ129" s="651">
        <f t="shared" si="834"/>
        <v>0</v>
      </c>
      <c r="PR129" s="619" t="e">
        <f t="shared" si="730"/>
        <v>#DIV/0!</v>
      </c>
      <c r="PS129" s="674" t="e">
        <f t="shared" si="731"/>
        <v>#DIV/0!</v>
      </c>
      <c r="PT129" s="599" t="e">
        <f>PS129-AVERAGE(QA94:QA95)</f>
        <v>#DIV/0!</v>
      </c>
      <c r="PU129" s="672" t="e">
        <f t="shared" si="732"/>
        <v>#DIV/0!</v>
      </c>
      <c r="PV129" s="675" t="e">
        <f t="shared" si="733"/>
        <v>#DIV/0!</v>
      </c>
      <c r="PW129" s="614" t="e">
        <f t="shared" si="734"/>
        <v>#DIV/0!</v>
      </c>
      <c r="PX129" s="672" t="e">
        <f t="shared" si="735"/>
        <v>#DIV/0!</v>
      </c>
      <c r="PY129" s="600" t="e">
        <f>PV129*$F$75</f>
        <v>#DIV/0!</v>
      </c>
      <c r="PZ129" s="672" t="e">
        <f t="shared" si="736"/>
        <v>#DIV/0!</v>
      </c>
      <c r="QA129" s="676" t="e">
        <f t="shared" si="737"/>
        <v>#DIV/0!</v>
      </c>
      <c r="QB129" s="668"/>
      <c r="QC129" s="669"/>
      <c r="QD129" s="673"/>
      <c r="QE129" s="671"/>
      <c r="QF129" s="667"/>
      <c r="QG129" s="650"/>
      <c r="QH129" s="651">
        <f t="shared" si="836"/>
        <v>0</v>
      </c>
      <c r="QI129" s="619" t="e">
        <f t="shared" si="738"/>
        <v>#DIV/0!</v>
      </c>
      <c r="QJ129" s="674" t="e">
        <f t="shared" si="739"/>
        <v>#DIV/0!</v>
      </c>
      <c r="QK129" s="599" t="e">
        <f>QJ129-AVERAGE(QR94:QR95)</f>
        <v>#DIV/0!</v>
      </c>
      <c r="QL129" s="672" t="e">
        <f t="shared" si="740"/>
        <v>#DIV/0!</v>
      </c>
      <c r="QM129" s="675" t="e">
        <f t="shared" si="741"/>
        <v>#DIV/0!</v>
      </c>
      <c r="QN129" s="614" t="e">
        <f t="shared" si="742"/>
        <v>#DIV/0!</v>
      </c>
      <c r="QO129" s="672" t="e">
        <f t="shared" si="743"/>
        <v>#DIV/0!</v>
      </c>
      <c r="QP129" s="600" t="e">
        <f>QM129*$F$75</f>
        <v>#DIV/0!</v>
      </c>
      <c r="QQ129" s="672" t="e">
        <f t="shared" si="744"/>
        <v>#DIV/0!</v>
      </c>
      <c r="QR129" s="676" t="e">
        <f t="shared" si="745"/>
        <v>#DIV/0!</v>
      </c>
      <c r="QS129" s="668"/>
      <c r="QT129" s="669"/>
      <c r="QU129" s="669"/>
      <c r="QV129" s="679"/>
      <c r="QW129" s="673"/>
      <c r="QX129" s="650"/>
      <c r="QY129" s="651">
        <f t="shared" si="838"/>
        <v>0</v>
      </c>
      <c r="QZ129" s="619" t="e">
        <f t="shared" si="746"/>
        <v>#DIV/0!</v>
      </c>
      <c r="RA129" s="674" t="e">
        <f t="shared" si="747"/>
        <v>#DIV/0!</v>
      </c>
      <c r="RB129" s="599" t="e">
        <f>RA129-AVERAGE(RI94:RI95)</f>
        <v>#DIV/0!</v>
      </c>
      <c r="RC129" s="672" t="e">
        <f t="shared" si="748"/>
        <v>#DIV/0!</v>
      </c>
      <c r="RD129" s="675" t="e">
        <f t="shared" si="749"/>
        <v>#DIV/0!</v>
      </c>
      <c r="RE129" s="614" t="e">
        <f t="shared" si="750"/>
        <v>#DIV/0!</v>
      </c>
      <c r="RF129" s="672" t="e">
        <f t="shared" si="751"/>
        <v>#DIV/0!</v>
      </c>
      <c r="RG129" s="600" t="e">
        <f>RD129*$F$75</f>
        <v>#DIV/0!</v>
      </c>
      <c r="RH129" s="672" t="e">
        <f t="shared" si="752"/>
        <v>#DIV/0!</v>
      </c>
      <c r="RI129" s="676" t="e">
        <f t="shared" si="753"/>
        <v>#DIV/0!</v>
      </c>
      <c r="RJ129" s="668">
        <v>20.5</v>
      </c>
      <c r="RK129" s="669">
        <v>55</v>
      </c>
      <c r="RL129" s="680">
        <v>1007</v>
      </c>
      <c r="RM129" s="671">
        <v>-6.0699999999999998E-12</v>
      </c>
      <c r="RN129" s="673">
        <v>60</v>
      </c>
      <c r="RO129" s="650">
        <v>43403</v>
      </c>
      <c r="RP129" s="651" t="str">
        <f t="shared" si="840"/>
        <v>rango cal. out</v>
      </c>
      <c r="RQ129" s="619">
        <f t="shared" si="754"/>
        <v>0</v>
      </c>
      <c r="RR129" s="674" t="e">
        <f t="shared" si="755"/>
        <v>#VALUE!</v>
      </c>
      <c r="RS129" s="599" t="e">
        <f>RR129-AVERAGE(RZ94:RZ95)</f>
        <v>#VALUE!</v>
      </c>
      <c r="RT129" s="672" t="e">
        <f t="shared" si="756"/>
        <v>#VALUE!</v>
      </c>
      <c r="RU129" s="675" t="e">
        <f t="shared" si="757"/>
        <v>#VALUE!</v>
      </c>
      <c r="RV129" s="614" t="e">
        <f t="shared" si="758"/>
        <v>#VALUE!</v>
      </c>
      <c r="RW129" s="672" t="e">
        <f t="shared" si="759"/>
        <v>#VALUE!</v>
      </c>
      <c r="RX129" s="600" t="e">
        <f>RU129*$F$75</f>
        <v>#VALUE!</v>
      </c>
      <c r="RY129" s="672" t="e">
        <f t="shared" si="760"/>
        <v>#VALUE!</v>
      </c>
      <c r="RZ129" s="676" t="e">
        <f t="shared" si="761"/>
        <v>#VALUE!</v>
      </c>
      <c r="SA129" s="668">
        <v>20.5</v>
      </c>
      <c r="SB129" s="669">
        <v>56</v>
      </c>
      <c r="SC129" s="680">
        <v>1008</v>
      </c>
      <c r="SD129" s="671">
        <v>-3.2500000000000002E-10</v>
      </c>
      <c r="SE129" s="673">
        <v>60</v>
      </c>
      <c r="SF129" s="650">
        <v>43403</v>
      </c>
      <c r="SG129" s="651" t="str">
        <f t="shared" si="842"/>
        <v>rango cal. out</v>
      </c>
      <c r="SH129" s="619">
        <f t="shared" si="762"/>
        <v>0</v>
      </c>
      <c r="SI129" s="674" t="e">
        <f t="shared" si="763"/>
        <v>#VALUE!</v>
      </c>
      <c r="SJ129" s="599" t="e">
        <f>SI129-AVERAGE(SQ94:SQ95)</f>
        <v>#VALUE!</v>
      </c>
      <c r="SK129" s="672" t="e">
        <f t="shared" si="764"/>
        <v>#VALUE!</v>
      </c>
      <c r="SL129" s="675" t="e">
        <f t="shared" si="765"/>
        <v>#VALUE!</v>
      </c>
      <c r="SM129" s="614" t="e">
        <f t="shared" si="766"/>
        <v>#VALUE!</v>
      </c>
      <c r="SN129" s="672" t="e">
        <f t="shared" si="767"/>
        <v>#VALUE!</v>
      </c>
      <c r="SO129" s="600" t="e">
        <f>SL129*$F$75</f>
        <v>#VALUE!</v>
      </c>
      <c r="SP129" s="672" t="e">
        <f t="shared" si="768"/>
        <v>#VALUE!</v>
      </c>
      <c r="SQ129" s="676" t="e">
        <f t="shared" si="769"/>
        <v>#VALUE!</v>
      </c>
      <c r="SR129" s="668"/>
      <c r="SS129" s="669"/>
      <c r="ST129" s="670"/>
      <c r="SU129" s="671"/>
      <c r="SV129" s="678"/>
      <c r="SW129" s="650"/>
      <c r="SX129" s="651">
        <f t="shared" si="844"/>
        <v>0</v>
      </c>
      <c r="SY129" s="619" t="e">
        <f t="shared" si="770"/>
        <v>#DIV/0!</v>
      </c>
      <c r="SZ129" s="674" t="e">
        <f t="shared" si="771"/>
        <v>#DIV/0!</v>
      </c>
      <c r="TA129" s="599" t="e">
        <f>SZ129-AVERAGE(TH94:TH95)</f>
        <v>#DIV/0!</v>
      </c>
      <c r="TB129" s="672" t="e">
        <f t="shared" si="772"/>
        <v>#DIV/0!</v>
      </c>
      <c r="TC129" s="675" t="e">
        <f t="shared" si="773"/>
        <v>#DIV/0!</v>
      </c>
      <c r="TD129" s="614" t="e">
        <f t="shared" si="774"/>
        <v>#DIV/0!</v>
      </c>
      <c r="TE129" s="672" t="e">
        <f t="shared" si="775"/>
        <v>#DIV/0!</v>
      </c>
      <c r="TF129" s="600" t="e">
        <f>TC129*$F$75</f>
        <v>#DIV/0!</v>
      </c>
      <c r="TG129" s="672" t="e">
        <f t="shared" si="776"/>
        <v>#DIV/0!</v>
      </c>
      <c r="TH129" s="676" t="e">
        <f t="shared" si="777"/>
        <v>#DIV/0!</v>
      </c>
      <c r="TI129" s="668">
        <v>20.5</v>
      </c>
      <c r="TJ129" s="669">
        <v>56</v>
      </c>
      <c r="TK129" s="680">
        <v>1008</v>
      </c>
      <c r="TL129" s="671">
        <v>-1.35E-11</v>
      </c>
      <c r="TM129" s="673">
        <v>60</v>
      </c>
      <c r="TN129" s="650">
        <v>43403</v>
      </c>
      <c r="TO129" s="651" t="str">
        <f t="shared" si="846"/>
        <v>rango cal. out</v>
      </c>
      <c r="TP129" s="619">
        <f t="shared" si="778"/>
        <v>0</v>
      </c>
      <c r="TQ129" s="674" t="e">
        <f t="shared" si="779"/>
        <v>#VALUE!</v>
      </c>
      <c r="TR129" s="599" t="e">
        <f>TQ129-AVERAGE(TY94:TY95)</f>
        <v>#VALUE!</v>
      </c>
      <c r="TS129" s="672" t="e">
        <f t="shared" si="780"/>
        <v>#VALUE!</v>
      </c>
      <c r="TT129" s="675" t="e">
        <f t="shared" si="781"/>
        <v>#VALUE!</v>
      </c>
      <c r="TU129" s="614" t="e">
        <f t="shared" si="782"/>
        <v>#VALUE!</v>
      </c>
      <c r="TV129" s="672" t="e">
        <f t="shared" si="783"/>
        <v>#VALUE!</v>
      </c>
      <c r="TW129" s="600" t="e">
        <f>TT129*$F$75</f>
        <v>#VALUE!</v>
      </c>
      <c r="TX129" s="672" t="e">
        <f t="shared" si="784"/>
        <v>#VALUE!</v>
      </c>
      <c r="TY129" s="676" t="e">
        <f t="shared" si="785"/>
        <v>#VALUE!</v>
      </c>
    </row>
    <row r="130" spans="1:545" x14ac:dyDescent="0.25">
      <c r="A130" s="2219"/>
      <c r="B130" s="668"/>
      <c r="C130" s="673"/>
      <c r="D130" s="673"/>
      <c r="E130" s="671"/>
      <c r="F130" s="673"/>
      <c r="G130" s="650"/>
      <c r="H130" s="651"/>
      <c r="I130" s="619"/>
      <c r="J130" s="674"/>
      <c r="K130" s="599"/>
      <c r="L130" s="672"/>
      <c r="M130" s="675"/>
      <c r="N130" s="614"/>
      <c r="O130" s="672"/>
      <c r="P130" s="600"/>
      <c r="Q130" s="672"/>
      <c r="R130" s="676"/>
      <c r="S130" s="677"/>
      <c r="T130" s="669"/>
      <c r="U130" s="670"/>
      <c r="V130" s="671"/>
      <c r="W130" s="678"/>
      <c r="X130" s="650"/>
      <c r="Y130" s="651">
        <f t="shared" si="786"/>
        <v>0</v>
      </c>
      <c r="Z130" s="619" t="e">
        <f t="shared" si="538"/>
        <v>#DIV/0!</v>
      </c>
      <c r="AA130" s="674" t="e">
        <f t="shared" si="539"/>
        <v>#DIV/0!</v>
      </c>
      <c r="AB130" s="599" t="e">
        <f>AA130-AVERAGE(AI94:AI95)</f>
        <v>#DIV/0!</v>
      </c>
      <c r="AC130" s="672" t="e">
        <f t="shared" si="540"/>
        <v>#DIV/0!</v>
      </c>
      <c r="AD130" s="675" t="e">
        <f t="shared" si="541"/>
        <v>#DIV/0!</v>
      </c>
      <c r="AE130" s="614" t="e">
        <f t="shared" si="542"/>
        <v>#DIV/0!</v>
      </c>
      <c r="AF130" s="672" t="e">
        <f t="shared" si="543"/>
        <v>#DIV/0!</v>
      </c>
      <c r="AG130" s="600" t="e">
        <f t="shared" si="787"/>
        <v>#DIV/0!</v>
      </c>
      <c r="AH130" s="672" t="e">
        <f t="shared" si="544"/>
        <v>#DIV/0!</v>
      </c>
      <c r="AI130" s="676" t="e">
        <f t="shared" si="545"/>
        <v>#DIV/0!</v>
      </c>
      <c r="AJ130" s="677"/>
      <c r="AK130" s="669"/>
      <c r="AL130" s="670"/>
      <c r="AM130" s="671"/>
      <c r="AN130" s="678"/>
      <c r="AO130" s="650"/>
      <c r="AP130" s="651">
        <f t="shared" si="788"/>
        <v>0</v>
      </c>
      <c r="AQ130" s="619" t="e">
        <f t="shared" si="546"/>
        <v>#DIV/0!</v>
      </c>
      <c r="AR130" s="674" t="e">
        <f t="shared" si="547"/>
        <v>#DIV/0!</v>
      </c>
      <c r="AS130" s="599" t="e">
        <f>AR130-AVERAGE(AZ94:AZ95)</f>
        <v>#DIV/0!</v>
      </c>
      <c r="AT130" s="672" t="e">
        <f t="shared" si="548"/>
        <v>#DIV/0!</v>
      </c>
      <c r="AU130" s="675" t="e">
        <f t="shared" si="549"/>
        <v>#DIV/0!</v>
      </c>
      <c r="AV130" s="614" t="e">
        <f t="shared" si="550"/>
        <v>#DIV/0!</v>
      </c>
      <c r="AW130" s="672" t="e">
        <f t="shared" si="551"/>
        <v>#DIV/0!</v>
      </c>
      <c r="AX130" s="600" t="e">
        <f t="shared" si="789"/>
        <v>#DIV/0!</v>
      </c>
      <c r="AY130" s="672" t="e">
        <f t="shared" si="552"/>
        <v>#DIV/0!</v>
      </c>
      <c r="AZ130" s="676" t="e">
        <f t="shared" si="553"/>
        <v>#DIV/0!</v>
      </c>
      <c r="BA130" s="668">
        <v>20.7</v>
      </c>
      <c r="BB130" s="669">
        <v>53</v>
      </c>
      <c r="BC130" s="680">
        <v>1009</v>
      </c>
      <c r="BD130" s="671">
        <v>-8.4510000000000001E-10</v>
      </c>
      <c r="BE130" s="673">
        <v>60</v>
      </c>
      <c r="BF130" s="650">
        <v>43403</v>
      </c>
      <c r="BG130" s="651" t="str">
        <f t="shared" si="790"/>
        <v>rango cal. out</v>
      </c>
      <c r="BH130" s="619">
        <f t="shared" si="554"/>
        <v>0</v>
      </c>
      <c r="BI130" s="674" t="e">
        <f t="shared" si="555"/>
        <v>#VALUE!</v>
      </c>
      <c r="BJ130" s="599" t="e">
        <f>BI130-AVERAGE(BQ94:BQ95)</f>
        <v>#VALUE!</v>
      </c>
      <c r="BK130" s="672" t="e">
        <f t="shared" si="556"/>
        <v>#VALUE!</v>
      </c>
      <c r="BL130" s="675" t="e">
        <f t="shared" si="557"/>
        <v>#VALUE!</v>
      </c>
      <c r="BM130" s="614" t="e">
        <f t="shared" si="558"/>
        <v>#VALUE!</v>
      </c>
      <c r="BN130" s="672" t="e">
        <f t="shared" si="559"/>
        <v>#VALUE!</v>
      </c>
      <c r="BO130" s="600" t="e">
        <f t="shared" si="791"/>
        <v>#VALUE!</v>
      </c>
      <c r="BP130" s="672" t="e">
        <f t="shared" si="560"/>
        <v>#VALUE!</v>
      </c>
      <c r="BQ130" s="676" t="e">
        <f t="shared" si="561"/>
        <v>#VALUE!</v>
      </c>
      <c r="BR130" s="668">
        <v>20.7</v>
      </c>
      <c r="BS130" s="669">
        <v>49</v>
      </c>
      <c r="BT130" s="680">
        <v>1008</v>
      </c>
      <c r="BU130" s="671">
        <v>-3.4630000000000001E-11</v>
      </c>
      <c r="BV130" s="673">
        <v>60</v>
      </c>
      <c r="BW130" s="663">
        <v>43403</v>
      </c>
      <c r="BX130" s="651" t="str">
        <f t="shared" si="792"/>
        <v>rango cal. out</v>
      </c>
      <c r="BY130" s="619">
        <f t="shared" si="562"/>
        <v>0</v>
      </c>
      <c r="BZ130" s="674" t="e">
        <f t="shared" si="563"/>
        <v>#VALUE!</v>
      </c>
      <c r="CA130" s="599" t="e">
        <f>BZ130-AVERAGE(CH94:CH95)</f>
        <v>#VALUE!</v>
      </c>
      <c r="CB130" s="672" t="e">
        <f t="shared" si="564"/>
        <v>#VALUE!</v>
      </c>
      <c r="CC130" s="675" t="e">
        <f t="shared" si="565"/>
        <v>#VALUE!</v>
      </c>
      <c r="CD130" s="614" t="e">
        <f t="shared" si="566"/>
        <v>#VALUE!</v>
      </c>
      <c r="CE130" s="672" t="e">
        <f t="shared" si="567"/>
        <v>#VALUE!</v>
      </c>
      <c r="CF130" s="600" t="e">
        <f t="shared" si="793"/>
        <v>#VALUE!</v>
      </c>
      <c r="CG130" s="672" t="e">
        <f t="shared" si="568"/>
        <v>#VALUE!</v>
      </c>
      <c r="CH130" s="676" t="e">
        <f t="shared" si="569"/>
        <v>#VALUE!</v>
      </c>
      <c r="CI130" s="668">
        <v>20.5</v>
      </c>
      <c r="CJ130" s="669">
        <v>50</v>
      </c>
      <c r="CK130" s="680">
        <v>1007</v>
      </c>
      <c r="CL130" s="671">
        <v>-1.9719999999999998E-9</v>
      </c>
      <c r="CM130" s="673">
        <v>60</v>
      </c>
      <c r="CN130" s="663">
        <v>43403</v>
      </c>
      <c r="CO130" s="651" t="str">
        <f t="shared" si="794"/>
        <v>rango cal. out</v>
      </c>
      <c r="CP130" s="619">
        <f t="shared" si="570"/>
        <v>0</v>
      </c>
      <c r="CQ130" s="674" t="e">
        <f t="shared" si="571"/>
        <v>#VALUE!</v>
      </c>
      <c r="CR130" s="599" t="e">
        <f>CQ130-AVERAGE(CY94:CY95)</f>
        <v>#VALUE!</v>
      </c>
      <c r="CS130" s="672" t="e">
        <f t="shared" si="572"/>
        <v>#VALUE!</v>
      </c>
      <c r="CT130" s="675" t="e">
        <f t="shared" si="573"/>
        <v>#VALUE!</v>
      </c>
      <c r="CU130" s="614" t="e">
        <f t="shared" si="574"/>
        <v>#VALUE!</v>
      </c>
      <c r="CV130" s="672" t="e">
        <f t="shared" si="575"/>
        <v>#VALUE!</v>
      </c>
      <c r="CW130" s="600" t="e">
        <f t="shared" si="795"/>
        <v>#VALUE!</v>
      </c>
      <c r="CX130" s="672" t="e">
        <f t="shared" si="576"/>
        <v>#VALUE!</v>
      </c>
      <c r="CY130" s="676" t="e">
        <f t="shared" si="577"/>
        <v>#VALUE!</v>
      </c>
      <c r="CZ130" s="668"/>
      <c r="DA130" s="669"/>
      <c r="DB130" s="670"/>
      <c r="DC130" s="671"/>
      <c r="DD130" s="678"/>
      <c r="DE130" s="650"/>
      <c r="DF130" s="651">
        <f t="shared" si="796"/>
        <v>0</v>
      </c>
      <c r="DG130" s="619" t="e">
        <f t="shared" si="578"/>
        <v>#DIV/0!</v>
      </c>
      <c r="DH130" s="674" t="e">
        <f t="shared" si="579"/>
        <v>#DIV/0!</v>
      </c>
      <c r="DI130" s="599" t="e">
        <f>DH130-AVERAGE(DP94:DP95)</f>
        <v>#DIV/0!</v>
      </c>
      <c r="DJ130" s="672" t="e">
        <f t="shared" si="580"/>
        <v>#DIV/0!</v>
      </c>
      <c r="DK130" s="675" t="e">
        <f t="shared" si="581"/>
        <v>#DIV/0!</v>
      </c>
      <c r="DL130" s="614" t="e">
        <f t="shared" si="582"/>
        <v>#DIV/0!</v>
      </c>
      <c r="DM130" s="672" t="e">
        <f t="shared" si="583"/>
        <v>#DIV/0!</v>
      </c>
      <c r="DN130" s="600" t="e">
        <f t="shared" si="797"/>
        <v>#DIV/0!</v>
      </c>
      <c r="DO130" s="672" t="e">
        <f t="shared" si="584"/>
        <v>#DIV/0!</v>
      </c>
      <c r="DP130" s="676" t="e">
        <f t="shared" si="585"/>
        <v>#DIV/0!</v>
      </c>
      <c r="DQ130" s="668"/>
      <c r="DR130" s="669"/>
      <c r="DS130" s="677"/>
      <c r="DT130" s="679"/>
      <c r="DU130" s="678"/>
      <c r="DV130" s="650"/>
      <c r="DW130" s="651">
        <f t="shared" si="798"/>
        <v>0</v>
      </c>
      <c r="DX130" s="619" t="e">
        <f t="shared" si="586"/>
        <v>#DIV/0!</v>
      </c>
      <c r="DY130" s="674" t="e">
        <f t="shared" si="587"/>
        <v>#DIV/0!</v>
      </c>
      <c r="DZ130" s="599" t="e">
        <f>DY130-AVERAGE(EG94:EG95)</f>
        <v>#DIV/0!</v>
      </c>
      <c r="EA130" s="672" t="e">
        <f t="shared" si="588"/>
        <v>#DIV/0!</v>
      </c>
      <c r="EB130" s="675" t="e">
        <f t="shared" si="589"/>
        <v>#DIV/0!</v>
      </c>
      <c r="EC130" s="614" t="e">
        <f t="shared" si="590"/>
        <v>#DIV/0!</v>
      </c>
      <c r="ED130" s="672" t="e">
        <f t="shared" si="591"/>
        <v>#DIV/0!</v>
      </c>
      <c r="EE130" s="600" t="e">
        <f t="shared" si="799"/>
        <v>#DIV/0!</v>
      </c>
      <c r="EF130" s="672" t="e">
        <f t="shared" si="592"/>
        <v>#DIV/0!</v>
      </c>
      <c r="EG130" s="676" t="e">
        <f t="shared" si="593"/>
        <v>#DIV/0!</v>
      </c>
      <c r="EH130" s="668">
        <v>20.5</v>
      </c>
      <c r="EI130" s="669">
        <v>53</v>
      </c>
      <c r="EJ130" s="680">
        <v>1007</v>
      </c>
      <c r="EK130" s="671">
        <v>-2.4700000000000002E-12</v>
      </c>
      <c r="EL130" s="673">
        <v>60</v>
      </c>
      <c r="EM130" s="663">
        <v>43403</v>
      </c>
      <c r="EN130" s="651" t="str">
        <f t="shared" si="800"/>
        <v>rango cal. out</v>
      </c>
      <c r="EO130" s="619">
        <f t="shared" si="594"/>
        <v>0</v>
      </c>
      <c r="EP130" s="674" t="e">
        <f t="shared" si="595"/>
        <v>#VALUE!</v>
      </c>
      <c r="EQ130" s="599" t="e">
        <f>EP130-AVERAGE(EX94:EX95)</f>
        <v>#VALUE!</v>
      </c>
      <c r="ER130" s="672" t="e">
        <f t="shared" si="596"/>
        <v>#VALUE!</v>
      </c>
      <c r="ES130" s="675" t="e">
        <f t="shared" si="597"/>
        <v>#VALUE!</v>
      </c>
      <c r="ET130" s="614" t="e">
        <f t="shared" si="598"/>
        <v>#VALUE!</v>
      </c>
      <c r="EU130" s="672" t="e">
        <f t="shared" si="599"/>
        <v>#VALUE!</v>
      </c>
      <c r="EV130" s="600" t="e">
        <f t="shared" si="801"/>
        <v>#VALUE!</v>
      </c>
      <c r="EW130" s="672" t="e">
        <f t="shared" si="600"/>
        <v>#VALUE!</v>
      </c>
      <c r="EX130" s="676" t="e">
        <f t="shared" si="601"/>
        <v>#VALUE!</v>
      </c>
      <c r="EY130" s="668"/>
      <c r="EZ130" s="669"/>
      <c r="FA130" s="670"/>
      <c r="FB130" s="671"/>
      <c r="FC130" s="678"/>
      <c r="FD130" s="650"/>
      <c r="FE130" s="651">
        <f t="shared" si="802"/>
        <v>0</v>
      </c>
      <c r="FF130" s="619" t="e">
        <f t="shared" si="602"/>
        <v>#DIV/0!</v>
      </c>
      <c r="FG130" s="674" t="e">
        <f t="shared" si="603"/>
        <v>#DIV/0!</v>
      </c>
      <c r="FH130" s="599" t="e">
        <f>FG130-AVERAGE(FO94:FO95)</f>
        <v>#DIV/0!</v>
      </c>
      <c r="FI130" s="672" t="e">
        <f t="shared" si="604"/>
        <v>#DIV/0!</v>
      </c>
      <c r="FJ130" s="675" t="e">
        <f t="shared" si="605"/>
        <v>#DIV/0!</v>
      </c>
      <c r="FK130" s="614" t="e">
        <f t="shared" si="606"/>
        <v>#DIV/0!</v>
      </c>
      <c r="FL130" s="672" t="e">
        <f t="shared" si="607"/>
        <v>#DIV/0!</v>
      </c>
      <c r="FM130" s="600" t="e">
        <f t="shared" si="803"/>
        <v>#DIV/0!</v>
      </c>
      <c r="FN130" s="672" t="e">
        <f t="shared" si="608"/>
        <v>#DIV/0!</v>
      </c>
      <c r="FO130" s="676" t="e">
        <f t="shared" si="609"/>
        <v>#DIV/0!</v>
      </c>
      <c r="FP130" s="668"/>
      <c r="FQ130" s="669"/>
      <c r="FR130" s="670"/>
      <c r="FS130" s="671"/>
      <c r="FT130" s="678"/>
      <c r="FU130" s="650"/>
      <c r="FV130" s="651">
        <f t="shared" si="804"/>
        <v>0</v>
      </c>
      <c r="FW130" s="619" t="e">
        <f t="shared" si="610"/>
        <v>#DIV/0!</v>
      </c>
      <c r="FX130" s="674" t="e">
        <f t="shared" si="611"/>
        <v>#DIV/0!</v>
      </c>
      <c r="FY130" s="599" t="e">
        <f>FX130-AVERAGE(GF94:GF95)</f>
        <v>#DIV/0!</v>
      </c>
      <c r="FZ130" s="672" t="e">
        <f t="shared" si="612"/>
        <v>#DIV/0!</v>
      </c>
      <c r="GA130" s="675" t="e">
        <f t="shared" si="613"/>
        <v>#DIV/0!</v>
      </c>
      <c r="GB130" s="614" t="e">
        <f t="shared" si="614"/>
        <v>#DIV/0!</v>
      </c>
      <c r="GC130" s="672" t="e">
        <f t="shared" si="615"/>
        <v>#DIV/0!</v>
      </c>
      <c r="GD130" s="600" t="e">
        <f t="shared" si="805"/>
        <v>#DIV/0!</v>
      </c>
      <c r="GE130" s="672" t="e">
        <f t="shared" si="616"/>
        <v>#DIV/0!</v>
      </c>
      <c r="GF130" s="676" t="e">
        <f t="shared" si="617"/>
        <v>#DIV/0!</v>
      </c>
      <c r="GG130" s="668"/>
      <c r="GH130" s="669"/>
      <c r="GI130" s="677"/>
      <c r="GJ130" s="679"/>
      <c r="GK130" s="678"/>
      <c r="GL130" s="650"/>
      <c r="GM130" s="651">
        <f t="shared" si="806"/>
        <v>0</v>
      </c>
      <c r="GN130" s="619" t="e">
        <f t="shared" si="618"/>
        <v>#DIV/0!</v>
      </c>
      <c r="GO130" s="674" t="e">
        <f t="shared" si="619"/>
        <v>#DIV/0!</v>
      </c>
      <c r="GP130" s="599" t="e">
        <f>GO130-AVERAGE(GW94:GW95)</f>
        <v>#DIV/0!</v>
      </c>
      <c r="GQ130" s="672" t="e">
        <f t="shared" si="620"/>
        <v>#DIV/0!</v>
      </c>
      <c r="GR130" s="675" t="e">
        <f t="shared" si="621"/>
        <v>#DIV/0!</v>
      </c>
      <c r="GS130" s="614" t="e">
        <f t="shared" si="622"/>
        <v>#DIV/0!</v>
      </c>
      <c r="GT130" s="672" t="e">
        <f t="shared" si="623"/>
        <v>#DIV/0!</v>
      </c>
      <c r="GU130" s="600" t="e">
        <f t="shared" si="807"/>
        <v>#DIV/0!</v>
      </c>
      <c r="GV130" s="672" t="e">
        <f t="shared" si="624"/>
        <v>#DIV/0!</v>
      </c>
      <c r="GW130" s="676" t="e">
        <f t="shared" si="625"/>
        <v>#DIV/0!</v>
      </c>
      <c r="GX130" s="668"/>
      <c r="GY130" s="669"/>
      <c r="GZ130" s="670"/>
      <c r="HA130" s="671"/>
      <c r="HB130" s="678"/>
      <c r="HC130" s="650"/>
      <c r="HD130" s="651">
        <f t="shared" si="808"/>
        <v>0</v>
      </c>
      <c r="HE130" s="619" t="e">
        <f t="shared" si="626"/>
        <v>#DIV/0!</v>
      </c>
      <c r="HF130" s="674" t="e">
        <f t="shared" si="627"/>
        <v>#DIV/0!</v>
      </c>
      <c r="HG130" s="599" t="e">
        <f>HF130-AVERAGE(HN94:HN95)</f>
        <v>#DIV/0!</v>
      </c>
      <c r="HH130" s="672" t="e">
        <f t="shared" si="628"/>
        <v>#DIV/0!</v>
      </c>
      <c r="HI130" s="675" t="e">
        <f t="shared" si="629"/>
        <v>#DIV/0!</v>
      </c>
      <c r="HJ130" s="614" t="e">
        <f t="shared" si="630"/>
        <v>#DIV/0!</v>
      </c>
      <c r="HK130" s="672" t="e">
        <f t="shared" si="631"/>
        <v>#DIV/0!</v>
      </c>
      <c r="HL130" s="600" t="e">
        <f t="shared" si="809"/>
        <v>#DIV/0!</v>
      </c>
      <c r="HM130" s="672" t="e">
        <f t="shared" si="632"/>
        <v>#DIV/0!</v>
      </c>
      <c r="HN130" s="676" t="e">
        <f t="shared" si="633"/>
        <v>#DIV/0!</v>
      </c>
      <c r="HO130" s="668"/>
      <c r="HP130" s="669"/>
      <c r="HQ130" s="670"/>
      <c r="HR130" s="671"/>
      <c r="HS130" s="678"/>
      <c r="HT130" s="650"/>
      <c r="HU130" s="651">
        <f t="shared" si="810"/>
        <v>0</v>
      </c>
      <c r="HV130" s="619" t="e">
        <f t="shared" si="634"/>
        <v>#DIV/0!</v>
      </c>
      <c r="HW130" s="674" t="e">
        <f t="shared" si="635"/>
        <v>#DIV/0!</v>
      </c>
      <c r="HX130" s="599" t="e">
        <f>HW130-AVERAGE(IE94:IE95)</f>
        <v>#DIV/0!</v>
      </c>
      <c r="HY130" s="672" t="e">
        <f t="shared" si="636"/>
        <v>#DIV/0!</v>
      </c>
      <c r="HZ130" s="675" t="e">
        <f t="shared" si="637"/>
        <v>#DIV/0!</v>
      </c>
      <c r="IA130" s="614" t="e">
        <f t="shared" si="638"/>
        <v>#DIV/0!</v>
      </c>
      <c r="IB130" s="672" t="e">
        <f t="shared" si="639"/>
        <v>#DIV/0!</v>
      </c>
      <c r="IC130" s="600" t="e">
        <f t="shared" si="811"/>
        <v>#DIV/0!</v>
      </c>
      <c r="ID130" s="672" t="e">
        <f t="shared" si="640"/>
        <v>#DIV/0!</v>
      </c>
      <c r="IE130" s="676" t="e">
        <f t="shared" si="641"/>
        <v>#DIV/0!</v>
      </c>
      <c r="IF130" s="668"/>
      <c r="IG130" s="669"/>
      <c r="IH130" s="670"/>
      <c r="II130" s="671"/>
      <c r="IJ130" s="678"/>
      <c r="IK130" s="650"/>
      <c r="IL130" s="651">
        <f t="shared" si="812"/>
        <v>0</v>
      </c>
      <c r="IM130" s="619" t="e">
        <f t="shared" si="642"/>
        <v>#DIV/0!</v>
      </c>
      <c r="IN130" s="674" t="e">
        <f t="shared" si="643"/>
        <v>#DIV/0!</v>
      </c>
      <c r="IO130" s="599" t="e">
        <f>IN130-AVERAGE(IV94:IV95)</f>
        <v>#DIV/0!</v>
      </c>
      <c r="IP130" s="672" t="e">
        <f t="shared" si="644"/>
        <v>#DIV/0!</v>
      </c>
      <c r="IQ130" s="675" t="e">
        <f t="shared" si="645"/>
        <v>#DIV/0!</v>
      </c>
      <c r="IR130" s="614" t="e">
        <f t="shared" si="646"/>
        <v>#DIV/0!</v>
      </c>
      <c r="IS130" s="672" t="e">
        <f t="shared" si="647"/>
        <v>#DIV/0!</v>
      </c>
      <c r="IT130" s="600" t="e">
        <f t="shared" si="813"/>
        <v>#DIV/0!</v>
      </c>
      <c r="IU130" s="672" t="e">
        <f t="shared" si="648"/>
        <v>#DIV/0!</v>
      </c>
      <c r="IV130" s="676" t="e">
        <f t="shared" si="649"/>
        <v>#DIV/0!</v>
      </c>
      <c r="IW130" s="668"/>
      <c r="IX130" s="669"/>
      <c r="IY130" s="670"/>
      <c r="IZ130" s="671"/>
      <c r="JA130" s="678"/>
      <c r="JB130" s="650"/>
      <c r="JC130" s="651">
        <f t="shared" si="814"/>
        <v>0</v>
      </c>
      <c r="JD130" s="619" t="e">
        <f t="shared" si="650"/>
        <v>#DIV/0!</v>
      </c>
      <c r="JE130" s="674" t="e">
        <f t="shared" si="651"/>
        <v>#DIV/0!</v>
      </c>
      <c r="JF130" s="599" t="e">
        <f>JE130-AVERAGE(JM94:JM95)</f>
        <v>#DIV/0!</v>
      </c>
      <c r="JG130" s="672" t="e">
        <f t="shared" si="652"/>
        <v>#DIV/0!</v>
      </c>
      <c r="JH130" s="675" t="e">
        <f t="shared" si="653"/>
        <v>#DIV/0!</v>
      </c>
      <c r="JI130" s="614" t="e">
        <f t="shared" si="654"/>
        <v>#DIV/0!</v>
      </c>
      <c r="JJ130" s="672" t="e">
        <f t="shared" si="655"/>
        <v>#DIV/0!</v>
      </c>
      <c r="JK130" s="600" t="e">
        <f t="shared" si="815"/>
        <v>#DIV/0!</v>
      </c>
      <c r="JL130" s="672" t="e">
        <f t="shared" si="656"/>
        <v>#DIV/0!</v>
      </c>
      <c r="JM130" s="676" t="e">
        <f t="shared" si="657"/>
        <v>#DIV/0!</v>
      </c>
      <c r="JN130" s="668"/>
      <c r="JO130" s="669"/>
      <c r="JP130" s="670"/>
      <c r="JQ130" s="671"/>
      <c r="JR130" s="678"/>
      <c r="JS130" s="650"/>
      <c r="JT130" s="651">
        <f t="shared" si="816"/>
        <v>0</v>
      </c>
      <c r="JU130" s="619" t="e">
        <f t="shared" si="658"/>
        <v>#DIV/0!</v>
      </c>
      <c r="JV130" s="674" t="e">
        <f t="shared" si="659"/>
        <v>#DIV/0!</v>
      </c>
      <c r="JW130" s="599" t="e">
        <f>JV130-AVERAGE(KD94:KD95)</f>
        <v>#DIV/0!</v>
      </c>
      <c r="JX130" s="672" t="e">
        <f t="shared" si="660"/>
        <v>#DIV/0!</v>
      </c>
      <c r="JY130" s="675" t="e">
        <f t="shared" si="661"/>
        <v>#DIV/0!</v>
      </c>
      <c r="JZ130" s="614" t="e">
        <f t="shared" si="662"/>
        <v>#DIV/0!</v>
      </c>
      <c r="KA130" s="672" t="e">
        <f t="shared" si="663"/>
        <v>#DIV/0!</v>
      </c>
      <c r="KB130" s="600" t="e">
        <f t="shared" si="817"/>
        <v>#DIV/0!</v>
      </c>
      <c r="KC130" s="672" t="e">
        <f t="shared" si="664"/>
        <v>#DIV/0!</v>
      </c>
      <c r="KD130" s="676" t="e">
        <f t="shared" si="665"/>
        <v>#DIV/0!</v>
      </c>
      <c r="KE130" s="668"/>
      <c r="KF130" s="669"/>
      <c r="KG130" s="670"/>
      <c r="KH130" s="671"/>
      <c r="KI130" s="678"/>
      <c r="KJ130" s="650"/>
      <c r="KK130" s="651">
        <f t="shared" si="818"/>
        <v>0</v>
      </c>
      <c r="KL130" s="619" t="e">
        <f t="shared" si="666"/>
        <v>#DIV/0!</v>
      </c>
      <c r="KM130" s="674" t="e">
        <f t="shared" si="667"/>
        <v>#DIV/0!</v>
      </c>
      <c r="KN130" s="599" t="e">
        <f>KM130-AVERAGE(KU94:KU95)</f>
        <v>#DIV/0!</v>
      </c>
      <c r="KO130" s="672" t="e">
        <f t="shared" si="668"/>
        <v>#DIV/0!</v>
      </c>
      <c r="KP130" s="675" t="e">
        <f t="shared" si="669"/>
        <v>#DIV/0!</v>
      </c>
      <c r="KQ130" s="614" t="e">
        <f t="shared" si="670"/>
        <v>#DIV/0!</v>
      </c>
      <c r="KR130" s="672" t="e">
        <f t="shared" si="671"/>
        <v>#DIV/0!</v>
      </c>
      <c r="KS130" s="600" t="e">
        <f t="shared" si="819"/>
        <v>#DIV/0!</v>
      </c>
      <c r="KT130" s="672" t="e">
        <f t="shared" si="672"/>
        <v>#DIV/0!</v>
      </c>
      <c r="KU130" s="676" t="e">
        <f t="shared" si="673"/>
        <v>#DIV/0!</v>
      </c>
      <c r="KV130" s="668"/>
      <c r="KW130" s="669"/>
      <c r="KX130" s="670"/>
      <c r="KY130" s="671"/>
      <c r="KZ130" s="678"/>
      <c r="LA130" s="650"/>
      <c r="LB130" s="651">
        <f t="shared" si="820"/>
        <v>0</v>
      </c>
      <c r="LC130" s="619" t="e">
        <f t="shared" si="674"/>
        <v>#DIV/0!</v>
      </c>
      <c r="LD130" s="674" t="e">
        <f t="shared" si="675"/>
        <v>#DIV/0!</v>
      </c>
      <c r="LE130" s="599" t="e">
        <f>LD130-AVERAGE(LL94:LL95)</f>
        <v>#DIV/0!</v>
      </c>
      <c r="LF130" s="672" t="e">
        <f t="shared" si="676"/>
        <v>#DIV/0!</v>
      </c>
      <c r="LG130" s="675" t="e">
        <f t="shared" si="677"/>
        <v>#DIV/0!</v>
      </c>
      <c r="LH130" s="614" t="e">
        <f t="shared" si="678"/>
        <v>#DIV/0!</v>
      </c>
      <c r="LI130" s="672" t="e">
        <f t="shared" si="679"/>
        <v>#DIV/0!</v>
      </c>
      <c r="LJ130" s="600" t="e">
        <f t="shared" si="821"/>
        <v>#DIV/0!</v>
      </c>
      <c r="LK130" s="672" t="e">
        <f t="shared" si="680"/>
        <v>#DIV/0!</v>
      </c>
      <c r="LL130" s="676" t="e">
        <f t="shared" si="681"/>
        <v>#DIV/0!</v>
      </c>
      <c r="LM130" s="668"/>
      <c r="LN130" s="669"/>
      <c r="LO130" s="670"/>
      <c r="LP130" s="671"/>
      <c r="LQ130" s="678"/>
      <c r="LR130" s="650"/>
      <c r="LS130" s="651">
        <f t="shared" si="822"/>
        <v>0</v>
      </c>
      <c r="LT130" s="619" t="e">
        <f t="shared" si="682"/>
        <v>#DIV/0!</v>
      </c>
      <c r="LU130" s="674" t="e">
        <f t="shared" si="683"/>
        <v>#DIV/0!</v>
      </c>
      <c r="LV130" s="599" t="e">
        <f>LU130-AVERAGE(MC94:MC95)</f>
        <v>#DIV/0!</v>
      </c>
      <c r="LW130" s="672" t="e">
        <f t="shared" si="684"/>
        <v>#DIV/0!</v>
      </c>
      <c r="LX130" s="675" t="e">
        <f t="shared" si="685"/>
        <v>#DIV/0!</v>
      </c>
      <c r="LY130" s="614" t="e">
        <f t="shared" si="686"/>
        <v>#DIV/0!</v>
      </c>
      <c r="LZ130" s="672" t="e">
        <f t="shared" si="687"/>
        <v>#DIV/0!</v>
      </c>
      <c r="MA130" s="600" t="e">
        <f t="shared" si="823"/>
        <v>#DIV/0!</v>
      </c>
      <c r="MB130" s="672" t="e">
        <f t="shared" si="688"/>
        <v>#DIV/0!</v>
      </c>
      <c r="MC130" s="676" t="e">
        <f t="shared" si="689"/>
        <v>#DIV/0!</v>
      </c>
      <c r="MD130" s="668"/>
      <c r="ME130" s="669"/>
      <c r="MF130" s="680"/>
      <c r="MG130" s="671"/>
      <c r="MH130" s="673"/>
      <c r="MI130" s="650"/>
      <c r="MJ130" s="651">
        <f t="shared" si="824"/>
        <v>0</v>
      </c>
      <c r="MK130" s="619" t="e">
        <f t="shared" si="690"/>
        <v>#DIV/0!</v>
      </c>
      <c r="ML130" s="674" t="e">
        <f t="shared" si="691"/>
        <v>#DIV/0!</v>
      </c>
      <c r="MM130" s="599" t="e">
        <f>ML130-AVERAGE(MT94:MT95)</f>
        <v>#DIV/0!</v>
      </c>
      <c r="MN130" s="672" t="e">
        <f t="shared" si="692"/>
        <v>#DIV/0!</v>
      </c>
      <c r="MO130" s="675" t="e">
        <f t="shared" si="693"/>
        <v>#DIV/0!</v>
      </c>
      <c r="MP130" s="614" t="e">
        <f t="shared" si="694"/>
        <v>#DIV/0!</v>
      </c>
      <c r="MQ130" s="672" t="e">
        <f t="shared" si="695"/>
        <v>#DIV/0!</v>
      </c>
      <c r="MR130" s="600" t="e">
        <f t="shared" si="825"/>
        <v>#DIV/0!</v>
      </c>
      <c r="MS130" s="672" t="e">
        <f t="shared" si="696"/>
        <v>#DIV/0!</v>
      </c>
      <c r="MT130" s="676" t="e">
        <f t="shared" si="697"/>
        <v>#DIV/0!</v>
      </c>
      <c r="MU130" s="668">
        <v>20.7</v>
      </c>
      <c r="MV130" s="669">
        <v>53</v>
      </c>
      <c r="MW130" s="680">
        <v>1007</v>
      </c>
      <c r="MX130" s="671">
        <v>-5.6459999999999998E-11</v>
      </c>
      <c r="MY130" s="678">
        <v>60</v>
      </c>
      <c r="MZ130" s="663">
        <v>43403</v>
      </c>
      <c r="NA130" s="651" t="str">
        <f t="shared" si="826"/>
        <v>rango cal. out</v>
      </c>
      <c r="NB130" s="619">
        <f t="shared" si="698"/>
        <v>0</v>
      </c>
      <c r="NC130" s="674" t="e">
        <f t="shared" si="699"/>
        <v>#VALUE!</v>
      </c>
      <c r="ND130" s="599" t="e">
        <f>NC130-AVERAGE(NK94:NK95)</f>
        <v>#VALUE!</v>
      </c>
      <c r="NE130" s="672" t="e">
        <f t="shared" si="700"/>
        <v>#VALUE!</v>
      </c>
      <c r="NF130" s="675" t="e">
        <f t="shared" si="701"/>
        <v>#VALUE!</v>
      </c>
      <c r="NG130" s="614" t="e">
        <f t="shared" si="702"/>
        <v>#VALUE!</v>
      </c>
      <c r="NH130" s="672" t="e">
        <f t="shared" si="703"/>
        <v>#VALUE!</v>
      </c>
      <c r="NI130" s="600" t="e">
        <f t="shared" si="827"/>
        <v>#VALUE!</v>
      </c>
      <c r="NJ130" s="672" t="e">
        <f t="shared" si="704"/>
        <v>#VALUE!</v>
      </c>
      <c r="NK130" s="676" t="e">
        <f t="shared" si="705"/>
        <v>#VALUE!</v>
      </c>
      <c r="NL130" s="668"/>
      <c r="NM130" s="669"/>
      <c r="NN130" s="670"/>
      <c r="NO130" s="671"/>
      <c r="NP130" s="678"/>
      <c r="NQ130" s="650"/>
      <c r="NR130" s="651">
        <f t="shared" si="828"/>
        <v>0</v>
      </c>
      <c r="NS130" s="619" t="e">
        <f t="shared" si="706"/>
        <v>#DIV/0!</v>
      </c>
      <c r="NT130" s="674" t="e">
        <f t="shared" si="707"/>
        <v>#DIV/0!</v>
      </c>
      <c r="NU130" s="599" t="e">
        <f>NT130-AVERAGE(OB94:OB95)</f>
        <v>#DIV/0!</v>
      </c>
      <c r="NV130" s="672" t="e">
        <f t="shared" si="708"/>
        <v>#DIV/0!</v>
      </c>
      <c r="NW130" s="675" t="e">
        <f t="shared" si="709"/>
        <v>#DIV/0!</v>
      </c>
      <c r="NX130" s="614" t="e">
        <f t="shared" si="710"/>
        <v>#DIV/0!</v>
      </c>
      <c r="NY130" s="672" t="e">
        <f t="shared" si="711"/>
        <v>#DIV/0!</v>
      </c>
      <c r="NZ130" s="600" t="e">
        <f t="shared" si="829"/>
        <v>#DIV/0!</v>
      </c>
      <c r="OA130" s="672" t="e">
        <f t="shared" si="712"/>
        <v>#DIV/0!</v>
      </c>
      <c r="OB130" s="676" t="e">
        <f t="shared" si="713"/>
        <v>#DIV/0!</v>
      </c>
      <c r="OC130" s="668">
        <v>20.5</v>
      </c>
      <c r="OD130" s="669">
        <v>52</v>
      </c>
      <c r="OE130" s="680">
        <v>1007</v>
      </c>
      <c r="OF130" s="671">
        <v>-1.307E-10</v>
      </c>
      <c r="OG130" s="673">
        <v>60</v>
      </c>
      <c r="OH130" s="663">
        <v>43403</v>
      </c>
      <c r="OI130" s="651" t="str">
        <f t="shared" si="830"/>
        <v>rango cal. out</v>
      </c>
      <c r="OJ130" s="619">
        <f t="shared" si="714"/>
        <v>0</v>
      </c>
      <c r="OK130" s="674" t="e">
        <f t="shared" si="715"/>
        <v>#VALUE!</v>
      </c>
      <c r="OL130" s="599" t="e">
        <f>OK130-AVERAGE(OS94:OS95)</f>
        <v>#VALUE!</v>
      </c>
      <c r="OM130" s="672" t="e">
        <f t="shared" si="716"/>
        <v>#VALUE!</v>
      </c>
      <c r="ON130" s="675" t="e">
        <f t="shared" si="717"/>
        <v>#VALUE!</v>
      </c>
      <c r="OO130" s="614" t="e">
        <f t="shared" si="718"/>
        <v>#VALUE!</v>
      </c>
      <c r="OP130" s="672" t="e">
        <f t="shared" si="719"/>
        <v>#VALUE!</v>
      </c>
      <c r="OQ130" s="600" t="e">
        <f t="shared" si="831"/>
        <v>#VALUE!</v>
      </c>
      <c r="OR130" s="672" t="e">
        <f t="shared" si="720"/>
        <v>#VALUE!</v>
      </c>
      <c r="OS130" s="676" t="e">
        <f t="shared" si="721"/>
        <v>#VALUE!</v>
      </c>
      <c r="OT130" s="668"/>
      <c r="OU130" s="669"/>
      <c r="OV130" s="670"/>
      <c r="OW130" s="671"/>
      <c r="OX130" s="678"/>
      <c r="OY130" s="650"/>
      <c r="OZ130" s="651">
        <f t="shared" si="832"/>
        <v>0</v>
      </c>
      <c r="PA130" s="619" t="e">
        <f t="shared" si="722"/>
        <v>#DIV/0!</v>
      </c>
      <c r="PB130" s="674" t="e">
        <f t="shared" si="723"/>
        <v>#DIV/0!</v>
      </c>
      <c r="PC130" s="599" t="e">
        <f>PB130-AVERAGE(PJ94:PJ95)</f>
        <v>#DIV/0!</v>
      </c>
      <c r="PD130" s="672" t="e">
        <f t="shared" si="724"/>
        <v>#DIV/0!</v>
      </c>
      <c r="PE130" s="675" t="e">
        <f t="shared" si="725"/>
        <v>#DIV/0!</v>
      </c>
      <c r="PF130" s="614" t="e">
        <f t="shared" si="726"/>
        <v>#DIV/0!</v>
      </c>
      <c r="PG130" s="672" t="e">
        <f t="shared" si="727"/>
        <v>#DIV/0!</v>
      </c>
      <c r="PH130" s="600" t="e">
        <f t="shared" si="833"/>
        <v>#DIV/0!</v>
      </c>
      <c r="PI130" s="672" t="e">
        <f t="shared" si="728"/>
        <v>#DIV/0!</v>
      </c>
      <c r="PJ130" s="676" t="e">
        <f t="shared" si="729"/>
        <v>#DIV/0!</v>
      </c>
      <c r="PK130" s="668"/>
      <c r="PL130" s="669"/>
      <c r="PM130" s="670"/>
      <c r="PN130" s="671"/>
      <c r="PO130" s="678"/>
      <c r="PP130" s="650"/>
      <c r="PQ130" s="651">
        <f t="shared" si="834"/>
        <v>0</v>
      </c>
      <c r="PR130" s="619" t="e">
        <f t="shared" si="730"/>
        <v>#DIV/0!</v>
      </c>
      <c r="PS130" s="674" t="e">
        <f t="shared" si="731"/>
        <v>#DIV/0!</v>
      </c>
      <c r="PT130" s="599" t="e">
        <f>PS130-AVERAGE(QA94:QA95)</f>
        <v>#DIV/0!</v>
      </c>
      <c r="PU130" s="672" t="e">
        <f t="shared" si="732"/>
        <v>#DIV/0!</v>
      </c>
      <c r="PV130" s="675" t="e">
        <f t="shared" si="733"/>
        <v>#DIV/0!</v>
      </c>
      <c r="PW130" s="614" t="e">
        <f t="shared" si="734"/>
        <v>#DIV/0!</v>
      </c>
      <c r="PX130" s="672" t="e">
        <f t="shared" si="735"/>
        <v>#DIV/0!</v>
      </c>
      <c r="PY130" s="600" t="e">
        <f t="shared" si="835"/>
        <v>#DIV/0!</v>
      </c>
      <c r="PZ130" s="672" t="e">
        <f t="shared" si="736"/>
        <v>#DIV/0!</v>
      </c>
      <c r="QA130" s="676" t="e">
        <f t="shared" si="737"/>
        <v>#DIV/0!</v>
      </c>
      <c r="QB130" s="668"/>
      <c r="QC130" s="669"/>
      <c r="QD130" s="666"/>
      <c r="QE130" s="671"/>
      <c r="QF130" s="667"/>
      <c r="QG130" s="650"/>
      <c r="QH130" s="651">
        <f t="shared" si="836"/>
        <v>0</v>
      </c>
      <c r="QI130" s="619" t="e">
        <f t="shared" si="738"/>
        <v>#DIV/0!</v>
      </c>
      <c r="QJ130" s="674" t="e">
        <f t="shared" si="739"/>
        <v>#DIV/0!</v>
      </c>
      <c r="QK130" s="599" t="e">
        <f>QJ130-AVERAGE(QR94:QR95)</f>
        <v>#DIV/0!</v>
      </c>
      <c r="QL130" s="672" t="e">
        <f t="shared" si="740"/>
        <v>#DIV/0!</v>
      </c>
      <c r="QM130" s="675" t="e">
        <f t="shared" si="741"/>
        <v>#DIV/0!</v>
      </c>
      <c r="QN130" s="614" t="e">
        <f t="shared" si="742"/>
        <v>#DIV/0!</v>
      </c>
      <c r="QO130" s="672" t="e">
        <f t="shared" si="743"/>
        <v>#DIV/0!</v>
      </c>
      <c r="QP130" s="600" t="e">
        <f t="shared" si="837"/>
        <v>#DIV/0!</v>
      </c>
      <c r="QQ130" s="672" t="e">
        <f t="shared" si="744"/>
        <v>#DIV/0!</v>
      </c>
      <c r="QR130" s="676" t="e">
        <f t="shared" si="745"/>
        <v>#DIV/0!</v>
      </c>
      <c r="QS130" s="668"/>
      <c r="QT130" s="669"/>
      <c r="QU130" s="669"/>
      <c r="QV130" s="679"/>
      <c r="QW130" s="673"/>
      <c r="QX130" s="650"/>
      <c r="QY130" s="651">
        <f t="shared" si="838"/>
        <v>0</v>
      </c>
      <c r="QZ130" s="619" t="e">
        <f t="shared" si="746"/>
        <v>#DIV/0!</v>
      </c>
      <c r="RA130" s="674" t="e">
        <f t="shared" si="747"/>
        <v>#DIV/0!</v>
      </c>
      <c r="RB130" s="599" t="e">
        <f>RA130-AVERAGE(RI94:RI95)</f>
        <v>#DIV/0!</v>
      </c>
      <c r="RC130" s="672" t="e">
        <f t="shared" si="748"/>
        <v>#DIV/0!</v>
      </c>
      <c r="RD130" s="675" t="e">
        <f t="shared" si="749"/>
        <v>#DIV/0!</v>
      </c>
      <c r="RE130" s="614" t="e">
        <f t="shared" si="750"/>
        <v>#DIV/0!</v>
      </c>
      <c r="RF130" s="672" t="e">
        <f t="shared" si="751"/>
        <v>#DIV/0!</v>
      </c>
      <c r="RG130" s="600" t="e">
        <f t="shared" si="839"/>
        <v>#DIV/0!</v>
      </c>
      <c r="RH130" s="672" t="e">
        <f t="shared" si="752"/>
        <v>#DIV/0!</v>
      </c>
      <c r="RI130" s="676" t="e">
        <f t="shared" si="753"/>
        <v>#DIV/0!</v>
      </c>
      <c r="RJ130" s="668">
        <v>20.5</v>
      </c>
      <c r="RK130" s="669">
        <v>53</v>
      </c>
      <c r="RL130" s="680">
        <v>1007</v>
      </c>
      <c r="RM130" s="671">
        <v>-6.0900000000000001E-12</v>
      </c>
      <c r="RN130" s="673">
        <v>60</v>
      </c>
      <c r="RO130" s="663">
        <v>43403</v>
      </c>
      <c r="RP130" s="651" t="str">
        <f t="shared" si="840"/>
        <v>rango cal. out</v>
      </c>
      <c r="RQ130" s="619">
        <f t="shared" si="754"/>
        <v>0</v>
      </c>
      <c r="RR130" s="674" t="e">
        <f t="shared" si="755"/>
        <v>#VALUE!</v>
      </c>
      <c r="RS130" s="599" t="e">
        <f>RR130-AVERAGE(RZ94:RZ95)</f>
        <v>#VALUE!</v>
      </c>
      <c r="RT130" s="672" t="e">
        <f t="shared" si="756"/>
        <v>#VALUE!</v>
      </c>
      <c r="RU130" s="675" t="e">
        <f t="shared" si="757"/>
        <v>#VALUE!</v>
      </c>
      <c r="RV130" s="614" t="e">
        <f t="shared" si="758"/>
        <v>#VALUE!</v>
      </c>
      <c r="RW130" s="672" t="e">
        <f t="shared" si="759"/>
        <v>#VALUE!</v>
      </c>
      <c r="RX130" s="600" t="e">
        <f t="shared" si="841"/>
        <v>#VALUE!</v>
      </c>
      <c r="RY130" s="672" t="e">
        <f t="shared" si="760"/>
        <v>#VALUE!</v>
      </c>
      <c r="RZ130" s="676" t="e">
        <f t="shared" si="761"/>
        <v>#VALUE!</v>
      </c>
      <c r="SA130" s="668">
        <v>20.5</v>
      </c>
      <c r="SB130" s="669">
        <v>54</v>
      </c>
      <c r="SC130" s="680">
        <v>1008</v>
      </c>
      <c r="SD130" s="671">
        <v>-3.2500000000000002E-10</v>
      </c>
      <c r="SE130" s="673">
        <v>60</v>
      </c>
      <c r="SF130" s="663">
        <v>43403</v>
      </c>
      <c r="SG130" s="651" t="str">
        <f t="shared" si="842"/>
        <v>rango cal. out</v>
      </c>
      <c r="SH130" s="619">
        <f t="shared" si="762"/>
        <v>0</v>
      </c>
      <c r="SI130" s="674" t="e">
        <f t="shared" si="763"/>
        <v>#VALUE!</v>
      </c>
      <c r="SJ130" s="599" t="e">
        <f>SI130-AVERAGE(SQ94:SQ95)</f>
        <v>#VALUE!</v>
      </c>
      <c r="SK130" s="672" t="e">
        <f t="shared" si="764"/>
        <v>#VALUE!</v>
      </c>
      <c r="SL130" s="675" t="e">
        <f t="shared" si="765"/>
        <v>#VALUE!</v>
      </c>
      <c r="SM130" s="614" t="e">
        <f t="shared" si="766"/>
        <v>#VALUE!</v>
      </c>
      <c r="SN130" s="672" t="e">
        <f t="shared" si="767"/>
        <v>#VALUE!</v>
      </c>
      <c r="SO130" s="600" t="e">
        <f t="shared" si="843"/>
        <v>#VALUE!</v>
      </c>
      <c r="SP130" s="672" t="e">
        <f t="shared" si="768"/>
        <v>#VALUE!</v>
      </c>
      <c r="SQ130" s="676" t="e">
        <f t="shared" si="769"/>
        <v>#VALUE!</v>
      </c>
      <c r="SR130" s="668"/>
      <c r="SS130" s="669"/>
      <c r="ST130" s="670"/>
      <c r="SU130" s="671"/>
      <c r="SV130" s="678"/>
      <c r="SW130" s="650"/>
      <c r="SX130" s="651">
        <f t="shared" si="844"/>
        <v>0</v>
      </c>
      <c r="SY130" s="619" t="e">
        <f t="shared" si="770"/>
        <v>#DIV/0!</v>
      </c>
      <c r="SZ130" s="674" t="e">
        <f t="shared" si="771"/>
        <v>#DIV/0!</v>
      </c>
      <c r="TA130" s="599" t="e">
        <f>SZ130-AVERAGE(TH94:TH95)</f>
        <v>#DIV/0!</v>
      </c>
      <c r="TB130" s="672" t="e">
        <f t="shared" si="772"/>
        <v>#DIV/0!</v>
      </c>
      <c r="TC130" s="675" t="e">
        <f t="shared" si="773"/>
        <v>#DIV/0!</v>
      </c>
      <c r="TD130" s="614" t="e">
        <f t="shared" si="774"/>
        <v>#DIV/0!</v>
      </c>
      <c r="TE130" s="672" t="e">
        <f t="shared" si="775"/>
        <v>#DIV/0!</v>
      </c>
      <c r="TF130" s="600" t="e">
        <f t="shared" si="845"/>
        <v>#DIV/0!</v>
      </c>
      <c r="TG130" s="672" t="e">
        <f t="shared" si="776"/>
        <v>#DIV/0!</v>
      </c>
      <c r="TH130" s="676" t="e">
        <f t="shared" si="777"/>
        <v>#DIV/0!</v>
      </c>
      <c r="TI130" s="668">
        <v>20.5</v>
      </c>
      <c r="TJ130" s="669">
        <v>55</v>
      </c>
      <c r="TK130" s="680">
        <v>1008</v>
      </c>
      <c r="TL130" s="671">
        <v>-1.3530000000000001E-11</v>
      </c>
      <c r="TM130" s="673">
        <v>60</v>
      </c>
      <c r="TN130" s="663">
        <v>43403</v>
      </c>
      <c r="TO130" s="651" t="str">
        <f t="shared" si="846"/>
        <v>rango cal. out</v>
      </c>
      <c r="TP130" s="619">
        <f t="shared" si="778"/>
        <v>0</v>
      </c>
      <c r="TQ130" s="674" t="e">
        <f t="shared" si="779"/>
        <v>#VALUE!</v>
      </c>
      <c r="TR130" s="599" t="e">
        <f>TQ130-AVERAGE(TY94:TY95)</f>
        <v>#VALUE!</v>
      </c>
      <c r="TS130" s="672" t="e">
        <f t="shared" si="780"/>
        <v>#VALUE!</v>
      </c>
      <c r="TT130" s="675" t="e">
        <f t="shared" si="781"/>
        <v>#VALUE!</v>
      </c>
      <c r="TU130" s="614" t="e">
        <f t="shared" si="782"/>
        <v>#VALUE!</v>
      </c>
      <c r="TV130" s="672" t="e">
        <f t="shared" si="783"/>
        <v>#VALUE!</v>
      </c>
      <c r="TW130" s="600" t="e">
        <f t="shared" si="847"/>
        <v>#VALUE!</v>
      </c>
      <c r="TX130" s="672" t="e">
        <f t="shared" si="784"/>
        <v>#VALUE!</v>
      </c>
      <c r="TY130" s="676" t="e">
        <f t="shared" si="785"/>
        <v>#VALUE!</v>
      </c>
    </row>
    <row r="131" spans="1:545" x14ac:dyDescent="0.25">
      <c r="A131" s="2219"/>
      <c r="B131" s="668"/>
      <c r="C131" s="673"/>
      <c r="D131" s="673"/>
      <c r="E131" s="671"/>
      <c r="F131" s="673"/>
      <c r="G131" s="650"/>
      <c r="H131" s="651"/>
      <c r="I131" s="619"/>
      <c r="J131" s="674"/>
      <c r="K131" s="599"/>
      <c r="L131" s="672"/>
      <c r="M131" s="675"/>
      <c r="N131" s="614"/>
      <c r="O131" s="672"/>
      <c r="P131" s="600"/>
      <c r="Q131" s="672"/>
      <c r="R131" s="676"/>
      <c r="S131" s="677"/>
      <c r="T131" s="669"/>
      <c r="U131" s="670"/>
      <c r="V131" s="671"/>
      <c r="W131" s="678"/>
      <c r="X131" s="650"/>
      <c r="Y131" s="651">
        <f t="shared" si="786"/>
        <v>0</v>
      </c>
      <c r="Z131" s="619" t="e">
        <f t="shared" si="538"/>
        <v>#DIV/0!</v>
      </c>
      <c r="AA131" s="674" t="e">
        <f t="shared" si="539"/>
        <v>#DIV/0!</v>
      </c>
      <c r="AB131" s="599" t="e">
        <f>AA131-AVERAGE(AI94:AI95)</f>
        <v>#DIV/0!</v>
      </c>
      <c r="AC131" s="672" t="e">
        <f t="shared" si="540"/>
        <v>#DIV/0!</v>
      </c>
      <c r="AD131" s="675" t="e">
        <f t="shared" si="541"/>
        <v>#DIV/0!</v>
      </c>
      <c r="AE131" s="614" t="e">
        <f t="shared" si="542"/>
        <v>#DIV/0!</v>
      </c>
      <c r="AF131" s="672" t="e">
        <f t="shared" si="543"/>
        <v>#DIV/0!</v>
      </c>
      <c r="AG131" s="600" t="e">
        <f t="shared" si="787"/>
        <v>#DIV/0!</v>
      </c>
      <c r="AH131" s="672" t="e">
        <f t="shared" si="544"/>
        <v>#DIV/0!</v>
      </c>
      <c r="AI131" s="676" t="e">
        <f t="shared" si="545"/>
        <v>#DIV/0!</v>
      </c>
      <c r="AJ131" s="677"/>
      <c r="AK131" s="669"/>
      <c r="AL131" s="670"/>
      <c r="AM131" s="671"/>
      <c r="AN131" s="678"/>
      <c r="AO131" s="650"/>
      <c r="AP131" s="651">
        <f t="shared" si="788"/>
        <v>0</v>
      </c>
      <c r="AQ131" s="619" t="e">
        <f t="shared" si="546"/>
        <v>#DIV/0!</v>
      </c>
      <c r="AR131" s="674" t="e">
        <f t="shared" si="547"/>
        <v>#DIV/0!</v>
      </c>
      <c r="AS131" s="599" t="e">
        <f>AR131-AVERAGE(AZ94:AZ95)</f>
        <v>#DIV/0!</v>
      </c>
      <c r="AT131" s="672" t="e">
        <f t="shared" si="548"/>
        <v>#DIV/0!</v>
      </c>
      <c r="AU131" s="675" t="e">
        <f t="shared" si="549"/>
        <v>#DIV/0!</v>
      </c>
      <c r="AV131" s="614" t="e">
        <f t="shared" si="550"/>
        <v>#DIV/0!</v>
      </c>
      <c r="AW131" s="672" t="e">
        <f t="shared" si="551"/>
        <v>#DIV/0!</v>
      </c>
      <c r="AX131" s="600" t="e">
        <f t="shared" si="789"/>
        <v>#DIV/0!</v>
      </c>
      <c r="AY131" s="672" t="e">
        <f t="shared" si="552"/>
        <v>#DIV/0!</v>
      </c>
      <c r="AZ131" s="676" t="e">
        <f t="shared" si="553"/>
        <v>#DIV/0!</v>
      </c>
      <c r="BA131" s="668">
        <v>20.6</v>
      </c>
      <c r="BB131" s="669">
        <v>51</v>
      </c>
      <c r="BC131" s="680">
        <v>1009</v>
      </c>
      <c r="BD131" s="671">
        <v>-8.4469999999999999E-10</v>
      </c>
      <c r="BE131" s="673">
        <v>60</v>
      </c>
      <c r="BF131" s="650">
        <v>43403</v>
      </c>
      <c r="BG131" s="651" t="str">
        <f t="shared" si="790"/>
        <v>rango cal. out</v>
      </c>
      <c r="BH131" s="619">
        <f t="shared" si="554"/>
        <v>0</v>
      </c>
      <c r="BI131" s="674" t="e">
        <f t="shared" si="555"/>
        <v>#VALUE!</v>
      </c>
      <c r="BJ131" s="599" t="e">
        <f>BI131-AVERAGE(BQ94:BQ95)</f>
        <v>#VALUE!</v>
      </c>
      <c r="BK131" s="672" t="e">
        <f t="shared" si="556"/>
        <v>#VALUE!</v>
      </c>
      <c r="BL131" s="675" t="e">
        <f t="shared" si="557"/>
        <v>#VALUE!</v>
      </c>
      <c r="BM131" s="614" t="e">
        <f t="shared" si="558"/>
        <v>#VALUE!</v>
      </c>
      <c r="BN131" s="672" t="e">
        <f t="shared" si="559"/>
        <v>#VALUE!</v>
      </c>
      <c r="BO131" s="600" t="e">
        <f t="shared" si="791"/>
        <v>#VALUE!</v>
      </c>
      <c r="BP131" s="672" t="e">
        <f t="shared" si="560"/>
        <v>#VALUE!</v>
      </c>
      <c r="BQ131" s="676" t="e">
        <f t="shared" si="561"/>
        <v>#VALUE!</v>
      </c>
      <c r="BR131" s="668">
        <v>20.5</v>
      </c>
      <c r="BS131" s="669">
        <v>51</v>
      </c>
      <c r="BT131" s="666">
        <v>1008</v>
      </c>
      <c r="BU131" s="671">
        <v>-3.4429999999999998E-11</v>
      </c>
      <c r="BV131" s="667">
        <v>60</v>
      </c>
      <c r="BW131" s="663">
        <v>43403</v>
      </c>
      <c r="BX131" s="651" t="str">
        <f t="shared" si="792"/>
        <v>rango cal. out</v>
      </c>
      <c r="BY131" s="619">
        <f t="shared" si="562"/>
        <v>0</v>
      </c>
      <c r="BZ131" s="674" t="e">
        <f t="shared" si="563"/>
        <v>#VALUE!</v>
      </c>
      <c r="CA131" s="599" t="e">
        <f>BZ131-AVERAGE(CH94:CH95)</f>
        <v>#VALUE!</v>
      </c>
      <c r="CB131" s="672" t="e">
        <f t="shared" si="564"/>
        <v>#VALUE!</v>
      </c>
      <c r="CC131" s="675" t="e">
        <f t="shared" si="565"/>
        <v>#VALUE!</v>
      </c>
      <c r="CD131" s="614" t="e">
        <f t="shared" si="566"/>
        <v>#VALUE!</v>
      </c>
      <c r="CE131" s="672" t="e">
        <f t="shared" si="567"/>
        <v>#VALUE!</v>
      </c>
      <c r="CF131" s="600" t="e">
        <f t="shared" si="793"/>
        <v>#VALUE!</v>
      </c>
      <c r="CG131" s="672" t="e">
        <f t="shared" si="568"/>
        <v>#VALUE!</v>
      </c>
      <c r="CH131" s="676" t="e">
        <f t="shared" si="569"/>
        <v>#VALUE!</v>
      </c>
      <c r="CI131" s="668">
        <v>20.3</v>
      </c>
      <c r="CJ131" s="669">
        <v>51</v>
      </c>
      <c r="CK131" s="666">
        <v>1007</v>
      </c>
      <c r="CL131" s="651">
        <v>-1.9719999999999998E-9</v>
      </c>
      <c r="CM131" s="667">
        <v>60</v>
      </c>
      <c r="CN131" s="663">
        <v>43403</v>
      </c>
      <c r="CO131" s="651" t="str">
        <f t="shared" si="794"/>
        <v>rango cal. out</v>
      </c>
      <c r="CP131" s="619">
        <f t="shared" si="570"/>
        <v>0</v>
      </c>
      <c r="CQ131" s="674" t="e">
        <f t="shared" si="571"/>
        <v>#VALUE!</v>
      </c>
      <c r="CR131" s="599" t="e">
        <f>CQ131-AVERAGE(CY94:CY95)</f>
        <v>#VALUE!</v>
      </c>
      <c r="CS131" s="672" t="e">
        <f t="shared" si="572"/>
        <v>#VALUE!</v>
      </c>
      <c r="CT131" s="675" t="e">
        <f t="shared" si="573"/>
        <v>#VALUE!</v>
      </c>
      <c r="CU131" s="614" t="e">
        <f t="shared" si="574"/>
        <v>#VALUE!</v>
      </c>
      <c r="CV131" s="672" t="e">
        <f t="shared" si="575"/>
        <v>#VALUE!</v>
      </c>
      <c r="CW131" s="600" t="e">
        <f t="shared" si="795"/>
        <v>#VALUE!</v>
      </c>
      <c r="CX131" s="672" t="e">
        <f t="shared" si="576"/>
        <v>#VALUE!</v>
      </c>
      <c r="CY131" s="676" t="e">
        <f t="shared" si="577"/>
        <v>#VALUE!</v>
      </c>
      <c r="CZ131" s="668"/>
      <c r="DA131" s="669"/>
      <c r="DB131" s="670"/>
      <c r="DC131" s="671"/>
      <c r="DD131" s="678"/>
      <c r="DE131" s="650"/>
      <c r="DF131" s="651">
        <f t="shared" si="796"/>
        <v>0</v>
      </c>
      <c r="DG131" s="619" t="e">
        <f t="shared" si="578"/>
        <v>#DIV/0!</v>
      </c>
      <c r="DH131" s="674" t="e">
        <f t="shared" si="579"/>
        <v>#DIV/0!</v>
      </c>
      <c r="DI131" s="599" t="e">
        <f>DH131-AVERAGE(DP94:DP95)</f>
        <v>#DIV/0!</v>
      </c>
      <c r="DJ131" s="672" t="e">
        <f t="shared" si="580"/>
        <v>#DIV/0!</v>
      </c>
      <c r="DK131" s="675" t="e">
        <f t="shared" si="581"/>
        <v>#DIV/0!</v>
      </c>
      <c r="DL131" s="614" t="e">
        <f t="shared" si="582"/>
        <v>#DIV/0!</v>
      </c>
      <c r="DM131" s="672" t="e">
        <f t="shared" si="583"/>
        <v>#DIV/0!</v>
      </c>
      <c r="DN131" s="600" t="e">
        <f t="shared" si="797"/>
        <v>#DIV/0!</v>
      </c>
      <c r="DO131" s="672" t="e">
        <f t="shared" si="584"/>
        <v>#DIV/0!</v>
      </c>
      <c r="DP131" s="676" t="e">
        <f t="shared" si="585"/>
        <v>#DIV/0!</v>
      </c>
      <c r="DQ131" s="668"/>
      <c r="DR131" s="669"/>
      <c r="DS131" s="677"/>
      <c r="DT131" s="679"/>
      <c r="DU131" s="678"/>
      <c r="DV131" s="650"/>
      <c r="DW131" s="651">
        <f t="shared" si="798"/>
        <v>0</v>
      </c>
      <c r="DX131" s="619" t="e">
        <f t="shared" si="586"/>
        <v>#DIV/0!</v>
      </c>
      <c r="DY131" s="674" t="e">
        <f t="shared" si="587"/>
        <v>#DIV/0!</v>
      </c>
      <c r="DZ131" s="599" t="e">
        <f>DY131-AVERAGE(EG94:EG95)</f>
        <v>#DIV/0!</v>
      </c>
      <c r="EA131" s="672" t="e">
        <f t="shared" si="588"/>
        <v>#DIV/0!</v>
      </c>
      <c r="EB131" s="675" t="e">
        <f t="shared" si="589"/>
        <v>#DIV/0!</v>
      </c>
      <c r="EC131" s="614" t="e">
        <f t="shared" si="590"/>
        <v>#DIV/0!</v>
      </c>
      <c r="ED131" s="672" t="e">
        <f t="shared" si="591"/>
        <v>#DIV/0!</v>
      </c>
      <c r="EE131" s="600" t="e">
        <f t="shared" si="799"/>
        <v>#DIV/0!</v>
      </c>
      <c r="EF131" s="672" t="e">
        <f t="shared" si="592"/>
        <v>#DIV/0!</v>
      </c>
      <c r="EG131" s="676" t="e">
        <f t="shared" si="593"/>
        <v>#DIV/0!</v>
      </c>
      <c r="EH131" s="668">
        <v>20.7</v>
      </c>
      <c r="EI131" s="669">
        <v>52</v>
      </c>
      <c r="EJ131" s="666">
        <v>1007</v>
      </c>
      <c r="EK131" s="651">
        <v>-2.76E-12</v>
      </c>
      <c r="EL131" s="667">
        <v>60</v>
      </c>
      <c r="EM131" s="663">
        <v>43403</v>
      </c>
      <c r="EN131" s="651" t="str">
        <f t="shared" si="800"/>
        <v>rango cal. out</v>
      </c>
      <c r="EO131" s="619">
        <f t="shared" si="594"/>
        <v>0</v>
      </c>
      <c r="EP131" s="674" t="e">
        <f t="shared" si="595"/>
        <v>#VALUE!</v>
      </c>
      <c r="EQ131" s="599" t="e">
        <f>EP131-AVERAGE(EX94:EX95)</f>
        <v>#VALUE!</v>
      </c>
      <c r="ER131" s="672" t="e">
        <f t="shared" si="596"/>
        <v>#VALUE!</v>
      </c>
      <c r="ES131" s="675" t="e">
        <f t="shared" si="597"/>
        <v>#VALUE!</v>
      </c>
      <c r="ET131" s="614" t="e">
        <f t="shared" si="598"/>
        <v>#VALUE!</v>
      </c>
      <c r="EU131" s="672" t="e">
        <f t="shared" si="599"/>
        <v>#VALUE!</v>
      </c>
      <c r="EV131" s="600" t="e">
        <f t="shared" si="801"/>
        <v>#VALUE!</v>
      </c>
      <c r="EW131" s="672" t="e">
        <f t="shared" si="600"/>
        <v>#VALUE!</v>
      </c>
      <c r="EX131" s="676" t="e">
        <f t="shared" si="601"/>
        <v>#VALUE!</v>
      </c>
      <c r="EY131" s="668"/>
      <c r="EZ131" s="669"/>
      <c r="FA131" s="670"/>
      <c r="FB131" s="671"/>
      <c r="FC131" s="678"/>
      <c r="FD131" s="650"/>
      <c r="FE131" s="651">
        <f t="shared" si="802"/>
        <v>0</v>
      </c>
      <c r="FF131" s="619" t="e">
        <f t="shared" si="602"/>
        <v>#DIV/0!</v>
      </c>
      <c r="FG131" s="674" t="e">
        <f t="shared" si="603"/>
        <v>#DIV/0!</v>
      </c>
      <c r="FH131" s="599" t="e">
        <f>FG131-AVERAGE(FO94:FO95)</f>
        <v>#DIV/0!</v>
      </c>
      <c r="FI131" s="672" t="e">
        <f t="shared" si="604"/>
        <v>#DIV/0!</v>
      </c>
      <c r="FJ131" s="675" t="e">
        <f t="shared" si="605"/>
        <v>#DIV/0!</v>
      </c>
      <c r="FK131" s="614" t="e">
        <f t="shared" si="606"/>
        <v>#DIV/0!</v>
      </c>
      <c r="FL131" s="672" t="e">
        <f t="shared" si="607"/>
        <v>#DIV/0!</v>
      </c>
      <c r="FM131" s="600" t="e">
        <f t="shared" si="803"/>
        <v>#DIV/0!</v>
      </c>
      <c r="FN131" s="672" t="e">
        <f t="shared" si="608"/>
        <v>#DIV/0!</v>
      </c>
      <c r="FO131" s="676" t="e">
        <f t="shared" si="609"/>
        <v>#DIV/0!</v>
      </c>
      <c r="FP131" s="668"/>
      <c r="FQ131" s="669"/>
      <c r="FR131" s="670"/>
      <c r="FS131" s="671"/>
      <c r="FT131" s="678"/>
      <c r="FU131" s="650"/>
      <c r="FV131" s="651">
        <f t="shared" si="804"/>
        <v>0</v>
      </c>
      <c r="FW131" s="619" t="e">
        <f t="shared" si="610"/>
        <v>#DIV/0!</v>
      </c>
      <c r="FX131" s="674" t="e">
        <f t="shared" si="611"/>
        <v>#DIV/0!</v>
      </c>
      <c r="FY131" s="599" t="e">
        <f>FX131-AVERAGE(GF94:GF95)</f>
        <v>#DIV/0!</v>
      </c>
      <c r="FZ131" s="672" t="e">
        <f t="shared" si="612"/>
        <v>#DIV/0!</v>
      </c>
      <c r="GA131" s="675" t="e">
        <f t="shared" si="613"/>
        <v>#DIV/0!</v>
      </c>
      <c r="GB131" s="614" t="e">
        <f t="shared" si="614"/>
        <v>#DIV/0!</v>
      </c>
      <c r="GC131" s="672" t="e">
        <f t="shared" si="615"/>
        <v>#DIV/0!</v>
      </c>
      <c r="GD131" s="600" t="e">
        <f t="shared" si="805"/>
        <v>#DIV/0!</v>
      </c>
      <c r="GE131" s="672" t="e">
        <f t="shared" si="616"/>
        <v>#DIV/0!</v>
      </c>
      <c r="GF131" s="676" t="e">
        <f t="shared" si="617"/>
        <v>#DIV/0!</v>
      </c>
      <c r="GG131" s="668"/>
      <c r="GH131" s="669"/>
      <c r="GI131" s="677"/>
      <c r="GJ131" s="679"/>
      <c r="GK131" s="678"/>
      <c r="GL131" s="650"/>
      <c r="GM131" s="651">
        <f t="shared" si="806"/>
        <v>0</v>
      </c>
      <c r="GN131" s="619" t="e">
        <f t="shared" si="618"/>
        <v>#DIV/0!</v>
      </c>
      <c r="GO131" s="674" t="e">
        <f t="shared" si="619"/>
        <v>#DIV/0!</v>
      </c>
      <c r="GP131" s="599" t="e">
        <f>GO131-AVERAGE(GW94:GW95)</f>
        <v>#DIV/0!</v>
      </c>
      <c r="GQ131" s="672" t="e">
        <f t="shared" si="620"/>
        <v>#DIV/0!</v>
      </c>
      <c r="GR131" s="675" t="e">
        <f t="shared" si="621"/>
        <v>#DIV/0!</v>
      </c>
      <c r="GS131" s="614" t="e">
        <f t="shared" si="622"/>
        <v>#DIV/0!</v>
      </c>
      <c r="GT131" s="672" t="e">
        <f t="shared" si="623"/>
        <v>#DIV/0!</v>
      </c>
      <c r="GU131" s="600" t="e">
        <f t="shared" si="807"/>
        <v>#DIV/0!</v>
      </c>
      <c r="GV131" s="672" t="e">
        <f t="shared" si="624"/>
        <v>#DIV/0!</v>
      </c>
      <c r="GW131" s="676" t="e">
        <f t="shared" si="625"/>
        <v>#DIV/0!</v>
      </c>
      <c r="GX131" s="668"/>
      <c r="GY131" s="669"/>
      <c r="GZ131" s="670"/>
      <c r="HA131" s="671"/>
      <c r="HB131" s="678"/>
      <c r="HC131" s="650"/>
      <c r="HD131" s="651">
        <f t="shared" si="808"/>
        <v>0</v>
      </c>
      <c r="HE131" s="619" t="e">
        <f t="shared" si="626"/>
        <v>#DIV/0!</v>
      </c>
      <c r="HF131" s="674" t="e">
        <f t="shared" si="627"/>
        <v>#DIV/0!</v>
      </c>
      <c r="HG131" s="599" t="e">
        <f>HF131-AVERAGE(HN94:HN95)</f>
        <v>#DIV/0!</v>
      </c>
      <c r="HH131" s="672" t="e">
        <f t="shared" si="628"/>
        <v>#DIV/0!</v>
      </c>
      <c r="HI131" s="675" t="e">
        <f t="shared" si="629"/>
        <v>#DIV/0!</v>
      </c>
      <c r="HJ131" s="614" t="e">
        <f t="shared" si="630"/>
        <v>#DIV/0!</v>
      </c>
      <c r="HK131" s="672" t="e">
        <f t="shared" si="631"/>
        <v>#DIV/0!</v>
      </c>
      <c r="HL131" s="600" t="e">
        <f t="shared" si="809"/>
        <v>#DIV/0!</v>
      </c>
      <c r="HM131" s="672" t="e">
        <f t="shared" si="632"/>
        <v>#DIV/0!</v>
      </c>
      <c r="HN131" s="676" t="e">
        <f t="shared" si="633"/>
        <v>#DIV/0!</v>
      </c>
      <c r="HO131" s="668"/>
      <c r="HP131" s="669"/>
      <c r="HQ131" s="670"/>
      <c r="HR131" s="671"/>
      <c r="HS131" s="678"/>
      <c r="HT131" s="650"/>
      <c r="HU131" s="651">
        <f t="shared" si="810"/>
        <v>0</v>
      </c>
      <c r="HV131" s="619" t="e">
        <f t="shared" si="634"/>
        <v>#DIV/0!</v>
      </c>
      <c r="HW131" s="674" t="e">
        <f t="shared" si="635"/>
        <v>#DIV/0!</v>
      </c>
      <c r="HX131" s="599" t="e">
        <f>HW131-AVERAGE(IE94:IE95)</f>
        <v>#DIV/0!</v>
      </c>
      <c r="HY131" s="672" t="e">
        <f t="shared" si="636"/>
        <v>#DIV/0!</v>
      </c>
      <c r="HZ131" s="675" t="e">
        <f t="shared" si="637"/>
        <v>#DIV/0!</v>
      </c>
      <c r="IA131" s="614" t="e">
        <f t="shared" si="638"/>
        <v>#DIV/0!</v>
      </c>
      <c r="IB131" s="672" t="e">
        <f t="shared" si="639"/>
        <v>#DIV/0!</v>
      </c>
      <c r="IC131" s="600" t="e">
        <f t="shared" si="811"/>
        <v>#DIV/0!</v>
      </c>
      <c r="ID131" s="672" t="e">
        <f t="shared" si="640"/>
        <v>#DIV/0!</v>
      </c>
      <c r="IE131" s="676" t="e">
        <f t="shared" si="641"/>
        <v>#DIV/0!</v>
      </c>
      <c r="IF131" s="668"/>
      <c r="IG131" s="669"/>
      <c r="IH131" s="670"/>
      <c r="II131" s="671"/>
      <c r="IJ131" s="678"/>
      <c r="IK131" s="650"/>
      <c r="IL131" s="651">
        <f t="shared" si="812"/>
        <v>0</v>
      </c>
      <c r="IM131" s="619" t="e">
        <f t="shared" si="642"/>
        <v>#DIV/0!</v>
      </c>
      <c r="IN131" s="674" t="e">
        <f t="shared" si="643"/>
        <v>#DIV/0!</v>
      </c>
      <c r="IO131" s="599" t="e">
        <f>IN131-AVERAGE(IV94:IV95)</f>
        <v>#DIV/0!</v>
      </c>
      <c r="IP131" s="672" t="e">
        <f t="shared" si="644"/>
        <v>#DIV/0!</v>
      </c>
      <c r="IQ131" s="675" t="e">
        <f t="shared" si="645"/>
        <v>#DIV/0!</v>
      </c>
      <c r="IR131" s="614" t="e">
        <f t="shared" si="646"/>
        <v>#DIV/0!</v>
      </c>
      <c r="IS131" s="672" t="e">
        <f t="shared" si="647"/>
        <v>#DIV/0!</v>
      </c>
      <c r="IT131" s="600" t="e">
        <f t="shared" si="813"/>
        <v>#DIV/0!</v>
      </c>
      <c r="IU131" s="672" t="e">
        <f t="shared" si="648"/>
        <v>#DIV/0!</v>
      </c>
      <c r="IV131" s="676" t="e">
        <f t="shared" si="649"/>
        <v>#DIV/0!</v>
      </c>
      <c r="IW131" s="668"/>
      <c r="IX131" s="669"/>
      <c r="IY131" s="670"/>
      <c r="IZ131" s="671"/>
      <c r="JA131" s="678"/>
      <c r="JB131" s="650"/>
      <c r="JC131" s="651">
        <f t="shared" si="814"/>
        <v>0</v>
      </c>
      <c r="JD131" s="619" t="e">
        <f t="shared" si="650"/>
        <v>#DIV/0!</v>
      </c>
      <c r="JE131" s="674" t="e">
        <f t="shared" si="651"/>
        <v>#DIV/0!</v>
      </c>
      <c r="JF131" s="599" t="e">
        <f>JE131-AVERAGE(JM94:JM95)</f>
        <v>#DIV/0!</v>
      </c>
      <c r="JG131" s="672" t="e">
        <f t="shared" si="652"/>
        <v>#DIV/0!</v>
      </c>
      <c r="JH131" s="675" t="e">
        <f t="shared" si="653"/>
        <v>#DIV/0!</v>
      </c>
      <c r="JI131" s="614" t="e">
        <f t="shared" si="654"/>
        <v>#DIV/0!</v>
      </c>
      <c r="JJ131" s="672" t="e">
        <f t="shared" si="655"/>
        <v>#DIV/0!</v>
      </c>
      <c r="JK131" s="600" t="e">
        <f t="shared" si="815"/>
        <v>#DIV/0!</v>
      </c>
      <c r="JL131" s="672" t="e">
        <f t="shared" si="656"/>
        <v>#DIV/0!</v>
      </c>
      <c r="JM131" s="676" t="e">
        <f t="shared" si="657"/>
        <v>#DIV/0!</v>
      </c>
      <c r="JN131" s="668"/>
      <c r="JO131" s="669"/>
      <c r="JP131" s="670"/>
      <c r="JQ131" s="671"/>
      <c r="JR131" s="678"/>
      <c r="JS131" s="650"/>
      <c r="JT131" s="651">
        <f t="shared" si="816"/>
        <v>0</v>
      </c>
      <c r="JU131" s="619" t="e">
        <f t="shared" si="658"/>
        <v>#DIV/0!</v>
      </c>
      <c r="JV131" s="674" t="e">
        <f t="shared" si="659"/>
        <v>#DIV/0!</v>
      </c>
      <c r="JW131" s="599" t="e">
        <f>JV131-AVERAGE(KD94:KD95)</f>
        <v>#DIV/0!</v>
      </c>
      <c r="JX131" s="672" t="e">
        <f t="shared" si="660"/>
        <v>#DIV/0!</v>
      </c>
      <c r="JY131" s="675" t="e">
        <f t="shared" si="661"/>
        <v>#DIV/0!</v>
      </c>
      <c r="JZ131" s="614" t="e">
        <f t="shared" si="662"/>
        <v>#DIV/0!</v>
      </c>
      <c r="KA131" s="672" t="e">
        <f t="shared" si="663"/>
        <v>#DIV/0!</v>
      </c>
      <c r="KB131" s="600" t="e">
        <f t="shared" si="817"/>
        <v>#DIV/0!</v>
      </c>
      <c r="KC131" s="672" t="e">
        <f t="shared" si="664"/>
        <v>#DIV/0!</v>
      </c>
      <c r="KD131" s="676" t="e">
        <f t="shared" si="665"/>
        <v>#DIV/0!</v>
      </c>
      <c r="KE131" s="668"/>
      <c r="KF131" s="669"/>
      <c r="KG131" s="670"/>
      <c r="KH131" s="671"/>
      <c r="KI131" s="678"/>
      <c r="KJ131" s="650"/>
      <c r="KK131" s="651">
        <f t="shared" si="818"/>
        <v>0</v>
      </c>
      <c r="KL131" s="619" t="e">
        <f t="shared" si="666"/>
        <v>#DIV/0!</v>
      </c>
      <c r="KM131" s="674" t="e">
        <f t="shared" si="667"/>
        <v>#DIV/0!</v>
      </c>
      <c r="KN131" s="599" t="e">
        <f>KM131-AVERAGE(KU94:KU95)</f>
        <v>#DIV/0!</v>
      </c>
      <c r="KO131" s="672" t="e">
        <f t="shared" si="668"/>
        <v>#DIV/0!</v>
      </c>
      <c r="KP131" s="675" t="e">
        <f t="shared" si="669"/>
        <v>#DIV/0!</v>
      </c>
      <c r="KQ131" s="614" t="e">
        <f t="shared" si="670"/>
        <v>#DIV/0!</v>
      </c>
      <c r="KR131" s="672" t="e">
        <f t="shared" si="671"/>
        <v>#DIV/0!</v>
      </c>
      <c r="KS131" s="600" t="e">
        <f t="shared" si="819"/>
        <v>#DIV/0!</v>
      </c>
      <c r="KT131" s="672" t="e">
        <f t="shared" si="672"/>
        <v>#DIV/0!</v>
      </c>
      <c r="KU131" s="676" t="e">
        <f t="shared" si="673"/>
        <v>#DIV/0!</v>
      </c>
      <c r="KV131" s="668"/>
      <c r="KW131" s="669"/>
      <c r="KX131" s="670"/>
      <c r="KY131" s="671"/>
      <c r="KZ131" s="678"/>
      <c r="LA131" s="650"/>
      <c r="LB131" s="651">
        <f t="shared" si="820"/>
        <v>0</v>
      </c>
      <c r="LC131" s="619" t="e">
        <f t="shared" si="674"/>
        <v>#DIV/0!</v>
      </c>
      <c r="LD131" s="674" t="e">
        <f t="shared" si="675"/>
        <v>#DIV/0!</v>
      </c>
      <c r="LE131" s="599" t="e">
        <f>LD131-AVERAGE(LL94:LL95)</f>
        <v>#DIV/0!</v>
      </c>
      <c r="LF131" s="672" t="e">
        <f t="shared" si="676"/>
        <v>#DIV/0!</v>
      </c>
      <c r="LG131" s="675" t="e">
        <f t="shared" si="677"/>
        <v>#DIV/0!</v>
      </c>
      <c r="LH131" s="614" t="e">
        <f t="shared" si="678"/>
        <v>#DIV/0!</v>
      </c>
      <c r="LI131" s="672" t="e">
        <f t="shared" si="679"/>
        <v>#DIV/0!</v>
      </c>
      <c r="LJ131" s="600" t="e">
        <f t="shared" si="821"/>
        <v>#DIV/0!</v>
      </c>
      <c r="LK131" s="672" t="e">
        <f t="shared" si="680"/>
        <v>#DIV/0!</v>
      </c>
      <c r="LL131" s="676" t="e">
        <f t="shared" si="681"/>
        <v>#DIV/0!</v>
      </c>
      <c r="LM131" s="668"/>
      <c r="LN131" s="669"/>
      <c r="LO131" s="670"/>
      <c r="LP131" s="671"/>
      <c r="LQ131" s="678"/>
      <c r="LR131" s="650"/>
      <c r="LS131" s="651">
        <f t="shared" si="822"/>
        <v>0</v>
      </c>
      <c r="LT131" s="619" t="e">
        <f t="shared" si="682"/>
        <v>#DIV/0!</v>
      </c>
      <c r="LU131" s="674" t="e">
        <f t="shared" si="683"/>
        <v>#DIV/0!</v>
      </c>
      <c r="LV131" s="599" t="e">
        <f>LU131-AVERAGE(MC94:MC95)</f>
        <v>#DIV/0!</v>
      </c>
      <c r="LW131" s="672" t="e">
        <f t="shared" si="684"/>
        <v>#DIV/0!</v>
      </c>
      <c r="LX131" s="675" t="e">
        <f t="shared" si="685"/>
        <v>#DIV/0!</v>
      </c>
      <c r="LY131" s="614" t="e">
        <f t="shared" si="686"/>
        <v>#DIV/0!</v>
      </c>
      <c r="LZ131" s="672" t="e">
        <f t="shared" si="687"/>
        <v>#DIV/0!</v>
      </c>
      <c r="MA131" s="600" t="e">
        <f t="shared" si="823"/>
        <v>#DIV/0!</v>
      </c>
      <c r="MB131" s="672" t="e">
        <f t="shared" si="688"/>
        <v>#DIV/0!</v>
      </c>
      <c r="MC131" s="676" t="e">
        <f t="shared" si="689"/>
        <v>#DIV/0!</v>
      </c>
      <c r="MD131" s="668"/>
      <c r="ME131" s="669"/>
      <c r="MF131" s="680"/>
      <c r="MG131" s="671"/>
      <c r="MH131" s="667"/>
      <c r="MI131" s="650"/>
      <c r="MJ131" s="651">
        <f t="shared" si="824"/>
        <v>0</v>
      </c>
      <c r="MK131" s="619" t="e">
        <f t="shared" si="690"/>
        <v>#DIV/0!</v>
      </c>
      <c r="ML131" s="674" t="e">
        <f t="shared" si="691"/>
        <v>#DIV/0!</v>
      </c>
      <c r="MM131" s="599" t="e">
        <f>ML131-AVERAGE(MT94:MT95)</f>
        <v>#DIV/0!</v>
      </c>
      <c r="MN131" s="672" t="e">
        <f t="shared" si="692"/>
        <v>#DIV/0!</v>
      </c>
      <c r="MO131" s="675" t="e">
        <f t="shared" si="693"/>
        <v>#DIV/0!</v>
      </c>
      <c r="MP131" s="614" t="e">
        <f t="shared" si="694"/>
        <v>#DIV/0!</v>
      </c>
      <c r="MQ131" s="672" t="e">
        <f t="shared" si="695"/>
        <v>#DIV/0!</v>
      </c>
      <c r="MR131" s="600" t="e">
        <f t="shared" si="825"/>
        <v>#DIV/0!</v>
      </c>
      <c r="MS131" s="672" t="e">
        <f t="shared" si="696"/>
        <v>#DIV/0!</v>
      </c>
      <c r="MT131" s="676" t="e">
        <f t="shared" si="697"/>
        <v>#DIV/0!</v>
      </c>
      <c r="MU131" s="668">
        <v>20.399999999999999</v>
      </c>
      <c r="MV131" s="669">
        <v>54</v>
      </c>
      <c r="MW131" s="666">
        <v>1007</v>
      </c>
      <c r="MX131" s="651">
        <v>-5.6270000000000003E-11</v>
      </c>
      <c r="MY131" s="662">
        <v>60</v>
      </c>
      <c r="MZ131" s="663">
        <v>43403</v>
      </c>
      <c r="NA131" s="651" t="str">
        <f t="shared" si="826"/>
        <v>rango cal. out</v>
      </c>
      <c r="NB131" s="619">
        <f t="shared" si="698"/>
        <v>0</v>
      </c>
      <c r="NC131" s="674" t="e">
        <f t="shared" si="699"/>
        <v>#VALUE!</v>
      </c>
      <c r="ND131" s="599" t="e">
        <f>NC131-AVERAGE(NK94:NK95)</f>
        <v>#VALUE!</v>
      </c>
      <c r="NE131" s="672" t="e">
        <f t="shared" si="700"/>
        <v>#VALUE!</v>
      </c>
      <c r="NF131" s="675" t="e">
        <f t="shared" si="701"/>
        <v>#VALUE!</v>
      </c>
      <c r="NG131" s="614" t="e">
        <f t="shared" si="702"/>
        <v>#VALUE!</v>
      </c>
      <c r="NH131" s="672" t="e">
        <f t="shared" si="703"/>
        <v>#VALUE!</v>
      </c>
      <c r="NI131" s="600" t="e">
        <f t="shared" si="827"/>
        <v>#VALUE!</v>
      </c>
      <c r="NJ131" s="672" t="e">
        <f t="shared" si="704"/>
        <v>#VALUE!</v>
      </c>
      <c r="NK131" s="676" t="e">
        <f t="shared" si="705"/>
        <v>#VALUE!</v>
      </c>
      <c r="NL131" s="668"/>
      <c r="NM131" s="669"/>
      <c r="NN131" s="670"/>
      <c r="NO131" s="671"/>
      <c r="NP131" s="678"/>
      <c r="NQ131" s="650"/>
      <c r="NR131" s="651">
        <f t="shared" si="828"/>
        <v>0</v>
      </c>
      <c r="NS131" s="619" t="e">
        <f t="shared" si="706"/>
        <v>#DIV/0!</v>
      </c>
      <c r="NT131" s="674" t="e">
        <f t="shared" si="707"/>
        <v>#DIV/0!</v>
      </c>
      <c r="NU131" s="599" t="e">
        <f>NT131-AVERAGE(OB94:OB95)</f>
        <v>#DIV/0!</v>
      </c>
      <c r="NV131" s="672" t="e">
        <f t="shared" si="708"/>
        <v>#DIV/0!</v>
      </c>
      <c r="NW131" s="675" t="e">
        <f t="shared" si="709"/>
        <v>#DIV/0!</v>
      </c>
      <c r="NX131" s="614" t="e">
        <f t="shared" si="710"/>
        <v>#DIV/0!</v>
      </c>
      <c r="NY131" s="672" t="e">
        <f t="shared" si="711"/>
        <v>#DIV/0!</v>
      </c>
      <c r="NZ131" s="600" t="e">
        <f t="shared" si="829"/>
        <v>#DIV/0!</v>
      </c>
      <c r="OA131" s="672" t="e">
        <f t="shared" si="712"/>
        <v>#DIV/0!</v>
      </c>
      <c r="OB131" s="676" t="e">
        <f t="shared" si="713"/>
        <v>#DIV/0!</v>
      </c>
      <c r="OC131" s="668">
        <v>20.399999999999999</v>
      </c>
      <c r="OD131" s="669">
        <v>53</v>
      </c>
      <c r="OE131" s="666">
        <v>1007</v>
      </c>
      <c r="OF131" s="671">
        <v>-1.308E-10</v>
      </c>
      <c r="OG131" s="667">
        <v>60</v>
      </c>
      <c r="OH131" s="663">
        <v>43403</v>
      </c>
      <c r="OI131" s="651" t="str">
        <f t="shared" si="830"/>
        <v>rango cal. out</v>
      </c>
      <c r="OJ131" s="619">
        <f t="shared" si="714"/>
        <v>0</v>
      </c>
      <c r="OK131" s="674" t="e">
        <f t="shared" si="715"/>
        <v>#VALUE!</v>
      </c>
      <c r="OL131" s="599" t="e">
        <f>OK131-AVERAGE(OS94:OS95)</f>
        <v>#VALUE!</v>
      </c>
      <c r="OM131" s="672" t="e">
        <f t="shared" si="716"/>
        <v>#VALUE!</v>
      </c>
      <c r="ON131" s="675" t="e">
        <f t="shared" si="717"/>
        <v>#VALUE!</v>
      </c>
      <c r="OO131" s="614" t="e">
        <f t="shared" si="718"/>
        <v>#VALUE!</v>
      </c>
      <c r="OP131" s="672" t="e">
        <f t="shared" si="719"/>
        <v>#VALUE!</v>
      </c>
      <c r="OQ131" s="600" t="e">
        <f t="shared" si="831"/>
        <v>#VALUE!</v>
      </c>
      <c r="OR131" s="672" t="e">
        <f t="shared" si="720"/>
        <v>#VALUE!</v>
      </c>
      <c r="OS131" s="676" t="e">
        <f t="shared" si="721"/>
        <v>#VALUE!</v>
      </c>
      <c r="OT131" s="668"/>
      <c r="OU131" s="669"/>
      <c r="OV131" s="670"/>
      <c r="OW131" s="671"/>
      <c r="OX131" s="678"/>
      <c r="OY131" s="650"/>
      <c r="OZ131" s="651">
        <f t="shared" si="832"/>
        <v>0</v>
      </c>
      <c r="PA131" s="619" t="e">
        <f t="shared" si="722"/>
        <v>#DIV/0!</v>
      </c>
      <c r="PB131" s="674" t="e">
        <f t="shared" si="723"/>
        <v>#DIV/0!</v>
      </c>
      <c r="PC131" s="599" t="e">
        <f>PB131-AVERAGE(PJ94:PJ95)</f>
        <v>#DIV/0!</v>
      </c>
      <c r="PD131" s="672" t="e">
        <f t="shared" si="724"/>
        <v>#DIV/0!</v>
      </c>
      <c r="PE131" s="675" t="e">
        <f t="shared" si="725"/>
        <v>#DIV/0!</v>
      </c>
      <c r="PF131" s="614" t="e">
        <f t="shared" si="726"/>
        <v>#DIV/0!</v>
      </c>
      <c r="PG131" s="672" t="e">
        <f t="shared" si="727"/>
        <v>#DIV/0!</v>
      </c>
      <c r="PH131" s="600" t="e">
        <f t="shared" si="833"/>
        <v>#DIV/0!</v>
      </c>
      <c r="PI131" s="672" t="e">
        <f t="shared" si="728"/>
        <v>#DIV/0!</v>
      </c>
      <c r="PJ131" s="676" t="e">
        <f t="shared" si="729"/>
        <v>#DIV/0!</v>
      </c>
      <c r="PK131" s="668"/>
      <c r="PL131" s="669"/>
      <c r="PM131" s="670"/>
      <c r="PN131" s="671"/>
      <c r="PO131" s="678"/>
      <c r="PP131" s="650"/>
      <c r="PQ131" s="651">
        <f t="shared" si="834"/>
        <v>0</v>
      </c>
      <c r="PR131" s="619" t="e">
        <f t="shared" si="730"/>
        <v>#DIV/0!</v>
      </c>
      <c r="PS131" s="674" t="e">
        <f t="shared" si="731"/>
        <v>#DIV/0!</v>
      </c>
      <c r="PT131" s="599" t="e">
        <f>PS131-AVERAGE(QA94:QA95)</f>
        <v>#DIV/0!</v>
      </c>
      <c r="PU131" s="672" t="e">
        <f t="shared" si="732"/>
        <v>#DIV/0!</v>
      </c>
      <c r="PV131" s="675" t="e">
        <f t="shared" si="733"/>
        <v>#DIV/0!</v>
      </c>
      <c r="PW131" s="614" t="e">
        <f t="shared" si="734"/>
        <v>#DIV/0!</v>
      </c>
      <c r="PX131" s="672" t="e">
        <f t="shared" si="735"/>
        <v>#DIV/0!</v>
      </c>
      <c r="PY131" s="600" t="e">
        <f t="shared" si="835"/>
        <v>#DIV/0!</v>
      </c>
      <c r="PZ131" s="672" t="e">
        <f t="shared" si="736"/>
        <v>#DIV/0!</v>
      </c>
      <c r="QA131" s="676" t="e">
        <f t="shared" si="737"/>
        <v>#DIV/0!</v>
      </c>
      <c r="QB131" s="668"/>
      <c r="QC131" s="669"/>
      <c r="QD131" s="680"/>
      <c r="QE131" s="671"/>
      <c r="QF131" s="673"/>
      <c r="QG131" s="650"/>
      <c r="QH131" s="651">
        <f t="shared" si="836"/>
        <v>0</v>
      </c>
      <c r="QI131" s="619" t="e">
        <f t="shared" si="738"/>
        <v>#DIV/0!</v>
      </c>
      <c r="QJ131" s="674" t="e">
        <f t="shared" si="739"/>
        <v>#DIV/0!</v>
      </c>
      <c r="QK131" s="599" t="e">
        <f>QJ131-AVERAGE(QR94:QR95)</f>
        <v>#DIV/0!</v>
      </c>
      <c r="QL131" s="672" t="e">
        <f t="shared" si="740"/>
        <v>#DIV/0!</v>
      </c>
      <c r="QM131" s="675" t="e">
        <f t="shared" si="741"/>
        <v>#DIV/0!</v>
      </c>
      <c r="QN131" s="614" t="e">
        <f t="shared" si="742"/>
        <v>#DIV/0!</v>
      </c>
      <c r="QO131" s="672" t="e">
        <f t="shared" si="743"/>
        <v>#DIV/0!</v>
      </c>
      <c r="QP131" s="600" t="e">
        <f t="shared" si="837"/>
        <v>#DIV/0!</v>
      </c>
      <c r="QQ131" s="672" t="e">
        <f t="shared" si="744"/>
        <v>#DIV/0!</v>
      </c>
      <c r="QR131" s="676" t="e">
        <f t="shared" si="745"/>
        <v>#DIV/0!</v>
      </c>
      <c r="QS131" s="664"/>
      <c r="QT131" s="660"/>
      <c r="QU131" s="669"/>
      <c r="QV131" s="679"/>
      <c r="QW131" s="673"/>
      <c r="QX131" s="650"/>
      <c r="QY131" s="651">
        <f t="shared" si="838"/>
        <v>0</v>
      </c>
      <c r="QZ131" s="619" t="e">
        <f t="shared" si="746"/>
        <v>#DIV/0!</v>
      </c>
      <c r="RA131" s="674" t="e">
        <f t="shared" si="747"/>
        <v>#DIV/0!</v>
      </c>
      <c r="RB131" s="599" t="e">
        <f>RA131-AVERAGE(RI94:RI95)</f>
        <v>#DIV/0!</v>
      </c>
      <c r="RC131" s="672" t="e">
        <f t="shared" si="748"/>
        <v>#DIV/0!</v>
      </c>
      <c r="RD131" s="675" t="e">
        <f t="shared" si="749"/>
        <v>#DIV/0!</v>
      </c>
      <c r="RE131" s="614" t="e">
        <f t="shared" si="750"/>
        <v>#DIV/0!</v>
      </c>
      <c r="RF131" s="672" t="e">
        <f t="shared" si="751"/>
        <v>#DIV/0!</v>
      </c>
      <c r="RG131" s="600" t="e">
        <f t="shared" si="839"/>
        <v>#DIV/0!</v>
      </c>
      <c r="RH131" s="672" t="e">
        <f t="shared" si="752"/>
        <v>#DIV/0!</v>
      </c>
      <c r="RI131" s="676" t="e">
        <f t="shared" si="753"/>
        <v>#DIV/0!</v>
      </c>
      <c r="RJ131" s="668">
        <v>20.399999999999999</v>
      </c>
      <c r="RK131" s="669">
        <v>54</v>
      </c>
      <c r="RL131" s="666">
        <v>1007</v>
      </c>
      <c r="RM131" s="651">
        <v>-6.0199999999999998E-12</v>
      </c>
      <c r="RN131" s="667">
        <v>60</v>
      </c>
      <c r="RO131" s="663">
        <v>43403</v>
      </c>
      <c r="RP131" s="651" t="str">
        <f t="shared" si="840"/>
        <v>rango cal. out</v>
      </c>
      <c r="RQ131" s="619">
        <f t="shared" si="754"/>
        <v>0</v>
      </c>
      <c r="RR131" s="674" t="e">
        <f t="shared" si="755"/>
        <v>#VALUE!</v>
      </c>
      <c r="RS131" s="599" t="e">
        <f>RR131-AVERAGE(RZ94:RZ95)</f>
        <v>#VALUE!</v>
      </c>
      <c r="RT131" s="672" t="e">
        <f t="shared" si="756"/>
        <v>#VALUE!</v>
      </c>
      <c r="RU131" s="675" t="e">
        <f t="shared" si="757"/>
        <v>#VALUE!</v>
      </c>
      <c r="RV131" s="614" t="e">
        <f t="shared" si="758"/>
        <v>#VALUE!</v>
      </c>
      <c r="RW131" s="672" t="e">
        <f t="shared" si="759"/>
        <v>#VALUE!</v>
      </c>
      <c r="RX131" s="600" t="e">
        <f t="shared" si="841"/>
        <v>#VALUE!</v>
      </c>
      <c r="RY131" s="672" t="e">
        <f t="shared" si="760"/>
        <v>#VALUE!</v>
      </c>
      <c r="RZ131" s="676" t="e">
        <f t="shared" si="761"/>
        <v>#VALUE!</v>
      </c>
      <c r="SA131" s="668">
        <v>20.399999999999999</v>
      </c>
      <c r="SB131" s="669">
        <v>55</v>
      </c>
      <c r="SC131" s="680">
        <v>1008</v>
      </c>
      <c r="SD131" s="671">
        <v>-3.2469999999999997E-10</v>
      </c>
      <c r="SE131" s="667">
        <v>60</v>
      </c>
      <c r="SF131" s="663">
        <v>43403</v>
      </c>
      <c r="SG131" s="651" t="str">
        <f t="shared" si="842"/>
        <v>rango cal. out</v>
      </c>
      <c r="SH131" s="619">
        <f t="shared" si="762"/>
        <v>0</v>
      </c>
      <c r="SI131" s="674" t="e">
        <f t="shared" si="763"/>
        <v>#VALUE!</v>
      </c>
      <c r="SJ131" s="599" t="e">
        <f>SI131-AVERAGE(SQ94:SQ95)</f>
        <v>#VALUE!</v>
      </c>
      <c r="SK131" s="672" t="e">
        <f t="shared" si="764"/>
        <v>#VALUE!</v>
      </c>
      <c r="SL131" s="675" t="e">
        <f t="shared" si="765"/>
        <v>#VALUE!</v>
      </c>
      <c r="SM131" s="614" t="e">
        <f t="shared" si="766"/>
        <v>#VALUE!</v>
      </c>
      <c r="SN131" s="672" t="e">
        <f t="shared" si="767"/>
        <v>#VALUE!</v>
      </c>
      <c r="SO131" s="600" t="e">
        <f t="shared" si="843"/>
        <v>#VALUE!</v>
      </c>
      <c r="SP131" s="672" t="e">
        <f t="shared" si="768"/>
        <v>#VALUE!</v>
      </c>
      <c r="SQ131" s="676" t="e">
        <f t="shared" si="769"/>
        <v>#VALUE!</v>
      </c>
      <c r="SR131" s="668"/>
      <c r="SS131" s="669"/>
      <c r="ST131" s="670"/>
      <c r="SU131" s="671"/>
      <c r="SV131" s="678"/>
      <c r="SW131" s="650"/>
      <c r="SX131" s="651">
        <f t="shared" si="844"/>
        <v>0</v>
      </c>
      <c r="SY131" s="619" t="e">
        <f t="shared" si="770"/>
        <v>#DIV/0!</v>
      </c>
      <c r="SZ131" s="674" t="e">
        <f t="shared" si="771"/>
        <v>#DIV/0!</v>
      </c>
      <c r="TA131" s="599" t="e">
        <f>SZ131-AVERAGE(TH94:TH95)</f>
        <v>#DIV/0!</v>
      </c>
      <c r="TB131" s="672" t="e">
        <f t="shared" si="772"/>
        <v>#DIV/0!</v>
      </c>
      <c r="TC131" s="675" t="e">
        <f t="shared" si="773"/>
        <v>#DIV/0!</v>
      </c>
      <c r="TD131" s="614" t="e">
        <f t="shared" si="774"/>
        <v>#DIV/0!</v>
      </c>
      <c r="TE131" s="672" t="e">
        <f t="shared" si="775"/>
        <v>#DIV/0!</v>
      </c>
      <c r="TF131" s="600" t="e">
        <f t="shared" si="845"/>
        <v>#DIV/0!</v>
      </c>
      <c r="TG131" s="672" t="e">
        <f t="shared" si="776"/>
        <v>#DIV/0!</v>
      </c>
      <c r="TH131" s="676" t="e">
        <f t="shared" si="777"/>
        <v>#DIV/0!</v>
      </c>
      <c r="TI131" s="668">
        <v>20.5</v>
      </c>
      <c r="TJ131" s="669">
        <v>56</v>
      </c>
      <c r="TK131" s="666">
        <v>1008</v>
      </c>
      <c r="TL131" s="651">
        <v>-1.358E-11</v>
      </c>
      <c r="TM131" s="667">
        <v>60</v>
      </c>
      <c r="TN131" s="663">
        <v>43403</v>
      </c>
      <c r="TO131" s="651" t="str">
        <f t="shared" si="846"/>
        <v>rango cal. out</v>
      </c>
      <c r="TP131" s="619">
        <f t="shared" si="778"/>
        <v>0</v>
      </c>
      <c r="TQ131" s="674" t="e">
        <f t="shared" si="779"/>
        <v>#VALUE!</v>
      </c>
      <c r="TR131" s="599" t="e">
        <f>TQ131-AVERAGE(TY94:TY95)</f>
        <v>#VALUE!</v>
      </c>
      <c r="TS131" s="672" t="e">
        <f t="shared" si="780"/>
        <v>#VALUE!</v>
      </c>
      <c r="TT131" s="675" t="e">
        <f t="shared" si="781"/>
        <v>#VALUE!</v>
      </c>
      <c r="TU131" s="614" t="e">
        <f t="shared" si="782"/>
        <v>#VALUE!</v>
      </c>
      <c r="TV131" s="672" t="e">
        <f t="shared" si="783"/>
        <v>#VALUE!</v>
      </c>
      <c r="TW131" s="600" t="e">
        <f t="shared" si="847"/>
        <v>#VALUE!</v>
      </c>
      <c r="TX131" s="672" t="e">
        <f t="shared" si="784"/>
        <v>#VALUE!</v>
      </c>
      <c r="TY131" s="676" t="e">
        <f t="shared" si="785"/>
        <v>#VALUE!</v>
      </c>
    </row>
    <row r="132" spans="1:545" x14ac:dyDescent="0.25">
      <c r="A132" s="2219"/>
      <c r="B132" s="668"/>
      <c r="C132" s="673"/>
      <c r="D132" s="673"/>
      <c r="E132" s="671"/>
      <c r="F132" s="673"/>
      <c r="G132" s="650"/>
      <c r="H132" s="651"/>
      <c r="I132" s="619"/>
      <c r="J132" s="674"/>
      <c r="K132" s="599"/>
      <c r="L132" s="672"/>
      <c r="M132" s="675"/>
      <c r="N132" s="614"/>
      <c r="O132" s="672"/>
      <c r="P132" s="600"/>
      <c r="Q132" s="672"/>
      <c r="R132" s="676"/>
      <c r="S132" s="677"/>
      <c r="T132" s="669"/>
      <c r="U132" s="670"/>
      <c r="V132" s="671"/>
      <c r="W132" s="678"/>
      <c r="X132" s="650"/>
      <c r="Y132" s="651">
        <f t="shared" si="786"/>
        <v>0</v>
      </c>
      <c r="Z132" s="619" t="e">
        <f t="shared" si="538"/>
        <v>#DIV/0!</v>
      </c>
      <c r="AA132" s="674" t="e">
        <f t="shared" si="539"/>
        <v>#DIV/0!</v>
      </c>
      <c r="AB132" s="599" t="e">
        <f>AA132-AVERAGE(AI94:AI95)</f>
        <v>#DIV/0!</v>
      </c>
      <c r="AC132" s="672" t="e">
        <f t="shared" si="540"/>
        <v>#DIV/0!</v>
      </c>
      <c r="AD132" s="675" t="e">
        <f t="shared" si="541"/>
        <v>#DIV/0!</v>
      </c>
      <c r="AE132" s="614" t="e">
        <f t="shared" si="542"/>
        <v>#DIV/0!</v>
      </c>
      <c r="AF132" s="672" t="e">
        <f t="shared" si="543"/>
        <v>#DIV/0!</v>
      </c>
      <c r="AG132" s="600" t="e">
        <f t="shared" si="787"/>
        <v>#DIV/0!</v>
      </c>
      <c r="AH132" s="672" t="e">
        <f t="shared" si="544"/>
        <v>#DIV/0!</v>
      </c>
      <c r="AI132" s="676" t="e">
        <f t="shared" si="545"/>
        <v>#DIV/0!</v>
      </c>
      <c r="AJ132" s="677"/>
      <c r="AK132" s="669"/>
      <c r="AL132" s="670"/>
      <c r="AM132" s="671"/>
      <c r="AN132" s="678"/>
      <c r="AO132" s="650"/>
      <c r="AP132" s="651">
        <f t="shared" si="788"/>
        <v>0</v>
      </c>
      <c r="AQ132" s="619" t="e">
        <f t="shared" si="546"/>
        <v>#DIV/0!</v>
      </c>
      <c r="AR132" s="674" t="e">
        <f t="shared" si="547"/>
        <v>#DIV/0!</v>
      </c>
      <c r="AS132" s="599" t="e">
        <f>AR132-AVERAGE(AZ94:AZ95)</f>
        <v>#DIV/0!</v>
      </c>
      <c r="AT132" s="672" t="e">
        <f t="shared" si="548"/>
        <v>#DIV/0!</v>
      </c>
      <c r="AU132" s="675" t="e">
        <f t="shared" si="549"/>
        <v>#DIV/0!</v>
      </c>
      <c r="AV132" s="614" t="e">
        <f t="shared" si="550"/>
        <v>#DIV/0!</v>
      </c>
      <c r="AW132" s="672" t="e">
        <f t="shared" si="551"/>
        <v>#DIV/0!</v>
      </c>
      <c r="AX132" s="600" t="e">
        <f t="shared" si="789"/>
        <v>#DIV/0!</v>
      </c>
      <c r="AY132" s="672" t="e">
        <f t="shared" si="552"/>
        <v>#DIV/0!</v>
      </c>
      <c r="AZ132" s="676" t="e">
        <f t="shared" si="553"/>
        <v>#DIV/0!</v>
      </c>
      <c r="BA132" s="668">
        <v>20.399999999999999</v>
      </c>
      <c r="BB132" s="669">
        <v>51</v>
      </c>
      <c r="BC132" s="680">
        <v>1009</v>
      </c>
      <c r="BD132" s="671">
        <v>-8.4490000000000005E-10</v>
      </c>
      <c r="BE132" s="673">
        <v>60</v>
      </c>
      <c r="BF132" s="650">
        <v>43403</v>
      </c>
      <c r="BG132" s="651" t="str">
        <f t="shared" si="790"/>
        <v>rango cal. out</v>
      </c>
      <c r="BH132" s="619">
        <f t="shared" si="554"/>
        <v>0</v>
      </c>
      <c r="BI132" s="674" t="e">
        <f t="shared" si="555"/>
        <v>#VALUE!</v>
      </c>
      <c r="BJ132" s="599" t="e">
        <f>BI132-AVERAGE(BQ94:BQ95)</f>
        <v>#VALUE!</v>
      </c>
      <c r="BK132" s="672" t="e">
        <f t="shared" si="556"/>
        <v>#VALUE!</v>
      </c>
      <c r="BL132" s="675" t="e">
        <f t="shared" si="557"/>
        <v>#VALUE!</v>
      </c>
      <c r="BM132" s="614" t="e">
        <f t="shared" si="558"/>
        <v>#VALUE!</v>
      </c>
      <c r="BN132" s="672" t="e">
        <f t="shared" si="559"/>
        <v>#VALUE!</v>
      </c>
      <c r="BO132" s="600" t="e">
        <f t="shared" si="791"/>
        <v>#VALUE!</v>
      </c>
      <c r="BP132" s="672" t="e">
        <f t="shared" si="560"/>
        <v>#VALUE!</v>
      </c>
      <c r="BQ132" s="676" t="e">
        <f t="shared" si="561"/>
        <v>#VALUE!</v>
      </c>
      <c r="BR132" s="668">
        <v>20.7</v>
      </c>
      <c r="BS132" s="669">
        <v>52</v>
      </c>
      <c r="BT132" s="680">
        <v>1008</v>
      </c>
      <c r="BU132" s="671">
        <v>-3.47E-11</v>
      </c>
      <c r="BV132" s="673">
        <v>60</v>
      </c>
      <c r="BW132" s="650">
        <v>43403</v>
      </c>
      <c r="BX132" s="651" t="str">
        <f t="shared" si="792"/>
        <v>rango cal. out</v>
      </c>
      <c r="BY132" s="619">
        <f t="shared" si="562"/>
        <v>0</v>
      </c>
      <c r="BZ132" s="674" t="e">
        <f t="shared" si="563"/>
        <v>#VALUE!</v>
      </c>
      <c r="CA132" s="599" t="e">
        <f>BZ132-AVERAGE(CH94:CH95)</f>
        <v>#VALUE!</v>
      </c>
      <c r="CB132" s="672" t="e">
        <f t="shared" si="564"/>
        <v>#VALUE!</v>
      </c>
      <c r="CC132" s="675" t="e">
        <f t="shared" si="565"/>
        <v>#VALUE!</v>
      </c>
      <c r="CD132" s="614" t="e">
        <f t="shared" si="566"/>
        <v>#VALUE!</v>
      </c>
      <c r="CE132" s="672" t="e">
        <f t="shared" si="567"/>
        <v>#VALUE!</v>
      </c>
      <c r="CF132" s="600" t="e">
        <f t="shared" si="793"/>
        <v>#VALUE!</v>
      </c>
      <c r="CG132" s="672" t="e">
        <f t="shared" si="568"/>
        <v>#VALUE!</v>
      </c>
      <c r="CH132" s="676" t="e">
        <f t="shared" si="569"/>
        <v>#VALUE!</v>
      </c>
      <c r="CI132" s="668">
        <v>20.3</v>
      </c>
      <c r="CJ132" s="669">
        <v>52</v>
      </c>
      <c r="CK132" s="680">
        <v>1007</v>
      </c>
      <c r="CL132" s="671">
        <v>-1.9730000000000001E-9</v>
      </c>
      <c r="CM132" s="673">
        <v>60</v>
      </c>
      <c r="CN132" s="650">
        <v>43403</v>
      </c>
      <c r="CO132" s="651" t="str">
        <f t="shared" si="794"/>
        <v>rango cal. out</v>
      </c>
      <c r="CP132" s="619">
        <f t="shared" si="570"/>
        <v>0</v>
      </c>
      <c r="CQ132" s="674" t="e">
        <f t="shared" si="571"/>
        <v>#VALUE!</v>
      </c>
      <c r="CR132" s="599" t="e">
        <f>CQ132-AVERAGE(CY94:CY95)</f>
        <v>#VALUE!</v>
      </c>
      <c r="CS132" s="672" t="e">
        <f t="shared" si="572"/>
        <v>#VALUE!</v>
      </c>
      <c r="CT132" s="675" t="e">
        <f t="shared" si="573"/>
        <v>#VALUE!</v>
      </c>
      <c r="CU132" s="614" t="e">
        <f t="shared" si="574"/>
        <v>#VALUE!</v>
      </c>
      <c r="CV132" s="672" t="e">
        <f t="shared" si="575"/>
        <v>#VALUE!</v>
      </c>
      <c r="CW132" s="600" t="e">
        <f t="shared" si="795"/>
        <v>#VALUE!</v>
      </c>
      <c r="CX132" s="672" t="e">
        <f t="shared" si="576"/>
        <v>#VALUE!</v>
      </c>
      <c r="CY132" s="676" t="e">
        <f t="shared" si="577"/>
        <v>#VALUE!</v>
      </c>
      <c r="CZ132" s="668"/>
      <c r="DA132" s="669"/>
      <c r="DB132" s="670"/>
      <c r="DC132" s="671"/>
      <c r="DD132" s="678"/>
      <c r="DE132" s="650"/>
      <c r="DF132" s="651">
        <f t="shared" si="796"/>
        <v>0</v>
      </c>
      <c r="DG132" s="619" t="e">
        <f t="shared" si="578"/>
        <v>#DIV/0!</v>
      </c>
      <c r="DH132" s="674" t="e">
        <f t="shared" si="579"/>
        <v>#DIV/0!</v>
      </c>
      <c r="DI132" s="599" t="e">
        <f>DH132-AVERAGE(DP94:DP95)</f>
        <v>#DIV/0!</v>
      </c>
      <c r="DJ132" s="672" t="e">
        <f t="shared" si="580"/>
        <v>#DIV/0!</v>
      </c>
      <c r="DK132" s="675" t="e">
        <f t="shared" si="581"/>
        <v>#DIV/0!</v>
      </c>
      <c r="DL132" s="614" t="e">
        <f t="shared" si="582"/>
        <v>#DIV/0!</v>
      </c>
      <c r="DM132" s="672" t="e">
        <f t="shared" si="583"/>
        <v>#DIV/0!</v>
      </c>
      <c r="DN132" s="600" t="e">
        <f t="shared" si="797"/>
        <v>#DIV/0!</v>
      </c>
      <c r="DO132" s="672" t="e">
        <f t="shared" si="584"/>
        <v>#DIV/0!</v>
      </c>
      <c r="DP132" s="676" t="e">
        <f t="shared" si="585"/>
        <v>#DIV/0!</v>
      </c>
      <c r="DQ132" s="668"/>
      <c r="DR132" s="669"/>
      <c r="DS132" s="677"/>
      <c r="DT132" s="679"/>
      <c r="DU132" s="678"/>
      <c r="DV132" s="650"/>
      <c r="DW132" s="651">
        <f t="shared" si="798"/>
        <v>0</v>
      </c>
      <c r="DX132" s="619" t="e">
        <f t="shared" si="586"/>
        <v>#DIV/0!</v>
      </c>
      <c r="DY132" s="674" t="e">
        <f t="shared" si="587"/>
        <v>#DIV/0!</v>
      </c>
      <c r="DZ132" s="599" t="e">
        <f>DY132-AVERAGE(EG94:EG95)</f>
        <v>#DIV/0!</v>
      </c>
      <c r="EA132" s="672" t="e">
        <f t="shared" si="588"/>
        <v>#DIV/0!</v>
      </c>
      <c r="EB132" s="675" t="e">
        <f t="shared" si="589"/>
        <v>#DIV/0!</v>
      </c>
      <c r="EC132" s="614" t="e">
        <f t="shared" si="590"/>
        <v>#DIV/0!</v>
      </c>
      <c r="ED132" s="672" t="e">
        <f t="shared" si="591"/>
        <v>#DIV/0!</v>
      </c>
      <c r="EE132" s="600" t="e">
        <f t="shared" si="799"/>
        <v>#DIV/0!</v>
      </c>
      <c r="EF132" s="672" t="e">
        <f t="shared" si="592"/>
        <v>#DIV/0!</v>
      </c>
      <c r="EG132" s="676" t="e">
        <f t="shared" si="593"/>
        <v>#DIV/0!</v>
      </c>
      <c r="EH132" s="668">
        <v>20.5</v>
      </c>
      <c r="EI132" s="669">
        <v>51</v>
      </c>
      <c r="EJ132" s="680">
        <v>1007</v>
      </c>
      <c r="EK132" s="671">
        <v>-2.56E-12</v>
      </c>
      <c r="EL132" s="673">
        <v>60</v>
      </c>
      <c r="EM132" s="650">
        <v>43403</v>
      </c>
      <c r="EN132" s="651" t="str">
        <f t="shared" si="800"/>
        <v>rango cal. out</v>
      </c>
      <c r="EO132" s="619">
        <f t="shared" si="594"/>
        <v>0</v>
      </c>
      <c r="EP132" s="674" t="e">
        <f t="shared" si="595"/>
        <v>#VALUE!</v>
      </c>
      <c r="EQ132" s="599" t="e">
        <f>EP132-AVERAGE(EX94:EX95)</f>
        <v>#VALUE!</v>
      </c>
      <c r="ER132" s="672" t="e">
        <f t="shared" si="596"/>
        <v>#VALUE!</v>
      </c>
      <c r="ES132" s="675" t="e">
        <f t="shared" si="597"/>
        <v>#VALUE!</v>
      </c>
      <c r="ET132" s="614" t="e">
        <f t="shared" si="598"/>
        <v>#VALUE!</v>
      </c>
      <c r="EU132" s="672" t="e">
        <f t="shared" si="599"/>
        <v>#VALUE!</v>
      </c>
      <c r="EV132" s="600" t="e">
        <f t="shared" si="801"/>
        <v>#VALUE!</v>
      </c>
      <c r="EW132" s="672" t="e">
        <f t="shared" si="600"/>
        <v>#VALUE!</v>
      </c>
      <c r="EX132" s="676" t="e">
        <f t="shared" si="601"/>
        <v>#VALUE!</v>
      </c>
      <c r="EY132" s="668"/>
      <c r="EZ132" s="669"/>
      <c r="FA132" s="670"/>
      <c r="FB132" s="671"/>
      <c r="FC132" s="678"/>
      <c r="FD132" s="650"/>
      <c r="FE132" s="651">
        <f t="shared" si="802"/>
        <v>0</v>
      </c>
      <c r="FF132" s="619" t="e">
        <f t="shared" si="602"/>
        <v>#DIV/0!</v>
      </c>
      <c r="FG132" s="674" t="e">
        <f t="shared" si="603"/>
        <v>#DIV/0!</v>
      </c>
      <c r="FH132" s="599" t="e">
        <f>FG132-AVERAGE(FO94:FO95)</f>
        <v>#DIV/0!</v>
      </c>
      <c r="FI132" s="672" t="e">
        <f t="shared" si="604"/>
        <v>#DIV/0!</v>
      </c>
      <c r="FJ132" s="675" t="e">
        <f t="shared" si="605"/>
        <v>#DIV/0!</v>
      </c>
      <c r="FK132" s="614" t="e">
        <f t="shared" si="606"/>
        <v>#DIV/0!</v>
      </c>
      <c r="FL132" s="672" t="e">
        <f t="shared" si="607"/>
        <v>#DIV/0!</v>
      </c>
      <c r="FM132" s="600" t="e">
        <f t="shared" si="803"/>
        <v>#DIV/0!</v>
      </c>
      <c r="FN132" s="672" t="e">
        <f t="shared" si="608"/>
        <v>#DIV/0!</v>
      </c>
      <c r="FO132" s="676" t="e">
        <f t="shared" si="609"/>
        <v>#DIV/0!</v>
      </c>
      <c r="FP132" s="668"/>
      <c r="FQ132" s="669"/>
      <c r="FR132" s="670"/>
      <c r="FS132" s="671"/>
      <c r="FT132" s="678"/>
      <c r="FU132" s="650"/>
      <c r="FV132" s="651">
        <f t="shared" si="804"/>
        <v>0</v>
      </c>
      <c r="FW132" s="619" t="e">
        <f t="shared" si="610"/>
        <v>#DIV/0!</v>
      </c>
      <c r="FX132" s="674" t="e">
        <f t="shared" si="611"/>
        <v>#DIV/0!</v>
      </c>
      <c r="FY132" s="599" t="e">
        <f>FX132-AVERAGE(GF94:GF95)</f>
        <v>#DIV/0!</v>
      </c>
      <c r="FZ132" s="672" t="e">
        <f t="shared" si="612"/>
        <v>#DIV/0!</v>
      </c>
      <c r="GA132" s="675" t="e">
        <f t="shared" si="613"/>
        <v>#DIV/0!</v>
      </c>
      <c r="GB132" s="614" t="e">
        <f t="shared" si="614"/>
        <v>#DIV/0!</v>
      </c>
      <c r="GC132" s="672" t="e">
        <f t="shared" si="615"/>
        <v>#DIV/0!</v>
      </c>
      <c r="GD132" s="600" t="e">
        <f t="shared" si="805"/>
        <v>#DIV/0!</v>
      </c>
      <c r="GE132" s="672" t="e">
        <f t="shared" si="616"/>
        <v>#DIV/0!</v>
      </c>
      <c r="GF132" s="676" t="e">
        <f t="shared" si="617"/>
        <v>#DIV/0!</v>
      </c>
      <c r="GG132" s="668"/>
      <c r="GH132" s="669"/>
      <c r="GI132" s="677"/>
      <c r="GJ132" s="679"/>
      <c r="GK132" s="678"/>
      <c r="GL132" s="650"/>
      <c r="GM132" s="651">
        <f t="shared" si="806"/>
        <v>0</v>
      </c>
      <c r="GN132" s="619" t="e">
        <f t="shared" si="618"/>
        <v>#DIV/0!</v>
      </c>
      <c r="GO132" s="674" t="e">
        <f t="shared" si="619"/>
        <v>#DIV/0!</v>
      </c>
      <c r="GP132" s="599" t="e">
        <f>GO132-AVERAGE(GW94:GW95)</f>
        <v>#DIV/0!</v>
      </c>
      <c r="GQ132" s="672" t="e">
        <f t="shared" si="620"/>
        <v>#DIV/0!</v>
      </c>
      <c r="GR132" s="675" t="e">
        <f t="shared" si="621"/>
        <v>#DIV/0!</v>
      </c>
      <c r="GS132" s="614" t="e">
        <f t="shared" si="622"/>
        <v>#DIV/0!</v>
      </c>
      <c r="GT132" s="672" t="e">
        <f t="shared" si="623"/>
        <v>#DIV/0!</v>
      </c>
      <c r="GU132" s="600" t="e">
        <f t="shared" si="807"/>
        <v>#DIV/0!</v>
      </c>
      <c r="GV132" s="672" t="e">
        <f t="shared" si="624"/>
        <v>#DIV/0!</v>
      </c>
      <c r="GW132" s="676" t="e">
        <f t="shared" si="625"/>
        <v>#DIV/0!</v>
      </c>
      <c r="GX132" s="668"/>
      <c r="GY132" s="669"/>
      <c r="GZ132" s="670"/>
      <c r="HA132" s="671"/>
      <c r="HB132" s="678"/>
      <c r="HC132" s="650"/>
      <c r="HD132" s="651">
        <f t="shared" si="808"/>
        <v>0</v>
      </c>
      <c r="HE132" s="619" t="e">
        <f t="shared" si="626"/>
        <v>#DIV/0!</v>
      </c>
      <c r="HF132" s="674" t="e">
        <f t="shared" si="627"/>
        <v>#DIV/0!</v>
      </c>
      <c r="HG132" s="599" t="e">
        <f>HF132-AVERAGE(HN94:HN95)</f>
        <v>#DIV/0!</v>
      </c>
      <c r="HH132" s="672" t="e">
        <f t="shared" si="628"/>
        <v>#DIV/0!</v>
      </c>
      <c r="HI132" s="675" t="e">
        <f t="shared" si="629"/>
        <v>#DIV/0!</v>
      </c>
      <c r="HJ132" s="614" t="e">
        <f t="shared" si="630"/>
        <v>#DIV/0!</v>
      </c>
      <c r="HK132" s="672" t="e">
        <f t="shared" si="631"/>
        <v>#DIV/0!</v>
      </c>
      <c r="HL132" s="600" t="e">
        <f t="shared" si="809"/>
        <v>#DIV/0!</v>
      </c>
      <c r="HM132" s="672" t="e">
        <f t="shared" si="632"/>
        <v>#DIV/0!</v>
      </c>
      <c r="HN132" s="676" t="e">
        <f t="shared" si="633"/>
        <v>#DIV/0!</v>
      </c>
      <c r="HO132" s="668"/>
      <c r="HP132" s="669"/>
      <c r="HQ132" s="670"/>
      <c r="HR132" s="671"/>
      <c r="HS132" s="678"/>
      <c r="HT132" s="650"/>
      <c r="HU132" s="651">
        <f t="shared" si="810"/>
        <v>0</v>
      </c>
      <c r="HV132" s="619" t="e">
        <f t="shared" si="634"/>
        <v>#DIV/0!</v>
      </c>
      <c r="HW132" s="674" t="e">
        <f t="shared" si="635"/>
        <v>#DIV/0!</v>
      </c>
      <c r="HX132" s="599" t="e">
        <f>HW132-AVERAGE(IE94:IE95)</f>
        <v>#DIV/0!</v>
      </c>
      <c r="HY132" s="672" t="e">
        <f t="shared" si="636"/>
        <v>#DIV/0!</v>
      </c>
      <c r="HZ132" s="675" t="e">
        <f t="shared" si="637"/>
        <v>#DIV/0!</v>
      </c>
      <c r="IA132" s="614" t="e">
        <f t="shared" si="638"/>
        <v>#DIV/0!</v>
      </c>
      <c r="IB132" s="672" t="e">
        <f t="shared" si="639"/>
        <v>#DIV/0!</v>
      </c>
      <c r="IC132" s="600" t="e">
        <f t="shared" si="811"/>
        <v>#DIV/0!</v>
      </c>
      <c r="ID132" s="672" t="e">
        <f t="shared" si="640"/>
        <v>#DIV/0!</v>
      </c>
      <c r="IE132" s="676" t="e">
        <f t="shared" si="641"/>
        <v>#DIV/0!</v>
      </c>
      <c r="IF132" s="668"/>
      <c r="IG132" s="669"/>
      <c r="IH132" s="670"/>
      <c r="II132" s="671"/>
      <c r="IJ132" s="678"/>
      <c r="IK132" s="650"/>
      <c r="IL132" s="651">
        <f t="shared" si="812"/>
        <v>0</v>
      </c>
      <c r="IM132" s="619" t="e">
        <f t="shared" si="642"/>
        <v>#DIV/0!</v>
      </c>
      <c r="IN132" s="674" t="e">
        <f t="shared" si="643"/>
        <v>#DIV/0!</v>
      </c>
      <c r="IO132" s="599" t="e">
        <f>IN132-AVERAGE(IV94:IV95)</f>
        <v>#DIV/0!</v>
      </c>
      <c r="IP132" s="672" t="e">
        <f t="shared" si="644"/>
        <v>#DIV/0!</v>
      </c>
      <c r="IQ132" s="675" t="e">
        <f t="shared" si="645"/>
        <v>#DIV/0!</v>
      </c>
      <c r="IR132" s="614" t="e">
        <f t="shared" si="646"/>
        <v>#DIV/0!</v>
      </c>
      <c r="IS132" s="672" t="e">
        <f t="shared" si="647"/>
        <v>#DIV/0!</v>
      </c>
      <c r="IT132" s="600" t="e">
        <f t="shared" si="813"/>
        <v>#DIV/0!</v>
      </c>
      <c r="IU132" s="672" t="e">
        <f t="shared" si="648"/>
        <v>#DIV/0!</v>
      </c>
      <c r="IV132" s="676" t="e">
        <f t="shared" si="649"/>
        <v>#DIV/0!</v>
      </c>
      <c r="IW132" s="668"/>
      <c r="IX132" s="669"/>
      <c r="IY132" s="670"/>
      <c r="IZ132" s="671"/>
      <c r="JA132" s="678"/>
      <c r="JB132" s="650"/>
      <c r="JC132" s="651">
        <f t="shared" si="814"/>
        <v>0</v>
      </c>
      <c r="JD132" s="619" t="e">
        <f t="shared" si="650"/>
        <v>#DIV/0!</v>
      </c>
      <c r="JE132" s="674" t="e">
        <f t="shared" si="651"/>
        <v>#DIV/0!</v>
      </c>
      <c r="JF132" s="599" t="e">
        <f>JE132-AVERAGE(JM94:JM95)</f>
        <v>#DIV/0!</v>
      </c>
      <c r="JG132" s="672" t="e">
        <f t="shared" si="652"/>
        <v>#DIV/0!</v>
      </c>
      <c r="JH132" s="675" t="e">
        <f t="shared" si="653"/>
        <v>#DIV/0!</v>
      </c>
      <c r="JI132" s="614" t="e">
        <f t="shared" si="654"/>
        <v>#DIV/0!</v>
      </c>
      <c r="JJ132" s="672" t="e">
        <f t="shared" si="655"/>
        <v>#DIV/0!</v>
      </c>
      <c r="JK132" s="600" t="e">
        <f t="shared" si="815"/>
        <v>#DIV/0!</v>
      </c>
      <c r="JL132" s="672" t="e">
        <f t="shared" si="656"/>
        <v>#DIV/0!</v>
      </c>
      <c r="JM132" s="676" t="e">
        <f t="shared" si="657"/>
        <v>#DIV/0!</v>
      </c>
      <c r="JN132" s="668"/>
      <c r="JO132" s="669"/>
      <c r="JP132" s="670"/>
      <c r="JQ132" s="671"/>
      <c r="JR132" s="678"/>
      <c r="JS132" s="650"/>
      <c r="JT132" s="651">
        <f t="shared" si="816"/>
        <v>0</v>
      </c>
      <c r="JU132" s="619" t="e">
        <f t="shared" si="658"/>
        <v>#DIV/0!</v>
      </c>
      <c r="JV132" s="674" t="e">
        <f t="shared" si="659"/>
        <v>#DIV/0!</v>
      </c>
      <c r="JW132" s="599" t="e">
        <f>JV132-AVERAGE(KD94:KD95)</f>
        <v>#DIV/0!</v>
      </c>
      <c r="JX132" s="672" t="e">
        <f t="shared" si="660"/>
        <v>#DIV/0!</v>
      </c>
      <c r="JY132" s="675" t="e">
        <f t="shared" si="661"/>
        <v>#DIV/0!</v>
      </c>
      <c r="JZ132" s="614" t="e">
        <f t="shared" si="662"/>
        <v>#DIV/0!</v>
      </c>
      <c r="KA132" s="672" t="e">
        <f t="shared" si="663"/>
        <v>#DIV/0!</v>
      </c>
      <c r="KB132" s="600" t="e">
        <f t="shared" si="817"/>
        <v>#DIV/0!</v>
      </c>
      <c r="KC132" s="672" t="e">
        <f t="shared" si="664"/>
        <v>#DIV/0!</v>
      </c>
      <c r="KD132" s="676" t="e">
        <f t="shared" si="665"/>
        <v>#DIV/0!</v>
      </c>
      <c r="KE132" s="668"/>
      <c r="KF132" s="669"/>
      <c r="KG132" s="670"/>
      <c r="KH132" s="671"/>
      <c r="KI132" s="678"/>
      <c r="KJ132" s="650"/>
      <c r="KK132" s="651">
        <f t="shared" si="818"/>
        <v>0</v>
      </c>
      <c r="KL132" s="619" t="e">
        <f t="shared" si="666"/>
        <v>#DIV/0!</v>
      </c>
      <c r="KM132" s="674" t="e">
        <f t="shared" si="667"/>
        <v>#DIV/0!</v>
      </c>
      <c r="KN132" s="599" t="e">
        <f>KM132-AVERAGE(KU94:KU95)</f>
        <v>#DIV/0!</v>
      </c>
      <c r="KO132" s="672" t="e">
        <f t="shared" si="668"/>
        <v>#DIV/0!</v>
      </c>
      <c r="KP132" s="675" t="e">
        <f t="shared" si="669"/>
        <v>#DIV/0!</v>
      </c>
      <c r="KQ132" s="614" t="e">
        <f t="shared" si="670"/>
        <v>#DIV/0!</v>
      </c>
      <c r="KR132" s="672" t="e">
        <f t="shared" si="671"/>
        <v>#DIV/0!</v>
      </c>
      <c r="KS132" s="600" t="e">
        <f t="shared" si="819"/>
        <v>#DIV/0!</v>
      </c>
      <c r="KT132" s="672" t="e">
        <f t="shared" si="672"/>
        <v>#DIV/0!</v>
      </c>
      <c r="KU132" s="676" t="e">
        <f t="shared" si="673"/>
        <v>#DIV/0!</v>
      </c>
      <c r="KV132" s="668"/>
      <c r="KW132" s="669"/>
      <c r="KX132" s="670"/>
      <c r="KY132" s="671"/>
      <c r="KZ132" s="678"/>
      <c r="LA132" s="650"/>
      <c r="LB132" s="651">
        <f t="shared" si="820"/>
        <v>0</v>
      </c>
      <c r="LC132" s="619" t="e">
        <f t="shared" si="674"/>
        <v>#DIV/0!</v>
      </c>
      <c r="LD132" s="674" t="e">
        <f t="shared" si="675"/>
        <v>#DIV/0!</v>
      </c>
      <c r="LE132" s="599" t="e">
        <f>LD132-AVERAGE(LL94:LL95)</f>
        <v>#DIV/0!</v>
      </c>
      <c r="LF132" s="672" t="e">
        <f t="shared" si="676"/>
        <v>#DIV/0!</v>
      </c>
      <c r="LG132" s="675" t="e">
        <f t="shared" si="677"/>
        <v>#DIV/0!</v>
      </c>
      <c r="LH132" s="614" t="e">
        <f t="shared" si="678"/>
        <v>#DIV/0!</v>
      </c>
      <c r="LI132" s="672" t="e">
        <f t="shared" si="679"/>
        <v>#DIV/0!</v>
      </c>
      <c r="LJ132" s="600" t="e">
        <f t="shared" si="821"/>
        <v>#DIV/0!</v>
      </c>
      <c r="LK132" s="672" t="e">
        <f t="shared" si="680"/>
        <v>#DIV/0!</v>
      </c>
      <c r="LL132" s="676" t="e">
        <f t="shared" si="681"/>
        <v>#DIV/0!</v>
      </c>
      <c r="LM132" s="668"/>
      <c r="LN132" s="669"/>
      <c r="LO132" s="670"/>
      <c r="LP132" s="671"/>
      <c r="LQ132" s="678"/>
      <c r="LR132" s="650"/>
      <c r="LS132" s="651">
        <f t="shared" si="822"/>
        <v>0</v>
      </c>
      <c r="LT132" s="619" t="e">
        <f t="shared" si="682"/>
        <v>#DIV/0!</v>
      </c>
      <c r="LU132" s="674" t="e">
        <f t="shared" si="683"/>
        <v>#DIV/0!</v>
      </c>
      <c r="LV132" s="599" t="e">
        <f>LU132-AVERAGE(MC94:MC95)</f>
        <v>#DIV/0!</v>
      </c>
      <c r="LW132" s="672" t="e">
        <f t="shared" si="684"/>
        <v>#DIV/0!</v>
      </c>
      <c r="LX132" s="675" t="e">
        <f t="shared" si="685"/>
        <v>#DIV/0!</v>
      </c>
      <c r="LY132" s="614" t="e">
        <f t="shared" si="686"/>
        <v>#DIV/0!</v>
      </c>
      <c r="LZ132" s="672" t="e">
        <f t="shared" si="687"/>
        <v>#DIV/0!</v>
      </c>
      <c r="MA132" s="600" t="e">
        <f t="shared" si="823"/>
        <v>#DIV/0!</v>
      </c>
      <c r="MB132" s="672" t="e">
        <f t="shared" si="688"/>
        <v>#DIV/0!</v>
      </c>
      <c r="MC132" s="676" t="e">
        <f t="shared" si="689"/>
        <v>#DIV/0!</v>
      </c>
      <c r="MD132" s="668"/>
      <c r="ME132" s="669"/>
      <c r="MF132" s="680"/>
      <c r="MG132" s="671"/>
      <c r="MH132" s="673"/>
      <c r="MI132" s="650"/>
      <c r="MJ132" s="651">
        <f t="shared" si="824"/>
        <v>0</v>
      </c>
      <c r="MK132" s="619" t="e">
        <f t="shared" si="690"/>
        <v>#DIV/0!</v>
      </c>
      <c r="ML132" s="674" t="e">
        <f t="shared" si="691"/>
        <v>#DIV/0!</v>
      </c>
      <c r="MM132" s="599" t="e">
        <f>ML132-AVERAGE(MT94:MT95)</f>
        <v>#DIV/0!</v>
      </c>
      <c r="MN132" s="672" t="e">
        <f t="shared" si="692"/>
        <v>#DIV/0!</v>
      </c>
      <c r="MO132" s="675" t="e">
        <f t="shared" si="693"/>
        <v>#DIV/0!</v>
      </c>
      <c r="MP132" s="614" t="e">
        <f t="shared" si="694"/>
        <v>#DIV/0!</v>
      </c>
      <c r="MQ132" s="672" t="e">
        <f t="shared" si="695"/>
        <v>#DIV/0!</v>
      </c>
      <c r="MR132" s="600" t="e">
        <f t="shared" si="825"/>
        <v>#DIV/0!</v>
      </c>
      <c r="MS132" s="672" t="e">
        <f t="shared" si="696"/>
        <v>#DIV/0!</v>
      </c>
      <c r="MT132" s="676" t="e">
        <f t="shared" si="697"/>
        <v>#DIV/0!</v>
      </c>
      <c r="MU132" s="668">
        <v>20.5</v>
      </c>
      <c r="MV132" s="669">
        <v>54</v>
      </c>
      <c r="MW132" s="680">
        <v>1007</v>
      </c>
      <c r="MX132" s="671">
        <v>-5.6230000000000003E-11</v>
      </c>
      <c r="MY132" s="678">
        <v>60</v>
      </c>
      <c r="MZ132" s="650">
        <v>43403</v>
      </c>
      <c r="NA132" s="651" t="str">
        <f t="shared" si="826"/>
        <v>rango cal. out</v>
      </c>
      <c r="NB132" s="619">
        <f t="shared" si="698"/>
        <v>0</v>
      </c>
      <c r="NC132" s="674" t="e">
        <f t="shared" si="699"/>
        <v>#VALUE!</v>
      </c>
      <c r="ND132" s="599" t="e">
        <f>NC132-AVERAGE(NK94:NK95)</f>
        <v>#VALUE!</v>
      </c>
      <c r="NE132" s="672" t="e">
        <f t="shared" si="700"/>
        <v>#VALUE!</v>
      </c>
      <c r="NF132" s="675" t="e">
        <f t="shared" si="701"/>
        <v>#VALUE!</v>
      </c>
      <c r="NG132" s="614" t="e">
        <f t="shared" si="702"/>
        <v>#VALUE!</v>
      </c>
      <c r="NH132" s="672" t="e">
        <f t="shared" si="703"/>
        <v>#VALUE!</v>
      </c>
      <c r="NI132" s="600" t="e">
        <f t="shared" si="827"/>
        <v>#VALUE!</v>
      </c>
      <c r="NJ132" s="672" t="e">
        <f t="shared" si="704"/>
        <v>#VALUE!</v>
      </c>
      <c r="NK132" s="676" t="e">
        <f t="shared" si="705"/>
        <v>#VALUE!</v>
      </c>
      <c r="NL132" s="668"/>
      <c r="NM132" s="669"/>
      <c r="NN132" s="670"/>
      <c r="NO132" s="671"/>
      <c r="NP132" s="678"/>
      <c r="NQ132" s="650"/>
      <c r="NR132" s="651">
        <f t="shared" si="828"/>
        <v>0</v>
      </c>
      <c r="NS132" s="619" t="e">
        <f t="shared" si="706"/>
        <v>#DIV/0!</v>
      </c>
      <c r="NT132" s="674" t="e">
        <f t="shared" si="707"/>
        <v>#DIV/0!</v>
      </c>
      <c r="NU132" s="599" t="e">
        <f>NT132-AVERAGE(OB94:OB95)</f>
        <v>#DIV/0!</v>
      </c>
      <c r="NV132" s="672" t="e">
        <f t="shared" si="708"/>
        <v>#DIV/0!</v>
      </c>
      <c r="NW132" s="675" t="e">
        <f t="shared" si="709"/>
        <v>#DIV/0!</v>
      </c>
      <c r="NX132" s="614" t="e">
        <f t="shared" si="710"/>
        <v>#DIV/0!</v>
      </c>
      <c r="NY132" s="672" t="e">
        <f t="shared" si="711"/>
        <v>#DIV/0!</v>
      </c>
      <c r="NZ132" s="600" t="e">
        <f t="shared" si="829"/>
        <v>#DIV/0!</v>
      </c>
      <c r="OA132" s="672" t="e">
        <f t="shared" si="712"/>
        <v>#DIV/0!</v>
      </c>
      <c r="OB132" s="676" t="e">
        <f t="shared" si="713"/>
        <v>#DIV/0!</v>
      </c>
      <c r="OC132" s="668">
        <v>20.5</v>
      </c>
      <c r="OD132" s="669">
        <v>54</v>
      </c>
      <c r="OE132" s="680">
        <v>1007</v>
      </c>
      <c r="OF132" s="671">
        <v>-1.3049999999999999E-10</v>
      </c>
      <c r="OG132" s="673">
        <v>60</v>
      </c>
      <c r="OH132" s="650">
        <v>43403</v>
      </c>
      <c r="OI132" s="651" t="str">
        <f t="shared" si="830"/>
        <v>rango cal. out</v>
      </c>
      <c r="OJ132" s="619">
        <f t="shared" si="714"/>
        <v>0</v>
      </c>
      <c r="OK132" s="674" t="e">
        <f t="shared" si="715"/>
        <v>#VALUE!</v>
      </c>
      <c r="OL132" s="599" t="e">
        <f>OK132-AVERAGE(OS94:OS95)</f>
        <v>#VALUE!</v>
      </c>
      <c r="OM132" s="672" t="e">
        <f t="shared" si="716"/>
        <v>#VALUE!</v>
      </c>
      <c r="ON132" s="675" t="e">
        <f t="shared" si="717"/>
        <v>#VALUE!</v>
      </c>
      <c r="OO132" s="614" t="e">
        <f t="shared" si="718"/>
        <v>#VALUE!</v>
      </c>
      <c r="OP132" s="672" t="e">
        <f t="shared" si="719"/>
        <v>#VALUE!</v>
      </c>
      <c r="OQ132" s="600" t="e">
        <f t="shared" si="831"/>
        <v>#VALUE!</v>
      </c>
      <c r="OR132" s="672" t="e">
        <f t="shared" si="720"/>
        <v>#VALUE!</v>
      </c>
      <c r="OS132" s="676" t="e">
        <f t="shared" si="721"/>
        <v>#VALUE!</v>
      </c>
      <c r="OT132" s="668"/>
      <c r="OU132" s="669"/>
      <c r="OV132" s="670"/>
      <c r="OW132" s="671"/>
      <c r="OX132" s="678"/>
      <c r="OY132" s="650"/>
      <c r="OZ132" s="651">
        <f t="shared" si="832"/>
        <v>0</v>
      </c>
      <c r="PA132" s="619" t="e">
        <f t="shared" si="722"/>
        <v>#DIV/0!</v>
      </c>
      <c r="PB132" s="674" t="e">
        <f t="shared" si="723"/>
        <v>#DIV/0!</v>
      </c>
      <c r="PC132" s="599" t="e">
        <f>PB132-AVERAGE(PJ94:PJ95)</f>
        <v>#DIV/0!</v>
      </c>
      <c r="PD132" s="672" t="e">
        <f t="shared" si="724"/>
        <v>#DIV/0!</v>
      </c>
      <c r="PE132" s="675" t="e">
        <f t="shared" si="725"/>
        <v>#DIV/0!</v>
      </c>
      <c r="PF132" s="614" t="e">
        <f t="shared" si="726"/>
        <v>#DIV/0!</v>
      </c>
      <c r="PG132" s="672" t="e">
        <f t="shared" si="727"/>
        <v>#DIV/0!</v>
      </c>
      <c r="PH132" s="600" t="e">
        <f t="shared" si="833"/>
        <v>#DIV/0!</v>
      </c>
      <c r="PI132" s="672" t="e">
        <f t="shared" si="728"/>
        <v>#DIV/0!</v>
      </c>
      <c r="PJ132" s="676" t="e">
        <f t="shared" si="729"/>
        <v>#DIV/0!</v>
      </c>
      <c r="PK132" s="668"/>
      <c r="PL132" s="669"/>
      <c r="PM132" s="670"/>
      <c r="PN132" s="671"/>
      <c r="PO132" s="678"/>
      <c r="PP132" s="650"/>
      <c r="PQ132" s="651">
        <f t="shared" si="834"/>
        <v>0</v>
      </c>
      <c r="PR132" s="619" t="e">
        <f t="shared" si="730"/>
        <v>#DIV/0!</v>
      </c>
      <c r="PS132" s="674" t="e">
        <f t="shared" si="731"/>
        <v>#DIV/0!</v>
      </c>
      <c r="PT132" s="599" t="e">
        <f>PS132-AVERAGE(QA94:QA95)</f>
        <v>#DIV/0!</v>
      </c>
      <c r="PU132" s="672" t="e">
        <f t="shared" si="732"/>
        <v>#DIV/0!</v>
      </c>
      <c r="PV132" s="675" t="e">
        <f t="shared" si="733"/>
        <v>#DIV/0!</v>
      </c>
      <c r="PW132" s="614" t="e">
        <f t="shared" si="734"/>
        <v>#DIV/0!</v>
      </c>
      <c r="PX132" s="672" t="e">
        <f t="shared" si="735"/>
        <v>#DIV/0!</v>
      </c>
      <c r="PY132" s="600" t="e">
        <f t="shared" si="835"/>
        <v>#DIV/0!</v>
      </c>
      <c r="PZ132" s="672" t="e">
        <f t="shared" si="736"/>
        <v>#DIV/0!</v>
      </c>
      <c r="QA132" s="676" t="e">
        <f t="shared" si="737"/>
        <v>#DIV/0!</v>
      </c>
      <c r="QB132" s="668"/>
      <c r="QC132" s="669"/>
      <c r="QD132" s="680"/>
      <c r="QE132" s="671"/>
      <c r="QF132" s="673"/>
      <c r="QG132" s="650"/>
      <c r="QH132" s="651">
        <f t="shared" si="836"/>
        <v>0</v>
      </c>
      <c r="QI132" s="619" t="e">
        <f t="shared" si="738"/>
        <v>#DIV/0!</v>
      </c>
      <c r="QJ132" s="674" t="e">
        <f t="shared" si="739"/>
        <v>#DIV/0!</v>
      </c>
      <c r="QK132" s="599" t="e">
        <f>QJ132-AVERAGE(QR94:QR95)</f>
        <v>#DIV/0!</v>
      </c>
      <c r="QL132" s="672" t="e">
        <f t="shared" si="740"/>
        <v>#DIV/0!</v>
      </c>
      <c r="QM132" s="675" t="e">
        <f t="shared" si="741"/>
        <v>#DIV/0!</v>
      </c>
      <c r="QN132" s="614" t="e">
        <f t="shared" si="742"/>
        <v>#DIV/0!</v>
      </c>
      <c r="QO132" s="672" t="e">
        <f t="shared" si="743"/>
        <v>#DIV/0!</v>
      </c>
      <c r="QP132" s="600" t="e">
        <f t="shared" si="837"/>
        <v>#DIV/0!</v>
      </c>
      <c r="QQ132" s="672" t="e">
        <f t="shared" si="744"/>
        <v>#DIV/0!</v>
      </c>
      <c r="QR132" s="676" t="e">
        <f t="shared" si="745"/>
        <v>#DIV/0!</v>
      </c>
      <c r="QS132" s="668"/>
      <c r="QT132" s="669"/>
      <c r="QU132" s="669"/>
      <c r="QV132" s="679"/>
      <c r="QW132" s="673"/>
      <c r="QX132" s="650"/>
      <c r="QY132" s="651">
        <f t="shared" si="838"/>
        <v>0</v>
      </c>
      <c r="QZ132" s="619" t="e">
        <f t="shared" si="746"/>
        <v>#DIV/0!</v>
      </c>
      <c r="RA132" s="674" t="e">
        <f t="shared" si="747"/>
        <v>#DIV/0!</v>
      </c>
      <c r="RB132" s="599" t="e">
        <f>RA132-AVERAGE(RI94:RI95)</f>
        <v>#DIV/0!</v>
      </c>
      <c r="RC132" s="672" t="e">
        <f t="shared" si="748"/>
        <v>#DIV/0!</v>
      </c>
      <c r="RD132" s="675" t="e">
        <f t="shared" si="749"/>
        <v>#DIV/0!</v>
      </c>
      <c r="RE132" s="614" t="e">
        <f t="shared" si="750"/>
        <v>#DIV/0!</v>
      </c>
      <c r="RF132" s="672" t="e">
        <f t="shared" si="751"/>
        <v>#DIV/0!</v>
      </c>
      <c r="RG132" s="600" t="e">
        <f t="shared" si="839"/>
        <v>#DIV/0!</v>
      </c>
      <c r="RH132" s="672" t="e">
        <f t="shared" si="752"/>
        <v>#DIV/0!</v>
      </c>
      <c r="RI132" s="676" t="e">
        <f t="shared" si="753"/>
        <v>#DIV/0!</v>
      </c>
      <c r="RJ132" s="668">
        <v>20.399999999999999</v>
      </c>
      <c r="RK132" s="669">
        <v>54</v>
      </c>
      <c r="RL132" s="680">
        <v>1007</v>
      </c>
      <c r="RM132" s="671">
        <v>-5.9900000000000001E-12</v>
      </c>
      <c r="RN132" s="673">
        <v>60</v>
      </c>
      <c r="RO132" s="650">
        <v>43403</v>
      </c>
      <c r="RP132" s="651" t="str">
        <f t="shared" si="840"/>
        <v>rango cal. out</v>
      </c>
      <c r="RQ132" s="619">
        <f t="shared" si="754"/>
        <v>0</v>
      </c>
      <c r="RR132" s="674" t="e">
        <f t="shared" si="755"/>
        <v>#VALUE!</v>
      </c>
      <c r="RS132" s="599" t="e">
        <f>RR132-AVERAGE(RZ94:RZ95)</f>
        <v>#VALUE!</v>
      </c>
      <c r="RT132" s="672" t="e">
        <f t="shared" si="756"/>
        <v>#VALUE!</v>
      </c>
      <c r="RU132" s="675" t="e">
        <f t="shared" si="757"/>
        <v>#VALUE!</v>
      </c>
      <c r="RV132" s="614" t="e">
        <f t="shared" si="758"/>
        <v>#VALUE!</v>
      </c>
      <c r="RW132" s="672" t="e">
        <f t="shared" si="759"/>
        <v>#VALUE!</v>
      </c>
      <c r="RX132" s="600" t="e">
        <f t="shared" si="841"/>
        <v>#VALUE!</v>
      </c>
      <c r="RY132" s="672" t="e">
        <f t="shared" si="760"/>
        <v>#VALUE!</v>
      </c>
      <c r="RZ132" s="676" t="e">
        <f t="shared" si="761"/>
        <v>#VALUE!</v>
      </c>
      <c r="SA132" s="668">
        <v>20.399999999999999</v>
      </c>
      <c r="SB132" s="669">
        <v>56</v>
      </c>
      <c r="SC132" s="680">
        <v>1008</v>
      </c>
      <c r="SD132" s="671">
        <v>-3.2469999999999997E-10</v>
      </c>
      <c r="SE132" s="673">
        <v>60</v>
      </c>
      <c r="SF132" s="650">
        <v>43403</v>
      </c>
      <c r="SG132" s="651" t="str">
        <f t="shared" si="842"/>
        <v>rango cal. out</v>
      </c>
      <c r="SH132" s="619">
        <f t="shared" si="762"/>
        <v>0</v>
      </c>
      <c r="SI132" s="674" t="e">
        <f t="shared" si="763"/>
        <v>#VALUE!</v>
      </c>
      <c r="SJ132" s="599" t="e">
        <f>SI132-AVERAGE(SQ94:SQ95)</f>
        <v>#VALUE!</v>
      </c>
      <c r="SK132" s="672" t="e">
        <f t="shared" si="764"/>
        <v>#VALUE!</v>
      </c>
      <c r="SL132" s="675" t="e">
        <f t="shared" si="765"/>
        <v>#VALUE!</v>
      </c>
      <c r="SM132" s="614" t="e">
        <f t="shared" si="766"/>
        <v>#VALUE!</v>
      </c>
      <c r="SN132" s="672" t="e">
        <f t="shared" si="767"/>
        <v>#VALUE!</v>
      </c>
      <c r="SO132" s="600" t="e">
        <f t="shared" si="843"/>
        <v>#VALUE!</v>
      </c>
      <c r="SP132" s="672" t="e">
        <f t="shared" si="768"/>
        <v>#VALUE!</v>
      </c>
      <c r="SQ132" s="676" t="e">
        <f t="shared" si="769"/>
        <v>#VALUE!</v>
      </c>
      <c r="SR132" s="668"/>
      <c r="SS132" s="669"/>
      <c r="ST132" s="670"/>
      <c r="SU132" s="671"/>
      <c r="SV132" s="678"/>
      <c r="SW132" s="650"/>
      <c r="SX132" s="651">
        <f t="shared" si="844"/>
        <v>0</v>
      </c>
      <c r="SY132" s="619" t="e">
        <f t="shared" si="770"/>
        <v>#DIV/0!</v>
      </c>
      <c r="SZ132" s="674" t="e">
        <f t="shared" si="771"/>
        <v>#DIV/0!</v>
      </c>
      <c r="TA132" s="599" t="e">
        <f>SZ132-AVERAGE(TH94:TH95)</f>
        <v>#DIV/0!</v>
      </c>
      <c r="TB132" s="672" t="e">
        <f t="shared" si="772"/>
        <v>#DIV/0!</v>
      </c>
      <c r="TC132" s="675" t="e">
        <f t="shared" si="773"/>
        <v>#DIV/0!</v>
      </c>
      <c r="TD132" s="614" t="e">
        <f t="shared" si="774"/>
        <v>#DIV/0!</v>
      </c>
      <c r="TE132" s="672" t="e">
        <f t="shared" si="775"/>
        <v>#DIV/0!</v>
      </c>
      <c r="TF132" s="600" t="e">
        <f t="shared" si="845"/>
        <v>#DIV/0!</v>
      </c>
      <c r="TG132" s="672" t="e">
        <f t="shared" si="776"/>
        <v>#DIV/0!</v>
      </c>
      <c r="TH132" s="676" t="e">
        <f t="shared" si="777"/>
        <v>#DIV/0!</v>
      </c>
      <c r="TI132" s="668">
        <v>20.5</v>
      </c>
      <c r="TJ132" s="669">
        <v>55</v>
      </c>
      <c r="TK132" s="680">
        <v>1008</v>
      </c>
      <c r="TL132" s="671">
        <v>-1.359E-11</v>
      </c>
      <c r="TM132" s="673">
        <v>60</v>
      </c>
      <c r="TN132" s="650">
        <v>43403</v>
      </c>
      <c r="TO132" s="651" t="str">
        <f t="shared" si="846"/>
        <v>rango cal. out</v>
      </c>
      <c r="TP132" s="619">
        <f t="shared" si="778"/>
        <v>0</v>
      </c>
      <c r="TQ132" s="674" t="e">
        <f t="shared" si="779"/>
        <v>#VALUE!</v>
      </c>
      <c r="TR132" s="599" t="e">
        <f>TQ132-AVERAGE(TY94:TY95)</f>
        <v>#VALUE!</v>
      </c>
      <c r="TS132" s="672" t="e">
        <f t="shared" si="780"/>
        <v>#VALUE!</v>
      </c>
      <c r="TT132" s="675" t="e">
        <f t="shared" si="781"/>
        <v>#VALUE!</v>
      </c>
      <c r="TU132" s="614" t="e">
        <f t="shared" si="782"/>
        <v>#VALUE!</v>
      </c>
      <c r="TV132" s="672" t="e">
        <f t="shared" si="783"/>
        <v>#VALUE!</v>
      </c>
      <c r="TW132" s="600" t="e">
        <f t="shared" si="847"/>
        <v>#VALUE!</v>
      </c>
      <c r="TX132" s="672" t="e">
        <f t="shared" si="784"/>
        <v>#VALUE!</v>
      </c>
      <c r="TY132" s="676" t="e">
        <f t="shared" si="785"/>
        <v>#VALUE!</v>
      </c>
    </row>
    <row r="133" spans="1:545" x14ac:dyDescent="0.25">
      <c r="A133" s="2219"/>
      <c r="B133" s="668"/>
      <c r="C133" s="673"/>
      <c r="D133" s="673"/>
      <c r="E133" s="671"/>
      <c r="F133" s="673"/>
      <c r="G133" s="650"/>
      <c r="H133" s="651"/>
      <c r="I133" s="619"/>
      <c r="J133" s="674"/>
      <c r="K133" s="599"/>
      <c r="L133" s="672"/>
      <c r="M133" s="675"/>
      <c r="N133" s="614"/>
      <c r="O133" s="672"/>
      <c r="P133" s="600"/>
      <c r="Q133" s="672"/>
      <c r="R133" s="676"/>
      <c r="S133" s="677"/>
      <c r="T133" s="669"/>
      <c r="U133" s="670"/>
      <c r="V133" s="671"/>
      <c r="W133" s="678"/>
      <c r="X133" s="650"/>
      <c r="Y133" s="651">
        <f t="shared" si="786"/>
        <v>0</v>
      </c>
      <c r="Z133" s="619" t="e">
        <f t="shared" si="538"/>
        <v>#DIV/0!</v>
      </c>
      <c r="AA133" s="674" t="e">
        <f t="shared" si="539"/>
        <v>#DIV/0!</v>
      </c>
      <c r="AB133" s="599" t="e">
        <f>AA133-AVERAGE(AI94:AI95)</f>
        <v>#DIV/0!</v>
      </c>
      <c r="AC133" s="672" t="e">
        <f t="shared" si="540"/>
        <v>#DIV/0!</v>
      </c>
      <c r="AD133" s="675" t="e">
        <f t="shared" si="541"/>
        <v>#DIV/0!</v>
      </c>
      <c r="AE133" s="614" t="e">
        <f t="shared" si="542"/>
        <v>#DIV/0!</v>
      </c>
      <c r="AF133" s="672" t="e">
        <f t="shared" si="543"/>
        <v>#DIV/0!</v>
      </c>
      <c r="AG133" s="600" t="e">
        <f t="shared" si="787"/>
        <v>#DIV/0!</v>
      </c>
      <c r="AH133" s="672" t="e">
        <f t="shared" si="544"/>
        <v>#DIV/0!</v>
      </c>
      <c r="AI133" s="676" t="e">
        <f t="shared" si="545"/>
        <v>#DIV/0!</v>
      </c>
      <c r="AJ133" s="677"/>
      <c r="AK133" s="669"/>
      <c r="AL133" s="670"/>
      <c r="AM133" s="671"/>
      <c r="AN133" s="678"/>
      <c r="AO133" s="650"/>
      <c r="AP133" s="651">
        <f t="shared" si="788"/>
        <v>0</v>
      </c>
      <c r="AQ133" s="619" t="e">
        <f t="shared" si="546"/>
        <v>#DIV/0!</v>
      </c>
      <c r="AR133" s="674" t="e">
        <f t="shared" si="547"/>
        <v>#DIV/0!</v>
      </c>
      <c r="AS133" s="599" t="e">
        <f>AR133-AVERAGE(AZ94:AZ95)</f>
        <v>#DIV/0!</v>
      </c>
      <c r="AT133" s="672" t="e">
        <f t="shared" si="548"/>
        <v>#DIV/0!</v>
      </c>
      <c r="AU133" s="675" t="e">
        <f t="shared" si="549"/>
        <v>#DIV/0!</v>
      </c>
      <c r="AV133" s="614" t="e">
        <f t="shared" si="550"/>
        <v>#DIV/0!</v>
      </c>
      <c r="AW133" s="672" t="e">
        <f t="shared" si="551"/>
        <v>#DIV/0!</v>
      </c>
      <c r="AX133" s="600" t="e">
        <f t="shared" si="789"/>
        <v>#DIV/0!</v>
      </c>
      <c r="AY133" s="672" t="e">
        <f t="shared" si="552"/>
        <v>#DIV/0!</v>
      </c>
      <c r="AZ133" s="676" t="e">
        <f t="shared" si="553"/>
        <v>#DIV/0!</v>
      </c>
      <c r="BA133" s="668">
        <v>20.5</v>
      </c>
      <c r="BB133" s="669">
        <v>53</v>
      </c>
      <c r="BC133" s="680">
        <v>1009</v>
      </c>
      <c r="BD133" s="671">
        <v>-8.454E-10</v>
      </c>
      <c r="BE133" s="673">
        <v>60</v>
      </c>
      <c r="BF133" s="650">
        <v>43403</v>
      </c>
      <c r="BG133" s="651" t="str">
        <f t="shared" si="790"/>
        <v>rango cal. out</v>
      </c>
      <c r="BH133" s="619">
        <f t="shared" si="554"/>
        <v>0</v>
      </c>
      <c r="BI133" s="674" t="e">
        <f t="shared" si="555"/>
        <v>#VALUE!</v>
      </c>
      <c r="BJ133" s="599" t="e">
        <f>BI133-AVERAGE(BQ94:BQ95)</f>
        <v>#VALUE!</v>
      </c>
      <c r="BK133" s="672" t="e">
        <f t="shared" si="556"/>
        <v>#VALUE!</v>
      </c>
      <c r="BL133" s="675" t="e">
        <f t="shared" si="557"/>
        <v>#VALUE!</v>
      </c>
      <c r="BM133" s="614" t="e">
        <f t="shared" si="558"/>
        <v>#VALUE!</v>
      </c>
      <c r="BN133" s="672" t="e">
        <f t="shared" si="559"/>
        <v>#VALUE!</v>
      </c>
      <c r="BO133" s="600" t="e">
        <f t="shared" si="791"/>
        <v>#VALUE!</v>
      </c>
      <c r="BP133" s="672" t="e">
        <f t="shared" si="560"/>
        <v>#VALUE!</v>
      </c>
      <c r="BQ133" s="676" t="e">
        <f t="shared" si="561"/>
        <v>#VALUE!</v>
      </c>
      <c r="BR133" s="668">
        <v>20.8</v>
      </c>
      <c r="BS133" s="669">
        <v>50</v>
      </c>
      <c r="BT133" s="680">
        <v>1008</v>
      </c>
      <c r="BU133" s="671">
        <v>-3.4829999999999998E-11</v>
      </c>
      <c r="BV133" s="673">
        <v>60</v>
      </c>
      <c r="BW133" s="650">
        <v>43403</v>
      </c>
      <c r="BX133" s="651" t="str">
        <f t="shared" si="792"/>
        <v>rango cal. out</v>
      </c>
      <c r="BY133" s="619">
        <f t="shared" si="562"/>
        <v>0</v>
      </c>
      <c r="BZ133" s="674" t="e">
        <f t="shared" si="563"/>
        <v>#VALUE!</v>
      </c>
      <c r="CA133" s="599" t="e">
        <f>BZ133-AVERAGE(CH94:CH95)</f>
        <v>#VALUE!</v>
      </c>
      <c r="CB133" s="672" t="e">
        <f t="shared" si="564"/>
        <v>#VALUE!</v>
      </c>
      <c r="CC133" s="675" t="e">
        <f t="shared" si="565"/>
        <v>#VALUE!</v>
      </c>
      <c r="CD133" s="614" t="e">
        <f t="shared" si="566"/>
        <v>#VALUE!</v>
      </c>
      <c r="CE133" s="672" t="e">
        <f t="shared" si="567"/>
        <v>#VALUE!</v>
      </c>
      <c r="CF133" s="600" t="e">
        <f t="shared" si="793"/>
        <v>#VALUE!</v>
      </c>
      <c r="CG133" s="672" t="e">
        <f t="shared" si="568"/>
        <v>#VALUE!</v>
      </c>
      <c r="CH133" s="676" t="e">
        <f t="shared" si="569"/>
        <v>#VALUE!</v>
      </c>
      <c r="CI133" s="668">
        <v>20.5</v>
      </c>
      <c r="CJ133" s="669">
        <v>53</v>
      </c>
      <c r="CK133" s="680">
        <v>1007</v>
      </c>
      <c r="CL133" s="671">
        <v>-1.9719999999999998E-9</v>
      </c>
      <c r="CM133" s="673">
        <v>60</v>
      </c>
      <c r="CN133" s="650">
        <v>43403</v>
      </c>
      <c r="CO133" s="651" t="str">
        <f t="shared" si="794"/>
        <v>rango cal. out</v>
      </c>
      <c r="CP133" s="619">
        <f t="shared" si="570"/>
        <v>0</v>
      </c>
      <c r="CQ133" s="674" t="e">
        <f t="shared" si="571"/>
        <v>#VALUE!</v>
      </c>
      <c r="CR133" s="599" t="e">
        <f>CQ133-AVERAGE(CY94:CY95)</f>
        <v>#VALUE!</v>
      </c>
      <c r="CS133" s="672" t="e">
        <f t="shared" si="572"/>
        <v>#VALUE!</v>
      </c>
      <c r="CT133" s="675" t="e">
        <f t="shared" si="573"/>
        <v>#VALUE!</v>
      </c>
      <c r="CU133" s="614" t="e">
        <f t="shared" si="574"/>
        <v>#VALUE!</v>
      </c>
      <c r="CV133" s="672" t="e">
        <f t="shared" si="575"/>
        <v>#VALUE!</v>
      </c>
      <c r="CW133" s="600" t="e">
        <f t="shared" si="795"/>
        <v>#VALUE!</v>
      </c>
      <c r="CX133" s="672" t="e">
        <f t="shared" si="576"/>
        <v>#VALUE!</v>
      </c>
      <c r="CY133" s="676" t="e">
        <f t="shared" si="577"/>
        <v>#VALUE!</v>
      </c>
      <c r="CZ133" s="668"/>
      <c r="DA133" s="669"/>
      <c r="DB133" s="670"/>
      <c r="DC133" s="671"/>
      <c r="DD133" s="678"/>
      <c r="DE133" s="650"/>
      <c r="DF133" s="651">
        <f t="shared" si="796"/>
        <v>0</v>
      </c>
      <c r="DG133" s="619" t="e">
        <f t="shared" si="578"/>
        <v>#DIV/0!</v>
      </c>
      <c r="DH133" s="674" t="e">
        <f t="shared" si="579"/>
        <v>#DIV/0!</v>
      </c>
      <c r="DI133" s="599" t="e">
        <f>DH133-AVERAGE(DP94:DP95)</f>
        <v>#DIV/0!</v>
      </c>
      <c r="DJ133" s="672" t="e">
        <f t="shared" si="580"/>
        <v>#DIV/0!</v>
      </c>
      <c r="DK133" s="675" t="e">
        <f t="shared" si="581"/>
        <v>#DIV/0!</v>
      </c>
      <c r="DL133" s="614" t="e">
        <f t="shared" si="582"/>
        <v>#DIV/0!</v>
      </c>
      <c r="DM133" s="672" t="e">
        <f t="shared" si="583"/>
        <v>#DIV/0!</v>
      </c>
      <c r="DN133" s="600" t="e">
        <f t="shared" si="797"/>
        <v>#DIV/0!</v>
      </c>
      <c r="DO133" s="672" t="e">
        <f t="shared" si="584"/>
        <v>#DIV/0!</v>
      </c>
      <c r="DP133" s="676" t="e">
        <f t="shared" si="585"/>
        <v>#DIV/0!</v>
      </c>
      <c r="DQ133" s="668"/>
      <c r="DR133" s="669"/>
      <c r="DS133" s="677"/>
      <c r="DT133" s="679"/>
      <c r="DU133" s="678"/>
      <c r="DV133" s="650"/>
      <c r="DW133" s="651">
        <f t="shared" si="798"/>
        <v>0</v>
      </c>
      <c r="DX133" s="619" t="e">
        <f t="shared" si="586"/>
        <v>#DIV/0!</v>
      </c>
      <c r="DY133" s="674" t="e">
        <f t="shared" si="587"/>
        <v>#DIV/0!</v>
      </c>
      <c r="DZ133" s="599" t="e">
        <f>DY133-AVERAGE(EG94:EG95)</f>
        <v>#DIV/0!</v>
      </c>
      <c r="EA133" s="672" t="e">
        <f t="shared" si="588"/>
        <v>#DIV/0!</v>
      </c>
      <c r="EB133" s="675" t="e">
        <f t="shared" si="589"/>
        <v>#DIV/0!</v>
      </c>
      <c r="EC133" s="614" t="e">
        <f t="shared" si="590"/>
        <v>#DIV/0!</v>
      </c>
      <c r="ED133" s="672" t="e">
        <f t="shared" si="591"/>
        <v>#DIV/0!</v>
      </c>
      <c r="EE133" s="600" t="e">
        <f t="shared" si="799"/>
        <v>#DIV/0!</v>
      </c>
      <c r="EF133" s="672" t="e">
        <f t="shared" si="592"/>
        <v>#DIV/0!</v>
      </c>
      <c r="EG133" s="676" t="e">
        <f t="shared" si="593"/>
        <v>#DIV/0!</v>
      </c>
      <c r="EH133" s="668">
        <v>20.3</v>
      </c>
      <c r="EI133" s="669">
        <v>53</v>
      </c>
      <c r="EJ133" s="680">
        <v>1007</v>
      </c>
      <c r="EK133" s="671">
        <v>-2.46E-12</v>
      </c>
      <c r="EL133" s="673">
        <v>60</v>
      </c>
      <c r="EM133" s="650">
        <v>43403</v>
      </c>
      <c r="EN133" s="651" t="str">
        <f t="shared" si="800"/>
        <v>rango cal. out</v>
      </c>
      <c r="EO133" s="619">
        <f t="shared" si="594"/>
        <v>0</v>
      </c>
      <c r="EP133" s="674" t="e">
        <f t="shared" si="595"/>
        <v>#VALUE!</v>
      </c>
      <c r="EQ133" s="599" t="e">
        <f>EP133-AVERAGE(EX94:EX95)</f>
        <v>#VALUE!</v>
      </c>
      <c r="ER133" s="672" t="e">
        <f t="shared" si="596"/>
        <v>#VALUE!</v>
      </c>
      <c r="ES133" s="675" t="e">
        <f t="shared" si="597"/>
        <v>#VALUE!</v>
      </c>
      <c r="ET133" s="614" t="e">
        <f t="shared" si="598"/>
        <v>#VALUE!</v>
      </c>
      <c r="EU133" s="672" t="e">
        <f t="shared" si="599"/>
        <v>#VALUE!</v>
      </c>
      <c r="EV133" s="600" t="e">
        <f t="shared" si="801"/>
        <v>#VALUE!</v>
      </c>
      <c r="EW133" s="672" t="e">
        <f t="shared" si="600"/>
        <v>#VALUE!</v>
      </c>
      <c r="EX133" s="676" t="e">
        <f t="shared" si="601"/>
        <v>#VALUE!</v>
      </c>
      <c r="EY133" s="668"/>
      <c r="EZ133" s="669"/>
      <c r="FA133" s="670"/>
      <c r="FB133" s="671"/>
      <c r="FC133" s="678"/>
      <c r="FD133" s="650"/>
      <c r="FE133" s="651">
        <f t="shared" si="802"/>
        <v>0</v>
      </c>
      <c r="FF133" s="619" t="e">
        <f t="shared" si="602"/>
        <v>#DIV/0!</v>
      </c>
      <c r="FG133" s="674" t="e">
        <f t="shared" si="603"/>
        <v>#DIV/0!</v>
      </c>
      <c r="FH133" s="599" t="e">
        <f>FG133-AVERAGE(FO94:FO95)</f>
        <v>#DIV/0!</v>
      </c>
      <c r="FI133" s="672" t="e">
        <f t="shared" si="604"/>
        <v>#DIV/0!</v>
      </c>
      <c r="FJ133" s="675" t="e">
        <f t="shared" si="605"/>
        <v>#DIV/0!</v>
      </c>
      <c r="FK133" s="614" t="e">
        <f t="shared" si="606"/>
        <v>#DIV/0!</v>
      </c>
      <c r="FL133" s="672" t="e">
        <f t="shared" si="607"/>
        <v>#DIV/0!</v>
      </c>
      <c r="FM133" s="600" t="e">
        <f t="shared" si="803"/>
        <v>#DIV/0!</v>
      </c>
      <c r="FN133" s="672" t="e">
        <f t="shared" si="608"/>
        <v>#DIV/0!</v>
      </c>
      <c r="FO133" s="676" t="e">
        <f t="shared" si="609"/>
        <v>#DIV/0!</v>
      </c>
      <c r="FP133" s="668"/>
      <c r="FQ133" s="669"/>
      <c r="FR133" s="670"/>
      <c r="FS133" s="671"/>
      <c r="FT133" s="678"/>
      <c r="FU133" s="650"/>
      <c r="FV133" s="651">
        <f t="shared" si="804"/>
        <v>0</v>
      </c>
      <c r="FW133" s="619" t="e">
        <f t="shared" si="610"/>
        <v>#DIV/0!</v>
      </c>
      <c r="FX133" s="674" t="e">
        <f t="shared" si="611"/>
        <v>#DIV/0!</v>
      </c>
      <c r="FY133" s="599" t="e">
        <f>FX133-AVERAGE(GF94:GF95)</f>
        <v>#DIV/0!</v>
      </c>
      <c r="FZ133" s="672" t="e">
        <f t="shared" si="612"/>
        <v>#DIV/0!</v>
      </c>
      <c r="GA133" s="675" t="e">
        <f t="shared" si="613"/>
        <v>#DIV/0!</v>
      </c>
      <c r="GB133" s="614" t="e">
        <f t="shared" si="614"/>
        <v>#DIV/0!</v>
      </c>
      <c r="GC133" s="672" t="e">
        <f t="shared" si="615"/>
        <v>#DIV/0!</v>
      </c>
      <c r="GD133" s="600" t="e">
        <f t="shared" si="805"/>
        <v>#DIV/0!</v>
      </c>
      <c r="GE133" s="672" t="e">
        <f t="shared" si="616"/>
        <v>#DIV/0!</v>
      </c>
      <c r="GF133" s="676" t="e">
        <f t="shared" si="617"/>
        <v>#DIV/0!</v>
      </c>
      <c r="GG133" s="668"/>
      <c r="GH133" s="669"/>
      <c r="GI133" s="677"/>
      <c r="GJ133" s="679"/>
      <c r="GK133" s="678"/>
      <c r="GL133" s="650"/>
      <c r="GM133" s="651">
        <f t="shared" si="806"/>
        <v>0</v>
      </c>
      <c r="GN133" s="619" t="e">
        <f t="shared" si="618"/>
        <v>#DIV/0!</v>
      </c>
      <c r="GO133" s="674" t="e">
        <f t="shared" si="619"/>
        <v>#DIV/0!</v>
      </c>
      <c r="GP133" s="599" t="e">
        <f>GO133-AVERAGE(GW94:GW95)</f>
        <v>#DIV/0!</v>
      </c>
      <c r="GQ133" s="672" t="e">
        <f t="shared" si="620"/>
        <v>#DIV/0!</v>
      </c>
      <c r="GR133" s="675" t="e">
        <f t="shared" si="621"/>
        <v>#DIV/0!</v>
      </c>
      <c r="GS133" s="614" t="e">
        <f t="shared" si="622"/>
        <v>#DIV/0!</v>
      </c>
      <c r="GT133" s="672" t="e">
        <f t="shared" si="623"/>
        <v>#DIV/0!</v>
      </c>
      <c r="GU133" s="600" t="e">
        <f t="shared" si="807"/>
        <v>#DIV/0!</v>
      </c>
      <c r="GV133" s="672" t="e">
        <f t="shared" si="624"/>
        <v>#DIV/0!</v>
      </c>
      <c r="GW133" s="676" t="e">
        <f t="shared" si="625"/>
        <v>#DIV/0!</v>
      </c>
      <c r="GX133" s="668"/>
      <c r="GY133" s="669"/>
      <c r="GZ133" s="670"/>
      <c r="HA133" s="671"/>
      <c r="HB133" s="678"/>
      <c r="HC133" s="650"/>
      <c r="HD133" s="651">
        <f t="shared" si="808"/>
        <v>0</v>
      </c>
      <c r="HE133" s="619" t="e">
        <f t="shared" si="626"/>
        <v>#DIV/0!</v>
      </c>
      <c r="HF133" s="674" t="e">
        <f t="shared" si="627"/>
        <v>#DIV/0!</v>
      </c>
      <c r="HG133" s="599" t="e">
        <f>HF133-AVERAGE(HN94:HN95)</f>
        <v>#DIV/0!</v>
      </c>
      <c r="HH133" s="672" t="e">
        <f t="shared" si="628"/>
        <v>#DIV/0!</v>
      </c>
      <c r="HI133" s="675" t="e">
        <f t="shared" si="629"/>
        <v>#DIV/0!</v>
      </c>
      <c r="HJ133" s="614" t="e">
        <f t="shared" si="630"/>
        <v>#DIV/0!</v>
      </c>
      <c r="HK133" s="672" t="e">
        <f t="shared" si="631"/>
        <v>#DIV/0!</v>
      </c>
      <c r="HL133" s="600" t="e">
        <f t="shared" si="809"/>
        <v>#DIV/0!</v>
      </c>
      <c r="HM133" s="672" t="e">
        <f t="shared" si="632"/>
        <v>#DIV/0!</v>
      </c>
      <c r="HN133" s="676" t="e">
        <f t="shared" si="633"/>
        <v>#DIV/0!</v>
      </c>
      <c r="HO133" s="668"/>
      <c r="HP133" s="669"/>
      <c r="HQ133" s="670"/>
      <c r="HR133" s="671"/>
      <c r="HS133" s="678"/>
      <c r="HT133" s="650"/>
      <c r="HU133" s="651">
        <f t="shared" si="810"/>
        <v>0</v>
      </c>
      <c r="HV133" s="619" t="e">
        <f t="shared" si="634"/>
        <v>#DIV/0!</v>
      </c>
      <c r="HW133" s="674" t="e">
        <f t="shared" si="635"/>
        <v>#DIV/0!</v>
      </c>
      <c r="HX133" s="599" t="e">
        <f>HW133-AVERAGE(IE94:IE95)</f>
        <v>#DIV/0!</v>
      </c>
      <c r="HY133" s="672" t="e">
        <f t="shared" si="636"/>
        <v>#DIV/0!</v>
      </c>
      <c r="HZ133" s="675" t="e">
        <f t="shared" si="637"/>
        <v>#DIV/0!</v>
      </c>
      <c r="IA133" s="614" t="e">
        <f t="shared" si="638"/>
        <v>#DIV/0!</v>
      </c>
      <c r="IB133" s="672" t="e">
        <f t="shared" si="639"/>
        <v>#DIV/0!</v>
      </c>
      <c r="IC133" s="600" t="e">
        <f t="shared" si="811"/>
        <v>#DIV/0!</v>
      </c>
      <c r="ID133" s="672" t="e">
        <f t="shared" si="640"/>
        <v>#DIV/0!</v>
      </c>
      <c r="IE133" s="676" t="e">
        <f t="shared" si="641"/>
        <v>#DIV/0!</v>
      </c>
      <c r="IF133" s="668"/>
      <c r="IG133" s="669"/>
      <c r="IH133" s="670"/>
      <c r="II133" s="671"/>
      <c r="IJ133" s="678"/>
      <c r="IK133" s="650"/>
      <c r="IL133" s="651">
        <f t="shared" si="812"/>
        <v>0</v>
      </c>
      <c r="IM133" s="619" t="e">
        <f t="shared" si="642"/>
        <v>#DIV/0!</v>
      </c>
      <c r="IN133" s="674" t="e">
        <f t="shared" si="643"/>
        <v>#DIV/0!</v>
      </c>
      <c r="IO133" s="599" t="e">
        <f>IN133-AVERAGE(IV94:IV95)</f>
        <v>#DIV/0!</v>
      </c>
      <c r="IP133" s="672" t="e">
        <f t="shared" si="644"/>
        <v>#DIV/0!</v>
      </c>
      <c r="IQ133" s="675" t="e">
        <f t="shared" si="645"/>
        <v>#DIV/0!</v>
      </c>
      <c r="IR133" s="614" t="e">
        <f t="shared" si="646"/>
        <v>#DIV/0!</v>
      </c>
      <c r="IS133" s="672" t="e">
        <f t="shared" si="647"/>
        <v>#DIV/0!</v>
      </c>
      <c r="IT133" s="600" t="e">
        <f t="shared" si="813"/>
        <v>#DIV/0!</v>
      </c>
      <c r="IU133" s="672" t="e">
        <f t="shared" si="648"/>
        <v>#DIV/0!</v>
      </c>
      <c r="IV133" s="676" t="e">
        <f t="shared" si="649"/>
        <v>#DIV/0!</v>
      </c>
      <c r="IW133" s="668"/>
      <c r="IX133" s="669"/>
      <c r="IY133" s="670"/>
      <c r="IZ133" s="671"/>
      <c r="JA133" s="678"/>
      <c r="JB133" s="650"/>
      <c r="JC133" s="651">
        <f t="shared" si="814"/>
        <v>0</v>
      </c>
      <c r="JD133" s="619" t="e">
        <f t="shared" si="650"/>
        <v>#DIV/0!</v>
      </c>
      <c r="JE133" s="674" t="e">
        <f t="shared" si="651"/>
        <v>#DIV/0!</v>
      </c>
      <c r="JF133" s="599" t="e">
        <f>JE133-AVERAGE(JM94:JM95)</f>
        <v>#DIV/0!</v>
      </c>
      <c r="JG133" s="672" t="e">
        <f t="shared" si="652"/>
        <v>#DIV/0!</v>
      </c>
      <c r="JH133" s="675" t="e">
        <f t="shared" si="653"/>
        <v>#DIV/0!</v>
      </c>
      <c r="JI133" s="614" t="e">
        <f t="shared" si="654"/>
        <v>#DIV/0!</v>
      </c>
      <c r="JJ133" s="672" t="e">
        <f t="shared" si="655"/>
        <v>#DIV/0!</v>
      </c>
      <c r="JK133" s="600" t="e">
        <f t="shared" si="815"/>
        <v>#DIV/0!</v>
      </c>
      <c r="JL133" s="672" t="e">
        <f t="shared" si="656"/>
        <v>#DIV/0!</v>
      </c>
      <c r="JM133" s="676" t="e">
        <f t="shared" si="657"/>
        <v>#DIV/0!</v>
      </c>
      <c r="JN133" s="668"/>
      <c r="JO133" s="669"/>
      <c r="JP133" s="670"/>
      <c r="JQ133" s="671"/>
      <c r="JR133" s="678"/>
      <c r="JS133" s="650"/>
      <c r="JT133" s="651">
        <f t="shared" si="816"/>
        <v>0</v>
      </c>
      <c r="JU133" s="619" t="e">
        <f t="shared" si="658"/>
        <v>#DIV/0!</v>
      </c>
      <c r="JV133" s="674" t="e">
        <f t="shared" si="659"/>
        <v>#DIV/0!</v>
      </c>
      <c r="JW133" s="599" t="e">
        <f>JV133-AVERAGE(KD94:KD95)</f>
        <v>#DIV/0!</v>
      </c>
      <c r="JX133" s="672" t="e">
        <f t="shared" si="660"/>
        <v>#DIV/0!</v>
      </c>
      <c r="JY133" s="675" t="e">
        <f t="shared" si="661"/>
        <v>#DIV/0!</v>
      </c>
      <c r="JZ133" s="614" t="e">
        <f t="shared" si="662"/>
        <v>#DIV/0!</v>
      </c>
      <c r="KA133" s="672" t="e">
        <f t="shared" si="663"/>
        <v>#DIV/0!</v>
      </c>
      <c r="KB133" s="600" t="e">
        <f t="shared" si="817"/>
        <v>#DIV/0!</v>
      </c>
      <c r="KC133" s="672" t="e">
        <f t="shared" si="664"/>
        <v>#DIV/0!</v>
      </c>
      <c r="KD133" s="676" t="e">
        <f t="shared" si="665"/>
        <v>#DIV/0!</v>
      </c>
      <c r="KE133" s="668"/>
      <c r="KF133" s="669"/>
      <c r="KG133" s="670"/>
      <c r="KH133" s="671"/>
      <c r="KI133" s="678"/>
      <c r="KJ133" s="650"/>
      <c r="KK133" s="651">
        <f t="shared" si="818"/>
        <v>0</v>
      </c>
      <c r="KL133" s="619" t="e">
        <f t="shared" si="666"/>
        <v>#DIV/0!</v>
      </c>
      <c r="KM133" s="674" t="e">
        <f t="shared" si="667"/>
        <v>#DIV/0!</v>
      </c>
      <c r="KN133" s="599" t="e">
        <f>KM133-AVERAGE(KU94:KU95)</f>
        <v>#DIV/0!</v>
      </c>
      <c r="KO133" s="672" t="e">
        <f t="shared" si="668"/>
        <v>#DIV/0!</v>
      </c>
      <c r="KP133" s="675" t="e">
        <f t="shared" si="669"/>
        <v>#DIV/0!</v>
      </c>
      <c r="KQ133" s="614" t="e">
        <f t="shared" si="670"/>
        <v>#DIV/0!</v>
      </c>
      <c r="KR133" s="672" t="e">
        <f t="shared" si="671"/>
        <v>#DIV/0!</v>
      </c>
      <c r="KS133" s="600" t="e">
        <f t="shared" si="819"/>
        <v>#DIV/0!</v>
      </c>
      <c r="KT133" s="672" t="e">
        <f t="shared" si="672"/>
        <v>#DIV/0!</v>
      </c>
      <c r="KU133" s="676" t="e">
        <f t="shared" si="673"/>
        <v>#DIV/0!</v>
      </c>
      <c r="KV133" s="668"/>
      <c r="KW133" s="669"/>
      <c r="KX133" s="670"/>
      <c r="KY133" s="671"/>
      <c r="KZ133" s="678"/>
      <c r="LA133" s="650"/>
      <c r="LB133" s="651">
        <f t="shared" si="820"/>
        <v>0</v>
      </c>
      <c r="LC133" s="619" t="e">
        <f t="shared" si="674"/>
        <v>#DIV/0!</v>
      </c>
      <c r="LD133" s="674" t="e">
        <f t="shared" si="675"/>
        <v>#DIV/0!</v>
      </c>
      <c r="LE133" s="599" t="e">
        <f>LD133-AVERAGE(LL94:LL95)</f>
        <v>#DIV/0!</v>
      </c>
      <c r="LF133" s="672" t="e">
        <f t="shared" si="676"/>
        <v>#DIV/0!</v>
      </c>
      <c r="LG133" s="675" t="e">
        <f t="shared" si="677"/>
        <v>#DIV/0!</v>
      </c>
      <c r="LH133" s="614" t="e">
        <f t="shared" si="678"/>
        <v>#DIV/0!</v>
      </c>
      <c r="LI133" s="672" t="e">
        <f t="shared" si="679"/>
        <v>#DIV/0!</v>
      </c>
      <c r="LJ133" s="600" t="e">
        <f t="shared" si="821"/>
        <v>#DIV/0!</v>
      </c>
      <c r="LK133" s="672" t="e">
        <f t="shared" si="680"/>
        <v>#DIV/0!</v>
      </c>
      <c r="LL133" s="676" t="e">
        <f t="shared" si="681"/>
        <v>#DIV/0!</v>
      </c>
      <c r="LM133" s="668"/>
      <c r="LN133" s="669"/>
      <c r="LO133" s="670"/>
      <c r="LP133" s="671"/>
      <c r="LQ133" s="678"/>
      <c r="LR133" s="650"/>
      <c r="LS133" s="651">
        <f t="shared" si="822"/>
        <v>0</v>
      </c>
      <c r="LT133" s="619" t="e">
        <f t="shared" si="682"/>
        <v>#DIV/0!</v>
      </c>
      <c r="LU133" s="674" t="e">
        <f t="shared" si="683"/>
        <v>#DIV/0!</v>
      </c>
      <c r="LV133" s="599" t="e">
        <f>LU133-AVERAGE(MC94:MC95)</f>
        <v>#DIV/0!</v>
      </c>
      <c r="LW133" s="672" t="e">
        <f t="shared" si="684"/>
        <v>#DIV/0!</v>
      </c>
      <c r="LX133" s="675" t="e">
        <f t="shared" si="685"/>
        <v>#DIV/0!</v>
      </c>
      <c r="LY133" s="614" t="e">
        <f t="shared" si="686"/>
        <v>#DIV/0!</v>
      </c>
      <c r="LZ133" s="672" t="e">
        <f t="shared" si="687"/>
        <v>#DIV/0!</v>
      </c>
      <c r="MA133" s="600" t="e">
        <f t="shared" si="823"/>
        <v>#DIV/0!</v>
      </c>
      <c r="MB133" s="672" t="e">
        <f t="shared" si="688"/>
        <v>#DIV/0!</v>
      </c>
      <c r="MC133" s="676" t="e">
        <f t="shared" si="689"/>
        <v>#DIV/0!</v>
      </c>
      <c r="MD133" s="668"/>
      <c r="ME133" s="669"/>
      <c r="MF133" s="680"/>
      <c r="MG133" s="671"/>
      <c r="MH133" s="673"/>
      <c r="MI133" s="650"/>
      <c r="MJ133" s="651">
        <f t="shared" si="824"/>
        <v>0</v>
      </c>
      <c r="MK133" s="619" t="e">
        <f t="shared" si="690"/>
        <v>#DIV/0!</v>
      </c>
      <c r="ML133" s="674" t="e">
        <f t="shared" si="691"/>
        <v>#DIV/0!</v>
      </c>
      <c r="MM133" s="599" t="e">
        <f>ML133-AVERAGE(MT94:MT95)</f>
        <v>#DIV/0!</v>
      </c>
      <c r="MN133" s="672" t="e">
        <f t="shared" si="692"/>
        <v>#DIV/0!</v>
      </c>
      <c r="MO133" s="675" t="e">
        <f t="shared" si="693"/>
        <v>#DIV/0!</v>
      </c>
      <c r="MP133" s="614" t="e">
        <f t="shared" si="694"/>
        <v>#DIV/0!</v>
      </c>
      <c r="MQ133" s="672" t="e">
        <f t="shared" si="695"/>
        <v>#DIV/0!</v>
      </c>
      <c r="MR133" s="600" t="e">
        <f t="shared" si="825"/>
        <v>#DIV/0!</v>
      </c>
      <c r="MS133" s="672" t="e">
        <f t="shared" si="696"/>
        <v>#DIV/0!</v>
      </c>
      <c r="MT133" s="676" t="e">
        <f t="shared" si="697"/>
        <v>#DIV/0!</v>
      </c>
      <c r="MU133" s="668">
        <v>20.5</v>
      </c>
      <c r="MV133" s="669">
        <v>54</v>
      </c>
      <c r="MW133" s="680">
        <v>1007</v>
      </c>
      <c r="MX133" s="671">
        <v>-5.6419999999999997E-11</v>
      </c>
      <c r="MY133" s="678">
        <v>60</v>
      </c>
      <c r="MZ133" s="650">
        <v>43403</v>
      </c>
      <c r="NA133" s="651" t="str">
        <f t="shared" si="826"/>
        <v>rango cal. out</v>
      </c>
      <c r="NB133" s="619">
        <f t="shared" si="698"/>
        <v>0</v>
      </c>
      <c r="NC133" s="674" t="e">
        <f t="shared" si="699"/>
        <v>#VALUE!</v>
      </c>
      <c r="ND133" s="599" t="e">
        <f>NC133-AVERAGE(NK94:NK95)</f>
        <v>#VALUE!</v>
      </c>
      <c r="NE133" s="672" t="e">
        <f t="shared" si="700"/>
        <v>#VALUE!</v>
      </c>
      <c r="NF133" s="675" t="e">
        <f t="shared" si="701"/>
        <v>#VALUE!</v>
      </c>
      <c r="NG133" s="614" t="e">
        <f t="shared" si="702"/>
        <v>#VALUE!</v>
      </c>
      <c r="NH133" s="672" t="e">
        <f t="shared" si="703"/>
        <v>#VALUE!</v>
      </c>
      <c r="NI133" s="600" t="e">
        <f t="shared" si="827"/>
        <v>#VALUE!</v>
      </c>
      <c r="NJ133" s="672" t="e">
        <f t="shared" si="704"/>
        <v>#VALUE!</v>
      </c>
      <c r="NK133" s="676" t="e">
        <f t="shared" si="705"/>
        <v>#VALUE!</v>
      </c>
      <c r="NL133" s="668"/>
      <c r="NM133" s="669"/>
      <c r="NN133" s="670"/>
      <c r="NO133" s="671"/>
      <c r="NP133" s="678"/>
      <c r="NQ133" s="650"/>
      <c r="NR133" s="651">
        <f t="shared" si="828"/>
        <v>0</v>
      </c>
      <c r="NS133" s="619" t="e">
        <f t="shared" si="706"/>
        <v>#DIV/0!</v>
      </c>
      <c r="NT133" s="674" t="e">
        <f t="shared" si="707"/>
        <v>#DIV/0!</v>
      </c>
      <c r="NU133" s="599" t="e">
        <f>NT133-AVERAGE(OB94:OB95)</f>
        <v>#DIV/0!</v>
      </c>
      <c r="NV133" s="672" t="e">
        <f t="shared" si="708"/>
        <v>#DIV/0!</v>
      </c>
      <c r="NW133" s="675" t="e">
        <f t="shared" si="709"/>
        <v>#DIV/0!</v>
      </c>
      <c r="NX133" s="614" t="e">
        <f t="shared" si="710"/>
        <v>#DIV/0!</v>
      </c>
      <c r="NY133" s="672" t="e">
        <f t="shared" si="711"/>
        <v>#DIV/0!</v>
      </c>
      <c r="NZ133" s="600" t="e">
        <f t="shared" si="829"/>
        <v>#DIV/0!</v>
      </c>
      <c r="OA133" s="672" t="e">
        <f t="shared" si="712"/>
        <v>#DIV/0!</v>
      </c>
      <c r="OB133" s="676" t="e">
        <f t="shared" si="713"/>
        <v>#DIV/0!</v>
      </c>
      <c r="OC133" s="668">
        <v>20.5</v>
      </c>
      <c r="OD133" s="669">
        <v>54</v>
      </c>
      <c r="OE133" s="680">
        <v>1007</v>
      </c>
      <c r="OF133" s="671">
        <v>-1.3140000000000001E-10</v>
      </c>
      <c r="OG133" s="673">
        <v>60</v>
      </c>
      <c r="OH133" s="650">
        <v>43403</v>
      </c>
      <c r="OI133" s="651" t="str">
        <f t="shared" si="830"/>
        <v>rango cal. out</v>
      </c>
      <c r="OJ133" s="619">
        <f t="shared" si="714"/>
        <v>0</v>
      </c>
      <c r="OK133" s="674" t="e">
        <f t="shared" si="715"/>
        <v>#VALUE!</v>
      </c>
      <c r="OL133" s="599" t="e">
        <f>OK133-AVERAGE(OS94:OS95)</f>
        <v>#VALUE!</v>
      </c>
      <c r="OM133" s="672" t="e">
        <f t="shared" si="716"/>
        <v>#VALUE!</v>
      </c>
      <c r="ON133" s="675" t="e">
        <f t="shared" si="717"/>
        <v>#VALUE!</v>
      </c>
      <c r="OO133" s="614" t="e">
        <f t="shared" si="718"/>
        <v>#VALUE!</v>
      </c>
      <c r="OP133" s="672" t="e">
        <f t="shared" si="719"/>
        <v>#VALUE!</v>
      </c>
      <c r="OQ133" s="600" t="e">
        <f t="shared" si="831"/>
        <v>#VALUE!</v>
      </c>
      <c r="OR133" s="672" t="e">
        <f t="shared" si="720"/>
        <v>#VALUE!</v>
      </c>
      <c r="OS133" s="676" t="e">
        <f t="shared" si="721"/>
        <v>#VALUE!</v>
      </c>
      <c r="OT133" s="668"/>
      <c r="OU133" s="669"/>
      <c r="OV133" s="670"/>
      <c r="OW133" s="671"/>
      <c r="OX133" s="678"/>
      <c r="OY133" s="650"/>
      <c r="OZ133" s="651">
        <f t="shared" si="832"/>
        <v>0</v>
      </c>
      <c r="PA133" s="619" t="e">
        <f t="shared" si="722"/>
        <v>#DIV/0!</v>
      </c>
      <c r="PB133" s="674" t="e">
        <f t="shared" si="723"/>
        <v>#DIV/0!</v>
      </c>
      <c r="PC133" s="599" t="e">
        <f>PB133-AVERAGE(PJ94:PJ95)</f>
        <v>#DIV/0!</v>
      </c>
      <c r="PD133" s="672" t="e">
        <f t="shared" si="724"/>
        <v>#DIV/0!</v>
      </c>
      <c r="PE133" s="675" t="e">
        <f t="shared" si="725"/>
        <v>#DIV/0!</v>
      </c>
      <c r="PF133" s="614" t="e">
        <f t="shared" si="726"/>
        <v>#DIV/0!</v>
      </c>
      <c r="PG133" s="672" t="e">
        <f t="shared" si="727"/>
        <v>#DIV/0!</v>
      </c>
      <c r="PH133" s="600" t="e">
        <f t="shared" si="833"/>
        <v>#DIV/0!</v>
      </c>
      <c r="PI133" s="672" t="e">
        <f t="shared" si="728"/>
        <v>#DIV/0!</v>
      </c>
      <c r="PJ133" s="676" t="e">
        <f t="shared" si="729"/>
        <v>#DIV/0!</v>
      </c>
      <c r="PK133" s="668"/>
      <c r="PL133" s="669"/>
      <c r="PM133" s="670"/>
      <c r="PN133" s="671"/>
      <c r="PO133" s="678"/>
      <c r="PP133" s="650"/>
      <c r="PQ133" s="651">
        <f t="shared" si="834"/>
        <v>0</v>
      </c>
      <c r="PR133" s="619" t="e">
        <f t="shared" si="730"/>
        <v>#DIV/0!</v>
      </c>
      <c r="PS133" s="674" t="e">
        <f t="shared" si="731"/>
        <v>#DIV/0!</v>
      </c>
      <c r="PT133" s="599" t="e">
        <f>PS133-AVERAGE(QA94:QA95)</f>
        <v>#DIV/0!</v>
      </c>
      <c r="PU133" s="672" t="e">
        <f t="shared" si="732"/>
        <v>#DIV/0!</v>
      </c>
      <c r="PV133" s="675" t="e">
        <f t="shared" si="733"/>
        <v>#DIV/0!</v>
      </c>
      <c r="PW133" s="614" t="e">
        <f t="shared" si="734"/>
        <v>#DIV/0!</v>
      </c>
      <c r="PX133" s="672" t="e">
        <f t="shared" si="735"/>
        <v>#DIV/0!</v>
      </c>
      <c r="PY133" s="600" t="e">
        <f t="shared" si="835"/>
        <v>#DIV/0!</v>
      </c>
      <c r="PZ133" s="672" t="e">
        <f t="shared" si="736"/>
        <v>#DIV/0!</v>
      </c>
      <c r="QA133" s="676" t="e">
        <f t="shared" si="737"/>
        <v>#DIV/0!</v>
      </c>
      <c r="QB133" s="668"/>
      <c r="QC133" s="669"/>
      <c r="QD133" s="680"/>
      <c r="QE133" s="671"/>
      <c r="QF133" s="673"/>
      <c r="QG133" s="650"/>
      <c r="QH133" s="651">
        <f t="shared" si="836"/>
        <v>0</v>
      </c>
      <c r="QI133" s="619" t="e">
        <f t="shared" si="738"/>
        <v>#DIV/0!</v>
      </c>
      <c r="QJ133" s="674" t="e">
        <f t="shared" si="739"/>
        <v>#DIV/0!</v>
      </c>
      <c r="QK133" s="599" t="e">
        <f>QJ133-AVERAGE(QR94:QR95)</f>
        <v>#DIV/0!</v>
      </c>
      <c r="QL133" s="672" t="e">
        <f t="shared" si="740"/>
        <v>#DIV/0!</v>
      </c>
      <c r="QM133" s="675" t="e">
        <f t="shared" si="741"/>
        <v>#DIV/0!</v>
      </c>
      <c r="QN133" s="614" t="e">
        <f t="shared" si="742"/>
        <v>#DIV/0!</v>
      </c>
      <c r="QO133" s="672" t="e">
        <f t="shared" si="743"/>
        <v>#DIV/0!</v>
      </c>
      <c r="QP133" s="600" t="e">
        <f t="shared" si="837"/>
        <v>#DIV/0!</v>
      </c>
      <c r="QQ133" s="672" t="e">
        <f t="shared" si="744"/>
        <v>#DIV/0!</v>
      </c>
      <c r="QR133" s="676" t="e">
        <f t="shared" si="745"/>
        <v>#DIV/0!</v>
      </c>
      <c r="QS133" s="668"/>
      <c r="QT133" s="669"/>
      <c r="QU133" s="669"/>
      <c r="QV133" s="679"/>
      <c r="QW133" s="673"/>
      <c r="QX133" s="650"/>
      <c r="QY133" s="651">
        <f t="shared" si="838"/>
        <v>0</v>
      </c>
      <c r="QZ133" s="619" t="e">
        <f t="shared" si="746"/>
        <v>#DIV/0!</v>
      </c>
      <c r="RA133" s="674" t="e">
        <f t="shared" si="747"/>
        <v>#DIV/0!</v>
      </c>
      <c r="RB133" s="599" t="e">
        <f>RA133-AVERAGE(RI94:RI95)</f>
        <v>#DIV/0!</v>
      </c>
      <c r="RC133" s="672" t="e">
        <f t="shared" si="748"/>
        <v>#DIV/0!</v>
      </c>
      <c r="RD133" s="675" t="e">
        <f t="shared" si="749"/>
        <v>#DIV/0!</v>
      </c>
      <c r="RE133" s="614" t="e">
        <f t="shared" si="750"/>
        <v>#DIV/0!</v>
      </c>
      <c r="RF133" s="672" t="e">
        <f t="shared" si="751"/>
        <v>#DIV/0!</v>
      </c>
      <c r="RG133" s="600" t="e">
        <f t="shared" si="839"/>
        <v>#DIV/0!</v>
      </c>
      <c r="RH133" s="672" t="e">
        <f t="shared" si="752"/>
        <v>#DIV/0!</v>
      </c>
      <c r="RI133" s="676" t="e">
        <f t="shared" si="753"/>
        <v>#DIV/0!</v>
      </c>
      <c r="RJ133" s="668">
        <v>20.5</v>
      </c>
      <c r="RK133" s="669">
        <v>55</v>
      </c>
      <c r="RL133" s="680">
        <v>1007</v>
      </c>
      <c r="RM133" s="671">
        <v>-6.0699999999999998E-12</v>
      </c>
      <c r="RN133" s="673">
        <v>60</v>
      </c>
      <c r="RO133" s="650">
        <v>43403</v>
      </c>
      <c r="RP133" s="651" t="str">
        <f t="shared" si="840"/>
        <v>rango cal. out</v>
      </c>
      <c r="RQ133" s="619">
        <f t="shared" si="754"/>
        <v>0</v>
      </c>
      <c r="RR133" s="674" t="e">
        <f t="shared" si="755"/>
        <v>#VALUE!</v>
      </c>
      <c r="RS133" s="599" t="e">
        <f>RR133-AVERAGE(RZ94:RZ95)</f>
        <v>#VALUE!</v>
      </c>
      <c r="RT133" s="672" t="e">
        <f t="shared" si="756"/>
        <v>#VALUE!</v>
      </c>
      <c r="RU133" s="675" t="e">
        <f t="shared" si="757"/>
        <v>#VALUE!</v>
      </c>
      <c r="RV133" s="614" t="e">
        <f t="shared" si="758"/>
        <v>#VALUE!</v>
      </c>
      <c r="RW133" s="672" t="e">
        <f t="shared" si="759"/>
        <v>#VALUE!</v>
      </c>
      <c r="RX133" s="600" t="e">
        <f t="shared" si="841"/>
        <v>#VALUE!</v>
      </c>
      <c r="RY133" s="672" t="e">
        <f t="shared" si="760"/>
        <v>#VALUE!</v>
      </c>
      <c r="RZ133" s="676" t="e">
        <f t="shared" si="761"/>
        <v>#VALUE!</v>
      </c>
      <c r="SA133" s="668">
        <v>20.5</v>
      </c>
      <c r="SB133" s="669">
        <v>56</v>
      </c>
      <c r="SC133" s="680">
        <v>1008</v>
      </c>
      <c r="SD133" s="671">
        <v>-3.2520000000000002E-10</v>
      </c>
      <c r="SE133" s="673">
        <v>60</v>
      </c>
      <c r="SF133" s="650">
        <v>43403</v>
      </c>
      <c r="SG133" s="651" t="str">
        <f t="shared" si="842"/>
        <v>rango cal. out</v>
      </c>
      <c r="SH133" s="619">
        <f t="shared" si="762"/>
        <v>0</v>
      </c>
      <c r="SI133" s="674" t="e">
        <f t="shared" si="763"/>
        <v>#VALUE!</v>
      </c>
      <c r="SJ133" s="599" t="e">
        <f>SI133-AVERAGE(SQ94:SQ95)</f>
        <v>#VALUE!</v>
      </c>
      <c r="SK133" s="672" t="e">
        <f t="shared" si="764"/>
        <v>#VALUE!</v>
      </c>
      <c r="SL133" s="675" t="e">
        <f t="shared" si="765"/>
        <v>#VALUE!</v>
      </c>
      <c r="SM133" s="614" t="e">
        <f t="shared" si="766"/>
        <v>#VALUE!</v>
      </c>
      <c r="SN133" s="672" t="e">
        <f t="shared" si="767"/>
        <v>#VALUE!</v>
      </c>
      <c r="SO133" s="600" t="e">
        <f t="shared" si="843"/>
        <v>#VALUE!</v>
      </c>
      <c r="SP133" s="672" t="e">
        <f t="shared" si="768"/>
        <v>#VALUE!</v>
      </c>
      <c r="SQ133" s="676" t="e">
        <f t="shared" si="769"/>
        <v>#VALUE!</v>
      </c>
      <c r="SR133" s="668"/>
      <c r="SS133" s="669"/>
      <c r="ST133" s="670"/>
      <c r="SU133" s="671"/>
      <c r="SV133" s="678"/>
      <c r="SW133" s="650"/>
      <c r="SX133" s="651">
        <f t="shared" si="844"/>
        <v>0</v>
      </c>
      <c r="SY133" s="619" t="e">
        <f t="shared" si="770"/>
        <v>#DIV/0!</v>
      </c>
      <c r="SZ133" s="674" t="e">
        <f t="shared" si="771"/>
        <v>#DIV/0!</v>
      </c>
      <c r="TA133" s="599" t="e">
        <f>SZ133-AVERAGE(TH94:TH95)</f>
        <v>#DIV/0!</v>
      </c>
      <c r="TB133" s="672" t="e">
        <f t="shared" si="772"/>
        <v>#DIV/0!</v>
      </c>
      <c r="TC133" s="675" t="e">
        <f t="shared" si="773"/>
        <v>#DIV/0!</v>
      </c>
      <c r="TD133" s="614" t="e">
        <f t="shared" si="774"/>
        <v>#DIV/0!</v>
      </c>
      <c r="TE133" s="672" t="e">
        <f t="shared" si="775"/>
        <v>#DIV/0!</v>
      </c>
      <c r="TF133" s="600" t="e">
        <f t="shared" si="845"/>
        <v>#DIV/0!</v>
      </c>
      <c r="TG133" s="672" t="e">
        <f t="shared" si="776"/>
        <v>#DIV/0!</v>
      </c>
      <c r="TH133" s="676" t="e">
        <f t="shared" si="777"/>
        <v>#DIV/0!</v>
      </c>
      <c r="TI133" s="668">
        <v>20.5</v>
      </c>
      <c r="TJ133" s="669">
        <v>55</v>
      </c>
      <c r="TK133" s="680">
        <v>1008</v>
      </c>
      <c r="TL133" s="671">
        <v>-1.359E-11</v>
      </c>
      <c r="TM133" s="673">
        <v>60</v>
      </c>
      <c r="TN133" s="650">
        <v>43403</v>
      </c>
      <c r="TO133" s="651" t="str">
        <f t="shared" si="846"/>
        <v>rango cal. out</v>
      </c>
      <c r="TP133" s="619">
        <f t="shared" si="778"/>
        <v>0</v>
      </c>
      <c r="TQ133" s="674" t="e">
        <f t="shared" si="779"/>
        <v>#VALUE!</v>
      </c>
      <c r="TR133" s="599" t="e">
        <f>TQ133-AVERAGE(TY94:TY95)</f>
        <v>#VALUE!</v>
      </c>
      <c r="TS133" s="672" t="e">
        <f t="shared" si="780"/>
        <v>#VALUE!</v>
      </c>
      <c r="TT133" s="675" t="e">
        <f t="shared" si="781"/>
        <v>#VALUE!</v>
      </c>
      <c r="TU133" s="614" t="e">
        <f t="shared" si="782"/>
        <v>#VALUE!</v>
      </c>
      <c r="TV133" s="672" t="e">
        <f t="shared" si="783"/>
        <v>#VALUE!</v>
      </c>
      <c r="TW133" s="600" t="e">
        <f t="shared" si="847"/>
        <v>#VALUE!</v>
      </c>
      <c r="TX133" s="672" t="e">
        <f t="shared" si="784"/>
        <v>#VALUE!</v>
      </c>
      <c r="TY133" s="676" t="e">
        <f t="shared" si="785"/>
        <v>#VALUE!</v>
      </c>
    </row>
    <row r="134" spans="1:545" x14ac:dyDescent="0.25">
      <c r="A134" s="2219"/>
      <c r="B134" s="668"/>
      <c r="C134" s="673"/>
      <c r="D134" s="673"/>
      <c r="E134" s="671"/>
      <c r="F134" s="673"/>
      <c r="G134" s="650"/>
      <c r="H134" s="651"/>
      <c r="I134" s="619"/>
      <c r="J134" s="674"/>
      <c r="K134" s="599"/>
      <c r="L134" s="672"/>
      <c r="M134" s="675"/>
      <c r="N134" s="614"/>
      <c r="O134" s="672"/>
      <c r="P134" s="600"/>
      <c r="Q134" s="672"/>
      <c r="R134" s="676"/>
      <c r="S134" s="677"/>
      <c r="T134" s="669"/>
      <c r="U134" s="670"/>
      <c r="V134" s="671"/>
      <c r="W134" s="678"/>
      <c r="X134" s="650"/>
      <c r="Y134" s="651">
        <f t="shared" si="786"/>
        <v>0</v>
      </c>
      <c r="Z134" s="619" t="e">
        <f t="shared" si="538"/>
        <v>#DIV/0!</v>
      </c>
      <c r="AA134" s="674" t="e">
        <f t="shared" si="539"/>
        <v>#DIV/0!</v>
      </c>
      <c r="AB134" s="599" t="e">
        <f>AA134-AVERAGE(AI94:AI95)</f>
        <v>#DIV/0!</v>
      </c>
      <c r="AC134" s="672" t="e">
        <f t="shared" si="540"/>
        <v>#DIV/0!</v>
      </c>
      <c r="AD134" s="675" t="e">
        <f t="shared" si="541"/>
        <v>#DIV/0!</v>
      </c>
      <c r="AE134" s="614" t="e">
        <f t="shared" si="542"/>
        <v>#DIV/0!</v>
      </c>
      <c r="AF134" s="672" t="e">
        <f t="shared" si="543"/>
        <v>#DIV/0!</v>
      </c>
      <c r="AG134" s="600" t="e">
        <f t="shared" si="787"/>
        <v>#DIV/0!</v>
      </c>
      <c r="AH134" s="672" t="e">
        <f t="shared" si="544"/>
        <v>#DIV/0!</v>
      </c>
      <c r="AI134" s="676" t="e">
        <f t="shared" si="545"/>
        <v>#DIV/0!</v>
      </c>
      <c r="AJ134" s="677"/>
      <c r="AK134" s="669"/>
      <c r="AL134" s="670"/>
      <c r="AM134" s="671"/>
      <c r="AN134" s="678"/>
      <c r="AO134" s="650"/>
      <c r="AP134" s="651">
        <f t="shared" si="788"/>
        <v>0</v>
      </c>
      <c r="AQ134" s="619" t="e">
        <f t="shared" si="546"/>
        <v>#DIV/0!</v>
      </c>
      <c r="AR134" s="674" t="e">
        <f t="shared" si="547"/>
        <v>#DIV/0!</v>
      </c>
      <c r="AS134" s="599" t="e">
        <f>AR134-AVERAGE(AZ94:AZ95)</f>
        <v>#DIV/0!</v>
      </c>
      <c r="AT134" s="672" t="e">
        <f t="shared" si="548"/>
        <v>#DIV/0!</v>
      </c>
      <c r="AU134" s="675" t="e">
        <f t="shared" si="549"/>
        <v>#DIV/0!</v>
      </c>
      <c r="AV134" s="614" t="e">
        <f t="shared" si="550"/>
        <v>#DIV/0!</v>
      </c>
      <c r="AW134" s="672" t="e">
        <f t="shared" si="551"/>
        <v>#DIV/0!</v>
      </c>
      <c r="AX134" s="600" t="e">
        <f t="shared" si="789"/>
        <v>#DIV/0!</v>
      </c>
      <c r="AY134" s="672" t="e">
        <f t="shared" si="552"/>
        <v>#DIV/0!</v>
      </c>
      <c r="AZ134" s="676" t="e">
        <f t="shared" si="553"/>
        <v>#DIV/0!</v>
      </c>
      <c r="BA134" s="668">
        <v>20.7</v>
      </c>
      <c r="BB134" s="669">
        <v>53</v>
      </c>
      <c r="BC134" s="680">
        <v>1009</v>
      </c>
      <c r="BD134" s="671">
        <v>-8.4569999999999999E-10</v>
      </c>
      <c r="BE134" s="673">
        <v>60</v>
      </c>
      <c r="BF134" s="650">
        <v>43403</v>
      </c>
      <c r="BG134" s="651" t="str">
        <f t="shared" si="790"/>
        <v>rango cal. out</v>
      </c>
      <c r="BH134" s="619">
        <f t="shared" si="554"/>
        <v>0</v>
      </c>
      <c r="BI134" s="674" t="e">
        <f t="shared" si="555"/>
        <v>#VALUE!</v>
      </c>
      <c r="BJ134" s="599" t="e">
        <f>BI134-AVERAGE(BQ94:BQ95)</f>
        <v>#VALUE!</v>
      </c>
      <c r="BK134" s="672" t="e">
        <f t="shared" si="556"/>
        <v>#VALUE!</v>
      </c>
      <c r="BL134" s="675" t="e">
        <f t="shared" si="557"/>
        <v>#VALUE!</v>
      </c>
      <c r="BM134" s="614" t="e">
        <f t="shared" si="558"/>
        <v>#VALUE!</v>
      </c>
      <c r="BN134" s="672" t="e">
        <f t="shared" si="559"/>
        <v>#VALUE!</v>
      </c>
      <c r="BO134" s="600" t="e">
        <f t="shared" si="791"/>
        <v>#VALUE!</v>
      </c>
      <c r="BP134" s="672" t="e">
        <f t="shared" si="560"/>
        <v>#VALUE!</v>
      </c>
      <c r="BQ134" s="676" t="e">
        <f t="shared" si="561"/>
        <v>#VALUE!</v>
      </c>
      <c r="BR134" s="668">
        <v>20.6</v>
      </c>
      <c r="BS134" s="669">
        <v>52</v>
      </c>
      <c r="BT134" s="680">
        <v>1008</v>
      </c>
      <c r="BU134" s="671">
        <v>-3.4560000000000001E-11</v>
      </c>
      <c r="BV134" s="673">
        <v>60</v>
      </c>
      <c r="BW134" s="650">
        <v>43403</v>
      </c>
      <c r="BX134" s="651" t="str">
        <f t="shared" si="792"/>
        <v>rango cal. out</v>
      </c>
      <c r="BY134" s="619">
        <f t="shared" si="562"/>
        <v>0</v>
      </c>
      <c r="BZ134" s="674" t="e">
        <f t="shared" si="563"/>
        <v>#VALUE!</v>
      </c>
      <c r="CA134" s="599" t="e">
        <f>BZ134-AVERAGE(CH94:CH95)</f>
        <v>#VALUE!</v>
      </c>
      <c r="CB134" s="672" t="e">
        <f t="shared" si="564"/>
        <v>#VALUE!</v>
      </c>
      <c r="CC134" s="675" t="e">
        <f t="shared" si="565"/>
        <v>#VALUE!</v>
      </c>
      <c r="CD134" s="614" t="e">
        <f t="shared" si="566"/>
        <v>#VALUE!</v>
      </c>
      <c r="CE134" s="672" t="e">
        <f t="shared" si="567"/>
        <v>#VALUE!</v>
      </c>
      <c r="CF134" s="600" t="e">
        <f t="shared" si="793"/>
        <v>#VALUE!</v>
      </c>
      <c r="CG134" s="672" t="e">
        <f t="shared" si="568"/>
        <v>#VALUE!</v>
      </c>
      <c r="CH134" s="676" t="e">
        <f t="shared" si="569"/>
        <v>#VALUE!</v>
      </c>
      <c r="CI134" s="668">
        <v>20.6</v>
      </c>
      <c r="CJ134" s="669">
        <v>52</v>
      </c>
      <c r="CK134" s="680">
        <v>1007</v>
      </c>
      <c r="CL134" s="671">
        <v>-1.9709999999999999E-9</v>
      </c>
      <c r="CM134" s="673">
        <v>60</v>
      </c>
      <c r="CN134" s="650">
        <v>43403</v>
      </c>
      <c r="CO134" s="651" t="str">
        <f t="shared" si="794"/>
        <v>rango cal. out</v>
      </c>
      <c r="CP134" s="619">
        <f t="shared" si="570"/>
        <v>0</v>
      </c>
      <c r="CQ134" s="674" t="e">
        <f t="shared" si="571"/>
        <v>#VALUE!</v>
      </c>
      <c r="CR134" s="599" t="e">
        <f>CQ134-AVERAGE(CY94:CY95)</f>
        <v>#VALUE!</v>
      </c>
      <c r="CS134" s="672" t="e">
        <f t="shared" si="572"/>
        <v>#VALUE!</v>
      </c>
      <c r="CT134" s="675" t="e">
        <f t="shared" si="573"/>
        <v>#VALUE!</v>
      </c>
      <c r="CU134" s="614" t="e">
        <f t="shared" si="574"/>
        <v>#VALUE!</v>
      </c>
      <c r="CV134" s="672" t="e">
        <f t="shared" si="575"/>
        <v>#VALUE!</v>
      </c>
      <c r="CW134" s="600" t="e">
        <f t="shared" si="795"/>
        <v>#VALUE!</v>
      </c>
      <c r="CX134" s="672" t="e">
        <f t="shared" si="576"/>
        <v>#VALUE!</v>
      </c>
      <c r="CY134" s="676" t="e">
        <f t="shared" si="577"/>
        <v>#VALUE!</v>
      </c>
      <c r="CZ134" s="668"/>
      <c r="DA134" s="669"/>
      <c r="DB134" s="670"/>
      <c r="DC134" s="671"/>
      <c r="DD134" s="678"/>
      <c r="DE134" s="650"/>
      <c r="DF134" s="651">
        <f t="shared" si="796"/>
        <v>0</v>
      </c>
      <c r="DG134" s="619" t="e">
        <f t="shared" si="578"/>
        <v>#DIV/0!</v>
      </c>
      <c r="DH134" s="674" t="e">
        <f t="shared" si="579"/>
        <v>#DIV/0!</v>
      </c>
      <c r="DI134" s="599" t="e">
        <f>DH134-AVERAGE(DP94:DP95)</f>
        <v>#DIV/0!</v>
      </c>
      <c r="DJ134" s="672" t="e">
        <f t="shared" si="580"/>
        <v>#DIV/0!</v>
      </c>
      <c r="DK134" s="675" t="e">
        <f t="shared" si="581"/>
        <v>#DIV/0!</v>
      </c>
      <c r="DL134" s="614" t="e">
        <f t="shared" si="582"/>
        <v>#DIV/0!</v>
      </c>
      <c r="DM134" s="672" t="e">
        <f t="shared" si="583"/>
        <v>#DIV/0!</v>
      </c>
      <c r="DN134" s="600" t="e">
        <f t="shared" si="797"/>
        <v>#DIV/0!</v>
      </c>
      <c r="DO134" s="672" t="e">
        <f t="shared" si="584"/>
        <v>#DIV/0!</v>
      </c>
      <c r="DP134" s="676" t="e">
        <f t="shared" si="585"/>
        <v>#DIV/0!</v>
      </c>
      <c r="DQ134" s="668"/>
      <c r="DR134" s="669"/>
      <c r="DS134" s="677"/>
      <c r="DT134" s="679"/>
      <c r="DU134" s="678"/>
      <c r="DV134" s="650"/>
      <c r="DW134" s="651">
        <f t="shared" si="798"/>
        <v>0</v>
      </c>
      <c r="DX134" s="619" t="e">
        <f t="shared" si="586"/>
        <v>#DIV/0!</v>
      </c>
      <c r="DY134" s="674" t="e">
        <f t="shared" si="587"/>
        <v>#DIV/0!</v>
      </c>
      <c r="DZ134" s="599" t="e">
        <f>DY134-AVERAGE(EG94:EG95)</f>
        <v>#DIV/0!</v>
      </c>
      <c r="EA134" s="672" t="e">
        <f t="shared" si="588"/>
        <v>#DIV/0!</v>
      </c>
      <c r="EB134" s="675" t="e">
        <f t="shared" si="589"/>
        <v>#DIV/0!</v>
      </c>
      <c r="EC134" s="614" t="e">
        <f t="shared" si="590"/>
        <v>#DIV/0!</v>
      </c>
      <c r="ED134" s="672" t="e">
        <f t="shared" si="591"/>
        <v>#DIV/0!</v>
      </c>
      <c r="EE134" s="600" t="e">
        <f t="shared" si="799"/>
        <v>#DIV/0!</v>
      </c>
      <c r="EF134" s="672" t="e">
        <f t="shared" si="592"/>
        <v>#DIV/0!</v>
      </c>
      <c r="EG134" s="676" t="e">
        <f t="shared" si="593"/>
        <v>#DIV/0!</v>
      </c>
      <c r="EH134" s="668">
        <v>20.5</v>
      </c>
      <c r="EI134" s="669">
        <v>54</v>
      </c>
      <c r="EJ134" s="680">
        <v>1007</v>
      </c>
      <c r="EK134" s="671">
        <v>-2.6200000000000001E-12</v>
      </c>
      <c r="EL134" s="673">
        <v>60</v>
      </c>
      <c r="EM134" s="650">
        <v>43403</v>
      </c>
      <c r="EN134" s="651" t="str">
        <f t="shared" si="800"/>
        <v>rango cal. out</v>
      </c>
      <c r="EO134" s="619">
        <f t="shared" si="594"/>
        <v>0</v>
      </c>
      <c r="EP134" s="674" t="e">
        <f t="shared" si="595"/>
        <v>#VALUE!</v>
      </c>
      <c r="EQ134" s="599" t="e">
        <f>EP134-AVERAGE(EX94:EX95)</f>
        <v>#VALUE!</v>
      </c>
      <c r="ER134" s="672" t="e">
        <f t="shared" si="596"/>
        <v>#VALUE!</v>
      </c>
      <c r="ES134" s="675" t="e">
        <f t="shared" si="597"/>
        <v>#VALUE!</v>
      </c>
      <c r="ET134" s="614" t="e">
        <f t="shared" si="598"/>
        <v>#VALUE!</v>
      </c>
      <c r="EU134" s="672" t="e">
        <f t="shared" si="599"/>
        <v>#VALUE!</v>
      </c>
      <c r="EV134" s="600" t="e">
        <f t="shared" si="801"/>
        <v>#VALUE!</v>
      </c>
      <c r="EW134" s="672" t="e">
        <f t="shared" si="600"/>
        <v>#VALUE!</v>
      </c>
      <c r="EX134" s="676" t="e">
        <f t="shared" si="601"/>
        <v>#VALUE!</v>
      </c>
      <c r="EY134" s="668"/>
      <c r="EZ134" s="669"/>
      <c r="FA134" s="670"/>
      <c r="FB134" s="671"/>
      <c r="FC134" s="678"/>
      <c r="FD134" s="650"/>
      <c r="FE134" s="651">
        <f t="shared" si="802"/>
        <v>0</v>
      </c>
      <c r="FF134" s="619" t="e">
        <f t="shared" si="602"/>
        <v>#DIV/0!</v>
      </c>
      <c r="FG134" s="674" t="e">
        <f t="shared" si="603"/>
        <v>#DIV/0!</v>
      </c>
      <c r="FH134" s="599" t="e">
        <f>FG134-AVERAGE(FO94:FO95)</f>
        <v>#DIV/0!</v>
      </c>
      <c r="FI134" s="672" t="e">
        <f t="shared" si="604"/>
        <v>#DIV/0!</v>
      </c>
      <c r="FJ134" s="675" t="e">
        <f t="shared" si="605"/>
        <v>#DIV/0!</v>
      </c>
      <c r="FK134" s="614" t="e">
        <f t="shared" si="606"/>
        <v>#DIV/0!</v>
      </c>
      <c r="FL134" s="672" t="e">
        <f t="shared" si="607"/>
        <v>#DIV/0!</v>
      </c>
      <c r="FM134" s="600" t="e">
        <f t="shared" si="803"/>
        <v>#DIV/0!</v>
      </c>
      <c r="FN134" s="672" t="e">
        <f t="shared" si="608"/>
        <v>#DIV/0!</v>
      </c>
      <c r="FO134" s="676" t="e">
        <f t="shared" si="609"/>
        <v>#DIV/0!</v>
      </c>
      <c r="FP134" s="668"/>
      <c r="FQ134" s="669"/>
      <c r="FR134" s="670"/>
      <c r="FS134" s="671"/>
      <c r="FT134" s="678"/>
      <c r="FU134" s="650"/>
      <c r="FV134" s="651">
        <f t="shared" si="804"/>
        <v>0</v>
      </c>
      <c r="FW134" s="619" t="e">
        <f t="shared" si="610"/>
        <v>#DIV/0!</v>
      </c>
      <c r="FX134" s="674" t="e">
        <f t="shared" si="611"/>
        <v>#DIV/0!</v>
      </c>
      <c r="FY134" s="599" t="e">
        <f>FX134-AVERAGE(GF94:GF95)</f>
        <v>#DIV/0!</v>
      </c>
      <c r="FZ134" s="672" t="e">
        <f t="shared" si="612"/>
        <v>#DIV/0!</v>
      </c>
      <c r="GA134" s="675" t="e">
        <f t="shared" si="613"/>
        <v>#DIV/0!</v>
      </c>
      <c r="GB134" s="614" t="e">
        <f t="shared" si="614"/>
        <v>#DIV/0!</v>
      </c>
      <c r="GC134" s="672" t="e">
        <f t="shared" si="615"/>
        <v>#DIV/0!</v>
      </c>
      <c r="GD134" s="600" t="e">
        <f t="shared" si="805"/>
        <v>#DIV/0!</v>
      </c>
      <c r="GE134" s="672" t="e">
        <f t="shared" si="616"/>
        <v>#DIV/0!</v>
      </c>
      <c r="GF134" s="676" t="e">
        <f t="shared" si="617"/>
        <v>#DIV/0!</v>
      </c>
      <c r="GG134" s="668"/>
      <c r="GH134" s="669"/>
      <c r="GI134" s="677"/>
      <c r="GJ134" s="679"/>
      <c r="GK134" s="678"/>
      <c r="GL134" s="650"/>
      <c r="GM134" s="651">
        <f t="shared" si="806"/>
        <v>0</v>
      </c>
      <c r="GN134" s="619" t="e">
        <f t="shared" si="618"/>
        <v>#DIV/0!</v>
      </c>
      <c r="GO134" s="674" t="e">
        <f t="shared" si="619"/>
        <v>#DIV/0!</v>
      </c>
      <c r="GP134" s="599" t="e">
        <f>GO134-AVERAGE(GW94:GW95)</f>
        <v>#DIV/0!</v>
      </c>
      <c r="GQ134" s="672" t="e">
        <f t="shared" si="620"/>
        <v>#DIV/0!</v>
      </c>
      <c r="GR134" s="675" t="e">
        <f t="shared" si="621"/>
        <v>#DIV/0!</v>
      </c>
      <c r="GS134" s="614" t="e">
        <f t="shared" si="622"/>
        <v>#DIV/0!</v>
      </c>
      <c r="GT134" s="672" t="e">
        <f t="shared" si="623"/>
        <v>#DIV/0!</v>
      </c>
      <c r="GU134" s="600" t="e">
        <f t="shared" si="807"/>
        <v>#DIV/0!</v>
      </c>
      <c r="GV134" s="672" t="e">
        <f t="shared" si="624"/>
        <v>#DIV/0!</v>
      </c>
      <c r="GW134" s="676" t="e">
        <f t="shared" si="625"/>
        <v>#DIV/0!</v>
      </c>
      <c r="GX134" s="668"/>
      <c r="GY134" s="669"/>
      <c r="GZ134" s="670"/>
      <c r="HA134" s="671"/>
      <c r="HB134" s="678"/>
      <c r="HC134" s="650"/>
      <c r="HD134" s="651">
        <f t="shared" si="808"/>
        <v>0</v>
      </c>
      <c r="HE134" s="619" t="e">
        <f t="shared" si="626"/>
        <v>#DIV/0!</v>
      </c>
      <c r="HF134" s="674" t="e">
        <f t="shared" si="627"/>
        <v>#DIV/0!</v>
      </c>
      <c r="HG134" s="599" t="e">
        <f>HF134-AVERAGE(HN94:HN95)</f>
        <v>#DIV/0!</v>
      </c>
      <c r="HH134" s="672" t="e">
        <f t="shared" si="628"/>
        <v>#DIV/0!</v>
      </c>
      <c r="HI134" s="675" t="e">
        <f t="shared" si="629"/>
        <v>#DIV/0!</v>
      </c>
      <c r="HJ134" s="614" t="e">
        <f t="shared" si="630"/>
        <v>#DIV/0!</v>
      </c>
      <c r="HK134" s="672" t="e">
        <f t="shared" si="631"/>
        <v>#DIV/0!</v>
      </c>
      <c r="HL134" s="600" t="e">
        <f t="shared" si="809"/>
        <v>#DIV/0!</v>
      </c>
      <c r="HM134" s="672" t="e">
        <f t="shared" si="632"/>
        <v>#DIV/0!</v>
      </c>
      <c r="HN134" s="676" t="e">
        <f t="shared" si="633"/>
        <v>#DIV/0!</v>
      </c>
      <c r="HO134" s="668"/>
      <c r="HP134" s="669"/>
      <c r="HQ134" s="670"/>
      <c r="HR134" s="671"/>
      <c r="HS134" s="678"/>
      <c r="HT134" s="650"/>
      <c r="HU134" s="651">
        <f t="shared" si="810"/>
        <v>0</v>
      </c>
      <c r="HV134" s="619" t="e">
        <f t="shared" si="634"/>
        <v>#DIV/0!</v>
      </c>
      <c r="HW134" s="674" t="e">
        <f t="shared" si="635"/>
        <v>#DIV/0!</v>
      </c>
      <c r="HX134" s="599" t="e">
        <f>HW134-AVERAGE(IE94:IE95)</f>
        <v>#DIV/0!</v>
      </c>
      <c r="HY134" s="672" t="e">
        <f t="shared" si="636"/>
        <v>#DIV/0!</v>
      </c>
      <c r="HZ134" s="675" t="e">
        <f t="shared" si="637"/>
        <v>#DIV/0!</v>
      </c>
      <c r="IA134" s="614" t="e">
        <f t="shared" si="638"/>
        <v>#DIV/0!</v>
      </c>
      <c r="IB134" s="672" t="e">
        <f t="shared" si="639"/>
        <v>#DIV/0!</v>
      </c>
      <c r="IC134" s="600" t="e">
        <f t="shared" si="811"/>
        <v>#DIV/0!</v>
      </c>
      <c r="ID134" s="672" t="e">
        <f t="shared" si="640"/>
        <v>#DIV/0!</v>
      </c>
      <c r="IE134" s="676" t="e">
        <f t="shared" si="641"/>
        <v>#DIV/0!</v>
      </c>
      <c r="IF134" s="668"/>
      <c r="IG134" s="669"/>
      <c r="IH134" s="670"/>
      <c r="II134" s="671"/>
      <c r="IJ134" s="678"/>
      <c r="IK134" s="650"/>
      <c r="IL134" s="651">
        <f t="shared" si="812"/>
        <v>0</v>
      </c>
      <c r="IM134" s="619" t="e">
        <f t="shared" si="642"/>
        <v>#DIV/0!</v>
      </c>
      <c r="IN134" s="674" t="e">
        <f t="shared" si="643"/>
        <v>#DIV/0!</v>
      </c>
      <c r="IO134" s="599" t="e">
        <f>IN134-AVERAGE(IV94:IV95)</f>
        <v>#DIV/0!</v>
      </c>
      <c r="IP134" s="672" t="e">
        <f t="shared" si="644"/>
        <v>#DIV/0!</v>
      </c>
      <c r="IQ134" s="675" t="e">
        <f t="shared" si="645"/>
        <v>#DIV/0!</v>
      </c>
      <c r="IR134" s="614" t="e">
        <f t="shared" si="646"/>
        <v>#DIV/0!</v>
      </c>
      <c r="IS134" s="672" t="e">
        <f t="shared" si="647"/>
        <v>#DIV/0!</v>
      </c>
      <c r="IT134" s="600" t="e">
        <f t="shared" si="813"/>
        <v>#DIV/0!</v>
      </c>
      <c r="IU134" s="672" t="e">
        <f t="shared" si="648"/>
        <v>#DIV/0!</v>
      </c>
      <c r="IV134" s="676" t="e">
        <f t="shared" si="649"/>
        <v>#DIV/0!</v>
      </c>
      <c r="IW134" s="668"/>
      <c r="IX134" s="669"/>
      <c r="IY134" s="670"/>
      <c r="IZ134" s="671"/>
      <c r="JA134" s="678"/>
      <c r="JB134" s="650"/>
      <c r="JC134" s="651">
        <f t="shared" si="814"/>
        <v>0</v>
      </c>
      <c r="JD134" s="619" t="e">
        <f t="shared" si="650"/>
        <v>#DIV/0!</v>
      </c>
      <c r="JE134" s="674" t="e">
        <f t="shared" si="651"/>
        <v>#DIV/0!</v>
      </c>
      <c r="JF134" s="599" t="e">
        <f>JE134-AVERAGE(JM94:JM95)</f>
        <v>#DIV/0!</v>
      </c>
      <c r="JG134" s="672" t="e">
        <f t="shared" si="652"/>
        <v>#DIV/0!</v>
      </c>
      <c r="JH134" s="675" t="e">
        <f t="shared" si="653"/>
        <v>#DIV/0!</v>
      </c>
      <c r="JI134" s="614" t="e">
        <f t="shared" si="654"/>
        <v>#DIV/0!</v>
      </c>
      <c r="JJ134" s="672" t="e">
        <f t="shared" si="655"/>
        <v>#DIV/0!</v>
      </c>
      <c r="JK134" s="600" t="e">
        <f t="shared" si="815"/>
        <v>#DIV/0!</v>
      </c>
      <c r="JL134" s="672" t="e">
        <f t="shared" si="656"/>
        <v>#DIV/0!</v>
      </c>
      <c r="JM134" s="676" t="e">
        <f t="shared" si="657"/>
        <v>#DIV/0!</v>
      </c>
      <c r="JN134" s="668"/>
      <c r="JO134" s="669"/>
      <c r="JP134" s="670"/>
      <c r="JQ134" s="671"/>
      <c r="JR134" s="678"/>
      <c r="JS134" s="650"/>
      <c r="JT134" s="651">
        <f t="shared" si="816"/>
        <v>0</v>
      </c>
      <c r="JU134" s="619" t="e">
        <f t="shared" si="658"/>
        <v>#DIV/0!</v>
      </c>
      <c r="JV134" s="674" t="e">
        <f t="shared" si="659"/>
        <v>#DIV/0!</v>
      </c>
      <c r="JW134" s="599" t="e">
        <f>JV134-AVERAGE(KD94:KD95)</f>
        <v>#DIV/0!</v>
      </c>
      <c r="JX134" s="672" t="e">
        <f t="shared" si="660"/>
        <v>#DIV/0!</v>
      </c>
      <c r="JY134" s="675" t="e">
        <f t="shared" si="661"/>
        <v>#DIV/0!</v>
      </c>
      <c r="JZ134" s="614" t="e">
        <f t="shared" si="662"/>
        <v>#DIV/0!</v>
      </c>
      <c r="KA134" s="672" t="e">
        <f t="shared" si="663"/>
        <v>#DIV/0!</v>
      </c>
      <c r="KB134" s="600" t="e">
        <f t="shared" si="817"/>
        <v>#DIV/0!</v>
      </c>
      <c r="KC134" s="672" t="e">
        <f t="shared" si="664"/>
        <v>#DIV/0!</v>
      </c>
      <c r="KD134" s="676" t="e">
        <f t="shared" si="665"/>
        <v>#DIV/0!</v>
      </c>
      <c r="KE134" s="668"/>
      <c r="KF134" s="669"/>
      <c r="KG134" s="670"/>
      <c r="KH134" s="671"/>
      <c r="KI134" s="678"/>
      <c r="KJ134" s="650"/>
      <c r="KK134" s="651">
        <f t="shared" si="818"/>
        <v>0</v>
      </c>
      <c r="KL134" s="619" t="e">
        <f t="shared" si="666"/>
        <v>#DIV/0!</v>
      </c>
      <c r="KM134" s="674" t="e">
        <f t="shared" si="667"/>
        <v>#DIV/0!</v>
      </c>
      <c r="KN134" s="599" t="e">
        <f>KM134-AVERAGE(KU94:KU95)</f>
        <v>#DIV/0!</v>
      </c>
      <c r="KO134" s="672" t="e">
        <f t="shared" si="668"/>
        <v>#DIV/0!</v>
      </c>
      <c r="KP134" s="675" t="e">
        <f t="shared" si="669"/>
        <v>#DIV/0!</v>
      </c>
      <c r="KQ134" s="614" t="e">
        <f t="shared" si="670"/>
        <v>#DIV/0!</v>
      </c>
      <c r="KR134" s="672" t="e">
        <f t="shared" si="671"/>
        <v>#DIV/0!</v>
      </c>
      <c r="KS134" s="600" t="e">
        <f t="shared" si="819"/>
        <v>#DIV/0!</v>
      </c>
      <c r="KT134" s="672" t="e">
        <f t="shared" si="672"/>
        <v>#DIV/0!</v>
      </c>
      <c r="KU134" s="676" t="e">
        <f t="shared" si="673"/>
        <v>#DIV/0!</v>
      </c>
      <c r="KV134" s="668"/>
      <c r="KW134" s="669"/>
      <c r="KX134" s="670"/>
      <c r="KY134" s="671"/>
      <c r="KZ134" s="678"/>
      <c r="LA134" s="650"/>
      <c r="LB134" s="651">
        <f t="shared" si="820"/>
        <v>0</v>
      </c>
      <c r="LC134" s="619" t="e">
        <f t="shared" si="674"/>
        <v>#DIV/0!</v>
      </c>
      <c r="LD134" s="674" t="e">
        <f t="shared" si="675"/>
        <v>#DIV/0!</v>
      </c>
      <c r="LE134" s="599" t="e">
        <f>LD134-AVERAGE(LL94:LL95)</f>
        <v>#DIV/0!</v>
      </c>
      <c r="LF134" s="672" t="e">
        <f t="shared" si="676"/>
        <v>#DIV/0!</v>
      </c>
      <c r="LG134" s="675" t="e">
        <f t="shared" si="677"/>
        <v>#DIV/0!</v>
      </c>
      <c r="LH134" s="614" t="e">
        <f t="shared" si="678"/>
        <v>#DIV/0!</v>
      </c>
      <c r="LI134" s="672" t="e">
        <f t="shared" si="679"/>
        <v>#DIV/0!</v>
      </c>
      <c r="LJ134" s="600" t="e">
        <f t="shared" si="821"/>
        <v>#DIV/0!</v>
      </c>
      <c r="LK134" s="672" t="e">
        <f t="shared" si="680"/>
        <v>#DIV/0!</v>
      </c>
      <c r="LL134" s="676" t="e">
        <f t="shared" si="681"/>
        <v>#DIV/0!</v>
      </c>
      <c r="LM134" s="668"/>
      <c r="LN134" s="669"/>
      <c r="LO134" s="670"/>
      <c r="LP134" s="671"/>
      <c r="LQ134" s="678"/>
      <c r="LR134" s="650"/>
      <c r="LS134" s="651">
        <f t="shared" si="822"/>
        <v>0</v>
      </c>
      <c r="LT134" s="619" t="e">
        <f t="shared" si="682"/>
        <v>#DIV/0!</v>
      </c>
      <c r="LU134" s="674" t="e">
        <f t="shared" si="683"/>
        <v>#DIV/0!</v>
      </c>
      <c r="LV134" s="599" t="e">
        <f>LU134-AVERAGE(MC94:MC95)</f>
        <v>#DIV/0!</v>
      </c>
      <c r="LW134" s="672" t="e">
        <f t="shared" si="684"/>
        <v>#DIV/0!</v>
      </c>
      <c r="LX134" s="675" t="e">
        <f t="shared" si="685"/>
        <v>#DIV/0!</v>
      </c>
      <c r="LY134" s="614" t="e">
        <f t="shared" si="686"/>
        <v>#DIV/0!</v>
      </c>
      <c r="LZ134" s="672" t="e">
        <f t="shared" si="687"/>
        <v>#DIV/0!</v>
      </c>
      <c r="MA134" s="600" t="e">
        <f t="shared" si="823"/>
        <v>#DIV/0!</v>
      </c>
      <c r="MB134" s="672" t="e">
        <f t="shared" si="688"/>
        <v>#DIV/0!</v>
      </c>
      <c r="MC134" s="676" t="e">
        <f t="shared" si="689"/>
        <v>#DIV/0!</v>
      </c>
      <c r="MD134" s="668"/>
      <c r="ME134" s="669"/>
      <c r="MF134" s="680"/>
      <c r="MG134" s="671"/>
      <c r="MH134" s="673"/>
      <c r="MI134" s="650"/>
      <c r="MJ134" s="651">
        <f t="shared" si="824"/>
        <v>0</v>
      </c>
      <c r="MK134" s="619" t="e">
        <f t="shared" si="690"/>
        <v>#DIV/0!</v>
      </c>
      <c r="ML134" s="674" t="e">
        <f t="shared" si="691"/>
        <v>#DIV/0!</v>
      </c>
      <c r="MM134" s="599" t="e">
        <f>ML134-AVERAGE(MT94:MT95)</f>
        <v>#DIV/0!</v>
      </c>
      <c r="MN134" s="672" t="e">
        <f t="shared" si="692"/>
        <v>#DIV/0!</v>
      </c>
      <c r="MO134" s="675" t="e">
        <f t="shared" si="693"/>
        <v>#DIV/0!</v>
      </c>
      <c r="MP134" s="614" t="e">
        <f t="shared" si="694"/>
        <v>#DIV/0!</v>
      </c>
      <c r="MQ134" s="672" t="e">
        <f t="shared" si="695"/>
        <v>#DIV/0!</v>
      </c>
      <c r="MR134" s="600" t="e">
        <f t="shared" si="825"/>
        <v>#DIV/0!</v>
      </c>
      <c r="MS134" s="672" t="e">
        <f t="shared" si="696"/>
        <v>#DIV/0!</v>
      </c>
      <c r="MT134" s="676" t="e">
        <f t="shared" si="697"/>
        <v>#DIV/0!</v>
      </c>
      <c r="MU134" s="668">
        <v>20.7</v>
      </c>
      <c r="MV134" s="669">
        <v>53</v>
      </c>
      <c r="MW134" s="680">
        <v>1007</v>
      </c>
      <c r="MX134" s="671">
        <v>-5.6340000000000003E-11</v>
      </c>
      <c r="MY134" s="678">
        <v>60</v>
      </c>
      <c r="MZ134" s="650">
        <v>43403</v>
      </c>
      <c r="NA134" s="651" t="str">
        <f t="shared" si="826"/>
        <v>rango cal. out</v>
      </c>
      <c r="NB134" s="619">
        <f t="shared" si="698"/>
        <v>0</v>
      </c>
      <c r="NC134" s="674" t="e">
        <f t="shared" si="699"/>
        <v>#VALUE!</v>
      </c>
      <c r="ND134" s="599" t="e">
        <f>NC134-AVERAGE(NK94:NK95)</f>
        <v>#VALUE!</v>
      </c>
      <c r="NE134" s="672" t="e">
        <f t="shared" si="700"/>
        <v>#VALUE!</v>
      </c>
      <c r="NF134" s="675" t="e">
        <f t="shared" si="701"/>
        <v>#VALUE!</v>
      </c>
      <c r="NG134" s="614" t="e">
        <f t="shared" si="702"/>
        <v>#VALUE!</v>
      </c>
      <c r="NH134" s="672" t="e">
        <f t="shared" si="703"/>
        <v>#VALUE!</v>
      </c>
      <c r="NI134" s="600" t="e">
        <f t="shared" si="827"/>
        <v>#VALUE!</v>
      </c>
      <c r="NJ134" s="672" t="e">
        <f t="shared" si="704"/>
        <v>#VALUE!</v>
      </c>
      <c r="NK134" s="676" t="e">
        <f t="shared" si="705"/>
        <v>#VALUE!</v>
      </c>
      <c r="NL134" s="668"/>
      <c r="NM134" s="669"/>
      <c r="NN134" s="670"/>
      <c r="NO134" s="671"/>
      <c r="NP134" s="678"/>
      <c r="NQ134" s="650"/>
      <c r="NR134" s="651">
        <f t="shared" si="828"/>
        <v>0</v>
      </c>
      <c r="NS134" s="619" t="e">
        <f t="shared" si="706"/>
        <v>#DIV/0!</v>
      </c>
      <c r="NT134" s="674" t="e">
        <f t="shared" si="707"/>
        <v>#DIV/0!</v>
      </c>
      <c r="NU134" s="599" t="e">
        <f>NT134-AVERAGE(OB94:OB95)</f>
        <v>#DIV/0!</v>
      </c>
      <c r="NV134" s="672" t="e">
        <f t="shared" si="708"/>
        <v>#DIV/0!</v>
      </c>
      <c r="NW134" s="675" t="e">
        <f t="shared" si="709"/>
        <v>#DIV/0!</v>
      </c>
      <c r="NX134" s="614" t="e">
        <f t="shared" si="710"/>
        <v>#DIV/0!</v>
      </c>
      <c r="NY134" s="672" t="e">
        <f t="shared" si="711"/>
        <v>#DIV/0!</v>
      </c>
      <c r="NZ134" s="600" t="e">
        <f t="shared" si="829"/>
        <v>#DIV/0!</v>
      </c>
      <c r="OA134" s="672" t="e">
        <f t="shared" si="712"/>
        <v>#DIV/0!</v>
      </c>
      <c r="OB134" s="676" t="e">
        <f t="shared" si="713"/>
        <v>#DIV/0!</v>
      </c>
      <c r="OC134" s="668">
        <v>20.5</v>
      </c>
      <c r="OD134" s="669">
        <v>52</v>
      </c>
      <c r="OE134" s="680">
        <v>1007</v>
      </c>
      <c r="OF134" s="671">
        <v>-1.307E-10</v>
      </c>
      <c r="OG134" s="673">
        <v>60</v>
      </c>
      <c r="OH134" s="650">
        <v>43403</v>
      </c>
      <c r="OI134" s="651" t="str">
        <f t="shared" si="830"/>
        <v>rango cal. out</v>
      </c>
      <c r="OJ134" s="619">
        <f t="shared" si="714"/>
        <v>0</v>
      </c>
      <c r="OK134" s="674" t="e">
        <f t="shared" si="715"/>
        <v>#VALUE!</v>
      </c>
      <c r="OL134" s="599" t="e">
        <f>OK134-AVERAGE(OS94:OS95)</f>
        <v>#VALUE!</v>
      </c>
      <c r="OM134" s="672" t="e">
        <f t="shared" si="716"/>
        <v>#VALUE!</v>
      </c>
      <c r="ON134" s="675" t="e">
        <f t="shared" si="717"/>
        <v>#VALUE!</v>
      </c>
      <c r="OO134" s="614" t="e">
        <f t="shared" si="718"/>
        <v>#VALUE!</v>
      </c>
      <c r="OP134" s="672" t="e">
        <f t="shared" si="719"/>
        <v>#VALUE!</v>
      </c>
      <c r="OQ134" s="600" t="e">
        <f t="shared" si="831"/>
        <v>#VALUE!</v>
      </c>
      <c r="OR134" s="672" t="e">
        <f t="shared" si="720"/>
        <v>#VALUE!</v>
      </c>
      <c r="OS134" s="676" t="e">
        <f t="shared" si="721"/>
        <v>#VALUE!</v>
      </c>
      <c r="OT134" s="668"/>
      <c r="OU134" s="669"/>
      <c r="OV134" s="670"/>
      <c r="OW134" s="671"/>
      <c r="OX134" s="678"/>
      <c r="OY134" s="650"/>
      <c r="OZ134" s="651">
        <f t="shared" si="832"/>
        <v>0</v>
      </c>
      <c r="PA134" s="619" t="e">
        <f t="shared" si="722"/>
        <v>#DIV/0!</v>
      </c>
      <c r="PB134" s="674" t="e">
        <f t="shared" si="723"/>
        <v>#DIV/0!</v>
      </c>
      <c r="PC134" s="599" t="e">
        <f>PB134-AVERAGE(PJ94:PJ95)</f>
        <v>#DIV/0!</v>
      </c>
      <c r="PD134" s="672" t="e">
        <f t="shared" si="724"/>
        <v>#DIV/0!</v>
      </c>
      <c r="PE134" s="675" t="e">
        <f t="shared" si="725"/>
        <v>#DIV/0!</v>
      </c>
      <c r="PF134" s="614" t="e">
        <f t="shared" si="726"/>
        <v>#DIV/0!</v>
      </c>
      <c r="PG134" s="672" t="e">
        <f t="shared" si="727"/>
        <v>#DIV/0!</v>
      </c>
      <c r="PH134" s="600" t="e">
        <f t="shared" si="833"/>
        <v>#DIV/0!</v>
      </c>
      <c r="PI134" s="672" t="e">
        <f t="shared" si="728"/>
        <v>#DIV/0!</v>
      </c>
      <c r="PJ134" s="676" t="e">
        <f t="shared" si="729"/>
        <v>#DIV/0!</v>
      </c>
      <c r="PK134" s="668"/>
      <c r="PL134" s="669"/>
      <c r="PM134" s="670"/>
      <c r="PN134" s="671"/>
      <c r="PO134" s="678"/>
      <c r="PP134" s="650"/>
      <c r="PQ134" s="651">
        <f t="shared" si="834"/>
        <v>0</v>
      </c>
      <c r="PR134" s="619" t="e">
        <f t="shared" si="730"/>
        <v>#DIV/0!</v>
      </c>
      <c r="PS134" s="674" t="e">
        <f t="shared" si="731"/>
        <v>#DIV/0!</v>
      </c>
      <c r="PT134" s="599" t="e">
        <f>PS134-AVERAGE(QA94:QA95)</f>
        <v>#DIV/0!</v>
      </c>
      <c r="PU134" s="672" t="e">
        <f t="shared" si="732"/>
        <v>#DIV/0!</v>
      </c>
      <c r="PV134" s="675" t="e">
        <f t="shared" si="733"/>
        <v>#DIV/0!</v>
      </c>
      <c r="PW134" s="614" t="e">
        <f t="shared" si="734"/>
        <v>#DIV/0!</v>
      </c>
      <c r="PX134" s="672" t="e">
        <f t="shared" si="735"/>
        <v>#DIV/0!</v>
      </c>
      <c r="PY134" s="600" t="e">
        <f t="shared" si="835"/>
        <v>#DIV/0!</v>
      </c>
      <c r="PZ134" s="672" t="e">
        <f t="shared" si="736"/>
        <v>#DIV/0!</v>
      </c>
      <c r="QA134" s="676" t="e">
        <f t="shared" si="737"/>
        <v>#DIV/0!</v>
      </c>
      <c r="QB134" s="668"/>
      <c r="QC134" s="669"/>
      <c r="QD134" s="680"/>
      <c r="QE134" s="671"/>
      <c r="QF134" s="673"/>
      <c r="QG134" s="650"/>
      <c r="QH134" s="651">
        <f t="shared" si="836"/>
        <v>0</v>
      </c>
      <c r="QI134" s="619" t="e">
        <f t="shared" si="738"/>
        <v>#DIV/0!</v>
      </c>
      <c r="QJ134" s="674" t="e">
        <f t="shared" si="739"/>
        <v>#DIV/0!</v>
      </c>
      <c r="QK134" s="599" t="e">
        <f>QJ134-AVERAGE(QR94:QR95)</f>
        <v>#DIV/0!</v>
      </c>
      <c r="QL134" s="672" t="e">
        <f t="shared" si="740"/>
        <v>#DIV/0!</v>
      </c>
      <c r="QM134" s="675" t="e">
        <f t="shared" si="741"/>
        <v>#DIV/0!</v>
      </c>
      <c r="QN134" s="614" t="e">
        <f t="shared" si="742"/>
        <v>#DIV/0!</v>
      </c>
      <c r="QO134" s="672" t="e">
        <f t="shared" si="743"/>
        <v>#DIV/0!</v>
      </c>
      <c r="QP134" s="600" t="e">
        <f t="shared" si="837"/>
        <v>#DIV/0!</v>
      </c>
      <c r="QQ134" s="672" t="e">
        <f t="shared" si="744"/>
        <v>#DIV/0!</v>
      </c>
      <c r="QR134" s="676" t="e">
        <f t="shared" si="745"/>
        <v>#DIV/0!</v>
      </c>
      <c r="QS134" s="668"/>
      <c r="QT134" s="669"/>
      <c r="QU134" s="669"/>
      <c r="QV134" s="679"/>
      <c r="QW134" s="673"/>
      <c r="QX134" s="650"/>
      <c r="QY134" s="651">
        <f t="shared" si="838"/>
        <v>0</v>
      </c>
      <c r="QZ134" s="619" t="e">
        <f t="shared" si="746"/>
        <v>#DIV/0!</v>
      </c>
      <c r="RA134" s="674" t="e">
        <f t="shared" si="747"/>
        <v>#DIV/0!</v>
      </c>
      <c r="RB134" s="599" t="e">
        <f>RA134-AVERAGE(RI94:RI95)</f>
        <v>#DIV/0!</v>
      </c>
      <c r="RC134" s="672" t="e">
        <f t="shared" si="748"/>
        <v>#DIV/0!</v>
      </c>
      <c r="RD134" s="675" t="e">
        <f t="shared" si="749"/>
        <v>#DIV/0!</v>
      </c>
      <c r="RE134" s="614" t="e">
        <f t="shared" si="750"/>
        <v>#DIV/0!</v>
      </c>
      <c r="RF134" s="672" t="e">
        <f t="shared" si="751"/>
        <v>#DIV/0!</v>
      </c>
      <c r="RG134" s="600" t="e">
        <f t="shared" si="839"/>
        <v>#DIV/0!</v>
      </c>
      <c r="RH134" s="672" t="e">
        <f t="shared" si="752"/>
        <v>#DIV/0!</v>
      </c>
      <c r="RI134" s="676" t="e">
        <f t="shared" si="753"/>
        <v>#DIV/0!</v>
      </c>
      <c r="RJ134" s="668">
        <v>20.5</v>
      </c>
      <c r="RK134" s="669">
        <v>53</v>
      </c>
      <c r="RL134" s="680">
        <v>1007</v>
      </c>
      <c r="RM134" s="671">
        <v>-6.0500000000000003E-12</v>
      </c>
      <c r="RN134" s="673">
        <v>60</v>
      </c>
      <c r="RO134" s="650">
        <v>43403</v>
      </c>
      <c r="RP134" s="651" t="str">
        <f t="shared" si="840"/>
        <v>rango cal. out</v>
      </c>
      <c r="RQ134" s="619">
        <f t="shared" si="754"/>
        <v>0</v>
      </c>
      <c r="RR134" s="674" t="e">
        <f t="shared" si="755"/>
        <v>#VALUE!</v>
      </c>
      <c r="RS134" s="599" t="e">
        <f>RR134-AVERAGE(RZ94:RZ95)</f>
        <v>#VALUE!</v>
      </c>
      <c r="RT134" s="672" t="e">
        <f t="shared" si="756"/>
        <v>#VALUE!</v>
      </c>
      <c r="RU134" s="675" t="e">
        <f t="shared" si="757"/>
        <v>#VALUE!</v>
      </c>
      <c r="RV134" s="614" t="e">
        <f t="shared" si="758"/>
        <v>#VALUE!</v>
      </c>
      <c r="RW134" s="672" t="e">
        <f t="shared" si="759"/>
        <v>#VALUE!</v>
      </c>
      <c r="RX134" s="600" t="e">
        <f t="shared" si="841"/>
        <v>#VALUE!</v>
      </c>
      <c r="RY134" s="672" t="e">
        <f t="shared" si="760"/>
        <v>#VALUE!</v>
      </c>
      <c r="RZ134" s="676" t="e">
        <f t="shared" si="761"/>
        <v>#VALUE!</v>
      </c>
      <c r="SA134" s="668">
        <v>20.5</v>
      </c>
      <c r="SB134" s="669">
        <v>54</v>
      </c>
      <c r="SC134" s="680">
        <v>1008</v>
      </c>
      <c r="SD134" s="671">
        <v>-3.2489999999999998E-10</v>
      </c>
      <c r="SE134" s="673">
        <v>60</v>
      </c>
      <c r="SF134" s="650">
        <v>43403</v>
      </c>
      <c r="SG134" s="651" t="str">
        <f t="shared" si="842"/>
        <v>rango cal. out</v>
      </c>
      <c r="SH134" s="619">
        <f t="shared" si="762"/>
        <v>0</v>
      </c>
      <c r="SI134" s="674" t="e">
        <f t="shared" si="763"/>
        <v>#VALUE!</v>
      </c>
      <c r="SJ134" s="599" t="e">
        <f>SI134-AVERAGE(SQ94:SQ95)</f>
        <v>#VALUE!</v>
      </c>
      <c r="SK134" s="672" t="e">
        <f t="shared" si="764"/>
        <v>#VALUE!</v>
      </c>
      <c r="SL134" s="675" t="e">
        <f t="shared" si="765"/>
        <v>#VALUE!</v>
      </c>
      <c r="SM134" s="614" t="e">
        <f t="shared" si="766"/>
        <v>#VALUE!</v>
      </c>
      <c r="SN134" s="672" t="e">
        <f t="shared" si="767"/>
        <v>#VALUE!</v>
      </c>
      <c r="SO134" s="600" t="e">
        <f t="shared" si="843"/>
        <v>#VALUE!</v>
      </c>
      <c r="SP134" s="672" t="e">
        <f t="shared" si="768"/>
        <v>#VALUE!</v>
      </c>
      <c r="SQ134" s="676" t="e">
        <f t="shared" si="769"/>
        <v>#VALUE!</v>
      </c>
      <c r="SR134" s="668"/>
      <c r="SS134" s="669"/>
      <c r="ST134" s="670"/>
      <c r="SU134" s="671"/>
      <c r="SV134" s="678"/>
      <c r="SW134" s="650"/>
      <c r="SX134" s="651">
        <f t="shared" si="844"/>
        <v>0</v>
      </c>
      <c r="SY134" s="619" t="e">
        <f t="shared" si="770"/>
        <v>#DIV/0!</v>
      </c>
      <c r="SZ134" s="674" t="e">
        <f t="shared" si="771"/>
        <v>#DIV/0!</v>
      </c>
      <c r="TA134" s="599" t="e">
        <f>SZ134-AVERAGE(TH94:TH95)</f>
        <v>#DIV/0!</v>
      </c>
      <c r="TB134" s="672" t="e">
        <f t="shared" si="772"/>
        <v>#DIV/0!</v>
      </c>
      <c r="TC134" s="675" t="e">
        <f t="shared" si="773"/>
        <v>#DIV/0!</v>
      </c>
      <c r="TD134" s="614" t="e">
        <f t="shared" si="774"/>
        <v>#DIV/0!</v>
      </c>
      <c r="TE134" s="672" t="e">
        <f t="shared" si="775"/>
        <v>#DIV/0!</v>
      </c>
      <c r="TF134" s="600" t="e">
        <f t="shared" si="845"/>
        <v>#DIV/0!</v>
      </c>
      <c r="TG134" s="672" t="e">
        <f t="shared" si="776"/>
        <v>#DIV/0!</v>
      </c>
      <c r="TH134" s="676" t="e">
        <f t="shared" si="777"/>
        <v>#DIV/0!</v>
      </c>
      <c r="TI134" s="668">
        <v>20.399999999999999</v>
      </c>
      <c r="TJ134" s="669">
        <v>55</v>
      </c>
      <c r="TK134" s="680">
        <v>1008</v>
      </c>
      <c r="TL134" s="671">
        <v>-1.358E-11</v>
      </c>
      <c r="TM134" s="673">
        <v>60</v>
      </c>
      <c r="TN134" s="650">
        <v>43403</v>
      </c>
      <c r="TO134" s="651" t="str">
        <f t="shared" si="846"/>
        <v>rango cal. out</v>
      </c>
      <c r="TP134" s="619">
        <f t="shared" si="778"/>
        <v>0</v>
      </c>
      <c r="TQ134" s="674" t="e">
        <f t="shared" si="779"/>
        <v>#VALUE!</v>
      </c>
      <c r="TR134" s="599" t="e">
        <f>TQ134-AVERAGE(TY94:TY95)</f>
        <v>#VALUE!</v>
      </c>
      <c r="TS134" s="672" t="e">
        <f t="shared" si="780"/>
        <v>#VALUE!</v>
      </c>
      <c r="TT134" s="675" t="e">
        <f t="shared" si="781"/>
        <v>#VALUE!</v>
      </c>
      <c r="TU134" s="614" t="e">
        <f t="shared" si="782"/>
        <v>#VALUE!</v>
      </c>
      <c r="TV134" s="672" t="e">
        <f t="shared" si="783"/>
        <v>#VALUE!</v>
      </c>
      <c r="TW134" s="600" t="e">
        <f t="shared" si="847"/>
        <v>#VALUE!</v>
      </c>
      <c r="TX134" s="672" t="e">
        <f t="shared" si="784"/>
        <v>#VALUE!</v>
      </c>
      <c r="TY134" s="676" t="e">
        <f t="shared" si="785"/>
        <v>#VALUE!</v>
      </c>
    </row>
    <row r="135" spans="1:545" ht="15.75" thickBot="1" x14ac:dyDescent="0.3">
      <c r="A135" s="2221"/>
      <c r="B135" s="668"/>
      <c r="C135" s="673"/>
      <c r="D135" s="673"/>
      <c r="E135" s="671"/>
      <c r="F135" s="673"/>
      <c r="G135" s="650"/>
      <c r="H135" s="651"/>
      <c r="I135" s="619"/>
      <c r="J135" s="674"/>
      <c r="K135" s="599"/>
      <c r="L135" s="599"/>
      <c r="M135" s="657"/>
      <c r="N135" s="614"/>
      <c r="O135" s="672"/>
      <c r="P135" s="600"/>
      <c r="Q135" s="672"/>
      <c r="R135" s="676"/>
      <c r="S135" s="677"/>
      <c r="T135" s="669"/>
      <c r="U135" s="670"/>
      <c r="V135" s="671"/>
      <c r="W135" s="678"/>
      <c r="X135" s="663"/>
      <c r="Y135" s="651">
        <f t="shared" si="786"/>
        <v>0</v>
      </c>
      <c r="Z135" s="619" t="e">
        <f t="shared" si="538"/>
        <v>#DIV/0!</v>
      </c>
      <c r="AA135" s="674" t="e">
        <f t="shared" si="539"/>
        <v>#DIV/0!</v>
      </c>
      <c r="AB135" s="599" t="e">
        <f>AA135-AVERAGE(AI94:AI95)</f>
        <v>#DIV/0!</v>
      </c>
      <c r="AC135" s="599" t="e">
        <f t="shared" si="540"/>
        <v>#DIV/0!</v>
      </c>
      <c r="AD135" s="657" t="e">
        <f t="shared" si="541"/>
        <v>#DIV/0!</v>
      </c>
      <c r="AE135" s="614" t="e">
        <f t="shared" si="542"/>
        <v>#DIV/0!</v>
      </c>
      <c r="AF135" s="672" t="e">
        <f t="shared" si="543"/>
        <v>#DIV/0!</v>
      </c>
      <c r="AG135" s="600" t="e">
        <f t="shared" si="787"/>
        <v>#DIV/0!</v>
      </c>
      <c r="AH135" s="672" t="e">
        <f t="shared" si="544"/>
        <v>#DIV/0!</v>
      </c>
      <c r="AI135" s="676" t="e">
        <f t="shared" si="545"/>
        <v>#DIV/0!</v>
      </c>
      <c r="AJ135" s="677"/>
      <c r="AK135" s="669"/>
      <c r="AL135" s="670"/>
      <c r="AM135" s="671"/>
      <c r="AN135" s="678"/>
      <c r="AO135" s="663"/>
      <c r="AP135" s="651">
        <f t="shared" si="788"/>
        <v>0</v>
      </c>
      <c r="AQ135" s="619" t="e">
        <f t="shared" si="546"/>
        <v>#DIV/0!</v>
      </c>
      <c r="AR135" s="674" t="e">
        <f t="shared" si="547"/>
        <v>#DIV/0!</v>
      </c>
      <c r="AS135" s="599" t="e">
        <f>AR135-AVERAGE(AZ94:AZ95)</f>
        <v>#DIV/0!</v>
      </c>
      <c r="AT135" s="599" t="e">
        <f t="shared" si="548"/>
        <v>#DIV/0!</v>
      </c>
      <c r="AU135" s="657" t="e">
        <f t="shared" si="549"/>
        <v>#DIV/0!</v>
      </c>
      <c r="AV135" s="614" t="e">
        <f t="shared" si="550"/>
        <v>#DIV/0!</v>
      </c>
      <c r="AW135" s="672" t="e">
        <f t="shared" si="551"/>
        <v>#DIV/0!</v>
      </c>
      <c r="AX135" s="600" t="e">
        <f t="shared" si="789"/>
        <v>#DIV/0!</v>
      </c>
      <c r="AY135" s="672" t="e">
        <f t="shared" si="552"/>
        <v>#DIV/0!</v>
      </c>
      <c r="AZ135" s="676" t="e">
        <f t="shared" si="553"/>
        <v>#DIV/0!</v>
      </c>
      <c r="BA135" s="668">
        <v>20.7</v>
      </c>
      <c r="BB135" s="669">
        <v>52</v>
      </c>
      <c r="BC135" s="680">
        <v>1009</v>
      </c>
      <c r="BD135" s="671">
        <v>-8.4499999999999998E-10</v>
      </c>
      <c r="BE135" s="673">
        <v>60</v>
      </c>
      <c r="BF135" s="663">
        <v>43403</v>
      </c>
      <c r="BG135" s="651" t="str">
        <f t="shared" si="790"/>
        <v>rango cal. out</v>
      </c>
      <c r="BH135" s="619">
        <f t="shared" si="554"/>
        <v>0</v>
      </c>
      <c r="BI135" s="674" t="e">
        <f t="shared" si="555"/>
        <v>#VALUE!</v>
      </c>
      <c r="BJ135" s="599" t="e">
        <f>BI135-AVERAGE(BQ94:BQ95)</f>
        <v>#VALUE!</v>
      </c>
      <c r="BK135" s="599" t="e">
        <f t="shared" si="556"/>
        <v>#VALUE!</v>
      </c>
      <c r="BL135" s="657" t="e">
        <f t="shared" si="557"/>
        <v>#VALUE!</v>
      </c>
      <c r="BM135" s="614" t="e">
        <f t="shared" si="558"/>
        <v>#VALUE!</v>
      </c>
      <c r="BN135" s="672" t="e">
        <f t="shared" si="559"/>
        <v>#VALUE!</v>
      </c>
      <c r="BO135" s="600" t="e">
        <f t="shared" si="791"/>
        <v>#VALUE!</v>
      </c>
      <c r="BP135" s="672" t="e">
        <f t="shared" si="560"/>
        <v>#VALUE!</v>
      </c>
      <c r="BQ135" s="676" t="e">
        <f t="shared" si="561"/>
        <v>#VALUE!</v>
      </c>
      <c r="BR135" s="668">
        <v>20.5</v>
      </c>
      <c r="BS135" s="669">
        <v>50</v>
      </c>
      <c r="BT135" s="680">
        <v>1008</v>
      </c>
      <c r="BU135" s="671">
        <v>-3.4439999999999999E-11</v>
      </c>
      <c r="BV135" s="673">
        <v>60</v>
      </c>
      <c r="BW135" s="663">
        <v>43403</v>
      </c>
      <c r="BX135" s="651" t="str">
        <f t="shared" si="792"/>
        <v>rango cal. out</v>
      </c>
      <c r="BY135" s="619">
        <f t="shared" si="562"/>
        <v>0</v>
      </c>
      <c r="BZ135" s="674" t="e">
        <f t="shared" si="563"/>
        <v>#VALUE!</v>
      </c>
      <c r="CA135" s="599" t="e">
        <f>BZ135-AVERAGE(CH94:CH95)</f>
        <v>#VALUE!</v>
      </c>
      <c r="CB135" s="599" t="e">
        <f t="shared" si="564"/>
        <v>#VALUE!</v>
      </c>
      <c r="CC135" s="657" t="e">
        <f t="shared" si="565"/>
        <v>#VALUE!</v>
      </c>
      <c r="CD135" s="614" t="e">
        <f t="shared" si="566"/>
        <v>#VALUE!</v>
      </c>
      <c r="CE135" s="672" t="e">
        <f t="shared" si="567"/>
        <v>#VALUE!</v>
      </c>
      <c r="CF135" s="600" t="e">
        <f t="shared" si="793"/>
        <v>#VALUE!</v>
      </c>
      <c r="CG135" s="672" t="e">
        <f t="shared" si="568"/>
        <v>#VALUE!</v>
      </c>
      <c r="CH135" s="676" t="e">
        <f t="shared" si="569"/>
        <v>#VALUE!</v>
      </c>
      <c r="CI135" s="668">
        <v>20.3</v>
      </c>
      <c r="CJ135" s="669">
        <v>51</v>
      </c>
      <c r="CK135" s="680">
        <v>1007</v>
      </c>
      <c r="CL135" s="671">
        <v>-1.9719999999999998E-9</v>
      </c>
      <c r="CM135" s="673">
        <v>60</v>
      </c>
      <c r="CN135" s="663">
        <v>43403</v>
      </c>
      <c r="CO135" s="651" t="str">
        <f t="shared" si="794"/>
        <v>rango cal. out</v>
      </c>
      <c r="CP135" s="619">
        <f t="shared" si="570"/>
        <v>0</v>
      </c>
      <c r="CQ135" s="674" t="e">
        <f t="shared" si="571"/>
        <v>#VALUE!</v>
      </c>
      <c r="CR135" s="599" t="e">
        <f>CQ135-AVERAGE(CY94:CY95)</f>
        <v>#VALUE!</v>
      </c>
      <c r="CS135" s="599" t="e">
        <f t="shared" si="572"/>
        <v>#VALUE!</v>
      </c>
      <c r="CT135" s="657" t="e">
        <f t="shared" si="573"/>
        <v>#VALUE!</v>
      </c>
      <c r="CU135" s="614" t="e">
        <f t="shared" si="574"/>
        <v>#VALUE!</v>
      </c>
      <c r="CV135" s="672" t="e">
        <f t="shared" si="575"/>
        <v>#VALUE!</v>
      </c>
      <c r="CW135" s="600" t="e">
        <f t="shared" si="795"/>
        <v>#VALUE!</v>
      </c>
      <c r="CX135" s="672" t="e">
        <f t="shared" si="576"/>
        <v>#VALUE!</v>
      </c>
      <c r="CY135" s="676" t="e">
        <f t="shared" si="577"/>
        <v>#VALUE!</v>
      </c>
      <c r="CZ135" s="668"/>
      <c r="DA135" s="669"/>
      <c r="DB135" s="670"/>
      <c r="DC135" s="671"/>
      <c r="DD135" s="678"/>
      <c r="DE135" s="663"/>
      <c r="DF135" s="651">
        <f t="shared" si="796"/>
        <v>0</v>
      </c>
      <c r="DG135" s="619" t="e">
        <f t="shared" si="578"/>
        <v>#DIV/0!</v>
      </c>
      <c r="DH135" s="674" t="e">
        <f t="shared" si="579"/>
        <v>#DIV/0!</v>
      </c>
      <c r="DI135" s="599" t="e">
        <f>DH135-AVERAGE(DP94:DP95)</f>
        <v>#DIV/0!</v>
      </c>
      <c r="DJ135" s="599" t="e">
        <f t="shared" si="580"/>
        <v>#DIV/0!</v>
      </c>
      <c r="DK135" s="657" t="e">
        <f t="shared" si="581"/>
        <v>#DIV/0!</v>
      </c>
      <c r="DL135" s="614" t="e">
        <f t="shared" si="582"/>
        <v>#DIV/0!</v>
      </c>
      <c r="DM135" s="672" t="e">
        <f t="shared" si="583"/>
        <v>#DIV/0!</v>
      </c>
      <c r="DN135" s="600" t="e">
        <f t="shared" si="797"/>
        <v>#DIV/0!</v>
      </c>
      <c r="DO135" s="672" t="e">
        <f t="shared" si="584"/>
        <v>#DIV/0!</v>
      </c>
      <c r="DP135" s="676" t="e">
        <f t="shared" si="585"/>
        <v>#DIV/0!</v>
      </c>
      <c r="DQ135" s="668"/>
      <c r="DR135" s="669"/>
      <c r="DS135" s="677"/>
      <c r="DT135" s="679"/>
      <c r="DU135" s="678"/>
      <c r="DV135" s="663"/>
      <c r="DW135" s="651">
        <f t="shared" si="798"/>
        <v>0</v>
      </c>
      <c r="DX135" s="619" t="e">
        <f t="shared" si="586"/>
        <v>#DIV/0!</v>
      </c>
      <c r="DY135" s="674" t="e">
        <f t="shared" si="587"/>
        <v>#DIV/0!</v>
      </c>
      <c r="DZ135" s="599" t="e">
        <f>DY135-AVERAGE(EG94:EG95)</f>
        <v>#DIV/0!</v>
      </c>
      <c r="EA135" s="599" t="e">
        <f t="shared" si="588"/>
        <v>#DIV/0!</v>
      </c>
      <c r="EB135" s="657" t="e">
        <f t="shared" si="589"/>
        <v>#DIV/0!</v>
      </c>
      <c r="EC135" s="614" t="e">
        <f t="shared" si="590"/>
        <v>#DIV/0!</v>
      </c>
      <c r="ED135" s="672" t="e">
        <f t="shared" si="591"/>
        <v>#DIV/0!</v>
      </c>
      <c r="EE135" s="600" t="e">
        <f t="shared" si="799"/>
        <v>#DIV/0!</v>
      </c>
      <c r="EF135" s="672" t="e">
        <f t="shared" si="592"/>
        <v>#DIV/0!</v>
      </c>
      <c r="EG135" s="676" t="e">
        <f t="shared" si="593"/>
        <v>#DIV/0!</v>
      </c>
      <c r="EH135" s="668">
        <v>20.7</v>
      </c>
      <c r="EI135" s="669">
        <v>52</v>
      </c>
      <c r="EJ135" s="680">
        <v>1007</v>
      </c>
      <c r="EK135" s="671">
        <v>-2.6299999999999999E-12</v>
      </c>
      <c r="EL135" s="673">
        <v>60</v>
      </c>
      <c r="EM135" s="663">
        <v>43403</v>
      </c>
      <c r="EN135" s="651" t="str">
        <f t="shared" si="800"/>
        <v>rango cal. out</v>
      </c>
      <c r="EO135" s="619">
        <f t="shared" si="594"/>
        <v>0</v>
      </c>
      <c r="EP135" s="674" t="e">
        <f t="shared" si="595"/>
        <v>#VALUE!</v>
      </c>
      <c r="EQ135" s="599" t="e">
        <f>EP135-AVERAGE(EX94:EX95)</f>
        <v>#VALUE!</v>
      </c>
      <c r="ER135" s="599" t="e">
        <f t="shared" si="596"/>
        <v>#VALUE!</v>
      </c>
      <c r="ES135" s="657" t="e">
        <f t="shared" si="597"/>
        <v>#VALUE!</v>
      </c>
      <c r="ET135" s="614" t="e">
        <f t="shared" si="598"/>
        <v>#VALUE!</v>
      </c>
      <c r="EU135" s="672" t="e">
        <f t="shared" si="599"/>
        <v>#VALUE!</v>
      </c>
      <c r="EV135" s="600" t="e">
        <f t="shared" si="801"/>
        <v>#VALUE!</v>
      </c>
      <c r="EW135" s="672" t="e">
        <f t="shared" si="600"/>
        <v>#VALUE!</v>
      </c>
      <c r="EX135" s="676" t="e">
        <f t="shared" si="601"/>
        <v>#VALUE!</v>
      </c>
      <c r="EY135" s="668"/>
      <c r="EZ135" s="669"/>
      <c r="FA135" s="670"/>
      <c r="FB135" s="671"/>
      <c r="FC135" s="678"/>
      <c r="FD135" s="663"/>
      <c r="FE135" s="651">
        <f t="shared" si="802"/>
        <v>0</v>
      </c>
      <c r="FF135" s="619" t="e">
        <f t="shared" si="602"/>
        <v>#DIV/0!</v>
      </c>
      <c r="FG135" s="674" t="e">
        <f t="shared" si="603"/>
        <v>#DIV/0!</v>
      </c>
      <c r="FH135" s="599" t="e">
        <f>FG135-AVERAGE(FO94:FO95)</f>
        <v>#DIV/0!</v>
      </c>
      <c r="FI135" s="599" t="e">
        <f t="shared" si="604"/>
        <v>#DIV/0!</v>
      </c>
      <c r="FJ135" s="657" t="e">
        <f t="shared" si="605"/>
        <v>#DIV/0!</v>
      </c>
      <c r="FK135" s="614" t="e">
        <f t="shared" si="606"/>
        <v>#DIV/0!</v>
      </c>
      <c r="FL135" s="672" t="e">
        <f t="shared" si="607"/>
        <v>#DIV/0!</v>
      </c>
      <c r="FM135" s="600" t="e">
        <f t="shared" si="803"/>
        <v>#DIV/0!</v>
      </c>
      <c r="FN135" s="672" t="e">
        <f t="shared" si="608"/>
        <v>#DIV/0!</v>
      </c>
      <c r="FO135" s="676" t="e">
        <f t="shared" si="609"/>
        <v>#DIV/0!</v>
      </c>
      <c r="FP135" s="668"/>
      <c r="FQ135" s="669"/>
      <c r="FR135" s="670"/>
      <c r="FS135" s="671"/>
      <c r="FT135" s="678"/>
      <c r="FU135" s="663"/>
      <c r="FV135" s="651">
        <f t="shared" si="804"/>
        <v>0</v>
      </c>
      <c r="FW135" s="619" t="e">
        <f t="shared" si="610"/>
        <v>#DIV/0!</v>
      </c>
      <c r="FX135" s="674" t="e">
        <f t="shared" si="611"/>
        <v>#DIV/0!</v>
      </c>
      <c r="FY135" s="599" t="e">
        <f>FX135-AVERAGE(GF94:GF95)</f>
        <v>#DIV/0!</v>
      </c>
      <c r="FZ135" s="599" t="e">
        <f t="shared" si="612"/>
        <v>#DIV/0!</v>
      </c>
      <c r="GA135" s="657" t="e">
        <f t="shared" si="613"/>
        <v>#DIV/0!</v>
      </c>
      <c r="GB135" s="614" t="e">
        <f t="shared" si="614"/>
        <v>#DIV/0!</v>
      </c>
      <c r="GC135" s="672" t="e">
        <f t="shared" si="615"/>
        <v>#DIV/0!</v>
      </c>
      <c r="GD135" s="600" t="e">
        <f t="shared" si="805"/>
        <v>#DIV/0!</v>
      </c>
      <c r="GE135" s="672" t="e">
        <f t="shared" si="616"/>
        <v>#DIV/0!</v>
      </c>
      <c r="GF135" s="676" t="e">
        <f t="shared" si="617"/>
        <v>#DIV/0!</v>
      </c>
      <c r="GG135" s="668"/>
      <c r="GH135" s="669"/>
      <c r="GI135" s="677"/>
      <c r="GJ135" s="679"/>
      <c r="GK135" s="678"/>
      <c r="GL135" s="663"/>
      <c r="GM135" s="651">
        <f t="shared" si="806"/>
        <v>0</v>
      </c>
      <c r="GN135" s="619" t="e">
        <f t="shared" si="618"/>
        <v>#DIV/0!</v>
      </c>
      <c r="GO135" s="674" t="e">
        <f t="shared" si="619"/>
        <v>#DIV/0!</v>
      </c>
      <c r="GP135" s="599" t="e">
        <f>GO135-AVERAGE(GW94:GW95)</f>
        <v>#DIV/0!</v>
      </c>
      <c r="GQ135" s="599" t="e">
        <f t="shared" si="620"/>
        <v>#DIV/0!</v>
      </c>
      <c r="GR135" s="657" t="e">
        <f t="shared" si="621"/>
        <v>#DIV/0!</v>
      </c>
      <c r="GS135" s="614" t="e">
        <f t="shared" si="622"/>
        <v>#DIV/0!</v>
      </c>
      <c r="GT135" s="672" t="e">
        <f t="shared" si="623"/>
        <v>#DIV/0!</v>
      </c>
      <c r="GU135" s="600" t="e">
        <f t="shared" si="807"/>
        <v>#DIV/0!</v>
      </c>
      <c r="GV135" s="672" t="e">
        <f t="shared" si="624"/>
        <v>#DIV/0!</v>
      </c>
      <c r="GW135" s="676" t="e">
        <f t="shared" si="625"/>
        <v>#DIV/0!</v>
      </c>
      <c r="GX135" s="668"/>
      <c r="GY135" s="669"/>
      <c r="GZ135" s="670"/>
      <c r="HA135" s="671"/>
      <c r="HB135" s="678"/>
      <c r="HC135" s="663"/>
      <c r="HD135" s="651">
        <f t="shared" si="808"/>
        <v>0</v>
      </c>
      <c r="HE135" s="619" t="e">
        <f t="shared" si="626"/>
        <v>#DIV/0!</v>
      </c>
      <c r="HF135" s="674" t="e">
        <f t="shared" si="627"/>
        <v>#DIV/0!</v>
      </c>
      <c r="HG135" s="599" t="e">
        <f>HF135-AVERAGE(HN94:HN95)</f>
        <v>#DIV/0!</v>
      </c>
      <c r="HH135" s="599" t="e">
        <f t="shared" si="628"/>
        <v>#DIV/0!</v>
      </c>
      <c r="HI135" s="657" t="e">
        <f t="shared" si="629"/>
        <v>#DIV/0!</v>
      </c>
      <c r="HJ135" s="614" t="e">
        <f t="shared" si="630"/>
        <v>#DIV/0!</v>
      </c>
      <c r="HK135" s="672" t="e">
        <f t="shared" si="631"/>
        <v>#DIV/0!</v>
      </c>
      <c r="HL135" s="600" t="e">
        <f t="shared" si="809"/>
        <v>#DIV/0!</v>
      </c>
      <c r="HM135" s="672" t="e">
        <f t="shared" si="632"/>
        <v>#DIV/0!</v>
      </c>
      <c r="HN135" s="676" t="e">
        <f t="shared" si="633"/>
        <v>#DIV/0!</v>
      </c>
      <c r="HO135" s="668"/>
      <c r="HP135" s="669"/>
      <c r="HQ135" s="670"/>
      <c r="HR135" s="671"/>
      <c r="HS135" s="678"/>
      <c r="HT135" s="663"/>
      <c r="HU135" s="651">
        <f t="shared" si="810"/>
        <v>0</v>
      </c>
      <c r="HV135" s="619" t="e">
        <f t="shared" si="634"/>
        <v>#DIV/0!</v>
      </c>
      <c r="HW135" s="674" t="e">
        <f t="shared" si="635"/>
        <v>#DIV/0!</v>
      </c>
      <c r="HX135" s="599" t="e">
        <f>HW135-AVERAGE(IE94:IE95)</f>
        <v>#DIV/0!</v>
      </c>
      <c r="HY135" s="599" t="e">
        <f t="shared" si="636"/>
        <v>#DIV/0!</v>
      </c>
      <c r="HZ135" s="657" t="e">
        <f t="shared" si="637"/>
        <v>#DIV/0!</v>
      </c>
      <c r="IA135" s="614" t="e">
        <f t="shared" si="638"/>
        <v>#DIV/0!</v>
      </c>
      <c r="IB135" s="672" t="e">
        <f t="shared" si="639"/>
        <v>#DIV/0!</v>
      </c>
      <c r="IC135" s="600" t="e">
        <f t="shared" si="811"/>
        <v>#DIV/0!</v>
      </c>
      <c r="ID135" s="672" t="e">
        <f t="shared" si="640"/>
        <v>#DIV/0!</v>
      </c>
      <c r="IE135" s="676" t="e">
        <f t="shared" si="641"/>
        <v>#DIV/0!</v>
      </c>
      <c r="IF135" s="668"/>
      <c r="IG135" s="669"/>
      <c r="IH135" s="670"/>
      <c r="II135" s="671"/>
      <c r="IJ135" s="678"/>
      <c r="IK135" s="663"/>
      <c r="IL135" s="651">
        <f t="shared" si="812"/>
        <v>0</v>
      </c>
      <c r="IM135" s="619" t="e">
        <f t="shared" si="642"/>
        <v>#DIV/0!</v>
      </c>
      <c r="IN135" s="674" t="e">
        <f t="shared" si="643"/>
        <v>#DIV/0!</v>
      </c>
      <c r="IO135" s="599" t="e">
        <f>IN135-AVERAGE(IV94:IV95)</f>
        <v>#DIV/0!</v>
      </c>
      <c r="IP135" s="599" t="e">
        <f t="shared" si="644"/>
        <v>#DIV/0!</v>
      </c>
      <c r="IQ135" s="657" t="e">
        <f t="shared" si="645"/>
        <v>#DIV/0!</v>
      </c>
      <c r="IR135" s="614" t="e">
        <f t="shared" si="646"/>
        <v>#DIV/0!</v>
      </c>
      <c r="IS135" s="672" t="e">
        <f t="shared" si="647"/>
        <v>#DIV/0!</v>
      </c>
      <c r="IT135" s="600" t="e">
        <f t="shared" si="813"/>
        <v>#DIV/0!</v>
      </c>
      <c r="IU135" s="672" t="e">
        <f t="shared" si="648"/>
        <v>#DIV/0!</v>
      </c>
      <c r="IV135" s="676" t="e">
        <f t="shared" si="649"/>
        <v>#DIV/0!</v>
      </c>
      <c r="IW135" s="668"/>
      <c r="IX135" s="669"/>
      <c r="IY135" s="670"/>
      <c r="IZ135" s="671"/>
      <c r="JA135" s="678"/>
      <c r="JB135" s="663"/>
      <c r="JC135" s="651">
        <f t="shared" si="814"/>
        <v>0</v>
      </c>
      <c r="JD135" s="619" t="e">
        <f t="shared" si="650"/>
        <v>#DIV/0!</v>
      </c>
      <c r="JE135" s="674" t="e">
        <f t="shared" si="651"/>
        <v>#DIV/0!</v>
      </c>
      <c r="JF135" s="599" t="e">
        <f>JE135-AVERAGE(JM94:JM95)</f>
        <v>#DIV/0!</v>
      </c>
      <c r="JG135" s="599" t="e">
        <f t="shared" si="652"/>
        <v>#DIV/0!</v>
      </c>
      <c r="JH135" s="657" t="e">
        <f t="shared" si="653"/>
        <v>#DIV/0!</v>
      </c>
      <c r="JI135" s="614" t="e">
        <f t="shared" si="654"/>
        <v>#DIV/0!</v>
      </c>
      <c r="JJ135" s="672" t="e">
        <f t="shared" si="655"/>
        <v>#DIV/0!</v>
      </c>
      <c r="JK135" s="600" t="e">
        <f t="shared" si="815"/>
        <v>#DIV/0!</v>
      </c>
      <c r="JL135" s="672" t="e">
        <f t="shared" si="656"/>
        <v>#DIV/0!</v>
      </c>
      <c r="JM135" s="676" t="e">
        <f t="shared" si="657"/>
        <v>#DIV/0!</v>
      </c>
      <c r="JN135" s="668"/>
      <c r="JO135" s="669"/>
      <c r="JP135" s="670"/>
      <c r="JQ135" s="671"/>
      <c r="JR135" s="678"/>
      <c r="JS135" s="663"/>
      <c r="JT135" s="651">
        <f t="shared" si="816"/>
        <v>0</v>
      </c>
      <c r="JU135" s="619" t="e">
        <f t="shared" si="658"/>
        <v>#DIV/0!</v>
      </c>
      <c r="JV135" s="674" t="e">
        <f t="shared" si="659"/>
        <v>#DIV/0!</v>
      </c>
      <c r="JW135" s="599" t="e">
        <f>JV135-AVERAGE(KD94:KD95)</f>
        <v>#DIV/0!</v>
      </c>
      <c r="JX135" s="599" t="e">
        <f t="shared" si="660"/>
        <v>#DIV/0!</v>
      </c>
      <c r="JY135" s="657" t="e">
        <f t="shared" si="661"/>
        <v>#DIV/0!</v>
      </c>
      <c r="JZ135" s="614" t="e">
        <f t="shared" si="662"/>
        <v>#DIV/0!</v>
      </c>
      <c r="KA135" s="672" t="e">
        <f t="shared" si="663"/>
        <v>#DIV/0!</v>
      </c>
      <c r="KB135" s="600" t="e">
        <f t="shared" si="817"/>
        <v>#DIV/0!</v>
      </c>
      <c r="KC135" s="672" t="e">
        <f t="shared" si="664"/>
        <v>#DIV/0!</v>
      </c>
      <c r="KD135" s="676" t="e">
        <f t="shared" si="665"/>
        <v>#DIV/0!</v>
      </c>
      <c r="KE135" s="668"/>
      <c r="KF135" s="669"/>
      <c r="KG135" s="670"/>
      <c r="KH135" s="671"/>
      <c r="KI135" s="678"/>
      <c r="KJ135" s="663"/>
      <c r="KK135" s="651">
        <f t="shared" si="818"/>
        <v>0</v>
      </c>
      <c r="KL135" s="619" t="e">
        <f t="shared" si="666"/>
        <v>#DIV/0!</v>
      </c>
      <c r="KM135" s="674" t="e">
        <f t="shared" si="667"/>
        <v>#DIV/0!</v>
      </c>
      <c r="KN135" s="599" t="e">
        <f>KM135-AVERAGE(KU94:KU95)</f>
        <v>#DIV/0!</v>
      </c>
      <c r="KO135" s="599" t="e">
        <f t="shared" si="668"/>
        <v>#DIV/0!</v>
      </c>
      <c r="KP135" s="657" t="e">
        <f t="shared" si="669"/>
        <v>#DIV/0!</v>
      </c>
      <c r="KQ135" s="614" t="e">
        <f t="shared" si="670"/>
        <v>#DIV/0!</v>
      </c>
      <c r="KR135" s="672" t="e">
        <f t="shared" si="671"/>
        <v>#DIV/0!</v>
      </c>
      <c r="KS135" s="600" t="e">
        <f t="shared" si="819"/>
        <v>#DIV/0!</v>
      </c>
      <c r="KT135" s="672" t="e">
        <f t="shared" si="672"/>
        <v>#DIV/0!</v>
      </c>
      <c r="KU135" s="676" t="e">
        <f t="shared" si="673"/>
        <v>#DIV/0!</v>
      </c>
      <c r="KV135" s="668"/>
      <c r="KW135" s="669"/>
      <c r="KX135" s="670"/>
      <c r="KY135" s="671"/>
      <c r="KZ135" s="678"/>
      <c r="LA135" s="663"/>
      <c r="LB135" s="651">
        <f t="shared" si="820"/>
        <v>0</v>
      </c>
      <c r="LC135" s="619" t="e">
        <f t="shared" si="674"/>
        <v>#DIV/0!</v>
      </c>
      <c r="LD135" s="674" t="e">
        <f t="shared" si="675"/>
        <v>#DIV/0!</v>
      </c>
      <c r="LE135" s="599" t="e">
        <f>LD135-AVERAGE(LL94:LL95)</f>
        <v>#DIV/0!</v>
      </c>
      <c r="LF135" s="599" t="e">
        <f t="shared" si="676"/>
        <v>#DIV/0!</v>
      </c>
      <c r="LG135" s="657" t="e">
        <f t="shared" si="677"/>
        <v>#DIV/0!</v>
      </c>
      <c r="LH135" s="614" t="e">
        <f t="shared" si="678"/>
        <v>#DIV/0!</v>
      </c>
      <c r="LI135" s="672" t="e">
        <f t="shared" si="679"/>
        <v>#DIV/0!</v>
      </c>
      <c r="LJ135" s="600" t="e">
        <f t="shared" si="821"/>
        <v>#DIV/0!</v>
      </c>
      <c r="LK135" s="672" t="e">
        <f t="shared" si="680"/>
        <v>#DIV/0!</v>
      </c>
      <c r="LL135" s="676" t="e">
        <f t="shared" si="681"/>
        <v>#DIV/0!</v>
      </c>
      <c r="LM135" s="668"/>
      <c r="LN135" s="669"/>
      <c r="LO135" s="670"/>
      <c r="LP135" s="671"/>
      <c r="LQ135" s="678"/>
      <c r="LR135" s="663"/>
      <c r="LS135" s="651">
        <f t="shared" si="822"/>
        <v>0</v>
      </c>
      <c r="LT135" s="619" t="e">
        <f t="shared" si="682"/>
        <v>#DIV/0!</v>
      </c>
      <c r="LU135" s="674" t="e">
        <f t="shared" si="683"/>
        <v>#DIV/0!</v>
      </c>
      <c r="LV135" s="599" t="e">
        <f>LU135-AVERAGE(MC94:MC95)</f>
        <v>#DIV/0!</v>
      </c>
      <c r="LW135" s="599" t="e">
        <f t="shared" si="684"/>
        <v>#DIV/0!</v>
      </c>
      <c r="LX135" s="657" t="e">
        <f t="shared" si="685"/>
        <v>#DIV/0!</v>
      </c>
      <c r="LY135" s="614" t="e">
        <f t="shared" si="686"/>
        <v>#DIV/0!</v>
      </c>
      <c r="LZ135" s="672" t="e">
        <f t="shared" si="687"/>
        <v>#DIV/0!</v>
      </c>
      <c r="MA135" s="600" t="e">
        <f t="shared" si="823"/>
        <v>#DIV/0!</v>
      </c>
      <c r="MB135" s="672" t="e">
        <f t="shared" si="688"/>
        <v>#DIV/0!</v>
      </c>
      <c r="MC135" s="676" t="e">
        <f t="shared" si="689"/>
        <v>#DIV/0!</v>
      </c>
      <c r="MD135" s="668"/>
      <c r="ME135" s="669"/>
      <c r="MF135" s="680"/>
      <c r="MG135" s="671"/>
      <c r="MH135" s="673"/>
      <c r="MI135" s="650"/>
      <c r="MJ135" s="651">
        <f t="shared" si="824"/>
        <v>0</v>
      </c>
      <c r="MK135" s="619" t="e">
        <f t="shared" si="690"/>
        <v>#DIV/0!</v>
      </c>
      <c r="ML135" s="674" t="e">
        <f t="shared" si="691"/>
        <v>#DIV/0!</v>
      </c>
      <c r="MM135" s="599" t="e">
        <f>ML135-AVERAGE(MT94:MT95)</f>
        <v>#DIV/0!</v>
      </c>
      <c r="MN135" s="599" t="e">
        <f t="shared" si="692"/>
        <v>#DIV/0!</v>
      </c>
      <c r="MO135" s="657" t="e">
        <f t="shared" si="693"/>
        <v>#DIV/0!</v>
      </c>
      <c r="MP135" s="614" t="e">
        <f t="shared" si="694"/>
        <v>#DIV/0!</v>
      </c>
      <c r="MQ135" s="672" t="e">
        <f t="shared" si="695"/>
        <v>#DIV/0!</v>
      </c>
      <c r="MR135" s="600" t="e">
        <f t="shared" si="825"/>
        <v>#DIV/0!</v>
      </c>
      <c r="MS135" s="672" t="e">
        <f t="shared" si="696"/>
        <v>#DIV/0!</v>
      </c>
      <c r="MT135" s="676" t="e">
        <f t="shared" si="697"/>
        <v>#DIV/0!</v>
      </c>
      <c r="MU135" s="668">
        <v>20.5</v>
      </c>
      <c r="MV135" s="669">
        <v>52</v>
      </c>
      <c r="MW135" s="680">
        <v>1007</v>
      </c>
      <c r="MX135" s="671">
        <v>-5.6220000000000001E-11</v>
      </c>
      <c r="MY135" s="678">
        <v>60</v>
      </c>
      <c r="MZ135" s="663">
        <v>43403</v>
      </c>
      <c r="NA135" s="651" t="str">
        <f t="shared" si="826"/>
        <v>rango cal. out</v>
      </c>
      <c r="NB135" s="619">
        <f t="shared" si="698"/>
        <v>0</v>
      </c>
      <c r="NC135" s="674" t="e">
        <f t="shared" si="699"/>
        <v>#VALUE!</v>
      </c>
      <c r="ND135" s="599" t="e">
        <f>NC135-AVERAGE(NK94:NK95)</f>
        <v>#VALUE!</v>
      </c>
      <c r="NE135" s="599" t="e">
        <f t="shared" si="700"/>
        <v>#VALUE!</v>
      </c>
      <c r="NF135" s="657" t="e">
        <f t="shared" si="701"/>
        <v>#VALUE!</v>
      </c>
      <c r="NG135" s="614" t="e">
        <f t="shared" si="702"/>
        <v>#VALUE!</v>
      </c>
      <c r="NH135" s="672" t="e">
        <f t="shared" si="703"/>
        <v>#VALUE!</v>
      </c>
      <c r="NI135" s="600" t="e">
        <f t="shared" si="827"/>
        <v>#VALUE!</v>
      </c>
      <c r="NJ135" s="672" t="e">
        <f t="shared" si="704"/>
        <v>#VALUE!</v>
      </c>
      <c r="NK135" s="676" t="e">
        <f t="shared" si="705"/>
        <v>#VALUE!</v>
      </c>
      <c r="NL135" s="668"/>
      <c r="NM135" s="669"/>
      <c r="NN135" s="670"/>
      <c r="NO135" s="671"/>
      <c r="NP135" s="678"/>
      <c r="NQ135" s="663"/>
      <c r="NR135" s="651">
        <f t="shared" si="828"/>
        <v>0</v>
      </c>
      <c r="NS135" s="619" t="e">
        <f t="shared" si="706"/>
        <v>#DIV/0!</v>
      </c>
      <c r="NT135" s="674" t="e">
        <f t="shared" si="707"/>
        <v>#DIV/0!</v>
      </c>
      <c r="NU135" s="599" t="e">
        <f>NT135-AVERAGE(OB94:OB95)</f>
        <v>#DIV/0!</v>
      </c>
      <c r="NV135" s="599" t="e">
        <f t="shared" si="708"/>
        <v>#DIV/0!</v>
      </c>
      <c r="NW135" s="657" t="e">
        <f t="shared" si="709"/>
        <v>#DIV/0!</v>
      </c>
      <c r="NX135" s="614" t="e">
        <f t="shared" si="710"/>
        <v>#DIV/0!</v>
      </c>
      <c r="NY135" s="672" t="e">
        <f t="shared" si="711"/>
        <v>#DIV/0!</v>
      </c>
      <c r="NZ135" s="600" t="e">
        <f t="shared" si="829"/>
        <v>#DIV/0!</v>
      </c>
      <c r="OA135" s="672" t="e">
        <f t="shared" si="712"/>
        <v>#DIV/0!</v>
      </c>
      <c r="OB135" s="676" t="e">
        <f t="shared" si="713"/>
        <v>#DIV/0!</v>
      </c>
      <c r="OC135" s="668">
        <v>20.399999999999999</v>
      </c>
      <c r="OD135" s="669">
        <v>53</v>
      </c>
      <c r="OE135" s="680">
        <v>1007</v>
      </c>
      <c r="OF135" s="671">
        <v>-1.308E-10</v>
      </c>
      <c r="OG135" s="673">
        <v>60</v>
      </c>
      <c r="OH135" s="663">
        <v>43403</v>
      </c>
      <c r="OI135" s="651" t="str">
        <f t="shared" si="830"/>
        <v>rango cal. out</v>
      </c>
      <c r="OJ135" s="619">
        <f t="shared" si="714"/>
        <v>0</v>
      </c>
      <c r="OK135" s="674" t="e">
        <f t="shared" si="715"/>
        <v>#VALUE!</v>
      </c>
      <c r="OL135" s="599" t="e">
        <f>OK135-AVERAGE(OS94:OS95)</f>
        <v>#VALUE!</v>
      </c>
      <c r="OM135" s="599" t="e">
        <f t="shared" si="716"/>
        <v>#VALUE!</v>
      </c>
      <c r="ON135" s="657" t="e">
        <f t="shared" si="717"/>
        <v>#VALUE!</v>
      </c>
      <c r="OO135" s="614" t="e">
        <f t="shared" si="718"/>
        <v>#VALUE!</v>
      </c>
      <c r="OP135" s="672" t="e">
        <f t="shared" si="719"/>
        <v>#VALUE!</v>
      </c>
      <c r="OQ135" s="600" t="e">
        <f t="shared" si="831"/>
        <v>#VALUE!</v>
      </c>
      <c r="OR135" s="672" t="e">
        <f t="shared" si="720"/>
        <v>#VALUE!</v>
      </c>
      <c r="OS135" s="676" t="e">
        <f t="shared" si="721"/>
        <v>#VALUE!</v>
      </c>
      <c r="OT135" s="668"/>
      <c r="OU135" s="669"/>
      <c r="OV135" s="670"/>
      <c r="OW135" s="671"/>
      <c r="OX135" s="678"/>
      <c r="OY135" s="663"/>
      <c r="OZ135" s="651">
        <f t="shared" si="832"/>
        <v>0</v>
      </c>
      <c r="PA135" s="619" t="e">
        <f t="shared" si="722"/>
        <v>#DIV/0!</v>
      </c>
      <c r="PB135" s="674" t="e">
        <f t="shared" si="723"/>
        <v>#DIV/0!</v>
      </c>
      <c r="PC135" s="599" t="e">
        <f>PB135-AVERAGE(PJ94:PJ95)</f>
        <v>#DIV/0!</v>
      </c>
      <c r="PD135" s="599" t="e">
        <f t="shared" si="724"/>
        <v>#DIV/0!</v>
      </c>
      <c r="PE135" s="657" t="e">
        <f t="shared" si="725"/>
        <v>#DIV/0!</v>
      </c>
      <c r="PF135" s="614" t="e">
        <f t="shared" si="726"/>
        <v>#DIV/0!</v>
      </c>
      <c r="PG135" s="672" t="e">
        <f t="shared" si="727"/>
        <v>#DIV/0!</v>
      </c>
      <c r="PH135" s="600" t="e">
        <f t="shared" si="833"/>
        <v>#DIV/0!</v>
      </c>
      <c r="PI135" s="672" t="e">
        <f t="shared" si="728"/>
        <v>#DIV/0!</v>
      </c>
      <c r="PJ135" s="676" t="e">
        <f t="shared" si="729"/>
        <v>#DIV/0!</v>
      </c>
      <c r="PK135" s="668"/>
      <c r="PL135" s="669"/>
      <c r="PM135" s="670"/>
      <c r="PN135" s="671"/>
      <c r="PO135" s="678"/>
      <c r="PP135" s="663"/>
      <c r="PQ135" s="651">
        <f t="shared" si="834"/>
        <v>0</v>
      </c>
      <c r="PR135" s="619" t="e">
        <f t="shared" si="730"/>
        <v>#DIV/0!</v>
      </c>
      <c r="PS135" s="674" t="e">
        <f t="shared" si="731"/>
        <v>#DIV/0!</v>
      </c>
      <c r="PT135" s="599" t="e">
        <f>PS135-AVERAGE(QA94:QA95)</f>
        <v>#DIV/0!</v>
      </c>
      <c r="PU135" s="599" t="e">
        <f t="shared" si="732"/>
        <v>#DIV/0!</v>
      </c>
      <c r="PV135" s="657" t="e">
        <f t="shared" si="733"/>
        <v>#DIV/0!</v>
      </c>
      <c r="PW135" s="614" t="e">
        <f t="shared" si="734"/>
        <v>#DIV/0!</v>
      </c>
      <c r="PX135" s="672" t="e">
        <f t="shared" si="735"/>
        <v>#DIV/0!</v>
      </c>
      <c r="PY135" s="600" t="e">
        <f t="shared" si="835"/>
        <v>#DIV/0!</v>
      </c>
      <c r="PZ135" s="672" t="e">
        <f t="shared" si="736"/>
        <v>#DIV/0!</v>
      </c>
      <c r="QA135" s="676" t="e">
        <f t="shared" si="737"/>
        <v>#DIV/0!</v>
      </c>
      <c r="QB135" s="668"/>
      <c r="QC135" s="669"/>
      <c r="QD135" s="693"/>
      <c r="QE135" s="671"/>
      <c r="QF135" s="694"/>
      <c r="QG135" s="663"/>
      <c r="QH135" s="651">
        <f t="shared" si="836"/>
        <v>0</v>
      </c>
      <c r="QI135" s="619" t="e">
        <f t="shared" si="738"/>
        <v>#DIV/0!</v>
      </c>
      <c r="QJ135" s="674" t="e">
        <f t="shared" si="739"/>
        <v>#DIV/0!</v>
      </c>
      <c r="QK135" s="599" t="e">
        <f>QJ135-AVERAGE(QR94:QR95)</f>
        <v>#DIV/0!</v>
      </c>
      <c r="QL135" s="599" t="e">
        <f t="shared" si="740"/>
        <v>#DIV/0!</v>
      </c>
      <c r="QM135" s="657" t="e">
        <f t="shared" si="741"/>
        <v>#DIV/0!</v>
      </c>
      <c r="QN135" s="614" t="e">
        <f t="shared" si="742"/>
        <v>#DIV/0!</v>
      </c>
      <c r="QO135" s="672" t="e">
        <f t="shared" si="743"/>
        <v>#DIV/0!</v>
      </c>
      <c r="QP135" s="600" t="e">
        <f t="shared" si="837"/>
        <v>#DIV/0!</v>
      </c>
      <c r="QQ135" s="672" t="e">
        <f t="shared" si="744"/>
        <v>#DIV/0!</v>
      </c>
      <c r="QR135" s="676" t="e">
        <f t="shared" si="745"/>
        <v>#DIV/0!</v>
      </c>
      <c r="QS135" s="668"/>
      <c r="QT135" s="669"/>
      <c r="QU135" s="669"/>
      <c r="QV135" s="679"/>
      <c r="QW135" s="673"/>
      <c r="QX135" s="663"/>
      <c r="QY135" s="651">
        <f t="shared" si="838"/>
        <v>0</v>
      </c>
      <c r="QZ135" s="619" t="e">
        <f t="shared" si="746"/>
        <v>#DIV/0!</v>
      </c>
      <c r="RA135" s="674" t="e">
        <f t="shared" si="747"/>
        <v>#DIV/0!</v>
      </c>
      <c r="RB135" s="599" t="e">
        <f>RA135-AVERAGE(RI94:RI95)</f>
        <v>#DIV/0!</v>
      </c>
      <c r="RC135" s="599" t="e">
        <f t="shared" si="748"/>
        <v>#DIV/0!</v>
      </c>
      <c r="RD135" s="657" t="e">
        <f t="shared" si="749"/>
        <v>#DIV/0!</v>
      </c>
      <c r="RE135" s="614" t="e">
        <f t="shared" si="750"/>
        <v>#DIV/0!</v>
      </c>
      <c r="RF135" s="672" t="e">
        <f t="shared" si="751"/>
        <v>#DIV/0!</v>
      </c>
      <c r="RG135" s="600" t="e">
        <f t="shared" si="839"/>
        <v>#DIV/0!</v>
      </c>
      <c r="RH135" s="672" t="e">
        <f t="shared" si="752"/>
        <v>#DIV/0!</v>
      </c>
      <c r="RI135" s="676" t="e">
        <f t="shared" si="753"/>
        <v>#DIV/0!</v>
      </c>
      <c r="RJ135" s="668">
        <v>20.399999999999999</v>
      </c>
      <c r="RK135" s="669">
        <v>54</v>
      </c>
      <c r="RL135" s="680">
        <v>1007</v>
      </c>
      <c r="RM135" s="671">
        <v>-5.9199999999999998E-12</v>
      </c>
      <c r="RN135" s="673">
        <v>60</v>
      </c>
      <c r="RO135" s="663">
        <v>43403</v>
      </c>
      <c r="RP135" s="651" t="str">
        <f t="shared" si="840"/>
        <v>rango cal. out</v>
      </c>
      <c r="RQ135" s="619">
        <f t="shared" si="754"/>
        <v>0</v>
      </c>
      <c r="RR135" s="674" t="e">
        <f t="shared" si="755"/>
        <v>#VALUE!</v>
      </c>
      <c r="RS135" s="599" t="e">
        <f>RR135-AVERAGE(RZ94:RZ95)</f>
        <v>#VALUE!</v>
      </c>
      <c r="RT135" s="599" t="e">
        <f t="shared" si="756"/>
        <v>#VALUE!</v>
      </c>
      <c r="RU135" s="657" t="e">
        <f t="shared" si="757"/>
        <v>#VALUE!</v>
      </c>
      <c r="RV135" s="614" t="e">
        <f t="shared" si="758"/>
        <v>#VALUE!</v>
      </c>
      <c r="RW135" s="672" t="e">
        <f t="shared" si="759"/>
        <v>#VALUE!</v>
      </c>
      <c r="RX135" s="600" t="e">
        <f t="shared" si="841"/>
        <v>#VALUE!</v>
      </c>
      <c r="RY135" s="672" t="e">
        <f t="shared" si="760"/>
        <v>#VALUE!</v>
      </c>
      <c r="RZ135" s="676" t="e">
        <f t="shared" si="761"/>
        <v>#VALUE!</v>
      </c>
      <c r="SA135" s="668">
        <v>20.5</v>
      </c>
      <c r="SB135" s="669">
        <v>55</v>
      </c>
      <c r="SC135" s="680">
        <v>1008</v>
      </c>
      <c r="SD135" s="671">
        <v>-3.2520000000000002E-10</v>
      </c>
      <c r="SE135" s="673">
        <v>60</v>
      </c>
      <c r="SF135" s="663">
        <v>43403</v>
      </c>
      <c r="SG135" s="651" t="str">
        <f t="shared" si="842"/>
        <v>rango cal. out</v>
      </c>
      <c r="SH135" s="619">
        <f t="shared" si="762"/>
        <v>0</v>
      </c>
      <c r="SI135" s="674" t="e">
        <f t="shared" si="763"/>
        <v>#VALUE!</v>
      </c>
      <c r="SJ135" s="599" t="e">
        <f>SI135-AVERAGE(SQ94:SQ95)</f>
        <v>#VALUE!</v>
      </c>
      <c r="SK135" s="599" t="e">
        <f t="shared" si="764"/>
        <v>#VALUE!</v>
      </c>
      <c r="SL135" s="657" t="e">
        <f t="shared" si="765"/>
        <v>#VALUE!</v>
      </c>
      <c r="SM135" s="614" t="e">
        <f t="shared" si="766"/>
        <v>#VALUE!</v>
      </c>
      <c r="SN135" s="672" t="e">
        <f t="shared" si="767"/>
        <v>#VALUE!</v>
      </c>
      <c r="SO135" s="600" t="e">
        <f t="shared" si="843"/>
        <v>#VALUE!</v>
      </c>
      <c r="SP135" s="672" t="e">
        <f t="shared" si="768"/>
        <v>#VALUE!</v>
      </c>
      <c r="SQ135" s="676" t="e">
        <f t="shared" si="769"/>
        <v>#VALUE!</v>
      </c>
      <c r="SR135" s="668"/>
      <c r="SS135" s="669"/>
      <c r="ST135" s="670"/>
      <c r="SU135" s="671"/>
      <c r="SV135" s="678"/>
      <c r="SW135" s="663"/>
      <c r="SX135" s="651">
        <f t="shared" si="844"/>
        <v>0</v>
      </c>
      <c r="SY135" s="619" t="e">
        <f t="shared" si="770"/>
        <v>#DIV/0!</v>
      </c>
      <c r="SZ135" s="674" t="e">
        <f t="shared" si="771"/>
        <v>#DIV/0!</v>
      </c>
      <c r="TA135" s="599" t="e">
        <f>SZ135-AVERAGE(TH94:TH95)</f>
        <v>#DIV/0!</v>
      </c>
      <c r="TB135" s="599" t="e">
        <f t="shared" si="772"/>
        <v>#DIV/0!</v>
      </c>
      <c r="TC135" s="657" t="e">
        <f t="shared" si="773"/>
        <v>#DIV/0!</v>
      </c>
      <c r="TD135" s="614" t="e">
        <f t="shared" si="774"/>
        <v>#DIV/0!</v>
      </c>
      <c r="TE135" s="672" t="e">
        <f t="shared" si="775"/>
        <v>#DIV/0!</v>
      </c>
      <c r="TF135" s="600" t="e">
        <f t="shared" si="845"/>
        <v>#DIV/0!</v>
      </c>
      <c r="TG135" s="672" t="e">
        <f t="shared" si="776"/>
        <v>#DIV/0!</v>
      </c>
      <c r="TH135" s="676" t="e">
        <f t="shared" si="777"/>
        <v>#DIV/0!</v>
      </c>
      <c r="TI135" s="668">
        <v>20.3</v>
      </c>
      <c r="TJ135" s="669">
        <v>55</v>
      </c>
      <c r="TK135" s="680">
        <v>1008</v>
      </c>
      <c r="TL135" s="671">
        <v>-1.3520000000000001E-11</v>
      </c>
      <c r="TM135" s="673">
        <v>60</v>
      </c>
      <c r="TN135" s="663">
        <v>43403</v>
      </c>
      <c r="TO135" s="651" t="str">
        <f t="shared" si="846"/>
        <v>rango cal. out</v>
      </c>
      <c r="TP135" s="619">
        <f t="shared" si="778"/>
        <v>0</v>
      </c>
      <c r="TQ135" s="674" t="e">
        <f t="shared" si="779"/>
        <v>#VALUE!</v>
      </c>
      <c r="TR135" s="599" t="e">
        <f>TQ135-AVERAGE(TY94:TY95)</f>
        <v>#VALUE!</v>
      </c>
      <c r="TS135" s="599" t="e">
        <f t="shared" si="780"/>
        <v>#VALUE!</v>
      </c>
      <c r="TT135" s="657" t="e">
        <f t="shared" si="781"/>
        <v>#VALUE!</v>
      </c>
      <c r="TU135" s="614" t="e">
        <f t="shared" si="782"/>
        <v>#VALUE!</v>
      </c>
      <c r="TV135" s="672" t="e">
        <f t="shared" si="783"/>
        <v>#VALUE!</v>
      </c>
      <c r="TW135" s="600" t="e">
        <f t="shared" si="847"/>
        <v>#VALUE!</v>
      </c>
      <c r="TX135" s="672" t="e">
        <f t="shared" si="784"/>
        <v>#VALUE!</v>
      </c>
      <c r="TY135" s="676" t="e">
        <f t="shared" si="785"/>
        <v>#VALUE!</v>
      </c>
    </row>
    <row r="136" spans="1:545" x14ac:dyDescent="0.25">
      <c r="A136" s="681" t="s">
        <v>61</v>
      </c>
      <c r="B136" s="709"/>
      <c r="C136" s="710"/>
      <c r="D136" s="710"/>
      <c r="E136" s="672"/>
      <c r="F136" s="710"/>
      <c r="G136" s="685"/>
      <c r="H136" s="599"/>
      <c r="I136" s="619"/>
      <c r="J136" s="675"/>
      <c r="K136" s="672"/>
      <c r="L136" s="687"/>
      <c r="M136" s="686"/>
      <c r="N136" s="687"/>
      <c r="O136" s="687"/>
      <c r="P136" s="687"/>
      <c r="Q136" s="687"/>
      <c r="R136" s="690"/>
      <c r="S136" s="691" t="e">
        <f t="shared" ref="S136:W136" si="848">AVERAGE(S126:S135)</f>
        <v>#DIV/0!</v>
      </c>
      <c r="T136" s="691" t="e">
        <f t="shared" si="848"/>
        <v>#DIV/0!</v>
      </c>
      <c r="U136" s="695" t="e">
        <f t="shared" si="848"/>
        <v>#DIV/0!</v>
      </c>
      <c r="V136" s="599" t="e">
        <f t="shared" si="848"/>
        <v>#DIV/0!</v>
      </c>
      <c r="W136" s="685" t="e">
        <f t="shared" si="848"/>
        <v>#DIV/0!</v>
      </c>
      <c r="X136" s="685" t="s">
        <v>93</v>
      </c>
      <c r="Y136" s="599">
        <f t="shared" ref="Y136:AN136" si="849">AVERAGE(Y126:Y135)</f>
        <v>0</v>
      </c>
      <c r="Z136" s="619" t="e">
        <f t="shared" si="849"/>
        <v>#DIV/0!</v>
      </c>
      <c r="AA136" s="675" t="e">
        <f t="shared" si="849"/>
        <v>#DIV/0!</v>
      </c>
      <c r="AB136" s="672" t="e">
        <f t="shared" si="849"/>
        <v>#DIV/0!</v>
      </c>
      <c r="AC136" s="687" t="e">
        <f t="shared" si="849"/>
        <v>#DIV/0!</v>
      </c>
      <c r="AD136" s="686" t="e">
        <f t="shared" si="849"/>
        <v>#DIV/0!</v>
      </c>
      <c r="AE136" s="687" t="e">
        <f t="shared" si="849"/>
        <v>#DIV/0!</v>
      </c>
      <c r="AF136" s="687" t="e">
        <f t="shared" si="849"/>
        <v>#DIV/0!</v>
      </c>
      <c r="AG136" s="687" t="e">
        <f t="shared" si="849"/>
        <v>#DIV/0!</v>
      </c>
      <c r="AH136" s="687" t="e">
        <f t="shared" si="849"/>
        <v>#DIV/0!</v>
      </c>
      <c r="AI136" s="690" t="e">
        <f t="shared" si="849"/>
        <v>#DIV/0!</v>
      </c>
      <c r="AJ136" s="691" t="e">
        <f t="shared" si="849"/>
        <v>#DIV/0!</v>
      </c>
      <c r="AK136" s="691" t="e">
        <f t="shared" si="849"/>
        <v>#DIV/0!</v>
      </c>
      <c r="AL136" s="695" t="e">
        <f t="shared" si="849"/>
        <v>#DIV/0!</v>
      </c>
      <c r="AM136" s="599" t="e">
        <f t="shared" si="849"/>
        <v>#DIV/0!</v>
      </c>
      <c r="AN136" s="685" t="e">
        <f t="shared" si="849"/>
        <v>#DIV/0!</v>
      </c>
      <c r="AO136" s="685" t="s">
        <v>93</v>
      </c>
      <c r="AP136" s="599">
        <f t="shared" ref="AP136:BE136" si="850">AVERAGE(AP126:AP135)</f>
        <v>0</v>
      </c>
      <c r="AQ136" s="619" t="e">
        <f t="shared" si="850"/>
        <v>#DIV/0!</v>
      </c>
      <c r="AR136" s="675" t="e">
        <f t="shared" si="850"/>
        <v>#DIV/0!</v>
      </c>
      <c r="AS136" s="672" t="e">
        <f t="shared" si="850"/>
        <v>#DIV/0!</v>
      </c>
      <c r="AT136" s="687" t="e">
        <f t="shared" si="850"/>
        <v>#DIV/0!</v>
      </c>
      <c r="AU136" s="686" t="e">
        <f t="shared" si="850"/>
        <v>#DIV/0!</v>
      </c>
      <c r="AV136" s="687" t="e">
        <f t="shared" si="850"/>
        <v>#DIV/0!</v>
      </c>
      <c r="AW136" s="687" t="e">
        <f t="shared" si="850"/>
        <v>#DIV/0!</v>
      </c>
      <c r="AX136" s="687" t="e">
        <f t="shared" si="850"/>
        <v>#DIV/0!</v>
      </c>
      <c r="AY136" s="687" t="e">
        <f t="shared" si="850"/>
        <v>#DIV/0!</v>
      </c>
      <c r="AZ136" s="690" t="e">
        <f t="shared" si="850"/>
        <v>#DIV/0!</v>
      </c>
      <c r="BA136" s="692">
        <f t="shared" si="850"/>
        <v>20.55</v>
      </c>
      <c r="BB136" s="711">
        <f t="shared" si="850"/>
        <v>52.1</v>
      </c>
      <c r="BC136" s="693">
        <f t="shared" si="850"/>
        <v>1009</v>
      </c>
      <c r="BD136" s="599">
        <f t="shared" si="850"/>
        <v>-8.4513999999999994E-10</v>
      </c>
      <c r="BE136" s="694">
        <f t="shared" si="850"/>
        <v>60</v>
      </c>
      <c r="BF136" s="685" t="s">
        <v>93</v>
      </c>
      <c r="BG136" s="599" t="e">
        <f t="shared" ref="BG136:BV136" si="851">AVERAGE(BG126:BG135)</f>
        <v>#DIV/0!</v>
      </c>
      <c r="BH136" s="619">
        <f t="shared" si="851"/>
        <v>0</v>
      </c>
      <c r="BI136" s="675" t="e">
        <f t="shared" si="851"/>
        <v>#VALUE!</v>
      </c>
      <c r="BJ136" s="672" t="e">
        <f t="shared" si="851"/>
        <v>#VALUE!</v>
      </c>
      <c r="BK136" s="687" t="e">
        <f t="shared" si="851"/>
        <v>#VALUE!</v>
      </c>
      <c r="BL136" s="686" t="e">
        <f t="shared" si="851"/>
        <v>#VALUE!</v>
      </c>
      <c r="BM136" s="687" t="e">
        <f t="shared" si="851"/>
        <v>#VALUE!</v>
      </c>
      <c r="BN136" s="687" t="e">
        <f t="shared" si="851"/>
        <v>#VALUE!</v>
      </c>
      <c r="BO136" s="687" t="e">
        <f t="shared" si="851"/>
        <v>#VALUE!</v>
      </c>
      <c r="BP136" s="687" t="e">
        <f t="shared" si="851"/>
        <v>#VALUE!</v>
      </c>
      <c r="BQ136" s="690" t="e">
        <f t="shared" si="851"/>
        <v>#VALUE!</v>
      </c>
      <c r="BR136" s="692">
        <f t="shared" si="851"/>
        <v>20.630000000000003</v>
      </c>
      <c r="BS136" s="711">
        <f t="shared" si="851"/>
        <v>50.6</v>
      </c>
      <c r="BT136" s="693">
        <f t="shared" si="851"/>
        <v>1008</v>
      </c>
      <c r="BU136" s="599">
        <f t="shared" si="851"/>
        <v>-3.4555999999999999E-11</v>
      </c>
      <c r="BV136" s="694">
        <f t="shared" si="851"/>
        <v>60</v>
      </c>
      <c r="BW136" s="685" t="s">
        <v>93</v>
      </c>
      <c r="BX136" s="599" t="e">
        <f t="shared" ref="BX136:CM136" si="852">AVERAGE(BX126:BX135)</f>
        <v>#DIV/0!</v>
      </c>
      <c r="BY136" s="619">
        <f t="shared" si="852"/>
        <v>0</v>
      </c>
      <c r="BZ136" s="675" t="e">
        <f t="shared" si="852"/>
        <v>#VALUE!</v>
      </c>
      <c r="CA136" s="672" t="e">
        <f t="shared" si="852"/>
        <v>#VALUE!</v>
      </c>
      <c r="CB136" s="687" t="e">
        <f t="shared" si="852"/>
        <v>#VALUE!</v>
      </c>
      <c r="CC136" s="686" t="e">
        <f t="shared" si="852"/>
        <v>#VALUE!</v>
      </c>
      <c r="CD136" s="687" t="e">
        <f t="shared" si="852"/>
        <v>#VALUE!</v>
      </c>
      <c r="CE136" s="687" t="e">
        <f t="shared" si="852"/>
        <v>#VALUE!</v>
      </c>
      <c r="CF136" s="687" t="e">
        <f t="shared" si="852"/>
        <v>#VALUE!</v>
      </c>
      <c r="CG136" s="687" t="e">
        <f t="shared" si="852"/>
        <v>#VALUE!</v>
      </c>
      <c r="CH136" s="690" t="e">
        <f t="shared" si="852"/>
        <v>#VALUE!</v>
      </c>
      <c r="CI136" s="692">
        <f t="shared" si="852"/>
        <v>20.46</v>
      </c>
      <c r="CJ136" s="711">
        <f t="shared" si="852"/>
        <v>51.6</v>
      </c>
      <c r="CK136" s="693">
        <f t="shared" si="852"/>
        <v>1007</v>
      </c>
      <c r="CL136" s="599">
        <f t="shared" si="852"/>
        <v>-1.9720000000000002E-9</v>
      </c>
      <c r="CM136" s="694">
        <f t="shared" si="852"/>
        <v>60</v>
      </c>
      <c r="CN136" s="685" t="s">
        <v>93</v>
      </c>
      <c r="CO136" s="599" t="e">
        <f t="shared" ref="CO136:DD136" si="853">AVERAGE(CO126:CO135)</f>
        <v>#DIV/0!</v>
      </c>
      <c r="CP136" s="619">
        <f t="shared" si="853"/>
        <v>0</v>
      </c>
      <c r="CQ136" s="675" t="e">
        <f t="shared" si="853"/>
        <v>#VALUE!</v>
      </c>
      <c r="CR136" s="672" t="e">
        <f t="shared" si="853"/>
        <v>#VALUE!</v>
      </c>
      <c r="CS136" s="687" t="e">
        <f t="shared" si="853"/>
        <v>#VALUE!</v>
      </c>
      <c r="CT136" s="686" t="e">
        <f t="shared" si="853"/>
        <v>#VALUE!</v>
      </c>
      <c r="CU136" s="687" t="e">
        <f t="shared" si="853"/>
        <v>#VALUE!</v>
      </c>
      <c r="CV136" s="687" t="e">
        <f t="shared" si="853"/>
        <v>#VALUE!</v>
      </c>
      <c r="CW136" s="687" t="e">
        <f t="shared" si="853"/>
        <v>#VALUE!</v>
      </c>
      <c r="CX136" s="687" t="e">
        <f t="shared" si="853"/>
        <v>#VALUE!</v>
      </c>
      <c r="CY136" s="690" t="e">
        <f t="shared" si="853"/>
        <v>#VALUE!</v>
      </c>
      <c r="CZ136" s="682" t="e">
        <f t="shared" si="853"/>
        <v>#DIV/0!</v>
      </c>
      <c r="DA136" s="691" t="e">
        <f t="shared" si="853"/>
        <v>#DIV/0!</v>
      </c>
      <c r="DB136" s="695" t="e">
        <f t="shared" si="853"/>
        <v>#DIV/0!</v>
      </c>
      <c r="DC136" s="599" t="e">
        <f t="shared" si="853"/>
        <v>#DIV/0!</v>
      </c>
      <c r="DD136" s="685" t="e">
        <f t="shared" si="853"/>
        <v>#DIV/0!</v>
      </c>
      <c r="DE136" s="685" t="s">
        <v>93</v>
      </c>
      <c r="DF136" s="599">
        <f t="shared" ref="DF136:DU136" si="854">AVERAGE(DF126:DF135)</f>
        <v>0</v>
      </c>
      <c r="DG136" s="619" t="e">
        <f t="shared" si="854"/>
        <v>#DIV/0!</v>
      </c>
      <c r="DH136" s="675" t="e">
        <f t="shared" si="854"/>
        <v>#DIV/0!</v>
      </c>
      <c r="DI136" s="672" t="e">
        <f t="shared" si="854"/>
        <v>#DIV/0!</v>
      </c>
      <c r="DJ136" s="687" t="e">
        <f t="shared" si="854"/>
        <v>#DIV/0!</v>
      </c>
      <c r="DK136" s="686" t="e">
        <f t="shared" si="854"/>
        <v>#DIV/0!</v>
      </c>
      <c r="DL136" s="687" t="e">
        <f t="shared" si="854"/>
        <v>#DIV/0!</v>
      </c>
      <c r="DM136" s="687" t="e">
        <f t="shared" si="854"/>
        <v>#DIV/0!</v>
      </c>
      <c r="DN136" s="687" t="e">
        <f t="shared" si="854"/>
        <v>#DIV/0!</v>
      </c>
      <c r="DO136" s="687" t="e">
        <f t="shared" si="854"/>
        <v>#DIV/0!</v>
      </c>
      <c r="DP136" s="690" t="e">
        <f t="shared" si="854"/>
        <v>#DIV/0!</v>
      </c>
      <c r="DQ136" s="682" t="e">
        <f t="shared" si="854"/>
        <v>#DIV/0!</v>
      </c>
      <c r="DR136" s="691" t="e">
        <f t="shared" si="854"/>
        <v>#DIV/0!</v>
      </c>
      <c r="DS136" s="695" t="e">
        <f t="shared" si="854"/>
        <v>#DIV/0!</v>
      </c>
      <c r="DT136" s="653" t="e">
        <f t="shared" si="854"/>
        <v>#DIV/0!</v>
      </c>
      <c r="DU136" s="685" t="e">
        <f t="shared" si="854"/>
        <v>#DIV/0!</v>
      </c>
      <c r="DV136" s="685" t="s">
        <v>93</v>
      </c>
      <c r="DW136" s="599">
        <f t="shared" ref="DW136:EL136" si="855">AVERAGE(DW126:DW135)</f>
        <v>0</v>
      </c>
      <c r="DX136" s="619" t="e">
        <f t="shared" si="855"/>
        <v>#DIV/0!</v>
      </c>
      <c r="DY136" s="675" t="e">
        <f t="shared" si="855"/>
        <v>#DIV/0!</v>
      </c>
      <c r="DZ136" s="672" t="e">
        <f t="shared" si="855"/>
        <v>#DIV/0!</v>
      </c>
      <c r="EA136" s="687" t="e">
        <f t="shared" si="855"/>
        <v>#DIV/0!</v>
      </c>
      <c r="EB136" s="686" t="e">
        <f t="shared" si="855"/>
        <v>#DIV/0!</v>
      </c>
      <c r="EC136" s="687" t="e">
        <f t="shared" si="855"/>
        <v>#DIV/0!</v>
      </c>
      <c r="ED136" s="687" t="e">
        <f t="shared" si="855"/>
        <v>#DIV/0!</v>
      </c>
      <c r="EE136" s="687" t="e">
        <f t="shared" si="855"/>
        <v>#DIV/0!</v>
      </c>
      <c r="EF136" s="687" t="e">
        <f t="shared" si="855"/>
        <v>#DIV/0!</v>
      </c>
      <c r="EG136" s="690" t="e">
        <f t="shared" si="855"/>
        <v>#DIV/0!</v>
      </c>
      <c r="EH136" s="682">
        <f t="shared" si="855"/>
        <v>20.51</v>
      </c>
      <c r="EI136" s="691">
        <f t="shared" si="855"/>
        <v>52.5</v>
      </c>
      <c r="EJ136" s="693">
        <f t="shared" si="855"/>
        <v>1007</v>
      </c>
      <c r="EK136" s="599">
        <f t="shared" si="855"/>
        <v>-2.0550000000000004E-12</v>
      </c>
      <c r="EL136" s="694">
        <f t="shared" si="855"/>
        <v>60</v>
      </c>
      <c r="EM136" s="685" t="s">
        <v>93</v>
      </c>
      <c r="EN136" s="599" t="e">
        <f t="shared" ref="EN136:FC136" si="856">AVERAGE(EN126:EN135)</f>
        <v>#DIV/0!</v>
      </c>
      <c r="EO136" s="619">
        <f t="shared" si="856"/>
        <v>0</v>
      </c>
      <c r="EP136" s="675" t="e">
        <f t="shared" si="856"/>
        <v>#VALUE!</v>
      </c>
      <c r="EQ136" s="672" t="e">
        <f t="shared" si="856"/>
        <v>#VALUE!</v>
      </c>
      <c r="ER136" s="687" t="e">
        <f t="shared" si="856"/>
        <v>#VALUE!</v>
      </c>
      <c r="ES136" s="686" t="e">
        <f t="shared" si="856"/>
        <v>#VALUE!</v>
      </c>
      <c r="ET136" s="687" t="e">
        <f t="shared" si="856"/>
        <v>#VALUE!</v>
      </c>
      <c r="EU136" s="687" t="e">
        <f t="shared" si="856"/>
        <v>#VALUE!</v>
      </c>
      <c r="EV136" s="687" t="e">
        <f t="shared" si="856"/>
        <v>#VALUE!</v>
      </c>
      <c r="EW136" s="687" t="e">
        <f t="shared" si="856"/>
        <v>#VALUE!</v>
      </c>
      <c r="EX136" s="690" t="e">
        <f t="shared" si="856"/>
        <v>#VALUE!</v>
      </c>
      <c r="EY136" s="682" t="e">
        <f t="shared" si="856"/>
        <v>#DIV/0!</v>
      </c>
      <c r="EZ136" s="691" t="e">
        <f t="shared" si="856"/>
        <v>#DIV/0!</v>
      </c>
      <c r="FA136" s="695" t="e">
        <f t="shared" si="856"/>
        <v>#DIV/0!</v>
      </c>
      <c r="FB136" s="599" t="e">
        <f t="shared" si="856"/>
        <v>#DIV/0!</v>
      </c>
      <c r="FC136" s="685" t="e">
        <f t="shared" si="856"/>
        <v>#DIV/0!</v>
      </c>
      <c r="FD136" s="685" t="s">
        <v>93</v>
      </c>
      <c r="FE136" s="599">
        <f t="shared" ref="FE136:FT136" si="857">AVERAGE(FE126:FE135)</f>
        <v>0</v>
      </c>
      <c r="FF136" s="619" t="e">
        <f t="shared" si="857"/>
        <v>#DIV/0!</v>
      </c>
      <c r="FG136" s="675" t="e">
        <f t="shared" si="857"/>
        <v>#DIV/0!</v>
      </c>
      <c r="FH136" s="672" t="e">
        <f t="shared" si="857"/>
        <v>#DIV/0!</v>
      </c>
      <c r="FI136" s="687" t="e">
        <f t="shared" si="857"/>
        <v>#DIV/0!</v>
      </c>
      <c r="FJ136" s="686" t="e">
        <f t="shared" si="857"/>
        <v>#DIV/0!</v>
      </c>
      <c r="FK136" s="687" t="e">
        <f t="shared" si="857"/>
        <v>#DIV/0!</v>
      </c>
      <c r="FL136" s="687" t="e">
        <f t="shared" si="857"/>
        <v>#DIV/0!</v>
      </c>
      <c r="FM136" s="687" t="e">
        <f t="shared" si="857"/>
        <v>#DIV/0!</v>
      </c>
      <c r="FN136" s="687" t="e">
        <f t="shared" si="857"/>
        <v>#DIV/0!</v>
      </c>
      <c r="FO136" s="690" t="e">
        <f t="shared" si="857"/>
        <v>#DIV/0!</v>
      </c>
      <c r="FP136" s="682" t="e">
        <f t="shared" si="857"/>
        <v>#DIV/0!</v>
      </c>
      <c r="FQ136" s="691" t="e">
        <f t="shared" si="857"/>
        <v>#DIV/0!</v>
      </c>
      <c r="FR136" s="695" t="e">
        <f t="shared" si="857"/>
        <v>#DIV/0!</v>
      </c>
      <c r="FS136" s="599" t="e">
        <f t="shared" si="857"/>
        <v>#DIV/0!</v>
      </c>
      <c r="FT136" s="685" t="e">
        <f t="shared" si="857"/>
        <v>#DIV/0!</v>
      </c>
      <c r="FU136" s="685" t="s">
        <v>93</v>
      </c>
      <c r="FV136" s="599">
        <f t="shared" ref="FV136:GK136" si="858">AVERAGE(FV126:FV135)</f>
        <v>0</v>
      </c>
      <c r="FW136" s="619" t="e">
        <f t="shared" si="858"/>
        <v>#DIV/0!</v>
      </c>
      <c r="FX136" s="675" t="e">
        <f t="shared" si="858"/>
        <v>#DIV/0!</v>
      </c>
      <c r="FY136" s="672" t="e">
        <f t="shared" si="858"/>
        <v>#DIV/0!</v>
      </c>
      <c r="FZ136" s="687" t="e">
        <f t="shared" si="858"/>
        <v>#DIV/0!</v>
      </c>
      <c r="GA136" s="686" t="e">
        <f t="shared" si="858"/>
        <v>#DIV/0!</v>
      </c>
      <c r="GB136" s="687" t="e">
        <f t="shared" si="858"/>
        <v>#DIV/0!</v>
      </c>
      <c r="GC136" s="687" t="e">
        <f t="shared" si="858"/>
        <v>#DIV/0!</v>
      </c>
      <c r="GD136" s="687" t="e">
        <f t="shared" si="858"/>
        <v>#DIV/0!</v>
      </c>
      <c r="GE136" s="687" t="e">
        <f t="shared" si="858"/>
        <v>#DIV/0!</v>
      </c>
      <c r="GF136" s="690" t="e">
        <f t="shared" si="858"/>
        <v>#DIV/0!</v>
      </c>
      <c r="GG136" s="682" t="e">
        <f t="shared" si="858"/>
        <v>#DIV/0!</v>
      </c>
      <c r="GH136" s="691" t="e">
        <f t="shared" si="858"/>
        <v>#DIV/0!</v>
      </c>
      <c r="GI136" s="695" t="e">
        <f t="shared" si="858"/>
        <v>#DIV/0!</v>
      </c>
      <c r="GJ136" s="653" t="e">
        <f t="shared" si="858"/>
        <v>#DIV/0!</v>
      </c>
      <c r="GK136" s="685" t="e">
        <f t="shared" si="858"/>
        <v>#DIV/0!</v>
      </c>
      <c r="GL136" s="685" t="s">
        <v>93</v>
      </c>
      <c r="GM136" s="599">
        <f t="shared" ref="GM136:HB136" si="859">AVERAGE(GM126:GM135)</f>
        <v>0</v>
      </c>
      <c r="GN136" s="619" t="e">
        <f t="shared" si="859"/>
        <v>#DIV/0!</v>
      </c>
      <c r="GO136" s="675" t="e">
        <f t="shared" si="859"/>
        <v>#DIV/0!</v>
      </c>
      <c r="GP136" s="672" t="e">
        <f t="shared" si="859"/>
        <v>#DIV/0!</v>
      </c>
      <c r="GQ136" s="687" t="e">
        <f t="shared" si="859"/>
        <v>#DIV/0!</v>
      </c>
      <c r="GR136" s="686" t="e">
        <f t="shared" si="859"/>
        <v>#DIV/0!</v>
      </c>
      <c r="GS136" s="687" t="e">
        <f t="shared" si="859"/>
        <v>#DIV/0!</v>
      </c>
      <c r="GT136" s="687" t="e">
        <f t="shared" si="859"/>
        <v>#DIV/0!</v>
      </c>
      <c r="GU136" s="687" t="e">
        <f t="shared" si="859"/>
        <v>#DIV/0!</v>
      </c>
      <c r="GV136" s="687" t="e">
        <f t="shared" si="859"/>
        <v>#DIV/0!</v>
      </c>
      <c r="GW136" s="690" t="e">
        <f t="shared" si="859"/>
        <v>#DIV/0!</v>
      </c>
      <c r="GX136" s="682" t="e">
        <f t="shared" si="859"/>
        <v>#DIV/0!</v>
      </c>
      <c r="GY136" s="691" t="e">
        <f t="shared" si="859"/>
        <v>#DIV/0!</v>
      </c>
      <c r="GZ136" s="695" t="e">
        <f t="shared" si="859"/>
        <v>#DIV/0!</v>
      </c>
      <c r="HA136" s="599" t="e">
        <f t="shared" si="859"/>
        <v>#DIV/0!</v>
      </c>
      <c r="HB136" s="685" t="e">
        <f t="shared" si="859"/>
        <v>#DIV/0!</v>
      </c>
      <c r="HC136" s="685" t="s">
        <v>93</v>
      </c>
      <c r="HD136" s="599">
        <f t="shared" ref="HD136:HS136" si="860">AVERAGE(HD126:HD135)</f>
        <v>0</v>
      </c>
      <c r="HE136" s="619" t="e">
        <f t="shared" si="860"/>
        <v>#DIV/0!</v>
      </c>
      <c r="HF136" s="675" t="e">
        <f t="shared" si="860"/>
        <v>#DIV/0!</v>
      </c>
      <c r="HG136" s="672" t="e">
        <f t="shared" si="860"/>
        <v>#DIV/0!</v>
      </c>
      <c r="HH136" s="687" t="e">
        <f t="shared" si="860"/>
        <v>#DIV/0!</v>
      </c>
      <c r="HI136" s="686" t="e">
        <f t="shared" si="860"/>
        <v>#DIV/0!</v>
      </c>
      <c r="HJ136" s="687" t="e">
        <f t="shared" si="860"/>
        <v>#DIV/0!</v>
      </c>
      <c r="HK136" s="687" t="e">
        <f t="shared" si="860"/>
        <v>#DIV/0!</v>
      </c>
      <c r="HL136" s="687" t="e">
        <f t="shared" si="860"/>
        <v>#DIV/0!</v>
      </c>
      <c r="HM136" s="687" t="e">
        <f t="shared" si="860"/>
        <v>#DIV/0!</v>
      </c>
      <c r="HN136" s="690" t="e">
        <f t="shared" si="860"/>
        <v>#DIV/0!</v>
      </c>
      <c r="HO136" s="682" t="e">
        <f t="shared" si="860"/>
        <v>#DIV/0!</v>
      </c>
      <c r="HP136" s="691" t="e">
        <f t="shared" si="860"/>
        <v>#DIV/0!</v>
      </c>
      <c r="HQ136" s="695" t="e">
        <f t="shared" si="860"/>
        <v>#DIV/0!</v>
      </c>
      <c r="HR136" s="599" t="e">
        <f t="shared" si="860"/>
        <v>#DIV/0!</v>
      </c>
      <c r="HS136" s="685" t="e">
        <f t="shared" si="860"/>
        <v>#DIV/0!</v>
      </c>
      <c r="HT136" s="685" t="s">
        <v>93</v>
      </c>
      <c r="HU136" s="599">
        <f t="shared" ref="HU136:IJ136" si="861">AVERAGE(HU126:HU135)</f>
        <v>0</v>
      </c>
      <c r="HV136" s="619" t="e">
        <f t="shared" si="861"/>
        <v>#DIV/0!</v>
      </c>
      <c r="HW136" s="675" t="e">
        <f t="shared" si="861"/>
        <v>#DIV/0!</v>
      </c>
      <c r="HX136" s="672" t="e">
        <f t="shared" si="861"/>
        <v>#DIV/0!</v>
      </c>
      <c r="HY136" s="687" t="e">
        <f t="shared" si="861"/>
        <v>#DIV/0!</v>
      </c>
      <c r="HZ136" s="686" t="e">
        <f t="shared" si="861"/>
        <v>#DIV/0!</v>
      </c>
      <c r="IA136" s="687" t="e">
        <f t="shared" si="861"/>
        <v>#DIV/0!</v>
      </c>
      <c r="IB136" s="687" t="e">
        <f t="shared" si="861"/>
        <v>#DIV/0!</v>
      </c>
      <c r="IC136" s="687" t="e">
        <f t="shared" si="861"/>
        <v>#DIV/0!</v>
      </c>
      <c r="ID136" s="687" t="e">
        <f t="shared" si="861"/>
        <v>#DIV/0!</v>
      </c>
      <c r="IE136" s="690" t="e">
        <f t="shared" si="861"/>
        <v>#DIV/0!</v>
      </c>
      <c r="IF136" s="682" t="e">
        <f t="shared" si="861"/>
        <v>#DIV/0!</v>
      </c>
      <c r="IG136" s="691" t="e">
        <f t="shared" si="861"/>
        <v>#DIV/0!</v>
      </c>
      <c r="IH136" s="695" t="e">
        <f t="shared" si="861"/>
        <v>#DIV/0!</v>
      </c>
      <c r="II136" s="599" t="e">
        <f t="shared" si="861"/>
        <v>#DIV/0!</v>
      </c>
      <c r="IJ136" s="685" t="e">
        <f t="shared" si="861"/>
        <v>#DIV/0!</v>
      </c>
      <c r="IK136" s="685" t="s">
        <v>93</v>
      </c>
      <c r="IL136" s="599">
        <f t="shared" ref="IL136:JA136" si="862">AVERAGE(IL126:IL135)</f>
        <v>0</v>
      </c>
      <c r="IM136" s="619" t="e">
        <f t="shared" si="862"/>
        <v>#DIV/0!</v>
      </c>
      <c r="IN136" s="675" t="e">
        <f t="shared" si="862"/>
        <v>#DIV/0!</v>
      </c>
      <c r="IO136" s="672" t="e">
        <f t="shared" si="862"/>
        <v>#DIV/0!</v>
      </c>
      <c r="IP136" s="687" t="e">
        <f t="shared" si="862"/>
        <v>#DIV/0!</v>
      </c>
      <c r="IQ136" s="686" t="e">
        <f t="shared" si="862"/>
        <v>#DIV/0!</v>
      </c>
      <c r="IR136" s="687" t="e">
        <f t="shared" si="862"/>
        <v>#DIV/0!</v>
      </c>
      <c r="IS136" s="687" t="e">
        <f t="shared" si="862"/>
        <v>#DIV/0!</v>
      </c>
      <c r="IT136" s="687" t="e">
        <f t="shared" si="862"/>
        <v>#DIV/0!</v>
      </c>
      <c r="IU136" s="687" t="e">
        <f t="shared" si="862"/>
        <v>#DIV/0!</v>
      </c>
      <c r="IV136" s="690" t="e">
        <f t="shared" si="862"/>
        <v>#DIV/0!</v>
      </c>
      <c r="IW136" s="682" t="e">
        <f t="shared" si="862"/>
        <v>#DIV/0!</v>
      </c>
      <c r="IX136" s="691" t="e">
        <f t="shared" si="862"/>
        <v>#DIV/0!</v>
      </c>
      <c r="IY136" s="695" t="e">
        <f t="shared" si="862"/>
        <v>#DIV/0!</v>
      </c>
      <c r="IZ136" s="599" t="e">
        <f t="shared" si="862"/>
        <v>#DIV/0!</v>
      </c>
      <c r="JA136" s="685" t="e">
        <f t="shared" si="862"/>
        <v>#DIV/0!</v>
      </c>
      <c r="JB136" s="685" t="s">
        <v>93</v>
      </c>
      <c r="JC136" s="599">
        <f t="shared" ref="JC136:JR136" si="863">AVERAGE(JC126:JC135)</f>
        <v>0</v>
      </c>
      <c r="JD136" s="619" t="e">
        <f t="shared" si="863"/>
        <v>#DIV/0!</v>
      </c>
      <c r="JE136" s="675" t="e">
        <f t="shared" si="863"/>
        <v>#DIV/0!</v>
      </c>
      <c r="JF136" s="672" t="e">
        <f t="shared" si="863"/>
        <v>#DIV/0!</v>
      </c>
      <c r="JG136" s="687" t="e">
        <f t="shared" si="863"/>
        <v>#DIV/0!</v>
      </c>
      <c r="JH136" s="686" t="e">
        <f t="shared" si="863"/>
        <v>#DIV/0!</v>
      </c>
      <c r="JI136" s="687" t="e">
        <f t="shared" si="863"/>
        <v>#DIV/0!</v>
      </c>
      <c r="JJ136" s="687" t="e">
        <f t="shared" si="863"/>
        <v>#DIV/0!</v>
      </c>
      <c r="JK136" s="687" t="e">
        <f t="shared" si="863"/>
        <v>#DIV/0!</v>
      </c>
      <c r="JL136" s="687" t="e">
        <f t="shared" si="863"/>
        <v>#DIV/0!</v>
      </c>
      <c r="JM136" s="690" t="e">
        <f t="shared" si="863"/>
        <v>#DIV/0!</v>
      </c>
      <c r="JN136" s="682" t="e">
        <f t="shared" si="863"/>
        <v>#DIV/0!</v>
      </c>
      <c r="JO136" s="691" t="e">
        <f t="shared" si="863"/>
        <v>#DIV/0!</v>
      </c>
      <c r="JP136" s="695" t="e">
        <f t="shared" si="863"/>
        <v>#DIV/0!</v>
      </c>
      <c r="JQ136" s="599" t="e">
        <f t="shared" si="863"/>
        <v>#DIV/0!</v>
      </c>
      <c r="JR136" s="685" t="e">
        <f t="shared" si="863"/>
        <v>#DIV/0!</v>
      </c>
      <c r="JS136" s="685" t="s">
        <v>93</v>
      </c>
      <c r="JT136" s="599">
        <f t="shared" ref="JT136:KI136" si="864">AVERAGE(JT126:JT135)</f>
        <v>0</v>
      </c>
      <c r="JU136" s="619" t="e">
        <f t="shared" si="864"/>
        <v>#DIV/0!</v>
      </c>
      <c r="JV136" s="675" t="e">
        <f t="shared" si="864"/>
        <v>#DIV/0!</v>
      </c>
      <c r="JW136" s="672" t="e">
        <f t="shared" si="864"/>
        <v>#DIV/0!</v>
      </c>
      <c r="JX136" s="687" t="e">
        <f t="shared" si="864"/>
        <v>#DIV/0!</v>
      </c>
      <c r="JY136" s="686" t="e">
        <f t="shared" si="864"/>
        <v>#DIV/0!</v>
      </c>
      <c r="JZ136" s="687" t="e">
        <f t="shared" si="864"/>
        <v>#DIV/0!</v>
      </c>
      <c r="KA136" s="687" t="e">
        <f t="shared" si="864"/>
        <v>#DIV/0!</v>
      </c>
      <c r="KB136" s="687" t="e">
        <f t="shared" si="864"/>
        <v>#DIV/0!</v>
      </c>
      <c r="KC136" s="687" t="e">
        <f t="shared" si="864"/>
        <v>#DIV/0!</v>
      </c>
      <c r="KD136" s="690" t="e">
        <f t="shared" si="864"/>
        <v>#DIV/0!</v>
      </c>
      <c r="KE136" s="682" t="e">
        <f t="shared" si="864"/>
        <v>#DIV/0!</v>
      </c>
      <c r="KF136" s="691" t="e">
        <f t="shared" si="864"/>
        <v>#DIV/0!</v>
      </c>
      <c r="KG136" s="695" t="e">
        <f t="shared" si="864"/>
        <v>#DIV/0!</v>
      </c>
      <c r="KH136" s="599" t="e">
        <f t="shared" si="864"/>
        <v>#DIV/0!</v>
      </c>
      <c r="KI136" s="685" t="e">
        <f t="shared" si="864"/>
        <v>#DIV/0!</v>
      </c>
      <c r="KJ136" s="685" t="s">
        <v>93</v>
      </c>
      <c r="KK136" s="599">
        <f t="shared" ref="KK136:KZ136" si="865">AVERAGE(KK126:KK135)</f>
        <v>0</v>
      </c>
      <c r="KL136" s="619" t="e">
        <f t="shared" si="865"/>
        <v>#DIV/0!</v>
      </c>
      <c r="KM136" s="675" t="e">
        <f t="shared" si="865"/>
        <v>#DIV/0!</v>
      </c>
      <c r="KN136" s="672" t="e">
        <f t="shared" si="865"/>
        <v>#DIV/0!</v>
      </c>
      <c r="KO136" s="687" t="e">
        <f t="shared" si="865"/>
        <v>#DIV/0!</v>
      </c>
      <c r="KP136" s="686" t="e">
        <f t="shared" si="865"/>
        <v>#DIV/0!</v>
      </c>
      <c r="KQ136" s="687" t="e">
        <f t="shared" si="865"/>
        <v>#DIV/0!</v>
      </c>
      <c r="KR136" s="687" t="e">
        <f t="shared" si="865"/>
        <v>#DIV/0!</v>
      </c>
      <c r="KS136" s="687" t="e">
        <f t="shared" si="865"/>
        <v>#DIV/0!</v>
      </c>
      <c r="KT136" s="687" t="e">
        <f t="shared" si="865"/>
        <v>#DIV/0!</v>
      </c>
      <c r="KU136" s="690" t="e">
        <f t="shared" si="865"/>
        <v>#DIV/0!</v>
      </c>
      <c r="KV136" s="682" t="e">
        <f t="shared" si="865"/>
        <v>#DIV/0!</v>
      </c>
      <c r="KW136" s="691" t="e">
        <f t="shared" si="865"/>
        <v>#DIV/0!</v>
      </c>
      <c r="KX136" s="695" t="e">
        <f t="shared" si="865"/>
        <v>#DIV/0!</v>
      </c>
      <c r="KY136" s="599" t="e">
        <f t="shared" si="865"/>
        <v>#DIV/0!</v>
      </c>
      <c r="KZ136" s="685" t="e">
        <f t="shared" si="865"/>
        <v>#DIV/0!</v>
      </c>
      <c r="LA136" s="685" t="s">
        <v>93</v>
      </c>
      <c r="LB136" s="599">
        <f t="shared" ref="LB136:LQ136" si="866">AVERAGE(LB126:LB135)</f>
        <v>0</v>
      </c>
      <c r="LC136" s="619" t="e">
        <f t="shared" si="866"/>
        <v>#DIV/0!</v>
      </c>
      <c r="LD136" s="675" t="e">
        <f t="shared" si="866"/>
        <v>#DIV/0!</v>
      </c>
      <c r="LE136" s="672" t="e">
        <f t="shared" si="866"/>
        <v>#DIV/0!</v>
      </c>
      <c r="LF136" s="687" t="e">
        <f t="shared" si="866"/>
        <v>#DIV/0!</v>
      </c>
      <c r="LG136" s="686" t="e">
        <f t="shared" si="866"/>
        <v>#DIV/0!</v>
      </c>
      <c r="LH136" s="687" t="e">
        <f t="shared" si="866"/>
        <v>#DIV/0!</v>
      </c>
      <c r="LI136" s="687" t="e">
        <f t="shared" si="866"/>
        <v>#DIV/0!</v>
      </c>
      <c r="LJ136" s="687" t="e">
        <f t="shared" si="866"/>
        <v>#DIV/0!</v>
      </c>
      <c r="LK136" s="687" t="e">
        <f t="shared" si="866"/>
        <v>#DIV/0!</v>
      </c>
      <c r="LL136" s="690" t="e">
        <f t="shared" si="866"/>
        <v>#DIV/0!</v>
      </c>
      <c r="LM136" s="682" t="e">
        <f t="shared" si="866"/>
        <v>#DIV/0!</v>
      </c>
      <c r="LN136" s="691" t="e">
        <f t="shared" si="866"/>
        <v>#DIV/0!</v>
      </c>
      <c r="LO136" s="695" t="e">
        <f t="shared" si="866"/>
        <v>#DIV/0!</v>
      </c>
      <c r="LP136" s="599" t="e">
        <f t="shared" si="866"/>
        <v>#DIV/0!</v>
      </c>
      <c r="LQ136" s="685" t="e">
        <f t="shared" si="866"/>
        <v>#DIV/0!</v>
      </c>
      <c r="LR136" s="685" t="s">
        <v>93</v>
      </c>
      <c r="LS136" s="599">
        <f t="shared" ref="LS136:MH136" si="867">AVERAGE(LS126:LS135)</f>
        <v>0</v>
      </c>
      <c r="LT136" s="619" t="e">
        <f t="shared" si="867"/>
        <v>#DIV/0!</v>
      </c>
      <c r="LU136" s="675" t="e">
        <f t="shared" si="867"/>
        <v>#DIV/0!</v>
      </c>
      <c r="LV136" s="672" t="e">
        <f t="shared" si="867"/>
        <v>#DIV/0!</v>
      </c>
      <c r="LW136" s="687" t="e">
        <f t="shared" si="867"/>
        <v>#DIV/0!</v>
      </c>
      <c r="LX136" s="686" t="e">
        <f t="shared" si="867"/>
        <v>#DIV/0!</v>
      </c>
      <c r="LY136" s="687" t="e">
        <f t="shared" si="867"/>
        <v>#DIV/0!</v>
      </c>
      <c r="LZ136" s="687" t="e">
        <f t="shared" si="867"/>
        <v>#DIV/0!</v>
      </c>
      <c r="MA136" s="687" t="e">
        <f t="shared" si="867"/>
        <v>#DIV/0!</v>
      </c>
      <c r="MB136" s="687" t="e">
        <f t="shared" si="867"/>
        <v>#DIV/0!</v>
      </c>
      <c r="MC136" s="690" t="e">
        <f t="shared" si="867"/>
        <v>#DIV/0!</v>
      </c>
      <c r="MD136" s="692" t="e">
        <f t="shared" si="867"/>
        <v>#DIV/0!</v>
      </c>
      <c r="ME136" s="711" t="e">
        <f t="shared" si="867"/>
        <v>#DIV/0!</v>
      </c>
      <c r="MF136" s="693" t="e">
        <f t="shared" si="867"/>
        <v>#DIV/0!</v>
      </c>
      <c r="MG136" s="599" t="e">
        <f t="shared" si="867"/>
        <v>#DIV/0!</v>
      </c>
      <c r="MH136" s="685" t="e">
        <f t="shared" si="867"/>
        <v>#DIV/0!</v>
      </c>
      <c r="MI136" s="685" t="s">
        <v>93</v>
      </c>
      <c r="MJ136" s="599">
        <f t="shared" ref="MJ136:MY136" si="868">AVERAGE(MJ126:MJ135)</f>
        <v>0</v>
      </c>
      <c r="MK136" s="619" t="e">
        <f t="shared" si="868"/>
        <v>#DIV/0!</v>
      </c>
      <c r="ML136" s="675" t="e">
        <f t="shared" si="868"/>
        <v>#DIV/0!</v>
      </c>
      <c r="MM136" s="672" t="e">
        <f t="shared" si="868"/>
        <v>#DIV/0!</v>
      </c>
      <c r="MN136" s="687" t="e">
        <f t="shared" si="868"/>
        <v>#DIV/0!</v>
      </c>
      <c r="MO136" s="686" t="e">
        <f t="shared" si="868"/>
        <v>#DIV/0!</v>
      </c>
      <c r="MP136" s="687" t="e">
        <f t="shared" si="868"/>
        <v>#DIV/0!</v>
      </c>
      <c r="MQ136" s="687" t="e">
        <f t="shared" si="868"/>
        <v>#DIV/0!</v>
      </c>
      <c r="MR136" s="687" t="e">
        <f t="shared" si="868"/>
        <v>#DIV/0!</v>
      </c>
      <c r="MS136" s="687" t="e">
        <f t="shared" si="868"/>
        <v>#DIV/0!</v>
      </c>
      <c r="MT136" s="690" t="e">
        <f t="shared" si="868"/>
        <v>#DIV/0!</v>
      </c>
      <c r="MU136" s="692">
        <f t="shared" si="868"/>
        <v>20.529999999999998</v>
      </c>
      <c r="MV136" s="711">
        <f t="shared" si="868"/>
        <v>53.6</v>
      </c>
      <c r="MW136" s="693">
        <f t="shared" si="868"/>
        <v>1007</v>
      </c>
      <c r="MX136" s="599">
        <f t="shared" si="868"/>
        <v>-5.6365000000000004E-11</v>
      </c>
      <c r="MY136" s="685">
        <f t="shared" si="868"/>
        <v>60</v>
      </c>
      <c r="MZ136" s="685" t="s">
        <v>93</v>
      </c>
      <c r="NA136" s="599" t="e">
        <f t="shared" ref="NA136:NP136" si="869">AVERAGE(NA126:NA135)</f>
        <v>#DIV/0!</v>
      </c>
      <c r="NB136" s="619">
        <f t="shared" si="869"/>
        <v>0</v>
      </c>
      <c r="NC136" s="675" t="e">
        <f t="shared" si="869"/>
        <v>#VALUE!</v>
      </c>
      <c r="ND136" s="672" t="e">
        <f t="shared" si="869"/>
        <v>#VALUE!</v>
      </c>
      <c r="NE136" s="687" t="e">
        <f t="shared" si="869"/>
        <v>#VALUE!</v>
      </c>
      <c r="NF136" s="686" t="e">
        <f t="shared" si="869"/>
        <v>#VALUE!</v>
      </c>
      <c r="NG136" s="687" t="e">
        <f t="shared" si="869"/>
        <v>#VALUE!</v>
      </c>
      <c r="NH136" s="687" t="e">
        <f t="shared" si="869"/>
        <v>#VALUE!</v>
      </c>
      <c r="NI136" s="687" t="e">
        <f t="shared" si="869"/>
        <v>#VALUE!</v>
      </c>
      <c r="NJ136" s="687" t="e">
        <f t="shared" si="869"/>
        <v>#VALUE!</v>
      </c>
      <c r="NK136" s="690" t="e">
        <f t="shared" si="869"/>
        <v>#VALUE!</v>
      </c>
      <c r="NL136" s="682" t="e">
        <f t="shared" si="869"/>
        <v>#DIV/0!</v>
      </c>
      <c r="NM136" s="691" t="e">
        <f t="shared" si="869"/>
        <v>#DIV/0!</v>
      </c>
      <c r="NN136" s="695" t="e">
        <f t="shared" si="869"/>
        <v>#DIV/0!</v>
      </c>
      <c r="NO136" s="599" t="e">
        <f t="shared" si="869"/>
        <v>#DIV/0!</v>
      </c>
      <c r="NP136" s="685" t="e">
        <f t="shared" si="869"/>
        <v>#DIV/0!</v>
      </c>
      <c r="NQ136" s="685" t="s">
        <v>93</v>
      </c>
      <c r="NR136" s="599">
        <f t="shared" ref="NR136:OG136" si="870">AVERAGE(NR126:NR135)</f>
        <v>0</v>
      </c>
      <c r="NS136" s="619" t="e">
        <f t="shared" si="870"/>
        <v>#DIV/0!</v>
      </c>
      <c r="NT136" s="675" t="e">
        <f t="shared" si="870"/>
        <v>#DIV/0!</v>
      </c>
      <c r="NU136" s="672" t="e">
        <f t="shared" si="870"/>
        <v>#DIV/0!</v>
      </c>
      <c r="NV136" s="687" t="e">
        <f t="shared" si="870"/>
        <v>#DIV/0!</v>
      </c>
      <c r="NW136" s="686" t="e">
        <f t="shared" si="870"/>
        <v>#DIV/0!</v>
      </c>
      <c r="NX136" s="687" t="e">
        <f t="shared" si="870"/>
        <v>#DIV/0!</v>
      </c>
      <c r="NY136" s="687" t="e">
        <f t="shared" si="870"/>
        <v>#DIV/0!</v>
      </c>
      <c r="NZ136" s="687" t="e">
        <f t="shared" si="870"/>
        <v>#DIV/0!</v>
      </c>
      <c r="OA136" s="687" t="e">
        <f t="shared" si="870"/>
        <v>#DIV/0!</v>
      </c>
      <c r="OB136" s="690" t="e">
        <f t="shared" si="870"/>
        <v>#DIV/0!</v>
      </c>
      <c r="OC136" s="682">
        <f t="shared" si="870"/>
        <v>20.490000000000002</v>
      </c>
      <c r="OD136" s="691">
        <f t="shared" si="870"/>
        <v>53.2</v>
      </c>
      <c r="OE136" s="695">
        <f t="shared" si="870"/>
        <v>1007</v>
      </c>
      <c r="OF136" s="599">
        <f t="shared" si="870"/>
        <v>-1.3081000000000001E-10</v>
      </c>
      <c r="OG136" s="694">
        <f t="shared" si="870"/>
        <v>60</v>
      </c>
      <c r="OH136" s="685" t="s">
        <v>93</v>
      </c>
      <c r="OI136" s="599" t="e">
        <f t="shared" ref="OI136:OX136" si="871">AVERAGE(OI126:OI135)</f>
        <v>#DIV/0!</v>
      </c>
      <c r="OJ136" s="619">
        <f t="shared" si="871"/>
        <v>0</v>
      </c>
      <c r="OK136" s="675" t="e">
        <f t="shared" si="871"/>
        <v>#VALUE!</v>
      </c>
      <c r="OL136" s="672" t="e">
        <f t="shared" si="871"/>
        <v>#VALUE!</v>
      </c>
      <c r="OM136" s="687" t="e">
        <f t="shared" si="871"/>
        <v>#VALUE!</v>
      </c>
      <c r="ON136" s="686" t="e">
        <f t="shared" si="871"/>
        <v>#VALUE!</v>
      </c>
      <c r="OO136" s="687" t="e">
        <f t="shared" si="871"/>
        <v>#VALUE!</v>
      </c>
      <c r="OP136" s="687" t="e">
        <f t="shared" si="871"/>
        <v>#VALUE!</v>
      </c>
      <c r="OQ136" s="687" t="e">
        <f t="shared" si="871"/>
        <v>#VALUE!</v>
      </c>
      <c r="OR136" s="687" t="e">
        <f t="shared" si="871"/>
        <v>#VALUE!</v>
      </c>
      <c r="OS136" s="690" t="e">
        <f t="shared" si="871"/>
        <v>#VALUE!</v>
      </c>
      <c r="OT136" s="682" t="e">
        <f t="shared" si="871"/>
        <v>#DIV/0!</v>
      </c>
      <c r="OU136" s="691" t="e">
        <f t="shared" si="871"/>
        <v>#DIV/0!</v>
      </c>
      <c r="OV136" s="695" t="e">
        <f t="shared" si="871"/>
        <v>#DIV/0!</v>
      </c>
      <c r="OW136" s="599" t="e">
        <f t="shared" si="871"/>
        <v>#DIV/0!</v>
      </c>
      <c r="OX136" s="685" t="e">
        <f t="shared" si="871"/>
        <v>#DIV/0!</v>
      </c>
      <c r="OY136" s="685" t="s">
        <v>93</v>
      </c>
      <c r="OZ136" s="599">
        <f t="shared" ref="OZ136:PO136" si="872">AVERAGE(OZ126:OZ135)</f>
        <v>0</v>
      </c>
      <c r="PA136" s="619" t="e">
        <f t="shared" si="872"/>
        <v>#DIV/0!</v>
      </c>
      <c r="PB136" s="675" t="e">
        <f t="shared" si="872"/>
        <v>#DIV/0!</v>
      </c>
      <c r="PC136" s="672" t="e">
        <f t="shared" si="872"/>
        <v>#DIV/0!</v>
      </c>
      <c r="PD136" s="687" t="e">
        <f t="shared" si="872"/>
        <v>#DIV/0!</v>
      </c>
      <c r="PE136" s="686" t="e">
        <f t="shared" si="872"/>
        <v>#DIV/0!</v>
      </c>
      <c r="PF136" s="687" t="e">
        <f t="shared" si="872"/>
        <v>#DIV/0!</v>
      </c>
      <c r="PG136" s="687" t="e">
        <f t="shared" si="872"/>
        <v>#DIV/0!</v>
      </c>
      <c r="PH136" s="687" t="e">
        <f t="shared" si="872"/>
        <v>#DIV/0!</v>
      </c>
      <c r="PI136" s="687" t="e">
        <f t="shared" si="872"/>
        <v>#DIV/0!</v>
      </c>
      <c r="PJ136" s="690" t="e">
        <f t="shared" si="872"/>
        <v>#DIV/0!</v>
      </c>
      <c r="PK136" s="682" t="e">
        <f t="shared" si="872"/>
        <v>#DIV/0!</v>
      </c>
      <c r="PL136" s="691" t="e">
        <f t="shared" si="872"/>
        <v>#DIV/0!</v>
      </c>
      <c r="PM136" s="695" t="e">
        <f t="shared" si="872"/>
        <v>#DIV/0!</v>
      </c>
      <c r="PN136" s="599" t="e">
        <f t="shared" si="872"/>
        <v>#DIV/0!</v>
      </c>
      <c r="PO136" s="685" t="e">
        <f t="shared" si="872"/>
        <v>#DIV/0!</v>
      </c>
      <c r="PP136" s="685" t="s">
        <v>93</v>
      </c>
      <c r="PQ136" s="599">
        <f t="shared" ref="PQ136:QF136" si="873">AVERAGE(PQ126:PQ135)</f>
        <v>0</v>
      </c>
      <c r="PR136" s="619" t="e">
        <f t="shared" si="873"/>
        <v>#DIV/0!</v>
      </c>
      <c r="PS136" s="675" t="e">
        <f t="shared" si="873"/>
        <v>#DIV/0!</v>
      </c>
      <c r="PT136" s="672" t="e">
        <f t="shared" si="873"/>
        <v>#DIV/0!</v>
      </c>
      <c r="PU136" s="687" t="e">
        <f t="shared" si="873"/>
        <v>#DIV/0!</v>
      </c>
      <c r="PV136" s="686" t="e">
        <f t="shared" si="873"/>
        <v>#DIV/0!</v>
      </c>
      <c r="PW136" s="687" t="e">
        <f t="shared" si="873"/>
        <v>#DIV/0!</v>
      </c>
      <c r="PX136" s="687" t="e">
        <f t="shared" si="873"/>
        <v>#DIV/0!</v>
      </c>
      <c r="PY136" s="687" t="e">
        <f t="shared" si="873"/>
        <v>#DIV/0!</v>
      </c>
      <c r="PZ136" s="687" t="e">
        <f t="shared" si="873"/>
        <v>#DIV/0!</v>
      </c>
      <c r="QA136" s="690" t="e">
        <f t="shared" si="873"/>
        <v>#DIV/0!</v>
      </c>
      <c r="QB136" s="682" t="e">
        <f t="shared" si="873"/>
        <v>#DIV/0!</v>
      </c>
      <c r="QC136" s="691" t="e">
        <f t="shared" si="873"/>
        <v>#DIV/0!</v>
      </c>
      <c r="QD136" s="695" t="e">
        <f t="shared" si="873"/>
        <v>#DIV/0!</v>
      </c>
      <c r="QE136" s="599" t="e">
        <f t="shared" si="873"/>
        <v>#DIV/0!</v>
      </c>
      <c r="QF136" s="685" t="e">
        <f t="shared" si="873"/>
        <v>#DIV/0!</v>
      </c>
      <c r="QG136" s="685" t="s">
        <v>93</v>
      </c>
      <c r="QH136" s="599">
        <f t="shared" ref="QH136:QW136" si="874">AVERAGE(QH126:QH135)</f>
        <v>0</v>
      </c>
      <c r="QI136" s="619" t="e">
        <f t="shared" si="874"/>
        <v>#DIV/0!</v>
      </c>
      <c r="QJ136" s="675" t="e">
        <f t="shared" si="874"/>
        <v>#DIV/0!</v>
      </c>
      <c r="QK136" s="672" t="e">
        <f t="shared" si="874"/>
        <v>#DIV/0!</v>
      </c>
      <c r="QL136" s="687" t="e">
        <f t="shared" si="874"/>
        <v>#DIV/0!</v>
      </c>
      <c r="QM136" s="686" t="e">
        <f t="shared" si="874"/>
        <v>#DIV/0!</v>
      </c>
      <c r="QN136" s="687" t="e">
        <f t="shared" si="874"/>
        <v>#DIV/0!</v>
      </c>
      <c r="QO136" s="687" t="e">
        <f t="shared" si="874"/>
        <v>#DIV/0!</v>
      </c>
      <c r="QP136" s="687" t="e">
        <f t="shared" si="874"/>
        <v>#DIV/0!</v>
      </c>
      <c r="QQ136" s="687" t="e">
        <f t="shared" si="874"/>
        <v>#DIV/0!</v>
      </c>
      <c r="QR136" s="690" t="e">
        <f t="shared" si="874"/>
        <v>#DIV/0!</v>
      </c>
      <c r="QS136" s="682" t="e">
        <f t="shared" si="874"/>
        <v>#DIV/0!</v>
      </c>
      <c r="QT136" s="711" t="e">
        <f t="shared" si="874"/>
        <v>#DIV/0!</v>
      </c>
      <c r="QU136" s="710" t="e">
        <f t="shared" si="874"/>
        <v>#DIV/0!</v>
      </c>
      <c r="QV136" s="672" t="e">
        <f t="shared" si="874"/>
        <v>#DIV/0!</v>
      </c>
      <c r="QW136" s="694" t="e">
        <f t="shared" si="874"/>
        <v>#DIV/0!</v>
      </c>
      <c r="QX136" s="685" t="s">
        <v>93</v>
      </c>
      <c r="QY136" s="599">
        <f t="shared" ref="QY136:RN136" si="875">AVERAGE(QY126:QY135)</f>
        <v>0</v>
      </c>
      <c r="QZ136" s="619" t="e">
        <f t="shared" si="875"/>
        <v>#DIV/0!</v>
      </c>
      <c r="RA136" s="675" t="e">
        <f t="shared" si="875"/>
        <v>#DIV/0!</v>
      </c>
      <c r="RB136" s="672" t="e">
        <f t="shared" si="875"/>
        <v>#DIV/0!</v>
      </c>
      <c r="RC136" s="687" t="e">
        <f t="shared" si="875"/>
        <v>#DIV/0!</v>
      </c>
      <c r="RD136" s="686" t="e">
        <f t="shared" si="875"/>
        <v>#DIV/0!</v>
      </c>
      <c r="RE136" s="687" t="e">
        <f t="shared" si="875"/>
        <v>#DIV/0!</v>
      </c>
      <c r="RF136" s="687" t="e">
        <f t="shared" si="875"/>
        <v>#DIV/0!</v>
      </c>
      <c r="RG136" s="687" t="e">
        <f t="shared" si="875"/>
        <v>#DIV/0!</v>
      </c>
      <c r="RH136" s="687" t="e">
        <f t="shared" si="875"/>
        <v>#DIV/0!</v>
      </c>
      <c r="RI136" s="690" t="e">
        <f t="shared" si="875"/>
        <v>#DIV/0!</v>
      </c>
      <c r="RJ136" s="682">
        <f t="shared" si="875"/>
        <v>20.470000000000002</v>
      </c>
      <c r="RK136" s="691">
        <f t="shared" si="875"/>
        <v>53.9</v>
      </c>
      <c r="RL136" s="693">
        <f t="shared" si="875"/>
        <v>1007</v>
      </c>
      <c r="RM136" s="599">
        <f t="shared" si="875"/>
        <v>-6.0430000000000008E-12</v>
      </c>
      <c r="RN136" s="694">
        <f t="shared" si="875"/>
        <v>60</v>
      </c>
      <c r="RO136" s="685" t="s">
        <v>93</v>
      </c>
      <c r="RP136" s="599" t="e">
        <f t="shared" ref="RP136:SE136" si="876">AVERAGE(RP126:RP135)</f>
        <v>#DIV/0!</v>
      </c>
      <c r="RQ136" s="619">
        <f t="shared" si="876"/>
        <v>0</v>
      </c>
      <c r="RR136" s="675" t="e">
        <f t="shared" si="876"/>
        <v>#VALUE!</v>
      </c>
      <c r="RS136" s="672" t="e">
        <f t="shared" si="876"/>
        <v>#VALUE!</v>
      </c>
      <c r="RT136" s="687" t="e">
        <f t="shared" si="876"/>
        <v>#VALUE!</v>
      </c>
      <c r="RU136" s="686" t="e">
        <f t="shared" si="876"/>
        <v>#VALUE!</v>
      </c>
      <c r="RV136" s="687" t="e">
        <f t="shared" si="876"/>
        <v>#VALUE!</v>
      </c>
      <c r="RW136" s="687" t="e">
        <f t="shared" si="876"/>
        <v>#VALUE!</v>
      </c>
      <c r="RX136" s="687" t="e">
        <f t="shared" si="876"/>
        <v>#VALUE!</v>
      </c>
      <c r="RY136" s="687" t="e">
        <f t="shared" si="876"/>
        <v>#VALUE!</v>
      </c>
      <c r="RZ136" s="690" t="e">
        <f t="shared" si="876"/>
        <v>#VALUE!</v>
      </c>
      <c r="SA136" s="682">
        <f t="shared" si="876"/>
        <v>20.470000000000002</v>
      </c>
      <c r="SB136" s="691">
        <f t="shared" si="876"/>
        <v>55.1</v>
      </c>
      <c r="SC136" s="693">
        <f t="shared" si="876"/>
        <v>1008</v>
      </c>
      <c r="SD136" s="599">
        <f t="shared" si="876"/>
        <v>-3.2475000000000004E-10</v>
      </c>
      <c r="SE136" s="685">
        <f t="shared" si="876"/>
        <v>60</v>
      </c>
      <c r="SF136" s="685" t="s">
        <v>93</v>
      </c>
      <c r="SG136" s="599" t="e">
        <f t="shared" ref="SG136:SV136" si="877">AVERAGE(SG126:SG135)</f>
        <v>#DIV/0!</v>
      </c>
      <c r="SH136" s="619">
        <f t="shared" si="877"/>
        <v>0</v>
      </c>
      <c r="SI136" s="675" t="e">
        <f t="shared" si="877"/>
        <v>#VALUE!</v>
      </c>
      <c r="SJ136" s="672" t="e">
        <f t="shared" si="877"/>
        <v>#VALUE!</v>
      </c>
      <c r="SK136" s="687" t="e">
        <f t="shared" si="877"/>
        <v>#VALUE!</v>
      </c>
      <c r="SL136" s="686" t="e">
        <f t="shared" si="877"/>
        <v>#VALUE!</v>
      </c>
      <c r="SM136" s="687" t="e">
        <f t="shared" si="877"/>
        <v>#VALUE!</v>
      </c>
      <c r="SN136" s="687" t="e">
        <f t="shared" si="877"/>
        <v>#VALUE!</v>
      </c>
      <c r="SO136" s="687" t="e">
        <f t="shared" si="877"/>
        <v>#VALUE!</v>
      </c>
      <c r="SP136" s="687" t="e">
        <f t="shared" si="877"/>
        <v>#VALUE!</v>
      </c>
      <c r="SQ136" s="690" t="e">
        <f t="shared" si="877"/>
        <v>#VALUE!</v>
      </c>
      <c r="SR136" s="682" t="e">
        <f t="shared" si="877"/>
        <v>#DIV/0!</v>
      </c>
      <c r="SS136" s="691" t="e">
        <f t="shared" si="877"/>
        <v>#DIV/0!</v>
      </c>
      <c r="ST136" s="695" t="e">
        <f t="shared" si="877"/>
        <v>#DIV/0!</v>
      </c>
      <c r="SU136" s="599" t="e">
        <f t="shared" si="877"/>
        <v>#DIV/0!</v>
      </c>
      <c r="SV136" s="685" t="e">
        <f t="shared" si="877"/>
        <v>#DIV/0!</v>
      </c>
      <c r="SW136" s="685" t="s">
        <v>93</v>
      </c>
      <c r="SX136" s="599">
        <f t="shared" ref="SX136:TM136" si="878">AVERAGE(SX126:SX135)</f>
        <v>0</v>
      </c>
      <c r="SY136" s="619" t="e">
        <f t="shared" si="878"/>
        <v>#DIV/0!</v>
      </c>
      <c r="SZ136" s="675" t="e">
        <f t="shared" si="878"/>
        <v>#DIV/0!</v>
      </c>
      <c r="TA136" s="672" t="e">
        <f t="shared" si="878"/>
        <v>#DIV/0!</v>
      </c>
      <c r="TB136" s="687" t="e">
        <f t="shared" si="878"/>
        <v>#DIV/0!</v>
      </c>
      <c r="TC136" s="686" t="e">
        <f t="shared" si="878"/>
        <v>#DIV/0!</v>
      </c>
      <c r="TD136" s="687" t="e">
        <f t="shared" si="878"/>
        <v>#DIV/0!</v>
      </c>
      <c r="TE136" s="687" t="e">
        <f t="shared" si="878"/>
        <v>#DIV/0!</v>
      </c>
      <c r="TF136" s="687" t="e">
        <f t="shared" si="878"/>
        <v>#DIV/0!</v>
      </c>
      <c r="TG136" s="687" t="e">
        <f t="shared" si="878"/>
        <v>#DIV/0!</v>
      </c>
      <c r="TH136" s="690" t="e">
        <f t="shared" si="878"/>
        <v>#DIV/0!</v>
      </c>
      <c r="TI136" s="692">
        <f t="shared" si="878"/>
        <v>20.46</v>
      </c>
      <c r="TJ136" s="711">
        <f t="shared" si="878"/>
        <v>55.3</v>
      </c>
      <c r="TK136" s="693">
        <f t="shared" si="878"/>
        <v>1008</v>
      </c>
      <c r="TL136" s="599">
        <f t="shared" si="878"/>
        <v>-1.3569999999999998E-11</v>
      </c>
      <c r="TM136" s="694">
        <f t="shared" si="878"/>
        <v>60</v>
      </c>
      <c r="TN136" s="685" t="s">
        <v>93</v>
      </c>
      <c r="TO136" s="599" t="e">
        <f t="shared" ref="TO136:TY136" si="879">AVERAGE(TO126:TO135)</f>
        <v>#DIV/0!</v>
      </c>
      <c r="TP136" s="619">
        <f t="shared" si="879"/>
        <v>0</v>
      </c>
      <c r="TQ136" s="675" t="e">
        <f t="shared" si="879"/>
        <v>#VALUE!</v>
      </c>
      <c r="TR136" s="672" t="e">
        <f t="shared" si="879"/>
        <v>#VALUE!</v>
      </c>
      <c r="TS136" s="687" t="e">
        <f t="shared" si="879"/>
        <v>#VALUE!</v>
      </c>
      <c r="TT136" s="686" t="e">
        <f t="shared" si="879"/>
        <v>#VALUE!</v>
      </c>
      <c r="TU136" s="687" t="e">
        <f t="shared" si="879"/>
        <v>#VALUE!</v>
      </c>
      <c r="TV136" s="687" t="e">
        <f t="shared" si="879"/>
        <v>#VALUE!</v>
      </c>
      <c r="TW136" s="687" t="e">
        <f t="shared" si="879"/>
        <v>#VALUE!</v>
      </c>
      <c r="TX136" s="687" t="e">
        <f t="shared" si="879"/>
        <v>#VALUE!</v>
      </c>
      <c r="TY136" s="690" t="e">
        <f t="shared" si="879"/>
        <v>#VALUE!</v>
      </c>
    </row>
    <row r="137" spans="1:545" x14ac:dyDescent="0.25">
      <c r="A137" s="681" t="s">
        <v>62</v>
      </c>
      <c r="B137" s="688"/>
      <c r="C137" s="619"/>
      <c r="D137" s="619"/>
      <c r="E137" s="672"/>
      <c r="F137" s="619"/>
      <c r="G137" s="652"/>
      <c r="H137" s="599"/>
      <c r="I137" s="652"/>
      <c r="J137" s="675"/>
      <c r="K137" s="672"/>
      <c r="L137" s="672"/>
      <c r="M137" s="675"/>
      <c r="N137" s="672"/>
      <c r="O137" s="672"/>
      <c r="P137" s="672"/>
      <c r="Q137" s="672"/>
      <c r="R137" s="676"/>
      <c r="S137" s="691" t="e">
        <f t="shared" ref="S137:W137" si="880">STDEVA(S126:S135)</f>
        <v>#DIV/0!</v>
      </c>
      <c r="T137" s="691" t="e">
        <f t="shared" si="880"/>
        <v>#DIV/0!</v>
      </c>
      <c r="U137" s="695" t="e">
        <f t="shared" si="880"/>
        <v>#DIV/0!</v>
      </c>
      <c r="V137" s="599" t="e">
        <f t="shared" si="880"/>
        <v>#DIV/0!</v>
      </c>
      <c r="W137" s="652" t="e">
        <f t="shared" si="880"/>
        <v>#DIV/0!</v>
      </c>
      <c r="X137" s="652" t="s">
        <v>93</v>
      </c>
      <c r="Y137" s="599">
        <f t="shared" ref="Y137:AN137" si="881">STDEVA(Y126:Y135)</f>
        <v>0</v>
      </c>
      <c r="Z137" s="652" t="e">
        <f t="shared" si="881"/>
        <v>#DIV/0!</v>
      </c>
      <c r="AA137" s="675" t="e">
        <f t="shared" si="881"/>
        <v>#DIV/0!</v>
      </c>
      <c r="AB137" s="672" t="e">
        <f t="shared" si="881"/>
        <v>#DIV/0!</v>
      </c>
      <c r="AC137" s="672" t="e">
        <f t="shared" si="881"/>
        <v>#DIV/0!</v>
      </c>
      <c r="AD137" s="675" t="e">
        <f t="shared" si="881"/>
        <v>#DIV/0!</v>
      </c>
      <c r="AE137" s="672" t="e">
        <f t="shared" si="881"/>
        <v>#DIV/0!</v>
      </c>
      <c r="AF137" s="672" t="e">
        <f t="shared" si="881"/>
        <v>#DIV/0!</v>
      </c>
      <c r="AG137" s="672" t="e">
        <f t="shared" si="881"/>
        <v>#DIV/0!</v>
      </c>
      <c r="AH137" s="672" t="e">
        <f t="shared" si="881"/>
        <v>#DIV/0!</v>
      </c>
      <c r="AI137" s="676" t="e">
        <f t="shared" si="881"/>
        <v>#DIV/0!</v>
      </c>
      <c r="AJ137" s="691" t="e">
        <f t="shared" si="881"/>
        <v>#DIV/0!</v>
      </c>
      <c r="AK137" s="691" t="e">
        <f t="shared" si="881"/>
        <v>#DIV/0!</v>
      </c>
      <c r="AL137" s="695" t="e">
        <f t="shared" si="881"/>
        <v>#DIV/0!</v>
      </c>
      <c r="AM137" s="599" t="e">
        <f t="shared" si="881"/>
        <v>#DIV/0!</v>
      </c>
      <c r="AN137" s="652" t="e">
        <f t="shared" si="881"/>
        <v>#DIV/0!</v>
      </c>
      <c r="AO137" s="652" t="s">
        <v>93</v>
      </c>
      <c r="AP137" s="599">
        <f t="shared" ref="AP137:BE137" si="882">STDEVA(AP126:AP135)</f>
        <v>0</v>
      </c>
      <c r="AQ137" s="652" t="e">
        <f t="shared" si="882"/>
        <v>#DIV/0!</v>
      </c>
      <c r="AR137" s="675" t="e">
        <f t="shared" si="882"/>
        <v>#DIV/0!</v>
      </c>
      <c r="AS137" s="672" t="e">
        <f t="shared" si="882"/>
        <v>#DIV/0!</v>
      </c>
      <c r="AT137" s="672" t="e">
        <f t="shared" si="882"/>
        <v>#DIV/0!</v>
      </c>
      <c r="AU137" s="675" t="e">
        <f t="shared" si="882"/>
        <v>#DIV/0!</v>
      </c>
      <c r="AV137" s="672" t="e">
        <f t="shared" si="882"/>
        <v>#DIV/0!</v>
      </c>
      <c r="AW137" s="672" t="e">
        <f t="shared" si="882"/>
        <v>#DIV/0!</v>
      </c>
      <c r="AX137" s="672" t="e">
        <f t="shared" si="882"/>
        <v>#DIV/0!</v>
      </c>
      <c r="AY137" s="672" t="e">
        <f t="shared" si="882"/>
        <v>#DIV/0!</v>
      </c>
      <c r="AZ137" s="676" t="e">
        <f t="shared" si="882"/>
        <v>#DIV/0!</v>
      </c>
      <c r="BA137" s="682">
        <f t="shared" si="882"/>
        <v>0.1178511301977581</v>
      </c>
      <c r="BB137" s="691">
        <f t="shared" si="882"/>
        <v>1.1972189997378646</v>
      </c>
      <c r="BC137" s="695">
        <f t="shared" si="882"/>
        <v>0</v>
      </c>
      <c r="BD137" s="599">
        <f t="shared" si="882"/>
        <v>2.7968235951203498E-13</v>
      </c>
      <c r="BE137" s="652">
        <f t="shared" si="882"/>
        <v>0</v>
      </c>
      <c r="BF137" s="652" t="s">
        <v>93</v>
      </c>
      <c r="BG137" s="599">
        <f t="shared" ref="BG137:BV137" si="883">STDEVA(BG126:BG135)</f>
        <v>0</v>
      </c>
      <c r="BH137" s="652">
        <f t="shared" si="883"/>
        <v>0</v>
      </c>
      <c r="BI137" s="675" t="e">
        <f t="shared" si="883"/>
        <v>#VALUE!</v>
      </c>
      <c r="BJ137" s="672" t="e">
        <f t="shared" si="883"/>
        <v>#VALUE!</v>
      </c>
      <c r="BK137" s="672" t="e">
        <f t="shared" si="883"/>
        <v>#VALUE!</v>
      </c>
      <c r="BL137" s="675" t="e">
        <f t="shared" si="883"/>
        <v>#VALUE!</v>
      </c>
      <c r="BM137" s="672" t="e">
        <f t="shared" si="883"/>
        <v>#VALUE!</v>
      </c>
      <c r="BN137" s="672" t="e">
        <f t="shared" si="883"/>
        <v>#VALUE!</v>
      </c>
      <c r="BO137" s="672" t="e">
        <f t="shared" si="883"/>
        <v>#VALUE!</v>
      </c>
      <c r="BP137" s="672" t="e">
        <f t="shared" si="883"/>
        <v>#VALUE!</v>
      </c>
      <c r="BQ137" s="676" t="e">
        <f t="shared" si="883"/>
        <v>#VALUE!</v>
      </c>
      <c r="BR137" s="682">
        <f t="shared" si="883"/>
        <v>9.4868329805051152E-2</v>
      </c>
      <c r="BS137" s="691">
        <f t="shared" si="883"/>
        <v>1.3498971154211057</v>
      </c>
      <c r="BT137" s="695">
        <f t="shared" si="883"/>
        <v>0</v>
      </c>
      <c r="BU137" s="599">
        <f t="shared" si="883"/>
        <v>1.4721111069179128E-13</v>
      </c>
      <c r="BV137" s="652">
        <f t="shared" si="883"/>
        <v>0</v>
      </c>
      <c r="BW137" s="652" t="s">
        <v>93</v>
      </c>
      <c r="BX137" s="599">
        <f t="shared" ref="BX137:CM137" si="884">STDEVA(BX126:BX135)</f>
        <v>0</v>
      </c>
      <c r="BY137" s="652">
        <f t="shared" si="884"/>
        <v>0</v>
      </c>
      <c r="BZ137" s="675" t="e">
        <f t="shared" si="884"/>
        <v>#VALUE!</v>
      </c>
      <c r="CA137" s="672" t="e">
        <f t="shared" si="884"/>
        <v>#VALUE!</v>
      </c>
      <c r="CB137" s="672" t="e">
        <f t="shared" si="884"/>
        <v>#VALUE!</v>
      </c>
      <c r="CC137" s="675" t="e">
        <f t="shared" si="884"/>
        <v>#VALUE!</v>
      </c>
      <c r="CD137" s="672" t="e">
        <f t="shared" si="884"/>
        <v>#VALUE!</v>
      </c>
      <c r="CE137" s="672" t="e">
        <f t="shared" si="884"/>
        <v>#VALUE!</v>
      </c>
      <c r="CF137" s="672" t="e">
        <f t="shared" si="884"/>
        <v>#VALUE!</v>
      </c>
      <c r="CG137" s="672" t="e">
        <f t="shared" si="884"/>
        <v>#VALUE!</v>
      </c>
      <c r="CH137" s="676" t="e">
        <f t="shared" si="884"/>
        <v>#VALUE!</v>
      </c>
      <c r="CI137" s="682">
        <f t="shared" si="884"/>
        <v>0.1173787790777268</v>
      </c>
      <c r="CJ137" s="691">
        <f t="shared" si="884"/>
        <v>1.1737877907772671</v>
      </c>
      <c r="CK137" s="695">
        <f t="shared" si="884"/>
        <v>0</v>
      </c>
      <c r="CL137" s="599">
        <f t="shared" si="884"/>
        <v>4.7140452079107884E-13</v>
      </c>
      <c r="CM137" s="652">
        <f t="shared" si="884"/>
        <v>0</v>
      </c>
      <c r="CN137" s="652" t="s">
        <v>93</v>
      </c>
      <c r="CO137" s="599">
        <f t="shared" ref="CO137:DD137" si="885">STDEVA(CO126:CO135)</f>
        <v>0</v>
      </c>
      <c r="CP137" s="652">
        <f t="shared" si="885"/>
        <v>0</v>
      </c>
      <c r="CQ137" s="675" t="e">
        <f t="shared" si="885"/>
        <v>#VALUE!</v>
      </c>
      <c r="CR137" s="672" t="e">
        <f t="shared" si="885"/>
        <v>#VALUE!</v>
      </c>
      <c r="CS137" s="672" t="e">
        <f t="shared" si="885"/>
        <v>#VALUE!</v>
      </c>
      <c r="CT137" s="675" t="e">
        <f t="shared" si="885"/>
        <v>#VALUE!</v>
      </c>
      <c r="CU137" s="672" t="e">
        <f t="shared" si="885"/>
        <v>#VALUE!</v>
      </c>
      <c r="CV137" s="672" t="e">
        <f t="shared" si="885"/>
        <v>#VALUE!</v>
      </c>
      <c r="CW137" s="672" t="e">
        <f t="shared" si="885"/>
        <v>#VALUE!</v>
      </c>
      <c r="CX137" s="672" t="e">
        <f t="shared" si="885"/>
        <v>#VALUE!</v>
      </c>
      <c r="CY137" s="676" t="e">
        <f t="shared" si="885"/>
        <v>#VALUE!</v>
      </c>
      <c r="CZ137" s="682" t="e">
        <f t="shared" si="885"/>
        <v>#DIV/0!</v>
      </c>
      <c r="DA137" s="691" t="e">
        <f t="shared" si="885"/>
        <v>#DIV/0!</v>
      </c>
      <c r="DB137" s="695" t="e">
        <f t="shared" si="885"/>
        <v>#DIV/0!</v>
      </c>
      <c r="DC137" s="599" t="e">
        <f t="shared" si="885"/>
        <v>#DIV/0!</v>
      </c>
      <c r="DD137" s="652" t="e">
        <f t="shared" si="885"/>
        <v>#DIV/0!</v>
      </c>
      <c r="DE137" s="652" t="s">
        <v>93</v>
      </c>
      <c r="DF137" s="599">
        <f t="shared" ref="DF137:DU137" si="886">STDEVA(DF126:DF135)</f>
        <v>0</v>
      </c>
      <c r="DG137" s="652" t="e">
        <f t="shared" si="886"/>
        <v>#DIV/0!</v>
      </c>
      <c r="DH137" s="675" t="e">
        <f t="shared" si="886"/>
        <v>#DIV/0!</v>
      </c>
      <c r="DI137" s="672" t="e">
        <f t="shared" si="886"/>
        <v>#DIV/0!</v>
      </c>
      <c r="DJ137" s="672" t="e">
        <f t="shared" si="886"/>
        <v>#DIV/0!</v>
      </c>
      <c r="DK137" s="675" t="e">
        <f t="shared" si="886"/>
        <v>#DIV/0!</v>
      </c>
      <c r="DL137" s="672" t="e">
        <f t="shared" si="886"/>
        <v>#DIV/0!</v>
      </c>
      <c r="DM137" s="672" t="e">
        <f t="shared" si="886"/>
        <v>#DIV/0!</v>
      </c>
      <c r="DN137" s="672" t="e">
        <f t="shared" si="886"/>
        <v>#DIV/0!</v>
      </c>
      <c r="DO137" s="672" t="e">
        <f t="shared" si="886"/>
        <v>#DIV/0!</v>
      </c>
      <c r="DP137" s="676" t="e">
        <f t="shared" si="886"/>
        <v>#DIV/0!</v>
      </c>
      <c r="DQ137" s="682" t="e">
        <f t="shared" si="886"/>
        <v>#DIV/0!</v>
      </c>
      <c r="DR137" s="691" t="e">
        <f t="shared" si="886"/>
        <v>#DIV/0!</v>
      </c>
      <c r="DS137" s="695" t="e">
        <f t="shared" si="886"/>
        <v>#DIV/0!</v>
      </c>
      <c r="DT137" s="653" t="e">
        <f t="shared" si="886"/>
        <v>#DIV/0!</v>
      </c>
      <c r="DU137" s="652" t="e">
        <f t="shared" si="886"/>
        <v>#DIV/0!</v>
      </c>
      <c r="DV137" s="652" t="s">
        <v>93</v>
      </c>
      <c r="DW137" s="599">
        <f t="shared" ref="DW137:EL137" si="887">STDEVA(DW126:DW135)</f>
        <v>0</v>
      </c>
      <c r="DX137" s="652" t="e">
        <f t="shared" si="887"/>
        <v>#DIV/0!</v>
      </c>
      <c r="DY137" s="675" t="e">
        <f t="shared" si="887"/>
        <v>#DIV/0!</v>
      </c>
      <c r="DZ137" s="672" t="e">
        <f t="shared" si="887"/>
        <v>#DIV/0!</v>
      </c>
      <c r="EA137" s="672" t="e">
        <f t="shared" si="887"/>
        <v>#DIV/0!</v>
      </c>
      <c r="EB137" s="675" t="e">
        <f t="shared" si="887"/>
        <v>#DIV/0!</v>
      </c>
      <c r="EC137" s="672" t="e">
        <f t="shared" si="887"/>
        <v>#DIV/0!</v>
      </c>
      <c r="ED137" s="672" t="e">
        <f t="shared" si="887"/>
        <v>#DIV/0!</v>
      </c>
      <c r="EE137" s="672" t="e">
        <f t="shared" si="887"/>
        <v>#DIV/0!</v>
      </c>
      <c r="EF137" s="672" t="e">
        <f t="shared" si="887"/>
        <v>#DIV/0!</v>
      </c>
      <c r="EG137" s="676" t="e">
        <f t="shared" si="887"/>
        <v>#DIV/0!</v>
      </c>
      <c r="EH137" s="682">
        <f t="shared" si="887"/>
        <v>0.15238839267549908</v>
      </c>
      <c r="EI137" s="691">
        <f t="shared" si="887"/>
        <v>0.97182531580755005</v>
      </c>
      <c r="EJ137" s="695">
        <f t="shared" si="887"/>
        <v>0</v>
      </c>
      <c r="EK137" s="599">
        <f t="shared" si="887"/>
        <v>1.6176612061175781E-12</v>
      </c>
      <c r="EL137" s="652">
        <f t="shared" si="887"/>
        <v>0</v>
      </c>
      <c r="EM137" s="652" t="s">
        <v>93</v>
      </c>
      <c r="EN137" s="599">
        <f t="shared" ref="EN137:FC137" si="888">STDEVA(EN126:EN135)</f>
        <v>0</v>
      </c>
      <c r="EO137" s="652">
        <f t="shared" si="888"/>
        <v>0</v>
      </c>
      <c r="EP137" s="675" t="e">
        <f t="shared" si="888"/>
        <v>#VALUE!</v>
      </c>
      <c r="EQ137" s="672" t="e">
        <f t="shared" si="888"/>
        <v>#VALUE!</v>
      </c>
      <c r="ER137" s="672" t="e">
        <f t="shared" si="888"/>
        <v>#VALUE!</v>
      </c>
      <c r="ES137" s="675" t="e">
        <f t="shared" si="888"/>
        <v>#VALUE!</v>
      </c>
      <c r="ET137" s="672" t="e">
        <f t="shared" si="888"/>
        <v>#VALUE!</v>
      </c>
      <c r="EU137" s="672" t="e">
        <f t="shared" si="888"/>
        <v>#VALUE!</v>
      </c>
      <c r="EV137" s="672" t="e">
        <f t="shared" si="888"/>
        <v>#VALUE!</v>
      </c>
      <c r="EW137" s="672" t="e">
        <f t="shared" si="888"/>
        <v>#VALUE!</v>
      </c>
      <c r="EX137" s="676" t="e">
        <f t="shared" si="888"/>
        <v>#VALUE!</v>
      </c>
      <c r="EY137" s="682" t="e">
        <f t="shared" si="888"/>
        <v>#DIV/0!</v>
      </c>
      <c r="EZ137" s="691" t="e">
        <f t="shared" si="888"/>
        <v>#DIV/0!</v>
      </c>
      <c r="FA137" s="695" t="e">
        <f t="shared" si="888"/>
        <v>#DIV/0!</v>
      </c>
      <c r="FB137" s="599" t="e">
        <f t="shared" si="888"/>
        <v>#DIV/0!</v>
      </c>
      <c r="FC137" s="652" t="e">
        <f t="shared" si="888"/>
        <v>#DIV/0!</v>
      </c>
      <c r="FD137" s="652" t="s">
        <v>93</v>
      </c>
      <c r="FE137" s="599">
        <f t="shared" ref="FE137:FT137" si="889">STDEVA(FE126:FE135)</f>
        <v>0</v>
      </c>
      <c r="FF137" s="652" t="e">
        <f t="shared" si="889"/>
        <v>#DIV/0!</v>
      </c>
      <c r="FG137" s="675" t="e">
        <f t="shared" si="889"/>
        <v>#DIV/0!</v>
      </c>
      <c r="FH137" s="672" t="e">
        <f t="shared" si="889"/>
        <v>#DIV/0!</v>
      </c>
      <c r="FI137" s="672" t="e">
        <f t="shared" si="889"/>
        <v>#DIV/0!</v>
      </c>
      <c r="FJ137" s="675" t="e">
        <f t="shared" si="889"/>
        <v>#DIV/0!</v>
      </c>
      <c r="FK137" s="672" t="e">
        <f t="shared" si="889"/>
        <v>#DIV/0!</v>
      </c>
      <c r="FL137" s="672" t="e">
        <f t="shared" si="889"/>
        <v>#DIV/0!</v>
      </c>
      <c r="FM137" s="672" t="e">
        <f t="shared" si="889"/>
        <v>#DIV/0!</v>
      </c>
      <c r="FN137" s="672" t="e">
        <f t="shared" si="889"/>
        <v>#DIV/0!</v>
      </c>
      <c r="FO137" s="676" t="e">
        <f t="shared" si="889"/>
        <v>#DIV/0!</v>
      </c>
      <c r="FP137" s="682" t="e">
        <f t="shared" si="889"/>
        <v>#DIV/0!</v>
      </c>
      <c r="FQ137" s="691" t="e">
        <f t="shared" si="889"/>
        <v>#DIV/0!</v>
      </c>
      <c r="FR137" s="695" t="e">
        <f t="shared" si="889"/>
        <v>#DIV/0!</v>
      </c>
      <c r="FS137" s="599" t="e">
        <f t="shared" si="889"/>
        <v>#DIV/0!</v>
      </c>
      <c r="FT137" s="652" t="e">
        <f t="shared" si="889"/>
        <v>#DIV/0!</v>
      </c>
      <c r="FU137" s="652" t="s">
        <v>93</v>
      </c>
      <c r="FV137" s="599">
        <f t="shared" ref="FV137:GK137" si="890">STDEVA(FV126:FV135)</f>
        <v>0</v>
      </c>
      <c r="FW137" s="652" t="e">
        <f t="shared" si="890"/>
        <v>#DIV/0!</v>
      </c>
      <c r="FX137" s="675" t="e">
        <f t="shared" si="890"/>
        <v>#DIV/0!</v>
      </c>
      <c r="FY137" s="672" t="e">
        <f t="shared" si="890"/>
        <v>#DIV/0!</v>
      </c>
      <c r="FZ137" s="672" t="e">
        <f t="shared" si="890"/>
        <v>#DIV/0!</v>
      </c>
      <c r="GA137" s="675" t="e">
        <f t="shared" si="890"/>
        <v>#DIV/0!</v>
      </c>
      <c r="GB137" s="672" t="e">
        <f t="shared" si="890"/>
        <v>#DIV/0!</v>
      </c>
      <c r="GC137" s="672" t="e">
        <f t="shared" si="890"/>
        <v>#DIV/0!</v>
      </c>
      <c r="GD137" s="672" t="e">
        <f t="shared" si="890"/>
        <v>#DIV/0!</v>
      </c>
      <c r="GE137" s="672" t="e">
        <f t="shared" si="890"/>
        <v>#DIV/0!</v>
      </c>
      <c r="GF137" s="676" t="e">
        <f t="shared" si="890"/>
        <v>#DIV/0!</v>
      </c>
      <c r="GG137" s="682" t="e">
        <f t="shared" si="890"/>
        <v>#DIV/0!</v>
      </c>
      <c r="GH137" s="691" t="e">
        <f t="shared" si="890"/>
        <v>#DIV/0!</v>
      </c>
      <c r="GI137" s="695" t="e">
        <f t="shared" si="890"/>
        <v>#DIV/0!</v>
      </c>
      <c r="GJ137" s="653" t="e">
        <f t="shared" si="890"/>
        <v>#DIV/0!</v>
      </c>
      <c r="GK137" s="652" t="e">
        <f t="shared" si="890"/>
        <v>#DIV/0!</v>
      </c>
      <c r="GL137" s="652" t="s">
        <v>93</v>
      </c>
      <c r="GM137" s="599">
        <f t="shared" ref="GM137:HB137" si="891">STDEVA(GM126:GM135)</f>
        <v>0</v>
      </c>
      <c r="GN137" s="652" t="e">
        <f t="shared" si="891"/>
        <v>#DIV/0!</v>
      </c>
      <c r="GO137" s="675" t="e">
        <f t="shared" si="891"/>
        <v>#DIV/0!</v>
      </c>
      <c r="GP137" s="672" t="e">
        <f t="shared" si="891"/>
        <v>#DIV/0!</v>
      </c>
      <c r="GQ137" s="672" t="e">
        <f t="shared" si="891"/>
        <v>#DIV/0!</v>
      </c>
      <c r="GR137" s="675" t="e">
        <f t="shared" si="891"/>
        <v>#DIV/0!</v>
      </c>
      <c r="GS137" s="672" t="e">
        <f t="shared" si="891"/>
        <v>#DIV/0!</v>
      </c>
      <c r="GT137" s="672" t="e">
        <f t="shared" si="891"/>
        <v>#DIV/0!</v>
      </c>
      <c r="GU137" s="672" t="e">
        <f t="shared" si="891"/>
        <v>#DIV/0!</v>
      </c>
      <c r="GV137" s="672" t="e">
        <f t="shared" si="891"/>
        <v>#DIV/0!</v>
      </c>
      <c r="GW137" s="676" t="e">
        <f t="shared" si="891"/>
        <v>#DIV/0!</v>
      </c>
      <c r="GX137" s="682" t="e">
        <f t="shared" si="891"/>
        <v>#DIV/0!</v>
      </c>
      <c r="GY137" s="691" t="e">
        <f t="shared" si="891"/>
        <v>#DIV/0!</v>
      </c>
      <c r="GZ137" s="695" t="e">
        <f t="shared" si="891"/>
        <v>#DIV/0!</v>
      </c>
      <c r="HA137" s="599" t="e">
        <f t="shared" si="891"/>
        <v>#DIV/0!</v>
      </c>
      <c r="HB137" s="652" t="e">
        <f t="shared" si="891"/>
        <v>#DIV/0!</v>
      </c>
      <c r="HC137" s="652" t="s">
        <v>93</v>
      </c>
      <c r="HD137" s="599">
        <f t="shared" ref="HD137:HS137" si="892">STDEVA(HD126:HD135)</f>
        <v>0</v>
      </c>
      <c r="HE137" s="652" t="e">
        <f t="shared" si="892"/>
        <v>#DIV/0!</v>
      </c>
      <c r="HF137" s="675" t="e">
        <f t="shared" si="892"/>
        <v>#DIV/0!</v>
      </c>
      <c r="HG137" s="672" t="e">
        <f t="shared" si="892"/>
        <v>#DIV/0!</v>
      </c>
      <c r="HH137" s="672" t="e">
        <f t="shared" si="892"/>
        <v>#DIV/0!</v>
      </c>
      <c r="HI137" s="675" t="e">
        <f t="shared" si="892"/>
        <v>#DIV/0!</v>
      </c>
      <c r="HJ137" s="672" t="e">
        <f t="shared" si="892"/>
        <v>#DIV/0!</v>
      </c>
      <c r="HK137" s="672" t="e">
        <f t="shared" si="892"/>
        <v>#DIV/0!</v>
      </c>
      <c r="HL137" s="672" t="e">
        <f t="shared" si="892"/>
        <v>#DIV/0!</v>
      </c>
      <c r="HM137" s="672" t="e">
        <f t="shared" si="892"/>
        <v>#DIV/0!</v>
      </c>
      <c r="HN137" s="676" t="e">
        <f t="shared" si="892"/>
        <v>#DIV/0!</v>
      </c>
      <c r="HO137" s="682" t="e">
        <f t="shared" si="892"/>
        <v>#DIV/0!</v>
      </c>
      <c r="HP137" s="691" t="e">
        <f t="shared" si="892"/>
        <v>#DIV/0!</v>
      </c>
      <c r="HQ137" s="695" t="e">
        <f t="shared" si="892"/>
        <v>#DIV/0!</v>
      </c>
      <c r="HR137" s="599" t="e">
        <f t="shared" si="892"/>
        <v>#DIV/0!</v>
      </c>
      <c r="HS137" s="652" t="e">
        <f t="shared" si="892"/>
        <v>#DIV/0!</v>
      </c>
      <c r="HT137" s="652" t="s">
        <v>93</v>
      </c>
      <c r="HU137" s="599">
        <f t="shared" ref="HU137:IJ137" si="893">STDEVA(HU126:HU135)</f>
        <v>0</v>
      </c>
      <c r="HV137" s="652" t="e">
        <f t="shared" si="893"/>
        <v>#DIV/0!</v>
      </c>
      <c r="HW137" s="675" t="e">
        <f t="shared" si="893"/>
        <v>#DIV/0!</v>
      </c>
      <c r="HX137" s="672" t="e">
        <f t="shared" si="893"/>
        <v>#DIV/0!</v>
      </c>
      <c r="HY137" s="672" t="e">
        <f t="shared" si="893"/>
        <v>#DIV/0!</v>
      </c>
      <c r="HZ137" s="675" t="e">
        <f t="shared" si="893"/>
        <v>#DIV/0!</v>
      </c>
      <c r="IA137" s="672" t="e">
        <f t="shared" si="893"/>
        <v>#DIV/0!</v>
      </c>
      <c r="IB137" s="672" t="e">
        <f t="shared" si="893"/>
        <v>#DIV/0!</v>
      </c>
      <c r="IC137" s="672" t="e">
        <f t="shared" si="893"/>
        <v>#DIV/0!</v>
      </c>
      <c r="ID137" s="672" t="e">
        <f t="shared" si="893"/>
        <v>#DIV/0!</v>
      </c>
      <c r="IE137" s="676" t="e">
        <f t="shared" si="893"/>
        <v>#DIV/0!</v>
      </c>
      <c r="IF137" s="682" t="e">
        <f t="shared" si="893"/>
        <v>#DIV/0!</v>
      </c>
      <c r="IG137" s="691" t="e">
        <f t="shared" si="893"/>
        <v>#DIV/0!</v>
      </c>
      <c r="IH137" s="695" t="e">
        <f t="shared" si="893"/>
        <v>#DIV/0!</v>
      </c>
      <c r="II137" s="599" t="e">
        <f t="shared" si="893"/>
        <v>#DIV/0!</v>
      </c>
      <c r="IJ137" s="652" t="e">
        <f t="shared" si="893"/>
        <v>#DIV/0!</v>
      </c>
      <c r="IK137" s="652" t="s">
        <v>93</v>
      </c>
      <c r="IL137" s="599">
        <f t="shared" ref="IL137:JA137" si="894">STDEVA(IL126:IL135)</f>
        <v>0</v>
      </c>
      <c r="IM137" s="652" t="e">
        <f t="shared" si="894"/>
        <v>#DIV/0!</v>
      </c>
      <c r="IN137" s="675" t="e">
        <f t="shared" si="894"/>
        <v>#DIV/0!</v>
      </c>
      <c r="IO137" s="672" t="e">
        <f t="shared" si="894"/>
        <v>#DIV/0!</v>
      </c>
      <c r="IP137" s="672" t="e">
        <f t="shared" si="894"/>
        <v>#DIV/0!</v>
      </c>
      <c r="IQ137" s="675" t="e">
        <f t="shared" si="894"/>
        <v>#DIV/0!</v>
      </c>
      <c r="IR137" s="672" t="e">
        <f t="shared" si="894"/>
        <v>#DIV/0!</v>
      </c>
      <c r="IS137" s="672" t="e">
        <f t="shared" si="894"/>
        <v>#DIV/0!</v>
      </c>
      <c r="IT137" s="672" t="e">
        <f t="shared" si="894"/>
        <v>#DIV/0!</v>
      </c>
      <c r="IU137" s="672" t="e">
        <f t="shared" si="894"/>
        <v>#DIV/0!</v>
      </c>
      <c r="IV137" s="676" t="e">
        <f t="shared" si="894"/>
        <v>#DIV/0!</v>
      </c>
      <c r="IW137" s="682" t="e">
        <f t="shared" si="894"/>
        <v>#DIV/0!</v>
      </c>
      <c r="IX137" s="691" t="e">
        <f t="shared" si="894"/>
        <v>#DIV/0!</v>
      </c>
      <c r="IY137" s="695" t="e">
        <f t="shared" si="894"/>
        <v>#DIV/0!</v>
      </c>
      <c r="IZ137" s="599" t="e">
        <f t="shared" si="894"/>
        <v>#DIV/0!</v>
      </c>
      <c r="JA137" s="652" t="e">
        <f t="shared" si="894"/>
        <v>#DIV/0!</v>
      </c>
      <c r="JB137" s="652" t="s">
        <v>93</v>
      </c>
      <c r="JC137" s="599">
        <f t="shared" ref="JC137:JR137" si="895">STDEVA(JC126:JC135)</f>
        <v>0</v>
      </c>
      <c r="JD137" s="652" t="e">
        <f t="shared" si="895"/>
        <v>#DIV/0!</v>
      </c>
      <c r="JE137" s="675" t="e">
        <f t="shared" si="895"/>
        <v>#DIV/0!</v>
      </c>
      <c r="JF137" s="672" t="e">
        <f t="shared" si="895"/>
        <v>#DIV/0!</v>
      </c>
      <c r="JG137" s="672" t="e">
        <f t="shared" si="895"/>
        <v>#DIV/0!</v>
      </c>
      <c r="JH137" s="675" t="e">
        <f t="shared" si="895"/>
        <v>#DIV/0!</v>
      </c>
      <c r="JI137" s="672" t="e">
        <f t="shared" si="895"/>
        <v>#DIV/0!</v>
      </c>
      <c r="JJ137" s="672" t="e">
        <f t="shared" si="895"/>
        <v>#DIV/0!</v>
      </c>
      <c r="JK137" s="672" t="e">
        <f t="shared" si="895"/>
        <v>#DIV/0!</v>
      </c>
      <c r="JL137" s="672" t="e">
        <f t="shared" si="895"/>
        <v>#DIV/0!</v>
      </c>
      <c r="JM137" s="676" t="e">
        <f t="shared" si="895"/>
        <v>#DIV/0!</v>
      </c>
      <c r="JN137" s="682" t="e">
        <f t="shared" si="895"/>
        <v>#DIV/0!</v>
      </c>
      <c r="JO137" s="691" t="e">
        <f t="shared" si="895"/>
        <v>#DIV/0!</v>
      </c>
      <c r="JP137" s="695" t="e">
        <f t="shared" si="895"/>
        <v>#DIV/0!</v>
      </c>
      <c r="JQ137" s="599" t="e">
        <f t="shared" si="895"/>
        <v>#DIV/0!</v>
      </c>
      <c r="JR137" s="652" t="e">
        <f t="shared" si="895"/>
        <v>#DIV/0!</v>
      </c>
      <c r="JS137" s="652" t="s">
        <v>93</v>
      </c>
      <c r="JT137" s="599">
        <f t="shared" ref="JT137:KI137" si="896">STDEVA(JT126:JT135)</f>
        <v>0</v>
      </c>
      <c r="JU137" s="652" t="e">
        <f t="shared" si="896"/>
        <v>#DIV/0!</v>
      </c>
      <c r="JV137" s="675" t="e">
        <f t="shared" si="896"/>
        <v>#DIV/0!</v>
      </c>
      <c r="JW137" s="672" t="e">
        <f t="shared" si="896"/>
        <v>#DIV/0!</v>
      </c>
      <c r="JX137" s="672" t="e">
        <f t="shared" si="896"/>
        <v>#DIV/0!</v>
      </c>
      <c r="JY137" s="675" t="e">
        <f t="shared" si="896"/>
        <v>#DIV/0!</v>
      </c>
      <c r="JZ137" s="672" t="e">
        <f t="shared" si="896"/>
        <v>#DIV/0!</v>
      </c>
      <c r="KA137" s="672" t="e">
        <f t="shared" si="896"/>
        <v>#DIV/0!</v>
      </c>
      <c r="KB137" s="672" t="e">
        <f t="shared" si="896"/>
        <v>#DIV/0!</v>
      </c>
      <c r="KC137" s="672" t="e">
        <f t="shared" si="896"/>
        <v>#DIV/0!</v>
      </c>
      <c r="KD137" s="676" t="e">
        <f t="shared" si="896"/>
        <v>#DIV/0!</v>
      </c>
      <c r="KE137" s="682" t="e">
        <f t="shared" si="896"/>
        <v>#DIV/0!</v>
      </c>
      <c r="KF137" s="691" t="e">
        <f t="shared" si="896"/>
        <v>#DIV/0!</v>
      </c>
      <c r="KG137" s="695" t="e">
        <f t="shared" si="896"/>
        <v>#DIV/0!</v>
      </c>
      <c r="KH137" s="599" t="e">
        <f t="shared" si="896"/>
        <v>#DIV/0!</v>
      </c>
      <c r="KI137" s="652" t="e">
        <f t="shared" si="896"/>
        <v>#DIV/0!</v>
      </c>
      <c r="KJ137" s="652" t="s">
        <v>93</v>
      </c>
      <c r="KK137" s="599">
        <f t="shared" ref="KK137:KZ137" si="897">STDEVA(KK126:KK135)</f>
        <v>0</v>
      </c>
      <c r="KL137" s="652" t="e">
        <f t="shared" si="897"/>
        <v>#DIV/0!</v>
      </c>
      <c r="KM137" s="675" t="e">
        <f t="shared" si="897"/>
        <v>#DIV/0!</v>
      </c>
      <c r="KN137" s="672" t="e">
        <f t="shared" si="897"/>
        <v>#DIV/0!</v>
      </c>
      <c r="KO137" s="672" t="e">
        <f t="shared" si="897"/>
        <v>#DIV/0!</v>
      </c>
      <c r="KP137" s="675" t="e">
        <f t="shared" si="897"/>
        <v>#DIV/0!</v>
      </c>
      <c r="KQ137" s="672" t="e">
        <f t="shared" si="897"/>
        <v>#DIV/0!</v>
      </c>
      <c r="KR137" s="672" t="e">
        <f t="shared" si="897"/>
        <v>#DIV/0!</v>
      </c>
      <c r="KS137" s="672" t="e">
        <f t="shared" si="897"/>
        <v>#DIV/0!</v>
      </c>
      <c r="KT137" s="672" t="e">
        <f t="shared" si="897"/>
        <v>#DIV/0!</v>
      </c>
      <c r="KU137" s="676" t="e">
        <f t="shared" si="897"/>
        <v>#DIV/0!</v>
      </c>
      <c r="KV137" s="682" t="e">
        <f t="shared" si="897"/>
        <v>#DIV/0!</v>
      </c>
      <c r="KW137" s="691" t="e">
        <f t="shared" si="897"/>
        <v>#DIV/0!</v>
      </c>
      <c r="KX137" s="695" t="e">
        <f t="shared" si="897"/>
        <v>#DIV/0!</v>
      </c>
      <c r="KY137" s="599" t="e">
        <f t="shared" si="897"/>
        <v>#DIV/0!</v>
      </c>
      <c r="KZ137" s="652" t="e">
        <f t="shared" si="897"/>
        <v>#DIV/0!</v>
      </c>
      <c r="LA137" s="652" t="s">
        <v>93</v>
      </c>
      <c r="LB137" s="599">
        <f t="shared" ref="LB137:LQ137" si="898">STDEVA(LB126:LB135)</f>
        <v>0</v>
      </c>
      <c r="LC137" s="652" t="e">
        <f t="shared" si="898"/>
        <v>#DIV/0!</v>
      </c>
      <c r="LD137" s="675" t="e">
        <f t="shared" si="898"/>
        <v>#DIV/0!</v>
      </c>
      <c r="LE137" s="672" t="e">
        <f t="shared" si="898"/>
        <v>#DIV/0!</v>
      </c>
      <c r="LF137" s="672" t="e">
        <f t="shared" si="898"/>
        <v>#DIV/0!</v>
      </c>
      <c r="LG137" s="675" t="e">
        <f t="shared" si="898"/>
        <v>#DIV/0!</v>
      </c>
      <c r="LH137" s="672" t="e">
        <f t="shared" si="898"/>
        <v>#DIV/0!</v>
      </c>
      <c r="LI137" s="672" t="e">
        <f t="shared" si="898"/>
        <v>#DIV/0!</v>
      </c>
      <c r="LJ137" s="672" t="e">
        <f t="shared" si="898"/>
        <v>#DIV/0!</v>
      </c>
      <c r="LK137" s="672" t="e">
        <f t="shared" si="898"/>
        <v>#DIV/0!</v>
      </c>
      <c r="LL137" s="676" t="e">
        <f t="shared" si="898"/>
        <v>#DIV/0!</v>
      </c>
      <c r="LM137" s="682" t="e">
        <f t="shared" si="898"/>
        <v>#DIV/0!</v>
      </c>
      <c r="LN137" s="691" t="e">
        <f t="shared" si="898"/>
        <v>#DIV/0!</v>
      </c>
      <c r="LO137" s="695" t="e">
        <f t="shared" si="898"/>
        <v>#DIV/0!</v>
      </c>
      <c r="LP137" s="599" t="e">
        <f t="shared" si="898"/>
        <v>#DIV/0!</v>
      </c>
      <c r="LQ137" s="652" t="e">
        <f t="shared" si="898"/>
        <v>#DIV/0!</v>
      </c>
      <c r="LR137" s="652" t="s">
        <v>93</v>
      </c>
      <c r="LS137" s="599">
        <f t="shared" ref="LS137:MH137" si="899">STDEVA(LS126:LS135)</f>
        <v>0</v>
      </c>
      <c r="LT137" s="652" t="e">
        <f t="shared" si="899"/>
        <v>#DIV/0!</v>
      </c>
      <c r="LU137" s="675" t="e">
        <f t="shared" si="899"/>
        <v>#DIV/0!</v>
      </c>
      <c r="LV137" s="672" t="e">
        <f t="shared" si="899"/>
        <v>#DIV/0!</v>
      </c>
      <c r="LW137" s="672" t="e">
        <f t="shared" si="899"/>
        <v>#DIV/0!</v>
      </c>
      <c r="LX137" s="675" t="e">
        <f t="shared" si="899"/>
        <v>#DIV/0!</v>
      </c>
      <c r="LY137" s="672" t="e">
        <f t="shared" si="899"/>
        <v>#DIV/0!</v>
      </c>
      <c r="LZ137" s="672" t="e">
        <f t="shared" si="899"/>
        <v>#DIV/0!</v>
      </c>
      <c r="MA137" s="672" t="e">
        <f t="shared" si="899"/>
        <v>#DIV/0!</v>
      </c>
      <c r="MB137" s="672" t="e">
        <f t="shared" si="899"/>
        <v>#DIV/0!</v>
      </c>
      <c r="MC137" s="676" t="e">
        <f t="shared" si="899"/>
        <v>#DIV/0!</v>
      </c>
      <c r="MD137" s="682" t="e">
        <f t="shared" si="899"/>
        <v>#DIV/0!</v>
      </c>
      <c r="ME137" s="691" t="e">
        <f t="shared" si="899"/>
        <v>#DIV/0!</v>
      </c>
      <c r="MF137" s="695" t="e">
        <f t="shared" si="899"/>
        <v>#DIV/0!</v>
      </c>
      <c r="MG137" s="599" t="e">
        <f t="shared" si="899"/>
        <v>#DIV/0!</v>
      </c>
      <c r="MH137" s="652" t="e">
        <f t="shared" si="899"/>
        <v>#DIV/0!</v>
      </c>
      <c r="MI137" s="652" t="s">
        <v>93</v>
      </c>
      <c r="MJ137" s="599">
        <f t="shared" ref="MJ137:MY137" si="900">STDEVA(MJ126:MJ135)</f>
        <v>0</v>
      </c>
      <c r="MK137" s="652" t="e">
        <f t="shared" si="900"/>
        <v>#DIV/0!</v>
      </c>
      <c r="ML137" s="675" t="e">
        <f t="shared" si="900"/>
        <v>#DIV/0!</v>
      </c>
      <c r="MM137" s="672" t="e">
        <f t="shared" si="900"/>
        <v>#DIV/0!</v>
      </c>
      <c r="MN137" s="672" t="e">
        <f t="shared" si="900"/>
        <v>#DIV/0!</v>
      </c>
      <c r="MO137" s="675" t="e">
        <f t="shared" si="900"/>
        <v>#DIV/0!</v>
      </c>
      <c r="MP137" s="672" t="e">
        <f t="shared" si="900"/>
        <v>#DIV/0!</v>
      </c>
      <c r="MQ137" s="672" t="e">
        <f t="shared" si="900"/>
        <v>#DIV/0!</v>
      </c>
      <c r="MR137" s="672" t="e">
        <f t="shared" si="900"/>
        <v>#DIV/0!</v>
      </c>
      <c r="MS137" s="672" t="e">
        <f t="shared" si="900"/>
        <v>#DIV/0!</v>
      </c>
      <c r="MT137" s="676" t="e">
        <f t="shared" si="900"/>
        <v>#DIV/0!</v>
      </c>
      <c r="MU137" s="682">
        <f t="shared" si="900"/>
        <v>0.13374935098492557</v>
      </c>
      <c r="MV137" s="691">
        <f t="shared" si="900"/>
        <v>0.69920589878010098</v>
      </c>
      <c r="MW137" s="695">
        <f t="shared" si="900"/>
        <v>0</v>
      </c>
      <c r="MX137" s="599">
        <f t="shared" si="900"/>
        <v>9.9693976191586514E-14</v>
      </c>
      <c r="MY137" s="652">
        <f t="shared" si="900"/>
        <v>0</v>
      </c>
      <c r="MZ137" s="652" t="s">
        <v>93</v>
      </c>
      <c r="NA137" s="599">
        <f t="shared" ref="NA137:NP137" si="901">STDEVA(NA126:NA135)</f>
        <v>0</v>
      </c>
      <c r="NB137" s="652">
        <f t="shared" si="901"/>
        <v>0</v>
      </c>
      <c r="NC137" s="675" t="e">
        <f t="shared" si="901"/>
        <v>#VALUE!</v>
      </c>
      <c r="ND137" s="672" t="e">
        <f t="shared" si="901"/>
        <v>#VALUE!</v>
      </c>
      <c r="NE137" s="672" t="e">
        <f t="shared" si="901"/>
        <v>#VALUE!</v>
      </c>
      <c r="NF137" s="675" t="e">
        <f t="shared" si="901"/>
        <v>#VALUE!</v>
      </c>
      <c r="NG137" s="672" t="e">
        <f t="shared" si="901"/>
        <v>#VALUE!</v>
      </c>
      <c r="NH137" s="672" t="e">
        <f t="shared" si="901"/>
        <v>#VALUE!</v>
      </c>
      <c r="NI137" s="672" t="e">
        <f t="shared" si="901"/>
        <v>#VALUE!</v>
      </c>
      <c r="NJ137" s="672" t="e">
        <f t="shared" si="901"/>
        <v>#VALUE!</v>
      </c>
      <c r="NK137" s="676" t="e">
        <f t="shared" si="901"/>
        <v>#VALUE!</v>
      </c>
      <c r="NL137" s="682" t="e">
        <f t="shared" si="901"/>
        <v>#DIV/0!</v>
      </c>
      <c r="NM137" s="691" t="e">
        <f t="shared" si="901"/>
        <v>#DIV/0!</v>
      </c>
      <c r="NN137" s="695" t="e">
        <f t="shared" si="901"/>
        <v>#DIV/0!</v>
      </c>
      <c r="NO137" s="599" t="e">
        <f t="shared" si="901"/>
        <v>#DIV/0!</v>
      </c>
      <c r="NP137" s="652" t="e">
        <f t="shared" si="901"/>
        <v>#DIV/0!</v>
      </c>
      <c r="NQ137" s="652" t="s">
        <v>93</v>
      </c>
      <c r="NR137" s="599">
        <f t="shared" ref="NR137:OG137" si="902">STDEVA(NR126:NR135)</f>
        <v>0</v>
      </c>
      <c r="NS137" s="652" t="e">
        <f t="shared" si="902"/>
        <v>#DIV/0!</v>
      </c>
      <c r="NT137" s="675" t="e">
        <f t="shared" si="902"/>
        <v>#DIV/0!</v>
      </c>
      <c r="NU137" s="672" t="e">
        <f t="shared" si="902"/>
        <v>#DIV/0!</v>
      </c>
      <c r="NV137" s="672" t="e">
        <f t="shared" si="902"/>
        <v>#DIV/0!</v>
      </c>
      <c r="NW137" s="675" t="e">
        <f t="shared" si="902"/>
        <v>#DIV/0!</v>
      </c>
      <c r="NX137" s="672" t="e">
        <f t="shared" si="902"/>
        <v>#DIV/0!</v>
      </c>
      <c r="NY137" s="672" t="e">
        <f t="shared" si="902"/>
        <v>#DIV/0!</v>
      </c>
      <c r="NZ137" s="672" t="e">
        <f t="shared" si="902"/>
        <v>#DIV/0!</v>
      </c>
      <c r="OA137" s="672" t="e">
        <f t="shared" si="902"/>
        <v>#DIV/0!</v>
      </c>
      <c r="OB137" s="676" t="e">
        <f t="shared" si="902"/>
        <v>#DIV/0!</v>
      </c>
      <c r="OC137" s="682">
        <f t="shared" si="902"/>
        <v>5.6764621219755479E-2</v>
      </c>
      <c r="OD137" s="691">
        <f t="shared" si="902"/>
        <v>0.78881063774661542</v>
      </c>
      <c r="OE137" s="695">
        <f t="shared" si="902"/>
        <v>0</v>
      </c>
      <c r="OF137" s="599">
        <f t="shared" si="902"/>
        <v>2.4698178070457444E-13</v>
      </c>
      <c r="OG137" s="652">
        <f t="shared" si="902"/>
        <v>0</v>
      </c>
      <c r="OH137" s="652" t="s">
        <v>93</v>
      </c>
      <c r="OI137" s="599">
        <f t="shared" ref="OI137:OX137" si="903">STDEVA(OI126:OI135)</f>
        <v>0</v>
      </c>
      <c r="OJ137" s="652">
        <f t="shared" si="903"/>
        <v>0</v>
      </c>
      <c r="OK137" s="675" t="e">
        <f t="shared" si="903"/>
        <v>#VALUE!</v>
      </c>
      <c r="OL137" s="672" t="e">
        <f t="shared" si="903"/>
        <v>#VALUE!</v>
      </c>
      <c r="OM137" s="672" t="e">
        <f t="shared" si="903"/>
        <v>#VALUE!</v>
      </c>
      <c r="ON137" s="675" t="e">
        <f t="shared" si="903"/>
        <v>#VALUE!</v>
      </c>
      <c r="OO137" s="672" t="e">
        <f t="shared" si="903"/>
        <v>#VALUE!</v>
      </c>
      <c r="OP137" s="672" t="e">
        <f t="shared" si="903"/>
        <v>#VALUE!</v>
      </c>
      <c r="OQ137" s="672" t="e">
        <f t="shared" si="903"/>
        <v>#VALUE!</v>
      </c>
      <c r="OR137" s="672" t="e">
        <f t="shared" si="903"/>
        <v>#VALUE!</v>
      </c>
      <c r="OS137" s="676" t="e">
        <f t="shared" si="903"/>
        <v>#VALUE!</v>
      </c>
      <c r="OT137" s="682" t="e">
        <f t="shared" si="903"/>
        <v>#DIV/0!</v>
      </c>
      <c r="OU137" s="691" t="e">
        <f t="shared" si="903"/>
        <v>#DIV/0!</v>
      </c>
      <c r="OV137" s="695" t="e">
        <f t="shared" si="903"/>
        <v>#DIV/0!</v>
      </c>
      <c r="OW137" s="599" t="e">
        <f t="shared" si="903"/>
        <v>#DIV/0!</v>
      </c>
      <c r="OX137" s="652" t="e">
        <f t="shared" si="903"/>
        <v>#DIV/0!</v>
      </c>
      <c r="OY137" s="652" t="s">
        <v>93</v>
      </c>
      <c r="OZ137" s="599">
        <f t="shared" ref="OZ137:PO137" si="904">STDEVA(OZ126:OZ135)</f>
        <v>0</v>
      </c>
      <c r="PA137" s="652" t="e">
        <f t="shared" si="904"/>
        <v>#DIV/0!</v>
      </c>
      <c r="PB137" s="675" t="e">
        <f t="shared" si="904"/>
        <v>#DIV/0!</v>
      </c>
      <c r="PC137" s="672" t="e">
        <f t="shared" si="904"/>
        <v>#DIV/0!</v>
      </c>
      <c r="PD137" s="672" t="e">
        <f t="shared" si="904"/>
        <v>#DIV/0!</v>
      </c>
      <c r="PE137" s="675" t="e">
        <f t="shared" si="904"/>
        <v>#DIV/0!</v>
      </c>
      <c r="PF137" s="672" t="e">
        <f t="shared" si="904"/>
        <v>#DIV/0!</v>
      </c>
      <c r="PG137" s="672" t="e">
        <f t="shared" si="904"/>
        <v>#DIV/0!</v>
      </c>
      <c r="PH137" s="672" t="e">
        <f t="shared" si="904"/>
        <v>#DIV/0!</v>
      </c>
      <c r="PI137" s="672" t="e">
        <f t="shared" si="904"/>
        <v>#DIV/0!</v>
      </c>
      <c r="PJ137" s="676" t="e">
        <f t="shared" si="904"/>
        <v>#DIV/0!</v>
      </c>
      <c r="PK137" s="682" t="e">
        <f t="shared" si="904"/>
        <v>#DIV/0!</v>
      </c>
      <c r="PL137" s="691" t="e">
        <f t="shared" si="904"/>
        <v>#DIV/0!</v>
      </c>
      <c r="PM137" s="695" t="e">
        <f t="shared" si="904"/>
        <v>#DIV/0!</v>
      </c>
      <c r="PN137" s="599" t="e">
        <f t="shared" si="904"/>
        <v>#DIV/0!</v>
      </c>
      <c r="PO137" s="652" t="e">
        <f t="shared" si="904"/>
        <v>#DIV/0!</v>
      </c>
      <c r="PP137" s="652" t="s">
        <v>93</v>
      </c>
      <c r="PQ137" s="599">
        <f t="shared" ref="PQ137:QF137" si="905">STDEVA(PQ126:PQ135)</f>
        <v>0</v>
      </c>
      <c r="PR137" s="652" t="e">
        <f t="shared" si="905"/>
        <v>#DIV/0!</v>
      </c>
      <c r="PS137" s="675" t="e">
        <f t="shared" si="905"/>
        <v>#DIV/0!</v>
      </c>
      <c r="PT137" s="672" t="e">
        <f t="shared" si="905"/>
        <v>#DIV/0!</v>
      </c>
      <c r="PU137" s="672" t="e">
        <f t="shared" si="905"/>
        <v>#DIV/0!</v>
      </c>
      <c r="PV137" s="675" t="e">
        <f t="shared" si="905"/>
        <v>#DIV/0!</v>
      </c>
      <c r="PW137" s="672" t="e">
        <f t="shared" si="905"/>
        <v>#DIV/0!</v>
      </c>
      <c r="PX137" s="672" t="e">
        <f t="shared" si="905"/>
        <v>#DIV/0!</v>
      </c>
      <c r="PY137" s="672" t="e">
        <f t="shared" si="905"/>
        <v>#DIV/0!</v>
      </c>
      <c r="PZ137" s="672" t="e">
        <f t="shared" si="905"/>
        <v>#DIV/0!</v>
      </c>
      <c r="QA137" s="676" t="e">
        <f t="shared" si="905"/>
        <v>#DIV/0!</v>
      </c>
      <c r="QB137" s="682" t="e">
        <f t="shared" si="905"/>
        <v>#DIV/0!</v>
      </c>
      <c r="QC137" s="691" t="e">
        <f t="shared" si="905"/>
        <v>#DIV/0!</v>
      </c>
      <c r="QD137" s="695" t="e">
        <f t="shared" si="905"/>
        <v>#DIV/0!</v>
      </c>
      <c r="QE137" s="599" t="e">
        <f t="shared" si="905"/>
        <v>#DIV/0!</v>
      </c>
      <c r="QF137" s="652" t="e">
        <f t="shared" si="905"/>
        <v>#DIV/0!</v>
      </c>
      <c r="QG137" s="652" t="s">
        <v>93</v>
      </c>
      <c r="QH137" s="599">
        <f t="shared" ref="QH137:QW137" si="906">STDEVA(QH126:QH135)</f>
        <v>0</v>
      </c>
      <c r="QI137" s="652" t="e">
        <f t="shared" si="906"/>
        <v>#DIV/0!</v>
      </c>
      <c r="QJ137" s="675" t="e">
        <f t="shared" si="906"/>
        <v>#DIV/0!</v>
      </c>
      <c r="QK137" s="672" t="e">
        <f t="shared" si="906"/>
        <v>#DIV/0!</v>
      </c>
      <c r="QL137" s="672" t="e">
        <f t="shared" si="906"/>
        <v>#DIV/0!</v>
      </c>
      <c r="QM137" s="675" t="e">
        <f t="shared" si="906"/>
        <v>#DIV/0!</v>
      </c>
      <c r="QN137" s="672" t="e">
        <f t="shared" si="906"/>
        <v>#DIV/0!</v>
      </c>
      <c r="QO137" s="672" t="e">
        <f t="shared" si="906"/>
        <v>#DIV/0!</v>
      </c>
      <c r="QP137" s="672" t="e">
        <f t="shared" si="906"/>
        <v>#DIV/0!</v>
      </c>
      <c r="QQ137" s="672" t="e">
        <f t="shared" si="906"/>
        <v>#DIV/0!</v>
      </c>
      <c r="QR137" s="676" t="e">
        <f t="shared" si="906"/>
        <v>#DIV/0!</v>
      </c>
      <c r="QS137" s="682" t="e">
        <f t="shared" si="906"/>
        <v>#DIV/0!</v>
      </c>
      <c r="QT137" s="691" t="e">
        <f t="shared" si="906"/>
        <v>#DIV/0!</v>
      </c>
      <c r="QU137" s="619" t="e">
        <f t="shared" si="906"/>
        <v>#DIV/0!</v>
      </c>
      <c r="QV137" s="672" t="e">
        <f t="shared" si="906"/>
        <v>#DIV/0!</v>
      </c>
      <c r="QW137" s="652" t="e">
        <f t="shared" si="906"/>
        <v>#DIV/0!</v>
      </c>
      <c r="QX137" s="652" t="s">
        <v>93</v>
      </c>
      <c r="QY137" s="599">
        <f t="shared" ref="QY137:RN137" si="907">STDEVA(QY126:QY135)</f>
        <v>0</v>
      </c>
      <c r="QZ137" s="652" t="e">
        <f t="shared" si="907"/>
        <v>#DIV/0!</v>
      </c>
      <c r="RA137" s="675" t="e">
        <f t="shared" si="907"/>
        <v>#DIV/0!</v>
      </c>
      <c r="RB137" s="672" t="e">
        <f t="shared" si="907"/>
        <v>#DIV/0!</v>
      </c>
      <c r="RC137" s="672" t="e">
        <f t="shared" si="907"/>
        <v>#DIV/0!</v>
      </c>
      <c r="RD137" s="675" t="e">
        <f t="shared" si="907"/>
        <v>#DIV/0!</v>
      </c>
      <c r="RE137" s="672" t="e">
        <f t="shared" si="907"/>
        <v>#DIV/0!</v>
      </c>
      <c r="RF137" s="672" t="e">
        <f t="shared" si="907"/>
        <v>#DIV/0!</v>
      </c>
      <c r="RG137" s="672" t="e">
        <f t="shared" si="907"/>
        <v>#DIV/0!</v>
      </c>
      <c r="RH137" s="672" t="e">
        <f t="shared" si="907"/>
        <v>#DIV/0!</v>
      </c>
      <c r="RI137" s="676" t="e">
        <f t="shared" si="907"/>
        <v>#DIV/0!</v>
      </c>
      <c r="RJ137" s="682">
        <f t="shared" si="907"/>
        <v>4.8304589153965481E-2</v>
      </c>
      <c r="RK137" s="691">
        <f t="shared" si="907"/>
        <v>0.73786478737262184</v>
      </c>
      <c r="RL137" s="695">
        <f t="shared" si="907"/>
        <v>0</v>
      </c>
      <c r="RM137" s="599">
        <f t="shared" si="907"/>
        <v>7.9589223167740732E-14</v>
      </c>
      <c r="RN137" s="652">
        <f t="shared" si="907"/>
        <v>0</v>
      </c>
      <c r="RO137" s="652" t="s">
        <v>93</v>
      </c>
      <c r="RP137" s="599">
        <f t="shared" ref="RP137:SE137" si="908">STDEVA(RP126:RP135)</f>
        <v>0</v>
      </c>
      <c r="RQ137" s="652">
        <f t="shared" si="908"/>
        <v>0</v>
      </c>
      <c r="RR137" s="675" t="e">
        <f t="shared" si="908"/>
        <v>#VALUE!</v>
      </c>
      <c r="RS137" s="672" t="e">
        <f t="shared" si="908"/>
        <v>#VALUE!</v>
      </c>
      <c r="RT137" s="672" t="e">
        <f t="shared" si="908"/>
        <v>#VALUE!</v>
      </c>
      <c r="RU137" s="675" t="e">
        <f t="shared" si="908"/>
        <v>#VALUE!</v>
      </c>
      <c r="RV137" s="672" t="e">
        <f t="shared" si="908"/>
        <v>#VALUE!</v>
      </c>
      <c r="RW137" s="672" t="e">
        <f t="shared" si="908"/>
        <v>#VALUE!</v>
      </c>
      <c r="RX137" s="672" t="e">
        <f t="shared" si="908"/>
        <v>#VALUE!</v>
      </c>
      <c r="RY137" s="672" t="e">
        <f t="shared" si="908"/>
        <v>#VALUE!</v>
      </c>
      <c r="RZ137" s="676" t="e">
        <f t="shared" si="908"/>
        <v>#VALUE!</v>
      </c>
      <c r="SA137" s="682">
        <f t="shared" si="908"/>
        <v>4.8304589153965481E-2</v>
      </c>
      <c r="SB137" s="691">
        <f t="shared" si="908"/>
        <v>0.73786478737262184</v>
      </c>
      <c r="SC137" s="695">
        <f t="shared" si="908"/>
        <v>0</v>
      </c>
      <c r="SD137" s="599">
        <f t="shared" si="908"/>
        <v>3.8658045015811833E-13</v>
      </c>
      <c r="SE137" s="652">
        <f t="shared" si="908"/>
        <v>0</v>
      </c>
      <c r="SF137" s="652" t="s">
        <v>93</v>
      </c>
      <c r="SG137" s="599">
        <f t="shared" ref="SG137:SV137" si="909">STDEVA(SG126:SG135)</f>
        <v>0</v>
      </c>
      <c r="SH137" s="652">
        <f t="shared" si="909"/>
        <v>0</v>
      </c>
      <c r="SI137" s="675" t="e">
        <f t="shared" si="909"/>
        <v>#VALUE!</v>
      </c>
      <c r="SJ137" s="672" t="e">
        <f t="shared" si="909"/>
        <v>#VALUE!</v>
      </c>
      <c r="SK137" s="672" t="e">
        <f t="shared" si="909"/>
        <v>#VALUE!</v>
      </c>
      <c r="SL137" s="675" t="e">
        <f t="shared" si="909"/>
        <v>#VALUE!</v>
      </c>
      <c r="SM137" s="672" t="e">
        <f t="shared" si="909"/>
        <v>#VALUE!</v>
      </c>
      <c r="SN137" s="672" t="e">
        <f t="shared" si="909"/>
        <v>#VALUE!</v>
      </c>
      <c r="SO137" s="672" t="e">
        <f t="shared" si="909"/>
        <v>#VALUE!</v>
      </c>
      <c r="SP137" s="672" t="e">
        <f t="shared" si="909"/>
        <v>#VALUE!</v>
      </c>
      <c r="SQ137" s="676" t="e">
        <f t="shared" si="909"/>
        <v>#VALUE!</v>
      </c>
      <c r="SR137" s="682" t="e">
        <f t="shared" si="909"/>
        <v>#DIV/0!</v>
      </c>
      <c r="SS137" s="691" t="e">
        <f t="shared" si="909"/>
        <v>#DIV/0!</v>
      </c>
      <c r="ST137" s="695" t="e">
        <f t="shared" si="909"/>
        <v>#DIV/0!</v>
      </c>
      <c r="SU137" s="599" t="e">
        <f t="shared" si="909"/>
        <v>#DIV/0!</v>
      </c>
      <c r="SV137" s="652" t="e">
        <f t="shared" si="909"/>
        <v>#DIV/0!</v>
      </c>
      <c r="SW137" s="652" t="s">
        <v>93</v>
      </c>
      <c r="SX137" s="599">
        <f t="shared" ref="SX137:TM137" si="910">STDEVA(SX126:SX135)</f>
        <v>0</v>
      </c>
      <c r="SY137" s="652" t="e">
        <f t="shared" si="910"/>
        <v>#DIV/0!</v>
      </c>
      <c r="SZ137" s="675" t="e">
        <f t="shared" si="910"/>
        <v>#DIV/0!</v>
      </c>
      <c r="TA137" s="672" t="e">
        <f t="shared" si="910"/>
        <v>#DIV/0!</v>
      </c>
      <c r="TB137" s="672" t="e">
        <f t="shared" si="910"/>
        <v>#DIV/0!</v>
      </c>
      <c r="TC137" s="675" t="e">
        <f t="shared" si="910"/>
        <v>#DIV/0!</v>
      </c>
      <c r="TD137" s="672" t="e">
        <f t="shared" si="910"/>
        <v>#DIV/0!</v>
      </c>
      <c r="TE137" s="672" t="e">
        <f t="shared" si="910"/>
        <v>#DIV/0!</v>
      </c>
      <c r="TF137" s="672" t="e">
        <f t="shared" si="910"/>
        <v>#DIV/0!</v>
      </c>
      <c r="TG137" s="672" t="e">
        <f t="shared" si="910"/>
        <v>#DIV/0!</v>
      </c>
      <c r="TH137" s="676" t="e">
        <f t="shared" si="910"/>
        <v>#DIV/0!</v>
      </c>
      <c r="TI137" s="682">
        <f t="shared" si="910"/>
        <v>6.9920589878010184E-2</v>
      </c>
      <c r="TJ137" s="691">
        <f t="shared" si="910"/>
        <v>0.48304589153964789</v>
      </c>
      <c r="TK137" s="695">
        <f t="shared" si="910"/>
        <v>0</v>
      </c>
      <c r="TL137" s="599">
        <f t="shared" si="910"/>
        <v>4.6904157598234116E-14</v>
      </c>
      <c r="TM137" s="652">
        <f t="shared" si="910"/>
        <v>0</v>
      </c>
      <c r="TN137" s="652" t="s">
        <v>93</v>
      </c>
      <c r="TO137" s="599">
        <f t="shared" ref="TO137:TY137" si="911">STDEVA(TO126:TO135)</f>
        <v>0</v>
      </c>
      <c r="TP137" s="652">
        <f t="shared" si="911"/>
        <v>0</v>
      </c>
      <c r="TQ137" s="675" t="e">
        <f t="shared" si="911"/>
        <v>#VALUE!</v>
      </c>
      <c r="TR137" s="672" t="e">
        <f t="shared" si="911"/>
        <v>#VALUE!</v>
      </c>
      <c r="TS137" s="672" t="e">
        <f t="shared" si="911"/>
        <v>#VALUE!</v>
      </c>
      <c r="TT137" s="675" t="e">
        <f t="shared" si="911"/>
        <v>#VALUE!</v>
      </c>
      <c r="TU137" s="672" t="e">
        <f t="shared" si="911"/>
        <v>#VALUE!</v>
      </c>
      <c r="TV137" s="672" t="e">
        <f t="shared" si="911"/>
        <v>#VALUE!</v>
      </c>
      <c r="TW137" s="672" t="e">
        <f t="shared" si="911"/>
        <v>#VALUE!</v>
      </c>
      <c r="TX137" s="672" t="e">
        <f t="shared" si="911"/>
        <v>#VALUE!</v>
      </c>
      <c r="TY137" s="676" t="e">
        <f t="shared" si="911"/>
        <v>#VALUE!</v>
      </c>
    </row>
    <row r="138" spans="1:545" x14ac:dyDescent="0.25">
      <c r="A138" s="1537" t="s">
        <v>63</v>
      </c>
      <c r="B138" s="688"/>
      <c r="C138" s="619"/>
      <c r="D138" s="619"/>
      <c r="E138" s="672"/>
      <c r="F138" s="619"/>
      <c r="G138" s="619"/>
      <c r="H138" s="672"/>
      <c r="I138" s="619"/>
      <c r="J138" s="675"/>
      <c r="K138" s="672"/>
      <c r="L138" s="672"/>
      <c r="M138" s="675"/>
      <c r="N138" s="672"/>
      <c r="O138" s="672"/>
      <c r="P138" s="672"/>
      <c r="Q138" s="672"/>
      <c r="R138" s="676"/>
      <c r="S138" s="1538" t="e">
        <f t="shared" ref="S138:W138" si="912">S137/S136*100</f>
        <v>#DIV/0!</v>
      </c>
      <c r="T138" s="1538" t="e">
        <f t="shared" si="912"/>
        <v>#DIV/0!</v>
      </c>
      <c r="U138" s="1539" t="e">
        <f t="shared" si="912"/>
        <v>#DIV/0!</v>
      </c>
      <c r="V138" s="672" t="e">
        <f t="shared" si="912"/>
        <v>#DIV/0!</v>
      </c>
      <c r="W138" s="619" t="e">
        <f t="shared" si="912"/>
        <v>#DIV/0!</v>
      </c>
      <c r="X138" s="619" t="s">
        <v>93</v>
      </c>
      <c r="Y138" s="672" t="e">
        <f t="shared" ref="Y138:AN138" si="913">Y137/Y136*100</f>
        <v>#DIV/0!</v>
      </c>
      <c r="Z138" s="619" t="e">
        <f t="shared" si="913"/>
        <v>#DIV/0!</v>
      </c>
      <c r="AA138" s="675" t="e">
        <f t="shared" si="913"/>
        <v>#DIV/0!</v>
      </c>
      <c r="AB138" s="672" t="e">
        <f t="shared" si="913"/>
        <v>#DIV/0!</v>
      </c>
      <c r="AC138" s="672" t="e">
        <f t="shared" si="913"/>
        <v>#DIV/0!</v>
      </c>
      <c r="AD138" s="675" t="e">
        <f t="shared" si="913"/>
        <v>#DIV/0!</v>
      </c>
      <c r="AE138" s="672" t="e">
        <f t="shared" si="913"/>
        <v>#DIV/0!</v>
      </c>
      <c r="AF138" s="672" t="e">
        <f t="shared" si="913"/>
        <v>#DIV/0!</v>
      </c>
      <c r="AG138" s="672" t="e">
        <f t="shared" si="913"/>
        <v>#DIV/0!</v>
      </c>
      <c r="AH138" s="672" t="e">
        <f t="shared" si="913"/>
        <v>#DIV/0!</v>
      </c>
      <c r="AI138" s="676" t="e">
        <f t="shared" si="913"/>
        <v>#DIV/0!</v>
      </c>
      <c r="AJ138" s="1538" t="e">
        <f t="shared" si="913"/>
        <v>#DIV/0!</v>
      </c>
      <c r="AK138" s="1538" t="e">
        <f t="shared" si="913"/>
        <v>#DIV/0!</v>
      </c>
      <c r="AL138" s="1539" t="e">
        <f t="shared" si="913"/>
        <v>#DIV/0!</v>
      </c>
      <c r="AM138" s="672" t="e">
        <f t="shared" si="913"/>
        <v>#DIV/0!</v>
      </c>
      <c r="AN138" s="619" t="e">
        <f t="shared" si="913"/>
        <v>#DIV/0!</v>
      </c>
      <c r="AO138" s="619" t="s">
        <v>93</v>
      </c>
      <c r="AP138" s="672" t="e">
        <f t="shared" ref="AP138:BE138" si="914">AP137/AP136*100</f>
        <v>#DIV/0!</v>
      </c>
      <c r="AQ138" s="619" t="e">
        <f t="shared" si="914"/>
        <v>#DIV/0!</v>
      </c>
      <c r="AR138" s="675" t="e">
        <f t="shared" si="914"/>
        <v>#DIV/0!</v>
      </c>
      <c r="AS138" s="672" t="e">
        <f t="shared" si="914"/>
        <v>#DIV/0!</v>
      </c>
      <c r="AT138" s="672" t="e">
        <f t="shared" si="914"/>
        <v>#DIV/0!</v>
      </c>
      <c r="AU138" s="675" t="e">
        <f t="shared" si="914"/>
        <v>#DIV/0!</v>
      </c>
      <c r="AV138" s="672" t="e">
        <f t="shared" si="914"/>
        <v>#DIV/0!</v>
      </c>
      <c r="AW138" s="672" t="e">
        <f t="shared" si="914"/>
        <v>#DIV/0!</v>
      </c>
      <c r="AX138" s="672" t="e">
        <f t="shared" si="914"/>
        <v>#DIV/0!</v>
      </c>
      <c r="AY138" s="672" t="e">
        <f t="shared" si="914"/>
        <v>#DIV/0!</v>
      </c>
      <c r="AZ138" s="676" t="e">
        <f t="shared" si="914"/>
        <v>#DIV/0!</v>
      </c>
      <c r="BA138" s="688">
        <f t="shared" si="914"/>
        <v>0.57348481848057464</v>
      </c>
      <c r="BB138" s="1538">
        <f t="shared" si="914"/>
        <v>2.2979251434507955</v>
      </c>
      <c r="BC138" s="1539">
        <f t="shared" si="914"/>
        <v>0</v>
      </c>
      <c r="BD138" s="672">
        <f t="shared" si="914"/>
        <v>-3.3093021216843953E-2</v>
      </c>
      <c r="BE138" s="619">
        <f t="shared" si="914"/>
        <v>0</v>
      </c>
      <c r="BF138" s="619" t="s">
        <v>93</v>
      </c>
      <c r="BG138" s="672" t="e">
        <f t="shared" ref="BG138:BV138" si="915">BG137/BG136*100</f>
        <v>#DIV/0!</v>
      </c>
      <c r="BH138" s="619" t="e">
        <f t="shared" si="915"/>
        <v>#DIV/0!</v>
      </c>
      <c r="BI138" s="675" t="e">
        <f t="shared" si="915"/>
        <v>#VALUE!</v>
      </c>
      <c r="BJ138" s="672" t="e">
        <f t="shared" si="915"/>
        <v>#VALUE!</v>
      </c>
      <c r="BK138" s="672" t="e">
        <f t="shared" si="915"/>
        <v>#VALUE!</v>
      </c>
      <c r="BL138" s="675" t="e">
        <f t="shared" si="915"/>
        <v>#VALUE!</v>
      </c>
      <c r="BM138" s="672" t="e">
        <f t="shared" si="915"/>
        <v>#VALUE!</v>
      </c>
      <c r="BN138" s="672" t="e">
        <f t="shared" si="915"/>
        <v>#VALUE!</v>
      </c>
      <c r="BO138" s="672" t="e">
        <f t="shared" si="915"/>
        <v>#VALUE!</v>
      </c>
      <c r="BP138" s="672" t="e">
        <f t="shared" si="915"/>
        <v>#VALUE!</v>
      </c>
      <c r="BQ138" s="676" t="e">
        <f t="shared" si="915"/>
        <v>#VALUE!</v>
      </c>
      <c r="BR138" s="688">
        <f t="shared" si="915"/>
        <v>0.45985617937494494</v>
      </c>
      <c r="BS138" s="1538">
        <f t="shared" si="915"/>
        <v>2.6677808605160189</v>
      </c>
      <c r="BT138" s="1539">
        <f t="shared" si="915"/>
        <v>0</v>
      </c>
      <c r="BU138" s="672">
        <f t="shared" si="915"/>
        <v>-0.42600738132825344</v>
      </c>
      <c r="BV138" s="619">
        <f t="shared" si="915"/>
        <v>0</v>
      </c>
      <c r="BW138" s="619" t="s">
        <v>93</v>
      </c>
      <c r="BX138" s="672" t="e">
        <f t="shared" ref="BX138:CM138" si="916">BX137/BX136*100</f>
        <v>#DIV/0!</v>
      </c>
      <c r="BY138" s="619" t="e">
        <f t="shared" si="916"/>
        <v>#DIV/0!</v>
      </c>
      <c r="BZ138" s="675" t="e">
        <f t="shared" si="916"/>
        <v>#VALUE!</v>
      </c>
      <c r="CA138" s="672" t="e">
        <f t="shared" si="916"/>
        <v>#VALUE!</v>
      </c>
      <c r="CB138" s="672" t="e">
        <f t="shared" si="916"/>
        <v>#VALUE!</v>
      </c>
      <c r="CC138" s="675" t="e">
        <f t="shared" si="916"/>
        <v>#VALUE!</v>
      </c>
      <c r="CD138" s="672" t="e">
        <f t="shared" si="916"/>
        <v>#VALUE!</v>
      </c>
      <c r="CE138" s="672" t="e">
        <f t="shared" si="916"/>
        <v>#VALUE!</v>
      </c>
      <c r="CF138" s="672" t="e">
        <f t="shared" si="916"/>
        <v>#VALUE!</v>
      </c>
      <c r="CG138" s="672" t="e">
        <f t="shared" si="916"/>
        <v>#VALUE!</v>
      </c>
      <c r="CH138" s="676" t="e">
        <f t="shared" si="916"/>
        <v>#VALUE!</v>
      </c>
      <c r="CI138" s="688">
        <f t="shared" si="916"/>
        <v>0.57369882247178294</v>
      </c>
      <c r="CJ138" s="1538">
        <f t="shared" si="916"/>
        <v>2.2747825402660213</v>
      </c>
      <c r="CK138" s="1539">
        <f t="shared" si="916"/>
        <v>0</v>
      </c>
      <c r="CL138" s="672">
        <f t="shared" si="916"/>
        <v>-2.3904894563442129E-2</v>
      </c>
      <c r="CM138" s="619">
        <f t="shared" si="916"/>
        <v>0</v>
      </c>
      <c r="CN138" s="619" t="s">
        <v>93</v>
      </c>
      <c r="CO138" s="672" t="e">
        <f t="shared" ref="CO138:DD138" si="917">CO137/CO136*100</f>
        <v>#DIV/0!</v>
      </c>
      <c r="CP138" s="619" t="e">
        <f t="shared" si="917"/>
        <v>#DIV/0!</v>
      </c>
      <c r="CQ138" s="675" t="e">
        <f t="shared" si="917"/>
        <v>#VALUE!</v>
      </c>
      <c r="CR138" s="672" t="e">
        <f t="shared" si="917"/>
        <v>#VALUE!</v>
      </c>
      <c r="CS138" s="672" t="e">
        <f t="shared" si="917"/>
        <v>#VALUE!</v>
      </c>
      <c r="CT138" s="675" t="e">
        <f t="shared" si="917"/>
        <v>#VALUE!</v>
      </c>
      <c r="CU138" s="672" t="e">
        <f t="shared" si="917"/>
        <v>#VALUE!</v>
      </c>
      <c r="CV138" s="672" t="e">
        <f t="shared" si="917"/>
        <v>#VALUE!</v>
      </c>
      <c r="CW138" s="672" t="e">
        <f t="shared" si="917"/>
        <v>#VALUE!</v>
      </c>
      <c r="CX138" s="672" t="e">
        <f t="shared" si="917"/>
        <v>#VALUE!</v>
      </c>
      <c r="CY138" s="676" t="e">
        <f t="shared" si="917"/>
        <v>#VALUE!</v>
      </c>
      <c r="CZ138" s="688" t="e">
        <f t="shared" si="917"/>
        <v>#DIV/0!</v>
      </c>
      <c r="DA138" s="1538" t="e">
        <f t="shared" si="917"/>
        <v>#DIV/0!</v>
      </c>
      <c r="DB138" s="1539" t="e">
        <f t="shared" si="917"/>
        <v>#DIV/0!</v>
      </c>
      <c r="DC138" s="672" t="e">
        <f t="shared" si="917"/>
        <v>#DIV/0!</v>
      </c>
      <c r="DD138" s="619" t="e">
        <f t="shared" si="917"/>
        <v>#DIV/0!</v>
      </c>
      <c r="DE138" s="619" t="s">
        <v>93</v>
      </c>
      <c r="DF138" s="672" t="e">
        <f t="shared" ref="DF138:DU138" si="918">DF137/DF136*100</f>
        <v>#DIV/0!</v>
      </c>
      <c r="DG138" s="619" t="e">
        <f t="shared" si="918"/>
        <v>#DIV/0!</v>
      </c>
      <c r="DH138" s="675" t="e">
        <f t="shared" si="918"/>
        <v>#DIV/0!</v>
      </c>
      <c r="DI138" s="672" t="e">
        <f t="shared" si="918"/>
        <v>#DIV/0!</v>
      </c>
      <c r="DJ138" s="672" t="e">
        <f t="shared" si="918"/>
        <v>#DIV/0!</v>
      </c>
      <c r="DK138" s="675" t="e">
        <f t="shared" si="918"/>
        <v>#DIV/0!</v>
      </c>
      <c r="DL138" s="672" t="e">
        <f t="shared" si="918"/>
        <v>#DIV/0!</v>
      </c>
      <c r="DM138" s="672" t="e">
        <f t="shared" si="918"/>
        <v>#DIV/0!</v>
      </c>
      <c r="DN138" s="672" t="e">
        <f t="shared" si="918"/>
        <v>#DIV/0!</v>
      </c>
      <c r="DO138" s="672" t="e">
        <f t="shared" si="918"/>
        <v>#DIV/0!</v>
      </c>
      <c r="DP138" s="676" t="e">
        <f t="shared" si="918"/>
        <v>#DIV/0!</v>
      </c>
      <c r="DQ138" s="688" t="e">
        <f t="shared" si="918"/>
        <v>#DIV/0!</v>
      </c>
      <c r="DR138" s="1538" t="e">
        <f t="shared" si="918"/>
        <v>#DIV/0!</v>
      </c>
      <c r="DS138" s="1539" t="e">
        <f t="shared" si="918"/>
        <v>#DIV/0!</v>
      </c>
      <c r="DT138" s="674" t="e">
        <f t="shared" si="918"/>
        <v>#DIV/0!</v>
      </c>
      <c r="DU138" s="619" t="e">
        <f t="shared" si="918"/>
        <v>#DIV/0!</v>
      </c>
      <c r="DV138" s="619" t="s">
        <v>93</v>
      </c>
      <c r="DW138" s="672" t="e">
        <f t="shared" ref="DW138:EL138" si="919">DW137/DW136*100</f>
        <v>#DIV/0!</v>
      </c>
      <c r="DX138" s="619" t="e">
        <f t="shared" si="919"/>
        <v>#DIV/0!</v>
      </c>
      <c r="DY138" s="675" t="e">
        <f t="shared" si="919"/>
        <v>#DIV/0!</v>
      </c>
      <c r="DZ138" s="672" t="e">
        <f t="shared" si="919"/>
        <v>#DIV/0!</v>
      </c>
      <c r="EA138" s="672" t="e">
        <f t="shared" si="919"/>
        <v>#DIV/0!</v>
      </c>
      <c r="EB138" s="675" t="e">
        <f t="shared" si="919"/>
        <v>#DIV/0!</v>
      </c>
      <c r="EC138" s="672" t="e">
        <f t="shared" si="919"/>
        <v>#DIV/0!</v>
      </c>
      <c r="ED138" s="672" t="e">
        <f t="shared" si="919"/>
        <v>#DIV/0!</v>
      </c>
      <c r="EE138" s="672" t="e">
        <f t="shared" si="919"/>
        <v>#DIV/0!</v>
      </c>
      <c r="EF138" s="672" t="e">
        <f t="shared" si="919"/>
        <v>#DIV/0!</v>
      </c>
      <c r="EG138" s="676" t="e">
        <f t="shared" si="919"/>
        <v>#DIV/0!</v>
      </c>
      <c r="EH138" s="688">
        <f t="shared" si="919"/>
        <v>0.7429955761847834</v>
      </c>
      <c r="EI138" s="1538">
        <f t="shared" si="919"/>
        <v>1.8510958396334285</v>
      </c>
      <c r="EJ138" s="1539">
        <f t="shared" si="919"/>
        <v>0</v>
      </c>
      <c r="EK138" s="672">
        <f t="shared" si="919"/>
        <v>-78.718306867035409</v>
      </c>
      <c r="EL138" s="619">
        <f t="shared" si="919"/>
        <v>0</v>
      </c>
      <c r="EM138" s="619" t="s">
        <v>93</v>
      </c>
      <c r="EN138" s="672" t="e">
        <f t="shared" ref="EN138:FC138" si="920">EN137/EN136*100</f>
        <v>#DIV/0!</v>
      </c>
      <c r="EO138" s="619" t="e">
        <f t="shared" si="920"/>
        <v>#DIV/0!</v>
      </c>
      <c r="EP138" s="675" t="e">
        <f t="shared" si="920"/>
        <v>#VALUE!</v>
      </c>
      <c r="EQ138" s="672" t="e">
        <f t="shared" si="920"/>
        <v>#VALUE!</v>
      </c>
      <c r="ER138" s="672" t="e">
        <f t="shared" si="920"/>
        <v>#VALUE!</v>
      </c>
      <c r="ES138" s="675" t="e">
        <f t="shared" si="920"/>
        <v>#VALUE!</v>
      </c>
      <c r="ET138" s="672" t="e">
        <f t="shared" si="920"/>
        <v>#VALUE!</v>
      </c>
      <c r="EU138" s="672" t="e">
        <f t="shared" si="920"/>
        <v>#VALUE!</v>
      </c>
      <c r="EV138" s="672" t="e">
        <f t="shared" si="920"/>
        <v>#VALUE!</v>
      </c>
      <c r="EW138" s="672" t="e">
        <f t="shared" si="920"/>
        <v>#VALUE!</v>
      </c>
      <c r="EX138" s="676" t="e">
        <f t="shared" si="920"/>
        <v>#VALUE!</v>
      </c>
      <c r="EY138" s="688" t="e">
        <f t="shared" si="920"/>
        <v>#DIV/0!</v>
      </c>
      <c r="EZ138" s="1538" t="e">
        <f t="shared" si="920"/>
        <v>#DIV/0!</v>
      </c>
      <c r="FA138" s="1539" t="e">
        <f t="shared" si="920"/>
        <v>#DIV/0!</v>
      </c>
      <c r="FB138" s="672" t="e">
        <f t="shared" si="920"/>
        <v>#DIV/0!</v>
      </c>
      <c r="FC138" s="619" t="e">
        <f t="shared" si="920"/>
        <v>#DIV/0!</v>
      </c>
      <c r="FD138" s="619" t="s">
        <v>93</v>
      </c>
      <c r="FE138" s="672" t="e">
        <f t="shared" ref="FE138:FT138" si="921">FE137/FE136*100</f>
        <v>#DIV/0!</v>
      </c>
      <c r="FF138" s="619" t="e">
        <f t="shared" si="921"/>
        <v>#DIV/0!</v>
      </c>
      <c r="FG138" s="675" t="e">
        <f t="shared" si="921"/>
        <v>#DIV/0!</v>
      </c>
      <c r="FH138" s="672" t="e">
        <f t="shared" si="921"/>
        <v>#DIV/0!</v>
      </c>
      <c r="FI138" s="672" t="e">
        <f t="shared" si="921"/>
        <v>#DIV/0!</v>
      </c>
      <c r="FJ138" s="675" t="e">
        <f t="shared" si="921"/>
        <v>#DIV/0!</v>
      </c>
      <c r="FK138" s="672" t="e">
        <f t="shared" si="921"/>
        <v>#DIV/0!</v>
      </c>
      <c r="FL138" s="672" t="e">
        <f t="shared" si="921"/>
        <v>#DIV/0!</v>
      </c>
      <c r="FM138" s="672" t="e">
        <f t="shared" si="921"/>
        <v>#DIV/0!</v>
      </c>
      <c r="FN138" s="672" t="e">
        <f t="shared" si="921"/>
        <v>#DIV/0!</v>
      </c>
      <c r="FO138" s="676" t="e">
        <f t="shared" si="921"/>
        <v>#DIV/0!</v>
      </c>
      <c r="FP138" s="688" t="e">
        <f t="shared" si="921"/>
        <v>#DIV/0!</v>
      </c>
      <c r="FQ138" s="1538" t="e">
        <f t="shared" si="921"/>
        <v>#DIV/0!</v>
      </c>
      <c r="FR138" s="1539" t="e">
        <f t="shared" si="921"/>
        <v>#DIV/0!</v>
      </c>
      <c r="FS138" s="672" t="e">
        <f t="shared" si="921"/>
        <v>#DIV/0!</v>
      </c>
      <c r="FT138" s="619" t="e">
        <f t="shared" si="921"/>
        <v>#DIV/0!</v>
      </c>
      <c r="FU138" s="619" t="s">
        <v>93</v>
      </c>
      <c r="FV138" s="672" t="e">
        <f t="shared" ref="FV138:GK138" si="922">FV137/FV136*100</f>
        <v>#DIV/0!</v>
      </c>
      <c r="FW138" s="619" t="e">
        <f t="shared" si="922"/>
        <v>#DIV/0!</v>
      </c>
      <c r="FX138" s="675" t="e">
        <f t="shared" si="922"/>
        <v>#DIV/0!</v>
      </c>
      <c r="FY138" s="672" t="e">
        <f t="shared" si="922"/>
        <v>#DIV/0!</v>
      </c>
      <c r="FZ138" s="672" t="e">
        <f t="shared" si="922"/>
        <v>#DIV/0!</v>
      </c>
      <c r="GA138" s="675" t="e">
        <f t="shared" si="922"/>
        <v>#DIV/0!</v>
      </c>
      <c r="GB138" s="672" t="e">
        <f t="shared" si="922"/>
        <v>#DIV/0!</v>
      </c>
      <c r="GC138" s="672" t="e">
        <f t="shared" si="922"/>
        <v>#DIV/0!</v>
      </c>
      <c r="GD138" s="672" t="e">
        <f t="shared" si="922"/>
        <v>#DIV/0!</v>
      </c>
      <c r="GE138" s="672" t="e">
        <f t="shared" si="922"/>
        <v>#DIV/0!</v>
      </c>
      <c r="GF138" s="676" t="e">
        <f t="shared" si="922"/>
        <v>#DIV/0!</v>
      </c>
      <c r="GG138" s="688" t="e">
        <f t="shared" si="922"/>
        <v>#DIV/0!</v>
      </c>
      <c r="GH138" s="1538" t="e">
        <f t="shared" si="922"/>
        <v>#DIV/0!</v>
      </c>
      <c r="GI138" s="1539" t="e">
        <f t="shared" si="922"/>
        <v>#DIV/0!</v>
      </c>
      <c r="GJ138" s="674" t="e">
        <f t="shared" si="922"/>
        <v>#DIV/0!</v>
      </c>
      <c r="GK138" s="619" t="e">
        <f t="shared" si="922"/>
        <v>#DIV/0!</v>
      </c>
      <c r="GL138" s="619" t="s">
        <v>93</v>
      </c>
      <c r="GM138" s="672" t="e">
        <f t="shared" ref="GM138:HB138" si="923">GM137/GM136*100</f>
        <v>#DIV/0!</v>
      </c>
      <c r="GN138" s="619" t="e">
        <f t="shared" si="923"/>
        <v>#DIV/0!</v>
      </c>
      <c r="GO138" s="675" t="e">
        <f t="shared" si="923"/>
        <v>#DIV/0!</v>
      </c>
      <c r="GP138" s="672" t="e">
        <f t="shared" si="923"/>
        <v>#DIV/0!</v>
      </c>
      <c r="GQ138" s="672" t="e">
        <f t="shared" si="923"/>
        <v>#DIV/0!</v>
      </c>
      <c r="GR138" s="675" t="e">
        <f t="shared" si="923"/>
        <v>#DIV/0!</v>
      </c>
      <c r="GS138" s="672" t="e">
        <f t="shared" si="923"/>
        <v>#DIV/0!</v>
      </c>
      <c r="GT138" s="672" t="e">
        <f t="shared" si="923"/>
        <v>#DIV/0!</v>
      </c>
      <c r="GU138" s="672" t="e">
        <f t="shared" si="923"/>
        <v>#DIV/0!</v>
      </c>
      <c r="GV138" s="672" t="e">
        <f t="shared" si="923"/>
        <v>#DIV/0!</v>
      </c>
      <c r="GW138" s="676" t="e">
        <f t="shared" si="923"/>
        <v>#DIV/0!</v>
      </c>
      <c r="GX138" s="688" t="e">
        <f t="shared" si="923"/>
        <v>#DIV/0!</v>
      </c>
      <c r="GY138" s="1538" t="e">
        <f t="shared" si="923"/>
        <v>#DIV/0!</v>
      </c>
      <c r="GZ138" s="1539" t="e">
        <f t="shared" si="923"/>
        <v>#DIV/0!</v>
      </c>
      <c r="HA138" s="672" t="e">
        <f t="shared" si="923"/>
        <v>#DIV/0!</v>
      </c>
      <c r="HB138" s="619" t="e">
        <f t="shared" si="923"/>
        <v>#DIV/0!</v>
      </c>
      <c r="HC138" s="619" t="s">
        <v>93</v>
      </c>
      <c r="HD138" s="672" t="e">
        <f t="shared" ref="HD138:HS138" si="924">HD137/HD136*100</f>
        <v>#DIV/0!</v>
      </c>
      <c r="HE138" s="619" t="e">
        <f t="shared" si="924"/>
        <v>#DIV/0!</v>
      </c>
      <c r="HF138" s="675" t="e">
        <f t="shared" si="924"/>
        <v>#DIV/0!</v>
      </c>
      <c r="HG138" s="672" t="e">
        <f t="shared" si="924"/>
        <v>#DIV/0!</v>
      </c>
      <c r="HH138" s="672" t="e">
        <f t="shared" si="924"/>
        <v>#DIV/0!</v>
      </c>
      <c r="HI138" s="675" t="e">
        <f t="shared" si="924"/>
        <v>#DIV/0!</v>
      </c>
      <c r="HJ138" s="672" t="e">
        <f t="shared" si="924"/>
        <v>#DIV/0!</v>
      </c>
      <c r="HK138" s="672" t="e">
        <f t="shared" si="924"/>
        <v>#DIV/0!</v>
      </c>
      <c r="HL138" s="672" t="e">
        <f t="shared" si="924"/>
        <v>#DIV/0!</v>
      </c>
      <c r="HM138" s="672" t="e">
        <f t="shared" si="924"/>
        <v>#DIV/0!</v>
      </c>
      <c r="HN138" s="676" t="e">
        <f t="shared" si="924"/>
        <v>#DIV/0!</v>
      </c>
      <c r="HO138" s="688" t="e">
        <f t="shared" si="924"/>
        <v>#DIV/0!</v>
      </c>
      <c r="HP138" s="1538" t="e">
        <f t="shared" si="924"/>
        <v>#DIV/0!</v>
      </c>
      <c r="HQ138" s="1539" t="e">
        <f t="shared" si="924"/>
        <v>#DIV/0!</v>
      </c>
      <c r="HR138" s="672" t="e">
        <f t="shared" si="924"/>
        <v>#DIV/0!</v>
      </c>
      <c r="HS138" s="619" t="e">
        <f t="shared" si="924"/>
        <v>#DIV/0!</v>
      </c>
      <c r="HT138" s="619" t="s">
        <v>93</v>
      </c>
      <c r="HU138" s="672" t="e">
        <f t="shared" ref="HU138:IJ138" si="925">HU137/HU136*100</f>
        <v>#DIV/0!</v>
      </c>
      <c r="HV138" s="619" t="e">
        <f t="shared" si="925"/>
        <v>#DIV/0!</v>
      </c>
      <c r="HW138" s="675" t="e">
        <f t="shared" si="925"/>
        <v>#DIV/0!</v>
      </c>
      <c r="HX138" s="672" t="e">
        <f t="shared" si="925"/>
        <v>#DIV/0!</v>
      </c>
      <c r="HY138" s="672" t="e">
        <f t="shared" si="925"/>
        <v>#DIV/0!</v>
      </c>
      <c r="HZ138" s="675" t="e">
        <f t="shared" si="925"/>
        <v>#DIV/0!</v>
      </c>
      <c r="IA138" s="672" t="e">
        <f t="shared" si="925"/>
        <v>#DIV/0!</v>
      </c>
      <c r="IB138" s="672" t="e">
        <f t="shared" si="925"/>
        <v>#DIV/0!</v>
      </c>
      <c r="IC138" s="672" t="e">
        <f t="shared" si="925"/>
        <v>#DIV/0!</v>
      </c>
      <c r="ID138" s="672" t="e">
        <f t="shared" si="925"/>
        <v>#DIV/0!</v>
      </c>
      <c r="IE138" s="676" t="e">
        <f t="shared" si="925"/>
        <v>#DIV/0!</v>
      </c>
      <c r="IF138" s="688" t="e">
        <f t="shared" si="925"/>
        <v>#DIV/0!</v>
      </c>
      <c r="IG138" s="1538" t="e">
        <f t="shared" si="925"/>
        <v>#DIV/0!</v>
      </c>
      <c r="IH138" s="1539" t="e">
        <f t="shared" si="925"/>
        <v>#DIV/0!</v>
      </c>
      <c r="II138" s="672" t="e">
        <f t="shared" si="925"/>
        <v>#DIV/0!</v>
      </c>
      <c r="IJ138" s="619" t="e">
        <f t="shared" si="925"/>
        <v>#DIV/0!</v>
      </c>
      <c r="IK138" s="619" t="s">
        <v>93</v>
      </c>
      <c r="IL138" s="672" t="e">
        <f t="shared" ref="IL138:JA138" si="926">IL137/IL136*100</f>
        <v>#DIV/0!</v>
      </c>
      <c r="IM138" s="619" t="e">
        <f t="shared" si="926"/>
        <v>#DIV/0!</v>
      </c>
      <c r="IN138" s="675" t="e">
        <f t="shared" si="926"/>
        <v>#DIV/0!</v>
      </c>
      <c r="IO138" s="672" t="e">
        <f t="shared" si="926"/>
        <v>#DIV/0!</v>
      </c>
      <c r="IP138" s="672" t="e">
        <f t="shared" si="926"/>
        <v>#DIV/0!</v>
      </c>
      <c r="IQ138" s="675" t="e">
        <f t="shared" si="926"/>
        <v>#DIV/0!</v>
      </c>
      <c r="IR138" s="672" t="e">
        <f t="shared" si="926"/>
        <v>#DIV/0!</v>
      </c>
      <c r="IS138" s="672" t="e">
        <f t="shared" si="926"/>
        <v>#DIV/0!</v>
      </c>
      <c r="IT138" s="672" t="e">
        <f t="shared" si="926"/>
        <v>#DIV/0!</v>
      </c>
      <c r="IU138" s="672" t="e">
        <f t="shared" si="926"/>
        <v>#DIV/0!</v>
      </c>
      <c r="IV138" s="676" t="e">
        <f t="shared" si="926"/>
        <v>#DIV/0!</v>
      </c>
      <c r="IW138" s="688" t="e">
        <f t="shared" si="926"/>
        <v>#DIV/0!</v>
      </c>
      <c r="IX138" s="1538" t="e">
        <f t="shared" si="926"/>
        <v>#DIV/0!</v>
      </c>
      <c r="IY138" s="1539" t="e">
        <f t="shared" si="926"/>
        <v>#DIV/0!</v>
      </c>
      <c r="IZ138" s="672" t="e">
        <f t="shared" si="926"/>
        <v>#DIV/0!</v>
      </c>
      <c r="JA138" s="619" t="e">
        <f t="shared" si="926"/>
        <v>#DIV/0!</v>
      </c>
      <c r="JB138" s="619" t="s">
        <v>93</v>
      </c>
      <c r="JC138" s="672" t="e">
        <f t="shared" ref="JC138:JR138" si="927">JC137/JC136*100</f>
        <v>#DIV/0!</v>
      </c>
      <c r="JD138" s="619" t="e">
        <f t="shared" si="927"/>
        <v>#DIV/0!</v>
      </c>
      <c r="JE138" s="675" t="e">
        <f t="shared" si="927"/>
        <v>#DIV/0!</v>
      </c>
      <c r="JF138" s="672" t="e">
        <f t="shared" si="927"/>
        <v>#DIV/0!</v>
      </c>
      <c r="JG138" s="672" t="e">
        <f t="shared" si="927"/>
        <v>#DIV/0!</v>
      </c>
      <c r="JH138" s="675" t="e">
        <f t="shared" si="927"/>
        <v>#DIV/0!</v>
      </c>
      <c r="JI138" s="672" t="e">
        <f t="shared" si="927"/>
        <v>#DIV/0!</v>
      </c>
      <c r="JJ138" s="672" t="e">
        <f t="shared" si="927"/>
        <v>#DIV/0!</v>
      </c>
      <c r="JK138" s="672" t="e">
        <f t="shared" si="927"/>
        <v>#DIV/0!</v>
      </c>
      <c r="JL138" s="672" t="e">
        <f t="shared" si="927"/>
        <v>#DIV/0!</v>
      </c>
      <c r="JM138" s="676" t="e">
        <f t="shared" si="927"/>
        <v>#DIV/0!</v>
      </c>
      <c r="JN138" s="688" t="e">
        <f t="shared" si="927"/>
        <v>#DIV/0!</v>
      </c>
      <c r="JO138" s="1538" t="e">
        <f t="shared" si="927"/>
        <v>#DIV/0!</v>
      </c>
      <c r="JP138" s="1539" t="e">
        <f t="shared" si="927"/>
        <v>#DIV/0!</v>
      </c>
      <c r="JQ138" s="672" t="e">
        <f t="shared" si="927"/>
        <v>#DIV/0!</v>
      </c>
      <c r="JR138" s="619" t="e">
        <f t="shared" si="927"/>
        <v>#DIV/0!</v>
      </c>
      <c r="JS138" s="619" t="s">
        <v>93</v>
      </c>
      <c r="JT138" s="672" t="e">
        <f t="shared" ref="JT138:KI138" si="928">JT137/JT136*100</f>
        <v>#DIV/0!</v>
      </c>
      <c r="JU138" s="619" t="e">
        <f t="shared" si="928"/>
        <v>#DIV/0!</v>
      </c>
      <c r="JV138" s="675" t="e">
        <f t="shared" si="928"/>
        <v>#DIV/0!</v>
      </c>
      <c r="JW138" s="672" t="e">
        <f t="shared" si="928"/>
        <v>#DIV/0!</v>
      </c>
      <c r="JX138" s="672" t="e">
        <f t="shared" si="928"/>
        <v>#DIV/0!</v>
      </c>
      <c r="JY138" s="675" t="e">
        <f t="shared" si="928"/>
        <v>#DIV/0!</v>
      </c>
      <c r="JZ138" s="672" t="e">
        <f t="shared" si="928"/>
        <v>#DIV/0!</v>
      </c>
      <c r="KA138" s="672" t="e">
        <f t="shared" si="928"/>
        <v>#DIV/0!</v>
      </c>
      <c r="KB138" s="672" t="e">
        <f t="shared" si="928"/>
        <v>#DIV/0!</v>
      </c>
      <c r="KC138" s="672" t="e">
        <f t="shared" si="928"/>
        <v>#DIV/0!</v>
      </c>
      <c r="KD138" s="676" t="e">
        <f t="shared" si="928"/>
        <v>#DIV/0!</v>
      </c>
      <c r="KE138" s="688" t="e">
        <f t="shared" si="928"/>
        <v>#DIV/0!</v>
      </c>
      <c r="KF138" s="1538" t="e">
        <f t="shared" si="928"/>
        <v>#DIV/0!</v>
      </c>
      <c r="KG138" s="1539" t="e">
        <f t="shared" si="928"/>
        <v>#DIV/0!</v>
      </c>
      <c r="KH138" s="672" t="e">
        <f t="shared" si="928"/>
        <v>#DIV/0!</v>
      </c>
      <c r="KI138" s="619" t="e">
        <f t="shared" si="928"/>
        <v>#DIV/0!</v>
      </c>
      <c r="KJ138" s="619" t="s">
        <v>93</v>
      </c>
      <c r="KK138" s="672" t="e">
        <f t="shared" ref="KK138:KZ138" si="929">KK137/KK136*100</f>
        <v>#DIV/0!</v>
      </c>
      <c r="KL138" s="619" t="e">
        <f t="shared" si="929"/>
        <v>#DIV/0!</v>
      </c>
      <c r="KM138" s="675" t="e">
        <f t="shared" si="929"/>
        <v>#DIV/0!</v>
      </c>
      <c r="KN138" s="672" t="e">
        <f t="shared" si="929"/>
        <v>#DIV/0!</v>
      </c>
      <c r="KO138" s="672" t="e">
        <f t="shared" si="929"/>
        <v>#DIV/0!</v>
      </c>
      <c r="KP138" s="675" t="e">
        <f t="shared" si="929"/>
        <v>#DIV/0!</v>
      </c>
      <c r="KQ138" s="672" t="e">
        <f t="shared" si="929"/>
        <v>#DIV/0!</v>
      </c>
      <c r="KR138" s="672" t="e">
        <f t="shared" si="929"/>
        <v>#DIV/0!</v>
      </c>
      <c r="KS138" s="672" t="e">
        <f t="shared" si="929"/>
        <v>#DIV/0!</v>
      </c>
      <c r="KT138" s="672" t="e">
        <f t="shared" si="929"/>
        <v>#DIV/0!</v>
      </c>
      <c r="KU138" s="676" t="e">
        <f t="shared" si="929"/>
        <v>#DIV/0!</v>
      </c>
      <c r="KV138" s="688" t="e">
        <f t="shared" si="929"/>
        <v>#DIV/0!</v>
      </c>
      <c r="KW138" s="1538" t="e">
        <f t="shared" si="929"/>
        <v>#DIV/0!</v>
      </c>
      <c r="KX138" s="1539" t="e">
        <f t="shared" si="929"/>
        <v>#DIV/0!</v>
      </c>
      <c r="KY138" s="672" t="e">
        <f t="shared" si="929"/>
        <v>#DIV/0!</v>
      </c>
      <c r="KZ138" s="619" t="e">
        <f t="shared" si="929"/>
        <v>#DIV/0!</v>
      </c>
      <c r="LA138" s="619" t="s">
        <v>93</v>
      </c>
      <c r="LB138" s="672" t="e">
        <f t="shared" ref="LB138:LQ138" si="930">LB137/LB136*100</f>
        <v>#DIV/0!</v>
      </c>
      <c r="LC138" s="619" t="e">
        <f t="shared" si="930"/>
        <v>#DIV/0!</v>
      </c>
      <c r="LD138" s="675" t="e">
        <f t="shared" si="930"/>
        <v>#DIV/0!</v>
      </c>
      <c r="LE138" s="672" t="e">
        <f t="shared" si="930"/>
        <v>#DIV/0!</v>
      </c>
      <c r="LF138" s="672" t="e">
        <f t="shared" si="930"/>
        <v>#DIV/0!</v>
      </c>
      <c r="LG138" s="675" t="e">
        <f t="shared" si="930"/>
        <v>#DIV/0!</v>
      </c>
      <c r="LH138" s="672" t="e">
        <f t="shared" si="930"/>
        <v>#DIV/0!</v>
      </c>
      <c r="LI138" s="672" t="e">
        <f t="shared" si="930"/>
        <v>#DIV/0!</v>
      </c>
      <c r="LJ138" s="672" t="e">
        <f t="shared" si="930"/>
        <v>#DIV/0!</v>
      </c>
      <c r="LK138" s="672" t="e">
        <f t="shared" si="930"/>
        <v>#DIV/0!</v>
      </c>
      <c r="LL138" s="676" t="e">
        <f t="shared" si="930"/>
        <v>#DIV/0!</v>
      </c>
      <c r="LM138" s="688" t="e">
        <f t="shared" si="930"/>
        <v>#DIV/0!</v>
      </c>
      <c r="LN138" s="1538" t="e">
        <f t="shared" si="930"/>
        <v>#DIV/0!</v>
      </c>
      <c r="LO138" s="1539" t="e">
        <f t="shared" si="930"/>
        <v>#DIV/0!</v>
      </c>
      <c r="LP138" s="672" t="e">
        <f t="shared" si="930"/>
        <v>#DIV/0!</v>
      </c>
      <c r="LQ138" s="619" t="e">
        <f t="shared" si="930"/>
        <v>#DIV/0!</v>
      </c>
      <c r="LR138" s="619" t="s">
        <v>93</v>
      </c>
      <c r="LS138" s="672" t="e">
        <f t="shared" ref="LS138:MH138" si="931">LS137/LS136*100</f>
        <v>#DIV/0!</v>
      </c>
      <c r="LT138" s="619" t="e">
        <f t="shared" si="931"/>
        <v>#DIV/0!</v>
      </c>
      <c r="LU138" s="675" t="e">
        <f t="shared" si="931"/>
        <v>#DIV/0!</v>
      </c>
      <c r="LV138" s="672" t="e">
        <f t="shared" si="931"/>
        <v>#DIV/0!</v>
      </c>
      <c r="LW138" s="672" t="e">
        <f t="shared" si="931"/>
        <v>#DIV/0!</v>
      </c>
      <c r="LX138" s="675" t="e">
        <f t="shared" si="931"/>
        <v>#DIV/0!</v>
      </c>
      <c r="LY138" s="672" t="e">
        <f t="shared" si="931"/>
        <v>#DIV/0!</v>
      </c>
      <c r="LZ138" s="672" t="e">
        <f t="shared" si="931"/>
        <v>#DIV/0!</v>
      </c>
      <c r="MA138" s="672" t="e">
        <f t="shared" si="931"/>
        <v>#DIV/0!</v>
      </c>
      <c r="MB138" s="672" t="e">
        <f t="shared" si="931"/>
        <v>#DIV/0!</v>
      </c>
      <c r="MC138" s="676" t="e">
        <f t="shared" si="931"/>
        <v>#DIV/0!</v>
      </c>
      <c r="MD138" s="688" t="e">
        <f t="shared" si="931"/>
        <v>#DIV/0!</v>
      </c>
      <c r="ME138" s="1538" t="e">
        <f t="shared" si="931"/>
        <v>#DIV/0!</v>
      </c>
      <c r="MF138" s="1539" t="e">
        <f t="shared" si="931"/>
        <v>#DIV/0!</v>
      </c>
      <c r="MG138" s="672" t="e">
        <f t="shared" si="931"/>
        <v>#DIV/0!</v>
      </c>
      <c r="MH138" s="619" t="e">
        <f t="shared" si="931"/>
        <v>#DIV/0!</v>
      </c>
      <c r="MI138" s="619" t="s">
        <v>93</v>
      </c>
      <c r="MJ138" s="672" t="e">
        <f t="shared" ref="MJ138:MY138" si="932">MJ137/MJ136*100</f>
        <v>#DIV/0!</v>
      </c>
      <c r="MK138" s="619" t="e">
        <f t="shared" si="932"/>
        <v>#DIV/0!</v>
      </c>
      <c r="ML138" s="675" t="e">
        <f t="shared" si="932"/>
        <v>#DIV/0!</v>
      </c>
      <c r="MM138" s="672" t="e">
        <f t="shared" si="932"/>
        <v>#DIV/0!</v>
      </c>
      <c r="MN138" s="672" t="e">
        <f t="shared" si="932"/>
        <v>#DIV/0!</v>
      </c>
      <c r="MO138" s="675" t="e">
        <f t="shared" si="932"/>
        <v>#DIV/0!</v>
      </c>
      <c r="MP138" s="672" t="e">
        <f t="shared" si="932"/>
        <v>#DIV/0!</v>
      </c>
      <c r="MQ138" s="672" t="e">
        <f t="shared" si="932"/>
        <v>#DIV/0!</v>
      </c>
      <c r="MR138" s="672" t="e">
        <f t="shared" si="932"/>
        <v>#DIV/0!</v>
      </c>
      <c r="MS138" s="672" t="e">
        <f t="shared" si="932"/>
        <v>#DIV/0!</v>
      </c>
      <c r="MT138" s="676" t="e">
        <f t="shared" si="932"/>
        <v>#DIV/0!</v>
      </c>
      <c r="MU138" s="688">
        <f t="shared" si="932"/>
        <v>0.65148246948331989</v>
      </c>
      <c r="MV138" s="1538">
        <f t="shared" si="932"/>
        <v>1.304488617127054</v>
      </c>
      <c r="MW138" s="1539">
        <f t="shared" si="932"/>
        <v>0</v>
      </c>
      <c r="MX138" s="672">
        <f t="shared" si="932"/>
        <v>-0.1768721302077291</v>
      </c>
      <c r="MY138" s="619">
        <f t="shared" si="932"/>
        <v>0</v>
      </c>
      <c r="MZ138" s="619" t="s">
        <v>93</v>
      </c>
      <c r="NA138" s="672" t="e">
        <f t="shared" ref="NA138:NP138" si="933">NA137/NA136*100</f>
        <v>#DIV/0!</v>
      </c>
      <c r="NB138" s="619" t="e">
        <f t="shared" si="933"/>
        <v>#DIV/0!</v>
      </c>
      <c r="NC138" s="675" t="e">
        <f t="shared" si="933"/>
        <v>#VALUE!</v>
      </c>
      <c r="ND138" s="672" t="e">
        <f t="shared" si="933"/>
        <v>#VALUE!</v>
      </c>
      <c r="NE138" s="672" t="e">
        <f t="shared" si="933"/>
        <v>#VALUE!</v>
      </c>
      <c r="NF138" s="675" t="e">
        <f t="shared" si="933"/>
        <v>#VALUE!</v>
      </c>
      <c r="NG138" s="672" t="e">
        <f t="shared" si="933"/>
        <v>#VALUE!</v>
      </c>
      <c r="NH138" s="672" t="e">
        <f t="shared" si="933"/>
        <v>#VALUE!</v>
      </c>
      <c r="NI138" s="672" t="e">
        <f t="shared" si="933"/>
        <v>#VALUE!</v>
      </c>
      <c r="NJ138" s="672" t="e">
        <f t="shared" si="933"/>
        <v>#VALUE!</v>
      </c>
      <c r="NK138" s="676" t="e">
        <f t="shared" si="933"/>
        <v>#VALUE!</v>
      </c>
      <c r="NL138" s="688" t="e">
        <f t="shared" si="933"/>
        <v>#DIV/0!</v>
      </c>
      <c r="NM138" s="1538" t="e">
        <f t="shared" si="933"/>
        <v>#DIV/0!</v>
      </c>
      <c r="NN138" s="1539" t="e">
        <f t="shared" si="933"/>
        <v>#DIV/0!</v>
      </c>
      <c r="NO138" s="672" t="e">
        <f t="shared" si="933"/>
        <v>#DIV/0!</v>
      </c>
      <c r="NP138" s="619" t="e">
        <f t="shared" si="933"/>
        <v>#DIV/0!</v>
      </c>
      <c r="NQ138" s="619" t="s">
        <v>93</v>
      </c>
      <c r="NR138" s="672" t="e">
        <f t="shared" ref="NR138:OG138" si="934">NR137/NR136*100</f>
        <v>#DIV/0!</v>
      </c>
      <c r="NS138" s="619" t="e">
        <f t="shared" si="934"/>
        <v>#DIV/0!</v>
      </c>
      <c r="NT138" s="675" t="e">
        <f t="shared" si="934"/>
        <v>#DIV/0!</v>
      </c>
      <c r="NU138" s="672" t="e">
        <f t="shared" si="934"/>
        <v>#DIV/0!</v>
      </c>
      <c r="NV138" s="672" t="e">
        <f t="shared" si="934"/>
        <v>#DIV/0!</v>
      </c>
      <c r="NW138" s="675" t="e">
        <f t="shared" si="934"/>
        <v>#DIV/0!</v>
      </c>
      <c r="NX138" s="672" t="e">
        <f t="shared" si="934"/>
        <v>#DIV/0!</v>
      </c>
      <c r="NY138" s="672" t="e">
        <f t="shared" si="934"/>
        <v>#DIV/0!</v>
      </c>
      <c r="NZ138" s="672" t="e">
        <f t="shared" si="934"/>
        <v>#DIV/0!</v>
      </c>
      <c r="OA138" s="672" t="e">
        <f t="shared" si="934"/>
        <v>#DIV/0!</v>
      </c>
      <c r="OB138" s="676" t="e">
        <f t="shared" si="934"/>
        <v>#DIV/0!</v>
      </c>
      <c r="OC138" s="688">
        <f t="shared" si="934"/>
        <v>0.277035730696708</v>
      </c>
      <c r="OD138" s="1538">
        <f t="shared" si="934"/>
        <v>1.4827267626816079</v>
      </c>
      <c r="OE138" s="1539">
        <f t="shared" si="934"/>
        <v>0</v>
      </c>
      <c r="OF138" s="672">
        <f t="shared" si="934"/>
        <v>-0.18880955638297869</v>
      </c>
      <c r="OG138" s="619">
        <f t="shared" si="934"/>
        <v>0</v>
      </c>
      <c r="OH138" s="619" t="s">
        <v>93</v>
      </c>
      <c r="OI138" s="672" t="e">
        <f t="shared" ref="OI138:OX138" si="935">OI137/OI136*100</f>
        <v>#DIV/0!</v>
      </c>
      <c r="OJ138" s="619" t="e">
        <f t="shared" si="935"/>
        <v>#DIV/0!</v>
      </c>
      <c r="OK138" s="675" t="e">
        <f t="shared" si="935"/>
        <v>#VALUE!</v>
      </c>
      <c r="OL138" s="672" t="e">
        <f t="shared" si="935"/>
        <v>#VALUE!</v>
      </c>
      <c r="OM138" s="672" t="e">
        <f t="shared" si="935"/>
        <v>#VALUE!</v>
      </c>
      <c r="ON138" s="675" t="e">
        <f t="shared" si="935"/>
        <v>#VALUE!</v>
      </c>
      <c r="OO138" s="672" t="e">
        <f t="shared" si="935"/>
        <v>#VALUE!</v>
      </c>
      <c r="OP138" s="672" t="e">
        <f t="shared" si="935"/>
        <v>#VALUE!</v>
      </c>
      <c r="OQ138" s="672" t="e">
        <f t="shared" si="935"/>
        <v>#VALUE!</v>
      </c>
      <c r="OR138" s="672" t="e">
        <f t="shared" si="935"/>
        <v>#VALUE!</v>
      </c>
      <c r="OS138" s="676" t="e">
        <f t="shared" si="935"/>
        <v>#VALUE!</v>
      </c>
      <c r="OT138" s="688" t="e">
        <f t="shared" si="935"/>
        <v>#DIV/0!</v>
      </c>
      <c r="OU138" s="1538" t="e">
        <f t="shared" si="935"/>
        <v>#DIV/0!</v>
      </c>
      <c r="OV138" s="1539" t="e">
        <f t="shared" si="935"/>
        <v>#DIV/0!</v>
      </c>
      <c r="OW138" s="672" t="e">
        <f t="shared" si="935"/>
        <v>#DIV/0!</v>
      </c>
      <c r="OX138" s="619" t="e">
        <f t="shared" si="935"/>
        <v>#DIV/0!</v>
      </c>
      <c r="OY138" s="619" t="s">
        <v>93</v>
      </c>
      <c r="OZ138" s="672" t="e">
        <f t="shared" ref="OZ138:PO138" si="936">OZ137/OZ136*100</f>
        <v>#DIV/0!</v>
      </c>
      <c r="PA138" s="619" t="e">
        <f t="shared" si="936"/>
        <v>#DIV/0!</v>
      </c>
      <c r="PB138" s="675" t="e">
        <f t="shared" si="936"/>
        <v>#DIV/0!</v>
      </c>
      <c r="PC138" s="672" t="e">
        <f t="shared" si="936"/>
        <v>#DIV/0!</v>
      </c>
      <c r="PD138" s="672" t="e">
        <f t="shared" si="936"/>
        <v>#DIV/0!</v>
      </c>
      <c r="PE138" s="675" t="e">
        <f t="shared" si="936"/>
        <v>#DIV/0!</v>
      </c>
      <c r="PF138" s="672" t="e">
        <f t="shared" si="936"/>
        <v>#DIV/0!</v>
      </c>
      <c r="PG138" s="672" t="e">
        <f t="shared" si="936"/>
        <v>#DIV/0!</v>
      </c>
      <c r="PH138" s="672" t="e">
        <f t="shared" si="936"/>
        <v>#DIV/0!</v>
      </c>
      <c r="PI138" s="672" t="e">
        <f t="shared" si="936"/>
        <v>#DIV/0!</v>
      </c>
      <c r="PJ138" s="676" t="e">
        <f t="shared" si="936"/>
        <v>#DIV/0!</v>
      </c>
      <c r="PK138" s="688" t="e">
        <f t="shared" si="936"/>
        <v>#DIV/0!</v>
      </c>
      <c r="PL138" s="1538" t="e">
        <f t="shared" si="936"/>
        <v>#DIV/0!</v>
      </c>
      <c r="PM138" s="1539" t="e">
        <f t="shared" si="936"/>
        <v>#DIV/0!</v>
      </c>
      <c r="PN138" s="672" t="e">
        <f t="shared" si="936"/>
        <v>#DIV/0!</v>
      </c>
      <c r="PO138" s="619" t="e">
        <f t="shared" si="936"/>
        <v>#DIV/0!</v>
      </c>
      <c r="PP138" s="619" t="s">
        <v>93</v>
      </c>
      <c r="PQ138" s="672" t="e">
        <f t="shared" ref="PQ138:QF138" si="937">PQ137/PQ136*100</f>
        <v>#DIV/0!</v>
      </c>
      <c r="PR138" s="619" t="e">
        <f t="shared" si="937"/>
        <v>#DIV/0!</v>
      </c>
      <c r="PS138" s="675" t="e">
        <f t="shared" si="937"/>
        <v>#DIV/0!</v>
      </c>
      <c r="PT138" s="672" t="e">
        <f t="shared" si="937"/>
        <v>#DIV/0!</v>
      </c>
      <c r="PU138" s="672" t="e">
        <f t="shared" si="937"/>
        <v>#DIV/0!</v>
      </c>
      <c r="PV138" s="675" t="e">
        <f t="shared" si="937"/>
        <v>#DIV/0!</v>
      </c>
      <c r="PW138" s="672" t="e">
        <f t="shared" si="937"/>
        <v>#DIV/0!</v>
      </c>
      <c r="PX138" s="672" t="e">
        <f t="shared" si="937"/>
        <v>#DIV/0!</v>
      </c>
      <c r="PY138" s="672" t="e">
        <f t="shared" si="937"/>
        <v>#DIV/0!</v>
      </c>
      <c r="PZ138" s="672" t="e">
        <f t="shared" si="937"/>
        <v>#DIV/0!</v>
      </c>
      <c r="QA138" s="676" t="e">
        <f t="shared" si="937"/>
        <v>#DIV/0!</v>
      </c>
      <c r="QB138" s="688" t="e">
        <f t="shared" si="937"/>
        <v>#DIV/0!</v>
      </c>
      <c r="QC138" s="1538" t="e">
        <f t="shared" si="937"/>
        <v>#DIV/0!</v>
      </c>
      <c r="QD138" s="1539" t="e">
        <f t="shared" si="937"/>
        <v>#DIV/0!</v>
      </c>
      <c r="QE138" s="672" t="e">
        <f t="shared" si="937"/>
        <v>#DIV/0!</v>
      </c>
      <c r="QF138" s="619" t="e">
        <f t="shared" si="937"/>
        <v>#DIV/0!</v>
      </c>
      <c r="QG138" s="619" t="s">
        <v>93</v>
      </c>
      <c r="QH138" s="672" t="e">
        <f t="shared" ref="QH138:QW138" si="938">QH137/QH136*100</f>
        <v>#DIV/0!</v>
      </c>
      <c r="QI138" s="619" t="e">
        <f t="shared" si="938"/>
        <v>#DIV/0!</v>
      </c>
      <c r="QJ138" s="675" t="e">
        <f t="shared" si="938"/>
        <v>#DIV/0!</v>
      </c>
      <c r="QK138" s="672" t="e">
        <f t="shared" si="938"/>
        <v>#DIV/0!</v>
      </c>
      <c r="QL138" s="672" t="e">
        <f t="shared" si="938"/>
        <v>#DIV/0!</v>
      </c>
      <c r="QM138" s="675" t="e">
        <f t="shared" si="938"/>
        <v>#DIV/0!</v>
      </c>
      <c r="QN138" s="672" t="e">
        <f t="shared" si="938"/>
        <v>#DIV/0!</v>
      </c>
      <c r="QO138" s="672" t="e">
        <f t="shared" si="938"/>
        <v>#DIV/0!</v>
      </c>
      <c r="QP138" s="672" t="e">
        <f t="shared" si="938"/>
        <v>#DIV/0!</v>
      </c>
      <c r="QQ138" s="672" t="e">
        <f t="shared" si="938"/>
        <v>#DIV/0!</v>
      </c>
      <c r="QR138" s="676" t="e">
        <f t="shared" si="938"/>
        <v>#DIV/0!</v>
      </c>
      <c r="QS138" s="688" t="e">
        <f t="shared" si="938"/>
        <v>#DIV/0!</v>
      </c>
      <c r="QT138" s="1538" t="e">
        <f t="shared" si="938"/>
        <v>#DIV/0!</v>
      </c>
      <c r="QU138" s="619" t="e">
        <f t="shared" si="938"/>
        <v>#DIV/0!</v>
      </c>
      <c r="QV138" s="674" t="e">
        <f t="shared" si="938"/>
        <v>#DIV/0!</v>
      </c>
      <c r="QW138" s="619" t="e">
        <f t="shared" si="938"/>
        <v>#DIV/0!</v>
      </c>
      <c r="QX138" s="619" t="s">
        <v>93</v>
      </c>
      <c r="QY138" s="672" t="e">
        <f t="shared" ref="QY138:RN138" si="939">QY137/QY136*100</f>
        <v>#DIV/0!</v>
      </c>
      <c r="QZ138" s="619" t="e">
        <f t="shared" si="939"/>
        <v>#DIV/0!</v>
      </c>
      <c r="RA138" s="675" t="e">
        <f t="shared" si="939"/>
        <v>#DIV/0!</v>
      </c>
      <c r="RB138" s="672" t="e">
        <f t="shared" si="939"/>
        <v>#DIV/0!</v>
      </c>
      <c r="RC138" s="672" t="e">
        <f t="shared" si="939"/>
        <v>#DIV/0!</v>
      </c>
      <c r="RD138" s="675" t="e">
        <f t="shared" si="939"/>
        <v>#DIV/0!</v>
      </c>
      <c r="RE138" s="672" t="e">
        <f t="shared" si="939"/>
        <v>#DIV/0!</v>
      </c>
      <c r="RF138" s="672" t="e">
        <f t="shared" si="939"/>
        <v>#DIV/0!</v>
      </c>
      <c r="RG138" s="672" t="e">
        <f t="shared" si="939"/>
        <v>#DIV/0!</v>
      </c>
      <c r="RH138" s="672" t="e">
        <f t="shared" si="939"/>
        <v>#DIV/0!</v>
      </c>
      <c r="RI138" s="676" t="e">
        <f t="shared" si="939"/>
        <v>#DIV/0!</v>
      </c>
      <c r="RJ138" s="688">
        <f t="shared" si="939"/>
        <v>0.23597747510486311</v>
      </c>
      <c r="RK138" s="1538">
        <f t="shared" si="939"/>
        <v>1.3689513680382595</v>
      </c>
      <c r="RL138" s="1539">
        <f t="shared" si="939"/>
        <v>0</v>
      </c>
      <c r="RM138" s="672">
        <f t="shared" si="939"/>
        <v>-1.3170482073099574</v>
      </c>
      <c r="RN138" s="619">
        <f t="shared" si="939"/>
        <v>0</v>
      </c>
      <c r="RO138" s="619" t="s">
        <v>93</v>
      </c>
      <c r="RP138" s="672" t="e">
        <f t="shared" ref="RP138:SE138" si="940">RP137/RP136*100</f>
        <v>#DIV/0!</v>
      </c>
      <c r="RQ138" s="619" t="e">
        <f t="shared" si="940"/>
        <v>#DIV/0!</v>
      </c>
      <c r="RR138" s="675" t="e">
        <f t="shared" si="940"/>
        <v>#VALUE!</v>
      </c>
      <c r="RS138" s="672" t="e">
        <f t="shared" si="940"/>
        <v>#VALUE!</v>
      </c>
      <c r="RT138" s="672" t="e">
        <f t="shared" si="940"/>
        <v>#VALUE!</v>
      </c>
      <c r="RU138" s="675" t="e">
        <f t="shared" si="940"/>
        <v>#VALUE!</v>
      </c>
      <c r="RV138" s="672" t="e">
        <f t="shared" si="940"/>
        <v>#VALUE!</v>
      </c>
      <c r="RW138" s="672" t="e">
        <f t="shared" si="940"/>
        <v>#VALUE!</v>
      </c>
      <c r="RX138" s="672" t="e">
        <f t="shared" si="940"/>
        <v>#VALUE!</v>
      </c>
      <c r="RY138" s="672" t="e">
        <f t="shared" si="940"/>
        <v>#VALUE!</v>
      </c>
      <c r="RZ138" s="676" t="e">
        <f t="shared" si="940"/>
        <v>#VALUE!</v>
      </c>
      <c r="SA138" s="688">
        <f t="shared" si="940"/>
        <v>0.23597747510486311</v>
      </c>
      <c r="SB138" s="1538">
        <f t="shared" si="940"/>
        <v>1.3391375451408745</v>
      </c>
      <c r="SC138" s="1539">
        <f t="shared" si="940"/>
        <v>0</v>
      </c>
      <c r="SD138" s="672">
        <f t="shared" si="940"/>
        <v>-0.11903939958679546</v>
      </c>
      <c r="SE138" s="619">
        <f t="shared" si="940"/>
        <v>0</v>
      </c>
      <c r="SF138" s="619" t="s">
        <v>93</v>
      </c>
      <c r="SG138" s="672" t="e">
        <f t="shared" ref="SG138:SV138" si="941">SG137/SG136*100</f>
        <v>#DIV/0!</v>
      </c>
      <c r="SH138" s="619" t="e">
        <f t="shared" si="941"/>
        <v>#DIV/0!</v>
      </c>
      <c r="SI138" s="675" t="e">
        <f t="shared" si="941"/>
        <v>#VALUE!</v>
      </c>
      <c r="SJ138" s="672" t="e">
        <f t="shared" si="941"/>
        <v>#VALUE!</v>
      </c>
      <c r="SK138" s="672" t="e">
        <f t="shared" si="941"/>
        <v>#VALUE!</v>
      </c>
      <c r="SL138" s="675" t="e">
        <f t="shared" si="941"/>
        <v>#VALUE!</v>
      </c>
      <c r="SM138" s="672" t="e">
        <f t="shared" si="941"/>
        <v>#VALUE!</v>
      </c>
      <c r="SN138" s="672" t="e">
        <f t="shared" si="941"/>
        <v>#VALUE!</v>
      </c>
      <c r="SO138" s="672" t="e">
        <f t="shared" si="941"/>
        <v>#VALUE!</v>
      </c>
      <c r="SP138" s="672" t="e">
        <f t="shared" si="941"/>
        <v>#VALUE!</v>
      </c>
      <c r="SQ138" s="676" t="e">
        <f t="shared" si="941"/>
        <v>#VALUE!</v>
      </c>
      <c r="SR138" s="688" t="e">
        <f t="shared" si="941"/>
        <v>#DIV/0!</v>
      </c>
      <c r="SS138" s="1538" t="e">
        <f t="shared" si="941"/>
        <v>#DIV/0!</v>
      </c>
      <c r="ST138" s="1539" t="e">
        <f t="shared" si="941"/>
        <v>#DIV/0!</v>
      </c>
      <c r="SU138" s="672" t="e">
        <f t="shared" si="941"/>
        <v>#DIV/0!</v>
      </c>
      <c r="SV138" s="619" t="e">
        <f t="shared" si="941"/>
        <v>#DIV/0!</v>
      </c>
      <c r="SW138" s="619" t="s">
        <v>93</v>
      </c>
      <c r="SX138" s="672" t="e">
        <f t="shared" ref="SX138:TM138" si="942">SX137/SX136*100</f>
        <v>#DIV/0!</v>
      </c>
      <c r="SY138" s="619" t="e">
        <f t="shared" si="942"/>
        <v>#DIV/0!</v>
      </c>
      <c r="SZ138" s="675" t="e">
        <f t="shared" si="942"/>
        <v>#DIV/0!</v>
      </c>
      <c r="TA138" s="672" t="e">
        <f t="shared" si="942"/>
        <v>#DIV/0!</v>
      </c>
      <c r="TB138" s="672" t="e">
        <f t="shared" si="942"/>
        <v>#DIV/0!</v>
      </c>
      <c r="TC138" s="675" t="e">
        <f t="shared" si="942"/>
        <v>#DIV/0!</v>
      </c>
      <c r="TD138" s="672" t="e">
        <f t="shared" si="942"/>
        <v>#DIV/0!</v>
      </c>
      <c r="TE138" s="672" t="e">
        <f t="shared" si="942"/>
        <v>#DIV/0!</v>
      </c>
      <c r="TF138" s="672" t="e">
        <f t="shared" si="942"/>
        <v>#DIV/0!</v>
      </c>
      <c r="TG138" s="672" t="e">
        <f t="shared" si="942"/>
        <v>#DIV/0!</v>
      </c>
      <c r="TH138" s="676" t="e">
        <f t="shared" si="942"/>
        <v>#DIV/0!</v>
      </c>
      <c r="TI138" s="688">
        <f t="shared" si="942"/>
        <v>0.3417428635288865</v>
      </c>
      <c r="TJ138" s="1538">
        <f t="shared" si="942"/>
        <v>0.87350070802829638</v>
      </c>
      <c r="TK138" s="1539">
        <f t="shared" si="942"/>
        <v>0</v>
      </c>
      <c r="TL138" s="672">
        <f t="shared" si="942"/>
        <v>-0.34564596608868181</v>
      </c>
      <c r="TM138" s="619">
        <f t="shared" si="942"/>
        <v>0</v>
      </c>
      <c r="TN138" s="619" t="s">
        <v>93</v>
      </c>
      <c r="TO138" s="672" t="e">
        <f t="shared" ref="TO138:TY138" si="943">TO137/TO136*100</f>
        <v>#DIV/0!</v>
      </c>
      <c r="TP138" s="619" t="e">
        <f t="shared" si="943"/>
        <v>#DIV/0!</v>
      </c>
      <c r="TQ138" s="675" t="e">
        <f t="shared" si="943"/>
        <v>#VALUE!</v>
      </c>
      <c r="TR138" s="672" t="e">
        <f t="shared" si="943"/>
        <v>#VALUE!</v>
      </c>
      <c r="TS138" s="672" t="e">
        <f t="shared" si="943"/>
        <v>#VALUE!</v>
      </c>
      <c r="TT138" s="675" t="e">
        <f t="shared" si="943"/>
        <v>#VALUE!</v>
      </c>
      <c r="TU138" s="672" t="e">
        <f t="shared" si="943"/>
        <v>#VALUE!</v>
      </c>
      <c r="TV138" s="672" t="e">
        <f t="shared" si="943"/>
        <v>#VALUE!</v>
      </c>
      <c r="TW138" s="672" t="e">
        <f t="shared" si="943"/>
        <v>#VALUE!</v>
      </c>
      <c r="TX138" s="672" t="e">
        <f t="shared" si="943"/>
        <v>#VALUE!</v>
      </c>
      <c r="TY138" s="676" t="e">
        <f t="shared" si="943"/>
        <v>#VALUE!</v>
      </c>
    </row>
    <row r="139" spans="1:545" ht="15.75" thickBot="1" x14ac:dyDescent="0.3">
      <c r="A139" s="1541" t="s">
        <v>1059</v>
      </c>
      <c r="B139" s="699"/>
      <c r="C139" s="700"/>
      <c r="D139" s="700"/>
      <c r="E139" s="604"/>
      <c r="F139" s="700"/>
      <c r="G139" s="700"/>
      <c r="H139" s="604"/>
      <c r="I139" s="700"/>
      <c r="J139" s="698"/>
      <c r="K139" s="604"/>
      <c r="L139" s="604"/>
      <c r="M139" s="697"/>
      <c r="N139" s="604"/>
      <c r="O139" s="19"/>
      <c r="P139" s="604"/>
      <c r="Q139" s="604"/>
      <c r="R139" s="607"/>
      <c r="S139" s="1535"/>
      <c r="T139" s="1535"/>
      <c r="U139" s="1536"/>
      <c r="V139" s="604"/>
      <c r="W139" s="700"/>
      <c r="X139" s="700"/>
      <c r="Y139" s="604"/>
      <c r="Z139" s="700"/>
      <c r="AA139" s="698"/>
      <c r="AB139" s="604"/>
      <c r="AC139" s="604"/>
      <c r="AD139" s="697"/>
      <c r="AE139" s="604"/>
      <c r="AF139" s="604"/>
      <c r="AG139" s="604"/>
      <c r="AH139" s="604"/>
      <c r="AI139" s="607"/>
      <c r="AJ139" s="1535"/>
      <c r="AK139" s="1535"/>
      <c r="AL139" s="1536"/>
      <c r="AM139" s="604"/>
      <c r="AN139" s="700"/>
      <c r="AO139" s="700"/>
      <c r="AP139" s="604"/>
      <c r="AQ139" s="700"/>
      <c r="AR139" s="698"/>
      <c r="AS139" s="604"/>
      <c r="AT139" s="604"/>
      <c r="AU139" s="697"/>
      <c r="AV139" s="604"/>
      <c r="AW139" s="604"/>
      <c r="AX139" s="604"/>
      <c r="AY139" s="604"/>
      <c r="AZ139" s="607"/>
      <c r="BA139" s="699"/>
      <c r="BB139" s="1535"/>
      <c r="BC139" s="1536"/>
      <c r="BD139" s="604"/>
      <c r="BE139" s="700"/>
      <c r="BF139" s="700"/>
      <c r="BG139" s="604"/>
      <c r="BH139" s="700"/>
      <c r="BI139" s="698"/>
      <c r="BJ139" s="604"/>
      <c r="BK139" s="604"/>
      <c r="BL139" s="697"/>
      <c r="BM139" s="604"/>
      <c r="BN139" s="19"/>
      <c r="BO139" s="604"/>
      <c r="BP139" s="604"/>
      <c r="BQ139" s="607"/>
      <c r="BR139" s="699"/>
      <c r="BS139" s="1535"/>
      <c r="BT139" s="1536"/>
      <c r="BU139" s="604"/>
      <c r="BV139" s="700"/>
      <c r="BW139" s="700"/>
      <c r="BX139" s="604"/>
      <c r="BY139" s="700"/>
      <c r="BZ139" s="698"/>
      <c r="CA139" s="604"/>
      <c r="CB139" s="604"/>
      <c r="CC139" s="697"/>
      <c r="CD139" s="604"/>
      <c r="CE139" s="19"/>
      <c r="CF139" s="604"/>
      <c r="CG139" s="604"/>
      <c r="CH139" s="607"/>
      <c r="CI139" s="699"/>
      <c r="CJ139" s="1535"/>
      <c r="CK139" s="1536"/>
      <c r="CL139" s="604"/>
      <c r="CM139" s="700"/>
      <c r="CN139" s="700"/>
      <c r="CO139" s="604"/>
      <c r="CP139" s="700"/>
      <c r="CQ139" s="698"/>
      <c r="CR139" s="604"/>
      <c r="CS139" s="604"/>
      <c r="CT139" s="697"/>
      <c r="CU139" s="604"/>
      <c r="CV139" s="19"/>
      <c r="CW139" s="604"/>
      <c r="CX139" s="604"/>
      <c r="CY139" s="607"/>
      <c r="CZ139" s="699"/>
      <c r="DA139" s="1535"/>
      <c r="DB139" s="1536"/>
      <c r="DC139" s="604"/>
      <c r="DD139" s="700"/>
      <c r="DE139" s="700"/>
      <c r="DF139" s="604"/>
      <c r="DG139" s="700"/>
      <c r="DH139" s="698"/>
      <c r="DI139" s="604"/>
      <c r="DJ139" s="604"/>
      <c r="DK139" s="697"/>
      <c r="DL139" s="604"/>
      <c r="DM139" s="604"/>
      <c r="DN139" s="604"/>
      <c r="DO139" s="604"/>
      <c r="DP139" s="607"/>
      <c r="DQ139" s="699"/>
      <c r="DR139" s="1535"/>
      <c r="DS139" s="1536"/>
      <c r="DT139" s="698"/>
      <c r="DU139" s="700"/>
      <c r="DV139" s="700"/>
      <c r="DW139" s="604"/>
      <c r="DX139" s="700"/>
      <c r="DY139" s="698"/>
      <c r="DZ139" s="604"/>
      <c r="EA139" s="604"/>
      <c r="EB139" s="697"/>
      <c r="EC139" s="604"/>
      <c r="ED139" s="604"/>
      <c r="EE139" s="604"/>
      <c r="EF139" s="604"/>
      <c r="EG139" s="607"/>
      <c r="EH139" s="699"/>
      <c r="EI139" s="1535"/>
      <c r="EJ139" s="1536"/>
      <c r="EK139" s="604"/>
      <c r="EL139" s="700"/>
      <c r="EM139" s="700"/>
      <c r="EN139" s="604"/>
      <c r="EO139" s="700"/>
      <c r="EP139" s="698"/>
      <c r="EQ139" s="604"/>
      <c r="ER139" s="604"/>
      <c r="ES139" s="697"/>
      <c r="ET139" s="604"/>
      <c r="EU139" s="19"/>
      <c r="EV139" s="604"/>
      <c r="EW139" s="604"/>
      <c r="EX139" s="607"/>
      <c r="EY139" s="699"/>
      <c r="EZ139" s="1535"/>
      <c r="FA139" s="1536"/>
      <c r="FB139" s="604"/>
      <c r="FC139" s="700"/>
      <c r="FD139" s="700"/>
      <c r="FE139" s="604"/>
      <c r="FF139" s="700"/>
      <c r="FG139" s="698"/>
      <c r="FH139" s="604"/>
      <c r="FI139" s="604"/>
      <c r="FJ139" s="697"/>
      <c r="FK139" s="604"/>
      <c r="FL139" s="604"/>
      <c r="FM139" s="604"/>
      <c r="FN139" s="604"/>
      <c r="FO139" s="607"/>
      <c r="FP139" s="699"/>
      <c r="FQ139" s="1535"/>
      <c r="FR139" s="1536"/>
      <c r="FS139" s="604"/>
      <c r="FT139" s="700"/>
      <c r="FU139" s="700"/>
      <c r="FV139" s="604"/>
      <c r="FW139" s="700"/>
      <c r="FX139" s="698"/>
      <c r="FY139" s="604"/>
      <c r="FZ139" s="604"/>
      <c r="GA139" s="697"/>
      <c r="GB139" s="604"/>
      <c r="GC139" s="604"/>
      <c r="GD139" s="604"/>
      <c r="GE139" s="604"/>
      <c r="GF139" s="607"/>
      <c r="GG139" s="699"/>
      <c r="GH139" s="1535"/>
      <c r="GI139" s="1536"/>
      <c r="GJ139" s="698"/>
      <c r="GK139" s="700"/>
      <c r="GL139" s="700"/>
      <c r="GM139" s="604"/>
      <c r="GN139" s="700"/>
      <c r="GO139" s="698"/>
      <c r="GP139" s="604"/>
      <c r="GQ139" s="604"/>
      <c r="GR139" s="697"/>
      <c r="GS139" s="604"/>
      <c r="GT139" s="604"/>
      <c r="GU139" s="604"/>
      <c r="GV139" s="604"/>
      <c r="GW139" s="607"/>
      <c r="GX139" s="699"/>
      <c r="GY139" s="1535"/>
      <c r="GZ139" s="1536"/>
      <c r="HA139" s="604"/>
      <c r="HB139" s="700"/>
      <c r="HC139" s="700"/>
      <c r="HD139" s="604"/>
      <c r="HE139" s="700"/>
      <c r="HF139" s="698"/>
      <c r="HG139" s="604"/>
      <c r="HH139" s="604"/>
      <c r="HI139" s="697"/>
      <c r="HJ139" s="604"/>
      <c r="HK139" s="604"/>
      <c r="HL139" s="604"/>
      <c r="HM139" s="604"/>
      <c r="HN139" s="607"/>
      <c r="HO139" s="699"/>
      <c r="HP139" s="1535"/>
      <c r="HQ139" s="1536"/>
      <c r="HR139" s="604"/>
      <c r="HS139" s="700"/>
      <c r="HT139" s="700"/>
      <c r="HU139" s="604"/>
      <c r="HV139" s="700"/>
      <c r="HW139" s="698"/>
      <c r="HX139" s="604"/>
      <c r="HY139" s="604"/>
      <c r="HZ139" s="697"/>
      <c r="IA139" s="604"/>
      <c r="IB139" s="604"/>
      <c r="IC139" s="604"/>
      <c r="ID139" s="604"/>
      <c r="IE139" s="607"/>
      <c r="IF139" s="699"/>
      <c r="IG139" s="1535"/>
      <c r="IH139" s="1536"/>
      <c r="II139" s="604"/>
      <c r="IJ139" s="700"/>
      <c r="IK139" s="700"/>
      <c r="IL139" s="604"/>
      <c r="IM139" s="700"/>
      <c r="IN139" s="698"/>
      <c r="IO139" s="604"/>
      <c r="IP139" s="604"/>
      <c r="IQ139" s="697"/>
      <c r="IR139" s="604"/>
      <c r="IS139" s="604"/>
      <c r="IT139" s="604"/>
      <c r="IU139" s="604"/>
      <c r="IV139" s="607"/>
      <c r="IW139" s="699"/>
      <c r="IX139" s="1535"/>
      <c r="IY139" s="1536"/>
      <c r="IZ139" s="604"/>
      <c r="JA139" s="700"/>
      <c r="JB139" s="700"/>
      <c r="JC139" s="604"/>
      <c r="JD139" s="700"/>
      <c r="JE139" s="698"/>
      <c r="JF139" s="604"/>
      <c r="JG139" s="604"/>
      <c r="JH139" s="697"/>
      <c r="JI139" s="604"/>
      <c r="JJ139" s="604"/>
      <c r="JK139" s="604"/>
      <c r="JL139" s="604"/>
      <c r="JM139" s="607"/>
      <c r="JN139" s="699"/>
      <c r="JO139" s="1535"/>
      <c r="JP139" s="1536"/>
      <c r="JQ139" s="604"/>
      <c r="JR139" s="700"/>
      <c r="JS139" s="700"/>
      <c r="JT139" s="604"/>
      <c r="JU139" s="700"/>
      <c r="JV139" s="698"/>
      <c r="JW139" s="604"/>
      <c r="JX139" s="604"/>
      <c r="JY139" s="697"/>
      <c r="JZ139" s="604"/>
      <c r="KA139" s="604"/>
      <c r="KB139" s="604"/>
      <c r="KC139" s="604"/>
      <c r="KD139" s="607"/>
      <c r="KE139" s="699"/>
      <c r="KF139" s="1535"/>
      <c r="KG139" s="1536"/>
      <c r="KH139" s="604"/>
      <c r="KI139" s="700"/>
      <c r="KJ139" s="700"/>
      <c r="KK139" s="604"/>
      <c r="KL139" s="700"/>
      <c r="KM139" s="698"/>
      <c r="KN139" s="604"/>
      <c r="KO139" s="604"/>
      <c r="KP139" s="697"/>
      <c r="KQ139" s="604"/>
      <c r="KR139" s="604"/>
      <c r="KS139" s="604"/>
      <c r="KT139" s="604"/>
      <c r="KU139" s="607"/>
      <c r="KV139" s="699"/>
      <c r="KW139" s="1535"/>
      <c r="KX139" s="1536"/>
      <c r="KY139" s="604"/>
      <c r="KZ139" s="700"/>
      <c r="LA139" s="700"/>
      <c r="LB139" s="604"/>
      <c r="LC139" s="700"/>
      <c r="LD139" s="698"/>
      <c r="LE139" s="604"/>
      <c r="LF139" s="604"/>
      <c r="LG139" s="697"/>
      <c r="LH139" s="604"/>
      <c r="LI139" s="604"/>
      <c r="LJ139" s="604"/>
      <c r="LK139" s="604"/>
      <c r="LL139" s="607"/>
      <c r="LM139" s="699"/>
      <c r="LN139" s="1535"/>
      <c r="LO139" s="1536"/>
      <c r="LP139" s="604"/>
      <c r="LQ139" s="700"/>
      <c r="LR139" s="700"/>
      <c r="LS139" s="604"/>
      <c r="LT139" s="700"/>
      <c r="LU139" s="698"/>
      <c r="LV139" s="604"/>
      <c r="LW139" s="604"/>
      <c r="LX139" s="697"/>
      <c r="LY139" s="604"/>
      <c r="LZ139" s="604"/>
      <c r="MA139" s="604"/>
      <c r="MB139" s="604"/>
      <c r="MC139" s="607"/>
      <c r="MD139" s="699"/>
      <c r="ME139" s="1535"/>
      <c r="MF139" s="1536"/>
      <c r="MG139" s="604"/>
      <c r="MH139" s="700"/>
      <c r="MI139" s="700"/>
      <c r="MJ139" s="604"/>
      <c r="MK139" s="700"/>
      <c r="ML139" s="698"/>
      <c r="MM139" s="604"/>
      <c r="MN139" s="604"/>
      <c r="MO139" s="697"/>
      <c r="MP139" s="604"/>
      <c r="MQ139" s="604"/>
      <c r="MR139" s="604"/>
      <c r="MS139" s="604"/>
      <c r="MT139" s="607"/>
      <c r="MU139" s="699"/>
      <c r="MV139" s="1535"/>
      <c r="MW139" s="1536"/>
      <c r="MX139" s="604"/>
      <c r="MY139" s="700"/>
      <c r="MZ139" s="700"/>
      <c r="NA139" s="604"/>
      <c r="NB139" s="700"/>
      <c r="NC139" s="698"/>
      <c r="ND139" s="604"/>
      <c r="NE139" s="604"/>
      <c r="NF139" s="697"/>
      <c r="NG139" s="604"/>
      <c r="NH139" s="19"/>
      <c r="NI139" s="604"/>
      <c r="NJ139" s="604"/>
      <c r="NK139" s="607"/>
      <c r="NL139" s="699"/>
      <c r="NM139" s="1535"/>
      <c r="NN139" s="1536"/>
      <c r="NO139" s="604"/>
      <c r="NP139" s="700"/>
      <c r="NQ139" s="700"/>
      <c r="NR139" s="604"/>
      <c r="NS139" s="700"/>
      <c r="NT139" s="698"/>
      <c r="NU139" s="604"/>
      <c r="NV139" s="604"/>
      <c r="NW139" s="697"/>
      <c r="NX139" s="604"/>
      <c r="NY139" s="604"/>
      <c r="NZ139" s="604"/>
      <c r="OA139" s="604"/>
      <c r="OB139" s="607"/>
      <c r="OC139" s="699"/>
      <c r="OD139" s="1535"/>
      <c r="OE139" s="1536"/>
      <c r="OF139" s="604"/>
      <c r="OG139" s="700"/>
      <c r="OH139" s="700"/>
      <c r="OI139" s="604"/>
      <c r="OJ139" s="700"/>
      <c r="OK139" s="698"/>
      <c r="OL139" s="604"/>
      <c r="OM139" s="604"/>
      <c r="ON139" s="697"/>
      <c r="OO139" s="604"/>
      <c r="OP139" s="19"/>
      <c r="OQ139" s="604"/>
      <c r="OR139" s="604"/>
      <c r="OS139" s="607"/>
      <c r="OT139" s="699"/>
      <c r="OU139" s="1535"/>
      <c r="OV139" s="1536"/>
      <c r="OW139" s="604"/>
      <c r="OX139" s="700"/>
      <c r="OY139" s="700"/>
      <c r="OZ139" s="604"/>
      <c r="PA139" s="700"/>
      <c r="PB139" s="698"/>
      <c r="PC139" s="604"/>
      <c r="PD139" s="604"/>
      <c r="PE139" s="697"/>
      <c r="PF139" s="604"/>
      <c r="PG139" s="604"/>
      <c r="PH139" s="604"/>
      <c r="PI139" s="604"/>
      <c r="PJ139" s="607"/>
      <c r="PK139" s="699"/>
      <c r="PL139" s="1535"/>
      <c r="PM139" s="1536"/>
      <c r="PN139" s="604"/>
      <c r="PO139" s="700"/>
      <c r="PP139" s="700"/>
      <c r="PQ139" s="604"/>
      <c r="PR139" s="700"/>
      <c r="PS139" s="698"/>
      <c r="PT139" s="604"/>
      <c r="PU139" s="604"/>
      <c r="PV139" s="697"/>
      <c r="PW139" s="604"/>
      <c r="PX139" s="604"/>
      <c r="PY139" s="604"/>
      <c r="PZ139" s="604"/>
      <c r="QA139" s="607"/>
      <c r="QB139" s="699"/>
      <c r="QC139" s="1535"/>
      <c r="QD139" s="1536"/>
      <c r="QE139" s="604"/>
      <c r="QF139" s="700"/>
      <c r="QG139" s="700"/>
      <c r="QH139" s="604"/>
      <c r="QI139" s="700"/>
      <c r="QJ139" s="698"/>
      <c r="QK139" s="604"/>
      <c r="QL139" s="604"/>
      <c r="QM139" s="697"/>
      <c r="QN139" s="604"/>
      <c r="QO139" s="604"/>
      <c r="QP139" s="604"/>
      <c r="QQ139" s="604"/>
      <c r="QR139" s="607"/>
      <c r="QS139" s="699"/>
      <c r="QT139" s="1535"/>
      <c r="QU139" s="1535"/>
      <c r="QV139" s="698"/>
      <c r="QW139" s="700"/>
      <c r="QX139" s="700"/>
      <c r="QY139" s="604"/>
      <c r="QZ139" s="700"/>
      <c r="RA139" s="698"/>
      <c r="RB139" s="604"/>
      <c r="RC139" s="604"/>
      <c r="RD139" s="697"/>
      <c r="RE139" s="604"/>
      <c r="RF139" s="604"/>
      <c r="RG139" s="604"/>
      <c r="RH139" s="604"/>
      <c r="RI139" s="607"/>
      <c r="RJ139" s="699"/>
      <c r="RK139" s="1535"/>
      <c r="RL139" s="1536"/>
      <c r="RM139" s="604"/>
      <c r="RN139" s="700"/>
      <c r="RO139" s="700"/>
      <c r="RP139" s="604"/>
      <c r="RQ139" s="700"/>
      <c r="RR139" s="698"/>
      <c r="RS139" s="604"/>
      <c r="RT139" s="604"/>
      <c r="RU139" s="697"/>
      <c r="RV139" s="604"/>
      <c r="RW139" s="19"/>
      <c r="RX139" s="604"/>
      <c r="RY139" s="604"/>
      <c r="RZ139" s="607"/>
      <c r="SA139" s="699"/>
      <c r="SB139" s="1535"/>
      <c r="SC139" s="1536"/>
      <c r="SD139" s="604"/>
      <c r="SE139" s="700"/>
      <c r="SF139" s="700"/>
      <c r="SG139" s="604"/>
      <c r="SH139" s="700"/>
      <c r="SI139" s="698"/>
      <c r="SJ139" s="604"/>
      <c r="SK139" s="604"/>
      <c r="SL139" s="697"/>
      <c r="SM139" s="604"/>
      <c r="SN139" s="19"/>
      <c r="SO139" s="604"/>
      <c r="SP139" s="604"/>
      <c r="SQ139" s="607"/>
      <c r="SR139" s="699"/>
      <c r="SS139" s="1535"/>
      <c r="ST139" s="1536"/>
      <c r="SU139" s="604"/>
      <c r="SV139" s="700"/>
      <c r="SW139" s="700"/>
      <c r="SX139" s="604"/>
      <c r="SY139" s="700"/>
      <c r="SZ139" s="698"/>
      <c r="TA139" s="604"/>
      <c r="TB139" s="604"/>
      <c r="TC139" s="697"/>
      <c r="TD139" s="604"/>
      <c r="TE139" s="604"/>
      <c r="TF139" s="604"/>
      <c r="TG139" s="604"/>
      <c r="TH139" s="607"/>
      <c r="TI139" s="699"/>
      <c r="TJ139" s="1535"/>
      <c r="TK139" s="1536"/>
      <c r="TL139" s="604"/>
      <c r="TM139" s="700"/>
      <c r="TN139" s="700"/>
      <c r="TO139" s="604"/>
      <c r="TP139" s="700"/>
      <c r="TQ139" s="698"/>
      <c r="TR139" s="604"/>
      <c r="TS139" s="604"/>
      <c r="TT139" s="697"/>
      <c r="TU139" s="604"/>
      <c r="TV139" s="19"/>
      <c r="TW139" s="604"/>
      <c r="TX139" s="604"/>
      <c r="TY139" s="607"/>
    </row>
    <row r="140" spans="1:545" x14ac:dyDescent="0.25">
      <c r="A140" s="2218">
        <v>250</v>
      </c>
      <c r="B140" s="664"/>
      <c r="C140" s="667"/>
      <c r="D140" s="667"/>
      <c r="E140" s="651"/>
      <c r="F140" s="667"/>
      <c r="G140" s="663"/>
      <c r="H140" s="651"/>
      <c r="I140" s="652"/>
      <c r="J140" s="653"/>
      <c r="K140" s="599"/>
      <c r="L140" s="599"/>
      <c r="M140" s="657"/>
      <c r="N140" s="600"/>
      <c r="O140" s="599"/>
      <c r="P140" s="600"/>
      <c r="Q140" s="599"/>
      <c r="R140" s="658"/>
      <c r="S140" s="659"/>
      <c r="T140" s="660"/>
      <c r="U140" s="661"/>
      <c r="V140" s="651"/>
      <c r="W140" s="662"/>
      <c r="X140" s="663"/>
      <c r="Y140" s="651">
        <f>IF(AND(ABS(V140)&gt;=$F$42,ABS(V140)&lt;=$G$42),V140*$D$42,IF(AND(ABS(V140)&gt;=$F$43,ABS(V140)&lt;=$G$43),V140*$D$43,IF(AND(ABS(V140)&gt;=$F$44,ABS(V140)&lt;=$G$44),V140*$D$44,"rango cal. out")))</f>
        <v>0</v>
      </c>
      <c r="Z140" s="652" t="e">
        <f>((273.2+S140)*$F$32/((273.2+$F$31)*U140))</f>
        <v>#DIV/0!</v>
      </c>
      <c r="AA140" s="653" t="e">
        <f>Y140/W140*Z140*EXP(-LN(2)/10990*($F$88-X140))</f>
        <v>#DIV/0!</v>
      </c>
      <c r="AB140" s="599" t="e">
        <f>AA140-AVERAGE(AI94:AI95)</f>
        <v>#DIV/0!</v>
      </c>
      <c r="AC140" s="599" t="e">
        <f>ABS($B$33*AB140*3600)</f>
        <v>#DIV/0!</v>
      </c>
      <c r="AD140" s="657" t="e">
        <f>ABS($B$34*AB140*3600)</f>
        <v>#DIV/0!</v>
      </c>
      <c r="AE140" s="600" t="e">
        <f>AD140*$C$79</f>
        <v>#DIV/0!</v>
      </c>
      <c r="AF140" s="599" t="e">
        <f>AD140*$F$70</f>
        <v>#DIV/0!</v>
      </c>
      <c r="AG140" s="600" t="e">
        <f>AD140*$F$75</f>
        <v>#DIV/0!</v>
      </c>
      <c r="AH140" s="599" t="e">
        <f>AD140*$F$72</f>
        <v>#DIV/0!</v>
      </c>
      <c r="AI140" s="658" t="e">
        <f>AD140*$F$71</f>
        <v>#DIV/0!</v>
      </c>
      <c r="AJ140" s="659"/>
      <c r="AK140" s="660"/>
      <c r="AL140" s="661"/>
      <c r="AM140" s="651"/>
      <c r="AN140" s="662"/>
      <c r="AO140" s="663"/>
      <c r="AP140" s="651">
        <f>IF(AND(ABS(AM140)&gt;=$F$42,ABS(AM140)&lt;=$G$42),AM140*$D$42,IF(AND(ABS(AM140)&gt;=$F$43,ABS(AM140)&lt;=$G$43),AM140*$D$43,IF(AND(ABS(AM140)&gt;=$F$44,ABS(AM140)&lt;=$G$44),AM140*$D$44,"rango cal. out")))</f>
        <v>0</v>
      </c>
      <c r="AQ140" s="652" t="e">
        <f>((273.2+AJ140)*$F$32/((273.2+$F$31)*AL140))</f>
        <v>#DIV/0!</v>
      </c>
      <c r="AR140" s="653" t="e">
        <f>AP140/AN140*AQ140*EXP(-LN(2)/10990*($F$88-AO140))</f>
        <v>#DIV/0!</v>
      </c>
      <c r="AS140" s="599" t="e">
        <f>AR140-AVERAGE(AZ94:AZ95)</f>
        <v>#DIV/0!</v>
      </c>
      <c r="AT140" s="599" t="e">
        <f>ABS($B$33*AS140*3600)</f>
        <v>#DIV/0!</v>
      </c>
      <c r="AU140" s="657" t="e">
        <f>ABS($B$34*AS140*3600)</f>
        <v>#DIV/0!</v>
      </c>
      <c r="AV140" s="600" t="e">
        <f>AU140*$C$79</f>
        <v>#DIV/0!</v>
      </c>
      <c r="AW140" s="599" t="e">
        <f>AU140*$F$70</f>
        <v>#DIV/0!</v>
      </c>
      <c r="AX140" s="600" t="e">
        <f>AU140*$F$75</f>
        <v>#DIV/0!</v>
      </c>
      <c r="AY140" s="599" t="e">
        <f>AU140*$F$72</f>
        <v>#DIV/0!</v>
      </c>
      <c r="AZ140" s="658" t="e">
        <f>AU140*$F$71</f>
        <v>#DIV/0!</v>
      </c>
      <c r="BA140" s="664">
        <v>20.5</v>
      </c>
      <c r="BB140" s="660">
        <v>52</v>
      </c>
      <c r="BC140" s="666">
        <v>1009</v>
      </c>
      <c r="BD140" s="651">
        <v>-5.3819999999999996E-10</v>
      </c>
      <c r="BE140" s="667">
        <v>60</v>
      </c>
      <c r="BF140" s="663">
        <v>43403</v>
      </c>
      <c r="BG140" s="651" t="str">
        <f>IF(AND(ABS(BD140)&gt;=$F$42,ABS(BD140)&lt;=$G$42),BD140*$D$42,IF(AND(ABS(BD140)&gt;=$F$43,ABS(BD140)&lt;=$G$43),BD140*$D$43,IF(AND(ABS(BD140)&gt;=$F$44,ABS(BD140)&lt;=$G$44),BD140*$D$44,"rango cal. out")))</f>
        <v>rango cal. out</v>
      </c>
      <c r="BH140" s="652">
        <f>((273.2+BA140)*$F$32/((273.2+$F$31)*BC140))</f>
        <v>0</v>
      </c>
      <c r="BI140" s="653" t="e">
        <f>BG140/BE140*BH140*EXP(-LN(2)/10990*($F$88-BF140))</f>
        <v>#VALUE!</v>
      </c>
      <c r="BJ140" s="599" t="e">
        <f>BI140-AVERAGE(BQ94:BQ95)</f>
        <v>#VALUE!</v>
      </c>
      <c r="BK140" s="599" t="e">
        <f>ABS($B$33*BJ140*3600)</f>
        <v>#VALUE!</v>
      </c>
      <c r="BL140" s="657" t="e">
        <f>ABS($B$34*BJ140*3600)</f>
        <v>#VALUE!</v>
      </c>
      <c r="BM140" s="600" t="e">
        <f>BL140*$C$79</f>
        <v>#VALUE!</v>
      </c>
      <c r="BN140" s="599" t="e">
        <f>BL140*$F$70</f>
        <v>#VALUE!</v>
      </c>
      <c r="BO140" s="600" t="e">
        <f>BL140*$F$75</f>
        <v>#VALUE!</v>
      </c>
      <c r="BP140" s="599" t="e">
        <f>BL140*$F$72</f>
        <v>#VALUE!</v>
      </c>
      <c r="BQ140" s="658" t="e">
        <f>BL140*$F$71</f>
        <v>#VALUE!</v>
      </c>
      <c r="BR140" s="664">
        <v>20.5</v>
      </c>
      <c r="BS140" s="660">
        <v>51</v>
      </c>
      <c r="BT140" s="666">
        <v>1008</v>
      </c>
      <c r="BU140" s="651">
        <v>-2.1760000000000001E-11</v>
      </c>
      <c r="BV140" s="667">
        <v>60</v>
      </c>
      <c r="BW140" s="663">
        <v>43403</v>
      </c>
      <c r="BX140" s="651" t="str">
        <f>IF(AND(ABS(BU140)&gt;=$F$42,ABS(BU140)&lt;=$G$42),BU140*$D$42,IF(AND(ABS(BU140)&gt;=$F$43,ABS(BU140)&lt;=$G$43),BU140*$D$43,IF(AND(ABS(BU140)&gt;=$F$44,ABS(BU140)&lt;=$G$44),BU140*$D$44,"rango cal. out")))</f>
        <v>rango cal. out</v>
      </c>
      <c r="BY140" s="652">
        <f>((273.2+BR140)*$F$32/((273.2+$F$31)*BT140))</f>
        <v>0</v>
      </c>
      <c r="BZ140" s="653" t="e">
        <f>BX140/BV140*BY140*EXP(-LN(2)/10990*($F$88-BW140))</f>
        <v>#VALUE!</v>
      </c>
      <c r="CA140" s="599" t="e">
        <f>BZ140-AVERAGE(CH94:CH95)</f>
        <v>#VALUE!</v>
      </c>
      <c r="CB140" s="599" t="e">
        <f>ABS($B$33*CA140*3600)</f>
        <v>#VALUE!</v>
      </c>
      <c r="CC140" s="657" t="e">
        <f>ABS($B$34*CA140*3600)</f>
        <v>#VALUE!</v>
      </c>
      <c r="CD140" s="600" t="e">
        <f>CC140*$C$79</f>
        <v>#VALUE!</v>
      </c>
      <c r="CE140" s="599" t="e">
        <f>CC140*$F$70</f>
        <v>#VALUE!</v>
      </c>
      <c r="CF140" s="600" t="e">
        <f>CC140*$F$75</f>
        <v>#VALUE!</v>
      </c>
      <c r="CG140" s="599" t="e">
        <f>CC140*$F$72</f>
        <v>#VALUE!</v>
      </c>
      <c r="CH140" s="658" t="e">
        <f>CC140*$F$71</f>
        <v>#VALUE!</v>
      </c>
      <c r="CI140" s="664">
        <v>20.5</v>
      </c>
      <c r="CJ140" s="660">
        <v>52</v>
      </c>
      <c r="CK140" s="666">
        <v>1007</v>
      </c>
      <c r="CL140" s="651">
        <v>-1.2549999999999999E-9</v>
      </c>
      <c r="CM140" s="667">
        <v>60</v>
      </c>
      <c r="CN140" s="663">
        <v>43403</v>
      </c>
      <c r="CO140" s="651" t="str">
        <f>IF(AND(ABS(CL140)&gt;=$F$42,ABS(CL140)&lt;=$G$42),CL140*$D$42,IF(AND(ABS(CL140)&gt;=$F$43,ABS(CL140)&lt;=$G$43),CL140*$D$43,IF(AND(ABS(CL140)&gt;=$F$44,ABS(CL140)&lt;=$G$44),CL140*$D$44,"rango cal. out")))</f>
        <v>rango cal. out</v>
      </c>
      <c r="CP140" s="652">
        <f>((273.2+CI140)*$F$32/((273.2+$F$31)*CK140))</f>
        <v>0</v>
      </c>
      <c r="CQ140" s="653" t="e">
        <f>CO140/CM140*CP140*EXP(-LN(2)/10990*($F$88-CN140))</f>
        <v>#VALUE!</v>
      </c>
      <c r="CR140" s="599" t="e">
        <f>CQ140-AVERAGE(CY94:CY95)</f>
        <v>#VALUE!</v>
      </c>
      <c r="CS140" s="599" t="e">
        <f>ABS($B$33*CR140*3600)</f>
        <v>#VALUE!</v>
      </c>
      <c r="CT140" s="657" t="e">
        <f>ABS($B$34*CR140*3600)</f>
        <v>#VALUE!</v>
      </c>
      <c r="CU140" s="600" t="e">
        <f>CT140*$C$79</f>
        <v>#VALUE!</v>
      </c>
      <c r="CV140" s="599" t="e">
        <f>CT140*$F$70</f>
        <v>#VALUE!</v>
      </c>
      <c r="CW140" s="600" t="e">
        <f>CT140*$F$75</f>
        <v>#VALUE!</v>
      </c>
      <c r="CX140" s="599" t="e">
        <f>CT140*$F$72</f>
        <v>#VALUE!</v>
      </c>
      <c r="CY140" s="658" t="e">
        <f>CT140*$F$71</f>
        <v>#VALUE!</v>
      </c>
      <c r="CZ140" s="664"/>
      <c r="DA140" s="660"/>
      <c r="DB140" s="661"/>
      <c r="DC140" s="651"/>
      <c r="DD140" s="662"/>
      <c r="DE140" s="663"/>
      <c r="DF140" s="651">
        <f>IF(AND(ABS(DC140)&gt;=$F$42,ABS(DC140)&lt;=$G$42),DC140*$D$42,IF(AND(ABS(DC140)&gt;=$F$43,ABS(DC140)&lt;=$G$43),DC140*$D$43,IF(AND(ABS(DC140)&gt;=$F$44,ABS(DC140)&lt;=$G$44),DC140*$D$44,"rango cal. out")))</f>
        <v>0</v>
      </c>
      <c r="DG140" s="652" t="e">
        <f>((273.2+CZ140)*$F$32/((273.2+$F$31)*DB140))</f>
        <v>#DIV/0!</v>
      </c>
      <c r="DH140" s="653" t="e">
        <f>DF140/DD140*DG140*EXP(-LN(2)/10990*($F$88-DE140))</f>
        <v>#DIV/0!</v>
      </c>
      <c r="DI140" s="599" t="e">
        <f>DH140-AVERAGE(DP94:DP95)</f>
        <v>#DIV/0!</v>
      </c>
      <c r="DJ140" s="599" t="e">
        <f>ABS($B$33*DI140*3600)</f>
        <v>#DIV/0!</v>
      </c>
      <c r="DK140" s="657" t="e">
        <f>ABS($B$34*DI140*3600)</f>
        <v>#DIV/0!</v>
      </c>
      <c r="DL140" s="600" t="e">
        <f>DK140*$C$79</f>
        <v>#DIV/0!</v>
      </c>
      <c r="DM140" s="599" t="e">
        <f>DK140*$F$70</f>
        <v>#DIV/0!</v>
      </c>
      <c r="DN140" s="600" t="e">
        <f>DK140*$F$75</f>
        <v>#DIV/0!</v>
      </c>
      <c r="DO140" s="599" t="e">
        <f>DK140*$F$72</f>
        <v>#DIV/0!</v>
      </c>
      <c r="DP140" s="658" t="e">
        <f>DK140*$F$71</f>
        <v>#DIV/0!</v>
      </c>
      <c r="DQ140" s="664"/>
      <c r="DR140" s="660"/>
      <c r="DS140" s="659"/>
      <c r="DT140" s="665"/>
      <c r="DU140" s="662"/>
      <c r="DV140" s="663"/>
      <c r="DW140" s="651">
        <f>IF(AND(ABS(DT140)&gt;=$F$42,ABS(DT140)&lt;=$G$42),DT140*$D$42,IF(AND(ABS(DT140)&gt;=$F$43,ABS(DT140)&lt;=$G$43),DT140*$D$43,IF(AND(ABS(DT140)&gt;=$F$44,ABS(DT140)&lt;=$G$44),DT140*$D$44,"rango cal. out")))</f>
        <v>0</v>
      </c>
      <c r="DX140" s="652" t="e">
        <f>((273.2+DQ140)*$F$32/((273.2+$F$31)*DS140))</f>
        <v>#DIV/0!</v>
      </c>
      <c r="DY140" s="653" t="e">
        <f>DW140/DU140*DX140*EXP(-LN(2)/10990*($F$88-DV140))</f>
        <v>#DIV/0!</v>
      </c>
      <c r="DZ140" s="599" t="e">
        <f>DY140-AVERAGE(EG94:EG95)</f>
        <v>#DIV/0!</v>
      </c>
      <c r="EA140" s="599" t="e">
        <f>ABS($B$33*DZ140*3600)</f>
        <v>#DIV/0!</v>
      </c>
      <c r="EB140" s="657" t="e">
        <f>ABS($B$34*DZ140*3600)</f>
        <v>#DIV/0!</v>
      </c>
      <c r="EC140" s="600" t="e">
        <f>EB140*$C$79</f>
        <v>#DIV/0!</v>
      </c>
      <c r="ED140" s="599" t="e">
        <f>EB140*$F$70</f>
        <v>#DIV/0!</v>
      </c>
      <c r="EE140" s="600" t="e">
        <f>EB140*$F$75</f>
        <v>#DIV/0!</v>
      </c>
      <c r="EF140" s="599" t="e">
        <f>EB140*$F$72</f>
        <v>#DIV/0!</v>
      </c>
      <c r="EG140" s="658" t="e">
        <f>EB140*$F$71</f>
        <v>#DIV/0!</v>
      </c>
      <c r="EH140" s="664">
        <v>20.5</v>
      </c>
      <c r="EI140" s="660">
        <v>52</v>
      </c>
      <c r="EJ140" s="666">
        <v>1007</v>
      </c>
      <c r="EK140" s="651">
        <v>-1.62E-12</v>
      </c>
      <c r="EL140" s="667">
        <v>60</v>
      </c>
      <c r="EM140" s="663">
        <v>43403</v>
      </c>
      <c r="EN140" s="651" t="str">
        <f>IF(AND(ABS(EK140)&gt;=$F$42,ABS(EK140)&lt;=$G$42),EK140*$D$42,IF(AND(ABS(EK140)&gt;=$F$43,ABS(EK140)&lt;=$G$43),EK140*$D$43,IF(AND(ABS(EK140)&gt;=$F$44,ABS(EK140)&lt;=$G$44),EK140*$D$44,"rango cal. out")))</f>
        <v>rango cal. out</v>
      </c>
      <c r="EO140" s="652">
        <f>((273.2+EH140)*$F$32/((273.2+$F$31)*EJ140))</f>
        <v>0</v>
      </c>
      <c r="EP140" s="653" t="e">
        <f>EN140/EL140*EO140*EXP(-LN(2)/10990*($F$88-EM140))</f>
        <v>#VALUE!</v>
      </c>
      <c r="EQ140" s="599" t="e">
        <f>EP140-AVERAGE(EX94:EX95)</f>
        <v>#VALUE!</v>
      </c>
      <c r="ER140" s="599" t="e">
        <f>ABS($B$33*EQ140*3600)</f>
        <v>#VALUE!</v>
      </c>
      <c r="ES140" s="657" t="e">
        <f>ABS($B$34*EQ140*3600)</f>
        <v>#VALUE!</v>
      </c>
      <c r="ET140" s="600" t="e">
        <f>ES140*$C$79</f>
        <v>#VALUE!</v>
      </c>
      <c r="EU140" s="599" t="e">
        <f>ES140*$F$70</f>
        <v>#VALUE!</v>
      </c>
      <c r="EV140" s="600" t="e">
        <f>ES140*$F$75</f>
        <v>#VALUE!</v>
      </c>
      <c r="EW140" s="599" t="e">
        <f>ES140*$F$72</f>
        <v>#VALUE!</v>
      </c>
      <c r="EX140" s="658" t="e">
        <f>ES140*$F$71</f>
        <v>#VALUE!</v>
      </c>
      <c r="EY140" s="664"/>
      <c r="EZ140" s="660"/>
      <c r="FA140" s="661"/>
      <c r="FB140" s="651"/>
      <c r="FC140" s="662"/>
      <c r="FD140" s="663"/>
      <c r="FE140" s="651">
        <f>IF(AND(ABS(FB140)&gt;=$F$42,ABS(FB140)&lt;=$G$42),FB140*$D$42,IF(AND(ABS(FB140)&gt;=$F$43,ABS(FB140)&lt;=$G$43),FB140*$D$43,IF(AND(ABS(FB140)&gt;=$F$44,ABS(FB140)&lt;=$G$44),FB140*$D$44,"rango cal. out")))</f>
        <v>0</v>
      </c>
      <c r="FF140" s="652" t="e">
        <f>((273.2+EY140)*$F$32/((273.2+$F$31)*FA140))</f>
        <v>#DIV/0!</v>
      </c>
      <c r="FG140" s="653" t="e">
        <f>FE140/FC140*FF140*EXP(-LN(2)/10990*($F$88-FD140))</f>
        <v>#DIV/0!</v>
      </c>
      <c r="FH140" s="599" t="e">
        <f>FG140-AVERAGE(FO94:FO95)</f>
        <v>#DIV/0!</v>
      </c>
      <c r="FI140" s="599" t="e">
        <f>ABS($B$33*FH140*3600)</f>
        <v>#DIV/0!</v>
      </c>
      <c r="FJ140" s="657" t="e">
        <f>ABS($B$34*FH140*3600)</f>
        <v>#DIV/0!</v>
      </c>
      <c r="FK140" s="600" t="e">
        <f>FJ140*$C$79</f>
        <v>#DIV/0!</v>
      </c>
      <c r="FL140" s="599" t="e">
        <f>FJ140*$F$70</f>
        <v>#DIV/0!</v>
      </c>
      <c r="FM140" s="600" t="e">
        <f>FJ140*$F$75</f>
        <v>#DIV/0!</v>
      </c>
      <c r="FN140" s="599" t="e">
        <f>FJ140*$F$72</f>
        <v>#DIV/0!</v>
      </c>
      <c r="FO140" s="658" t="e">
        <f>FJ140*$F$71</f>
        <v>#DIV/0!</v>
      </c>
      <c r="FP140" s="664"/>
      <c r="FQ140" s="660"/>
      <c r="FR140" s="661"/>
      <c r="FS140" s="651"/>
      <c r="FT140" s="662"/>
      <c r="FU140" s="663"/>
      <c r="FV140" s="651">
        <f>IF(AND(ABS(FS140)&gt;=$F$42,ABS(FS140)&lt;=$G$42),FS140*$D$42,IF(AND(ABS(FS140)&gt;=$F$43,ABS(FS140)&lt;=$G$43),FS140*$D$43,IF(AND(ABS(FS140)&gt;=$F$44,ABS(FS140)&lt;=$G$44),FS140*$D$44,"rango cal. out")))</f>
        <v>0</v>
      </c>
      <c r="FW140" s="652" t="e">
        <f>((273.2+FP140)*$F$32/((273.2+$F$31)*FR140))</f>
        <v>#DIV/0!</v>
      </c>
      <c r="FX140" s="653" t="e">
        <f>FV140/FT140*FW140*EXP(-LN(2)/10990*($F$88-FU140))</f>
        <v>#DIV/0!</v>
      </c>
      <c r="FY140" s="599" t="e">
        <f>FX140-AVERAGE(GF94:GF95)</f>
        <v>#DIV/0!</v>
      </c>
      <c r="FZ140" s="599" t="e">
        <f>ABS($B$33*FY140*3600)</f>
        <v>#DIV/0!</v>
      </c>
      <c r="GA140" s="657" t="e">
        <f>ABS($B$34*FY140*3600)</f>
        <v>#DIV/0!</v>
      </c>
      <c r="GB140" s="600" t="e">
        <f>GA140*$C$79</f>
        <v>#DIV/0!</v>
      </c>
      <c r="GC140" s="599" t="e">
        <f>GA140*$F$70</f>
        <v>#DIV/0!</v>
      </c>
      <c r="GD140" s="600" t="e">
        <f>GA140*$F$75</f>
        <v>#DIV/0!</v>
      </c>
      <c r="GE140" s="599" t="e">
        <f>GA140*$F$72</f>
        <v>#DIV/0!</v>
      </c>
      <c r="GF140" s="658" t="e">
        <f>GA140*$F$71</f>
        <v>#DIV/0!</v>
      </c>
      <c r="GG140" s="664"/>
      <c r="GH140" s="660"/>
      <c r="GI140" s="659"/>
      <c r="GJ140" s="665"/>
      <c r="GK140" s="662"/>
      <c r="GL140" s="663"/>
      <c r="GM140" s="651">
        <f>IF(AND(ABS(GJ140)&gt;=$F$42,ABS(GJ140)&lt;=$G$42),GJ140*$D$42,IF(AND(ABS(GJ140)&gt;=$F$43,ABS(GJ140)&lt;=$G$43),GJ140*$D$43,IF(AND(ABS(GJ140)&gt;=$F$44,ABS(GJ140)&lt;=$G$44),GJ140*$D$44,"rango cal. out")))</f>
        <v>0</v>
      </c>
      <c r="GN140" s="652" t="e">
        <f>((273.2+GG140)*$F$32/((273.2+$F$31)*GI140))</f>
        <v>#DIV/0!</v>
      </c>
      <c r="GO140" s="653" t="e">
        <f>GM140/GK140*GN140*EXP(-LN(2)/10990*($F$88-GL140))</f>
        <v>#DIV/0!</v>
      </c>
      <c r="GP140" s="599" t="e">
        <f>GO140-AVERAGE(GW94:GW95)</f>
        <v>#DIV/0!</v>
      </c>
      <c r="GQ140" s="599" t="e">
        <f>ABS($B$33*GP140*3600)</f>
        <v>#DIV/0!</v>
      </c>
      <c r="GR140" s="657" t="e">
        <f>ABS($B$34*GP140*3600)</f>
        <v>#DIV/0!</v>
      </c>
      <c r="GS140" s="600" t="e">
        <f>GR140*$C$79</f>
        <v>#DIV/0!</v>
      </c>
      <c r="GT140" s="599" t="e">
        <f>GR140*$F$70</f>
        <v>#DIV/0!</v>
      </c>
      <c r="GU140" s="600" t="e">
        <f>GR140*$F$75</f>
        <v>#DIV/0!</v>
      </c>
      <c r="GV140" s="599" t="e">
        <f>GR140*$F$72</f>
        <v>#DIV/0!</v>
      </c>
      <c r="GW140" s="658" t="e">
        <f>GR140*$F$71</f>
        <v>#DIV/0!</v>
      </c>
      <c r="GX140" s="664"/>
      <c r="GY140" s="660"/>
      <c r="GZ140" s="661"/>
      <c r="HA140" s="651"/>
      <c r="HB140" s="662"/>
      <c r="HC140" s="663"/>
      <c r="HD140" s="651">
        <f>IF(AND(ABS(HA140)&gt;=$F$42,ABS(HA140)&lt;=$G$42),HA140*$D$42,IF(AND(ABS(HA140)&gt;=$F$43,ABS(HA140)&lt;=$G$43),HA140*$D$43,IF(AND(ABS(HA140)&gt;=$F$44,ABS(HA140)&lt;=$G$44),HA140*$D$44,"rango cal. out")))</f>
        <v>0</v>
      </c>
      <c r="HE140" s="652" t="e">
        <f>((273.2+GX140)*$F$32/((273.2+$F$31)*GZ140))</f>
        <v>#DIV/0!</v>
      </c>
      <c r="HF140" s="653" t="e">
        <f>HD140/HB140*HE140*EXP(-LN(2)/10990*($F$88-HC140))</f>
        <v>#DIV/0!</v>
      </c>
      <c r="HG140" s="599" t="e">
        <f>HF140-AVERAGE(HN94:HN95)</f>
        <v>#DIV/0!</v>
      </c>
      <c r="HH140" s="599" t="e">
        <f>ABS($B$33*HG140*3600)</f>
        <v>#DIV/0!</v>
      </c>
      <c r="HI140" s="657" t="e">
        <f>ABS($B$34*HG140*3600)</f>
        <v>#DIV/0!</v>
      </c>
      <c r="HJ140" s="600" t="e">
        <f>HI140*$C$79</f>
        <v>#DIV/0!</v>
      </c>
      <c r="HK140" s="599" t="e">
        <f>HI140*$F$70</f>
        <v>#DIV/0!</v>
      </c>
      <c r="HL140" s="600" t="e">
        <f>HI140*$F$75</f>
        <v>#DIV/0!</v>
      </c>
      <c r="HM140" s="599" t="e">
        <f>HI140*$F$72</f>
        <v>#DIV/0!</v>
      </c>
      <c r="HN140" s="658" t="e">
        <f>HI140*$F$71</f>
        <v>#DIV/0!</v>
      </c>
      <c r="HO140" s="664"/>
      <c r="HP140" s="660"/>
      <c r="HQ140" s="661"/>
      <c r="HR140" s="651"/>
      <c r="HS140" s="662"/>
      <c r="HT140" s="663"/>
      <c r="HU140" s="651">
        <f>IF(AND(ABS(HR140)&gt;=$F$42,ABS(HR140)&lt;=$G$42),HR140*$D$42,IF(AND(ABS(HR140)&gt;=$F$43,ABS(HR140)&lt;=$G$43),HR140*$D$43,IF(AND(ABS(HR140)&gt;=$F$44,ABS(HR140)&lt;=$G$44),HR140*$D$44,"rango cal. out")))</f>
        <v>0</v>
      </c>
      <c r="HV140" s="652" t="e">
        <f>((273.2+HO140)*$F$32/((273.2+$F$31)*HQ140))</f>
        <v>#DIV/0!</v>
      </c>
      <c r="HW140" s="653" t="e">
        <f>HU140/HS140*HV140*EXP(-LN(2)/10990*($F$88-HT140))</f>
        <v>#DIV/0!</v>
      </c>
      <c r="HX140" s="599" t="e">
        <f>HW140-AVERAGE(IE94:IE95)</f>
        <v>#DIV/0!</v>
      </c>
      <c r="HY140" s="599" t="e">
        <f>ABS($B$33*HX140*3600)</f>
        <v>#DIV/0!</v>
      </c>
      <c r="HZ140" s="657" t="e">
        <f>ABS($B$34*HX140*3600)</f>
        <v>#DIV/0!</v>
      </c>
      <c r="IA140" s="600" t="e">
        <f>HZ140*$C$79</f>
        <v>#DIV/0!</v>
      </c>
      <c r="IB140" s="599" t="e">
        <f>HZ140*$F$70</f>
        <v>#DIV/0!</v>
      </c>
      <c r="IC140" s="600" t="e">
        <f>HZ140*$F$75</f>
        <v>#DIV/0!</v>
      </c>
      <c r="ID140" s="599" t="e">
        <f>HZ140*$F$72</f>
        <v>#DIV/0!</v>
      </c>
      <c r="IE140" s="658" t="e">
        <f>HZ140*$F$71</f>
        <v>#DIV/0!</v>
      </c>
      <c r="IF140" s="664"/>
      <c r="IG140" s="660"/>
      <c r="IH140" s="661"/>
      <c r="II140" s="651"/>
      <c r="IJ140" s="662"/>
      <c r="IK140" s="663"/>
      <c r="IL140" s="651">
        <f>IF(AND(ABS(II140)&gt;=$F$42,ABS(II140)&lt;=$G$42),II140*$D$42,IF(AND(ABS(II140)&gt;=$F$43,ABS(II140)&lt;=$G$43),II140*$D$43,IF(AND(ABS(II140)&gt;=$F$44,ABS(II140)&lt;=$G$44),II140*$D$44,"rango cal. out")))</f>
        <v>0</v>
      </c>
      <c r="IM140" s="652" t="e">
        <f>((273.2+IF140)*$F$32/((273.2+$F$31)*IH140))</f>
        <v>#DIV/0!</v>
      </c>
      <c r="IN140" s="653" t="e">
        <f>IL140/IJ140*IM140*EXP(-LN(2)/10990*($F$88-IK140))</f>
        <v>#DIV/0!</v>
      </c>
      <c r="IO140" s="599" t="e">
        <f>IN140-AVERAGE(IV94:IV95)</f>
        <v>#DIV/0!</v>
      </c>
      <c r="IP140" s="599" t="e">
        <f>ABS($B$33*IO140*3600)</f>
        <v>#DIV/0!</v>
      </c>
      <c r="IQ140" s="657" t="e">
        <f>ABS($B$34*IO140*3600)</f>
        <v>#DIV/0!</v>
      </c>
      <c r="IR140" s="600" t="e">
        <f>IQ140*$C$79</f>
        <v>#DIV/0!</v>
      </c>
      <c r="IS140" s="599" t="e">
        <f>IQ140*$F$70</f>
        <v>#DIV/0!</v>
      </c>
      <c r="IT140" s="600" t="e">
        <f>IQ140*$F$75</f>
        <v>#DIV/0!</v>
      </c>
      <c r="IU140" s="599" t="e">
        <f>IQ140*$F$72</f>
        <v>#DIV/0!</v>
      </c>
      <c r="IV140" s="658" t="e">
        <f>IQ140*$F$71</f>
        <v>#DIV/0!</v>
      </c>
      <c r="IW140" s="664"/>
      <c r="IX140" s="660"/>
      <c r="IY140" s="661"/>
      <c r="IZ140" s="651"/>
      <c r="JA140" s="662"/>
      <c r="JB140" s="663"/>
      <c r="JC140" s="651">
        <f>IF(AND(ABS(IZ140)&gt;=$F$42,ABS(IZ140)&lt;=$G$42),IZ140*$D$42,IF(AND(ABS(IZ140)&gt;=$F$43,ABS(IZ140)&lt;=$G$43),IZ140*$D$43,IF(AND(ABS(IZ140)&gt;=$F$44,ABS(IZ140)&lt;=$G$44),IZ140*$D$44,"rango cal. out")))</f>
        <v>0</v>
      </c>
      <c r="JD140" s="652" t="e">
        <f>((273.2+IW140)*$F$32/((273.2+$F$31)*IY140))</f>
        <v>#DIV/0!</v>
      </c>
      <c r="JE140" s="653" t="e">
        <f>JC140/JA140*JD140*EXP(-LN(2)/10990*($F$88-JB140))</f>
        <v>#DIV/0!</v>
      </c>
      <c r="JF140" s="599" t="e">
        <f>JE140-AVERAGE(JM94:JM95)</f>
        <v>#DIV/0!</v>
      </c>
      <c r="JG140" s="599" t="e">
        <f>ABS($B$33*JF140*3600)</f>
        <v>#DIV/0!</v>
      </c>
      <c r="JH140" s="657" t="e">
        <f>ABS($B$34*JF140*3600)</f>
        <v>#DIV/0!</v>
      </c>
      <c r="JI140" s="600" t="e">
        <f>JH140*$C$79</f>
        <v>#DIV/0!</v>
      </c>
      <c r="JJ140" s="599" t="e">
        <f>JH140*$F$70</f>
        <v>#DIV/0!</v>
      </c>
      <c r="JK140" s="600" t="e">
        <f>JH140*$F$75</f>
        <v>#DIV/0!</v>
      </c>
      <c r="JL140" s="599" t="e">
        <f>JH140*$F$72</f>
        <v>#DIV/0!</v>
      </c>
      <c r="JM140" s="658" t="e">
        <f>JH140*$F$71</f>
        <v>#DIV/0!</v>
      </c>
      <c r="JN140" s="664"/>
      <c r="JO140" s="660"/>
      <c r="JP140" s="661"/>
      <c r="JQ140" s="651"/>
      <c r="JR140" s="662"/>
      <c r="JS140" s="663"/>
      <c r="JT140" s="651">
        <f>IF(AND(ABS(JQ140)&gt;=$F$42,ABS(JQ140)&lt;=$G$42),JQ140*$D$42,IF(AND(ABS(JQ140)&gt;=$F$43,ABS(JQ140)&lt;=$G$43),JQ140*$D$43,IF(AND(ABS(JQ140)&gt;=$F$44,ABS(JQ140)&lt;=$G$44),JQ140*$D$44,"rango cal. out")))</f>
        <v>0</v>
      </c>
      <c r="JU140" s="652" t="e">
        <f>((273.2+JN140)*$F$32/((273.2+$F$31)*JP140))</f>
        <v>#DIV/0!</v>
      </c>
      <c r="JV140" s="653" t="e">
        <f>JT140/JR140*JU140*EXP(-LN(2)/10990*($F$88-JS140))</f>
        <v>#DIV/0!</v>
      </c>
      <c r="JW140" s="599" t="e">
        <f>JV140-AVERAGE(KD94:KD95)</f>
        <v>#DIV/0!</v>
      </c>
      <c r="JX140" s="599" t="e">
        <f>ABS($B$33*JW140*3600)</f>
        <v>#DIV/0!</v>
      </c>
      <c r="JY140" s="657" t="e">
        <f>ABS($B$34*JW140*3600)</f>
        <v>#DIV/0!</v>
      </c>
      <c r="JZ140" s="600" t="e">
        <f>JY140*$C$79</f>
        <v>#DIV/0!</v>
      </c>
      <c r="KA140" s="599" t="e">
        <f>JY140*$F$70</f>
        <v>#DIV/0!</v>
      </c>
      <c r="KB140" s="600" t="e">
        <f>JY140*$F$75</f>
        <v>#DIV/0!</v>
      </c>
      <c r="KC140" s="599" t="e">
        <f>JY140*$F$72</f>
        <v>#DIV/0!</v>
      </c>
      <c r="KD140" s="658" t="e">
        <f>JY140*$F$71</f>
        <v>#DIV/0!</v>
      </c>
      <c r="KE140" s="664"/>
      <c r="KF140" s="660"/>
      <c r="KG140" s="661"/>
      <c r="KH140" s="651"/>
      <c r="KI140" s="662"/>
      <c r="KJ140" s="663"/>
      <c r="KK140" s="651">
        <f>IF(AND(ABS(KH140)&gt;=$F$42,ABS(KH140)&lt;=$G$42),KH140*$D$42,IF(AND(ABS(KH140)&gt;=$F$43,ABS(KH140)&lt;=$G$43),KH140*$D$43,IF(AND(ABS(KH140)&gt;=$F$44,ABS(KH140)&lt;=$G$44),KH140*$D$44,"rango cal. out")))</f>
        <v>0</v>
      </c>
      <c r="KL140" s="652" t="e">
        <f>((273.2+KE140)*$F$32/((273.2+$F$31)*KG140))</f>
        <v>#DIV/0!</v>
      </c>
      <c r="KM140" s="653" t="e">
        <f>KK140/KI140*KL140*EXP(-LN(2)/10990*($F$88-KJ140))</f>
        <v>#DIV/0!</v>
      </c>
      <c r="KN140" s="599" t="e">
        <f>KM140-AVERAGE(KU94:KU95)</f>
        <v>#DIV/0!</v>
      </c>
      <c r="KO140" s="599" t="e">
        <f>ABS($B$33*KN140*3600)</f>
        <v>#DIV/0!</v>
      </c>
      <c r="KP140" s="657" t="e">
        <f>ABS($B$34*KN140*3600)</f>
        <v>#DIV/0!</v>
      </c>
      <c r="KQ140" s="600" t="e">
        <f>KP140*$C$79</f>
        <v>#DIV/0!</v>
      </c>
      <c r="KR140" s="599" t="e">
        <f>KP140*$F$70</f>
        <v>#DIV/0!</v>
      </c>
      <c r="KS140" s="600" t="e">
        <f>KP140*$F$75</f>
        <v>#DIV/0!</v>
      </c>
      <c r="KT140" s="599" t="e">
        <f>KP140*$F$72</f>
        <v>#DIV/0!</v>
      </c>
      <c r="KU140" s="658" t="e">
        <f>KP140*$F$71</f>
        <v>#DIV/0!</v>
      </c>
      <c r="KV140" s="664"/>
      <c r="KW140" s="660"/>
      <c r="KX140" s="661"/>
      <c r="KY140" s="651"/>
      <c r="KZ140" s="662"/>
      <c r="LA140" s="663"/>
      <c r="LB140" s="651">
        <f>IF(AND(ABS(KY140)&gt;=$F$42,ABS(KY140)&lt;=$G$42),KY140*$D$42,IF(AND(ABS(KY140)&gt;=$F$43,ABS(KY140)&lt;=$G$43),KY140*$D$43,IF(AND(ABS(KY140)&gt;=$F$44,ABS(KY140)&lt;=$G$44),KY140*$D$44,"rango cal. out")))</f>
        <v>0</v>
      </c>
      <c r="LC140" s="652" t="e">
        <f>((273.2+KV140)*$F$32/((273.2+$F$31)*KX140))</f>
        <v>#DIV/0!</v>
      </c>
      <c r="LD140" s="653" t="e">
        <f>LB140/KZ140*LC140*EXP(-LN(2)/10990*($F$88-LA140))</f>
        <v>#DIV/0!</v>
      </c>
      <c r="LE140" s="599" t="e">
        <f>LD140-AVERAGE(LL94:LL95)</f>
        <v>#DIV/0!</v>
      </c>
      <c r="LF140" s="599" t="e">
        <f>ABS($B$33*LE140*3600)</f>
        <v>#DIV/0!</v>
      </c>
      <c r="LG140" s="657" t="e">
        <f>ABS($B$34*LE140*3600)</f>
        <v>#DIV/0!</v>
      </c>
      <c r="LH140" s="600" t="e">
        <f>LG140*$C$79</f>
        <v>#DIV/0!</v>
      </c>
      <c r="LI140" s="599" t="e">
        <f>LG140*$F$70</f>
        <v>#DIV/0!</v>
      </c>
      <c r="LJ140" s="600" t="e">
        <f>LG140*$F$75</f>
        <v>#DIV/0!</v>
      </c>
      <c r="LK140" s="599" t="e">
        <f>LG140*$F$72</f>
        <v>#DIV/0!</v>
      </c>
      <c r="LL140" s="658" t="e">
        <f>LG140*$F$71</f>
        <v>#DIV/0!</v>
      </c>
      <c r="LM140" s="664"/>
      <c r="LN140" s="660"/>
      <c r="LO140" s="661"/>
      <c r="LP140" s="651"/>
      <c r="LQ140" s="662"/>
      <c r="LR140" s="663"/>
      <c r="LS140" s="651">
        <f>IF(AND(ABS(LP140)&gt;=$F$42,ABS(LP140)&lt;=$G$42),LP140*$D$42,IF(AND(ABS(LP140)&gt;=$F$43,ABS(LP140)&lt;=$G$43),LP140*$D$43,IF(AND(ABS(LP140)&gt;=$F$44,ABS(LP140)&lt;=$G$44),LP140*$D$44,"rango cal. out")))</f>
        <v>0</v>
      </c>
      <c r="LT140" s="652" t="e">
        <f>((273.2+LM140)*$F$32/((273.2+$F$31)*LO140))</f>
        <v>#DIV/0!</v>
      </c>
      <c r="LU140" s="653" t="e">
        <f>LS140/LQ140*LT140*EXP(-LN(2)/10990*($F$88-LR140))</f>
        <v>#DIV/0!</v>
      </c>
      <c r="LV140" s="599" t="e">
        <f>LU140-AVERAGE(MC94:MC95)</f>
        <v>#DIV/0!</v>
      </c>
      <c r="LW140" s="599" t="e">
        <f>ABS($B$33*LV140*3600)</f>
        <v>#DIV/0!</v>
      </c>
      <c r="LX140" s="657" t="e">
        <f>ABS($B$34*LV140*3600)</f>
        <v>#DIV/0!</v>
      </c>
      <c r="LY140" s="600" t="e">
        <f>LX140*$C$79</f>
        <v>#DIV/0!</v>
      </c>
      <c r="LZ140" s="599" t="e">
        <f>LX140*$F$70</f>
        <v>#DIV/0!</v>
      </c>
      <c r="MA140" s="600" t="e">
        <f>LX140*$F$75</f>
        <v>#DIV/0!</v>
      </c>
      <c r="MB140" s="599" t="e">
        <f>LX140*$F$72</f>
        <v>#DIV/0!</v>
      </c>
      <c r="MC140" s="658" t="e">
        <f>LX140*$F$71</f>
        <v>#DIV/0!</v>
      </c>
      <c r="MD140" s="664"/>
      <c r="ME140" s="660"/>
      <c r="MF140" s="666"/>
      <c r="MG140" s="651"/>
      <c r="MH140" s="667"/>
      <c r="MI140" s="663"/>
      <c r="MJ140" s="651">
        <f>IF(AND(ABS(MG140)&gt;=$F$42,ABS(MG140)&lt;=$G$42),MG140*$D$42,IF(AND(ABS(MG140)&gt;=$F$43,ABS(MG140)&lt;=$G$43),MG140*$D$43,IF(AND(ABS(MG140)&gt;=$F$44,ABS(MG140)&lt;=$G$44),MG140*$D$44,"rango cal. out")))</f>
        <v>0</v>
      </c>
      <c r="MK140" s="652" t="e">
        <f>((273.2+MD140)*$F$32/((273.2+$F$31)*MF140))</f>
        <v>#DIV/0!</v>
      </c>
      <c r="ML140" s="653" t="e">
        <f>MJ140/MH140*MK140*EXP(-LN(2)/10990*($F$88-MI140))</f>
        <v>#DIV/0!</v>
      </c>
      <c r="MM140" s="599" t="e">
        <f>ML140-AVERAGE(MT94:MT95)</f>
        <v>#DIV/0!</v>
      </c>
      <c r="MN140" s="599" t="e">
        <f>ABS($B$33*MM140*3600)</f>
        <v>#DIV/0!</v>
      </c>
      <c r="MO140" s="657" t="e">
        <f>ABS($B$34*MM140*3600)</f>
        <v>#DIV/0!</v>
      </c>
      <c r="MP140" s="600" t="e">
        <f>MO140*$C$79</f>
        <v>#DIV/0!</v>
      </c>
      <c r="MQ140" s="599" t="e">
        <f>MO140*$F$70</f>
        <v>#DIV/0!</v>
      </c>
      <c r="MR140" s="600" t="e">
        <f>MO140*$F$75</f>
        <v>#DIV/0!</v>
      </c>
      <c r="MS140" s="599" t="e">
        <f>MO140*$F$72</f>
        <v>#DIV/0!</v>
      </c>
      <c r="MT140" s="658" t="e">
        <f>MO140*$F$71</f>
        <v>#DIV/0!</v>
      </c>
      <c r="MU140" s="664">
        <v>20.5</v>
      </c>
      <c r="MV140" s="660">
        <v>53</v>
      </c>
      <c r="MW140" s="666">
        <v>1007</v>
      </c>
      <c r="MX140" s="651">
        <v>-3.5660000000000003E-11</v>
      </c>
      <c r="MY140" s="662">
        <v>60</v>
      </c>
      <c r="MZ140" s="663">
        <v>43403</v>
      </c>
      <c r="NA140" s="651" t="str">
        <f>IF(AND(ABS(MX140)&gt;=$F$42,ABS(MX140)&lt;=$G$42),MX140*$D$42,IF(AND(ABS(MX140)&gt;=$F$43,ABS(MX140)&lt;=$G$43),MX140*$D$43,IF(AND(ABS(MX140)&gt;=$F$44,ABS(MX140)&lt;=$G$44),MX140*$D$44,"rango cal. out")))</f>
        <v>rango cal. out</v>
      </c>
      <c r="NB140" s="652">
        <f>((273.2+MU140)*$F$32/((273.2+$F$31)*MW140))</f>
        <v>0</v>
      </c>
      <c r="NC140" s="653" t="e">
        <f>NA140/MY140*NB140*EXP(-LN(2)/10990*($F$88-MZ140))</f>
        <v>#VALUE!</v>
      </c>
      <c r="ND140" s="599" t="e">
        <f>NC140-AVERAGE(NK94:NK95)</f>
        <v>#VALUE!</v>
      </c>
      <c r="NE140" s="599" t="e">
        <f>ABS($B$33*ND140*3600)</f>
        <v>#VALUE!</v>
      </c>
      <c r="NF140" s="657" t="e">
        <f>ABS($B$34*ND140*3600)</f>
        <v>#VALUE!</v>
      </c>
      <c r="NG140" s="600" t="e">
        <f>NF140*$C$79</f>
        <v>#VALUE!</v>
      </c>
      <c r="NH140" s="599" t="e">
        <f>NF140*$F$70</f>
        <v>#VALUE!</v>
      </c>
      <c r="NI140" s="600" t="e">
        <f>NF140*$F$75</f>
        <v>#VALUE!</v>
      </c>
      <c r="NJ140" s="599" t="e">
        <f>NF140*$F$72</f>
        <v>#VALUE!</v>
      </c>
      <c r="NK140" s="658" t="e">
        <f>NF140*$F$71</f>
        <v>#VALUE!</v>
      </c>
      <c r="NL140" s="664"/>
      <c r="NM140" s="660"/>
      <c r="NN140" s="661"/>
      <c r="NO140" s="651"/>
      <c r="NP140" s="662"/>
      <c r="NQ140" s="663"/>
      <c r="NR140" s="651">
        <f>IF(AND(ABS(NO140)&gt;=$F$42,ABS(NO140)&lt;=$G$42),NO140*$D$42,IF(AND(ABS(NO140)&gt;=$F$43,ABS(NO140)&lt;=$G$43),NO140*$D$43,IF(AND(ABS(NO140)&gt;=$F$44,ABS(NO140)&lt;=$G$44),NO140*$D$44,"rango cal. out")))</f>
        <v>0</v>
      </c>
      <c r="NS140" s="652" t="e">
        <f>((273.2+NL140)*$F$32/((273.2+$F$31)*NN140))</f>
        <v>#DIV/0!</v>
      </c>
      <c r="NT140" s="653" t="e">
        <f>NR140/NP140*NS140*EXP(-LN(2)/10990*($F$88-NQ140))</f>
        <v>#DIV/0!</v>
      </c>
      <c r="NU140" s="599" t="e">
        <f>NT140-AVERAGE(OB94:OB95)</f>
        <v>#DIV/0!</v>
      </c>
      <c r="NV140" s="599" t="e">
        <f>ABS($B$33*NU140*3600)</f>
        <v>#DIV/0!</v>
      </c>
      <c r="NW140" s="657" t="e">
        <f>ABS($B$34*NU140*3600)</f>
        <v>#DIV/0!</v>
      </c>
      <c r="NX140" s="600" t="e">
        <f>NW140*$C$79</f>
        <v>#DIV/0!</v>
      </c>
      <c r="NY140" s="599" t="e">
        <f>NW140*$F$70</f>
        <v>#DIV/0!</v>
      </c>
      <c r="NZ140" s="600" t="e">
        <f>NW140*$F$75</f>
        <v>#DIV/0!</v>
      </c>
      <c r="OA140" s="599" t="e">
        <f>NW140*$F$72</f>
        <v>#DIV/0!</v>
      </c>
      <c r="OB140" s="658" t="e">
        <f>NW140*$F$71</f>
        <v>#DIV/0!</v>
      </c>
      <c r="OC140" s="664">
        <v>20.5</v>
      </c>
      <c r="OD140" s="660">
        <v>54</v>
      </c>
      <c r="OE140" s="666">
        <v>1007</v>
      </c>
      <c r="OF140" s="651">
        <v>-8.3130000000000001E-11</v>
      </c>
      <c r="OG140" s="667">
        <v>60</v>
      </c>
      <c r="OH140" s="663">
        <v>43403</v>
      </c>
      <c r="OI140" s="651" t="str">
        <f>IF(AND(ABS(OF140)&gt;=$F$42,ABS(OF140)&lt;=$G$42),OF140*$D$42,IF(AND(ABS(OF140)&gt;=$F$43,ABS(OF140)&lt;=$G$43),OF140*$D$43,IF(AND(ABS(OF140)&gt;=$F$44,ABS(OF140)&lt;=$G$44),OF140*$D$44,"rango cal. out")))</f>
        <v>rango cal. out</v>
      </c>
      <c r="OJ140" s="652">
        <f>((273.2+OC140)*$F$32/((273.2+$F$31)*OE140))</f>
        <v>0</v>
      </c>
      <c r="OK140" s="653" t="e">
        <f>OI140/OG140*OJ140*EXP(-LN(2)/10990*($F$88-OH140))</f>
        <v>#VALUE!</v>
      </c>
      <c r="OL140" s="599" t="e">
        <f>OK140-AVERAGE(OS94:OS95)</f>
        <v>#VALUE!</v>
      </c>
      <c r="OM140" s="599" t="e">
        <f>ABS($B$33*OL140*3600)</f>
        <v>#VALUE!</v>
      </c>
      <c r="ON140" s="657" t="e">
        <f>ABS($B$34*OL140*3600)</f>
        <v>#VALUE!</v>
      </c>
      <c r="OO140" s="600" t="e">
        <f>ON140*$C$79</f>
        <v>#VALUE!</v>
      </c>
      <c r="OP140" s="599" t="e">
        <f>ON140*$F$70</f>
        <v>#VALUE!</v>
      </c>
      <c r="OQ140" s="600" t="e">
        <f>ON140*$F$75</f>
        <v>#VALUE!</v>
      </c>
      <c r="OR140" s="599" t="e">
        <f>ON140*$F$72</f>
        <v>#VALUE!</v>
      </c>
      <c r="OS140" s="658" t="e">
        <f>ON140*$F$71</f>
        <v>#VALUE!</v>
      </c>
      <c r="OT140" s="664"/>
      <c r="OU140" s="660"/>
      <c r="OV140" s="661"/>
      <c r="OW140" s="651"/>
      <c r="OX140" s="662"/>
      <c r="OY140" s="663"/>
      <c r="OZ140" s="651">
        <f>IF(AND(ABS(OW140)&gt;=$F$42,ABS(OW140)&lt;=$G$42),OW140*$D$42,IF(AND(ABS(OW140)&gt;=$F$43,ABS(OW140)&lt;=$G$43),OW140*$D$43,IF(AND(ABS(OW140)&gt;=$F$44,ABS(OW140)&lt;=$G$44),OW140*$D$44,"rango cal. out")))</f>
        <v>0</v>
      </c>
      <c r="PA140" s="652" t="e">
        <f>((273.2+OT140)*$F$32/((273.2+$F$31)*OV140))</f>
        <v>#DIV/0!</v>
      </c>
      <c r="PB140" s="653" t="e">
        <f>OZ140/OX140*PA140*EXP(-LN(2)/10990*($F$88-OY140))</f>
        <v>#DIV/0!</v>
      </c>
      <c r="PC140" s="599" t="e">
        <f>PB140-AVERAGE(PJ94:PJ95)</f>
        <v>#DIV/0!</v>
      </c>
      <c r="PD140" s="599" t="e">
        <f>ABS($B$33*PC140*3600)</f>
        <v>#DIV/0!</v>
      </c>
      <c r="PE140" s="657" t="e">
        <f>ABS($B$34*PC140*3600)</f>
        <v>#DIV/0!</v>
      </c>
      <c r="PF140" s="600" t="e">
        <f>PE140*$C$79</f>
        <v>#DIV/0!</v>
      </c>
      <c r="PG140" s="599" t="e">
        <f>PE140*$F$70</f>
        <v>#DIV/0!</v>
      </c>
      <c r="PH140" s="600" t="e">
        <f>PE140*$F$75</f>
        <v>#DIV/0!</v>
      </c>
      <c r="PI140" s="599" t="e">
        <f>PE140*$F$72</f>
        <v>#DIV/0!</v>
      </c>
      <c r="PJ140" s="658" t="e">
        <f>PE140*$F$71</f>
        <v>#DIV/0!</v>
      </c>
      <c r="PK140" s="664"/>
      <c r="PL140" s="660"/>
      <c r="PM140" s="661"/>
      <c r="PN140" s="651"/>
      <c r="PO140" s="662"/>
      <c r="PP140" s="663"/>
      <c r="PQ140" s="651">
        <f>IF(AND(ABS(PN140)&gt;=$F$42,ABS(PN140)&lt;=$G$42),PN140*$D$42,IF(AND(ABS(PN140)&gt;=$F$43,ABS(PN140)&lt;=$G$43),PN140*$D$43,IF(AND(ABS(PN140)&gt;=$F$44,ABS(PN140)&lt;=$G$44),PN140*$D$44,"rango cal. out")))</f>
        <v>0</v>
      </c>
      <c r="PR140" s="652" t="e">
        <f>((273.2+PK140)*$F$32/((273.2+$F$31)*PM140))</f>
        <v>#DIV/0!</v>
      </c>
      <c r="PS140" s="653" t="e">
        <f>PQ140/PO140*PR140*EXP(-LN(2)/10990*($F$88-PP140))</f>
        <v>#DIV/0!</v>
      </c>
      <c r="PT140" s="599" t="e">
        <f>PS140-AVERAGE(QA94:QA95)</f>
        <v>#DIV/0!</v>
      </c>
      <c r="PU140" s="599" t="e">
        <f>ABS($B$33*PT140*3600)</f>
        <v>#DIV/0!</v>
      </c>
      <c r="PV140" s="657" t="e">
        <f>ABS($B$34*PT140*3600)</f>
        <v>#DIV/0!</v>
      </c>
      <c r="PW140" s="600" t="e">
        <f>PV140*$C$79</f>
        <v>#DIV/0!</v>
      </c>
      <c r="PX140" s="599" t="e">
        <f>PV140*$F$70</f>
        <v>#DIV/0!</v>
      </c>
      <c r="PY140" s="600" t="e">
        <f>PV140*$F$75</f>
        <v>#DIV/0!</v>
      </c>
      <c r="PZ140" s="599" t="e">
        <f>PV140*$F$72</f>
        <v>#DIV/0!</v>
      </c>
      <c r="QA140" s="658" t="e">
        <f>PV140*$F$71</f>
        <v>#DIV/0!</v>
      </c>
      <c r="QB140" s="664"/>
      <c r="QC140" s="660"/>
      <c r="QD140" s="666"/>
      <c r="QE140" s="651"/>
      <c r="QF140" s="667"/>
      <c r="QG140" s="663"/>
      <c r="QH140" s="651">
        <f>IF(AND(ABS(QE140)&gt;=$F$42,ABS(QE140)&lt;=$G$42),QE140*$D$42,IF(AND(ABS(QE140)&gt;=$F$43,ABS(QE140)&lt;=$G$43),QE140*$D$43,IF(AND(ABS(QE140)&gt;=$F$44,ABS(QE140)&lt;=$G$44),QE140*$D$44,"rango cal. out")))</f>
        <v>0</v>
      </c>
      <c r="QI140" s="652" t="e">
        <f>((273.2+QB140)*$F$32/((273.2+$F$31)*QD140))</f>
        <v>#DIV/0!</v>
      </c>
      <c r="QJ140" s="653" t="e">
        <f>QH140/QF140*QI140*EXP(-LN(2)/10990*($F$88-QG140))</f>
        <v>#DIV/0!</v>
      </c>
      <c r="QK140" s="599" t="e">
        <f>QJ140-AVERAGE(QR94:QR95)</f>
        <v>#DIV/0!</v>
      </c>
      <c r="QL140" s="599" t="e">
        <f>ABS($B$33*QK140*3600)</f>
        <v>#DIV/0!</v>
      </c>
      <c r="QM140" s="657" t="e">
        <f>ABS($B$34*QK140*3600)</f>
        <v>#DIV/0!</v>
      </c>
      <c r="QN140" s="600" t="e">
        <f>QM140*$C$79</f>
        <v>#DIV/0!</v>
      </c>
      <c r="QO140" s="599" t="e">
        <f>QM140*$F$70</f>
        <v>#DIV/0!</v>
      </c>
      <c r="QP140" s="600" t="e">
        <f>QM140*$F$75</f>
        <v>#DIV/0!</v>
      </c>
      <c r="QQ140" s="599" t="e">
        <f>QM140*$F$72</f>
        <v>#DIV/0!</v>
      </c>
      <c r="QR140" s="658" t="e">
        <f>QM140*$F$71</f>
        <v>#DIV/0!</v>
      </c>
      <c r="QS140" s="664"/>
      <c r="QT140" s="660"/>
      <c r="QU140" s="660"/>
      <c r="QV140" s="665"/>
      <c r="QW140" s="667"/>
      <c r="QX140" s="663"/>
      <c r="QY140" s="651">
        <f>IF(AND(ABS(QV140)&gt;=$F$42,ABS(QV140)&lt;=$G$42),QV140*$D$42,IF(AND(ABS(QV140)&gt;=$F$43,ABS(QV140)&lt;=$G$43),QV140*$D$43,IF(AND(ABS(QV140)&gt;=$F$44,ABS(QV140)&lt;=$G$44),QV140*$D$44,"rango cal. out")))</f>
        <v>0</v>
      </c>
      <c r="QZ140" s="652" t="e">
        <f>((273.2+QS140)*$F$32/((273.2+$F$31)*QU140))</f>
        <v>#DIV/0!</v>
      </c>
      <c r="RA140" s="653" t="e">
        <f>QY140/QW140*QZ140*EXP(-LN(2)/10990*($F$88-QX140))</f>
        <v>#DIV/0!</v>
      </c>
      <c r="RB140" s="599" t="e">
        <f>RA140-AVERAGE(RI94:RI95)</f>
        <v>#DIV/0!</v>
      </c>
      <c r="RC140" s="599" t="e">
        <f>ABS($B$33*RB140*3600)</f>
        <v>#DIV/0!</v>
      </c>
      <c r="RD140" s="657" t="e">
        <f>ABS($B$34*RB140*3600)</f>
        <v>#DIV/0!</v>
      </c>
      <c r="RE140" s="600" t="e">
        <f>RD140*$C$79</f>
        <v>#DIV/0!</v>
      </c>
      <c r="RF140" s="599" t="e">
        <f>RD140*$F$70</f>
        <v>#DIV/0!</v>
      </c>
      <c r="RG140" s="600" t="e">
        <f>RD140*$F$75</f>
        <v>#DIV/0!</v>
      </c>
      <c r="RH140" s="599" t="e">
        <f>RD140*$F$72</f>
        <v>#DIV/0!</v>
      </c>
      <c r="RI140" s="658" t="e">
        <f>RD140*$F$71</f>
        <v>#DIV/0!</v>
      </c>
      <c r="RJ140" s="664">
        <v>20.5</v>
      </c>
      <c r="RK140" s="660">
        <v>54</v>
      </c>
      <c r="RL140" s="666">
        <v>1007</v>
      </c>
      <c r="RM140" s="651">
        <v>-3.9100000000000001E-12</v>
      </c>
      <c r="RN140" s="667">
        <v>60</v>
      </c>
      <c r="RO140" s="663">
        <v>43403</v>
      </c>
      <c r="RP140" s="651" t="str">
        <f>IF(AND(ABS(RM140)&gt;=$F$42,ABS(RM140)&lt;=$G$42),RM140*$D$42,IF(AND(ABS(RM140)&gt;=$F$43,ABS(RM140)&lt;=$G$43),RM140*$D$43,IF(AND(ABS(RM140)&gt;=$F$44,ABS(RM140)&lt;=$G$44),RM140*$D$44,"rango cal. out")))</f>
        <v>rango cal. out</v>
      </c>
      <c r="RQ140" s="652">
        <f>((273.2+RJ140)*$F$32/((273.2+$F$31)*RL140))</f>
        <v>0</v>
      </c>
      <c r="RR140" s="653" t="e">
        <f>RP140/RN140*RQ140*EXP(-LN(2)/10990*($F$88-RO140))</f>
        <v>#VALUE!</v>
      </c>
      <c r="RS140" s="599" t="e">
        <f>RR140-AVERAGE(RZ94:RZ95)</f>
        <v>#VALUE!</v>
      </c>
      <c r="RT140" s="599" t="e">
        <f>ABS($B$33*RS140*3600)</f>
        <v>#VALUE!</v>
      </c>
      <c r="RU140" s="657" t="e">
        <f>ABS($B$34*RS140*3600)</f>
        <v>#VALUE!</v>
      </c>
      <c r="RV140" s="600" t="e">
        <f>RU140*$C$79</f>
        <v>#VALUE!</v>
      </c>
      <c r="RW140" s="599" t="e">
        <f>RU140*$F$70</f>
        <v>#VALUE!</v>
      </c>
      <c r="RX140" s="600" t="e">
        <f>RU140*$F$75</f>
        <v>#VALUE!</v>
      </c>
      <c r="RY140" s="599" t="e">
        <f>RU140*$F$72</f>
        <v>#VALUE!</v>
      </c>
      <c r="RZ140" s="658" t="e">
        <f>RU140*$F$71</f>
        <v>#VALUE!</v>
      </c>
      <c r="SA140" s="664">
        <v>20.5</v>
      </c>
      <c r="SB140" s="660">
        <v>55</v>
      </c>
      <c r="SC140" s="666">
        <v>1008</v>
      </c>
      <c r="SD140" s="651">
        <v>-2.0650000000000001E-10</v>
      </c>
      <c r="SE140" s="667">
        <v>60</v>
      </c>
      <c r="SF140" s="663">
        <v>43403</v>
      </c>
      <c r="SG140" s="651" t="str">
        <f>IF(AND(ABS(SD140)&gt;=$F$42,ABS(SD140)&lt;=$G$42),SD140*$D$42,IF(AND(ABS(SD140)&gt;=$F$43,ABS(SD140)&lt;=$G$43),SD140*$D$43,IF(AND(ABS(SD140)&gt;=$F$44,ABS(SD140)&lt;=$G$44),SD140*$D$44,"rango cal. out")))</f>
        <v>rango cal. out</v>
      </c>
      <c r="SH140" s="652">
        <f>((273.2+SA140)*$F$32/((273.2+$F$31)*SC140))</f>
        <v>0</v>
      </c>
      <c r="SI140" s="653" t="e">
        <f>SG140/SE140*SH140*EXP(-LN(2)/10990*($F$88-SF140))</f>
        <v>#VALUE!</v>
      </c>
      <c r="SJ140" s="599" t="e">
        <f>SI140-AVERAGE(SQ94:SQ95)</f>
        <v>#VALUE!</v>
      </c>
      <c r="SK140" s="599" t="e">
        <f>ABS($B$33*SJ140*3600)</f>
        <v>#VALUE!</v>
      </c>
      <c r="SL140" s="657" t="e">
        <f>ABS($B$34*SJ140*3600)</f>
        <v>#VALUE!</v>
      </c>
      <c r="SM140" s="600" t="e">
        <f>SL140*$C$79</f>
        <v>#VALUE!</v>
      </c>
      <c r="SN140" s="599" t="e">
        <f>SL140*$F$70</f>
        <v>#VALUE!</v>
      </c>
      <c r="SO140" s="600" t="e">
        <f>SL140*$F$75</f>
        <v>#VALUE!</v>
      </c>
      <c r="SP140" s="599" t="e">
        <f>SL140*$F$72</f>
        <v>#VALUE!</v>
      </c>
      <c r="SQ140" s="658" t="e">
        <f>SL140*$F$71</f>
        <v>#VALUE!</v>
      </c>
      <c r="SR140" s="664"/>
      <c r="SS140" s="660"/>
      <c r="ST140" s="661"/>
      <c r="SU140" s="651"/>
      <c r="SV140" s="662"/>
      <c r="SW140" s="663"/>
      <c r="SX140" s="651">
        <f>IF(AND(ABS(SU140)&gt;=$F$42,ABS(SU140)&lt;=$G$42),SU140*$D$42,IF(AND(ABS(SU140)&gt;=$F$43,ABS(SU140)&lt;=$G$43),SU140*$D$43,IF(AND(ABS(SU140)&gt;=$F$44,ABS(SU140)&lt;=$G$44),SU140*$D$44,"rango cal. out")))</f>
        <v>0</v>
      </c>
      <c r="SY140" s="652" t="e">
        <f>((273.2+SR140)*$F$32/((273.2+$F$31)*ST140))</f>
        <v>#DIV/0!</v>
      </c>
      <c r="SZ140" s="653" t="e">
        <f>SX140/SV140*SY140*EXP(-LN(2)/10990*($F$88-SW140))</f>
        <v>#DIV/0!</v>
      </c>
      <c r="TA140" s="599" t="e">
        <f>SZ140-AVERAGE(TH94:TH95)</f>
        <v>#DIV/0!</v>
      </c>
      <c r="TB140" s="599" t="e">
        <f>ABS($B$33*TA140*3600)</f>
        <v>#DIV/0!</v>
      </c>
      <c r="TC140" s="657" t="e">
        <f>ABS($B$34*TA140*3600)</f>
        <v>#DIV/0!</v>
      </c>
      <c r="TD140" s="600" t="e">
        <f>TC140*$C$79</f>
        <v>#DIV/0!</v>
      </c>
      <c r="TE140" s="599" t="e">
        <f>TC140*$F$70</f>
        <v>#DIV/0!</v>
      </c>
      <c r="TF140" s="600" t="e">
        <f>TC140*$F$75</f>
        <v>#DIV/0!</v>
      </c>
      <c r="TG140" s="599" t="e">
        <f>TC140*$F$72</f>
        <v>#DIV/0!</v>
      </c>
      <c r="TH140" s="658" t="e">
        <f>TC140*$F$71</f>
        <v>#DIV/0!</v>
      </c>
      <c r="TI140" s="664">
        <v>20.5</v>
      </c>
      <c r="TJ140" s="660">
        <v>55</v>
      </c>
      <c r="TK140" s="666">
        <v>1008</v>
      </c>
      <c r="TL140" s="651">
        <v>-8.6500000000000005E-12</v>
      </c>
      <c r="TM140" s="667">
        <v>60</v>
      </c>
      <c r="TN140" s="663">
        <v>43403</v>
      </c>
      <c r="TO140" s="651" t="str">
        <f>IF(AND(ABS(TL140)&gt;=$F$42,ABS(TL140)&lt;=$G$42),TL140*$D$42,IF(AND(ABS(TL140)&gt;=$F$43,ABS(TL140)&lt;=$G$43),TL140*$D$43,IF(AND(ABS(TL140)&gt;=$F$44,ABS(TL140)&lt;=$G$44),TL140*$D$44,"rango cal. out")))</f>
        <v>rango cal. out</v>
      </c>
      <c r="TP140" s="652">
        <f>((273.2+TI140)*$F$32/((273.2+$F$31)*TK140))</f>
        <v>0</v>
      </c>
      <c r="TQ140" s="653" t="e">
        <f>TO140/TM140*TP140*EXP(-LN(2)/10990*($F$88-TN140))</f>
        <v>#VALUE!</v>
      </c>
      <c r="TR140" s="599" t="e">
        <f>TQ140-AVERAGE(TY94:TY95)</f>
        <v>#VALUE!</v>
      </c>
      <c r="TS140" s="599" t="e">
        <f>ABS($B$33*TR140*3600)</f>
        <v>#VALUE!</v>
      </c>
      <c r="TT140" s="657" t="e">
        <f>ABS($B$34*TR140*3600)</f>
        <v>#VALUE!</v>
      </c>
      <c r="TU140" s="600" t="e">
        <f>TT140*$C$79</f>
        <v>#VALUE!</v>
      </c>
      <c r="TV140" s="599" t="e">
        <f>TT140*$F$70</f>
        <v>#VALUE!</v>
      </c>
      <c r="TW140" s="600" t="e">
        <f>TT140*$F$75</f>
        <v>#VALUE!</v>
      </c>
      <c r="TX140" s="599" t="e">
        <f>TT140*$F$72</f>
        <v>#VALUE!</v>
      </c>
      <c r="TY140" s="658" t="e">
        <f>TT140*$F$71</f>
        <v>#VALUE!</v>
      </c>
    </row>
    <row r="141" spans="1:545" x14ac:dyDescent="0.25">
      <c r="A141" s="2219"/>
      <c r="B141" s="668"/>
      <c r="C141" s="673"/>
      <c r="D141" s="673"/>
      <c r="E141" s="671"/>
      <c r="F141" s="673"/>
      <c r="G141" s="650"/>
      <c r="H141" s="651"/>
      <c r="I141" s="619"/>
      <c r="J141" s="674"/>
      <c r="K141" s="599"/>
      <c r="L141" s="672"/>
      <c r="M141" s="675"/>
      <c r="N141" s="614"/>
      <c r="O141" s="672"/>
      <c r="P141" s="600"/>
      <c r="Q141" s="672"/>
      <c r="R141" s="676"/>
      <c r="S141" s="677"/>
      <c r="T141" s="669"/>
      <c r="U141" s="670"/>
      <c r="V141" s="671"/>
      <c r="W141" s="678"/>
      <c r="X141" s="650"/>
      <c r="Y141" s="651">
        <f t="shared" ref="Y141:Y144" si="944">IF(AND(ABS(V141)&gt;=$F$42,ABS(V141)&lt;=$G$42),V141*$D$42,IF(AND(ABS(V141)&gt;=$F$43,ABS(V141)&lt;=$G$43),V141*$D$43,IF(AND(ABS(V141)&gt;=$F$44,ABS(V141)&lt;=$G$44),V141*$D$44,"rango cal. out")))</f>
        <v>0</v>
      </c>
      <c r="Z141" s="619" t="e">
        <f>((273.2+S141)*$F$32/((273.2+$F$31)*U141))</f>
        <v>#DIV/0!</v>
      </c>
      <c r="AA141" s="674" t="e">
        <f>Y141/W141*Z141*EXP(-LN(2)/10990*($F$88-X141))</f>
        <v>#DIV/0!</v>
      </c>
      <c r="AB141" s="599" t="e">
        <f>AA141-AVERAGE(AI94:AI95)</f>
        <v>#DIV/0!</v>
      </c>
      <c r="AC141" s="672" t="e">
        <f>ABS($B$33*AB141*3600)</f>
        <v>#DIV/0!</v>
      </c>
      <c r="AD141" s="675" t="e">
        <f>ABS($B$34*AB141*3600)</f>
        <v>#DIV/0!</v>
      </c>
      <c r="AE141" s="614" t="e">
        <f>AD141*$C$79</f>
        <v>#DIV/0!</v>
      </c>
      <c r="AF141" s="672" t="e">
        <f>AD141*$F$70</f>
        <v>#DIV/0!</v>
      </c>
      <c r="AG141" s="600" t="e">
        <f t="shared" ref="AG141:AG144" si="945">AD141*$F$75</f>
        <v>#DIV/0!</v>
      </c>
      <c r="AH141" s="672" t="e">
        <f>AD141*$F$72</f>
        <v>#DIV/0!</v>
      </c>
      <c r="AI141" s="676" t="e">
        <f>AD141*$F$71</f>
        <v>#DIV/0!</v>
      </c>
      <c r="AJ141" s="677"/>
      <c r="AK141" s="669"/>
      <c r="AL141" s="670"/>
      <c r="AM141" s="671"/>
      <c r="AN141" s="678"/>
      <c r="AO141" s="650"/>
      <c r="AP141" s="651">
        <f t="shared" ref="AP141:AP144" si="946">IF(AND(ABS(AM141)&gt;=$F$42,ABS(AM141)&lt;=$G$42),AM141*$D$42,IF(AND(ABS(AM141)&gt;=$F$43,ABS(AM141)&lt;=$G$43),AM141*$D$43,IF(AND(ABS(AM141)&gt;=$F$44,ABS(AM141)&lt;=$G$44),AM141*$D$44,"rango cal. out")))</f>
        <v>0</v>
      </c>
      <c r="AQ141" s="619" t="e">
        <f>((273.2+AJ141)*$F$32/((273.2+$F$31)*AL141))</f>
        <v>#DIV/0!</v>
      </c>
      <c r="AR141" s="674" t="e">
        <f>AP141/AN141*AQ141*EXP(-LN(2)/10990*($F$88-AO141))</f>
        <v>#DIV/0!</v>
      </c>
      <c r="AS141" s="599" t="e">
        <f>AR141-AVERAGE(AZ94:AZ95)</f>
        <v>#DIV/0!</v>
      </c>
      <c r="AT141" s="672" t="e">
        <f>ABS($B$33*AS141*3600)</f>
        <v>#DIV/0!</v>
      </c>
      <c r="AU141" s="675" t="e">
        <f>ABS($B$34*AS141*3600)</f>
        <v>#DIV/0!</v>
      </c>
      <c r="AV141" s="614" t="e">
        <f>AU141*$C$79</f>
        <v>#DIV/0!</v>
      </c>
      <c r="AW141" s="672" t="e">
        <f>AU141*$F$70</f>
        <v>#DIV/0!</v>
      </c>
      <c r="AX141" s="600" t="e">
        <f t="shared" ref="AX141:AX144" si="947">AU141*$F$75</f>
        <v>#DIV/0!</v>
      </c>
      <c r="AY141" s="672" t="e">
        <f>AU141*$F$72</f>
        <v>#DIV/0!</v>
      </c>
      <c r="AZ141" s="676" t="e">
        <f>AU141*$F$71</f>
        <v>#DIV/0!</v>
      </c>
      <c r="BA141" s="668">
        <v>20.7</v>
      </c>
      <c r="BB141" s="669">
        <v>54</v>
      </c>
      <c r="BC141" s="680">
        <v>1009</v>
      </c>
      <c r="BD141" s="671">
        <v>-5.3780000000000005E-10</v>
      </c>
      <c r="BE141" s="673">
        <v>60</v>
      </c>
      <c r="BF141" s="650">
        <v>43403</v>
      </c>
      <c r="BG141" s="651" t="str">
        <f t="shared" ref="BG141:BG144" si="948">IF(AND(ABS(BD141)&gt;=$F$42,ABS(BD141)&lt;=$G$42),BD141*$D$42,IF(AND(ABS(BD141)&gt;=$F$43,ABS(BD141)&lt;=$G$43),BD141*$D$43,IF(AND(ABS(BD141)&gt;=$F$44,ABS(BD141)&lt;=$G$44),BD141*$D$44,"rango cal. out")))</f>
        <v>rango cal. out</v>
      </c>
      <c r="BH141" s="619">
        <f>((273.2+BA141)*$F$32/((273.2+$F$31)*BC141))</f>
        <v>0</v>
      </c>
      <c r="BI141" s="674" t="e">
        <f>BG141/BE141*BH141*EXP(-LN(2)/10990*($F$88-BF141))</f>
        <v>#VALUE!</v>
      </c>
      <c r="BJ141" s="599" t="e">
        <f>BI141-AVERAGE(BQ94:BQ95)</f>
        <v>#VALUE!</v>
      </c>
      <c r="BK141" s="672" t="e">
        <f>ABS($B$33*BJ141*3600)</f>
        <v>#VALUE!</v>
      </c>
      <c r="BL141" s="675" t="e">
        <f>ABS($B$34*BJ141*3600)</f>
        <v>#VALUE!</v>
      </c>
      <c r="BM141" s="614" t="e">
        <f>BL141*$C$79</f>
        <v>#VALUE!</v>
      </c>
      <c r="BN141" s="672" t="e">
        <f>BL141*$F$70</f>
        <v>#VALUE!</v>
      </c>
      <c r="BO141" s="600" t="e">
        <f t="shared" ref="BO141:BO144" si="949">BL141*$F$75</f>
        <v>#VALUE!</v>
      </c>
      <c r="BP141" s="672" t="e">
        <f>BL141*$F$72</f>
        <v>#VALUE!</v>
      </c>
      <c r="BQ141" s="676" t="e">
        <f>BL141*$F$71</f>
        <v>#VALUE!</v>
      </c>
      <c r="BR141" s="668">
        <v>20.7</v>
      </c>
      <c r="BS141" s="669">
        <v>51</v>
      </c>
      <c r="BT141" s="680">
        <v>1008</v>
      </c>
      <c r="BU141" s="671">
        <v>-2.2039999999999999E-11</v>
      </c>
      <c r="BV141" s="673">
        <v>60</v>
      </c>
      <c r="BW141" s="650">
        <v>43403</v>
      </c>
      <c r="BX141" s="651" t="str">
        <f t="shared" ref="BX141:BX144" si="950">IF(AND(ABS(BU141)&gt;=$F$42,ABS(BU141)&lt;=$G$42),BU141*$D$42,IF(AND(ABS(BU141)&gt;=$F$43,ABS(BU141)&lt;=$G$43),BU141*$D$43,IF(AND(ABS(BU141)&gt;=$F$44,ABS(BU141)&lt;=$G$44),BU141*$D$44,"rango cal. out")))</f>
        <v>rango cal. out</v>
      </c>
      <c r="BY141" s="619">
        <f>((273.2+BR141)*$F$32/((273.2+$F$31)*BT141))</f>
        <v>0</v>
      </c>
      <c r="BZ141" s="674" t="e">
        <f>BX141/BV141*BY141*EXP(-LN(2)/10990*($F$88-BW141))</f>
        <v>#VALUE!</v>
      </c>
      <c r="CA141" s="599" t="e">
        <f>BZ141-AVERAGE(CH94:CH95)</f>
        <v>#VALUE!</v>
      </c>
      <c r="CB141" s="672" t="e">
        <f>ABS($B$33*CA141*3600)</f>
        <v>#VALUE!</v>
      </c>
      <c r="CC141" s="675" t="e">
        <f>ABS($B$34*CA141*3600)</f>
        <v>#VALUE!</v>
      </c>
      <c r="CD141" s="614" t="e">
        <f>CC141*$C$79</f>
        <v>#VALUE!</v>
      </c>
      <c r="CE141" s="672" t="e">
        <f>CC141*$F$70</f>
        <v>#VALUE!</v>
      </c>
      <c r="CF141" s="600" t="e">
        <f t="shared" ref="CF141:CF144" si="951">CC141*$F$75</f>
        <v>#VALUE!</v>
      </c>
      <c r="CG141" s="672" t="e">
        <f>CC141*$F$72</f>
        <v>#VALUE!</v>
      </c>
      <c r="CH141" s="676" t="e">
        <f>CC141*$F$71</f>
        <v>#VALUE!</v>
      </c>
      <c r="CI141" s="668">
        <v>20.399999999999999</v>
      </c>
      <c r="CJ141" s="669">
        <v>51</v>
      </c>
      <c r="CK141" s="680">
        <v>1007</v>
      </c>
      <c r="CL141" s="671">
        <v>-1.256E-9</v>
      </c>
      <c r="CM141" s="673">
        <v>60</v>
      </c>
      <c r="CN141" s="650">
        <v>43403</v>
      </c>
      <c r="CO141" s="651" t="str">
        <f t="shared" ref="CO141:CO144" si="952">IF(AND(ABS(CL141)&gt;=$F$42,ABS(CL141)&lt;=$G$42),CL141*$D$42,IF(AND(ABS(CL141)&gt;=$F$43,ABS(CL141)&lt;=$G$43),CL141*$D$43,IF(AND(ABS(CL141)&gt;=$F$44,ABS(CL141)&lt;=$G$44),CL141*$D$44,"rango cal. out")))</f>
        <v>rango cal. out</v>
      </c>
      <c r="CP141" s="619">
        <f>((273.2+CI141)*$F$32/((273.2+$F$31)*CK141))</f>
        <v>0</v>
      </c>
      <c r="CQ141" s="674" t="e">
        <f>CO141/CM141*CP141*EXP(-LN(2)/10990*($F$88-CN141))</f>
        <v>#VALUE!</v>
      </c>
      <c r="CR141" s="599" t="e">
        <f>CQ141-AVERAGE(CY94:CY95)</f>
        <v>#VALUE!</v>
      </c>
      <c r="CS141" s="672" t="e">
        <f>ABS($B$33*CR141*3600)</f>
        <v>#VALUE!</v>
      </c>
      <c r="CT141" s="675" t="e">
        <f>ABS($B$34*CR141*3600)</f>
        <v>#VALUE!</v>
      </c>
      <c r="CU141" s="614" t="e">
        <f>CT141*$C$79</f>
        <v>#VALUE!</v>
      </c>
      <c r="CV141" s="672" t="e">
        <f>CT141*$F$70</f>
        <v>#VALUE!</v>
      </c>
      <c r="CW141" s="600" t="e">
        <f t="shared" ref="CW141:CW144" si="953">CT141*$F$75</f>
        <v>#VALUE!</v>
      </c>
      <c r="CX141" s="672" t="e">
        <f>CT141*$F$72</f>
        <v>#VALUE!</v>
      </c>
      <c r="CY141" s="676" t="e">
        <f>CT141*$F$71</f>
        <v>#VALUE!</v>
      </c>
      <c r="CZ141" s="668"/>
      <c r="DA141" s="669"/>
      <c r="DB141" s="670"/>
      <c r="DC141" s="671"/>
      <c r="DD141" s="678"/>
      <c r="DE141" s="650"/>
      <c r="DF141" s="651">
        <f t="shared" ref="DF141:DF144" si="954">IF(AND(ABS(DC141)&gt;=$F$42,ABS(DC141)&lt;=$G$42),DC141*$D$42,IF(AND(ABS(DC141)&gt;=$F$43,ABS(DC141)&lt;=$G$43),DC141*$D$43,IF(AND(ABS(DC141)&gt;=$F$44,ABS(DC141)&lt;=$G$44),DC141*$D$44,"rango cal. out")))</f>
        <v>0</v>
      </c>
      <c r="DG141" s="619" t="e">
        <f>((273.2+CZ141)*$F$32/((273.2+$F$31)*DB141))</f>
        <v>#DIV/0!</v>
      </c>
      <c r="DH141" s="674" t="e">
        <f>DF141/DD141*DG141*EXP(-LN(2)/10990*($F$88-DE141))</f>
        <v>#DIV/0!</v>
      </c>
      <c r="DI141" s="599" t="e">
        <f>DH141-AVERAGE(DP94:DP95)</f>
        <v>#DIV/0!</v>
      </c>
      <c r="DJ141" s="672" t="e">
        <f>ABS($B$33*DI141*3600)</f>
        <v>#DIV/0!</v>
      </c>
      <c r="DK141" s="675" t="e">
        <f>ABS($B$34*DI141*3600)</f>
        <v>#DIV/0!</v>
      </c>
      <c r="DL141" s="614" t="e">
        <f>DK141*$C$79</f>
        <v>#DIV/0!</v>
      </c>
      <c r="DM141" s="672" t="e">
        <f>DK141*$F$70</f>
        <v>#DIV/0!</v>
      </c>
      <c r="DN141" s="600" t="e">
        <f t="shared" ref="DN141:DN144" si="955">DK141*$F$75</f>
        <v>#DIV/0!</v>
      </c>
      <c r="DO141" s="672" t="e">
        <f>DK141*$F$72</f>
        <v>#DIV/0!</v>
      </c>
      <c r="DP141" s="676" t="e">
        <f>DK141*$F$71</f>
        <v>#DIV/0!</v>
      </c>
      <c r="DQ141" s="668"/>
      <c r="DR141" s="669"/>
      <c r="DS141" s="677"/>
      <c r="DT141" s="679"/>
      <c r="DU141" s="678"/>
      <c r="DV141" s="650"/>
      <c r="DW141" s="651">
        <f t="shared" ref="DW141:DW144" si="956">IF(AND(ABS(DT141)&gt;=$F$42,ABS(DT141)&lt;=$G$42),DT141*$D$42,IF(AND(ABS(DT141)&gt;=$F$43,ABS(DT141)&lt;=$G$43),DT141*$D$43,IF(AND(ABS(DT141)&gt;=$F$44,ABS(DT141)&lt;=$G$44),DT141*$D$44,"rango cal. out")))</f>
        <v>0</v>
      </c>
      <c r="DX141" s="619" t="e">
        <f>((273.2+DQ141)*$F$32/((273.2+$F$31)*DS141))</f>
        <v>#DIV/0!</v>
      </c>
      <c r="DY141" s="674" t="e">
        <f>DW141/DU141*DX141*EXP(-LN(2)/10990*($F$88-DV141))</f>
        <v>#DIV/0!</v>
      </c>
      <c r="DZ141" s="599" t="e">
        <f>DY141-AVERAGE(EG94:EG95)</f>
        <v>#DIV/0!</v>
      </c>
      <c r="EA141" s="672" t="e">
        <f>ABS($B$33*DZ141*3600)</f>
        <v>#DIV/0!</v>
      </c>
      <c r="EB141" s="675" t="e">
        <f>ABS($B$34*DZ141*3600)</f>
        <v>#DIV/0!</v>
      </c>
      <c r="EC141" s="614" t="e">
        <f>EB141*$C$79</f>
        <v>#DIV/0!</v>
      </c>
      <c r="ED141" s="672" t="e">
        <f>EB141*$F$70</f>
        <v>#DIV/0!</v>
      </c>
      <c r="EE141" s="600" t="e">
        <f t="shared" ref="EE141:EE144" si="957">EB141*$F$75</f>
        <v>#DIV/0!</v>
      </c>
      <c r="EF141" s="672" t="e">
        <f>EB141*$F$72</f>
        <v>#DIV/0!</v>
      </c>
      <c r="EG141" s="676" t="e">
        <f>EB141*$F$71</f>
        <v>#DIV/0!</v>
      </c>
      <c r="EH141" s="668">
        <v>20.399999999999999</v>
      </c>
      <c r="EI141" s="669">
        <v>52</v>
      </c>
      <c r="EJ141" s="680">
        <v>1007</v>
      </c>
      <c r="EK141" s="671">
        <v>-1.52E-12</v>
      </c>
      <c r="EL141" s="673">
        <v>60</v>
      </c>
      <c r="EM141" s="650">
        <v>43403</v>
      </c>
      <c r="EN141" s="651" t="str">
        <f t="shared" ref="EN141:EN144" si="958">IF(AND(ABS(EK141)&gt;=$F$42,ABS(EK141)&lt;=$G$42),EK141*$D$42,IF(AND(ABS(EK141)&gt;=$F$43,ABS(EK141)&lt;=$G$43),EK141*$D$43,IF(AND(ABS(EK141)&gt;=$F$44,ABS(EK141)&lt;=$G$44),EK141*$D$44,"rango cal. out")))</f>
        <v>rango cal. out</v>
      </c>
      <c r="EO141" s="619">
        <f>((273.2+EH141)*$F$32/((273.2+$F$31)*EJ141))</f>
        <v>0</v>
      </c>
      <c r="EP141" s="674" t="e">
        <f>EN141/EL141*EO141*EXP(-LN(2)/10990*($F$88-EM141))</f>
        <v>#VALUE!</v>
      </c>
      <c r="EQ141" s="599" t="e">
        <f>EP141-AVERAGE(EX94:EX95)</f>
        <v>#VALUE!</v>
      </c>
      <c r="ER141" s="672" t="e">
        <f>ABS($B$33*EQ141*3600)</f>
        <v>#VALUE!</v>
      </c>
      <c r="ES141" s="675" t="e">
        <f>ABS($B$34*EQ141*3600)</f>
        <v>#VALUE!</v>
      </c>
      <c r="ET141" s="614" t="e">
        <f>ES141*$C$79</f>
        <v>#VALUE!</v>
      </c>
      <c r="EU141" s="672" t="e">
        <f>ES141*$F$70</f>
        <v>#VALUE!</v>
      </c>
      <c r="EV141" s="600" t="e">
        <f t="shared" ref="EV141:EV144" si="959">ES141*$F$75</f>
        <v>#VALUE!</v>
      </c>
      <c r="EW141" s="672" t="e">
        <f>ES141*$F$72</f>
        <v>#VALUE!</v>
      </c>
      <c r="EX141" s="676" t="e">
        <f>ES141*$F$71</f>
        <v>#VALUE!</v>
      </c>
      <c r="EY141" s="668"/>
      <c r="EZ141" s="669"/>
      <c r="FA141" s="670"/>
      <c r="FB141" s="671"/>
      <c r="FC141" s="678"/>
      <c r="FD141" s="650"/>
      <c r="FE141" s="651">
        <f t="shared" ref="FE141:FE144" si="960">IF(AND(ABS(FB141)&gt;=$F$42,ABS(FB141)&lt;=$G$42),FB141*$D$42,IF(AND(ABS(FB141)&gt;=$F$43,ABS(FB141)&lt;=$G$43),FB141*$D$43,IF(AND(ABS(FB141)&gt;=$F$44,ABS(FB141)&lt;=$G$44),FB141*$D$44,"rango cal. out")))</f>
        <v>0</v>
      </c>
      <c r="FF141" s="619" t="e">
        <f>((273.2+EY141)*$F$32/((273.2+$F$31)*FA141))</f>
        <v>#DIV/0!</v>
      </c>
      <c r="FG141" s="674" t="e">
        <f>FE141/FC141*FF141*EXP(-LN(2)/10990*($F$88-FD141))</f>
        <v>#DIV/0!</v>
      </c>
      <c r="FH141" s="599" t="e">
        <f>FG141-AVERAGE(FO94:FO95)</f>
        <v>#DIV/0!</v>
      </c>
      <c r="FI141" s="672" t="e">
        <f>ABS($B$33*FH141*3600)</f>
        <v>#DIV/0!</v>
      </c>
      <c r="FJ141" s="675" t="e">
        <f>ABS($B$34*FH141*3600)</f>
        <v>#DIV/0!</v>
      </c>
      <c r="FK141" s="614" t="e">
        <f>FJ141*$C$79</f>
        <v>#DIV/0!</v>
      </c>
      <c r="FL141" s="672" t="e">
        <f>FJ141*$F$70</f>
        <v>#DIV/0!</v>
      </c>
      <c r="FM141" s="600" t="e">
        <f t="shared" ref="FM141:FM144" si="961">FJ141*$F$75</f>
        <v>#DIV/0!</v>
      </c>
      <c r="FN141" s="672" t="e">
        <f>FJ141*$F$72</f>
        <v>#DIV/0!</v>
      </c>
      <c r="FO141" s="676" t="e">
        <f>FJ141*$F$71</f>
        <v>#DIV/0!</v>
      </c>
      <c r="FP141" s="668"/>
      <c r="FQ141" s="669"/>
      <c r="FR141" s="670"/>
      <c r="FS141" s="671"/>
      <c r="FT141" s="678"/>
      <c r="FU141" s="650"/>
      <c r="FV141" s="651">
        <f t="shared" ref="FV141:FV144" si="962">IF(AND(ABS(FS141)&gt;=$F$42,ABS(FS141)&lt;=$G$42),FS141*$D$42,IF(AND(ABS(FS141)&gt;=$F$43,ABS(FS141)&lt;=$G$43),FS141*$D$43,IF(AND(ABS(FS141)&gt;=$F$44,ABS(FS141)&lt;=$G$44),FS141*$D$44,"rango cal. out")))</f>
        <v>0</v>
      </c>
      <c r="FW141" s="619" t="e">
        <f>((273.2+FP141)*$F$32/((273.2+$F$31)*FR141))</f>
        <v>#DIV/0!</v>
      </c>
      <c r="FX141" s="674" t="e">
        <f>FV141/FT141*FW141*EXP(-LN(2)/10990*($F$88-FU141))</f>
        <v>#DIV/0!</v>
      </c>
      <c r="FY141" s="599" t="e">
        <f>FX141-AVERAGE(GF94:GF95)</f>
        <v>#DIV/0!</v>
      </c>
      <c r="FZ141" s="672" t="e">
        <f>ABS($B$33*FY141*3600)</f>
        <v>#DIV/0!</v>
      </c>
      <c r="GA141" s="675" t="e">
        <f>ABS($B$34*FY141*3600)</f>
        <v>#DIV/0!</v>
      </c>
      <c r="GB141" s="614" t="e">
        <f>GA141*$C$79</f>
        <v>#DIV/0!</v>
      </c>
      <c r="GC141" s="672" t="e">
        <f>GA141*$F$70</f>
        <v>#DIV/0!</v>
      </c>
      <c r="GD141" s="600" t="e">
        <f t="shared" ref="GD141:GD144" si="963">GA141*$F$75</f>
        <v>#DIV/0!</v>
      </c>
      <c r="GE141" s="672" t="e">
        <f>GA141*$F$72</f>
        <v>#DIV/0!</v>
      </c>
      <c r="GF141" s="676" t="e">
        <f>GA141*$F$71</f>
        <v>#DIV/0!</v>
      </c>
      <c r="GG141" s="668"/>
      <c r="GH141" s="669"/>
      <c r="GI141" s="677"/>
      <c r="GJ141" s="679"/>
      <c r="GK141" s="678"/>
      <c r="GL141" s="650"/>
      <c r="GM141" s="651">
        <f t="shared" ref="GM141:GM144" si="964">IF(AND(ABS(GJ141)&gt;=$F$42,ABS(GJ141)&lt;=$G$42),GJ141*$D$42,IF(AND(ABS(GJ141)&gt;=$F$43,ABS(GJ141)&lt;=$G$43),GJ141*$D$43,IF(AND(ABS(GJ141)&gt;=$F$44,ABS(GJ141)&lt;=$G$44),GJ141*$D$44,"rango cal. out")))</f>
        <v>0</v>
      </c>
      <c r="GN141" s="619" t="e">
        <f>((273.2+GG141)*$F$32/((273.2+$F$31)*GI141))</f>
        <v>#DIV/0!</v>
      </c>
      <c r="GO141" s="674" t="e">
        <f>GM141/GK141*GN141*EXP(-LN(2)/10990*($F$88-GL141))</f>
        <v>#DIV/0!</v>
      </c>
      <c r="GP141" s="599" t="e">
        <f>GO141-AVERAGE(GW94:GW95)</f>
        <v>#DIV/0!</v>
      </c>
      <c r="GQ141" s="672" t="e">
        <f>ABS($B$33*GP141*3600)</f>
        <v>#DIV/0!</v>
      </c>
      <c r="GR141" s="675" t="e">
        <f>ABS($B$34*GP141*3600)</f>
        <v>#DIV/0!</v>
      </c>
      <c r="GS141" s="614" t="e">
        <f>GR141*$C$79</f>
        <v>#DIV/0!</v>
      </c>
      <c r="GT141" s="672" t="e">
        <f>GR141*$F$70</f>
        <v>#DIV/0!</v>
      </c>
      <c r="GU141" s="600" t="e">
        <f t="shared" ref="GU141:GU144" si="965">GR141*$F$75</f>
        <v>#DIV/0!</v>
      </c>
      <c r="GV141" s="672" t="e">
        <f>GR141*$F$72</f>
        <v>#DIV/0!</v>
      </c>
      <c r="GW141" s="676" t="e">
        <f>GR141*$F$71</f>
        <v>#DIV/0!</v>
      </c>
      <c r="GX141" s="668"/>
      <c r="GY141" s="669"/>
      <c r="GZ141" s="670"/>
      <c r="HA141" s="671"/>
      <c r="HB141" s="678"/>
      <c r="HC141" s="650"/>
      <c r="HD141" s="651">
        <f t="shared" ref="HD141:HD144" si="966">IF(AND(ABS(HA141)&gt;=$F$42,ABS(HA141)&lt;=$G$42),HA141*$D$42,IF(AND(ABS(HA141)&gt;=$F$43,ABS(HA141)&lt;=$G$43),HA141*$D$43,IF(AND(ABS(HA141)&gt;=$F$44,ABS(HA141)&lt;=$G$44),HA141*$D$44,"rango cal. out")))</f>
        <v>0</v>
      </c>
      <c r="HE141" s="619" t="e">
        <f>((273.2+GX141)*$F$32/((273.2+$F$31)*GZ141))</f>
        <v>#DIV/0!</v>
      </c>
      <c r="HF141" s="674" t="e">
        <f>HD141/HB141*HE141*EXP(-LN(2)/10990*($F$88-HC141))</f>
        <v>#DIV/0!</v>
      </c>
      <c r="HG141" s="599" t="e">
        <f>HF141-AVERAGE(HN94:HN95)</f>
        <v>#DIV/0!</v>
      </c>
      <c r="HH141" s="672" t="e">
        <f>ABS($B$33*HG141*3600)</f>
        <v>#DIV/0!</v>
      </c>
      <c r="HI141" s="675" t="e">
        <f>ABS($B$34*HG141*3600)</f>
        <v>#DIV/0!</v>
      </c>
      <c r="HJ141" s="614" t="e">
        <f>HI141*$C$79</f>
        <v>#DIV/0!</v>
      </c>
      <c r="HK141" s="672" t="e">
        <f>HI141*$F$70</f>
        <v>#DIV/0!</v>
      </c>
      <c r="HL141" s="600" t="e">
        <f t="shared" ref="HL141:HL144" si="967">HI141*$F$75</f>
        <v>#DIV/0!</v>
      </c>
      <c r="HM141" s="672" t="e">
        <f>HI141*$F$72</f>
        <v>#DIV/0!</v>
      </c>
      <c r="HN141" s="676" t="e">
        <f>HI141*$F$71</f>
        <v>#DIV/0!</v>
      </c>
      <c r="HO141" s="668"/>
      <c r="HP141" s="669"/>
      <c r="HQ141" s="670"/>
      <c r="HR141" s="671"/>
      <c r="HS141" s="678"/>
      <c r="HT141" s="650"/>
      <c r="HU141" s="651">
        <f t="shared" ref="HU141:HU144" si="968">IF(AND(ABS(HR141)&gt;=$F$42,ABS(HR141)&lt;=$G$42),HR141*$D$42,IF(AND(ABS(HR141)&gt;=$F$43,ABS(HR141)&lt;=$G$43),HR141*$D$43,IF(AND(ABS(HR141)&gt;=$F$44,ABS(HR141)&lt;=$G$44),HR141*$D$44,"rango cal. out")))</f>
        <v>0</v>
      </c>
      <c r="HV141" s="619" t="e">
        <f>((273.2+HO141)*$F$32/((273.2+$F$31)*HQ141))</f>
        <v>#DIV/0!</v>
      </c>
      <c r="HW141" s="674" t="e">
        <f>HU141/HS141*HV141*EXP(-LN(2)/10990*($F$88-HT141))</f>
        <v>#DIV/0!</v>
      </c>
      <c r="HX141" s="599" t="e">
        <f>HW141-AVERAGE(IE94:IE95)</f>
        <v>#DIV/0!</v>
      </c>
      <c r="HY141" s="672" t="e">
        <f>ABS($B$33*HX141*3600)</f>
        <v>#DIV/0!</v>
      </c>
      <c r="HZ141" s="675" t="e">
        <f>ABS($B$34*HX141*3600)</f>
        <v>#DIV/0!</v>
      </c>
      <c r="IA141" s="614" t="e">
        <f>HZ141*$C$79</f>
        <v>#DIV/0!</v>
      </c>
      <c r="IB141" s="672" t="e">
        <f>HZ141*$F$70</f>
        <v>#DIV/0!</v>
      </c>
      <c r="IC141" s="600" t="e">
        <f t="shared" ref="IC141:IC144" si="969">HZ141*$F$75</f>
        <v>#DIV/0!</v>
      </c>
      <c r="ID141" s="672" t="e">
        <f>HZ141*$F$72</f>
        <v>#DIV/0!</v>
      </c>
      <c r="IE141" s="676" t="e">
        <f>HZ141*$F$71</f>
        <v>#DIV/0!</v>
      </c>
      <c r="IF141" s="668"/>
      <c r="IG141" s="669"/>
      <c r="IH141" s="670"/>
      <c r="II141" s="671"/>
      <c r="IJ141" s="678"/>
      <c r="IK141" s="650"/>
      <c r="IL141" s="651">
        <f t="shared" ref="IL141:IL144" si="970">IF(AND(ABS(II141)&gt;=$F$42,ABS(II141)&lt;=$G$42),II141*$D$42,IF(AND(ABS(II141)&gt;=$F$43,ABS(II141)&lt;=$G$43),II141*$D$43,IF(AND(ABS(II141)&gt;=$F$44,ABS(II141)&lt;=$G$44),II141*$D$44,"rango cal. out")))</f>
        <v>0</v>
      </c>
      <c r="IM141" s="619" t="e">
        <f>((273.2+IF141)*$F$32/((273.2+$F$31)*IH141))</f>
        <v>#DIV/0!</v>
      </c>
      <c r="IN141" s="674" t="e">
        <f>IL141/IJ141*IM141*EXP(-LN(2)/10990*($F$88-IK141))</f>
        <v>#DIV/0!</v>
      </c>
      <c r="IO141" s="599" t="e">
        <f>IN141-AVERAGE(IV94:IV95)</f>
        <v>#DIV/0!</v>
      </c>
      <c r="IP141" s="672" t="e">
        <f>ABS($B$33*IO141*3600)</f>
        <v>#DIV/0!</v>
      </c>
      <c r="IQ141" s="675" t="e">
        <f>ABS($B$34*IO141*3600)</f>
        <v>#DIV/0!</v>
      </c>
      <c r="IR141" s="614" t="e">
        <f>IQ141*$C$79</f>
        <v>#DIV/0!</v>
      </c>
      <c r="IS141" s="672" t="e">
        <f>IQ141*$F$70</f>
        <v>#DIV/0!</v>
      </c>
      <c r="IT141" s="600" t="e">
        <f t="shared" ref="IT141:IT144" si="971">IQ141*$F$75</f>
        <v>#DIV/0!</v>
      </c>
      <c r="IU141" s="672" t="e">
        <f>IQ141*$F$72</f>
        <v>#DIV/0!</v>
      </c>
      <c r="IV141" s="676" t="e">
        <f>IQ141*$F$71</f>
        <v>#DIV/0!</v>
      </c>
      <c r="IW141" s="668"/>
      <c r="IX141" s="669"/>
      <c r="IY141" s="670"/>
      <c r="IZ141" s="671"/>
      <c r="JA141" s="678"/>
      <c r="JB141" s="650"/>
      <c r="JC141" s="651">
        <f t="shared" ref="JC141:JC144" si="972">IF(AND(ABS(IZ141)&gt;=$F$42,ABS(IZ141)&lt;=$G$42),IZ141*$D$42,IF(AND(ABS(IZ141)&gt;=$F$43,ABS(IZ141)&lt;=$G$43),IZ141*$D$43,IF(AND(ABS(IZ141)&gt;=$F$44,ABS(IZ141)&lt;=$G$44),IZ141*$D$44,"rango cal. out")))</f>
        <v>0</v>
      </c>
      <c r="JD141" s="619" t="e">
        <f>((273.2+IW141)*$F$32/((273.2+$F$31)*IY141))</f>
        <v>#DIV/0!</v>
      </c>
      <c r="JE141" s="674" t="e">
        <f>JC141/JA141*JD141*EXP(-LN(2)/10990*($F$88-JB141))</f>
        <v>#DIV/0!</v>
      </c>
      <c r="JF141" s="599" t="e">
        <f>JE141-AVERAGE(JM94:JM95)</f>
        <v>#DIV/0!</v>
      </c>
      <c r="JG141" s="672" t="e">
        <f>ABS($B$33*JF141*3600)</f>
        <v>#DIV/0!</v>
      </c>
      <c r="JH141" s="675" t="e">
        <f>ABS($B$34*JF141*3600)</f>
        <v>#DIV/0!</v>
      </c>
      <c r="JI141" s="614" t="e">
        <f>JH141*$C$79</f>
        <v>#DIV/0!</v>
      </c>
      <c r="JJ141" s="672" t="e">
        <f>JH141*$F$70</f>
        <v>#DIV/0!</v>
      </c>
      <c r="JK141" s="600" t="e">
        <f t="shared" ref="JK141:JK144" si="973">JH141*$F$75</f>
        <v>#DIV/0!</v>
      </c>
      <c r="JL141" s="672" t="e">
        <f>JH141*$F$72</f>
        <v>#DIV/0!</v>
      </c>
      <c r="JM141" s="676" t="e">
        <f>JH141*$F$71</f>
        <v>#DIV/0!</v>
      </c>
      <c r="JN141" s="668"/>
      <c r="JO141" s="669"/>
      <c r="JP141" s="670"/>
      <c r="JQ141" s="671"/>
      <c r="JR141" s="678"/>
      <c r="JS141" s="650"/>
      <c r="JT141" s="651">
        <f t="shared" ref="JT141:JT144" si="974">IF(AND(ABS(JQ141)&gt;=$F$42,ABS(JQ141)&lt;=$G$42),JQ141*$D$42,IF(AND(ABS(JQ141)&gt;=$F$43,ABS(JQ141)&lt;=$G$43),JQ141*$D$43,IF(AND(ABS(JQ141)&gt;=$F$44,ABS(JQ141)&lt;=$G$44),JQ141*$D$44,"rango cal. out")))</f>
        <v>0</v>
      </c>
      <c r="JU141" s="619" t="e">
        <f>((273.2+JN141)*$F$32/((273.2+$F$31)*JP141))</f>
        <v>#DIV/0!</v>
      </c>
      <c r="JV141" s="674" t="e">
        <f>JT141/JR141*JU141*EXP(-LN(2)/10990*($F$88-JS141))</f>
        <v>#DIV/0!</v>
      </c>
      <c r="JW141" s="599" t="e">
        <f>JV141-AVERAGE(KD94:KD95)</f>
        <v>#DIV/0!</v>
      </c>
      <c r="JX141" s="672" t="e">
        <f>ABS($B$33*JW141*3600)</f>
        <v>#DIV/0!</v>
      </c>
      <c r="JY141" s="675" t="e">
        <f>ABS($B$34*JW141*3600)</f>
        <v>#DIV/0!</v>
      </c>
      <c r="JZ141" s="614" t="e">
        <f>JY141*$C$79</f>
        <v>#DIV/0!</v>
      </c>
      <c r="KA141" s="672" t="e">
        <f>JY141*$F$70</f>
        <v>#DIV/0!</v>
      </c>
      <c r="KB141" s="600" t="e">
        <f t="shared" ref="KB141:KB144" si="975">JY141*$F$75</f>
        <v>#DIV/0!</v>
      </c>
      <c r="KC141" s="672" t="e">
        <f>JY141*$F$72</f>
        <v>#DIV/0!</v>
      </c>
      <c r="KD141" s="676" t="e">
        <f>JY141*$F$71</f>
        <v>#DIV/0!</v>
      </c>
      <c r="KE141" s="668"/>
      <c r="KF141" s="669"/>
      <c r="KG141" s="670"/>
      <c r="KH141" s="671"/>
      <c r="KI141" s="678"/>
      <c r="KJ141" s="650"/>
      <c r="KK141" s="651">
        <f t="shared" ref="KK141:KK144" si="976">IF(AND(ABS(KH141)&gt;=$F$42,ABS(KH141)&lt;=$G$42),KH141*$D$42,IF(AND(ABS(KH141)&gt;=$F$43,ABS(KH141)&lt;=$G$43),KH141*$D$43,IF(AND(ABS(KH141)&gt;=$F$44,ABS(KH141)&lt;=$G$44),KH141*$D$44,"rango cal. out")))</f>
        <v>0</v>
      </c>
      <c r="KL141" s="619" t="e">
        <f>((273.2+KE141)*$F$32/((273.2+$F$31)*KG141))</f>
        <v>#DIV/0!</v>
      </c>
      <c r="KM141" s="674" t="e">
        <f>KK141/KI141*KL141*EXP(-LN(2)/10990*($F$88-KJ141))</f>
        <v>#DIV/0!</v>
      </c>
      <c r="KN141" s="599" t="e">
        <f>KM141-AVERAGE(KU94:KU95)</f>
        <v>#DIV/0!</v>
      </c>
      <c r="KO141" s="672" t="e">
        <f>ABS($B$33*KN141*3600)</f>
        <v>#DIV/0!</v>
      </c>
      <c r="KP141" s="675" t="e">
        <f>ABS($B$34*KN141*3600)</f>
        <v>#DIV/0!</v>
      </c>
      <c r="KQ141" s="614" t="e">
        <f>KP141*$C$79</f>
        <v>#DIV/0!</v>
      </c>
      <c r="KR141" s="672" t="e">
        <f>KP141*$F$70</f>
        <v>#DIV/0!</v>
      </c>
      <c r="KS141" s="600" t="e">
        <f t="shared" ref="KS141:KS144" si="977">KP141*$F$75</f>
        <v>#DIV/0!</v>
      </c>
      <c r="KT141" s="672" t="e">
        <f>KP141*$F$72</f>
        <v>#DIV/0!</v>
      </c>
      <c r="KU141" s="676" t="e">
        <f>KP141*$F$71</f>
        <v>#DIV/0!</v>
      </c>
      <c r="KV141" s="668"/>
      <c r="KW141" s="669"/>
      <c r="KX141" s="670"/>
      <c r="KY141" s="671"/>
      <c r="KZ141" s="678"/>
      <c r="LA141" s="650"/>
      <c r="LB141" s="651">
        <f t="shared" ref="LB141:LB144" si="978">IF(AND(ABS(KY141)&gt;=$F$42,ABS(KY141)&lt;=$G$42),KY141*$D$42,IF(AND(ABS(KY141)&gt;=$F$43,ABS(KY141)&lt;=$G$43),KY141*$D$43,IF(AND(ABS(KY141)&gt;=$F$44,ABS(KY141)&lt;=$G$44),KY141*$D$44,"rango cal. out")))</f>
        <v>0</v>
      </c>
      <c r="LC141" s="619" t="e">
        <f>((273.2+KV141)*$F$32/((273.2+$F$31)*KX141))</f>
        <v>#DIV/0!</v>
      </c>
      <c r="LD141" s="674" t="e">
        <f>LB141/KZ141*LC141*EXP(-LN(2)/10990*($F$88-LA141))</f>
        <v>#DIV/0!</v>
      </c>
      <c r="LE141" s="599" t="e">
        <f>LD141-AVERAGE(LL94:LL95)</f>
        <v>#DIV/0!</v>
      </c>
      <c r="LF141" s="672" t="e">
        <f>ABS($B$33*LE141*3600)</f>
        <v>#DIV/0!</v>
      </c>
      <c r="LG141" s="675" t="e">
        <f>ABS($B$34*LE141*3600)</f>
        <v>#DIV/0!</v>
      </c>
      <c r="LH141" s="614" t="e">
        <f>LG141*$C$79</f>
        <v>#DIV/0!</v>
      </c>
      <c r="LI141" s="672" t="e">
        <f>LG141*$F$70</f>
        <v>#DIV/0!</v>
      </c>
      <c r="LJ141" s="600" t="e">
        <f t="shared" ref="LJ141:LJ144" si="979">LG141*$F$75</f>
        <v>#DIV/0!</v>
      </c>
      <c r="LK141" s="672" t="e">
        <f>LG141*$F$72</f>
        <v>#DIV/0!</v>
      </c>
      <c r="LL141" s="676" t="e">
        <f>LG141*$F$71</f>
        <v>#DIV/0!</v>
      </c>
      <c r="LM141" s="668"/>
      <c r="LN141" s="669"/>
      <c r="LO141" s="670"/>
      <c r="LP141" s="671"/>
      <c r="LQ141" s="678"/>
      <c r="LR141" s="650"/>
      <c r="LS141" s="651">
        <f t="shared" ref="LS141:LS144" si="980">IF(AND(ABS(LP141)&gt;=$F$42,ABS(LP141)&lt;=$G$42),LP141*$D$42,IF(AND(ABS(LP141)&gt;=$F$43,ABS(LP141)&lt;=$G$43),LP141*$D$43,IF(AND(ABS(LP141)&gt;=$F$44,ABS(LP141)&lt;=$G$44),LP141*$D$44,"rango cal. out")))</f>
        <v>0</v>
      </c>
      <c r="LT141" s="619" t="e">
        <f>((273.2+LM141)*$F$32/((273.2+$F$31)*LO141))</f>
        <v>#DIV/0!</v>
      </c>
      <c r="LU141" s="674" t="e">
        <f>LS141/LQ141*LT141*EXP(-LN(2)/10990*($F$88-LR141))</f>
        <v>#DIV/0!</v>
      </c>
      <c r="LV141" s="599" t="e">
        <f>LU141-AVERAGE(MC94:MC95)</f>
        <v>#DIV/0!</v>
      </c>
      <c r="LW141" s="672" t="e">
        <f>ABS($B$33*LV141*3600)</f>
        <v>#DIV/0!</v>
      </c>
      <c r="LX141" s="675" t="e">
        <f>ABS($B$34*LV141*3600)</f>
        <v>#DIV/0!</v>
      </c>
      <c r="LY141" s="614" t="e">
        <f>LX141*$C$79</f>
        <v>#DIV/0!</v>
      </c>
      <c r="LZ141" s="672" t="e">
        <f>LX141*$F$70</f>
        <v>#DIV/0!</v>
      </c>
      <c r="MA141" s="600" t="e">
        <f t="shared" ref="MA141:MA144" si="981">LX141*$F$75</f>
        <v>#DIV/0!</v>
      </c>
      <c r="MB141" s="672" t="e">
        <f>LX141*$F$72</f>
        <v>#DIV/0!</v>
      </c>
      <c r="MC141" s="676" t="e">
        <f>LX141*$F$71</f>
        <v>#DIV/0!</v>
      </c>
      <c r="MD141" s="668"/>
      <c r="ME141" s="669"/>
      <c r="MF141" s="680"/>
      <c r="MG141" s="671"/>
      <c r="MH141" s="673"/>
      <c r="MI141" s="650"/>
      <c r="MJ141" s="651">
        <f t="shared" ref="MJ141:MJ144" si="982">IF(AND(ABS(MG141)&gt;=$F$42,ABS(MG141)&lt;=$G$42),MG141*$D$42,IF(AND(ABS(MG141)&gt;=$F$43,ABS(MG141)&lt;=$G$43),MG141*$D$43,IF(AND(ABS(MG141)&gt;=$F$44,ABS(MG141)&lt;=$G$44),MG141*$D$44,"rango cal. out")))</f>
        <v>0</v>
      </c>
      <c r="MK141" s="619" t="e">
        <f>((273.2+MD141)*$F$32/((273.2+$F$31)*MF141))</f>
        <v>#DIV/0!</v>
      </c>
      <c r="ML141" s="674" t="e">
        <f>MJ141/MH141*MK141*EXP(-LN(2)/10990*($F$88-MI141))</f>
        <v>#DIV/0!</v>
      </c>
      <c r="MM141" s="599" t="e">
        <f>ML141-AVERAGE(MT94:MT95)</f>
        <v>#DIV/0!</v>
      </c>
      <c r="MN141" s="672" t="e">
        <f>ABS($B$33*MM141*3600)</f>
        <v>#DIV/0!</v>
      </c>
      <c r="MO141" s="675" t="e">
        <f>ABS($B$34*MM141*3600)</f>
        <v>#DIV/0!</v>
      </c>
      <c r="MP141" s="614" t="e">
        <f>MO141*$C$79</f>
        <v>#DIV/0!</v>
      </c>
      <c r="MQ141" s="672" t="e">
        <f>MO141*$F$70</f>
        <v>#DIV/0!</v>
      </c>
      <c r="MR141" s="600" t="e">
        <f t="shared" ref="MR141:MR144" si="983">MO141*$F$75</f>
        <v>#DIV/0!</v>
      </c>
      <c r="MS141" s="672" t="e">
        <f>MO141*$F$72</f>
        <v>#DIV/0!</v>
      </c>
      <c r="MT141" s="676" t="e">
        <f>MO141*$F$71</f>
        <v>#DIV/0!</v>
      </c>
      <c r="MU141" s="668">
        <v>20.3</v>
      </c>
      <c r="MV141" s="669">
        <v>52</v>
      </c>
      <c r="MW141" s="680">
        <v>1007</v>
      </c>
      <c r="MX141" s="671">
        <v>-3.5519999999999997E-11</v>
      </c>
      <c r="MY141" s="678">
        <v>60</v>
      </c>
      <c r="MZ141" s="650">
        <v>43403</v>
      </c>
      <c r="NA141" s="651" t="str">
        <f t="shared" ref="NA141:NA144" si="984">IF(AND(ABS(MX141)&gt;=$F$42,ABS(MX141)&lt;=$G$42),MX141*$D$42,IF(AND(ABS(MX141)&gt;=$F$43,ABS(MX141)&lt;=$G$43),MX141*$D$43,IF(AND(ABS(MX141)&gt;=$F$44,ABS(MX141)&lt;=$G$44),MX141*$D$44,"rango cal. out")))</f>
        <v>rango cal. out</v>
      </c>
      <c r="NB141" s="619">
        <f>((273.2+MU141)*$F$32/((273.2+$F$31)*MW141))</f>
        <v>0</v>
      </c>
      <c r="NC141" s="674" t="e">
        <f>NA141/MY141*NB141*EXP(-LN(2)/10990*($F$88-MZ141))</f>
        <v>#VALUE!</v>
      </c>
      <c r="ND141" s="599" t="e">
        <f>NC141-AVERAGE(NK94:NK95)</f>
        <v>#VALUE!</v>
      </c>
      <c r="NE141" s="672" t="e">
        <f>ABS($B$33*ND141*3600)</f>
        <v>#VALUE!</v>
      </c>
      <c r="NF141" s="675" t="e">
        <f>ABS($B$34*ND141*3600)</f>
        <v>#VALUE!</v>
      </c>
      <c r="NG141" s="614" t="e">
        <f>NF141*$C$79</f>
        <v>#VALUE!</v>
      </c>
      <c r="NH141" s="672" t="e">
        <f>NF141*$F$70</f>
        <v>#VALUE!</v>
      </c>
      <c r="NI141" s="600" t="e">
        <f t="shared" ref="NI141:NI144" si="985">NF141*$F$75</f>
        <v>#VALUE!</v>
      </c>
      <c r="NJ141" s="672" t="e">
        <f>NF141*$F$72</f>
        <v>#VALUE!</v>
      </c>
      <c r="NK141" s="676" t="e">
        <f>NF141*$F$71</f>
        <v>#VALUE!</v>
      </c>
      <c r="NL141" s="668"/>
      <c r="NM141" s="669"/>
      <c r="NN141" s="670"/>
      <c r="NO141" s="671"/>
      <c r="NP141" s="678"/>
      <c r="NQ141" s="650"/>
      <c r="NR141" s="651">
        <f t="shared" ref="NR141:NR144" si="986">IF(AND(ABS(NO141)&gt;=$F$42,ABS(NO141)&lt;=$G$42),NO141*$D$42,IF(AND(ABS(NO141)&gt;=$F$43,ABS(NO141)&lt;=$G$43),NO141*$D$43,IF(AND(ABS(NO141)&gt;=$F$44,ABS(NO141)&lt;=$G$44),NO141*$D$44,"rango cal. out")))</f>
        <v>0</v>
      </c>
      <c r="NS141" s="619" t="e">
        <f>((273.2+NL141)*$F$32/((273.2+$F$31)*NN141))</f>
        <v>#DIV/0!</v>
      </c>
      <c r="NT141" s="674" t="e">
        <f>NR141/NP141*NS141*EXP(-LN(2)/10990*($F$88-NQ141))</f>
        <v>#DIV/0!</v>
      </c>
      <c r="NU141" s="599" t="e">
        <f>NT141-AVERAGE(OB94:OB95)</f>
        <v>#DIV/0!</v>
      </c>
      <c r="NV141" s="672" t="e">
        <f>ABS($B$33*NU141*3600)</f>
        <v>#DIV/0!</v>
      </c>
      <c r="NW141" s="675" t="e">
        <f>ABS($B$34*NU141*3600)</f>
        <v>#DIV/0!</v>
      </c>
      <c r="NX141" s="614" t="e">
        <f>NW141*$C$79</f>
        <v>#DIV/0!</v>
      </c>
      <c r="NY141" s="672" t="e">
        <f>NW141*$F$70</f>
        <v>#DIV/0!</v>
      </c>
      <c r="NZ141" s="600" t="e">
        <f t="shared" ref="NZ141:NZ144" si="987">NW141*$F$75</f>
        <v>#DIV/0!</v>
      </c>
      <c r="OA141" s="672" t="e">
        <f>NW141*$F$72</f>
        <v>#DIV/0!</v>
      </c>
      <c r="OB141" s="676" t="e">
        <f>NW141*$F$71</f>
        <v>#DIV/0!</v>
      </c>
      <c r="OC141" s="668">
        <v>20.5</v>
      </c>
      <c r="OD141" s="669">
        <v>53</v>
      </c>
      <c r="OE141" s="680">
        <v>1007</v>
      </c>
      <c r="OF141" s="671">
        <v>-8.2779999999999997E-11</v>
      </c>
      <c r="OG141" s="673">
        <v>60</v>
      </c>
      <c r="OH141" s="650">
        <v>43403</v>
      </c>
      <c r="OI141" s="651" t="str">
        <f t="shared" ref="OI141:OI144" si="988">IF(AND(ABS(OF141)&gt;=$F$42,ABS(OF141)&lt;=$G$42),OF141*$D$42,IF(AND(ABS(OF141)&gt;=$F$43,ABS(OF141)&lt;=$G$43),OF141*$D$43,IF(AND(ABS(OF141)&gt;=$F$44,ABS(OF141)&lt;=$G$44),OF141*$D$44,"rango cal. out")))</f>
        <v>rango cal. out</v>
      </c>
      <c r="OJ141" s="619">
        <f>((273.2+OC141)*$F$32/((273.2+$F$31)*OE141))</f>
        <v>0</v>
      </c>
      <c r="OK141" s="674" t="e">
        <f>OI141/OG141*OJ141*EXP(-LN(2)/10990*($F$88-OH141))</f>
        <v>#VALUE!</v>
      </c>
      <c r="OL141" s="599" t="e">
        <f>OK141-AVERAGE(OS94:OS95)</f>
        <v>#VALUE!</v>
      </c>
      <c r="OM141" s="672" t="e">
        <f>ABS($B$33*OL141*3600)</f>
        <v>#VALUE!</v>
      </c>
      <c r="ON141" s="675" t="e">
        <f>ABS($B$34*OL141*3600)</f>
        <v>#VALUE!</v>
      </c>
      <c r="OO141" s="614" t="e">
        <f>ON141*$C$79</f>
        <v>#VALUE!</v>
      </c>
      <c r="OP141" s="672" t="e">
        <f>ON141*$F$70</f>
        <v>#VALUE!</v>
      </c>
      <c r="OQ141" s="600" t="e">
        <f t="shared" ref="OQ141:OQ144" si="989">ON141*$F$75</f>
        <v>#VALUE!</v>
      </c>
      <c r="OR141" s="672" t="e">
        <f>ON141*$F$72</f>
        <v>#VALUE!</v>
      </c>
      <c r="OS141" s="676" t="e">
        <f>ON141*$F$71</f>
        <v>#VALUE!</v>
      </c>
      <c r="OT141" s="668"/>
      <c r="OU141" s="669"/>
      <c r="OV141" s="670"/>
      <c r="OW141" s="671"/>
      <c r="OX141" s="678"/>
      <c r="OY141" s="650"/>
      <c r="OZ141" s="651">
        <f t="shared" ref="OZ141:OZ144" si="990">IF(AND(ABS(OW141)&gt;=$F$42,ABS(OW141)&lt;=$G$42),OW141*$D$42,IF(AND(ABS(OW141)&gt;=$F$43,ABS(OW141)&lt;=$G$43),OW141*$D$43,IF(AND(ABS(OW141)&gt;=$F$44,ABS(OW141)&lt;=$G$44),OW141*$D$44,"rango cal. out")))</f>
        <v>0</v>
      </c>
      <c r="PA141" s="619" t="e">
        <f>((273.2+OT141)*$F$32/((273.2+$F$31)*OV141))</f>
        <v>#DIV/0!</v>
      </c>
      <c r="PB141" s="674" t="e">
        <f>OZ141/OX141*PA141*EXP(-LN(2)/10990*($F$88-OY141))</f>
        <v>#DIV/0!</v>
      </c>
      <c r="PC141" s="599" t="e">
        <f>PB141-AVERAGE(PJ94:PJ95)</f>
        <v>#DIV/0!</v>
      </c>
      <c r="PD141" s="672" t="e">
        <f>ABS($B$33*PC141*3600)</f>
        <v>#DIV/0!</v>
      </c>
      <c r="PE141" s="675" t="e">
        <f>ABS($B$34*PC141*3600)</f>
        <v>#DIV/0!</v>
      </c>
      <c r="PF141" s="614" t="e">
        <f>PE141*$C$79</f>
        <v>#DIV/0!</v>
      </c>
      <c r="PG141" s="672" t="e">
        <f>PE141*$F$70</f>
        <v>#DIV/0!</v>
      </c>
      <c r="PH141" s="600" t="e">
        <f t="shared" ref="PH141:PH144" si="991">PE141*$F$75</f>
        <v>#DIV/0!</v>
      </c>
      <c r="PI141" s="672" t="e">
        <f>PE141*$F$72</f>
        <v>#DIV/0!</v>
      </c>
      <c r="PJ141" s="676" t="e">
        <f>PE141*$F$71</f>
        <v>#DIV/0!</v>
      </c>
      <c r="PK141" s="668"/>
      <c r="PL141" s="669"/>
      <c r="PM141" s="670"/>
      <c r="PN141" s="671"/>
      <c r="PO141" s="678"/>
      <c r="PP141" s="650"/>
      <c r="PQ141" s="651">
        <f t="shared" ref="PQ141:PQ144" si="992">IF(AND(ABS(PN141)&gt;=$F$42,ABS(PN141)&lt;=$G$42),PN141*$D$42,IF(AND(ABS(PN141)&gt;=$F$43,ABS(PN141)&lt;=$G$43),PN141*$D$43,IF(AND(ABS(PN141)&gt;=$F$44,ABS(PN141)&lt;=$G$44),PN141*$D$44,"rango cal. out")))</f>
        <v>0</v>
      </c>
      <c r="PR141" s="619" t="e">
        <f>((273.2+PK141)*$F$32/((273.2+$F$31)*PM141))</f>
        <v>#DIV/0!</v>
      </c>
      <c r="PS141" s="674" t="e">
        <f>PQ141/PO141*PR141*EXP(-LN(2)/10990*($F$88-PP141))</f>
        <v>#DIV/0!</v>
      </c>
      <c r="PT141" s="599" t="e">
        <f>PS141-AVERAGE(QA94:QA95)</f>
        <v>#DIV/0!</v>
      </c>
      <c r="PU141" s="672" t="e">
        <f>ABS($B$33*PT141*3600)</f>
        <v>#DIV/0!</v>
      </c>
      <c r="PV141" s="675" t="e">
        <f>ABS($B$34*PT141*3600)</f>
        <v>#DIV/0!</v>
      </c>
      <c r="PW141" s="614" t="e">
        <f>PV141*$C$79</f>
        <v>#DIV/0!</v>
      </c>
      <c r="PX141" s="672" t="e">
        <f>PV141*$F$70</f>
        <v>#DIV/0!</v>
      </c>
      <c r="PY141" s="600" t="e">
        <f t="shared" ref="PY141:PY144" si="993">PV141*$F$75</f>
        <v>#DIV/0!</v>
      </c>
      <c r="PZ141" s="672" t="e">
        <f>PV141*$F$72</f>
        <v>#DIV/0!</v>
      </c>
      <c r="QA141" s="676" t="e">
        <f>PV141*$F$71</f>
        <v>#DIV/0!</v>
      </c>
      <c r="QB141" s="668"/>
      <c r="QC141" s="669"/>
      <c r="QD141" s="680"/>
      <c r="QE141" s="671"/>
      <c r="QF141" s="673"/>
      <c r="QG141" s="650"/>
      <c r="QH141" s="651">
        <f t="shared" ref="QH141:QH144" si="994">IF(AND(ABS(QE141)&gt;=$F$42,ABS(QE141)&lt;=$G$42),QE141*$D$42,IF(AND(ABS(QE141)&gt;=$F$43,ABS(QE141)&lt;=$G$43),QE141*$D$43,IF(AND(ABS(QE141)&gt;=$F$44,ABS(QE141)&lt;=$G$44),QE141*$D$44,"rango cal. out")))</f>
        <v>0</v>
      </c>
      <c r="QI141" s="619" t="e">
        <f>((273.2+QB141)*$F$32/((273.2+$F$31)*QD141))</f>
        <v>#DIV/0!</v>
      </c>
      <c r="QJ141" s="674" t="e">
        <f>QH141/QF141*QI141*EXP(-LN(2)/10990*($F$88-QG141))</f>
        <v>#DIV/0!</v>
      </c>
      <c r="QK141" s="599" t="e">
        <f>QJ141-AVERAGE(QR94:QR95)</f>
        <v>#DIV/0!</v>
      </c>
      <c r="QL141" s="672" t="e">
        <f>ABS($B$33*QK141*3600)</f>
        <v>#DIV/0!</v>
      </c>
      <c r="QM141" s="675" t="e">
        <f>ABS($B$34*QK141*3600)</f>
        <v>#DIV/0!</v>
      </c>
      <c r="QN141" s="614" t="e">
        <f>QM141*$C$79</f>
        <v>#DIV/0!</v>
      </c>
      <c r="QO141" s="672" t="e">
        <f>QM141*$F$70</f>
        <v>#DIV/0!</v>
      </c>
      <c r="QP141" s="600" t="e">
        <f t="shared" ref="QP141:QP144" si="995">QM141*$F$75</f>
        <v>#DIV/0!</v>
      </c>
      <c r="QQ141" s="672" t="e">
        <f>QM141*$F$72</f>
        <v>#DIV/0!</v>
      </c>
      <c r="QR141" s="676" t="e">
        <f>QM141*$F$71</f>
        <v>#DIV/0!</v>
      </c>
      <c r="QS141" s="668"/>
      <c r="QT141" s="669"/>
      <c r="QU141" s="669"/>
      <c r="QV141" s="679"/>
      <c r="QW141" s="673"/>
      <c r="QX141" s="650"/>
      <c r="QY141" s="651">
        <f t="shared" ref="QY141:QY144" si="996">IF(AND(ABS(QV141)&gt;=$F$42,ABS(QV141)&lt;=$G$42),QV141*$D$42,IF(AND(ABS(QV141)&gt;=$F$43,ABS(QV141)&lt;=$G$43),QV141*$D$43,IF(AND(ABS(QV141)&gt;=$F$44,ABS(QV141)&lt;=$G$44),QV141*$D$44,"rango cal. out")))</f>
        <v>0</v>
      </c>
      <c r="QZ141" s="619" t="e">
        <f>((273.2+QS141)*$F$32/((273.2+$F$31)*QU141))</f>
        <v>#DIV/0!</v>
      </c>
      <c r="RA141" s="674" t="e">
        <f>QY141/QW141*QZ141*EXP(-LN(2)/10990*($F$88-QX141))</f>
        <v>#DIV/0!</v>
      </c>
      <c r="RB141" s="599" t="e">
        <f>RA141-AVERAGE(RI94:RI95)</f>
        <v>#DIV/0!</v>
      </c>
      <c r="RC141" s="672" t="e">
        <f>ABS($B$33*RB141*3600)</f>
        <v>#DIV/0!</v>
      </c>
      <c r="RD141" s="675" t="e">
        <f>ABS($B$34*RB141*3600)</f>
        <v>#DIV/0!</v>
      </c>
      <c r="RE141" s="614" t="e">
        <f>RD141*$C$79</f>
        <v>#DIV/0!</v>
      </c>
      <c r="RF141" s="672" t="e">
        <f>RD141*$F$70</f>
        <v>#DIV/0!</v>
      </c>
      <c r="RG141" s="600" t="e">
        <f t="shared" ref="RG141:RG144" si="997">RD141*$F$75</f>
        <v>#DIV/0!</v>
      </c>
      <c r="RH141" s="672" t="e">
        <f>RD141*$F$72</f>
        <v>#DIV/0!</v>
      </c>
      <c r="RI141" s="676" t="e">
        <f>RD141*$F$71</f>
        <v>#DIV/0!</v>
      </c>
      <c r="RJ141" s="668">
        <v>20.5</v>
      </c>
      <c r="RK141" s="669">
        <v>54</v>
      </c>
      <c r="RL141" s="680">
        <v>1007</v>
      </c>
      <c r="RM141" s="671">
        <v>-3.8200000000000003E-12</v>
      </c>
      <c r="RN141" s="673">
        <v>60</v>
      </c>
      <c r="RO141" s="650">
        <v>43403</v>
      </c>
      <c r="RP141" s="651" t="str">
        <f t="shared" ref="RP141:RP144" si="998">IF(AND(ABS(RM141)&gt;=$F$42,ABS(RM141)&lt;=$G$42),RM141*$D$42,IF(AND(ABS(RM141)&gt;=$F$43,ABS(RM141)&lt;=$G$43),RM141*$D$43,IF(AND(ABS(RM141)&gt;=$F$44,ABS(RM141)&lt;=$G$44),RM141*$D$44,"rango cal. out")))</f>
        <v>rango cal. out</v>
      </c>
      <c r="RQ141" s="619">
        <f>((273.2+RJ141)*$F$32/((273.2+$F$31)*RL141))</f>
        <v>0</v>
      </c>
      <c r="RR141" s="674" t="e">
        <f>RP141/RN141*RQ141*EXP(-LN(2)/10990*($F$88-RO141))</f>
        <v>#VALUE!</v>
      </c>
      <c r="RS141" s="599" t="e">
        <f>RR141-AVERAGE(RZ94:RZ95)</f>
        <v>#VALUE!</v>
      </c>
      <c r="RT141" s="672" t="e">
        <f>ABS($B$33*RS141*3600)</f>
        <v>#VALUE!</v>
      </c>
      <c r="RU141" s="675" t="e">
        <f>ABS($B$34*RS141*3600)</f>
        <v>#VALUE!</v>
      </c>
      <c r="RV141" s="614" t="e">
        <f>RU141*$C$79</f>
        <v>#VALUE!</v>
      </c>
      <c r="RW141" s="672" t="e">
        <f>RU141*$F$70</f>
        <v>#VALUE!</v>
      </c>
      <c r="RX141" s="600" t="e">
        <f t="shared" ref="RX141:RX144" si="999">RU141*$F$75</f>
        <v>#VALUE!</v>
      </c>
      <c r="RY141" s="672" t="e">
        <f>RU141*$F$72</f>
        <v>#VALUE!</v>
      </c>
      <c r="RZ141" s="676" t="e">
        <f>RU141*$F$71</f>
        <v>#VALUE!</v>
      </c>
      <c r="SA141" s="668">
        <v>20.5</v>
      </c>
      <c r="SB141" s="669">
        <v>55</v>
      </c>
      <c r="SC141" s="680">
        <v>1008</v>
      </c>
      <c r="SD141" s="671">
        <v>-2.0659999999999999E-10</v>
      </c>
      <c r="SE141" s="673">
        <v>60</v>
      </c>
      <c r="SF141" s="650">
        <v>43403</v>
      </c>
      <c r="SG141" s="651" t="str">
        <f t="shared" ref="SG141:SG144" si="1000">IF(AND(ABS(SD141)&gt;=$F$42,ABS(SD141)&lt;=$G$42),SD141*$D$42,IF(AND(ABS(SD141)&gt;=$F$43,ABS(SD141)&lt;=$G$43),SD141*$D$43,IF(AND(ABS(SD141)&gt;=$F$44,ABS(SD141)&lt;=$G$44),SD141*$D$44,"rango cal. out")))</f>
        <v>rango cal. out</v>
      </c>
      <c r="SH141" s="619">
        <f>((273.2+SA141)*$F$32/((273.2+$F$31)*SC141))</f>
        <v>0</v>
      </c>
      <c r="SI141" s="674" t="e">
        <f>SG141/SE141*SH141*EXP(-LN(2)/10990*($F$88-SF141))</f>
        <v>#VALUE!</v>
      </c>
      <c r="SJ141" s="599" t="e">
        <f>SI141-AVERAGE(SQ94:SQ95)</f>
        <v>#VALUE!</v>
      </c>
      <c r="SK141" s="672" t="e">
        <f>ABS($B$33*SJ141*3600)</f>
        <v>#VALUE!</v>
      </c>
      <c r="SL141" s="675" t="e">
        <f>ABS($B$34*SJ141*3600)</f>
        <v>#VALUE!</v>
      </c>
      <c r="SM141" s="614" t="e">
        <f>SL141*$C$79</f>
        <v>#VALUE!</v>
      </c>
      <c r="SN141" s="672" t="e">
        <f>SL141*$F$70</f>
        <v>#VALUE!</v>
      </c>
      <c r="SO141" s="600" t="e">
        <f t="shared" ref="SO141:SO144" si="1001">SL141*$F$75</f>
        <v>#VALUE!</v>
      </c>
      <c r="SP141" s="672" t="e">
        <f>SL141*$F$72</f>
        <v>#VALUE!</v>
      </c>
      <c r="SQ141" s="676" t="e">
        <f>SL141*$F$71</f>
        <v>#VALUE!</v>
      </c>
      <c r="SR141" s="668"/>
      <c r="SS141" s="669"/>
      <c r="ST141" s="670"/>
      <c r="SU141" s="671"/>
      <c r="SV141" s="678"/>
      <c r="SW141" s="650"/>
      <c r="SX141" s="651">
        <f t="shared" ref="SX141:SX144" si="1002">IF(AND(ABS(SU141)&gt;=$F$42,ABS(SU141)&lt;=$G$42),SU141*$D$42,IF(AND(ABS(SU141)&gt;=$F$43,ABS(SU141)&lt;=$G$43),SU141*$D$43,IF(AND(ABS(SU141)&gt;=$F$44,ABS(SU141)&lt;=$G$44),SU141*$D$44,"rango cal. out")))</f>
        <v>0</v>
      </c>
      <c r="SY141" s="619" t="e">
        <f>((273.2+SR141)*$F$32/((273.2+$F$31)*ST141))</f>
        <v>#DIV/0!</v>
      </c>
      <c r="SZ141" s="674" t="e">
        <f>SX141/SV141*SY141*EXP(-LN(2)/10990*($F$88-SW141))</f>
        <v>#DIV/0!</v>
      </c>
      <c r="TA141" s="599" t="e">
        <f>SZ141-AVERAGE(TH94:TH95)</f>
        <v>#DIV/0!</v>
      </c>
      <c r="TB141" s="672" t="e">
        <f>ABS($B$33*TA141*3600)</f>
        <v>#DIV/0!</v>
      </c>
      <c r="TC141" s="675" t="e">
        <f>ABS($B$34*TA141*3600)</f>
        <v>#DIV/0!</v>
      </c>
      <c r="TD141" s="614" t="e">
        <f>TC141*$C$79</f>
        <v>#DIV/0!</v>
      </c>
      <c r="TE141" s="672" t="e">
        <f>TC141*$F$70</f>
        <v>#DIV/0!</v>
      </c>
      <c r="TF141" s="600" t="e">
        <f t="shared" ref="TF141:TF144" si="1003">TC141*$F$75</f>
        <v>#DIV/0!</v>
      </c>
      <c r="TG141" s="672" t="e">
        <f>TC141*$F$72</f>
        <v>#DIV/0!</v>
      </c>
      <c r="TH141" s="676" t="e">
        <f>TC141*$F$71</f>
        <v>#DIV/0!</v>
      </c>
      <c r="TI141" s="668">
        <v>20.5</v>
      </c>
      <c r="TJ141" s="669">
        <v>55</v>
      </c>
      <c r="TK141" s="680">
        <v>1008</v>
      </c>
      <c r="TL141" s="671">
        <v>-8.4999999999999997E-12</v>
      </c>
      <c r="TM141" s="673">
        <v>60</v>
      </c>
      <c r="TN141" s="650">
        <v>43403</v>
      </c>
      <c r="TO141" s="651" t="str">
        <f t="shared" ref="TO141:TO144" si="1004">IF(AND(ABS(TL141)&gt;=$F$42,ABS(TL141)&lt;=$G$42),TL141*$D$42,IF(AND(ABS(TL141)&gt;=$F$43,ABS(TL141)&lt;=$G$43),TL141*$D$43,IF(AND(ABS(TL141)&gt;=$F$44,ABS(TL141)&lt;=$G$44),TL141*$D$44,"rango cal. out")))</f>
        <v>rango cal. out</v>
      </c>
      <c r="TP141" s="619">
        <f>((273.2+TI141)*$F$32/((273.2+$F$31)*TK141))</f>
        <v>0</v>
      </c>
      <c r="TQ141" s="674" t="e">
        <f>TO141/TM141*TP141*EXP(-LN(2)/10990*($F$88-TN141))</f>
        <v>#VALUE!</v>
      </c>
      <c r="TR141" s="599" t="e">
        <f>TQ141-AVERAGE(TY94:TY95)</f>
        <v>#VALUE!</v>
      </c>
      <c r="TS141" s="672" t="e">
        <f>ABS($B$33*TR141*3600)</f>
        <v>#VALUE!</v>
      </c>
      <c r="TT141" s="675" t="e">
        <f>ABS($B$34*TR141*3600)</f>
        <v>#VALUE!</v>
      </c>
      <c r="TU141" s="614" t="e">
        <f>TT141*$C$79</f>
        <v>#VALUE!</v>
      </c>
      <c r="TV141" s="672" t="e">
        <f>TT141*$F$70</f>
        <v>#VALUE!</v>
      </c>
      <c r="TW141" s="600" t="e">
        <f t="shared" ref="TW141:TW144" si="1005">TT141*$F$75</f>
        <v>#VALUE!</v>
      </c>
      <c r="TX141" s="672" t="e">
        <f>TT141*$F$72</f>
        <v>#VALUE!</v>
      </c>
      <c r="TY141" s="676" t="e">
        <f>TT141*$F$71</f>
        <v>#VALUE!</v>
      </c>
    </row>
    <row r="142" spans="1:545" x14ac:dyDescent="0.25">
      <c r="A142" s="2219"/>
      <c r="B142" s="668"/>
      <c r="C142" s="673"/>
      <c r="D142" s="673"/>
      <c r="E142" s="671"/>
      <c r="F142" s="673"/>
      <c r="G142" s="650"/>
      <c r="H142" s="651"/>
      <c r="I142" s="619"/>
      <c r="J142" s="674"/>
      <c r="K142" s="599"/>
      <c r="L142" s="672"/>
      <c r="M142" s="675"/>
      <c r="N142" s="672"/>
      <c r="O142" s="672"/>
      <c r="P142" s="600"/>
      <c r="Q142" s="672"/>
      <c r="R142" s="676"/>
      <c r="S142" s="677"/>
      <c r="T142" s="669"/>
      <c r="U142" s="670"/>
      <c r="V142" s="671"/>
      <c r="W142" s="678"/>
      <c r="X142" s="650"/>
      <c r="Y142" s="651">
        <f t="shared" si="944"/>
        <v>0</v>
      </c>
      <c r="Z142" s="619" t="e">
        <f>((273.2+S142)*$F$32/((273.2+$F$31)*U142))</f>
        <v>#DIV/0!</v>
      </c>
      <c r="AA142" s="674" t="e">
        <f>Y142/W142*Z142*EXP(-LN(2)/10990*($F$88-X142))</f>
        <v>#DIV/0!</v>
      </c>
      <c r="AB142" s="599" t="e">
        <f>AA142-AVERAGE(AI94:AI95)</f>
        <v>#DIV/0!</v>
      </c>
      <c r="AC142" s="672" t="e">
        <f>ABS($B$33*AB142*3600)</f>
        <v>#DIV/0!</v>
      </c>
      <c r="AD142" s="675" t="e">
        <f>ABS($B$34*AB142*3600)</f>
        <v>#DIV/0!</v>
      </c>
      <c r="AE142" s="672" t="e">
        <f>AD142*$C$79</f>
        <v>#DIV/0!</v>
      </c>
      <c r="AF142" s="672" t="e">
        <f>AD142*$F$70</f>
        <v>#DIV/0!</v>
      </c>
      <c r="AG142" s="600" t="e">
        <f t="shared" si="945"/>
        <v>#DIV/0!</v>
      </c>
      <c r="AH142" s="672" t="e">
        <f>AD142*$F$72</f>
        <v>#DIV/0!</v>
      </c>
      <c r="AI142" s="676" t="e">
        <f>AD142*$F$71</f>
        <v>#DIV/0!</v>
      </c>
      <c r="AJ142" s="677"/>
      <c r="AK142" s="669"/>
      <c r="AL142" s="670"/>
      <c r="AM142" s="671"/>
      <c r="AN142" s="678"/>
      <c r="AO142" s="650"/>
      <c r="AP142" s="651">
        <f t="shared" si="946"/>
        <v>0</v>
      </c>
      <c r="AQ142" s="619" t="e">
        <f>((273.2+AJ142)*$F$32/((273.2+$F$31)*AL142))</f>
        <v>#DIV/0!</v>
      </c>
      <c r="AR142" s="674" t="e">
        <f>AP142/AN142*AQ142*EXP(-LN(2)/10990*($F$88-AO142))</f>
        <v>#DIV/0!</v>
      </c>
      <c r="AS142" s="599" t="e">
        <f>AR142-AVERAGE(AZ94:AZ95)</f>
        <v>#DIV/0!</v>
      </c>
      <c r="AT142" s="672" t="e">
        <f>ABS($B$33*AS142*3600)</f>
        <v>#DIV/0!</v>
      </c>
      <c r="AU142" s="675" t="e">
        <f>ABS($B$34*AS142*3600)</f>
        <v>#DIV/0!</v>
      </c>
      <c r="AV142" s="672" t="e">
        <f>AU142*$C$79</f>
        <v>#DIV/0!</v>
      </c>
      <c r="AW142" s="672" t="e">
        <f>AU142*$F$70</f>
        <v>#DIV/0!</v>
      </c>
      <c r="AX142" s="600" t="e">
        <f t="shared" si="947"/>
        <v>#DIV/0!</v>
      </c>
      <c r="AY142" s="672" t="e">
        <f>AU142*$F$72</f>
        <v>#DIV/0!</v>
      </c>
      <c r="AZ142" s="676" t="e">
        <f>AU142*$F$71</f>
        <v>#DIV/0!</v>
      </c>
      <c r="BA142" s="668">
        <v>20.7</v>
      </c>
      <c r="BB142" s="669">
        <v>53</v>
      </c>
      <c r="BC142" s="680">
        <v>1009</v>
      </c>
      <c r="BD142" s="671">
        <v>-5.3780000000000005E-10</v>
      </c>
      <c r="BE142" s="673">
        <v>60</v>
      </c>
      <c r="BF142" s="650">
        <v>43403</v>
      </c>
      <c r="BG142" s="651" t="str">
        <f t="shared" si="948"/>
        <v>rango cal. out</v>
      </c>
      <c r="BH142" s="619">
        <f>((273.2+BA142)*$F$32/((273.2+$F$31)*BC142))</f>
        <v>0</v>
      </c>
      <c r="BI142" s="674" t="e">
        <f>BG142/BE142*BH142*EXP(-LN(2)/10990*($F$88-BF142))</f>
        <v>#VALUE!</v>
      </c>
      <c r="BJ142" s="599" t="e">
        <f>BI142-AVERAGE(BQ94:BQ95)</f>
        <v>#VALUE!</v>
      </c>
      <c r="BK142" s="672" t="e">
        <f>ABS($B$33*BJ142*3600)</f>
        <v>#VALUE!</v>
      </c>
      <c r="BL142" s="675" t="e">
        <f>ABS($B$34*BJ142*3600)</f>
        <v>#VALUE!</v>
      </c>
      <c r="BM142" s="672" t="e">
        <f>BL142*$C$79</f>
        <v>#VALUE!</v>
      </c>
      <c r="BN142" s="672" t="e">
        <f>BL142*$F$70</f>
        <v>#VALUE!</v>
      </c>
      <c r="BO142" s="600" t="e">
        <f t="shared" si="949"/>
        <v>#VALUE!</v>
      </c>
      <c r="BP142" s="672" t="e">
        <f>BL142*$F$72</f>
        <v>#VALUE!</v>
      </c>
      <c r="BQ142" s="676" t="e">
        <f>BL142*$F$71</f>
        <v>#VALUE!</v>
      </c>
      <c r="BR142" s="668">
        <v>20.5</v>
      </c>
      <c r="BS142" s="669">
        <v>50</v>
      </c>
      <c r="BT142" s="680">
        <v>1008</v>
      </c>
      <c r="BU142" s="671">
        <v>-2.179E-11</v>
      </c>
      <c r="BV142" s="673">
        <v>60</v>
      </c>
      <c r="BW142" s="650">
        <v>43403</v>
      </c>
      <c r="BX142" s="651" t="str">
        <f t="shared" si="950"/>
        <v>rango cal. out</v>
      </c>
      <c r="BY142" s="619">
        <f>((273.2+BR142)*$F$32/((273.2+$F$31)*BT142))</f>
        <v>0</v>
      </c>
      <c r="BZ142" s="674" t="e">
        <f>BX142/BV142*BY142*EXP(-LN(2)/10990*($F$88-BW142))</f>
        <v>#VALUE!</v>
      </c>
      <c r="CA142" s="599" t="e">
        <f>BZ142-AVERAGE(CH94:CH95)</f>
        <v>#VALUE!</v>
      </c>
      <c r="CB142" s="672" t="e">
        <f>ABS($B$33*CA142*3600)</f>
        <v>#VALUE!</v>
      </c>
      <c r="CC142" s="675" t="e">
        <f>ABS($B$34*CA142*3600)</f>
        <v>#VALUE!</v>
      </c>
      <c r="CD142" s="672" t="e">
        <f>CC142*$C$79</f>
        <v>#VALUE!</v>
      </c>
      <c r="CE142" s="672" t="e">
        <f>CC142*$F$70</f>
        <v>#VALUE!</v>
      </c>
      <c r="CF142" s="600" t="e">
        <f t="shared" si="951"/>
        <v>#VALUE!</v>
      </c>
      <c r="CG142" s="672" t="e">
        <f>CC142*$F$72</f>
        <v>#VALUE!</v>
      </c>
      <c r="CH142" s="676" t="e">
        <f>CC142*$F$71</f>
        <v>#VALUE!</v>
      </c>
      <c r="CI142" s="668">
        <v>20.5</v>
      </c>
      <c r="CJ142" s="669">
        <v>52</v>
      </c>
      <c r="CK142" s="680">
        <v>1007</v>
      </c>
      <c r="CL142" s="671">
        <v>-1.2549999999999999E-9</v>
      </c>
      <c r="CM142" s="673">
        <v>60</v>
      </c>
      <c r="CN142" s="650">
        <v>43403</v>
      </c>
      <c r="CO142" s="651" t="str">
        <f t="shared" si="952"/>
        <v>rango cal. out</v>
      </c>
      <c r="CP142" s="619">
        <f>((273.2+CI142)*$F$32/((273.2+$F$31)*CK142))</f>
        <v>0</v>
      </c>
      <c r="CQ142" s="674" t="e">
        <f>CO142/CM142*CP142*EXP(-LN(2)/10990*($F$88-CN142))</f>
        <v>#VALUE!</v>
      </c>
      <c r="CR142" s="599" t="e">
        <f>CQ142-AVERAGE(CY94:CY95)</f>
        <v>#VALUE!</v>
      </c>
      <c r="CS142" s="672" t="e">
        <f>ABS($B$33*CR142*3600)</f>
        <v>#VALUE!</v>
      </c>
      <c r="CT142" s="675" t="e">
        <f>ABS($B$34*CR142*3600)</f>
        <v>#VALUE!</v>
      </c>
      <c r="CU142" s="672" t="e">
        <f>CT142*$C$79</f>
        <v>#VALUE!</v>
      </c>
      <c r="CV142" s="672" t="e">
        <f>CT142*$F$70</f>
        <v>#VALUE!</v>
      </c>
      <c r="CW142" s="600" t="e">
        <f t="shared" si="953"/>
        <v>#VALUE!</v>
      </c>
      <c r="CX142" s="672" t="e">
        <f>CT142*$F$72</f>
        <v>#VALUE!</v>
      </c>
      <c r="CY142" s="676" t="e">
        <f>CT142*$F$71</f>
        <v>#VALUE!</v>
      </c>
      <c r="CZ142" s="668"/>
      <c r="DA142" s="669"/>
      <c r="DB142" s="670"/>
      <c r="DC142" s="671"/>
      <c r="DD142" s="678"/>
      <c r="DE142" s="650"/>
      <c r="DF142" s="651">
        <f t="shared" si="954"/>
        <v>0</v>
      </c>
      <c r="DG142" s="619" t="e">
        <f>((273.2+CZ142)*$F$32/((273.2+$F$31)*DB142))</f>
        <v>#DIV/0!</v>
      </c>
      <c r="DH142" s="674" t="e">
        <f>DF142/DD142*DG142*EXP(-LN(2)/10990*($F$88-DE142))</f>
        <v>#DIV/0!</v>
      </c>
      <c r="DI142" s="599" t="e">
        <f>DH142-AVERAGE(DP94:DP95)</f>
        <v>#DIV/0!</v>
      </c>
      <c r="DJ142" s="672" t="e">
        <f>ABS($B$33*DI142*3600)</f>
        <v>#DIV/0!</v>
      </c>
      <c r="DK142" s="675" t="e">
        <f>ABS($B$34*DI142*3600)</f>
        <v>#DIV/0!</v>
      </c>
      <c r="DL142" s="672" t="e">
        <f>DK142*$C$79</f>
        <v>#DIV/0!</v>
      </c>
      <c r="DM142" s="672" t="e">
        <f>DK142*$F$70</f>
        <v>#DIV/0!</v>
      </c>
      <c r="DN142" s="600" t="e">
        <f t="shared" si="955"/>
        <v>#DIV/0!</v>
      </c>
      <c r="DO142" s="672" t="e">
        <f>DK142*$F$72</f>
        <v>#DIV/0!</v>
      </c>
      <c r="DP142" s="676" t="e">
        <f>DK142*$F$71</f>
        <v>#DIV/0!</v>
      </c>
      <c r="DQ142" s="668"/>
      <c r="DR142" s="669"/>
      <c r="DS142" s="677"/>
      <c r="DT142" s="679"/>
      <c r="DU142" s="678"/>
      <c r="DV142" s="650"/>
      <c r="DW142" s="651">
        <f t="shared" si="956"/>
        <v>0</v>
      </c>
      <c r="DX142" s="619" t="e">
        <f>((273.2+DQ142)*$F$32/((273.2+$F$31)*DS142))</f>
        <v>#DIV/0!</v>
      </c>
      <c r="DY142" s="674" t="e">
        <f>DW142/DU142*DX142*EXP(-LN(2)/10990*($F$88-DV142))</f>
        <v>#DIV/0!</v>
      </c>
      <c r="DZ142" s="599" t="e">
        <f>DY142-AVERAGE(EG94:EG95)</f>
        <v>#DIV/0!</v>
      </c>
      <c r="EA142" s="672" t="e">
        <f>ABS($B$33*DZ142*3600)</f>
        <v>#DIV/0!</v>
      </c>
      <c r="EB142" s="675" t="e">
        <f>ABS($B$34*DZ142*3600)</f>
        <v>#DIV/0!</v>
      </c>
      <c r="EC142" s="672" t="e">
        <f>EB142*$C$79</f>
        <v>#DIV/0!</v>
      </c>
      <c r="ED142" s="672" t="e">
        <f>EB142*$F$70</f>
        <v>#DIV/0!</v>
      </c>
      <c r="EE142" s="600" t="e">
        <f t="shared" si="957"/>
        <v>#DIV/0!</v>
      </c>
      <c r="EF142" s="672" t="e">
        <f>EB142*$F$72</f>
        <v>#DIV/0!</v>
      </c>
      <c r="EG142" s="676" t="e">
        <f>EB142*$F$71</f>
        <v>#DIV/0!</v>
      </c>
      <c r="EH142" s="668">
        <v>20.5</v>
      </c>
      <c r="EI142" s="669">
        <v>53</v>
      </c>
      <c r="EJ142" s="680">
        <v>1007</v>
      </c>
      <c r="EK142" s="671">
        <v>-1.5000000000000001E-12</v>
      </c>
      <c r="EL142" s="673">
        <v>60</v>
      </c>
      <c r="EM142" s="650">
        <v>43403</v>
      </c>
      <c r="EN142" s="651" t="str">
        <f t="shared" si="958"/>
        <v>rango cal. out</v>
      </c>
      <c r="EO142" s="619">
        <f>((273.2+EH142)*$F$32/((273.2+$F$31)*EJ142))</f>
        <v>0</v>
      </c>
      <c r="EP142" s="674" t="e">
        <f>EN142/EL142*EO142*EXP(-LN(2)/10990*($F$88-EM142))</f>
        <v>#VALUE!</v>
      </c>
      <c r="EQ142" s="599" t="e">
        <f>EP142-AVERAGE(EX94:EX95)</f>
        <v>#VALUE!</v>
      </c>
      <c r="ER142" s="672" t="e">
        <f>ABS($B$33*EQ142*3600)</f>
        <v>#VALUE!</v>
      </c>
      <c r="ES142" s="675" t="e">
        <f>ABS($B$34*EQ142*3600)</f>
        <v>#VALUE!</v>
      </c>
      <c r="ET142" s="672" t="e">
        <f>ES142*$C$79</f>
        <v>#VALUE!</v>
      </c>
      <c r="EU142" s="672" t="e">
        <f>ES142*$F$70</f>
        <v>#VALUE!</v>
      </c>
      <c r="EV142" s="600" t="e">
        <f t="shared" si="959"/>
        <v>#VALUE!</v>
      </c>
      <c r="EW142" s="672" t="e">
        <f>ES142*$F$72</f>
        <v>#VALUE!</v>
      </c>
      <c r="EX142" s="676" t="e">
        <f>ES142*$F$71</f>
        <v>#VALUE!</v>
      </c>
      <c r="EY142" s="668"/>
      <c r="EZ142" s="669"/>
      <c r="FA142" s="670"/>
      <c r="FB142" s="671"/>
      <c r="FC142" s="678"/>
      <c r="FD142" s="650"/>
      <c r="FE142" s="651">
        <f t="shared" si="960"/>
        <v>0</v>
      </c>
      <c r="FF142" s="619" t="e">
        <f>((273.2+EY142)*$F$32/((273.2+$F$31)*FA142))</f>
        <v>#DIV/0!</v>
      </c>
      <c r="FG142" s="674" t="e">
        <f>FE142/FC142*FF142*EXP(-LN(2)/10990*($F$88-FD142))</f>
        <v>#DIV/0!</v>
      </c>
      <c r="FH142" s="599" t="e">
        <f>FG142-AVERAGE(FO94:FO95)</f>
        <v>#DIV/0!</v>
      </c>
      <c r="FI142" s="672" t="e">
        <f>ABS($B$33*FH142*3600)</f>
        <v>#DIV/0!</v>
      </c>
      <c r="FJ142" s="675" t="e">
        <f>ABS($B$34*FH142*3600)</f>
        <v>#DIV/0!</v>
      </c>
      <c r="FK142" s="672" t="e">
        <f>FJ142*$C$79</f>
        <v>#DIV/0!</v>
      </c>
      <c r="FL142" s="672" t="e">
        <f>FJ142*$F$70</f>
        <v>#DIV/0!</v>
      </c>
      <c r="FM142" s="600" t="e">
        <f t="shared" si="961"/>
        <v>#DIV/0!</v>
      </c>
      <c r="FN142" s="672" t="e">
        <f>FJ142*$F$72</f>
        <v>#DIV/0!</v>
      </c>
      <c r="FO142" s="676" t="e">
        <f>FJ142*$F$71</f>
        <v>#DIV/0!</v>
      </c>
      <c r="FP142" s="668"/>
      <c r="FQ142" s="669"/>
      <c r="FR142" s="670"/>
      <c r="FS142" s="671"/>
      <c r="FT142" s="678"/>
      <c r="FU142" s="650"/>
      <c r="FV142" s="651">
        <f t="shared" si="962"/>
        <v>0</v>
      </c>
      <c r="FW142" s="619" t="e">
        <f>((273.2+FP142)*$F$32/((273.2+$F$31)*FR142))</f>
        <v>#DIV/0!</v>
      </c>
      <c r="FX142" s="674" t="e">
        <f>FV142/FT142*FW142*EXP(-LN(2)/10990*($F$88-FU142))</f>
        <v>#DIV/0!</v>
      </c>
      <c r="FY142" s="599" t="e">
        <f>FX142-AVERAGE(GF94:GF95)</f>
        <v>#DIV/0!</v>
      </c>
      <c r="FZ142" s="672" t="e">
        <f>ABS($B$33*FY142*3600)</f>
        <v>#DIV/0!</v>
      </c>
      <c r="GA142" s="675" t="e">
        <f>ABS($B$34*FY142*3600)</f>
        <v>#DIV/0!</v>
      </c>
      <c r="GB142" s="672" t="e">
        <f>GA142*$C$79</f>
        <v>#DIV/0!</v>
      </c>
      <c r="GC142" s="672" t="e">
        <f>GA142*$F$70</f>
        <v>#DIV/0!</v>
      </c>
      <c r="GD142" s="600" t="e">
        <f t="shared" si="963"/>
        <v>#DIV/0!</v>
      </c>
      <c r="GE142" s="672" t="e">
        <f>GA142*$F$72</f>
        <v>#DIV/0!</v>
      </c>
      <c r="GF142" s="676" t="e">
        <f>GA142*$F$71</f>
        <v>#DIV/0!</v>
      </c>
      <c r="GG142" s="668"/>
      <c r="GH142" s="669"/>
      <c r="GI142" s="677"/>
      <c r="GJ142" s="679"/>
      <c r="GK142" s="678"/>
      <c r="GL142" s="650"/>
      <c r="GM142" s="651">
        <f t="shared" si="964"/>
        <v>0</v>
      </c>
      <c r="GN142" s="619" t="e">
        <f>((273.2+GG142)*$F$32/((273.2+$F$31)*GI142))</f>
        <v>#DIV/0!</v>
      </c>
      <c r="GO142" s="674" t="e">
        <f>GM142/GK142*GN142*EXP(-LN(2)/10990*($F$88-GL142))</f>
        <v>#DIV/0!</v>
      </c>
      <c r="GP142" s="599" t="e">
        <f>GO142-AVERAGE(GW94:GW95)</f>
        <v>#DIV/0!</v>
      </c>
      <c r="GQ142" s="672" t="e">
        <f>ABS($B$33*GP142*3600)</f>
        <v>#DIV/0!</v>
      </c>
      <c r="GR142" s="675" t="e">
        <f>ABS($B$34*GP142*3600)</f>
        <v>#DIV/0!</v>
      </c>
      <c r="GS142" s="672" t="e">
        <f>GR142*$C$79</f>
        <v>#DIV/0!</v>
      </c>
      <c r="GT142" s="672" t="e">
        <f>GR142*$F$70</f>
        <v>#DIV/0!</v>
      </c>
      <c r="GU142" s="600" t="e">
        <f t="shared" si="965"/>
        <v>#DIV/0!</v>
      </c>
      <c r="GV142" s="672" t="e">
        <f>GR142*$F$72</f>
        <v>#DIV/0!</v>
      </c>
      <c r="GW142" s="676" t="e">
        <f>GR142*$F$71</f>
        <v>#DIV/0!</v>
      </c>
      <c r="GX142" s="668"/>
      <c r="GY142" s="669"/>
      <c r="GZ142" s="670"/>
      <c r="HA142" s="671"/>
      <c r="HB142" s="678"/>
      <c r="HC142" s="650"/>
      <c r="HD142" s="651">
        <f t="shared" si="966"/>
        <v>0</v>
      </c>
      <c r="HE142" s="619" t="e">
        <f>((273.2+GX142)*$F$32/((273.2+$F$31)*GZ142))</f>
        <v>#DIV/0!</v>
      </c>
      <c r="HF142" s="674" t="e">
        <f>HD142/HB142*HE142*EXP(-LN(2)/10990*($F$88-HC142))</f>
        <v>#DIV/0!</v>
      </c>
      <c r="HG142" s="599" t="e">
        <f>HF142-AVERAGE(HN94:HN95)</f>
        <v>#DIV/0!</v>
      </c>
      <c r="HH142" s="672" t="e">
        <f>ABS($B$33*HG142*3600)</f>
        <v>#DIV/0!</v>
      </c>
      <c r="HI142" s="675" t="e">
        <f>ABS($B$34*HG142*3600)</f>
        <v>#DIV/0!</v>
      </c>
      <c r="HJ142" s="672" t="e">
        <f>HI142*$C$79</f>
        <v>#DIV/0!</v>
      </c>
      <c r="HK142" s="672" t="e">
        <f>HI142*$F$70</f>
        <v>#DIV/0!</v>
      </c>
      <c r="HL142" s="600" t="e">
        <f t="shared" si="967"/>
        <v>#DIV/0!</v>
      </c>
      <c r="HM142" s="672" t="e">
        <f>HI142*$F$72</f>
        <v>#DIV/0!</v>
      </c>
      <c r="HN142" s="676" t="e">
        <f>HI142*$F$71</f>
        <v>#DIV/0!</v>
      </c>
      <c r="HO142" s="668"/>
      <c r="HP142" s="669"/>
      <c r="HQ142" s="670"/>
      <c r="HR142" s="671"/>
      <c r="HS142" s="678"/>
      <c r="HT142" s="650"/>
      <c r="HU142" s="651">
        <f t="shared" si="968"/>
        <v>0</v>
      </c>
      <c r="HV142" s="619" t="e">
        <f>((273.2+HO142)*$F$32/((273.2+$F$31)*HQ142))</f>
        <v>#DIV/0!</v>
      </c>
      <c r="HW142" s="674" t="e">
        <f>HU142/HS142*HV142*EXP(-LN(2)/10990*($F$88-HT142))</f>
        <v>#DIV/0!</v>
      </c>
      <c r="HX142" s="599" t="e">
        <f>HW142-AVERAGE(IE94:IE95)</f>
        <v>#DIV/0!</v>
      </c>
      <c r="HY142" s="672" t="e">
        <f>ABS($B$33*HX142*3600)</f>
        <v>#DIV/0!</v>
      </c>
      <c r="HZ142" s="675" t="e">
        <f>ABS($B$34*HX142*3600)</f>
        <v>#DIV/0!</v>
      </c>
      <c r="IA142" s="672" t="e">
        <f>HZ142*$C$79</f>
        <v>#DIV/0!</v>
      </c>
      <c r="IB142" s="672" t="e">
        <f>HZ142*$F$70</f>
        <v>#DIV/0!</v>
      </c>
      <c r="IC142" s="600" t="e">
        <f t="shared" si="969"/>
        <v>#DIV/0!</v>
      </c>
      <c r="ID142" s="672" t="e">
        <f>HZ142*$F$72</f>
        <v>#DIV/0!</v>
      </c>
      <c r="IE142" s="676" t="e">
        <f>HZ142*$F$71</f>
        <v>#DIV/0!</v>
      </c>
      <c r="IF142" s="668"/>
      <c r="IG142" s="669"/>
      <c r="IH142" s="670"/>
      <c r="II142" s="671"/>
      <c r="IJ142" s="678"/>
      <c r="IK142" s="650"/>
      <c r="IL142" s="651">
        <f t="shared" si="970"/>
        <v>0</v>
      </c>
      <c r="IM142" s="619" t="e">
        <f>((273.2+IF142)*$F$32/((273.2+$F$31)*IH142))</f>
        <v>#DIV/0!</v>
      </c>
      <c r="IN142" s="674" t="e">
        <f>IL142/IJ142*IM142*EXP(-LN(2)/10990*($F$88-IK142))</f>
        <v>#DIV/0!</v>
      </c>
      <c r="IO142" s="599" t="e">
        <f>IN142-AVERAGE(IV94:IV95)</f>
        <v>#DIV/0!</v>
      </c>
      <c r="IP142" s="672" t="e">
        <f>ABS($B$33*IO142*3600)</f>
        <v>#DIV/0!</v>
      </c>
      <c r="IQ142" s="675" t="e">
        <f>ABS($B$34*IO142*3600)</f>
        <v>#DIV/0!</v>
      </c>
      <c r="IR142" s="672" t="e">
        <f>IQ142*$C$79</f>
        <v>#DIV/0!</v>
      </c>
      <c r="IS142" s="672" t="e">
        <f>IQ142*$F$70</f>
        <v>#DIV/0!</v>
      </c>
      <c r="IT142" s="600" t="e">
        <f t="shared" si="971"/>
        <v>#DIV/0!</v>
      </c>
      <c r="IU142" s="672" t="e">
        <f>IQ142*$F$72</f>
        <v>#DIV/0!</v>
      </c>
      <c r="IV142" s="676" t="e">
        <f>IQ142*$F$71</f>
        <v>#DIV/0!</v>
      </c>
      <c r="IW142" s="668"/>
      <c r="IX142" s="669"/>
      <c r="IY142" s="670"/>
      <c r="IZ142" s="671"/>
      <c r="JA142" s="678"/>
      <c r="JB142" s="650"/>
      <c r="JC142" s="651">
        <f t="shared" si="972"/>
        <v>0</v>
      </c>
      <c r="JD142" s="619" t="e">
        <f>((273.2+IW142)*$F$32/((273.2+$F$31)*IY142))</f>
        <v>#DIV/0!</v>
      </c>
      <c r="JE142" s="674" t="e">
        <f>JC142/JA142*JD142*EXP(-LN(2)/10990*($F$88-JB142))</f>
        <v>#DIV/0!</v>
      </c>
      <c r="JF142" s="599" t="e">
        <f>JE142-AVERAGE(JM94:JM95)</f>
        <v>#DIV/0!</v>
      </c>
      <c r="JG142" s="672" t="e">
        <f>ABS($B$33*JF142*3600)</f>
        <v>#DIV/0!</v>
      </c>
      <c r="JH142" s="675" t="e">
        <f>ABS($B$34*JF142*3600)</f>
        <v>#DIV/0!</v>
      </c>
      <c r="JI142" s="672" t="e">
        <f>JH142*$C$79</f>
        <v>#DIV/0!</v>
      </c>
      <c r="JJ142" s="672" t="e">
        <f>JH142*$F$70</f>
        <v>#DIV/0!</v>
      </c>
      <c r="JK142" s="600" t="e">
        <f t="shared" si="973"/>
        <v>#DIV/0!</v>
      </c>
      <c r="JL142" s="672" t="e">
        <f>JH142*$F$72</f>
        <v>#DIV/0!</v>
      </c>
      <c r="JM142" s="676" t="e">
        <f>JH142*$F$71</f>
        <v>#DIV/0!</v>
      </c>
      <c r="JN142" s="668"/>
      <c r="JO142" s="669"/>
      <c r="JP142" s="670"/>
      <c r="JQ142" s="671"/>
      <c r="JR142" s="678"/>
      <c r="JS142" s="650"/>
      <c r="JT142" s="651">
        <f t="shared" si="974"/>
        <v>0</v>
      </c>
      <c r="JU142" s="619" t="e">
        <f>((273.2+JN142)*$F$32/((273.2+$F$31)*JP142))</f>
        <v>#DIV/0!</v>
      </c>
      <c r="JV142" s="674" t="e">
        <f>JT142/JR142*JU142*EXP(-LN(2)/10990*($F$88-JS142))</f>
        <v>#DIV/0!</v>
      </c>
      <c r="JW142" s="599" t="e">
        <f>JV142-AVERAGE(KD94:KD95)</f>
        <v>#DIV/0!</v>
      </c>
      <c r="JX142" s="672" t="e">
        <f>ABS($B$33*JW142*3600)</f>
        <v>#DIV/0!</v>
      </c>
      <c r="JY142" s="675" t="e">
        <f>ABS($B$34*JW142*3600)</f>
        <v>#DIV/0!</v>
      </c>
      <c r="JZ142" s="672" t="e">
        <f>JY142*$C$79</f>
        <v>#DIV/0!</v>
      </c>
      <c r="KA142" s="672" t="e">
        <f>JY142*$F$70</f>
        <v>#DIV/0!</v>
      </c>
      <c r="KB142" s="600" t="e">
        <f t="shared" si="975"/>
        <v>#DIV/0!</v>
      </c>
      <c r="KC142" s="672" t="e">
        <f>JY142*$F$72</f>
        <v>#DIV/0!</v>
      </c>
      <c r="KD142" s="676" t="e">
        <f>JY142*$F$71</f>
        <v>#DIV/0!</v>
      </c>
      <c r="KE142" s="668"/>
      <c r="KF142" s="669"/>
      <c r="KG142" s="670"/>
      <c r="KH142" s="671"/>
      <c r="KI142" s="678"/>
      <c r="KJ142" s="650"/>
      <c r="KK142" s="651">
        <f t="shared" si="976"/>
        <v>0</v>
      </c>
      <c r="KL142" s="619" t="e">
        <f>((273.2+KE142)*$F$32/((273.2+$F$31)*KG142))</f>
        <v>#DIV/0!</v>
      </c>
      <c r="KM142" s="674" t="e">
        <f>KK142/KI142*KL142*EXP(-LN(2)/10990*($F$88-KJ142))</f>
        <v>#DIV/0!</v>
      </c>
      <c r="KN142" s="599" t="e">
        <f>KM142-AVERAGE(KU94:KU95)</f>
        <v>#DIV/0!</v>
      </c>
      <c r="KO142" s="672" t="e">
        <f>ABS($B$33*KN142*3600)</f>
        <v>#DIV/0!</v>
      </c>
      <c r="KP142" s="675" t="e">
        <f>ABS($B$34*KN142*3600)</f>
        <v>#DIV/0!</v>
      </c>
      <c r="KQ142" s="672" t="e">
        <f>KP142*$C$79</f>
        <v>#DIV/0!</v>
      </c>
      <c r="KR142" s="672" t="e">
        <f>KP142*$F$70</f>
        <v>#DIV/0!</v>
      </c>
      <c r="KS142" s="600" t="e">
        <f t="shared" si="977"/>
        <v>#DIV/0!</v>
      </c>
      <c r="KT142" s="672" t="e">
        <f>KP142*$F$72</f>
        <v>#DIV/0!</v>
      </c>
      <c r="KU142" s="676" t="e">
        <f>KP142*$F$71</f>
        <v>#DIV/0!</v>
      </c>
      <c r="KV142" s="668"/>
      <c r="KW142" s="669"/>
      <c r="KX142" s="670"/>
      <c r="KY142" s="671"/>
      <c r="KZ142" s="678"/>
      <c r="LA142" s="650"/>
      <c r="LB142" s="651">
        <f t="shared" si="978"/>
        <v>0</v>
      </c>
      <c r="LC142" s="619" t="e">
        <f>((273.2+KV142)*$F$32/((273.2+$F$31)*KX142))</f>
        <v>#DIV/0!</v>
      </c>
      <c r="LD142" s="674" t="e">
        <f>LB142/KZ142*LC142*EXP(-LN(2)/10990*($F$88-LA142))</f>
        <v>#DIV/0!</v>
      </c>
      <c r="LE142" s="599" t="e">
        <f>LD142-AVERAGE(LL94:LL95)</f>
        <v>#DIV/0!</v>
      </c>
      <c r="LF142" s="672" t="e">
        <f>ABS($B$33*LE142*3600)</f>
        <v>#DIV/0!</v>
      </c>
      <c r="LG142" s="675" t="e">
        <f>ABS($B$34*LE142*3600)</f>
        <v>#DIV/0!</v>
      </c>
      <c r="LH142" s="672" t="e">
        <f>LG142*$C$79</f>
        <v>#DIV/0!</v>
      </c>
      <c r="LI142" s="672" t="e">
        <f>LG142*$F$70</f>
        <v>#DIV/0!</v>
      </c>
      <c r="LJ142" s="600" t="e">
        <f t="shared" si="979"/>
        <v>#DIV/0!</v>
      </c>
      <c r="LK142" s="672" t="e">
        <f>LG142*$F$72</f>
        <v>#DIV/0!</v>
      </c>
      <c r="LL142" s="676" t="e">
        <f>LG142*$F$71</f>
        <v>#DIV/0!</v>
      </c>
      <c r="LM142" s="668"/>
      <c r="LN142" s="669"/>
      <c r="LO142" s="670"/>
      <c r="LP142" s="671"/>
      <c r="LQ142" s="678"/>
      <c r="LR142" s="650"/>
      <c r="LS142" s="651">
        <f t="shared" si="980"/>
        <v>0</v>
      </c>
      <c r="LT142" s="619" t="e">
        <f>((273.2+LM142)*$F$32/((273.2+$F$31)*LO142))</f>
        <v>#DIV/0!</v>
      </c>
      <c r="LU142" s="674" t="e">
        <f>LS142/LQ142*LT142*EXP(-LN(2)/10990*($F$88-LR142))</f>
        <v>#DIV/0!</v>
      </c>
      <c r="LV142" s="599" t="e">
        <f>LU142-AVERAGE(MC94:MC95)</f>
        <v>#DIV/0!</v>
      </c>
      <c r="LW142" s="672" t="e">
        <f>ABS($B$33*LV142*3600)</f>
        <v>#DIV/0!</v>
      </c>
      <c r="LX142" s="675" t="e">
        <f>ABS($B$34*LV142*3600)</f>
        <v>#DIV/0!</v>
      </c>
      <c r="LY142" s="672" t="e">
        <f>LX142*$C$79</f>
        <v>#DIV/0!</v>
      </c>
      <c r="LZ142" s="672" t="e">
        <f>LX142*$F$70</f>
        <v>#DIV/0!</v>
      </c>
      <c r="MA142" s="600" t="e">
        <f t="shared" si="981"/>
        <v>#DIV/0!</v>
      </c>
      <c r="MB142" s="672" t="e">
        <f>LX142*$F$72</f>
        <v>#DIV/0!</v>
      </c>
      <c r="MC142" s="676" t="e">
        <f>LX142*$F$71</f>
        <v>#DIV/0!</v>
      </c>
      <c r="MD142" s="668"/>
      <c r="ME142" s="669"/>
      <c r="MF142" s="680"/>
      <c r="MG142" s="671"/>
      <c r="MH142" s="673"/>
      <c r="MI142" s="650"/>
      <c r="MJ142" s="651">
        <f t="shared" si="982"/>
        <v>0</v>
      </c>
      <c r="MK142" s="619" t="e">
        <f>((273.2+MD142)*$F$32/((273.2+$F$31)*MF142))</f>
        <v>#DIV/0!</v>
      </c>
      <c r="ML142" s="674" t="e">
        <f>MJ142/MH142*MK142*EXP(-LN(2)/10990*($F$88-MI142))</f>
        <v>#DIV/0!</v>
      </c>
      <c r="MM142" s="599" t="e">
        <f>ML142-AVERAGE(MT94:MT95)</f>
        <v>#DIV/0!</v>
      </c>
      <c r="MN142" s="672" t="e">
        <f>ABS($B$33*MM142*3600)</f>
        <v>#DIV/0!</v>
      </c>
      <c r="MO142" s="675" t="e">
        <f>ABS($B$34*MM142*3600)</f>
        <v>#DIV/0!</v>
      </c>
      <c r="MP142" s="672" t="e">
        <f>MO142*$C$79</f>
        <v>#DIV/0!</v>
      </c>
      <c r="MQ142" s="672" t="e">
        <f>MO142*$F$70</f>
        <v>#DIV/0!</v>
      </c>
      <c r="MR142" s="600" t="e">
        <f t="shared" si="983"/>
        <v>#DIV/0!</v>
      </c>
      <c r="MS142" s="672" t="e">
        <f>MO142*$F$72</f>
        <v>#DIV/0!</v>
      </c>
      <c r="MT142" s="676" t="e">
        <f>MO142*$F$71</f>
        <v>#DIV/0!</v>
      </c>
      <c r="MU142" s="668">
        <v>20.5</v>
      </c>
      <c r="MV142" s="669">
        <v>53</v>
      </c>
      <c r="MW142" s="680">
        <v>1007</v>
      </c>
      <c r="MX142" s="671">
        <v>-3.5629999999999997E-11</v>
      </c>
      <c r="MY142" s="678">
        <v>60</v>
      </c>
      <c r="MZ142" s="650">
        <v>43403</v>
      </c>
      <c r="NA142" s="651" t="str">
        <f t="shared" si="984"/>
        <v>rango cal. out</v>
      </c>
      <c r="NB142" s="619">
        <f>((273.2+MU142)*$F$32/((273.2+$F$31)*MW142))</f>
        <v>0</v>
      </c>
      <c r="NC142" s="674" t="e">
        <f>NA142/MY142*NB142*EXP(-LN(2)/10990*($F$88-MZ142))</f>
        <v>#VALUE!</v>
      </c>
      <c r="ND142" s="599" t="e">
        <f>NC142-AVERAGE(NK94:NK95)</f>
        <v>#VALUE!</v>
      </c>
      <c r="NE142" s="672" t="e">
        <f>ABS($B$33*ND142*3600)</f>
        <v>#VALUE!</v>
      </c>
      <c r="NF142" s="675" t="e">
        <f>ABS($B$34*ND142*3600)</f>
        <v>#VALUE!</v>
      </c>
      <c r="NG142" s="672" t="e">
        <f>NF142*$C$79</f>
        <v>#VALUE!</v>
      </c>
      <c r="NH142" s="672" t="e">
        <f>NF142*$F$70</f>
        <v>#VALUE!</v>
      </c>
      <c r="NI142" s="600" t="e">
        <f t="shared" si="985"/>
        <v>#VALUE!</v>
      </c>
      <c r="NJ142" s="672" t="e">
        <f>NF142*$F$72</f>
        <v>#VALUE!</v>
      </c>
      <c r="NK142" s="676" t="e">
        <f>NF142*$F$71</f>
        <v>#VALUE!</v>
      </c>
      <c r="NL142" s="668"/>
      <c r="NM142" s="669"/>
      <c r="NN142" s="670"/>
      <c r="NO142" s="671"/>
      <c r="NP142" s="678"/>
      <c r="NQ142" s="650"/>
      <c r="NR142" s="651">
        <f t="shared" si="986"/>
        <v>0</v>
      </c>
      <c r="NS142" s="619" t="e">
        <f>((273.2+NL142)*$F$32/((273.2+$F$31)*NN142))</f>
        <v>#DIV/0!</v>
      </c>
      <c r="NT142" s="674" t="e">
        <f>NR142/NP142*NS142*EXP(-LN(2)/10990*($F$88-NQ142))</f>
        <v>#DIV/0!</v>
      </c>
      <c r="NU142" s="599" t="e">
        <f>NT142-AVERAGE(OB94:OB95)</f>
        <v>#DIV/0!</v>
      </c>
      <c r="NV142" s="672" t="e">
        <f>ABS($B$33*NU142*3600)</f>
        <v>#DIV/0!</v>
      </c>
      <c r="NW142" s="675" t="e">
        <f>ABS($B$34*NU142*3600)</f>
        <v>#DIV/0!</v>
      </c>
      <c r="NX142" s="672" t="e">
        <f>NW142*$C$79</f>
        <v>#DIV/0!</v>
      </c>
      <c r="NY142" s="672" t="e">
        <f>NW142*$F$70</f>
        <v>#DIV/0!</v>
      </c>
      <c r="NZ142" s="600" t="e">
        <f t="shared" si="987"/>
        <v>#DIV/0!</v>
      </c>
      <c r="OA142" s="672" t="e">
        <f>NW142*$F$72</f>
        <v>#DIV/0!</v>
      </c>
      <c r="OB142" s="676" t="e">
        <f>NW142*$F$71</f>
        <v>#DIV/0!</v>
      </c>
      <c r="OC142" s="668">
        <v>20.5</v>
      </c>
      <c r="OD142" s="669">
        <v>53</v>
      </c>
      <c r="OE142" s="680">
        <v>1007</v>
      </c>
      <c r="OF142" s="671">
        <v>-8.2859999999999999E-11</v>
      </c>
      <c r="OG142" s="673">
        <v>60</v>
      </c>
      <c r="OH142" s="650">
        <v>43403</v>
      </c>
      <c r="OI142" s="651" t="str">
        <f t="shared" si="988"/>
        <v>rango cal. out</v>
      </c>
      <c r="OJ142" s="619">
        <f>((273.2+OC142)*$F$32/((273.2+$F$31)*OE142))</f>
        <v>0</v>
      </c>
      <c r="OK142" s="674" t="e">
        <f>OI142/OG142*OJ142*EXP(-LN(2)/10990*($F$88-OH142))</f>
        <v>#VALUE!</v>
      </c>
      <c r="OL142" s="599" t="e">
        <f>OK142-AVERAGE(OS94:OS95)</f>
        <v>#VALUE!</v>
      </c>
      <c r="OM142" s="672" t="e">
        <f>ABS($B$33*OL142*3600)</f>
        <v>#VALUE!</v>
      </c>
      <c r="ON142" s="675" t="e">
        <f>ABS($B$34*OL142*3600)</f>
        <v>#VALUE!</v>
      </c>
      <c r="OO142" s="672" t="e">
        <f>ON142*$C$79</f>
        <v>#VALUE!</v>
      </c>
      <c r="OP142" s="672" t="e">
        <f>ON142*$F$70</f>
        <v>#VALUE!</v>
      </c>
      <c r="OQ142" s="600" t="e">
        <f t="shared" si="989"/>
        <v>#VALUE!</v>
      </c>
      <c r="OR142" s="672" t="e">
        <f>ON142*$F$72</f>
        <v>#VALUE!</v>
      </c>
      <c r="OS142" s="676" t="e">
        <f>ON142*$F$71</f>
        <v>#VALUE!</v>
      </c>
      <c r="OT142" s="668"/>
      <c r="OU142" s="669"/>
      <c r="OV142" s="670"/>
      <c r="OW142" s="671"/>
      <c r="OX142" s="678"/>
      <c r="OY142" s="650"/>
      <c r="OZ142" s="651">
        <f t="shared" si="990"/>
        <v>0</v>
      </c>
      <c r="PA142" s="619" t="e">
        <f>((273.2+OT142)*$F$32/((273.2+$F$31)*OV142))</f>
        <v>#DIV/0!</v>
      </c>
      <c r="PB142" s="674" t="e">
        <f>OZ142/OX142*PA142*EXP(-LN(2)/10990*($F$88-OY142))</f>
        <v>#DIV/0!</v>
      </c>
      <c r="PC142" s="599" t="e">
        <f>PB142-AVERAGE(PJ94:PJ95)</f>
        <v>#DIV/0!</v>
      </c>
      <c r="PD142" s="672" t="e">
        <f>ABS($B$33*PC142*3600)</f>
        <v>#DIV/0!</v>
      </c>
      <c r="PE142" s="675" t="e">
        <f>ABS($B$34*PC142*3600)</f>
        <v>#DIV/0!</v>
      </c>
      <c r="PF142" s="672" t="e">
        <f>PE142*$C$79</f>
        <v>#DIV/0!</v>
      </c>
      <c r="PG142" s="672" t="e">
        <f>PE142*$F$70</f>
        <v>#DIV/0!</v>
      </c>
      <c r="PH142" s="600" t="e">
        <f t="shared" si="991"/>
        <v>#DIV/0!</v>
      </c>
      <c r="PI142" s="672" t="e">
        <f>PE142*$F$72</f>
        <v>#DIV/0!</v>
      </c>
      <c r="PJ142" s="676" t="e">
        <f>PE142*$F$71</f>
        <v>#DIV/0!</v>
      </c>
      <c r="PK142" s="668"/>
      <c r="PL142" s="669"/>
      <c r="PM142" s="670"/>
      <c r="PN142" s="671"/>
      <c r="PO142" s="678"/>
      <c r="PP142" s="650"/>
      <c r="PQ142" s="651">
        <f t="shared" si="992"/>
        <v>0</v>
      </c>
      <c r="PR142" s="619" t="e">
        <f>((273.2+PK142)*$F$32/((273.2+$F$31)*PM142))</f>
        <v>#DIV/0!</v>
      </c>
      <c r="PS142" s="674" t="e">
        <f>PQ142/PO142*PR142*EXP(-LN(2)/10990*($F$88-PP142))</f>
        <v>#DIV/0!</v>
      </c>
      <c r="PT142" s="599" t="e">
        <f>PS142-AVERAGE(QA94:QA95)</f>
        <v>#DIV/0!</v>
      </c>
      <c r="PU142" s="672" t="e">
        <f>ABS($B$33*PT142*3600)</f>
        <v>#DIV/0!</v>
      </c>
      <c r="PV142" s="675" t="e">
        <f>ABS($B$34*PT142*3600)</f>
        <v>#DIV/0!</v>
      </c>
      <c r="PW142" s="672" t="e">
        <f>PV142*$C$79</f>
        <v>#DIV/0!</v>
      </c>
      <c r="PX142" s="672" t="e">
        <f>PV142*$F$70</f>
        <v>#DIV/0!</v>
      </c>
      <c r="PY142" s="600" t="e">
        <f t="shared" si="993"/>
        <v>#DIV/0!</v>
      </c>
      <c r="PZ142" s="672" t="e">
        <f>PV142*$F$72</f>
        <v>#DIV/0!</v>
      </c>
      <c r="QA142" s="676" t="e">
        <f>PV142*$F$71</f>
        <v>#DIV/0!</v>
      </c>
      <c r="QB142" s="668"/>
      <c r="QC142" s="669"/>
      <c r="QD142" s="680"/>
      <c r="QE142" s="671"/>
      <c r="QF142" s="673"/>
      <c r="QG142" s="650"/>
      <c r="QH142" s="651">
        <f t="shared" si="994"/>
        <v>0</v>
      </c>
      <c r="QI142" s="619" t="e">
        <f>((273.2+QB142)*$F$32/((273.2+$F$31)*QD142))</f>
        <v>#DIV/0!</v>
      </c>
      <c r="QJ142" s="674" t="e">
        <f>QH142/QF142*QI142*EXP(-LN(2)/10990*($F$88-QG142))</f>
        <v>#DIV/0!</v>
      </c>
      <c r="QK142" s="599" t="e">
        <f>QJ142-AVERAGE(QR94:QR95)</f>
        <v>#DIV/0!</v>
      </c>
      <c r="QL142" s="672" t="e">
        <f>ABS($B$33*QK142*3600)</f>
        <v>#DIV/0!</v>
      </c>
      <c r="QM142" s="675" t="e">
        <f>ABS($B$34*QK142*3600)</f>
        <v>#DIV/0!</v>
      </c>
      <c r="QN142" s="672" t="e">
        <f>QM142*$C$79</f>
        <v>#DIV/0!</v>
      </c>
      <c r="QO142" s="672" t="e">
        <f>QM142*$F$70</f>
        <v>#DIV/0!</v>
      </c>
      <c r="QP142" s="600" t="e">
        <f t="shared" si="995"/>
        <v>#DIV/0!</v>
      </c>
      <c r="QQ142" s="672" t="e">
        <f>QM142*$F$72</f>
        <v>#DIV/0!</v>
      </c>
      <c r="QR142" s="676" t="e">
        <f>QM142*$F$71</f>
        <v>#DIV/0!</v>
      </c>
      <c r="QS142" s="668"/>
      <c r="QT142" s="669"/>
      <c r="QU142" s="669"/>
      <c r="QV142" s="679"/>
      <c r="QW142" s="673"/>
      <c r="QX142" s="650"/>
      <c r="QY142" s="651">
        <f t="shared" si="996"/>
        <v>0</v>
      </c>
      <c r="QZ142" s="619" t="e">
        <f>((273.2+QS142)*$F$32/((273.2+$F$31)*QU142))</f>
        <v>#DIV/0!</v>
      </c>
      <c r="RA142" s="674" t="e">
        <f>QY142/QW142*QZ142*EXP(-LN(2)/10990*($F$88-QX142))</f>
        <v>#DIV/0!</v>
      </c>
      <c r="RB142" s="599" t="e">
        <f>RA142-AVERAGE(RI94:RI95)</f>
        <v>#DIV/0!</v>
      </c>
      <c r="RC142" s="672" t="e">
        <f>ABS($B$33*RB142*3600)</f>
        <v>#DIV/0!</v>
      </c>
      <c r="RD142" s="675" t="e">
        <f>ABS($B$34*RB142*3600)</f>
        <v>#DIV/0!</v>
      </c>
      <c r="RE142" s="672" t="e">
        <f>RD142*$C$79</f>
        <v>#DIV/0!</v>
      </c>
      <c r="RF142" s="672" t="e">
        <f>RD142*$F$70</f>
        <v>#DIV/0!</v>
      </c>
      <c r="RG142" s="600" t="e">
        <f t="shared" si="997"/>
        <v>#DIV/0!</v>
      </c>
      <c r="RH142" s="672" t="e">
        <f>RD142*$F$72</f>
        <v>#DIV/0!</v>
      </c>
      <c r="RI142" s="676" t="e">
        <f>RD142*$F$71</f>
        <v>#DIV/0!</v>
      </c>
      <c r="RJ142" s="668">
        <v>20.399999999999999</v>
      </c>
      <c r="RK142" s="669">
        <v>54</v>
      </c>
      <c r="RL142" s="680">
        <v>1007</v>
      </c>
      <c r="RM142" s="671">
        <v>-3.7799999999999996E-12</v>
      </c>
      <c r="RN142" s="673">
        <v>60</v>
      </c>
      <c r="RO142" s="650">
        <v>43403</v>
      </c>
      <c r="RP142" s="651" t="str">
        <f t="shared" si="998"/>
        <v>rango cal. out</v>
      </c>
      <c r="RQ142" s="619">
        <f>((273.2+RJ142)*$F$32/((273.2+$F$31)*RL142))</f>
        <v>0</v>
      </c>
      <c r="RR142" s="674" t="e">
        <f>RP142/RN142*RQ142*EXP(-LN(2)/10990*($F$88-RO142))</f>
        <v>#VALUE!</v>
      </c>
      <c r="RS142" s="599" t="e">
        <f>RR142-AVERAGE(RZ94:RZ95)</f>
        <v>#VALUE!</v>
      </c>
      <c r="RT142" s="672" t="e">
        <f>ABS($B$33*RS142*3600)</f>
        <v>#VALUE!</v>
      </c>
      <c r="RU142" s="675" t="e">
        <f>ABS($B$34*RS142*3600)</f>
        <v>#VALUE!</v>
      </c>
      <c r="RV142" s="672" t="e">
        <f>RU142*$C$79</f>
        <v>#VALUE!</v>
      </c>
      <c r="RW142" s="672" t="e">
        <f>RU142*$F$70</f>
        <v>#VALUE!</v>
      </c>
      <c r="RX142" s="600" t="e">
        <f t="shared" si="999"/>
        <v>#VALUE!</v>
      </c>
      <c r="RY142" s="672" t="e">
        <f>RU142*$F$72</f>
        <v>#VALUE!</v>
      </c>
      <c r="RZ142" s="676" t="e">
        <f>RU142*$F$71</f>
        <v>#VALUE!</v>
      </c>
      <c r="SA142" s="668">
        <v>20.399999999999999</v>
      </c>
      <c r="SB142" s="669">
        <v>55</v>
      </c>
      <c r="SC142" s="680">
        <v>1008</v>
      </c>
      <c r="SD142" s="671">
        <v>-2.0650000000000001E-10</v>
      </c>
      <c r="SE142" s="673">
        <v>60</v>
      </c>
      <c r="SF142" s="650">
        <v>43403</v>
      </c>
      <c r="SG142" s="651" t="str">
        <f t="shared" si="1000"/>
        <v>rango cal. out</v>
      </c>
      <c r="SH142" s="619">
        <f>((273.2+SA142)*$F$32/((273.2+$F$31)*SC142))</f>
        <v>0</v>
      </c>
      <c r="SI142" s="674" t="e">
        <f>SG142/SE142*SH142*EXP(-LN(2)/10990*($F$88-SF142))</f>
        <v>#VALUE!</v>
      </c>
      <c r="SJ142" s="599" t="e">
        <f>SI142-AVERAGE(SQ94:SQ95)</f>
        <v>#VALUE!</v>
      </c>
      <c r="SK142" s="672" t="e">
        <f>ABS($B$33*SJ142*3600)</f>
        <v>#VALUE!</v>
      </c>
      <c r="SL142" s="675" t="e">
        <f>ABS($B$34*SJ142*3600)</f>
        <v>#VALUE!</v>
      </c>
      <c r="SM142" s="672" t="e">
        <f>SL142*$C$79</f>
        <v>#VALUE!</v>
      </c>
      <c r="SN142" s="672" t="e">
        <f>SL142*$F$70</f>
        <v>#VALUE!</v>
      </c>
      <c r="SO142" s="600" t="e">
        <f t="shared" si="1001"/>
        <v>#VALUE!</v>
      </c>
      <c r="SP142" s="672" t="e">
        <f>SL142*$F$72</f>
        <v>#VALUE!</v>
      </c>
      <c r="SQ142" s="676" t="e">
        <f>SL142*$F$71</f>
        <v>#VALUE!</v>
      </c>
      <c r="SR142" s="668"/>
      <c r="SS142" s="669"/>
      <c r="ST142" s="670"/>
      <c r="SU142" s="671"/>
      <c r="SV142" s="678"/>
      <c r="SW142" s="650"/>
      <c r="SX142" s="651">
        <f t="shared" si="1002"/>
        <v>0</v>
      </c>
      <c r="SY142" s="619" t="e">
        <f>((273.2+SR142)*$F$32/((273.2+$F$31)*ST142))</f>
        <v>#DIV/0!</v>
      </c>
      <c r="SZ142" s="674" t="e">
        <f>SX142/SV142*SY142*EXP(-LN(2)/10990*($F$88-SW142))</f>
        <v>#DIV/0!</v>
      </c>
      <c r="TA142" s="599" t="e">
        <f>SZ142-AVERAGE(TH94:TH95)</f>
        <v>#DIV/0!</v>
      </c>
      <c r="TB142" s="672" t="e">
        <f>ABS($B$33*TA142*3600)</f>
        <v>#DIV/0!</v>
      </c>
      <c r="TC142" s="675" t="e">
        <f>ABS($B$34*TA142*3600)</f>
        <v>#DIV/0!</v>
      </c>
      <c r="TD142" s="672" t="e">
        <f>TC142*$C$79</f>
        <v>#DIV/0!</v>
      </c>
      <c r="TE142" s="672" t="e">
        <f>TC142*$F$70</f>
        <v>#DIV/0!</v>
      </c>
      <c r="TF142" s="600" t="e">
        <f t="shared" si="1003"/>
        <v>#DIV/0!</v>
      </c>
      <c r="TG142" s="672" t="e">
        <f>TC142*$F$72</f>
        <v>#DIV/0!</v>
      </c>
      <c r="TH142" s="676" t="e">
        <f>TC142*$F$71</f>
        <v>#DIV/0!</v>
      </c>
      <c r="TI142" s="668">
        <v>20.5</v>
      </c>
      <c r="TJ142" s="669">
        <v>55</v>
      </c>
      <c r="TK142" s="680">
        <v>1008</v>
      </c>
      <c r="TL142" s="671">
        <v>-8.5400000000000004E-12</v>
      </c>
      <c r="TM142" s="673">
        <v>60</v>
      </c>
      <c r="TN142" s="650">
        <v>43403</v>
      </c>
      <c r="TO142" s="651" t="str">
        <f t="shared" si="1004"/>
        <v>rango cal. out</v>
      </c>
      <c r="TP142" s="619">
        <f>((273.2+TI142)*$F$32/((273.2+$F$31)*TK142))</f>
        <v>0</v>
      </c>
      <c r="TQ142" s="674" t="e">
        <f>TO142/TM142*TP142*EXP(-LN(2)/10990*($F$88-TN142))</f>
        <v>#VALUE!</v>
      </c>
      <c r="TR142" s="599" t="e">
        <f>TQ142-AVERAGE(TY94:TY95)</f>
        <v>#VALUE!</v>
      </c>
      <c r="TS142" s="672" t="e">
        <f>ABS($B$33*TR142*3600)</f>
        <v>#VALUE!</v>
      </c>
      <c r="TT142" s="675" t="e">
        <f>ABS($B$34*TR142*3600)</f>
        <v>#VALUE!</v>
      </c>
      <c r="TU142" s="672" t="e">
        <f>TT142*$C$79</f>
        <v>#VALUE!</v>
      </c>
      <c r="TV142" s="672" t="e">
        <f>TT142*$F$70</f>
        <v>#VALUE!</v>
      </c>
      <c r="TW142" s="600" t="e">
        <f t="shared" si="1005"/>
        <v>#VALUE!</v>
      </c>
      <c r="TX142" s="672" t="e">
        <f>TT142*$F$72</f>
        <v>#VALUE!</v>
      </c>
      <c r="TY142" s="676" t="e">
        <f>TT142*$F$71</f>
        <v>#VALUE!</v>
      </c>
    </row>
    <row r="143" spans="1:545" x14ac:dyDescent="0.25">
      <c r="A143" s="2219"/>
      <c r="B143" s="668"/>
      <c r="C143" s="673"/>
      <c r="D143" s="673"/>
      <c r="E143" s="671"/>
      <c r="F143" s="673"/>
      <c r="G143" s="650"/>
      <c r="H143" s="651"/>
      <c r="I143" s="619"/>
      <c r="J143" s="674"/>
      <c r="K143" s="599"/>
      <c r="L143" s="672"/>
      <c r="M143" s="675"/>
      <c r="N143" s="614"/>
      <c r="O143" s="672"/>
      <c r="P143" s="600"/>
      <c r="Q143" s="672"/>
      <c r="R143" s="676"/>
      <c r="S143" s="677"/>
      <c r="T143" s="669"/>
      <c r="U143" s="670"/>
      <c r="V143" s="671"/>
      <c r="W143" s="678"/>
      <c r="X143" s="650"/>
      <c r="Y143" s="651">
        <f t="shared" si="944"/>
        <v>0</v>
      </c>
      <c r="Z143" s="619" t="e">
        <f>((273.2+S143)*$F$32/((273.2+$F$31)*U143))</f>
        <v>#DIV/0!</v>
      </c>
      <c r="AA143" s="674" t="e">
        <f>Y143/W143*Z143*EXP(-LN(2)/10990*($F$88-X143))</f>
        <v>#DIV/0!</v>
      </c>
      <c r="AB143" s="599" t="e">
        <f>AA143-AVERAGE(AI94:AI95)</f>
        <v>#DIV/0!</v>
      </c>
      <c r="AC143" s="672" t="e">
        <f>ABS($B$33*AB143*3600)</f>
        <v>#DIV/0!</v>
      </c>
      <c r="AD143" s="675" t="e">
        <f>ABS($B$34*AB143*3600)</f>
        <v>#DIV/0!</v>
      </c>
      <c r="AE143" s="614" t="e">
        <f>AD143*$C$79</f>
        <v>#DIV/0!</v>
      </c>
      <c r="AF143" s="672" t="e">
        <f>AD143*$F$70</f>
        <v>#DIV/0!</v>
      </c>
      <c r="AG143" s="600" t="e">
        <f>AD143*$F$75</f>
        <v>#DIV/0!</v>
      </c>
      <c r="AH143" s="672" t="e">
        <f>AD143*$F$72</f>
        <v>#DIV/0!</v>
      </c>
      <c r="AI143" s="676" t="e">
        <f>AD143*$F$71</f>
        <v>#DIV/0!</v>
      </c>
      <c r="AJ143" s="677"/>
      <c r="AK143" s="669"/>
      <c r="AL143" s="670"/>
      <c r="AM143" s="671"/>
      <c r="AN143" s="678"/>
      <c r="AO143" s="650"/>
      <c r="AP143" s="651">
        <f t="shared" si="946"/>
        <v>0</v>
      </c>
      <c r="AQ143" s="619" t="e">
        <f>((273.2+AJ143)*$F$32/((273.2+$F$31)*AL143))</f>
        <v>#DIV/0!</v>
      </c>
      <c r="AR143" s="674" t="e">
        <f>AP143/AN143*AQ143*EXP(-LN(2)/10990*($F$88-AO143))</f>
        <v>#DIV/0!</v>
      </c>
      <c r="AS143" s="599" t="e">
        <f>AR143-AVERAGE(AZ94:AZ95)</f>
        <v>#DIV/0!</v>
      </c>
      <c r="AT143" s="672" t="e">
        <f>ABS($B$33*AS143*3600)</f>
        <v>#DIV/0!</v>
      </c>
      <c r="AU143" s="675" t="e">
        <f>ABS($B$34*AS143*3600)</f>
        <v>#DIV/0!</v>
      </c>
      <c r="AV143" s="614" t="e">
        <f>AU143*$C$79</f>
        <v>#DIV/0!</v>
      </c>
      <c r="AW143" s="672" t="e">
        <f>AU143*$F$70</f>
        <v>#DIV/0!</v>
      </c>
      <c r="AX143" s="600" t="e">
        <f>AU143*$F$75</f>
        <v>#DIV/0!</v>
      </c>
      <c r="AY143" s="672" t="e">
        <f>AU143*$F$72</f>
        <v>#DIV/0!</v>
      </c>
      <c r="AZ143" s="676" t="e">
        <f>AU143*$F$71</f>
        <v>#DIV/0!</v>
      </c>
      <c r="BA143" s="668">
        <v>20.5</v>
      </c>
      <c r="BB143" s="669">
        <v>52</v>
      </c>
      <c r="BC143" s="680">
        <v>1009</v>
      </c>
      <c r="BD143" s="671">
        <v>-5.3789999999999997E-10</v>
      </c>
      <c r="BE143" s="673">
        <v>60</v>
      </c>
      <c r="BF143" s="650">
        <v>43403</v>
      </c>
      <c r="BG143" s="651" t="str">
        <f t="shared" si="948"/>
        <v>rango cal. out</v>
      </c>
      <c r="BH143" s="619">
        <f>((273.2+BA143)*$F$32/((273.2+$F$31)*BC143))</f>
        <v>0</v>
      </c>
      <c r="BI143" s="674" t="e">
        <f>BG143/BE143*BH143*EXP(-LN(2)/10990*($F$88-BF143))</f>
        <v>#VALUE!</v>
      </c>
      <c r="BJ143" s="599" t="e">
        <f>BI143-AVERAGE(BQ94:BQ95)</f>
        <v>#VALUE!</v>
      </c>
      <c r="BK143" s="672" t="e">
        <f>ABS($B$33*BJ143*3600)</f>
        <v>#VALUE!</v>
      </c>
      <c r="BL143" s="675" t="e">
        <f>ABS($B$34*BJ143*3600)</f>
        <v>#VALUE!</v>
      </c>
      <c r="BM143" s="614" t="e">
        <f>BL143*$C$79</f>
        <v>#VALUE!</v>
      </c>
      <c r="BN143" s="672" t="e">
        <f>BL143*$F$70</f>
        <v>#VALUE!</v>
      </c>
      <c r="BO143" s="600" t="e">
        <f>BL143*$F$75</f>
        <v>#VALUE!</v>
      </c>
      <c r="BP143" s="672" t="e">
        <f>BL143*$F$72</f>
        <v>#VALUE!</v>
      </c>
      <c r="BQ143" s="676" t="e">
        <f>BL143*$F$71</f>
        <v>#VALUE!</v>
      </c>
      <c r="BR143" s="668">
        <v>20.5</v>
      </c>
      <c r="BS143" s="669">
        <v>51</v>
      </c>
      <c r="BT143" s="680">
        <v>1008</v>
      </c>
      <c r="BU143" s="671">
        <v>-2.1729999999999999E-11</v>
      </c>
      <c r="BV143" s="673">
        <v>60</v>
      </c>
      <c r="BW143" s="650">
        <v>43403</v>
      </c>
      <c r="BX143" s="651" t="str">
        <f t="shared" si="950"/>
        <v>rango cal. out</v>
      </c>
      <c r="BY143" s="619">
        <f>((273.2+BR143)*$F$32/((273.2+$F$31)*BT143))</f>
        <v>0</v>
      </c>
      <c r="BZ143" s="674" t="e">
        <f>BX143/BV143*BY143*EXP(-LN(2)/10990*($F$88-BW143))</f>
        <v>#VALUE!</v>
      </c>
      <c r="CA143" s="599" t="e">
        <f>BZ143-AVERAGE(CH94:CH95)</f>
        <v>#VALUE!</v>
      </c>
      <c r="CB143" s="672" t="e">
        <f>ABS($B$33*CA143*3600)</f>
        <v>#VALUE!</v>
      </c>
      <c r="CC143" s="675" t="e">
        <f>ABS($B$34*CA143*3600)</f>
        <v>#VALUE!</v>
      </c>
      <c r="CD143" s="614" t="e">
        <f>CC143*$C$79</f>
        <v>#VALUE!</v>
      </c>
      <c r="CE143" s="672" t="e">
        <f>CC143*$F$70</f>
        <v>#VALUE!</v>
      </c>
      <c r="CF143" s="600" t="e">
        <f>CC143*$F$75</f>
        <v>#VALUE!</v>
      </c>
      <c r="CG143" s="672" t="e">
        <f>CC143*$F$72</f>
        <v>#VALUE!</v>
      </c>
      <c r="CH143" s="676" t="e">
        <f>CC143*$F$71</f>
        <v>#VALUE!</v>
      </c>
      <c r="CI143" s="668">
        <v>20.6</v>
      </c>
      <c r="CJ143" s="669">
        <v>52</v>
      </c>
      <c r="CK143" s="680">
        <v>1007</v>
      </c>
      <c r="CL143" s="671">
        <v>-1.256E-9</v>
      </c>
      <c r="CM143" s="673">
        <v>60</v>
      </c>
      <c r="CN143" s="650">
        <v>43403</v>
      </c>
      <c r="CO143" s="651" t="str">
        <f t="shared" si="952"/>
        <v>rango cal. out</v>
      </c>
      <c r="CP143" s="619">
        <f>((273.2+CI143)*$F$32/((273.2+$F$31)*CK143))</f>
        <v>0</v>
      </c>
      <c r="CQ143" s="674" t="e">
        <f>CO143/CM143*CP143*EXP(-LN(2)/10990*($F$88-CN143))</f>
        <v>#VALUE!</v>
      </c>
      <c r="CR143" s="599" t="e">
        <f>CQ143-AVERAGE(CY94:CY95)</f>
        <v>#VALUE!</v>
      </c>
      <c r="CS143" s="672" t="e">
        <f>ABS($B$33*CR143*3600)</f>
        <v>#VALUE!</v>
      </c>
      <c r="CT143" s="675" t="e">
        <f>ABS($B$34*CR143*3600)</f>
        <v>#VALUE!</v>
      </c>
      <c r="CU143" s="614" t="e">
        <f>CT143*$C$79</f>
        <v>#VALUE!</v>
      </c>
      <c r="CV143" s="672" t="e">
        <f>CT143*$F$70</f>
        <v>#VALUE!</v>
      </c>
      <c r="CW143" s="600" t="e">
        <f>CT143*$F$75</f>
        <v>#VALUE!</v>
      </c>
      <c r="CX143" s="672" t="e">
        <f>CT143*$F$72</f>
        <v>#VALUE!</v>
      </c>
      <c r="CY143" s="676" t="e">
        <f>CT143*$F$71</f>
        <v>#VALUE!</v>
      </c>
      <c r="CZ143" s="668"/>
      <c r="DA143" s="669"/>
      <c r="DB143" s="670"/>
      <c r="DC143" s="671"/>
      <c r="DD143" s="678"/>
      <c r="DE143" s="650"/>
      <c r="DF143" s="651">
        <f t="shared" si="954"/>
        <v>0</v>
      </c>
      <c r="DG143" s="619" t="e">
        <f>((273.2+CZ143)*$F$32/((273.2+$F$31)*DB143))</f>
        <v>#DIV/0!</v>
      </c>
      <c r="DH143" s="674" t="e">
        <f>DF143/DD143*DG143*EXP(-LN(2)/10990*($F$88-DE143))</f>
        <v>#DIV/0!</v>
      </c>
      <c r="DI143" s="599" t="e">
        <f>DH143-AVERAGE(DP94:DP95)</f>
        <v>#DIV/0!</v>
      </c>
      <c r="DJ143" s="672" t="e">
        <f>ABS($B$33*DI143*3600)</f>
        <v>#DIV/0!</v>
      </c>
      <c r="DK143" s="675" t="e">
        <f>ABS($B$34*DI143*3600)</f>
        <v>#DIV/0!</v>
      </c>
      <c r="DL143" s="614" t="e">
        <f>DK143*$C$79</f>
        <v>#DIV/0!</v>
      </c>
      <c r="DM143" s="672" t="e">
        <f>DK143*$F$70</f>
        <v>#DIV/0!</v>
      </c>
      <c r="DN143" s="600" t="e">
        <f>DK143*$F$75</f>
        <v>#DIV/0!</v>
      </c>
      <c r="DO143" s="672" t="e">
        <f>DK143*$F$72</f>
        <v>#DIV/0!</v>
      </c>
      <c r="DP143" s="676" t="e">
        <f>DK143*$F$71</f>
        <v>#DIV/0!</v>
      </c>
      <c r="DQ143" s="668"/>
      <c r="DR143" s="669"/>
      <c r="DS143" s="677"/>
      <c r="DT143" s="679"/>
      <c r="DU143" s="678"/>
      <c r="DV143" s="650"/>
      <c r="DW143" s="651">
        <f t="shared" si="956"/>
        <v>0</v>
      </c>
      <c r="DX143" s="619" t="e">
        <f>((273.2+DQ143)*$F$32/((273.2+$F$31)*DS143))</f>
        <v>#DIV/0!</v>
      </c>
      <c r="DY143" s="674" t="e">
        <f>DW143/DU143*DX143*EXP(-LN(2)/10990*($F$88-DV143))</f>
        <v>#DIV/0!</v>
      </c>
      <c r="DZ143" s="599" t="e">
        <f>DY143-AVERAGE(EG94:EG95)</f>
        <v>#DIV/0!</v>
      </c>
      <c r="EA143" s="672" t="e">
        <f>ABS($B$33*DZ143*3600)</f>
        <v>#DIV/0!</v>
      </c>
      <c r="EB143" s="675" t="e">
        <f>ABS($B$34*DZ143*3600)</f>
        <v>#DIV/0!</v>
      </c>
      <c r="EC143" s="614" t="e">
        <f>EB143*$C$79</f>
        <v>#DIV/0!</v>
      </c>
      <c r="ED143" s="672" t="e">
        <f>EB143*$F$70</f>
        <v>#DIV/0!</v>
      </c>
      <c r="EE143" s="600" t="e">
        <f>EB143*$F$75</f>
        <v>#DIV/0!</v>
      </c>
      <c r="EF143" s="672" t="e">
        <f>EB143*$F$72</f>
        <v>#DIV/0!</v>
      </c>
      <c r="EG143" s="676" t="e">
        <f>EB143*$F$71</f>
        <v>#DIV/0!</v>
      </c>
      <c r="EH143" s="668">
        <v>20.6</v>
      </c>
      <c r="EI143" s="669">
        <v>53</v>
      </c>
      <c r="EJ143" s="680">
        <v>1007</v>
      </c>
      <c r="EK143" s="671">
        <v>-1.6799999999999999E-12</v>
      </c>
      <c r="EL143" s="673">
        <v>60</v>
      </c>
      <c r="EM143" s="650">
        <v>43403</v>
      </c>
      <c r="EN143" s="651" t="str">
        <f t="shared" si="958"/>
        <v>rango cal. out</v>
      </c>
      <c r="EO143" s="619">
        <f>((273.2+EH143)*$F$32/((273.2+$F$31)*EJ143))</f>
        <v>0</v>
      </c>
      <c r="EP143" s="674" t="e">
        <f>EN143/EL143*EO143*EXP(-LN(2)/10990*($F$88-EM143))</f>
        <v>#VALUE!</v>
      </c>
      <c r="EQ143" s="599" t="e">
        <f>EP143-AVERAGE(EX94:EX95)</f>
        <v>#VALUE!</v>
      </c>
      <c r="ER143" s="672" t="e">
        <f>ABS($B$33*EQ143*3600)</f>
        <v>#VALUE!</v>
      </c>
      <c r="ES143" s="675" t="e">
        <f>ABS($B$34*EQ143*3600)</f>
        <v>#VALUE!</v>
      </c>
      <c r="ET143" s="614" t="e">
        <f>ES143*$C$79</f>
        <v>#VALUE!</v>
      </c>
      <c r="EU143" s="672" t="e">
        <f>ES143*$F$70</f>
        <v>#VALUE!</v>
      </c>
      <c r="EV143" s="600" t="e">
        <f>ES143*$F$75</f>
        <v>#VALUE!</v>
      </c>
      <c r="EW143" s="672" t="e">
        <f>ES143*$F$72</f>
        <v>#VALUE!</v>
      </c>
      <c r="EX143" s="676" t="e">
        <f>ES143*$F$71</f>
        <v>#VALUE!</v>
      </c>
      <c r="EY143" s="668"/>
      <c r="EZ143" s="669"/>
      <c r="FA143" s="670"/>
      <c r="FB143" s="671"/>
      <c r="FC143" s="678"/>
      <c r="FD143" s="650"/>
      <c r="FE143" s="651">
        <f t="shared" si="960"/>
        <v>0</v>
      </c>
      <c r="FF143" s="619" t="e">
        <f>((273.2+EY143)*$F$32/((273.2+$F$31)*FA143))</f>
        <v>#DIV/0!</v>
      </c>
      <c r="FG143" s="674" t="e">
        <f>FE143/FC143*FF143*EXP(-LN(2)/10990*($F$88-FD143))</f>
        <v>#DIV/0!</v>
      </c>
      <c r="FH143" s="599" t="e">
        <f>FG143-AVERAGE(FO94:FO95)</f>
        <v>#DIV/0!</v>
      </c>
      <c r="FI143" s="672" t="e">
        <f>ABS($B$33*FH143*3600)</f>
        <v>#DIV/0!</v>
      </c>
      <c r="FJ143" s="675" t="e">
        <f>ABS($B$34*FH143*3600)</f>
        <v>#DIV/0!</v>
      </c>
      <c r="FK143" s="614" t="e">
        <f>FJ143*$C$79</f>
        <v>#DIV/0!</v>
      </c>
      <c r="FL143" s="672" t="e">
        <f>FJ143*$F$70</f>
        <v>#DIV/0!</v>
      </c>
      <c r="FM143" s="600" t="e">
        <f>FJ143*$F$75</f>
        <v>#DIV/0!</v>
      </c>
      <c r="FN143" s="672" t="e">
        <f>FJ143*$F$72</f>
        <v>#DIV/0!</v>
      </c>
      <c r="FO143" s="676" t="e">
        <f>FJ143*$F$71</f>
        <v>#DIV/0!</v>
      </c>
      <c r="FP143" s="668"/>
      <c r="FQ143" s="669"/>
      <c r="FR143" s="670"/>
      <c r="FS143" s="671"/>
      <c r="FT143" s="678"/>
      <c r="FU143" s="650"/>
      <c r="FV143" s="651">
        <f t="shared" si="962"/>
        <v>0</v>
      </c>
      <c r="FW143" s="619" t="e">
        <f>((273.2+FP143)*$F$32/((273.2+$F$31)*FR143))</f>
        <v>#DIV/0!</v>
      </c>
      <c r="FX143" s="674" t="e">
        <f>FV143/FT143*FW143*EXP(-LN(2)/10990*($F$88-FU143))</f>
        <v>#DIV/0!</v>
      </c>
      <c r="FY143" s="599" t="e">
        <f>FX143-AVERAGE(GF94:GF95)</f>
        <v>#DIV/0!</v>
      </c>
      <c r="FZ143" s="672" t="e">
        <f>ABS($B$33*FY143*3600)</f>
        <v>#DIV/0!</v>
      </c>
      <c r="GA143" s="675" t="e">
        <f>ABS($B$34*FY143*3600)</f>
        <v>#DIV/0!</v>
      </c>
      <c r="GB143" s="614" t="e">
        <f>GA143*$C$79</f>
        <v>#DIV/0!</v>
      </c>
      <c r="GC143" s="672" t="e">
        <f>GA143*$F$70</f>
        <v>#DIV/0!</v>
      </c>
      <c r="GD143" s="600" t="e">
        <f>GA143*$F$75</f>
        <v>#DIV/0!</v>
      </c>
      <c r="GE143" s="672" t="e">
        <f>GA143*$F$72</f>
        <v>#DIV/0!</v>
      </c>
      <c r="GF143" s="676" t="e">
        <f>GA143*$F$71</f>
        <v>#DIV/0!</v>
      </c>
      <c r="GG143" s="668"/>
      <c r="GH143" s="669"/>
      <c r="GI143" s="677"/>
      <c r="GJ143" s="679"/>
      <c r="GK143" s="678"/>
      <c r="GL143" s="650"/>
      <c r="GM143" s="651">
        <f t="shared" si="964"/>
        <v>0</v>
      </c>
      <c r="GN143" s="619" t="e">
        <f>((273.2+GG143)*$F$32/((273.2+$F$31)*GI143))</f>
        <v>#DIV/0!</v>
      </c>
      <c r="GO143" s="674" t="e">
        <f>GM143/GK143*GN143*EXP(-LN(2)/10990*($F$88-GL143))</f>
        <v>#DIV/0!</v>
      </c>
      <c r="GP143" s="599" t="e">
        <f>GO143-AVERAGE(GW94:GW95)</f>
        <v>#DIV/0!</v>
      </c>
      <c r="GQ143" s="672" t="e">
        <f>ABS($B$33*GP143*3600)</f>
        <v>#DIV/0!</v>
      </c>
      <c r="GR143" s="675" t="e">
        <f>ABS($B$34*GP143*3600)</f>
        <v>#DIV/0!</v>
      </c>
      <c r="GS143" s="614" t="e">
        <f>GR143*$C$79</f>
        <v>#DIV/0!</v>
      </c>
      <c r="GT143" s="672" t="e">
        <f>GR143*$F$70</f>
        <v>#DIV/0!</v>
      </c>
      <c r="GU143" s="600" t="e">
        <f>GR143*$F$75</f>
        <v>#DIV/0!</v>
      </c>
      <c r="GV143" s="672" t="e">
        <f>GR143*$F$72</f>
        <v>#DIV/0!</v>
      </c>
      <c r="GW143" s="676" t="e">
        <f>GR143*$F$71</f>
        <v>#DIV/0!</v>
      </c>
      <c r="GX143" s="668"/>
      <c r="GY143" s="669"/>
      <c r="GZ143" s="670"/>
      <c r="HA143" s="671"/>
      <c r="HB143" s="678"/>
      <c r="HC143" s="650"/>
      <c r="HD143" s="651">
        <f t="shared" si="966"/>
        <v>0</v>
      </c>
      <c r="HE143" s="619" t="e">
        <f>((273.2+GX143)*$F$32/((273.2+$F$31)*GZ143))</f>
        <v>#DIV/0!</v>
      </c>
      <c r="HF143" s="674" t="e">
        <f>HD143/HB143*HE143*EXP(-LN(2)/10990*($F$88-HC143))</f>
        <v>#DIV/0!</v>
      </c>
      <c r="HG143" s="599" t="e">
        <f>HF143-AVERAGE(HN94:HN95)</f>
        <v>#DIV/0!</v>
      </c>
      <c r="HH143" s="672" t="e">
        <f>ABS($B$33*HG143*3600)</f>
        <v>#DIV/0!</v>
      </c>
      <c r="HI143" s="675" t="e">
        <f>ABS($B$34*HG143*3600)</f>
        <v>#DIV/0!</v>
      </c>
      <c r="HJ143" s="614" t="e">
        <f>HI143*$C$79</f>
        <v>#DIV/0!</v>
      </c>
      <c r="HK143" s="672" t="e">
        <f>HI143*$F$70</f>
        <v>#DIV/0!</v>
      </c>
      <c r="HL143" s="600" t="e">
        <f>HI143*$F$75</f>
        <v>#DIV/0!</v>
      </c>
      <c r="HM143" s="672" t="e">
        <f>HI143*$F$72</f>
        <v>#DIV/0!</v>
      </c>
      <c r="HN143" s="676" t="e">
        <f>HI143*$F$71</f>
        <v>#DIV/0!</v>
      </c>
      <c r="HO143" s="668"/>
      <c r="HP143" s="669"/>
      <c r="HQ143" s="670"/>
      <c r="HR143" s="671"/>
      <c r="HS143" s="678"/>
      <c r="HT143" s="650"/>
      <c r="HU143" s="651">
        <f t="shared" si="968"/>
        <v>0</v>
      </c>
      <c r="HV143" s="619" t="e">
        <f>((273.2+HO143)*$F$32/((273.2+$F$31)*HQ143))</f>
        <v>#DIV/0!</v>
      </c>
      <c r="HW143" s="674" t="e">
        <f>HU143/HS143*HV143*EXP(-LN(2)/10990*($F$88-HT143))</f>
        <v>#DIV/0!</v>
      </c>
      <c r="HX143" s="599" t="e">
        <f>HW143-AVERAGE(IE94:IE95)</f>
        <v>#DIV/0!</v>
      </c>
      <c r="HY143" s="672" t="e">
        <f>ABS($B$33*HX143*3600)</f>
        <v>#DIV/0!</v>
      </c>
      <c r="HZ143" s="675" t="e">
        <f>ABS($B$34*HX143*3600)</f>
        <v>#DIV/0!</v>
      </c>
      <c r="IA143" s="614" t="e">
        <f>HZ143*$C$79</f>
        <v>#DIV/0!</v>
      </c>
      <c r="IB143" s="672" t="e">
        <f>HZ143*$F$70</f>
        <v>#DIV/0!</v>
      </c>
      <c r="IC143" s="600" t="e">
        <f>HZ143*$F$75</f>
        <v>#DIV/0!</v>
      </c>
      <c r="ID143" s="672" t="e">
        <f>HZ143*$F$72</f>
        <v>#DIV/0!</v>
      </c>
      <c r="IE143" s="676" t="e">
        <f>HZ143*$F$71</f>
        <v>#DIV/0!</v>
      </c>
      <c r="IF143" s="668"/>
      <c r="IG143" s="669"/>
      <c r="IH143" s="670"/>
      <c r="II143" s="671"/>
      <c r="IJ143" s="678"/>
      <c r="IK143" s="650"/>
      <c r="IL143" s="651">
        <f t="shared" si="970"/>
        <v>0</v>
      </c>
      <c r="IM143" s="619" t="e">
        <f>((273.2+IF143)*$F$32/((273.2+$F$31)*IH143))</f>
        <v>#DIV/0!</v>
      </c>
      <c r="IN143" s="674" t="e">
        <f>IL143/IJ143*IM143*EXP(-LN(2)/10990*($F$88-IK143))</f>
        <v>#DIV/0!</v>
      </c>
      <c r="IO143" s="599" t="e">
        <f>IN143-AVERAGE(IV94:IV95)</f>
        <v>#DIV/0!</v>
      </c>
      <c r="IP143" s="672" t="e">
        <f>ABS($B$33*IO143*3600)</f>
        <v>#DIV/0!</v>
      </c>
      <c r="IQ143" s="675" t="e">
        <f>ABS($B$34*IO143*3600)</f>
        <v>#DIV/0!</v>
      </c>
      <c r="IR143" s="614" t="e">
        <f>IQ143*$C$79</f>
        <v>#DIV/0!</v>
      </c>
      <c r="IS143" s="672" t="e">
        <f>IQ143*$F$70</f>
        <v>#DIV/0!</v>
      </c>
      <c r="IT143" s="600" t="e">
        <f>IQ143*$F$75</f>
        <v>#DIV/0!</v>
      </c>
      <c r="IU143" s="672" t="e">
        <f>IQ143*$F$72</f>
        <v>#DIV/0!</v>
      </c>
      <c r="IV143" s="676" t="e">
        <f>IQ143*$F$71</f>
        <v>#DIV/0!</v>
      </c>
      <c r="IW143" s="668"/>
      <c r="IX143" s="669"/>
      <c r="IY143" s="670"/>
      <c r="IZ143" s="671"/>
      <c r="JA143" s="678"/>
      <c r="JB143" s="650"/>
      <c r="JC143" s="651">
        <f t="shared" si="972"/>
        <v>0</v>
      </c>
      <c r="JD143" s="619" t="e">
        <f>((273.2+IW143)*$F$32/((273.2+$F$31)*IY143))</f>
        <v>#DIV/0!</v>
      </c>
      <c r="JE143" s="674" t="e">
        <f>JC143/JA143*JD143*EXP(-LN(2)/10990*($F$88-JB143))</f>
        <v>#DIV/0!</v>
      </c>
      <c r="JF143" s="599" t="e">
        <f>JE143-AVERAGE(JM94:JM95)</f>
        <v>#DIV/0!</v>
      </c>
      <c r="JG143" s="672" t="e">
        <f>ABS($B$33*JF143*3600)</f>
        <v>#DIV/0!</v>
      </c>
      <c r="JH143" s="675" t="e">
        <f>ABS($B$34*JF143*3600)</f>
        <v>#DIV/0!</v>
      </c>
      <c r="JI143" s="614" t="e">
        <f>JH143*$C$79</f>
        <v>#DIV/0!</v>
      </c>
      <c r="JJ143" s="672" t="e">
        <f>JH143*$F$70</f>
        <v>#DIV/0!</v>
      </c>
      <c r="JK143" s="600" t="e">
        <f>JH143*$F$75</f>
        <v>#DIV/0!</v>
      </c>
      <c r="JL143" s="672" t="e">
        <f>JH143*$F$72</f>
        <v>#DIV/0!</v>
      </c>
      <c r="JM143" s="676" t="e">
        <f>JH143*$F$71</f>
        <v>#DIV/0!</v>
      </c>
      <c r="JN143" s="668"/>
      <c r="JO143" s="669"/>
      <c r="JP143" s="670"/>
      <c r="JQ143" s="671"/>
      <c r="JR143" s="678"/>
      <c r="JS143" s="650"/>
      <c r="JT143" s="651">
        <f t="shared" si="974"/>
        <v>0</v>
      </c>
      <c r="JU143" s="619" t="e">
        <f>((273.2+JN143)*$F$32/((273.2+$F$31)*JP143))</f>
        <v>#DIV/0!</v>
      </c>
      <c r="JV143" s="674" t="e">
        <f>JT143/JR143*JU143*EXP(-LN(2)/10990*($F$88-JS143))</f>
        <v>#DIV/0!</v>
      </c>
      <c r="JW143" s="599" t="e">
        <f>JV143-AVERAGE(KD94:KD95)</f>
        <v>#DIV/0!</v>
      </c>
      <c r="JX143" s="672" t="e">
        <f>ABS($B$33*JW143*3600)</f>
        <v>#DIV/0!</v>
      </c>
      <c r="JY143" s="675" t="e">
        <f>ABS($B$34*JW143*3600)</f>
        <v>#DIV/0!</v>
      </c>
      <c r="JZ143" s="614" t="e">
        <f>JY143*$C$79</f>
        <v>#DIV/0!</v>
      </c>
      <c r="KA143" s="672" t="e">
        <f>JY143*$F$70</f>
        <v>#DIV/0!</v>
      </c>
      <c r="KB143" s="600" t="e">
        <f>JY143*$F$75</f>
        <v>#DIV/0!</v>
      </c>
      <c r="KC143" s="672" t="e">
        <f>JY143*$F$72</f>
        <v>#DIV/0!</v>
      </c>
      <c r="KD143" s="676" t="e">
        <f>JY143*$F$71</f>
        <v>#DIV/0!</v>
      </c>
      <c r="KE143" s="668"/>
      <c r="KF143" s="669"/>
      <c r="KG143" s="670"/>
      <c r="KH143" s="671"/>
      <c r="KI143" s="678"/>
      <c r="KJ143" s="650"/>
      <c r="KK143" s="651">
        <f t="shared" si="976"/>
        <v>0</v>
      </c>
      <c r="KL143" s="619" t="e">
        <f>((273.2+KE143)*$F$32/((273.2+$F$31)*KG143))</f>
        <v>#DIV/0!</v>
      </c>
      <c r="KM143" s="674" t="e">
        <f>KK143/KI143*KL143*EXP(-LN(2)/10990*($F$88-KJ143))</f>
        <v>#DIV/0!</v>
      </c>
      <c r="KN143" s="599" t="e">
        <f>KM143-AVERAGE(KU94:KU95)</f>
        <v>#DIV/0!</v>
      </c>
      <c r="KO143" s="672" t="e">
        <f>ABS($B$33*KN143*3600)</f>
        <v>#DIV/0!</v>
      </c>
      <c r="KP143" s="675" t="e">
        <f>ABS($B$34*KN143*3600)</f>
        <v>#DIV/0!</v>
      </c>
      <c r="KQ143" s="614" t="e">
        <f>KP143*$C$79</f>
        <v>#DIV/0!</v>
      </c>
      <c r="KR143" s="672" t="e">
        <f>KP143*$F$70</f>
        <v>#DIV/0!</v>
      </c>
      <c r="KS143" s="600" t="e">
        <f>KP143*$F$75</f>
        <v>#DIV/0!</v>
      </c>
      <c r="KT143" s="672" t="e">
        <f>KP143*$F$72</f>
        <v>#DIV/0!</v>
      </c>
      <c r="KU143" s="676" t="e">
        <f>KP143*$F$71</f>
        <v>#DIV/0!</v>
      </c>
      <c r="KV143" s="668"/>
      <c r="KW143" s="669"/>
      <c r="KX143" s="670"/>
      <c r="KY143" s="671"/>
      <c r="KZ143" s="678"/>
      <c r="LA143" s="650"/>
      <c r="LB143" s="651">
        <f t="shared" si="978"/>
        <v>0</v>
      </c>
      <c r="LC143" s="619" t="e">
        <f>((273.2+KV143)*$F$32/((273.2+$F$31)*KX143))</f>
        <v>#DIV/0!</v>
      </c>
      <c r="LD143" s="674" t="e">
        <f>LB143/KZ143*LC143*EXP(-LN(2)/10990*($F$88-LA143))</f>
        <v>#DIV/0!</v>
      </c>
      <c r="LE143" s="599" t="e">
        <f>LD143-AVERAGE(LL94:LL95)</f>
        <v>#DIV/0!</v>
      </c>
      <c r="LF143" s="672" t="e">
        <f>ABS($B$33*LE143*3600)</f>
        <v>#DIV/0!</v>
      </c>
      <c r="LG143" s="675" t="e">
        <f>ABS($B$34*LE143*3600)</f>
        <v>#DIV/0!</v>
      </c>
      <c r="LH143" s="614" t="e">
        <f>LG143*$C$79</f>
        <v>#DIV/0!</v>
      </c>
      <c r="LI143" s="672" t="e">
        <f>LG143*$F$70</f>
        <v>#DIV/0!</v>
      </c>
      <c r="LJ143" s="600" t="e">
        <f>LG143*$F$75</f>
        <v>#DIV/0!</v>
      </c>
      <c r="LK143" s="672" t="e">
        <f>LG143*$F$72</f>
        <v>#DIV/0!</v>
      </c>
      <c r="LL143" s="676" t="e">
        <f>LG143*$F$71</f>
        <v>#DIV/0!</v>
      </c>
      <c r="LM143" s="668"/>
      <c r="LN143" s="669"/>
      <c r="LO143" s="670"/>
      <c r="LP143" s="671"/>
      <c r="LQ143" s="678"/>
      <c r="LR143" s="650"/>
      <c r="LS143" s="651">
        <f t="shared" si="980"/>
        <v>0</v>
      </c>
      <c r="LT143" s="619" t="e">
        <f>((273.2+LM143)*$F$32/((273.2+$F$31)*LO143))</f>
        <v>#DIV/0!</v>
      </c>
      <c r="LU143" s="674" t="e">
        <f>LS143/LQ143*LT143*EXP(-LN(2)/10990*($F$88-LR143))</f>
        <v>#DIV/0!</v>
      </c>
      <c r="LV143" s="599" t="e">
        <f>LU143-AVERAGE(MC94:MC95)</f>
        <v>#DIV/0!</v>
      </c>
      <c r="LW143" s="672" t="e">
        <f>ABS($B$33*LV143*3600)</f>
        <v>#DIV/0!</v>
      </c>
      <c r="LX143" s="675" t="e">
        <f>ABS($B$34*LV143*3600)</f>
        <v>#DIV/0!</v>
      </c>
      <c r="LY143" s="614" t="e">
        <f>LX143*$C$79</f>
        <v>#DIV/0!</v>
      </c>
      <c r="LZ143" s="672" t="e">
        <f>LX143*$F$70</f>
        <v>#DIV/0!</v>
      </c>
      <c r="MA143" s="600" t="e">
        <f>LX143*$F$75</f>
        <v>#DIV/0!</v>
      </c>
      <c r="MB143" s="672" t="e">
        <f>LX143*$F$72</f>
        <v>#DIV/0!</v>
      </c>
      <c r="MC143" s="676" t="e">
        <f>LX143*$F$71</f>
        <v>#DIV/0!</v>
      </c>
      <c r="MD143" s="668"/>
      <c r="ME143" s="669"/>
      <c r="MF143" s="680"/>
      <c r="MG143" s="671"/>
      <c r="MH143" s="673"/>
      <c r="MI143" s="650"/>
      <c r="MJ143" s="651">
        <f t="shared" si="982"/>
        <v>0</v>
      </c>
      <c r="MK143" s="619" t="e">
        <f>((273.2+MD143)*$F$32/((273.2+$F$31)*MF143))</f>
        <v>#DIV/0!</v>
      </c>
      <c r="ML143" s="674" t="e">
        <f>MJ143/MH143*MK143*EXP(-LN(2)/10990*($F$88-MI143))</f>
        <v>#DIV/0!</v>
      </c>
      <c r="MM143" s="599" t="e">
        <f>ML143-AVERAGE(MT94:MT95)</f>
        <v>#DIV/0!</v>
      </c>
      <c r="MN143" s="672" t="e">
        <f>ABS($B$33*MM143*3600)</f>
        <v>#DIV/0!</v>
      </c>
      <c r="MO143" s="675" t="e">
        <f>ABS($B$34*MM143*3600)</f>
        <v>#DIV/0!</v>
      </c>
      <c r="MP143" s="614" t="e">
        <f>MO143*$C$79</f>
        <v>#DIV/0!</v>
      </c>
      <c r="MQ143" s="672" t="e">
        <f>MO143*$F$70</f>
        <v>#DIV/0!</v>
      </c>
      <c r="MR143" s="600" t="e">
        <f>MO143*$F$75</f>
        <v>#DIV/0!</v>
      </c>
      <c r="MS143" s="672" t="e">
        <f>MO143*$F$72</f>
        <v>#DIV/0!</v>
      </c>
      <c r="MT143" s="676" t="e">
        <f>MO143*$F$71</f>
        <v>#DIV/0!</v>
      </c>
      <c r="MU143" s="668">
        <v>20.6</v>
      </c>
      <c r="MV143" s="669">
        <v>54</v>
      </c>
      <c r="MW143" s="680">
        <v>1007</v>
      </c>
      <c r="MX143" s="671">
        <v>-3.5730000000000002E-11</v>
      </c>
      <c r="MY143" s="678">
        <v>60</v>
      </c>
      <c r="MZ143" s="650">
        <v>43403</v>
      </c>
      <c r="NA143" s="651" t="str">
        <f t="shared" si="984"/>
        <v>rango cal. out</v>
      </c>
      <c r="NB143" s="619">
        <f>((273.2+MU143)*$F$32/((273.2+$F$31)*MW143))</f>
        <v>0</v>
      </c>
      <c r="NC143" s="674" t="e">
        <f>NA143/MY143*NB143*EXP(-LN(2)/10990*($F$88-MZ143))</f>
        <v>#VALUE!</v>
      </c>
      <c r="ND143" s="599" t="e">
        <f>NC143-AVERAGE(NK94:NK95)</f>
        <v>#VALUE!</v>
      </c>
      <c r="NE143" s="672" t="e">
        <f>ABS($B$33*ND143*3600)</f>
        <v>#VALUE!</v>
      </c>
      <c r="NF143" s="675" t="e">
        <f>ABS($B$34*ND143*3600)</f>
        <v>#VALUE!</v>
      </c>
      <c r="NG143" s="614" t="e">
        <f>NF143*$C$79</f>
        <v>#VALUE!</v>
      </c>
      <c r="NH143" s="672" t="e">
        <f>NF143*$F$70</f>
        <v>#VALUE!</v>
      </c>
      <c r="NI143" s="600" t="e">
        <f>NF143*$F$75</f>
        <v>#VALUE!</v>
      </c>
      <c r="NJ143" s="672" t="e">
        <f>NF143*$F$72</f>
        <v>#VALUE!</v>
      </c>
      <c r="NK143" s="676" t="e">
        <f>NF143*$F$71</f>
        <v>#VALUE!</v>
      </c>
      <c r="NL143" s="668"/>
      <c r="NM143" s="669"/>
      <c r="NN143" s="670"/>
      <c r="NO143" s="671"/>
      <c r="NP143" s="678"/>
      <c r="NQ143" s="650"/>
      <c r="NR143" s="651">
        <f t="shared" si="986"/>
        <v>0</v>
      </c>
      <c r="NS143" s="619" t="e">
        <f>((273.2+NL143)*$F$32/((273.2+$F$31)*NN143))</f>
        <v>#DIV/0!</v>
      </c>
      <c r="NT143" s="674" t="e">
        <f>NR143/NP143*NS143*EXP(-LN(2)/10990*($F$88-NQ143))</f>
        <v>#DIV/0!</v>
      </c>
      <c r="NU143" s="599" t="e">
        <f>NT143-AVERAGE(OB94:OB95)</f>
        <v>#DIV/0!</v>
      </c>
      <c r="NV143" s="672" t="e">
        <f>ABS($B$33*NU143*3600)</f>
        <v>#DIV/0!</v>
      </c>
      <c r="NW143" s="675" t="e">
        <f>ABS($B$34*NU143*3600)</f>
        <v>#DIV/0!</v>
      </c>
      <c r="NX143" s="614" t="e">
        <f>NW143*$C$79</f>
        <v>#DIV/0!</v>
      </c>
      <c r="NY143" s="672" t="e">
        <f>NW143*$F$70</f>
        <v>#DIV/0!</v>
      </c>
      <c r="NZ143" s="600" t="e">
        <f>NW143*$F$75</f>
        <v>#DIV/0!</v>
      </c>
      <c r="OA143" s="672" t="e">
        <f>NW143*$F$72</f>
        <v>#DIV/0!</v>
      </c>
      <c r="OB143" s="676" t="e">
        <f>NW143*$F$71</f>
        <v>#DIV/0!</v>
      </c>
      <c r="OC143" s="668">
        <v>20.5</v>
      </c>
      <c r="OD143" s="669">
        <v>54</v>
      </c>
      <c r="OE143" s="680">
        <v>1007</v>
      </c>
      <c r="OF143" s="671">
        <v>-8.3109999999999998E-11</v>
      </c>
      <c r="OG143" s="673">
        <v>60</v>
      </c>
      <c r="OH143" s="650">
        <v>43403</v>
      </c>
      <c r="OI143" s="651" t="str">
        <f t="shared" si="988"/>
        <v>rango cal. out</v>
      </c>
      <c r="OJ143" s="619">
        <f>((273.2+OC143)*$F$32/((273.2+$F$31)*OE143))</f>
        <v>0</v>
      </c>
      <c r="OK143" s="674" t="e">
        <f>OI143/OG143*OJ143*EXP(-LN(2)/10990*($F$88-OH143))</f>
        <v>#VALUE!</v>
      </c>
      <c r="OL143" s="599" t="e">
        <f>OK143-AVERAGE(OS94:OS95)</f>
        <v>#VALUE!</v>
      </c>
      <c r="OM143" s="672" t="e">
        <f>ABS($B$33*OL143*3600)</f>
        <v>#VALUE!</v>
      </c>
      <c r="ON143" s="675" t="e">
        <f>ABS($B$34*OL143*3600)</f>
        <v>#VALUE!</v>
      </c>
      <c r="OO143" s="614" t="e">
        <f>ON143*$C$79</f>
        <v>#VALUE!</v>
      </c>
      <c r="OP143" s="672" t="e">
        <f>ON143*$F$70</f>
        <v>#VALUE!</v>
      </c>
      <c r="OQ143" s="600" t="e">
        <f>ON143*$F$75</f>
        <v>#VALUE!</v>
      </c>
      <c r="OR143" s="672" t="e">
        <f>ON143*$F$72</f>
        <v>#VALUE!</v>
      </c>
      <c r="OS143" s="676" t="e">
        <f>ON143*$F$71</f>
        <v>#VALUE!</v>
      </c>
      <c r="OT143" s="668"/>
      <c r="OU143" s="669"/>
      <c r="OV143" s="670"/>
      <c r="OW143" s="671"/>
      <c r="OX143" s="678"/>
      <c r="OY143" s="650"/>
      <c r="OZ143" s="651">
        <f t="shared" si="990"/>
        <v>0</v>
      </c>
      <c r="PA143" s="619" t="e">
        <f>((273.2+OT143)*$F$32/((273.2+$F$31)*OV143))</f>
        <v>#DIV/0!</v>
      </c>
      <c r="PB143" s="674" t="e">
        <f>OZ143/OX143*PA143*EXP(-LN(2)/10990*($F$88-OY143))</f>
        <v>#DIV/0!</v>
      </c>
      <c r="PC143" s="599" t="e">
        <f>PB143-AVERAGE(PJ94:PJ95)</f>
        <v>#DIV/0!</v>
      </c>
      <c r="PD143" s="672" t="e">
        <f>ABS($B$33*PC143*3600)</f>
        <v>#DIV/0!</v>
      </c>
      <c r="PE143" s="675" t="e">
        <f>ABS($B$34*PC143*3600)</f>
        <v>#DIV/0!</v>
      </c>
      <c r="PF143" s="614" t="e">
        <f>PE143*$C$79</f>
        <v>#DIV/0!</v>
      </c>
      <c r="PG143" s="672" t="e">
        <f>PE143*$F$70</f>
        <v>#DIV/0!</v>
      </c>
      <c r="PH143" s="600" t="e">
        <f>PE143*$F$75</f>
        <v>#DIV/0!</v>
      </c>
      <c r="PI143" s="672" t="e">
        <f>PE143*$F$72</f>
        <v>#DIV/0!</v>
      </c>
      <c r="PJ143" s="676" t="e">
        <f>PE143*$F$71</f>
        <v>#DIV/0!</v>
      </c>
      <c r="PK143" s="668"/>
      <c r="PL143" s="669"/>
      <c r="PM143" s="670"/>
      <c r="PN143" s="671"/>
      <c r="PO143" s="678"/>
      <c r="PP143" s="650"/>
      <c r="PQ143" s="651">
        <f t="shared" si="992"/>
        <v>0</v>
      </c>
      <c r="PR143" s="619" t="e">
        <f>((273.2+PK143)*$F$32/((273.2+$F$31)*PM143))</f>
        <v>#DIV/0!</v>
      </c>
      <c r="PS143" s="674" t="e">
        <f>PQ143/PO143*PR143*EXP(-LN(2)/10990*($F$88-PP143))</f>
        <v>#DIV/0!</v>
      </c>
      <c r="PT143" s="599" t="e">
        <f>PS143-AVERAGE(QA94:QA95)</f>
        <v>#DIV/0!</v>
      </c>
      <c r="PU143" s="672" t="e">
        <f>ABS($B$33*PT143*3600)</f>
        <v>#DIV/0!</v>
      </c>
      <c r="PV143" s="675" t="e">
        <f>ABS($B$34*PT143*3600)</f>
        <v>#DIV/0!</v>
      </c>
      <c r="PW143" s="614" t="e">
        <f>PV143*$C$79</f>
        <v>#DIV/0!</v>
      </c>
      <c r="PX143" s="672" t="e">
        <f>PV143*$F$70</f>
        <v>#DIV/0!</v>
      </c>
      <c r="PY143" s="600" t="e">
        <f>PV143*$F$75</f>
        <v>#DIV/0!</v>
      </c>
      <c r="PZ143" s="672" t="e">
        <f>PV143*$F$72</f>
        <v>#DIV/0!</v>
      </c>
      <c r="QA143" s="676" t="e">
        <f>PV143*$F$71</f>
        <v>#DIV/0!</v>
      </c>
      <c r="QB143" s="668"/>
      <c r="QC143" s="669"/>
      <c r="QD143" s="680"/>
      <c r="QE143" s="671"/>
      <c r="QF143" s="673"/>
      <c r="QG143" s="650"/>
      <c r="QH143" s="651">
        <f t="shared" si="994"/>
        <v>0</v>
      </c>
      <c r="QI143" s="619" t="e">
        <f>((273.2+QB143)*$F$32/((273.2+$F$31)*QD143))</f>
        <v>#DIV/0!</v>
      </c>
      <c r="QJ143" s="674" t="e">
        <f>QH143/QF143*QI143*EXP(-LN(2)/10990*($F$88-QG143))</f>
        <v>#DIV/0!</v>
      </c>
      <c r="QK143" s="599" t="e">
        <f>QJ143-AVERAGE(QR94:QR95)</f>
        <v>#DIV/0!</v>
      </c>
      <c r="QL143" s="672" t="e">
        <f>ABS($B$33*QK143*3600)</f>
        <v>#DIV/0!</v>
      </c>
      <c r="QM143" s="675" t="e">
        <f>ABS($B$34*QK143*3600)</f>
        <v>#DIV/0!</v>
      </c>
      <c r="QN143" s="614" t="e">
        <f>QM143*$C$79</f>
        <v>#DIV/0!</v>
      </c>
      <c r="QO143" s="672" t="e">
        <f>QM143*$F$70</f>
        <v>#DIV/0!</v>
      </c>
      <c r="QP143" s="600" t="e">
        <f>QM143*$F$75</f>
        <v>#DIV/0!</v>
      </c>
      <c r="QQ143" s="672" t="e">
        <f>QM143*$F$72</f>
        <v>#DIV/0!</v>
      </c>
      <c r="QR143" s="676" t="e">
        <f>QM143*$F$71</f>
        <v>#DIV/0!</v>
      </c>
      <c r="QS143" s="668"/>
      <c r="QT143" s="669"/>
      <c r="QU143" s="669"/>
      <c r="QV143" s="679"/>
      <c r="QW143" s="673"/>
      <c r="QX143" s="650"/>
      <c r="QY143" s="651">
        <f t="shared" si="996"/>
        <v>0</v>
      </c>
      <c r="QZ143" s="619" t="e">
        <f>((273.2+QS143)*$F$32/((273.2+$F$31)*QU143))</f>
        <v>#DIV/0!</v>
      </c>
      <c r="RA143" s="674" t="e">
        <f>QY143/QW143*QZ143*EXP(-LN(2)/10990*($F$88-QX143))</f>
        <v>#DIV/0!</v>
      </c>
      <c r="RB143" s="599" t="e">
        <f>RA143-AVERAGE(RI94:RI95)</f>
        <v>#DIV/0!</v>
      </c>
      <c r="RC143" s="672" t="e">
        <f>ABS($B$33*RB143*3600)</f>
        <v>#DIV/0!</v>
      </c>
      <c r="RD143" s="675" t="e">
        <f>ABS($B$34*RB143*3600)</f>
        <v>#DIV/0!</v>
      </c>
      <c r="RE143" s="614" t="e">
        <f>RD143*$C$79</f>
        <v>#DIV/0!</v>
      </c>
      <c r="RF143" s="672" t="e">
        <f>RD143*$F$70</f>
        <v>#DIV/0!</v>
      </c>
      <c r="RG143" s="600" t="e">
        <f>RD143*$F$75</f>
        <v>#DIV/0!</v>
      </c>
      <c r="RH143" s="672" t="e">
        <f>RD143*$F$72</f>
        <v>#DIV/0!</v>
      </c>
      <c r="RI143" s="676" t="e">
        <f>RD143*$F$71</f>
        <v>#DIV/0!</v>
      </c>
      <c r="RJ143" s="668">
        <v>20.5</v>
      </c>
      <c r="RK143" s="669">
        <v>53</v>
      </c>
      <c r="RL143" s="680">
        <v>1007</v>
      </c>
      <c r="RM143" s="671">
        <v>-3.8299999999999996E-12</v>
      </c>
      <c r="RN143" s="673">
        <v>60</v>
      </c>
      <c r="RO143" s="650">
        <v>43403</v>
      </c>
      <c r="RP143" s="651" t="str">
        <f t="shared" si="998"/>
        <v>rango cal. out</v>
      </c>
      <c r="RQ143" s="619">
        <f>((273.2+RJ143)*$F$32/((273.2+$F$31)*RL143))</f>
        <v>0</v>
      </c>
      <c r="RR143" s="674" t="e">
        <f>RP143/RN143*RQ143*EXP(-LN(2)/10990*($F$88-RO143))</f>
        <v>#VALUE!</v>
      </c>
      <c r="RS143" s="599" t="e">
        <f>RR143-AVERAGE(RZ94:RZ95)</f>
        <v>#VALUE!</v>
      </c>
      <c r="RT143" s="672" t="e">
        <f>ABS($B$33*RS143*3600)</f>
        <v>#VALUE!</v>
      </c>
      <c r="RU143" s="675" t="e">
        <f>ABS($B$34*RS143*3600)</f>
        <v>#VALUE!</v>
      </c>
      <c r="RV143" s="614" t="e">
        <f>RU143*$C$79</f>
        <v>#VALUE!</v>
      </c>
      <c r="RW143" s="672" t="e">
        <f>RU143*$F$70</f>
        <v>#VALUE!</v>
      </c>
      <c r="RX143" s="600" t="e">
        <f>RU143*$F$75</f>
        <v>#VALUE!</v>
      </c>
      <c r="RY143" s="672" t="e">
        <f>RU143*$F$72</f>
        <v>#VALUE!</v>
      </c>
      <c r="RZ143" s="676" t="e">
        <f>RU143*$F$71</f>
        <v>#VALUE!</v>
      </c>
      <c r="SA143" s="668">
        <v>20.5</v>
      </c>
      <c r="SB143" s="669">
        <v>55</v>
      </c>
      <c r="SC143" s="680">
        <v>1008</v>
      </c>
      <c r="SD143" s="671">
        <v>-2.0640000000000001E-10</v>
      </c>
      <c r="SE143" s="673">
        <v>60</v>
      </c>
      <c r="SF143" s="650">
        <v>43403</v>
      </c>
      <c r="SG143" s="651" t="str">
        <f t="shared" si="1000"/>
        <v>rango cal. out</v>
      </c>
      <c r="SH143" s="619">
        <f>((273.2+SA143)*$F$32/((273.2+$F$31)*SC143))</f>
        <v>0</v>
      </c>
      <c r="SI143" s="674" t="e">
        <f>SG143/SE143*SH143*EXP(-LN(2)/10990*($F$88-SF143))</f>
        <v>#VALUE!</v>
      </c>
      <c r="SJ143" s="599" t="e">
        <f>SI143-AVERAGE(SQ94:SQ95)</f>
        <v>#VALUE!</v>
      </c>
      <c r="SK143" s="672" t="e">
        <f>ABS($B$33*SJ143*3600)</f>
        <v>#VALUE!</v>
      </c>
      <c r="SL143" s="675" t="e">
        <f>ABS($B$34*SJ143*3600)</f>
        <v>#VALUE!</v>
      </c>
      <c r="SM143" s="614" t="e">
        <f>SL143*$C$79</f>
        <v>#VALUE!</v>
      </c>
      <c r="SN143" s="672" t="e">
        <f>SL143*$F$70</f>
        <v>#VALUE!</v>
      </c>
      <c r="SO143" s="600" t="e">
        <f>SL143*$F$75</f>
        <v>#VALUE!</v>
      </c>
      <c r="SP143" s="672" t="e">
        <f>SL143*$F$72</f>
        <v>#VALUE!</v>
      </c>
      <c r="SQ143" s="676" t="e">
        <f>SL143*$F$71</f>
        <v>#VALUE!</v>
      </c>
      <c r="SR143" s="668"/>
      <c r="SS143" s="669"/>
      <c r="ST143" s="670"/>
      <c r="SU143" s="671"/>
      <c r="SV143" s="678"/>
      <c r="SW143" s="650"/>
      <c r="SX143" s="651">
        <f t="shared" si="1002"/>
        <v>0</v>
      </c>
      <c r="SY143" s="619" t="e">
        <f>((273.2+SR143)*$F$32/((273.2+$F$31)*ST143))</f>
        <v>#DIV/0!</v>
      </c>
      <c r="SZ143" s="674" t="e">
        <f>SX143/SV143*SY143*EXP(-LN(2)/10990*($F$88-SW143))</f>
        <v>#DIV/0!</v>
      </c>
      <c r="TA143" s="599" t="e">
        <f>SZ143-AVERAGE(TH94:TH95)</f>
        <v>#DIV/0!</v>
      </c>
      <c r="TB143" s="672" t="e">
        <f>ABS($B$33*TA143*3600)</f>
        <v>#DIV/0!</v>
      </c>
      <c r="TC143" s="675" t="e">
        <f>ABS($B$34*TA143*3600)</f>
        <v>#DIV/0!</v>
      </c>
      <c r="TD143" s="614" t="e">
        <f>TC143*$C$79</f>
        <v>#DIV/0!</v>
      </c>
      <c r="TE143" s="672" t="e">
        <f>TC143*$F$70</f>
        <v>#DIV/0!</v>
      </c>
      <c r="TF143" s="600" t="e">
        <f>TC143*$F$75</f>
        <v>#DIV/0!</v>
      </c>
      <c r="TG143" s="672" t="e">
        <f>TC143*$F$72</f>
        <v>#DIV/0!</v>
      </c>
      <c r="TH143" s="676" t="e">
        <f>TC143*$F$71</f>
        <v>#DIV/0!</v>
      </c>
      <c r="TI143" s="668">
        <v>20.5</v>
      </c>
      <c r="TJ143" s="669">
        <v>55</v>
      </c>
      <c r="TK143" s="680">
        <v>1008</v>
      </c>
      <c r="TL143" s="671">
        <v>-8.4699999999999993E-12</v>
      </c>
      <c r="TM143" s="673">
        <v>60</v>
      </c>
      <c r="TN143" s="650">
        <v>43403</v>
      </c>
      <c r="TO143" s="651" t="str">
        <f t="shared" si="1004"/>
        <v>rango cal. out</v>
      </c>
      <c r="TP143" s="619">
        <f>((273.2+TI143)*$F$32/((273.2+$F$31)*TK143))</f>
        <v>0</v>
      </c>
      <c r="TQ143" s="674" t="e">
        <f>TO143/TM143*TP143*EXP(-LN(2)/10990*($F$88-TN143))</f>
        <v>#VALUE!</v>
      </c>
      <c r="TR143" s="599" t="e">
        <f>TQ143-AVERAGE(TY94:TY95)</f>
        <v>#VALUE!</v>
      </c>
      <c r="TS143" s="672" t="e">
        <f>ABS($B$33*TR143*3600)</f>
        <v>#VALUE!</v>
      </c>
      <c r="TT143" s="675" t="e">
        <f>ABS($B$34*TR143*3600)</f>
        <v>#VALUE!</v>
      </c>
      <c r="TU143" s="614" t="e">
        <f>TT143*$C$79</f>
        <v>#VALUE!</v>
      </c>
      <c r="TV143" s="672" t="e">
        <f>TT143*$F$70</f>
        <v>#VALUE!</v>
      </c>
      <c r="TW143" s="600" t="e">
        <f>TT143*$F$75</f>
        <v>#VALUE!</v>
      </c>
      <c r="TX143" s="672" t="e">
        <f>TT143*$F$72</f>
        <v>#VALUE!</v>
      </c>
      <c r="TY143" s="676" t="e">
        <f>TT143*$F$71</f>
        <v>#VALUE!</v>
      </c>
    </row>
    <row r="144" spans="1:545" x14ac:dyDescent="0.25">
      <c r="A144" s="2220"/>
      <c r="B144" s="668"/>
      <c r="C144" s="673"/>
      <c r="D144" s="673"/>
      <c r="E144" s="671"/>
      <c r="F144" s="673"/>
      <c r="G144" s="650"/>
      <c r="H144" s="651"/>
      <c r="I144" s="619"/>
      <c r="J144" s="674"/>
      <c r="K144" s="599"/>
      <c r="L144" s="599"/>
      <c r="M144" s="657"/>
      <c r="N144" s="614"/>
      <c r="O144" s="672"/>
      <c r="P144" s="600"/>
      <c r="Q144" s="672"/>
      <c r="R144" s="676"/>
      <c r="S144" s="677"/>
      <c r="T144" s="669"/>
      <c r="U144" s="670"/>
      <c r="V144" s="671"/>
      <c r="W144" s="678"/>
      <c r="X144" s="663"/>
      <c r="Y144" s="651">
        <f t="shared" si="944"/>
        <v>0</v>
      </c>
      <c r="Z144" s="619" t="e">
        <f>((273.2+S144)*$F$32/((273.2+$F$31)*U144))</f>
        <v>#DIV/0!</v>
      </c>
      <c r="AA144" s="674" t="e">
        <f>Y144/W144*Z144*EXP(-LN(2)/10990*($F$88-X144))</f>
        <v>#DIV/0!</v>
      </c>
      <c r="AB144" s="599" t="e">
        <f>AA144-AVERAGE(AI94:AI95)</f>
        <v>#DIV/0!</v>
      </c>
      <c r="AC144" s="599" t="e">
        <f>ABS($B$33*AB144*3600)</f>
        <v>#DIV/0!</v>
      </c>
      <c r="AD144" s="657" t="e">
        <f>ABS($B$34*AB144*3600)</f>
        <v>#DIV/0!</v>
      </c>
      <c r="AE144" s="614" t="e">
        <f>AD144*$C$79</f>
        <v>#DIV/0!</v>
      </c>
      <c r="AF144" s="672" t="e">
        <f>AD144*$F$70</f>
        <v>#DIV/0!</v>
      </c>
      <c r="AG144" s="600" t="e">
        <f t="shared" si="945"/>
        <v>#DIV/0!</v>
      </c>
      <c r="AH144" s="672" t="e">
        <f>AD144*$F$72</f>
        <v>#DIV/0!</v>
      </c>
      <c r="AI144" s="676" t="e">
        <f>AD144*$F$71</f>
        <v>#DIV/0!</v>
      </c>
      <c r="AJ144" s="677"/>
      <c r="AK144" s="669"/>
      <c r="AL144" s="670"/>
      <c r="AM144" s="671"/>
      <c r="AN144" s="678"/>
      <c r="AO144" s="663"/>
      <c r="AP144" s="651">
        <f t="shared" si="946"/>
        <v>0</v>
      </c>
      <c r="AQ144" s="619" t="e">
        <f>((273.2+AJ144)*$F$32/((273.2+$F$31)*AL144))</f>
        <v>#DIV/0!</v>
      </c>
      <c r="AR144" s="674" t="e">
        <f>AP144/AN144*AQ144*EXP(-LN(2)/10990*($F$88-AO144))</f>
        <v>#DIV/0!</v>
      </c>
      <c r="AS144" s="599" t="e">
        <f>AR144-AVERAGE(AZ94:AZ95)</f>
        <v>#DIV/0!</v>
      </c>
      <c r="AT144" s="599" t="e">
        <f>ABS($B$33*AS144*3600)</f>
        <v>#DIV/0!</v>
      </c>
      <c r="AU144" s="657" t="e">
        <f>ABS($B$34*AS144*3600)</f>
        <v>#DIV/0!</v>
      </c>
      <c r="AV144" s="614" t="e">
        <f>AU144*$C$79</f>
        <v>#DIV/0!</v>
      </c>
      <c r="AW144" s="672" t="e">
        <f>AU144*$F$70</f>
        <v>#DIV/0!</v>
      </c>
      <c r="AX144" s="600" t="e">
        <f t="shared" si="947"/>
        <v>#DIV/0!</v>
      </c>
      <c r="AY144" s="672" t="e">
        <f>AU144*$F$72</f>
        <v>#DIV/0!</v>
      </c>
      <c r="AZ144" s="676" t="e">
        <f>AU144*$F$71</f>
        <v>#DIV/0!</v>
      </c>
      <c r="BA144" s="668">
        <v>20.6</v>
      </c>
      <c r="BB144" s="669">
        <v>53</v>
      </c>
      <c r="BC144" s="680">
        <v>1009</v>
      </c>
      <c r="BD144" s="671">
        <v>-5.38E-10</v>
      </c>
      <c r="BE144" s="673">
        <v>60</v>
      </c>
      <c r="BF144" s="650">
        <v>43403</v>
      </c>
      <c r="BG144" s="651" t="str">
        <f t="shared" si="948"/>
        <v>rango cal. out</v>
      </c>
      <c r="BH144" s="619">
        <f>((273.2+BA144)*$F$32/((273.2+$F$31)*BC144))</f>
        <v>0</v>
      </c>
      <c r="BI144" s="674" t="e">
        <f>BG144/BE144*BH144*EXP(-LN(2)/10990*($F$88-BF144))</f>
        <v>#VALUE!</v>
      </c>
      <c r="BJ144" s="599" t="e">
        <f>BI144-AVERAGE(BQ94:BQ95)</f>
        <v>#VALUE!</v>
      </c>
      <c r="BK144" s="599" t="e">
        <f>ABS($B$33*BJ144*3600)</f>
        <v>#VALUE!</v>
      </c>
      <c r="BL144" s="657" t="e">
        <f>ABS($B$34*BJ144*3600)</f>
        <v>#VALUE!</v>
      </c>
      <c r="BM144" s="614" t="e">
        <f>BL144*$C$79</f>
        <v>#VALUE!</v>
      </c>
      <c r="BN144" s="672" t="e">
        <f>BL144*$F$70</f>
        <v>#VALUE!</v>
      </c>
      <c r="BO144" s="600" t="e">
        <f t="shared" si="949"/>
        <v>#VALUE!</v>
      </c>
      <c r="BP144" s="672" t="e">
        <f>BL144*$F$72</f>
        <v>#VALUE!</v>
      </c>
      <c r="BQ144" s="676" t="e">
        <f>BL144*$F$71</f>
        <v>#VALUE!</v>
      </c>
      <c r="BR144" s="668">
        <v>20.7</v>
      </c>
      <c r="BS144" s="669">
        <v>50</v>
      </c>
      <c r="BT144" s="680">
        <v>1008</v>
      </c>
      <c r="BU144" s="671">
        <v>-2.1940000000000001E-11</v>
      </c>
      <c r="BV144" s="673">
        <v>60</v>
      </c>
      <c r="BW144" s="663">
        <v>43403</v>
      </c>
      <c r="BX144" s="651" t="str">
        <f t="shared" si="950"/>
        <v>rango cal. out</v>
      </c>
      <c r="BY144" s="619">
        <f>((273.2+BR144)*$F$32/((273.2+$F$31)*BT144))</f>
        <v>0</v>
      </c>
      <c r="BZ144" s="674" t="e">
        <f>BX144/BV144*BY144*EXP(-LN(2)/10990*($F$88-BW144))</f>
        <v>#VALUE!</v>
      </c>
      <c r="CA144" s="599" t="e">
        <f>BZ144-AVERAGE(CH94:CH95)</f>
        <v>#VALUE!</v>
      </c>
      <c r="CB144" s="599" t="e">
        <f>ABS($B$33*CA144*3600)</f>
        <v>#VALUE!</v>
      </c>
      <c r="CC144" s="657" t="e">
        <f>ABS($B$34*CA144*3600)</f>
        <v>#VALUE!</v>
      </c>
      <c r="CD144" s="614" t="e">
        <f>CC144*$C$79</f>
        <v>#VALUE!</v>
      </c>
      <c r="CE144" s="672" t="e">
        <f>CC144*$F$70</f>
        <v>#VALUE!</v>
      </c>
      <c r="CF144" s="600" t="e">
        <f t="shared" si="951"/>
        <v>#VALUE!</v>
      </c>
      <c r="CG144" s="672" t="e">
        <f>CC144*$F$72</f>
        <v>#VALUE!</v>
      </c>
      <c r="CH144" s="676" t="e">
        <f>CC144*$F$71</f>
        <v>#VALUE!</v>
      </c>
      <c r="CI144" s="668">
        <v>20.3</v>
      </c>
      <c r="CJ144" s="669">
        <v>50</v>
      </c>
      <c r="CK144" s="680">
        <v>1007</v>
      </c>
      <c r="CL144" s="671">
        <v>-1.256E-9</v>
      </c>
      <c r="CM144" s="673">
        <v>60</v>
      </c>
      <c r="CN144" s="663">
        <v>43403</v>
      </c>
      <c r="CO144" s="651" t="str">
        <f t="shared" si="952"/>
        <v>rango cal. out</v>
      </c>
      <c r="CP144" s="619">
        <f>((273.2+CI144)*$F$32/((273.2+$F$31)*CK144))</f>
        <v>0</v>
      </c>
      <c r="CQ144" s="674" t="e">
        <f>CO144/CM144*CP144*EXP(-LN(2)/10990*($F$88-CN144))</f>
        <v>#VALUE!</v>
      </c>
      <c r="CR144" s="599" t="e">
        <f>CQ144-AVERAGE(CY94:CY95)</f>
        <v>#VALUE!</v>
      </c>
      <c r="CS144" s="599" t="e">
        <f>ABS($B$33*CR144*3600)</f>
        <v>#VALUE!</v>
      </c>
      <c r="CT144" s="657" t="e">
        <f>ABS($B$34*CR144*3600)</f>
        <v>#VALUE!</v>
      </c>
      <c r="CU144" s="614" t="e">
        <f>CT144*$C$79</f>
        <v>#VALUE!</v>
      </c>
      <c r="CV144" s="672" t="e">
        <f>CT144*$F$70</f>
        <v>#VALUE!</v>
      </c>
      <c r="CW144" s="600" t="e">
        <f t="shared" si="953"/>
        <v>#VALUE!</v>
      </c>
      <c r="CX144" s="672" t="e">
        <f>CT144*$F$72</f>
        <v>#VALUE!</v>
      </c>
      <c r="CY144" s="676" t="e">
        <f>CT144*$F$71</f>
        <v>#VALUE!</v>
      </c>
      <c r="CZ144" s="668"/>
      <c r="DA144" s="669"/>
      <c r="DB144" s="670"/>
      <c r="DC144" s="671"/>
      <c r="DD144" s="678"/>
      <c r="DE144" s="663"/>
      <c r="DF144" s="651">
        <f t="shared" si="954"/>
        <v>0</v>
      </c>
      <c r="DG144" s="619" t="e">
        <f>((273.2+CZ144)*$F$32/((273.2+$F$31)*DB144))</f>
        <v>#DIV/0!</v>
      </c>
      <c r="DH144" s="674" t="e">
        <f>DF144/DD144*DG144*EXP(-LN(2)/10990*($F$88-DE144))</f>
        <v>#DIV/0!</v>
      </c>
      <c r="DI144" s="599" t="e">
        <f>DH144-AVERAGE(DP94:DP95)</f>
        <v>#DIV/0!</v>
      </c>
      <c r="DJ144" s="599" t="e">
        <f>ABS($B$33*DI144*3600)</f>
        <v>#DIV/0!</v>
      </c>
      <c r="DK144" s="657" t="e">
        <f>ABS($B$34*DI144*3600)</f>
        <v>#DIV/0!</v>
      </c>
      <c r="DL144" s="614" t="e">
        <f>DK144*$C$79</f>
        <v>#DIV/0!</v>
      </c>
      <c r="DM144" s="672" t="e">
        <f>DK144*$F$70</f>
        <v>#DIV/0!</v>
      </c>
      <c r="DN144" s="600" t="e">
        <f t="shared" si="955"/>
        <v>#DIV/0!</v>
      </c>
      <c r="DO144" s="672" t="e">
        <f>DK144*$F$72</f>
        <v>#DIV/0!</v>
      </c>
      <c r="DP144" s="676" t="e">
        <f>DK144*$F$71</f>
        <v>#DIV/0!</v>
      </c>
      <c r="DQ144" s="668"/>
      <c r="DR144" s="669"/>
      <c r="DS144" s="677"/>
      <c r="DT144" s="679"/>
      <c r="DU144" s="678"/>
      <c r="DV144" s="663"/>
      <c r="DW144" s="651">
        <f t="shared" si="956"/>
        <v>0</v>
      </c>
      <c r="DX144" s="619" t="e">
        <f>((273.2+DQ144)*$F$32/((273.2+$F$31)*DS144))</f>
        <v>#DIV/0!</v>
      </c>
      <c r="DY144" s="674" t="e">
        <f>DW144/DU144*DX144*EXP(-LN(2)/10990*($F$88-DV144))</f>
        <v>#DIV/0!</v>
      </c>
      <c r="DZ144" s="599" t="e">
        <f>DY144-AVERAGE(EG94:EG95)</f>
        <v>#DIV/0!</v>
      </c>
      <c r="EA144" s="599" t="e">
        <f>ABS($B$33*DZ144*3600)</f>
        <v>#DIV/0!</v>
      </c>
      <c r="EB144" s="657" t="e">
        <f>ABS($B$34*DZ144*3600)</f>
        <v>#DIV/0!</v>
      </c>
      <c r="EC144" s="614" t="e">
        <f>EB144*$C$79</f>
        <v>#DIV/0!</v>
      </c>
      <c r="ED144" s="672" t="e">
        <f>EB144*$F$70</f>
        <v>#DIV/0!</v>
      </c>
      <c r="EE144" s="600" t="e">
        <f t="shared" si="957"/>
        <v>#DIV/0!</v>
      </c>
      <c r="EF144" s="672" t="e">
        <f>EB144*$F$72</f>
        <v>#DIV/0!</v>
      </c>
      <c r="EG144" s="676" t="e">
        <f>EB144*$F$71</f>
        <v>#DIV/0!</v>
      </c>
      <c r="EH144" s="668">
        <v>20.5</v>
      </c>
      <c r="EI144" s="669">
        <v>52</v>
      </c>
      <c r="EJ144" s="680">
        <v>1007</v>
      </c>
      <c r="EK144" s="671">
        <v>-1.5399999999999999E-12</v>
      </c>
      <c r="EL144" s="673">
        <v>60</v>
      </c>
      <c r="EM144" s="663">
        <v>43403</v>
      </c>
      <c r="EN144" s="651" t="str">
        <f t="shared" si="958"/>
        <v>rango cal. out</v>
      </c>
      <c r="EO144" s="619">
        <f>((273.2+EH144)*$F$32/((273.2+$F$31)*EJ144))</f>
        <v>0</v>
      </c>
      <c r="EP144" s="674" t="e">
        <f>EN144/EL144*EO144*EXP(-LN(2)/10990*($F$88-EM144))</f>
        <v>#VALUE!</v>
      </c>
      <c r="EQ144" s="599" t="e">
        <f>EP144-AVERAGE(EX94:EX95)</f>
        <v>#VALUE!</v>
      </c>
      <c r="ER144" s="599" t="e">
        <f>ABS($B$33*EQ144*3600)</f>
        <v>#VALUE!</v>
      </c>
      <c r="ES144" s="657" t="e">
        <f>ABS($B$34*EQ144*3600)</f>
        <v>#VALUE!</v>
      </c>
      <c r="ET144" s="614" t="e">
        <f>ES144*$C$79</f>
        <v>#VALUE!</v>
      </c>
      <c r="EU144" s="672" t="e">
        <f>ES144*$F$70</f>
        <v>#VALUE!</v>
      </c>
      <c r="EV144" s="600" t="e">
        <f t="shared" si="959"/>
        <v>#VALUE!</v>
      </c>
      <c r="EW144" s="672" t="e">
        <f>ES144*$F$72</f>
        <v>#VALUE!</v>
      </c>
      <c r="EX144" s="676" t="e">
        <f>ES144*$F$71</f>
        <v>#VALUE!</v>
      </c>
      <c r="EY144" s="668"/>
      <c r="EZ144" s="669"/>
      <c r="FA144" s="670"/>
      <c r="FB144" s="671"/>
      <c r="FC144" s="678"/>
      <c r="FD144" s="663"/>
      <c r="FE144" s="651">
        <f t="shared" si="960"/>
        <v>0</v>
      </c>
      <c r="FF144" s="619" t="e">
        <f>((273.2+EY144)*$F$32/((273.2+$F$31)*FA144))</f>
        <v>#DIV/0!</v>
      </c>
      <c r="FG144" s="674" t="e">
        <f>FE144/FC144*FF144*EXP(-LN(2)/10990*($F$88-FD144))</f>
        <v>#DIV/0!</v>
      </c>
      <c r="FH144" s="599" t="e">
        <f>FG144-AVERAGE(FO94:FO95)</f>
        <v>#DIV/0!</v>
      </c>
      <c r="FI144" s="599" t="e">
        <f>ABS($B$33*FH144*3600)</f>
        <v>#DIV/0!</v>
      </c>
      <c r="FJ144" s="657" t="e">
        <f>ABS($B$34*FH144*3600)</f>
        <v>#DIV/0!</v>
      </c>
      <c r="FK144" s="614" t="e">
        <f>FJ144*$C$79</f>
        <v>#DIV/0!</v>
      </c>
      <c r="FL144" s="672" t="e">
        <f>FJ144*$F$70</f>
        <v>#DIV/0!</v>
      </c>
      <c r="FM144" s="600" t="e">
        <f t="shared" si="961"/>
        <v>#DIV/0!</v>
      </c>
      <c r="FN144" s="672" t="e">
        <f>FJ144*$F$72</f>
        <v>#DIV/0!</v>
      </c>
      <c r="FO144" s="676" t="e">
        <f>FJ144*$F$71</f>
        <v>#DIV/0!</v>
      </c>
      <c r="FP144" s="668"/>
      <c r="FQ144" s="669"/>
      <c r="FR144" s="670"/>
      <c r="FS144" s="671"/>
      <c r="FT144" s="678"/>
      <c r="FU144" s="663"/>
      <c r="FV144" s="651">
        <f t="shared" si="962"/>
        <v>0</v>
      </c>
      <c r="FW144" s="619" t="e">
        <f>((273.2+FP144)*$F$32/((273.2+$F$31)*FR144))</f>
        <v>#DIV/0!</v>
      </c>
      <c r="FX144" s="674" t="e">
        <f>FV144/FT144*FW144*EXP(-LN(2)/10990*($F$88-FU144))</f>
        <v>#DIV/0!</v>
      </c>
      <c r="FY144" s="599" t="e">
        <f>FX144-AVERAGE(GF94:GF95)</f>
        <v>#DIV/0!</v>
      </c>
      <c r="FZ144" s="599" t="e">
        <f>ABS($B$33*FY144*3600)</f>
        <v>#DIV/0!</v>
      </c>
      <c r="GA144" s="657" t="e">
        <f>ABS($B$34*FY144*3600)</f>
        <v>#DIV/0!</v>
      </c>
      <c r="GB144" s="614" t="e">
        <f>GA144*$C$79</f>
        <v>#DIV/0!</v>
      </c>
      <c r="GC144" s="672" t="e">
        <f>GA144*$F$70</f>
        <v>#DIV/0!</v>
      </c>
      <c r="GD144" s="600" t="e">
        <f t="shared" si="963"/>
        <v>#DIV/0!</v>
      </c>
      <c r="GE144" s="672" t="e">
        <f>GA144*$F$72</f>
        <v>#DIV/0!</v>
      </c>
      <c r="GF144" s="676" t="e">
        <f>GA144*$F$71</f>
        <v>#DIV/0!</v>
      </c>
      <c r="GG144" s="668"/>
      <c r="GH144" s="669"/>
      <c r="GI144" s="677"/>
      <c r="GJ144" s="679"/>
      <c r="GK144" s="678"/>
      <c r="GL144" s="663"/>
      <c r="GM144" s="651">
        <f t="shared" si="964"/>
        <v>0</v>
      </c>
      <c r="GN144" s="619" t="e">
        <f>((273.2+GG144)*$F$32/((273.2+$F$31)*GI144))</f>
        <v>#DIV/0!</v>
      </c>
      <c r="GO144" s="674" t="e">
        <f>GM144/GK144*GN144*EXP(-LN(2)/10990*($F$88-GL144))</f>
        <v>#DIV/0!</v>
      </c>
      <c r="GP144" s="599" t="e">
        <f>GO144-AVERAGE(GW94:GW95)</f>
        <v>#DIV/0!</v>
      </c>
      <c r="GQ144" s="599" t="e">
        <f>ABS($B$33*GP144*3600)</f>
        <v>#DIV/0!</v>
      </c>
      <c r="GR144" s="657" t="e">
        <f>ABS($B$34*GP144*3600)</f>
        <v>#DIV/0!</v>
      </c>
      <c r="GS144" s="614" t="e">
        <f>GR144*$C$79</f>
        <v>#DIV/0!</v>
      </c>
      <c r="GT144" s="672" t="e">
        <f>GR144*$F$70</f>
        <v>#DIV/0!</v>
      </c>
      <c r="GU144" s="600" t="e">
        <f t="shared" si="965"/>
        <v>#DIV/0!</v>
      </c>
      <c r="GV144" s="672" t="e">
        <f>GR144*$F$72</f>
        <v>#DIV/0!</v>
      </c>
      <c r="GW144" s="676" t="e">
        <f>GR144*$F$71</f>
        <v>#DIV/0!</v>
      </c>
      <c r="GX144" s="668"/>
      <c r="GY144" s="669"/>
      <c r="GZ144" s="670"/>
      <c r="HA144" s="671"/>
      <c r="HB144" s="678"/>
      <c r="HC144" s="663"/>
      <c r="HD144" s="651">
        <f t="shared" si="966"/>
        <v>0</v>
      </c>
      <c r="HE144" s="619" t="e">
        <f>((273.2+GX144)*$F$32/((273.2+$F$31)*GZ144))</f>
        <v>#DIV/0!</v>
      </c>
      <c r="HF144" s="674" t="e">
        <f>HD144/HB144*HE144*EXP(-LN(2)/10990*($F$88-HC144))</f>
        <v>#DIV/0!</v>
      </c>
      <c r="HG144" s="599" t="e">
        <f>HF144-AVERAGE(HN94:HN95)</f>
        <v>#DIV/0!</v>
      </c>
      <c r="HH144" s="599" t="e">
        <f>ABS($B$33*HG144*3600)</f>
        <v>#DIV/0!</v>
      </c>
      <c r="HI144" s="657" t="e">
        <f>ABS($B$34*HG144*3600)</f>
        <v>#DIV/0!</v>
      </c>
      <c r="HJ144" s="614" t="e">
        <f>HI144*$C$79</f>
        <v>#DIV/0!</v>
      </c>
      <c r="HK144" s="672" t="e">
        <f>HI144*$F$70</f>
        <v>#DIV/0!</v>
      </c>
      <c r="HL144" s="600" t="e">
        <f t="shared" si="967"/>
        <v>#DIV/0!</v>
      </c>
      <c r="HM144" s="672" t="e">
        <f>HI144*$F$72</f>
        <v>#DIV/0!</v>
      </c>
      <c r="HN144" s="676" t="e">
        <f>HI144*$F$71</f>
        <v>#DIV/0!</v>
      </c>
      <c r="HO144" s="668"/>
      <c r="HP144" s="669"/>
      <c r="HQ144" s="670"/>
      <c r="HR144" s="671"/>
      <c r="HS144" s="678"/>
      <c r="HT144" s="663"/>
      <c r="HU144" s="651">
        <f t="shared" si="968"/>
        <v>0</v>
      </c>
      <c r="HV144" s="619" t="e">
        <f>((273.2+HO144)*$F$32/((273.2+$F$31)*HQ144))</f>
        <v>#DIV/0!</v>
      </c>
      <c r="HW144" s="674" t="e">
        <f>HU144/HS144*HV144*EXP(-LN(2)/10990*($F$88-HT144))</f>
        <v>#DIV/0!</v>
      </c>
      <c r="HX144" s="599" t="e">
        <f>HW144-AVERAGE(IE94:IE95)</f>
        <v>#DIV/0!</v>
      </c>
      <c r="HY144" s="599" t="e">
        <f>ABS($B$33*HX144*3600)</f>
        <v>#DIV/0!</v>
      </c>
      <c r="HZ144" s="657" t="e">
        <f>ABS($B$34*HX144*3600)</f>
        <v>#DIV/0!</v>
      </c>
      <c r="IA144" s="614" t="e">
        <f>HZ144*$C$79</f>
        <v>#DIV/0!</v>
      </c>
      <c r="IB144" s="672" t="e">
        <f>HZ144*$F$70</f>
        <v>#DIV/0!</v>
      </c>
      <c r="IC144" s="600" t="e">
        <f t="shared" si="969"/>
        <v>#DIV/0!</v>
      </c>
      <c r="ID144" s="672" t="e">
        <f>HZ144*$F$72</f>
        <v>#DIV/0!</v>
      </c>
      <c r="IE144" s="676" t="e">
        <f>HZ144*$F$71</f>
        <v>#DIV/0!</v>
      </c>
      <c r="IF144" s="668"/>
      <c r="IG144" s="669"/>
      <c r="IH144" s="670"/>
      <c r="II144" s="671"/>
      <c r="IJ144" s="678"/>
      <c r="IK144" s="663"/>
      <c r="IL144" s="651">
        <f t="shared" si="970"/>
        <v>0</v>
      </c>
      <c r="IM144" s="619" t="e">
        <f>((273.2+IF144)*$F$32/((273.2+$F$31)*IH144))</f>
        <v>#DIV/0!</v>
      </c>
      <c r="IN144" s="674" t="e">
        <f>IL144/IJ144*IM144*EXP(-LN(2)/10990*($F$88-IK144))</f>
        <v>#DIV/0!</v>
      </c>
      <c r="IO144" s="599" t="e">
        <f>IN144-AVERAGE(IV94:IV95)</f>
        <v>#DIV/0!</v>
      </c>
      <c r="IP144" s="599" t="e">
        <f>ABS($B$33*IO144*3600)</f>
        <v>#DIV/0!</v>
      </c>
      <c r="IQ144" s="657" t="e">
        <f>ABS($B$34*IO144*3600)</f>
        <v>#DIV/0!</v>
      </c>
      <c r="IR144" s="614" t="e">
        <f>IQ144*$C$79</f>
        <v>#DIV/0!</v>
      </c>
      <c r="IS144" s="672" t="e">
        <f>IQ144*$F$70</f>
        <v>#DIV/0!</v>
      </c>
      <c r="IT144" s="600" t="e">
        <f t="shared" si="971"/>
        <v>#DIV/0!</v>
      </c>
      <c r="IU144" s="672" t="e">
        <f>IQ144*$F$72</f>
        <v>#DIV/0!</v>
      </c>
      <c r="IV144" s="676" t="e">
        <f>IQ144*$F$71</f>
        <v>#DIV/0!</v>
      </c>
      <c r="IW144" s="668"/>
      <c r="IX144" s="669"/>
      <c r="IY144" s="670"/>
      <c r="IZ144" s="671"/>
      <c r="JA144" s="678"/>
      <c r="JB144" s="663"/>
      <c r="JC144" s="651">
        <f t="shared" si="972"/>
        <v>0</v>
      </c>
      <c r="JD144" s="619" t="e">
        <f>((273.2+IW144)*$F$32/((273.2+$F$31)*IY144))</f>
        <v>#DIV/0!</v>
      </c>
      <c r="JE144" s="674" t="e">
        <f>JC144/JA144*JD144*EXP(-LN(2)/10990*($F$88-JB144))</f>
        <v>#DIV/0!</v>
      </c>
      <c r="JF144" s="599" t="e">
        <f>JE144-AVERAGE(JM94:JM95)</f>
        <v>#DIV/0!</v>
      </c>
      <c r="JG144" s="599" t="e">
        <f>ABS($B$33*JF144*3600)</f>
        <v>#DIV/0!</v>
      </c>
      <c r="JH144" s="657" t="e">
        <f>ABS($B$34*JF144*3600)</f>
        <v>#DIV/0!</v>
      </c>
      <c r="JI144" s="614" t="e">
        <f>JH144*$C$79</f>
        <v>#DIV/0!</v>
      </c>
      <c r="JJ144" s="672" t="e">
        <f>JH144*$F$70</f>
        <v>#DIV/0!</v>
      </c>
      <c r="JK144" s="600" t="e">
        <f t="shared" si="973"/>
        <v>#DIV/0!</v>
      </c>
      <c r="JL144" s="672" t="e">
        <f>JH144*$F$72</f>
        <v>#DIV/0!</v>
      </c>
      <c r="JM144" s="676" t="e">
        <f>JH144*$F$71</f>
        <v>#DIV/0!</v>
      </c>
      <c r="JN144" s="668"/>
      <c r="JO144" s="669"/>
      <c r="JP144" s="670"/>
      <c r="JQ144" s="671"/>
      <c r="JR144" s="678"/>
      <c r="JS144" s="663"/>
      <c r="JT144" s="651">
        <f t="shared" si="974"/>
        <v>0</v>
      </c>
      <c r="JU144" s="619" t="e">
        <f>((273.2+JN144)*$F$32/((273.2+$F$31)*JP144))</f>
        <v>#DIV/0!</v>
      </c>
      <c r="JV144" s="674" t="e">
        <f>JT144/JR144*JU144*EXP(-LN(2)/10990*($F$88-JS144))</f>
        <v>#DIV/0!</v>
      </c>
      <c r="JW144" s="599" t="e">
        <f>JV144-AVERAGE(KD94:KD95)</f>
        <v>#DIV/0!</v>
      </c>
      <c r="JX144" s="599" t="e">
        <f>ABS($B$33*JW144*3600)</f>
        <v>#DIV/0!</v>
      </c>
      <c r="JY144" s="657" t="e">
        <f>ABS($B$34*JW144*3600)</f>
        <v>#DIV/0!</v>
      </c>
      <c r="JZ144" s="614" t="e">
        <f>JY144*$C$79</f>
        <v>#DIV/0!</v>
      </c>
      <c r="KA144" s="672" t="e">
        <f>JY144*$F$70</f>
        <v>#DIV/0!</v>
      </c>
      <c r="KB144" s="600" t="e">
        <f t="shared" si="975"/>
        <v>#DIV/0!</v>
      </c>
      <c r="KC144" s="672" t="e">
        <f>JY144*$F$72</f>
        <v>#DIV/0!</v>
      </c>
      <c r="KD144" s="676" t="e">
        <f>JY144*$F$71</f>
        <v>#DIV/0!</v>
      </c>
      <c r="KE144" s="668"/>
      <c r="KF144" s="669"/>
      <c r="KG144" s="670"/>
      <c r="KH144" s="671"/>
      <c r="KI144" s="678"/>
      <c r="KJ144" s="663"/>
      <c r="KK144" s="651">
        <f t="shared" si="976"/>
        <v>0</v>
      </c>
      <c r="KL144" s="619" t="e">
        <f>((273.2+KE144)*$F$32/((273.2+$F$31)*KG144))</f>
        <v>#DIV/0!</v>
      </c>
      <c r="KM144" s="674" t="e">
        <f>KK144/KI144*KL144*EXP(-LN(2)/10990*($F$88-KJ144))</f>
        <v>#DIV/0!</v>
      </c>
      <c r="KN144" s="599" t="e">
        <f>KM144-AVERAGE(KU94:KU95)</f>
        <v>#DIV/0!</v>
      </c>
      <c r="KO144" s="599" t="e">
        <f>ABS($B$33*KN144*3600)</f>
        <v>#DIV/0!</v>
      </c>
      <c r="KP144" s="657" t="e">
        <f>ABS($B$34*KN144*3600)</f>
        <v>#DIV/0!</v>
      </c>
      <c r="KQ144" s="614" t="e">
        <f>KP144*$C$79</f>
        <v>#DIV/0!</v>
      </c>
      <c r="KR144" s="672" t="e">
        <f>KP144*$F$70</f>
        <v>#DIV/0!</v>
      </c>
      <c r="KS144" s="600" t="e">
        <f t="shared" si="977"/>
        <v>#DIV/0!</v>
      </c>
      <c r="KT144" s="672" t="e">
        <f>KP144*$F$72</f>
        <v>#DIV/0!</v>
      </c>
      <c r="KU144" s="676" t="e">
        <f>KP144*$F$71</f>
        <v>#DIV/0!</v>
      </c>
      <c r="KV144" s="668"/>
      <c r="KW144" s="669"/>
      <c r="KX144" s="670"/>
      <c r="KY144" s="671"/>
      <c r="KZ144" s="678"/>
      <c r="LA144" s="663"/>
      <c r="LB144" s="651">
        <f t="shared" si="978"/>
        <v>0</v>
      </c>
      <c r="LC144" s="619" t="e">
        <f>((273.2+KV144)*$F$32/((273.2+$F$31)*KX144))</f>
        <v>#DIV/0!</v>
      </c>
      <c r="LD144" s="674" t="e">
        <f>LB144/KZ144*LC144*EXP(-LN(2)/10990*($F$88-LA144))</f>
        <v>#DIV/0!</v>
      </c>
      <c r="LE144" s="599" t="e">
        <f>LD144-AVERAGE(LL94:LL95)</f>
        <v>#DIV/0!</v>
      </c>
      <c r="LF144" s="599" t="e">
        <f>ABS($B$33*LE144*3600)</f>
        <v>#DIV/0!</v>
      </c>
      <c r="LG144" s="657" t="e">
        <f>ABS($B$34*LE144*3600)</f>
        <v>#DIV/0!</v>
      </c>
      <c r="LH144" s="614" t="e">
        <f>LG144*$C$79</f>
        <v>#DIV/0!</v>
      </c>
      <c r="LI144" s="672" t="e">
        <f>LG144*$F$70</f>
        <v>#DIV/0!</v>
      </c>
      <c r="LJ144" s="600" t="e">
        <f t="shared" si="979"/>
        <v>#DIV/0!</v>
      </c>
      <c r="LK144" s="672" t="e">
        <f>LG144*$F$72</f>
        <v>#DIV/0!</v>
      </c>
      <c r="LL144" s="676" t="e">
        <f>LG144*$F$71</f>
        <v>#DIV/0!</v>
      </c>
      <c r="LM144" s="668"/>
      <c r="LN144" s="669"/>
      <c r="LO144" s="670"/>
      <c r="LP144" s="671"/>
      <c r="LQ144" s="678"/>
      <c r="LR144" s="663"/>
      <c r="LS144" s="651">
        <f t="shared" si="980"/>
        <v>0</v>
      </c>
      <c r="LT144" s="619" t="e">
        <f>((273.2+LM144)*$F$32/((273.2+$F$31)*LO144))</f>
        <v>#DIV/0!</v>
      </c>
      <c r="LU144" s="674" t="e">
        <f>LS144/LQ144*LT144*EXP(-LN(2)/10990*($F$88-LR144))</f>
        <v>#DIV/0!</v>
      </c>
      <c r="LV144" s="599" t="e">
        <f>LU144-AVERAGE(MC94:MC95)</f>
        <v>#DIV/0!</v>
      </c>
      <c r="LW144" s="599" t="e">
        <f>ABS($B$33*LV144*3600)</f>
        <v>#DIV/0!</v>
      </c>
      <c r="LX144" s="657" t="e">
        <f>ABS($B$34*LV144*3600)</f>
        <v>#DIV/0!</v>
      </c>
      <c r="LY144" s="614" t="e">
        <f>LX144*$C$79</f>
        <v>#DIV/0!</v>
      </c>
      <c r="LZ144" s="672" t="e">
        <f>LX144*$F$70</f>
        <v>#DIV/0!</v>
      </c>
      <c r="MA144" s="600" t="e">
        <f t="shared" si="981"/>
        <v>#DIV/0!</v>
      </c>
      <c r="MB144" s="672" t="e">
        <f>LX144*$F$72</f>
        <v>#DIV/0!</v>
      </c>
      <c r="MC144" s="676" t="e">
        <f>LX144*$F$71</f>
        <v>#DIV/0!</v>
      </c>
      <c r="MD144" s="668"/>
      <c r="ME144" s="669"/>
      <c r="MF144" s="680"/>
      <c r="MG144" s="671"/>
      <c r="MH144" s="673"/>
      <c r="MI144" s="650"/>
      <c r="MJ144" s="651">
        <f t="shared" si="982"/>
        <v>0</v>
      </c>
      <c r="MK144" s="619" t="e">
        <f>((273.2+MD144)*$F$32/((273.2+$F$31)*MF144))</f>
        <v>#DIV/0!</v>
      </c>
      <c r="ML144" s="674" t="e">
        <f>MJ144/MH144*MK144*EXP(-LN(2)/10990*($F$88-MI144))</f>
        <v>#DIV/0!</v>
      </c>
      <c r="MM144" s="599" t="e">
        <f>ML144-AVERAGE(MT94:MT95)</f>
        <v>#DIV/0!</v>
      </c>
      <c r="MN144" s="599" t="e">
        <f>ABS($B$33*MM144*3600)</f>
        <v>#DIV/0!</v>
      </c>
      <c r="MO144" s="657" t="e">
        <f>ABS($B$34*MM144*3600)</f>
        <v>#DIV/0!</v>
      </c>
      <c r="MP144" s="614" t="e">
        <f>MO144*$C$79</f>
        <v>#DIV/0!</v>
      </c>
      <c r="MQ144" s="672" t="e">
        <f>MO144*$F$70</f>
        <v>#DIV/0!</v>
      </c>
      <c r="MR144" s="600" t="e">
        <f t="shared" si="983"/>
        <v>#DIV/0!</v>
      </c>
      <c r="MS144" s="672" t="e">
        <f>MO144*$F$72</f>
        <v>#DIV/0!</v>
      </c>
      <c r="MT144" s="676" t="e">
        <f>MO144*$F$71</f>
        <v>#DIV/0!</v>
      </c>
      <c r="MU144" s="668">
        <v>20.5</v>
      </c>
      <c r="MV144" s="669">
        <v>52</v>
      </c>
      <c r="MW144" s="680">
        <v>1007</v>
      </c>
      <c r="MX144" s="671">
        <v>-3.5770000000000003E-11</v>
      </c>
      <c r="MY144" s="678">
        <v>60</v>
      </c>
      <c r="MZ144" s="663">
        <v>43403</v>
      </c>
      <c r="NA144" s="651" t="str">
        <f t="shared" si="984"/>
        <v>rango cal. out</v>
      </c>
      <c r="NB144" s="619">
        <f>((273.2+MU144)*$F$32/((273.2+$F$31)*MW144))</f>
        <v>0</v>
      </c>
      <c r="NC144" s="674" t="e">
        <f>NA144/MY144*NB144*EXP(-LN(2)/10990*($F$88-MZ144))</f>
        <v>#VALUE!</v>
      </c>
      <c r="ND144" s="599" t="e">
        <f>NC144-AVERAGE(NK94:NK95)</f>
        <v>#VALUE!</v>
      </c>
      <c r="NE144" s="599" t="e">
        <f>ABS($B$33*ND144*3600)</f>
        <v>#VALUE!</v>
      </c>
      <c r="NF144" s="657" t="e">
        <f>ABS($B$34*ND144*3600)</f>
        <v>#VALUE!</v>
      </c>
      <c r="NG144" s="614" t="e">
        <f>NF144*$C$79</f>
        <v>#VALUE!</v>
      </c>
      <c r="NH144" s="672" t="e">
        <f>NF144*$F$70</f>
        <v>#VALUE!</v>
      </c>
      <c r="NI144" s="600" t="e">
        <f t="shared" si="985"/>
        <v>#VALUE!</v>
      </c>
      <c r="NJ144" s="672" t="e">
        <f>NF144*$F$72</f>
        <v>#VALUE!</v>
      </c>
      <c r="NK144" s="676" t="e">
        <f>NF144*$F$71</f>
        <v>#VALUE!</v>
      </c>
      <c r="NL144" s="668"/>
      <c r="NM144" s="669"/>
      <c r="NN144" s="670"/>
      <c r="NO144" s="671"/>
      <c r="NP144" s="678"/>
      <c r="NQ144" s="663"/>
      <c r="NR144" s="651">
        <f t="shared" si="986"/>
        <v>0</v>
      </c>
      <c r="NS144" s="619" t="e">
        <f>((273.2+NL144)*$F$32/((273.2+$F$31)*NN144))</f>
        <v>#DIV/0!</v>
      </c>
      <c r="NT144" s="674" t="e">
        <f>NR144/NP144*NS144*EXP(-LN(2)/10990*($F$88-NQ144))</f>
        <v>#DIV/0!</v>
      </c>
      <c r="NU144" s="599" t="e">
        <f>NT144-AVERAGE(OB94:OB95)</f>
        <v>#DIV/0!</v>
      </c>
      <c r="NV144" s="599" t="e">
        <f>ABS($B$33*NU144*3600)</f>
        <v>#DIV/0!</v>
      </c>
      <c r="NW144" s="657" t="e">
        <f>ABS($B$34*NU144*3600)</f>
        <v>#DIV/0!</v>
      </c>
      <c r="NX144" s="614" t="e">
        <f>NW144*$C$79</f>
        <v>#DIV/0!</v>
      </c>
      <c r="NY144" s="672" t="e">
        <f>NW144*$F$70</f>
        <v>#DIV/0!</v>
      </c>
      <c r="NZ144" s="600" t="e">
        <f t="shared" si="987"/>
        <v>#DIV/0!</v>
      </c>
      <c r="OA144" s="672" t="e">
        <f>NW144*$F$72</f>
        <v>#DIV/0!</v>
      </c>
      <c r="OB144" s="676" t="e">
        <f>NW144*$F$71</f>
        <v>#DIV/0!</v>
      </c>
      <c r="OC144" s="668">
        <v>20.5</v>
      </c>
      <c r="OD144" s="669">
        <v>53</v>
      </c>
      <c r="OE144" s="680">
        <v>1007</v>
      </c>
      <c r="OF144" s="671">
        <v>-8.3230000000000006E-11</v>
      </c>
      <c r="OG144" s="673">
        <v>60</v>
      </c>
      <c r="OH144" s="663">
        <v>43403</v>
      </c>
      <c r="OI144" s="651" t="str">
        <f t="shared" si="988"/>
        <v>rango cal. out</v>
      </c>
      <c r="OJ144" s="619">
        <f>((273.2+OC144)*$F$32/((273.2+$F$31)*OE144))</f>
        <v>0</v>
      </c>
      <c r="OK144" s="674" t="e">
        <f>OI144/OG144*OJ144*EXP(-LN(2)/10990*($F$88-OH144))</f>
        <v>#VALUE!</v>
      </c>
      <c r="OL144" s="599" t="e">
        <f>OK144-AVERAGE(OS94:OS95)</f>
        <v>#VALUE!</v>
      </c>
      <c r="OM144" s="599" t="e">
        <f>ABS($B$33*OL144*3600)</f>
        <v>#VALUE!</v>
      </c>
      <c r="ON144" s="657" t="e">
        <f>ABS($B$34*OL144*3600)</f>
        <v>#VALUE!</v>
      </c>
      <c r="OO144" s="614" t="e">
        <f>ON144*$C$79</f>
        <v>#VALUE!</v>
      </c>
      <c r="OP144" s="672" t="e">
        <f>ON144*$F$70</f>
        <v>#VALUE!</v>
      </c>
      <c r="OQ144" s="600" t="e">
        <f t="shared" si="989"/>
        <v>#VALUE!</v>
      </c>
      <c r="OR144" s="672" t="e">
        <f>ON144*$F$72</f>
        <v>#VALUE!</v>
      </c>
      <c r="OS144" s="676" t="e">
        <f>ON144*$F$71</f>
        <v>#VALUE!</v>
      </c>
      <c r="OT144" s="668"/>
      <c r="OU144" s="669"/>
      <c r="OV144" s="670"/>
      <c r="OW144" s="671"/>
      <c r="OX144" s="678"/>
      <c r="OY144" s="663"/>
      <c r="OZ144" s="651">
        <f t="shared" si="990"/>
        <v>0</v>
      </c>
      <c r="PA144" s="619" t="e">
        <f>((273.2+OT144)*$F$32/((273.2+$F$31)*OV144))</f>
        <v>#DIV/0!</v>
      </c>
      <c r="PB144" s="674" t="e">
        <f>OZ144/OX144*PA144*EXP(-LN(2)/10990*($F$88-OY144))</f>
        <v>#DIV/0!</v>
      </c>
      <c r="PC144" s="599" t="e">
        <f>PB144-AVERAGE(PJ94:PJ95)</f>
        <v>#DIV/0!</v>
      </c>
      <c r="PD144" s="599" t="e">
        <f>ABS($B$33*PC144*3600)</f>
        <v>#DIV/0!</v>
      </c>
      <c r="PE144" s="657" t="e">
        <f>ABS($B$34*PC144*3600)</f>
        <v>#DIV/0!</v>
      </c>
      <c r="PF144" s="614" t="e">
        <f>PE144*$C$79</f>
        <v>#DIV/0!</v>
      </c>
      <c r="PG144" s="672" t="e">
        <f>PE144*$F$70</f>
        <v>#DIV/0!</v>
      </c>
      <c r="PH144" s="600" t="e">
        <f t="shared" si="991"/>
        <v>#DIV/0!</v>
      </c>
      <c r="PI144" s="672" t="e">
        <f>PE144*$F$72</f>
        <v>#DIV/0!</v>
      </c>
      <c r="PJ144" s="676" t="e">
        <f>PE144*$F$71</f>
        <v>#DIV/0!</v>
      </c>
      <c r="PK144" s="668"/>
      <c r="PL144" s="669"/>
      <c r="PM144" s="670"/>
      <c r="PN144" s="671"/>
      <c r="PO144" s="678"/>
      <c r="PP144" s="663"/>
      <c r="PQ144" s="651">
        <f t="shared" si="992"/>
        <v>0</v>
      </c>
      <c r="PR144" s="619" t="e">
        <f>((273.2+PK144)*$F$32/((273.2+$F$31)*PM144))</f>
        <v>#DIV/0!</v>
      </c>
      <c r="PS144" s="674" t="e">
        <f>PQ144/PO144*PR144*EXP(-LN(2)/10990*($F$88-PP144))</f>
        <v>#DIV/0!</v>
      </c>
      <c r="PT144" s="599" t="e">
        <f>PS144-AVERAGE(QA94:QA95)</f>
        <v>#DIV/0!</v>
      </c>
      <c r="PU144" s="599" t="e">
        <f>ABS($B$33*PT144*3600)</f>
        <v>#DIV/0!</v>
      </c>
      <c r="PV144" s="657" t="e">
        <f>ABS($B$34*PT144*3600)</f>
        <v>#DIV/0!</v>
      </c>
      <c r="PW144" s="614" t="e">
        <f>PV144*$C$79</f>
        <v>#DIV/0!</v>
      </c>
      <c r="PX144" s="672" t="e">
        <f>PV144*$F$70</f>
        <v>#DIV/0!</v>
      </c>
      <c r="PY144" s="600" t="e">
        <f t="shared" si="993"/>
        <v>#DIV/0!</v>
      </c>
      <c r="PZ144" s="672" t="e">
        <f>PV144*$F$72</f>
        <v>#DIV/0!</v>
      </c>
      <c r="QA144" s="676" t="e">
        <f>PV144*$F$71</f>
        <v>#DIV/0!</v>
      </c>
      <c r="QB144" s="668"/>
      <c r="QC144" s="669"/>
      <c r="QD144" s="680"/>
      <c r="QE144" s="671"/>
      <c r="QF144" s="673"/>
      <c r="QG144" s="663"/>
      <c r="QH144" s="651">
        <f t="shared" si="994"/>
        <v>0</v>
      </c>
      <c r="QI144" s="619" t="e">
        <f>((273.2+QB144)*$F$32/((273.2+$F$31)*QD144))</f>
        <v>#DIV/0!</v>
      </c>
      <c r="QJ144" s="674" t="e">
        <f>QH144/QF144*QI144*EXP(-LN(2)/10990*($F$88-QG144))</f>
        <v>#DIV/0!</v>
      </c>
      <c r="QK144" s="599" t="e">
        <f>QJ144-AVERAGE(QR94:QR95)</f>
        <v>#DIV/0!</v>
      </c>
      <c r="QL144" s="599" t="e">
        <f>ABS($B$33*QK144*3600)</f>
        <v>#DIV/0!</v>
      </c>
      <c r="QM144" s="657" t="e">
        <f>ABS($B$34*QK144*3600)</f>
        <v>#DIV/0!</v>
      </c>
      <c r="QN144" s="614" t="e">
        <f>QM144*$C$79</f>
        <v>#DIV/0!</v>
      </c>
      <c r="QO144" s="672" t="e">
        <f>QM144*$F$70</f>
        <v>#DIV/0!</v>
      </c>
      <c r="QP144" s="600" t="e">
        <f t="shared" si="995"/>
        <v>#DIV/0!</v>
      </c>
      <c r="QQ144" s="672" t="e">
        <f>QM144*$F$72</f>
        <v>#DIV/0!</v>
      </c>
      <c r="QR144" s="676" t="e">
        <f>QM144*$F$71</f>
        <v>#DIV/0!</v>
      </c>
      <c r="QS144" s="668"/>
      <c r="QT144" s="669"/>
      <c r="QU144" s="669"/>
      <c r="QV144" s="679"/>
      <c r="QW144" s="673"/>
      <c r="QX144" s="663"/>
      <c r="QY144" s="651">
        <f t="shared" si="996"/>
        <v>0</v>
      </c>
      <c r="QZ144" s="619" t="e">
        <f>((273.2+QS144)*$F$32/((273.2+$F$31)*QU144))</f>
        <v>#DIV/0!</v>
      </c>
      <c r="RA144" s="674" t="e">
        <f>QY144/QW144*QZ144*EXP(-LN(2)/10990*($F$88-QX144))</f>
        <v>#DIV/0!</v>
      </c>
      <c r="RB144" s="599" t="e">
        <f>RA144-AVERAGE(RI94:RI95)</f>
        <v>#DIV/0!</v>
      </c>
      <c r="RC144" s="599" t="e">
        <f>ABS($B$33*RB144*3600)</f>
        <v>#DIV/0!</v>
      </c>
      <c r="RD144" s="657" t="e">
        <f>ABS($B$34*RB144*3600)</f>
        <v>#DIV/0!</v>
      </c>
      <c r="RE144" s="614" t="e">
        <f>RD144*$C$79</f>
        <v>#DIV/0!</v>
      </c>
      <c r="RF144" s="672" t="e">
        <f>RD144*$F$70</f>
        <v>#DIV/0!</v>
      </c>
      <c r="RG144" s="600" t="e">
        <f t="shared" si="997"/>
        <v>#DIV/0!</v>
      </c>
      <c r="RH144" s="672" t="e">
        <f>RD144*$F$72</f>
        <v>#DIV/0!</v>
      </c>
      <c r="RI144" s="676" t="e">
        <f>RD144*$F$71</f>
        <v>#DIV/0!</v>
      </c>
      <c r="RJ144" s="668">
        <v>20.5</v>
      </c>
      <c r="RK144" s="669">
        <v>54</v>
      </c>
      <c r="RL144" s="680">
        <v>1007</v>
      </c>
      <c r="RM144" s="671">
        <v>-3.9700000000000002E-12</v>
      </c>
      <c r="RN144" s="673">
        <v>60</v>
      </c>
      <c r="RO144" s="663">
        <v>43403</v>
      </c>
      <c r="RP144" s="651" t="str">
        <f t="shared" si="998"/>
        <v>rango cal. out</v>
      </c>
      <c r="RQ144" s="619">
        <f>((273.2+RJ144)*$F$32/((273.2+$F$31)*RL144))</f>
        <v>0</v>
      </c>
      <c r="RR144" s="674" t="e">
        <f>RP144/RN144*RQ144*EXP(-LN(2)/10990*($F$88-RO144))</f>
        <v>#VALUE!</v>
      </c>
      <c r="RS144" s="599" t="e">
        <f>RR144-AVERAGE(RZ94:RZ95)</f>
        <v>#VALUE!</v>
      </c>
      <c r="RT144" s="599" t="e">
        <f>ABS($B$33*RS144*3600)</f>
        <v>#VALUE!</v>
      </c>
      <c r="RU144" s="657" t="e">
        <f>ABS($B$34*RS144*3600)</f>
        <v>#VALUE!</v>
      </c>
      <c r="RV144" s="614" t="e">
        <f>RU144*$C$79</f>
        <v>#VALUE!</v>
      </c>
      <c r="RW144" s="672" t="e">
        <f>RU144*$F$70</f>
        <v>#VALUE!</v>
      </c>
      <c r="RX144" s="600" t="e">
        <f t="shared" si="999"/>
        <v>#VALUE!</v>
      </c>
      <c r="RY144" s="672" t="e">
        <f>RU144*$F$72</f>
        <v>#VALUE!</v>
      </c>
      <c r="RZ144" s="676" t="e">
        <f>RU144*$F$71</f>
        <v>#VALUE!</v>
      </c>
      <c r="SA144" s="668">
        <v>20.5</v>
      </c>
      <c r="SB144" s="669">
        <v>55</v>
      </c>
      <c r="SC144" s="680">
        <v>1008</v>
      </c>
      <c r="SD144" s="671">
        <v>-2.0669999999999999E-10</v>
      </c>
      <c r="SE144" s="673">
        <v>60</v>
      </c>
      <c r="SF144" s="663">
        <v>43403</v>
      </c>
      <c r="SG144" s="651" t="str">
        <f t="shared" si="1000"/>
        <v>rango cal. out</v>
      </c>
      <c r="SH144" s="619">
        <f>((273.2+SA144)*$F$32/((273.2+$F$31)*SC144))</f>
        <v>0</v>
      </c>
      <c r="SI144" s="674" t="e">
        <f>SG144/SE144*SH144*EXP(-LN(2)/10990*($F$88-SF144))</f>
        <v>#VALUE!</v>
      </c>
      <c r="SJ144" s="599" t="e">
        <f>SI144-AVERAGE(SQ94:SQ95)</f>
        <v>#VALUE!</v>
      </c>
      <c r="SK144" s="599" t="e">
        <f>ABS($B$33*SJ144*3600)</f>
        <v>#VALUE!</v>
      </c>
      <c r="SL144" s="657" t="e">
        <f>ABS($B$34*SJ144*3600)</f>
        <v>#VALUE!</v>
      </c>
      <c r="SM144" s="614" t="e">
        <f>SL144*$C$79</f>
        <v>#VALUE!</v>
      </c>
      <c r="SN144" s="672" t="e">
        <f>SL144*$F$70</f>
        <v>#VALUE!</v>
      </c>
      <c r="SO144" s="600" t="e">
        <f t="shared" si="1001"/>
        <v>#VALUE!</v>
      </c>
      <c r="SP144" s="672" t="e">
        <f>SL144*$F$72</f>
        <v>#VALUE!</v>
      </c>
      <c r="SQ144" s="676" t="e">
        <f>SL144*$F$71</f>
        <v>#VALUE!</v>
      </c>
      <c r="SR144" s="668"/>
      <c r="SS144" s="669"/>
      <c r="ST144" s="670"/>
      <c r="SU144" s="671"/>
      <c r="SV144" s="678"/>
      <c r="SW144" s="663"/>
      <c r="SX144" s="651">
        <f t="shared" si="1002"/>
        <v>0</v>
      </c>
      <c r="SY144" s="619" t="e">
        <f>((273.2+SR144)*$F$32/((273.2+$F$31)*ST144))</f>
        <v>#DIV/0!</v>
      </c>
      <c r="SZ144" s="674" t="e">
        <f>SX144/SV144*SY144*EXP(-LN(2)/10990*($F$88-SW144))</f>
        <v>#DIV/0!</v>
      </c>
      <c r="TA144" s="599" t="e">
        <f>SZ144-AVERAGE(TH94:TH95)</f>
        <v>#DIV/0!</v>
      </c>
      <c r="TB144" s="599" t="e">
        <f>ABS($B$33*TA144*3600)</f>
        <v>#DIV/0!</v>
      </c>
      <c r="TC144" s="657" t="e">
        <f>ABS($B$34*TA144*3600)</f>
        <v>#DIV/0!</v>
      </c>
      <c r="TD144" s="614" t="e">
        <f>TC144*$C$79</f>
        <v>#DIV/0!</v>
      </c>
      <c r="TE144" s="672" t="e">
        <f>TC144*$F$70</f>
        <v>#DIV/0!</v>
      </c>
      <c r="TF144" s="600" t="e">
        <f t="shared" si="1003"/>
        <v>#DIV/0!</v>
      </c>
      <c r="TG144" s="672" t="e">
        <f>TC144*$F$72</f>
        <v>#DIV/0!</v>
      </c>
      <c r="TH144" s="676" t="e">
        <f>TC144*$F$71</f>
        <v>#DIV/0!</v>
      </c>
      <c r="TI144" s="668">
        <v>20.3</v>
      </c>
      <c r="TJ144" s="669">
        <v>55</v>
      </c>
      <c r="TK144" s="680">
        <v>1008</v>
      </c>
      <c r="TL144" s="671">
        <v>-8.5899999999999995E-12</v>
      </c>
      <c r="TM144" s="673">
        <v>60</v>
      </c>
      <c r="TN144" s="663">
        <v>43403</v>
      </c>
      <c r="TO144" s="651" t="str">
        <f t="shared" si="1004"/>
        <v>rango cal. out</v>
      </c>
      <c r="TP144" s="619">
        <f>((273.2+TI144)*$F$32/((273.2+$F$31)*TK144))</f>
        <v>0</v>
      </c>
      <c r="TQ144" s="674" t="e">
        <f>TO144/TM144*TP144*EXP(-LN(2)/10990*($F$88-TN144))</f>
        <v>#VALUE!</v>
      </c>
      <c r="TR144" s="599" t="e">
        <f>TQ144-AVERAGE(TY94:TY95)</f>
        <v>#VALUE!</v>
      </c>
      <c r="TS144" s="599" t="e">
        <f>ABS($B$33*TR144*3600)</f>
        <v>#VALUE!</v>
      </c>
      <c r="TT144" s="657" t="e">
        <f>ABS($B$34*TR144*3600)</f>
        <v>#VALUE!</v>
      </c>
      <c r="TU144" s="614" t="e">
        <f>TT144*$C$79</f>
        <v>#VALUE!</v>
      </c>
      <c r="TV144" s="672" t="e">
        <f>TT144*$F$70</f>
        <v>#VALUE!</v>
      </c>
      <c r="TW144" s="600" t="e">
        <f t="shared" si="1005"/>
        <v>#VALUE!</v>
      </c>
      <c r="TX144" s="672" t="e">
        <f>TT144*$F$72</f>
        <v>#VALUE!</v>
      </c>
      <c r="TY144" s="676" t="e">
        <f>TT144*$F$71</f>
        <v>#VALUE!</v>
      </c>
    </row>
    <row r="145" spans="1:545" x14ac:dyDescent="0.25">
      <c r="A145" s="681" t="s">
        <v>61</v>
      </c>
      <c r="B145" s="709"/>
      <c r="C145" s="710"/>
      <c r="D145" s="710"/>
      <c r="E145" s="672"/>
      <c r="F145" s="689"/>
      <c r="G145" s="685"/>
      <c r="H145" s="599"/>
      <c r="I145" s="619"/>
      <c r="J145" s="675"/>
      <c r="K145" s="672"/>
      <c r="L145" s="687"/>
      <c r="M145" s="686"/>
      <c r="N145" s="687"/>
      <c r="O145" s="687"/>
      <c r="P145" s="687"/>
      <c r="Q145" s="687"/>
      <c r="R145" s="690"/>
      <c r="S145" s="691" t="e">
        <f t="shared" ref="S145:W145" si="1006">AVERAGE(S140:S144)</f>
        <v>#DIV/0!</v>
      </c>
      <c r="T145" s="683" t="e">
        <f t="shared" si="1006"/>
        <v>#DIV/0!</v>
      </c>
      <c r="U145" s="684" t="e">
        <f t="shared" si="1006"/>
        <v>#DIV/0!</v>
      </c>
      <c r="V145" s="599" t="e">
        <f t="shared" si="1006"/>
        <v>#DIV/0!</v>
      </c>
      <c r="W145" s="685" t="e">
        <f t="shared" si="1006"/>
        <v>#DIV/0!</v>
      </c>
      <c r="X145" s="685" t="s">
        <v>93</v>
      </c>
      <c r="Y145" s="599">
        <f t="shared" ref="Y145:AN145" si="1007">AVERAGE(Y140:Y144)</f>
        <v>0</v>
      </c>
      <c r="Z145" s="619" t="e">
        <f t="shared" si="1007"/>
        <v>#DIV/0!</v>
      </c>
      <c r="AA145" s="675" t="e">
        <f t="shared" si="1007"/>
        <v>#DIV/0!</v>
      </c>
      <c r="AB145" s="672" t="e">
        <f t="shared" si="1007"/>
        <v>#DIV/0!</v>
      </c>
      <c r="AC145" s="687" t="e">
        <f t="shared" si="1007"/>
        <v>#DIV/0!</v>
      </c>
      <c r="AD145" s="686" t="e">
        <f t="shared" si="1007"/>
        <v>#DIV/0!</v>
      </c>
      <c r="AE145" s="687" t="e">
        <f t="shared" si="1007"/>
        <v>#DIV/0!</v>
      </c>
      <c r="AF145" s="687" t="e">
        <f t="shared" si="1007"/>
        <v>#DIV/0!</v>
      </c>
      <c r="AG145" s="687" t="e">
        <f t="shared" si="1007"/>
        <v>#DIV/0!</v>
      </c>
      <c r="AH145" s="687" t="e">
        <f t="shared" si="1007"/>
        <v>#DIV/0!</v>
      </c>
      <c r="AI145" s="690" t="e">
        <f t="shared" si="1007"/>
        <v>#DIV/0!</v>
      </c>
      <c r="AJ145" s="691" t="e">
        <f t="shared" si="1007"/>
        <v>#DIV/0!</v>
      </c>
      <c r="AK145" s="683" t="e">
        <f t="shared" si="1007"/>
        <v>#DIV/0!</v>
      </c>
      <c r="AL145" s="684" t="e">
        <f t="shared" si="1007"/>
        <v>#DIV/0!</v>
      </c>
      <c r="AM145" s="599" t="e">
        <f t="shared" si="1007"/>
        <v>#DIV/0!</v>
      </c>
      <c r="AN145" s="685" t="e">
        <f t="shared" si="1007"/>
        <v>#DIV/0!</v>
      </c>
      <c r="AO145" s="685" t="s">
        <v>93</v>
      </c>
      <c r="AP145" s="599">
        <f t="shared" ref="AP145:BE145" si="1008">AVERAGE(AP140:AP144)</f>
        <v>0</v>
      </c>
      <c r="AQ145" s="619" t="e">
        <f t="shared" si="1008"/>
        <v>#DIV/0!</v>
      </c>
      <c r="AR145" s="675" t="e">
        <f t="shared" si="1008"/>
        <v>#DIV/0!</v>
      </c>
      <c r="AS145" s="672" t="e">
        <f t="shared" si="1008"/>
        <v>#DIV/0!</v>
      </c>
      <c r="AT145" s="687" t="e">
        <f t="shared" si="1008"/>
        <v>#DIV/0!</v>
      </c>
      <c r="AU145" s="686" t="e">
        <f t="shared" si="1008"/>
        <v>#DIV/0!</v>
      </c>
      <c r="AV145" s="687" t="e">
        <f t="shared" si="1008"/>
        <v>#DIV/0!</v>
      </c>
      <c r="AW145" s="687" t="e">
        <f t="shared" si="1008"/>
        <v>#DIV/0!</v>
      </c>
      <c r="AX145" s="687" t="e">
        <f t="shared" si="1008"/>
        <v>#DIV/0!</v>
      </c>
      <c r="AY145" s="687" t="e">
        <f t="shared" si="1008"/>
        <v>#DIV/0!</v>
      </c>
      <c r="AZ145" s="690" t="e">
        <f t="shared" si="1008"/>
        <v>#DIV/0!</v>
      </c>
      <c r="BA145" s="692">
        <f t="shared" si="1008"/>
        <v>20.6</v>
      </c>
      <c r="BB145" s="711">
        <f t="shared" si="1008"/>
        <v>52.8</v>
      </c>
      <c r="BC145" s="693">
        <f t="shared" si="1008"/>
        <v>1009</v>
      </c>
      <c r="BD145" s="599">
        <f t="shared" si="1008"/>
        <v>-5.3794000000000001E-10</v>
      </c>
      <c r="BE145" s="694">
        <f t="shared" si="1008"/>
        <v>60</v>
      </c>
      <c r="BF145" s="685" t="s">
        <v>93</v>
      </c>
      <c r="BG145" s="599" t="e">
        <f t="shared" ref="BG145:BV145" si="1009">AVERAGE(BG140:BG144)</f>
        <v>#DIV/0!</v>
      </c>
      <c r="BH145" s="619">
        <f t="shared" si="1009"/>
        <v>0</v>
      </c>
      <c r="BI145" s="675" t="e">
        <f t="shared" si="1009"/>
        <v>#VALUE!</v>
      </c>
      <c r="BJ145" s="672" t="e">
        <f t="shared" si="1009"/>
        <v>#VALUE!</v>
      </c>
      <c r="BK145" s="687" t="e">
        <f t="shared" si="1009"/>
        <v>#VALUE!</v>
      </c>
      <c r="BL145" s="686" t="e">
        <f t="shared" si="1009"/>
        <v>#VALUE!</v>
      </c>
      <c r="BM145" s="687" t="e">
        <f t="shared" si="1009"/>
        <v>#VALUE!</v>
      </c>
      <c r="BN145" s="687" t="e">
        <f t="shared" si="1009"/>
        <v>#VALUE!</v>
      </c>
      <c r="BO145" s="687" t="e">
        <f t="shared" si="1009"/>
        <v>#VALUE!</v>
      </c>
      <c r="BP145" s="687" t="e">
        <f t="shared" si="1009"/>
        <v>#VALUE!</v>
      </c>
      <c r="BQ145" s="690" t="e">
        <f t="shared" si="1009"/>
        <v>#VALUE!</v>
      </c>
      <c r="BR145" s="692">
        <f t="shared" si="1009"/>
        <v>20.580000000000002</v>
      </c>
      <c r="BS145" s="711">
        <f t="shared" si="1009"/>
        <v>50.6</v>
      </c>
      <c r="BT145" s="693">
        <f t="shared" si="1009"/>
        <v>1008</v>
      </c>
      <c r="BU145" s="599">
        <f t="shared" si="1009"/>
        <v>-2.1852000000000002E-11</v>
      </c>
      <c r="BV145" s="694">
        <f t="shared" si="1009"/>
        <v>60</v>
      </c>
      <c r="BW145" s="685" t="s">
        <v>93</v>
      </c>
      <c r="BX145" s="599" t="e">
        <f t="shared" ref="BX145:CM145" si="1010">AVERAGE(BX140:BX144)</f>
        <v>#DIV/0!</v>
      </c>
      <c r="BY145" s="619">
        <f t="shared" si="1010"/>
        <v>0</v>
      </c>
      <c r="BZ145" s="675" t="e">
        <f t="shared" si="1010"/>
        <v>#VALUE!</v>
      </c>
      <c r="CA145" s="672" t="e">
        <f t="shared" si="1010"/>
        <v>#VALUE!</v>
      </c>
      <c r="CB145" s="687" t="e">
        <f t="shared" si="1010"/>
        <v>#VALUE!</v>
      </c>
      <c r="CC145" s="686" t="e">
        <f t="shared" si="1010"/>
        <v>#VALUE!</v>
      </c>
      <c r="CD145" s="687" t="e">
        <f t="shared" si="1010"/>
        <v>#VALUE!</v>
      </c>
      <c r="CE145" s="687" t="e">
        <f t="shared" si="1010"/>
        <v>#VALUE!</v>
      </c>
      <c r="CF145" s="687" t="e">
        <f t="shared" si="1010"/>
        <v>#VALUE!</v>
      </c>
      <c r="CG145" s="687" t="e">
        <f t="shared" si="1010"/>
        <v>#VALUE!</v>
      </c>
      <c r="CH145" s="690" t="e">
        <f t="shared" si="1010"/>
        <v>#VALUE!</v>
      </c>
      <c r="CI145" s="692">
        <f t="shared" si="1010"/>
        <v>20.46</v>
      </c>
      <c r="CJ145" s="711">
        <f t="shared" si="1010"/>
        <v>51.4</v>
      </c>
      <c r="CK145" s="693">
        <f t="shared" si="1010"/>
        <v>1007</v>
      </c>
      <c r="CL145" s="599">
        <f t="shared" si="1010"/>
        <v>-1.2556000000000001E-9</v>
      </c>
      <c r="CM145" s="694">
        <f t="shared" si="1010"/>
        <v>60</v>
      </c>
      <c r="CN145" s="685" t="s">
        <v>93</v>
      </c>
      <c r="CO145" s="599" t="e">
        <f t="shared" ref="CO145:DD145" si="1011">AVERAGE(CO140:CO144)</f>
        <v>#DIV/0!</v>
      </c>
      <c r="CP145" s="619">
        <f t="shared" si="1011"/>
        <v>0</v>
      </c>
      <c r="CQ145" s="675" t="e">
        <f t="shared" si="1011"/>
        <v>#VALUE!</v>
      </c>
      <c r="CR145" s="672" t="e">
        <f t="shared" si="1011"/>
        <v>#VALUE!</v>
      </c>
      <c r="CS145" s="687" t="e">
        <f t="shared" si="1011"/>
        <v>#VALUE!</v>
      </c>
      <c r="CT145" s="686" t="e">
        <f t="shared" si="1011"/>
        <v>#VALUE!</v>
      </c>
      <c r="CU145" s="687" t="e">
        <f t="shared" si="1011"/>
        <v>#VALUE!</v>
      </c>
      <c r="CV145" s="687" t="e">
        <f t="shared" si="1011"/>
        <v>#VALUE!</v>
      </c>
      <c r="CW145" s="687" t="e">
        <f t="shared" si="1011"/>
        <v>#VALUE!</v>
      </c>
      <c r="CX145" s="687" t="e">
        <f t="shared" si="1011"/>
        <v>#VALUE!</v>
      </c>
      <c r="CY145" s="690" t="e">
        <f t="shared" si="1011"/>
        <v>#VALUE!</v>
      </c>
      <c r="CZ145" s="682" t="e">
        <f t="shared" si="1011"/>
        <v>#DIV/0!</v>
      </c>
      <c r="DA145" s="683" t="e">
        <f t="shared" si="1011"/>
        <v>#DIV/0!</v>
      </c>
      <c r="DB145" s="684" t="e">
        <f t="shared" si="1011"/>
        <v>#DIV/0!</v>
      </c>
      <c r="DC145" s="599" t="e">
        <f t="shared" si="1011"/>
        <v>#DIV/0!</v>
      </c>
      <c r="DD145" s="685" t="e">
        <f t="shared" si="1011"/>
        <v>#DIV/0!</v>
      </c>
      <c r="DE145" s="685" t="s">
        <v>93</v>
      </c>
      <c r="DF145" s="599">
        <f t="shared" ref="DF145:DU145" si="1012">AVERAGE(DF140:DF144)</f>
        <v>0</v>
      </c>
      <c r="DG145" s="619" t="e">
        <f t="shared" si="1012"/>
        <v>#DIV/0!</v>
      </c>
      <c r="DH145" s="675" t="e">
        <f t="shared" si="1012"/>
        <v>#DIV/0!</v>
      </c>
      <c r="DI145" s="672" t="e">
        <f t="shared" si="1012"/>
        <v>#DIV/0!</v>
      </c>
      <c r="DJ145" s="687" t="e">
        <f t="shared" si="1012"/>
        <v>#DIV/0!</v>
      </c>
      <c r="DK145" s="686" t="e">
        <f t="shared" si="1012"/>
        <v>#DIV/0!</v>
      </c>
      <c r="DL145" s="687" t="e">
        <f t="shared" si="1012"/>
        <v>#DIV/0!</v>
      </c>
      <c r="DM145" s="687" t="e">
        <f t="shared" si="1012"/>
        <v>#DIV/0!</v>
      </c>
      <c r="DN145" s="687" t="e">
        <f t="shared" si="1012"/>
        <v>#DIV/0!</v>
      </c>
      <c r="DO145" s="687" t="e">
        <f t="shared" si="1012"/>
        <v>#DIV/0!</v>
      </c>
      <c r="DP145" s="690" t="e">
        <f t="shared" si="1012"/>
        <v>#DIV/0!</v>
      </c>
      <c r="DQ145" s="682" t="e">
        <f t="shared" si="1012"/>
        <v>#DIV/0!</v>
      </c>
      <c r="DR145" s="683" t="e">
        <f t="shared" si="1012"/>
        <v>#DIV/0!</v>
      </c>
      <c r="DS145" s="684" t="e">
        <f t="shared" si="1012"/>
        <v>#DIV/0!</v>
      </c>
      <c r="DT145" s="653" t="e">
        <f t="shared" si="1012"/>
        <v>#DIV/0!</v>
      </c>
      <c r="DU145" s="685" t="e">
        <f t="shared" si="1012"/>
        <v>#DIV/0!</v>
      </c>
      <c r="DV145" s="685" t="s">
        <v>93</v>
      </c>
      <c r="DW145" s="599">
        <f t="shared" ref="DW145:EL145" si="1013">AVERAGE(DW140:DW144)</f>
        <v>0</v>
      </c>
      <c r="DX145" s="619" t="e">
        <f t="shared" si="1013"/>
        <v>#DIV/0!</v>
      </c>
      <c r="DY145" s="675" t="e">
        <f t="shared" si="1013"/>
        <v>#DIV/0!</v>
      </c>
      <c r="DZ145" s="672" t="e">
        <f t="shared" si="1013"/>
        <v>#DIV/0!</v>
      </c>
      <c r="EA145" s="687" t="e">
        <f t="shared" si="1013"/>
        <v>#DIV/0!</v>
      </c>
      <c r="EB145" s="686" t="e">
        <f t="shared" si="1013"/>
        <v>#DIV/0!</v>
      </c>
      <c r="EC145" s="687" t="e">
        <f t="shared" si="1013"/>
        <v>#DIV/0!</v>
      </c>
      <c r="ED145" s="687" t="e">
        <f t="shared" si="1013"/>
        <v>#DIV/0!</v>
      </c>
      <c r="EE145" s="687" t="e">
        <f t="shared" si="1013"/>
        <v>#DIV/0!</v>
      </c>
      <c r="EF145" s="687" t="e">
        <f t="shared" si="1013"/>
        <v>#DIV/0!</v>
      </c>
      <c r="EG145" s="690" t="e">
        <f t="shared" si="1013"/>
        <v>#DIV/0!</v>
      </c>
      <c r="EH145" s="692">
        <f t="shared" si="1013"/>
        <v>20.5</v>
      </c>
      <c r="EI145" s="683">
        <f t="shared" si="1013"/>
        <v>52.4</v>
      </c>
      <c r="EJ145" s="693">
        <f t="shared" si="1013"/>
        <v>1007</v>
      </c>
      <c r="EK145" s="599">
        <f t="shared" si="1013"/>
        <v>-1.5719999999999998E-12</v>
      </c>
      <c r="EL145" s="694">
        <f t="shared" si="1013"/>
        <v>60</v>
      </c>
      <c r="EM145" s="685" t="s">
        <v>93</v>
      </c>
      <c r="EN145" s="599" t="e">
        <f t="shared" ref="EN145:FC145" si="1014">AVERAGE(EN140:EN144)</f>
        <v>#DIV/0!</v>
      </c>
      <c r="EO145" s="619">
        <f t="shared" si="1014"/>
        <v>0</v>
      </c>
      <c r="EP145" s="675" t="e">
        <f t="shared" si="1014"/>
        <v>#VALUE!</v>
      </c>
      <c r="EQ145" s="672" t="e">
        <f t="shared" si="1014"/>
        <v>#VALUE!</v>
      </c>
      <c r="ER145" s="687" t="e">
        <f t="shared" si="1014"/>
        <v>#VALUE!</v>
      </c>
      <c r="ES145" s="686" t="e">
        <f t="shared" si="1014"/>
        <v>#VALUE!</v>
      </c>
      <c r="ET145" s="687" t="e">
        <f t="shared" si="1014"/>
        <v>#VALUE!</v>
      </c>
      <c r="EU145" s="687" t="e">
        <f t="shared" si="1014"/>
        <v>#VALUE!</v>
      </c>
      <c r="EV145" s="687" t="e">
        <f t="shared" si="1014"/>
        <v>#VALUE!</v>
      </c>
      <c r="EW145" s="687" t="e">
        <f t="shared" si="1014"/>
        <v>#VALUE!</v>
      </c>
      <c r="EX145" s="690" t="e">
        <f t="shared" si="1014"/>
        <v>#VALUE!</v>
      </c>
      <c r="EY145" s="682" t="e">
        <f t="shared" si="1014"/>
        <v>#DIV/0!</v>
      </c>
      <c r="EZ145" s="683" t="e">
        <f t="shared" si="1014"/>
        <v>#DIV/0!</v>
      </c>
      <c r="FA145" s="684" t="e">
        <f t="shared" si="1014"/>
        <v>#DIV/0!</v>
      </c>
      <c r="FB145" s="599" t="e">
        <f t="shared" si="1014"/>
        <v>#DIV/0!</v>
      </c>
      <c r="FC145" s="685" t="e">
        <f t="shared" si="1014"/>
        <v>#DIV/0!</v>
      </c>
      <c r="FD145" s="685" t="s">
        <v>93</v>
      </c>
      <c r="FE145" s="599">
        <f t="shared" ref="FE145:FT145" si="1015">AVERAGE(FE140:FE144)</f>
        <v>0</v>
      </c>
      <c r="FF145" s="619" t="e">
        <f t="shared" si="1015"/>
        <v>#DIV/0!</v>
      </c>
      <c r="FG145" s="675" t="e">
        <f t="shared" si="1015"/>
        <v>#DIV/0!</v>
      </c>
      <c r="FH145" s="672" t="e">
        <f t="shared" si="1015"/>
        <v>#DIV/0!</v>
      </c>
      <c r="FI145" s="687" t="e">
        <f t="shared" si="1015"/>
        <v>#DIV/0!</v>
      </c>
      <c r="FJ145" s="686" t="e">
        <f t="shared" si="1015"/>
        <v>#DIV/0!</v>
      </c>
      <c r="FK145" s="687" t="e">
        <f t="shared" si="1015"/>
        <v>#DIV/0!</v>
      </c>
      <c r="FL145" s="687" t="e">
        <f t="shared" si="1015"/>
        <v>#DIV/0!</v>
      </c>
      <c r="FM145" s="687" t="e">
        <f t="shared" si="1015"/>
        <v>#DIV/0!</v>
      </c>
      <c r="FN145" s="687" t="e">
        <f t="shared" si="1015"/>
        <v>#DIV/0!</v>
      </c>
      <c r="FO145" s="690" t="e">
        <f t="shared" si="1015"/>
        <v>#DIV/0!</v>
      </c>
      <c r="FP145" s="682" t="e">
        <f t="shared" si="1015"/>
        <v>#DIV/0!</v>
      </c>
      <c r="FQ145" s="683" t="e">
        <f t="shared" si="1015"/>
        <v>#DIV/0!</v>
      </c>
      <c r="FR145" s="684" t="e">
        <f t="shared" si="1015"/>
        <v>#DIV/0!</v>
      </c>
      <c r="FS145" s="599" t="e">
        <f t="shared" si="1015"/>
        <v>#DIV/0!</v>
      </c>
      <c r="FT145" s="685" t="e">
        <f t="shared" si="1015"/>
        <v>#DIV/0!</v>
      </c>
      <c r="FU145" s="685" t="s">
        <v>93</v>
      </c>
      <c r="FV145" s="599">
        <f t="shared" ref="FV145:GK145" si="1016">AVERAGE(FV140:FV144)</f>
        <v>0</v>
      </c>
      <c r="FW145" s="619" t="e">
        <f t="shared" si="1016"/>
        <v>#DIV/0!</v>
      </c>
      <c r="FX145" s="675" t="e">
        <f t="shared" si="1016"/>
        <v>#DIV/0!</v>
      </c>
      <c r="FY145" s="672" t="e">
        <f t="shared" si="1016"/>
        <v>#DIV/0!</v>
      </c>
      <c r="FZ145" s="687" t="e">
        <f t="shared" si="1016"/>
        <v>#DIV/0!</v>
      </c>
      <c r="GA145" s="686" t="e">
        <f t="shared" si="1016"/>
        <v>#DIV/0!</v>
      </c>
      <c r="GB145" s="687" t="e">
        <f t="shared" si="1016"/>
        <v>#DIV/0!</v>
      </c>
      <c r="GC145" s="687" t="e">
        <f t="shared" si="1016"/>
        <v>#DIV/0!</v>
      </c>
      <c r="GD145" s="687" t="e">
        <f t="shared" si="1016"/>
        <v>#DIV/0!</v>
      </c>
      <c r="GE145" s="687" t="e">
        <f t="shared" si="1016"/>
        <v>#DIV/0!</v>
      </c>
      <c r="GF145" s="690" t="e">
        <f t="shared" si="1016"/>
        <v>#DIV/0!</v>
      </c>
      <c r="GG145" s="682" t="e">
        <f t="shared" si="1016"/>
        <v>#DIV/0!</v>
      </c>
      <c r="GH145" s="683" t="e">
        <f t="shared" si="1016"/>
        <v>#DIV/0!</v>
      </c>
      <c r="GI145" s="684" t="e">
        <f t="shared" si="1016"/>
        <v>#DIV/0!</v>
      </c>
      <c r="GJ145" s="653" t="e">
        <f t="shared" si="1016"/>
        <v>#DIV/0!</v>
      </c>
      <c r="GK145" s="685" t="e">
        <f t="shared" si="1016"/>
        <v>#DIV/0!</v>
      </c>
      <c r="GL145" s="685" t="s">
        <v>93</v>
      </c>
      <c r="GM145" s="599">
        <f t="shared" ref="GM145:HB145" si="1017">AVERAGE(GM140:GM144)</f>
        <v>0</v>
      </c>
      <c r="GN145" s="619" t="e">
        <f t="shared" si="1017"/>
        <v>#DIV/0!</v>
      </c>
      <c r="GO145" s="675" t="e">
        <f t="shared" si="1017"/>
        <v>#DIV/0!</v>
      </c>
      <c r="GP145" s="672" t="e">
        <f t="shared" si="1017"/>
        <v>#DIV/0!</v>
      </c>
      <c r="GQ145" s="687" t="e">
        <f t="shared" si="1017"/>
        <v>#DIV/0!</v>
      </c>
      <c r="GR145" s="686" t="e">
        <f t="shared" si="1017"/>
        <v>#DIV/0!</v>
      </c>
      <c r="GS145" s="687" t="e">
        <f t="shared" si="1017"/>
        <v>#DIV/0!</v>
      </c>
      <c r="GT145" s="687" t="e">
        <f t="shared" si="1017"/>
        <v>#DIV/0!</v>
      </c>
      <c r="GU145" s="687" t="e">
        <f t="shared" si="1017"/>
        <v>#DIV/0!</v>
      </c>
      <c r="GV145" s="687" t="e">
        <f t="shared" si="1017"/>
        <v>#DIV/0!</v>
      </c>
      <c r="GW145" s="690" t="e">
        <f t="shared" si="1017"/>
        <v>#DIV/0!</v>
      </c>
      <c r="GX145" s="682" t="e">
        <f t="shared" si="1017"/>
        <v>#DIV/0!</v>
      </c>
      <c r="GY145" s="683" t="e">
        <f t="shared" si="1017"/>
        <v>#DIV/0!</v>
      </c>
      <c r="GZ145" s="684" t="e">
        <f t="shared" si="1017"/>
        <v>#DIV/0!</v>
      </c>
      <c r="HA145" s="599" t="e">
        <f t="shared" si="1017"/>
        <v>#DIV/0!</v>
      </c>
      <c r="HB145" s="685" t="e">
        <f t="shared" si="1017"/>
        <v>#DIV/0!</v>
      </c>
      <c r="HC145" s="685" t="s">
        <v>93</v>
      </c>
      <c r="HD145" s="599">
        <f t="shared" ref="HD145:HS145" si="1018">AVERAGE(HD140:HD144)</f>
        <v>0</v>
      </c>
      <c r="HE145" s="619" t="e">
        <f t="shared" si="1018"/>
        <v>#DIV/0!</v>
      </c>
      <c r="HF145" s="675" t="e">
        <f t="shared" si="1018"/>
        <v>#DIV/0!</v>
      </c>
      <c r="HG145" s="672" t="e">
        <f t="shared" si="1018"/>
        <v>#DIV/0!</v>
      </c>
      <c r="HH145" s="687" t="e">
        <f t="shared" si="1018"/>
        <v>#DIV/0!</v>
      </c>
      <c r="HI145" s="686" t="e">
        <f t="shared" si="1018"/>
        <v>#DIV/0!</v>
      </c>
      <c r="HJ145" s="687" t="e">
        <f t="shared" si="1018"/>
        <v>#DIV/0!</v>
      </c>
      <c r="HK145" s="687" t="e">
        <f t="shared" si="1018"/>
        <v>#DIV/0!</v>
      </c>
      <c r="HL145" s="687" t="e">
        <f t="shared" si="1018"/>
        <v>#DIV/0!</v>
      </c>
      <c r="HM145" s="687" t="e">
        <f t="shared" si="1018"/>
        <v>#DIV/0!</v>
      </c>
      <c r="HN145" s="690" t="e">
        <f t="shared" si="1018"/>
        <v>#DIV/0!</v>
      </c>
      <c r="HO145" s="682" t="e">
        <f t="shared" si="1018"/>
        <v>#DIV/0!</v>
      </c>
      <c r="HP145" s="683" t="e">
        <f t="shared" si="1018"/>
        <v>#DIV/0!</v>
      </c>
      <c r="HQ145" s="684" t="e">
        <f t="shared" si="1018"/>
        <v>#DIV/0!</v>
      </c>
      <c r="HR145" s="599" t="e">
        <f t="shared" si="1018"/>
        <v>#DIV/0!</v>
      </c>
      <c r="HS145" s="685" t="e">
        <f t="shared" si="1018"/>
        <v>#DIV/0!</v>
      </c>
      <c r="HT145" s="685" t="s">
        <v>93</v>
      </c>
      <c r="HU145" s="599">
        <f t="shared" ref="HU145:IJ145" si="1019">AVERAGE(HU140:HU144)</f>
        <v>0</v>
      </c>
      <c r="HV145" s="619" t="e">
        <f t="shared" si="1019"/>
        <v>#DIV/0!</v>
      </c>
      <c r="HW145" s="675" t="e">
        <f t="shared" si="1019"/>
        <v>#DIV/0!</v>
      </c>
      <c r="HX145" s="672" t="e">
        <f t="shared" si="1019"/>
        <v>#DIV/0!</v>
      </c>
      <c r="HY145" s="687" t="e">
        <f t="shared" si="1019"/>
        <v>#DIV/0!</v>
      </c>
      <c r="HZ145" s="686" t="e">
        <f t="shared" si="1019"/>
        <v>#DIV/0!</v>
      </c>
      <c r="IA145" s="687" t="e">
        <f t="shared" si="1019"/>
        <v>#DIV/0!</v>
      </c>
      <c r="IB145" s="687" t="e">
        <f t="shared" si="1019"/>
        <v>#DIV/0!</v>
      </c>
      <c r="IC145" s="687" t="e">
        <f t="shared" si="1019"/>
        <v>#DIV/0!</v>
      </c>
      <c r="ID145" s="687" t="e">
        <f t="shared" si="1019"/>
        <v>#DIV/0!</v>
      </c>
      <c r="IE145" s="690" t="e">
        <f t="shared" si="1019"/>
        <v>#DIV/0!</v>
      </c>
      <c r="IF145" s="682" t="e">
        <f t="shared" si="1019"/>
        <v>#DIV/0!</v>
      </c>
      <c r="IG145" s="683" t="e">
        <f t="shared" si="1019"/>
        <v>#DIV/0!</v>
      </c>
      <c r="IH145" s="684" t="e">
        <f t="shared" si="1019"/>
        <v>#DIV/0!</v>
      </c>
      <c r="II145" s="599" t="e">
        <f t="shared" si="1019"/>
        <v>#DIV/0!</v>
      </c>
      <c r="IJ145" s="685" t="e">
        <f t="shared" si="1019"/>
        <v>#DIV/0!</v>
      </c>
      <c r="IK145" s="685" t="s">
        <v>93</v>
      </c>
      <c r="IL145" s="599">
        <f t="shared" ref="IL145:JA145" si="1020">AVERAGE(IL140:IL144)</f>
        <v>0</v>
      </c>
      <c r="IM145" s="619" t="e">
        <f t="shared" si="1020"/>
        <v>#DIV/0!</v>
      </c>
      <c r="IN145" s="675" t="e">
        <f t="shared" si="1020"/>
        <v>#DIV/0!</v>
      </c>
      <c r="IO145" s="672" t="e">
        <f t="shared" si="1020"/>
        <v>#DIV/0!</v>
      </c>
      <c r="IP145" s="687" t="e">
        <f t="shared" si="1020"/>
        <v>#DIV/0!</v>
      </c>
      <c r="IQ145" s="686" t="e">
        <f t="shared" si="1020"/>
        <v>#DIV/0!</v>
      </c>
      <c r="IR145" s="687" t="e">
        <f t="shared" si="1020"/>
        <v>#DIV/0!</v>
      </c>
      <c r="IS145" s="687" t="e">
        <f t="shared" si="1020"/>
        <v>#DIV/0!</v>
      </c>
      <c r="IT145" s="687" t="e">
        <f t="shared" si="1020"/>
        <v>#DIV/0!</v>
      </c>
      <c r="IU145" s="687" t="e">
        <f t="shared" si="1020"/>
        <v>#DIV/0!</v>
      </c>
      <c r="IV145" s="690" t="e">
        <f t="shared" si="1020"/>
        <v>#DIV/0!</v>
      </c>
      <c r="IW145" s="682" t="e">
        <f t="shared" si="1020"/>
        <v>#DIV/0!</v>
      </c>
      <c r="IX145" s="683" t="e">
        <f t="shared" si="1020"/>
        <v>#DIV/0!</v>
      </c>
      <c r="IY145" s="684" t="e">
        <f t="shared" si="1020"/>
        <v>#DIV/0!</v>
      </c>
      <c r="IZ145" s="599" t="e">
        <f t="shared" si="1020"/>
        <v>#DIV/0!</v>
      </c>
      <c r="JA145" s="685" t="e">
        <f t="shared" si="1020"/>
        <v>#DIV/0!</v>
      </c>
      <c r="JB145" s="685" t="s">
        <v>93</v>
      </c>
      <c r="JC145" s="599">
        <f t="shared" ref="JC145:JR145" si="1021">AVERAGE(JC140:JC144)</f>
        <v>0</v>
      </c>
      <c r="JD145" s="619" t="e">
        <f t="shared" si="1021"/>
        <v>#DIV/0!</v>
      </c>
      <c r="JE145" s="675" t="e">
        <f t="shared" si="1021"/>
        <v>#DIV/0!</v>
      </c>
      <c r="JF145" s="672" t="e">
        <f t="shared" si="1021"/>
        <v>#DIV/0!</v>
      </c>
      <c r="JG145" s="687" t="e">
        <f t="shared" si="1021"/>
        <v>#DIV/0!</v>
      </c>
      <c r="JH145" s="686" t="e">
        <f t="shared" si="1021"/>
        <v>#DIV/0!</v>
      </c>
      <c r="JI145" s="687" t="e">
        <f t="shared" si="1021"/>
        <v>#DIV/0!</v>
      </c>
      <c r="JJ145" s="687" t="e">
        <f t="shared" si="1021"/>
        <v>#DIV/0!</v>
      </c>
      <c r="JK145" s="687" t="e">
        <f t="shared" si="1021"/>
        <v>#DIV/0!</v>
      </c>
      <c r="JL145" s="687" t="e">
        <f t="shared" si="1021"/>
        <v>#DIV/0!</v>
      </c>
      <c r="JM145" s="690" t="e">
        <f t="shared" si="1021"/>
        <v>#DIV/0!</v>
      </c>
      <c r="JN145" s="682" t="e">
        <f t="shared" si="1021"/>
        <v>#DIV/0!</v>
      </c>
      <c r="JO145" s="683" t="e">
        <f t="shared" si="1021"/>
        <v>#DIV/0!</v>
      </c>
      <c r="JP145" s="684" t="e">
        <f t="shared" si="1021"/>
        <v>#DIV/0!</v>
      </c>
      <c r="JQ145" s="599" t="e">
        <f t="shared" si="1021"/>
        <v>#DIV/0!</v>
      </c>
      <c r="JR145" s="685" t="e">
        <f t="shared" si="1021"/>
        <v>#DIV/0!</v>
      </c>
      <c r="JS145" s="685" t="s">
        <v>93</v>
      </c>
      <c r="JT145" s="599">
        <f t="shared" ref="JT145:KI145" si="1022">AVERAGE(JT140:JT144)</f>
        <v>0</v>
      </c>
      <c r="JU145" s="619" t="e">
        <f t="shared" si="1022"/>
        <v>#DIV/0!</v>
      </c>
      <c r="JV145" s="675" t="e">
        <f t="shared" si="1022"/>
        <v>#DIV/0!</v>
      </c>
      <c r="JW145" s="672" t="e">
        <f t="shared" si="1022"/>
        <v>#DIV/0!</v>
      </c>
      <c r="JX145" s="687" t="e">
        <f t="shared" si="1022"/>
        <v>#DIV/0!</v>
      </c>
      <c r="JY145" s="686" t="e">
        <f t="shared" si="1022"/>
        <v>#DIV/0!</v>
      </c>
      <c r="JZ145" s="687" t="e">
        <f t="shared" si="1022"/>
        <v>#DIV/0!</v>
      </c>
      <c r="KA145" s="687" t="e">
        <f t="shared" si="1022"/>
        <v>#DIV/0!</v>
      </c>
      <c r="KB145" s="687" t="e">
        <f t="shared" si="1022"/>
        <v>#DIV/0!</v>
      </c>
      <c r="KC145" s="687" t="e">
        <f t="shared" si="1022"/>
        <v>#DIV/0!</v>
      </c>
      <c r="KD145" s="690" t="e">
        <f t="shared" si="1022"/>
        <v>#DIV/0!</v>
      </c>
      <c r="KE145" s="682" t="e">
        <f t="shared" si="1022"/>
        <v>#DIV/0!</v>
      </c>
      <c r="KF145" s="683" t="e">
        <f t="shared" si="1022"/>
        <v>#DIV/0!</v>
      </c>
      <c r="KG145" s="684" t="e">
        <f t="shared" si="1022"/>
        <v>#DIV/0!</v>
      </c>
      <c r="KH145" s="599" t="e">
        <f t="shared" si="1022"/>
        <v>#DIV/0!</v>
      </c>
      <c r="KI145" s="685" t="e">
        <f t="shared" si="1022"/>
        <v>#DIV/0!</v>
      </c>
      <c r="KJ145" s="685" t="s">
        <v>93</v>
      </c>
      <c r="KK145" s="599">
        <f t="shared" ref="KK145:KZ145" si="1023">AVERAGE(KK140:KK144)</f>
        <v>0</v>
      </c>
      <c r="KL145" s="619" t="e">
        <f t="shared" si="1023"/>
        <v>#DIV/0!</v>
      </c>
      <c r="KM145" s="675" t="e">
        <f t="shared" si="1023"/>
        <v>#DIV/0!</v>
      </c>
      <c r="KN145" s="672" t="e">
        <f t="shared" si="1023"/>
        <v>#DIV/0!</v>
      </c>
      <c r="KO145" s="687" t="e">
        <f t="shared" si="1023"/>
        <v>#DIV/0!</v>
      </c>
      <c r="KP145" s="686" t="e">
        <f t="shared" si="1023"/>
        <v>#DIV/0!</v>
      </c>
      <c r="KQ145" s="687" t="e">
        <f t="shared" si="1023"/>
        <v>#DIV/0!</v>
      </c>
      <c r="KR145" s="687" t="e">
        <f t="shared" si="1023"/>
        <v>#DIV/0!</v>
      </c>
      <c r="KS145" s="687" t="e">
        <f t="shared" si="1023"/>
        <v>#DIV/0!</v>
      </c>
      <c r="KT145" s="687" t="e">
        <f t="shared" si="1023"/>
        <v>#DIV/0!</v>
      </c>
      <c r="KU145" s="690" t="e">
        <f t="shared" si="1023"/>
        <v>#DIV/0!</v>
      </c>
      <c r="KV145" s="682" t="e">
        <f t="shared" si="1023"/>
        <v>#DIV/0!</v>
      </c>
      <c r="KW145" s="683" t="e">
        <f t="shared" si="1023"/>
        <v>#DIV/0!</v>
      </c>
      <c r="KX145" s="684" t="e">
        <f t="shared" si="1023"/>
        <v>#DIV/0!</v>
      </c>
      <c r="KY145" s="599" t="e">
        <f t="shared" si="1023"/>
        <v>#DIV/0!</v>
      </c>
      <c r="KZ145" s="685" t="e">
        <f t="shared" si="1023"/>
        <v>#DIV/0!</v>
      </c>
      <c r="LA145" s="685" t="s">
        <v>93</v>
      </c>
      <c r="LB145" s="599">
        <f t="shared" ref="LB145:LQ145" si="1024">AVERAGE(LB140:LB144)</f>
        <v>0</v>
      </c>
      <c r="LC145" s="619" t="e">
        <f t="shared" si="1024"/>
        <v>#DIV/0!</v>
      </c>
      <c r="LD145" s="675" t="e">
        <f t="shared" si="1024"/>
        <v>#DIV/0!</v>
      </c>
      <c r="LE145" s="672" t="e">
        <f t="shared" si="1024"/>
        <v>#DIV/0!</v>
      </c>
      <c r="LF145" s="687" t="e">
        <f t="shared" si="1024"/>
        <v>#DIV/0!</v>
      </c>
      <c r="LG145" s="686" t="e">
        <f t="shared" si="1024"/>
        <v>#DIV/0!</v>
      </c>
      <c r="LH145" s="687" t="e">
        <f t="shared" si="1024"/>
        <v>#DIV/0!</v>
      </c>
      <c r="LI145" s="687" t="e">
        <f t="shared" si="1024"/>
        <v>#DIV/0!</v>
      </c>
      <c r="LJ145" s="687" t="e">
        <f t="shared" si="1024"/>
        <v>#DIV/0!</v>
      </c>
      <c r="LK145" s="687" t="e">
        <f t="shared" si="1024"/>
        <v>#DIV/0!</v>
      </c>
      <c r="LL145" s="690" t="e">
        <f t="shared" si="1024"/>
        <v>#DIV/0!</v>
      </c>
      <c r="LM145" s="682" t="e">
        <f t="shared" si="1024"/>
        <v>#DIV/0!</v>
      </c>
      <c r="LN145" s="683" t="e">
        <f t="shared" si="1024"/>
        <v>#DIV/0!</v>
      </c>
      <c r="LO145" s="684" t="e">
        <f t="shared" si="1024"/>
        <v>#DIV/0!</v>
      </c>
      <c r="LP145" s="599" t="e">
        <f t="shared" si="1024"/>
        <v>#DIV/0!</v>
      </c>
      <c r="LQ145" s="685" t="e">
        <f t="shared" si="1024"/>
        <v>#DIV/0!</v>
      </c>
      <c r="LR145" s="685" t="s">
        <v>93</v>
      </c>
      <c r="LS145" s="599">
        <f t="shared" ref="LS145:MC145" si="1025">AVERAGE(LS140:LS144)</f>
        <v>0</v>
      </c>
      <c r="LT145" s="619" t="e">
        <f t="shared" si="1025"/>
        <v>#DIV/0!</v>
      </c>
      <c r="LU145" s="675" t="e">
        <f t="shared" si="1025"/>
        <v>#DIV/0!</v>
      </c>
      <c r="LV145" s="672" t="e">
        <f t="shared" si="1025"/>
        <v>#DIV/0!</v>
      </c>
      <c r="LW145" s="687" t="e">
        <f t="shared" si="1025"/>
        <v>#DIV/0!</v>
      </c>
      <c r="LX145" s="686" t="e">
        <f t="shared" si="1025"/>
        <v>#DIV/0!</v>
      </c>
      <c r="LY145" s="687" t="e">
        <f t="shared" si="1025"/>
        <v>#DIV/0!</v>
      </c>
      <c r="LZ145" s="687" t="e">
        <f t="shared" si="1025"/>
        <v>#DIV/0!</v>
      </c>
      <c r="MA145" s="687" t="e">
        <f t="shared" si="1025"/>
        <v>#DIV/0!</v>
      </c>
      <c r="MB145" s="687" t="e">
        <f t="shared" si="1025"/>
        <v>#DIV/0!</v>
      </c>
      <c r="MC145" s="690" t="e">
        <f t="shared" si="1025"/>
        <v>#DIV/0!</v>
      </c>
      <c r="MD145" s="682">
        <v>19.64</v>
      </c>
      <c r="ME145" s="683">
        <v>53.4</v>
      </c>
      <c r="MF145" s="711" t="e">
        <f>AVERAGE(MF140:MF144)</f>
        <v>#DIV/0!</v>
      </c>
      <c r="MG145" s="599" t="e">
        <f>AVERAGE(MG140:MG144)</f>
        <v>#DIV/0!</v>
      </c>
      <c r="MH145" s="694" t="e">
        <f>AVERAGE(MH140:MH144)</f>
        <v>#DIV/0!</v>
      </c>
      <c r="MI145" s="685" t="s">
        <v>93</v>
      </c>
      <c r="MJ145" s="599">
        <f t="shared" ref="MJ145:MY145" si="1026">AVERAGE(MJ140:MJ144)</f>
        <v>0</v>
      </c>
      <c r="MK145" s="619" t="e">
        <f t="shared" si="1026"/>
        <v>#DIV/0!</v>
      </c>
      <c r="ML145" s="675" t="e">
        <f t="shared" si="1026"/>
        <v>#DIV/0!</v>
      </c>
      <c r="MM145" s="672" t="e">
        <f t="shared" si="1026"/>
        <v>#DIV/0!</v>
      </c>
      <c r="MN145" s="687" t="e">
        <f t="shared" si="1026"/>
        <v>#DIV/0!</v>
      </c>
      <c r="MO145" s="686" t="e">
        <f t="shared" si="1026"/>
        <v>#DIV/0!</v>
      </c>
      <c r="MP145" s="687" t="e">
        <f t="shared" si="1026"/>
        <v>#DIV/0!</v>
      </c>
      <c r="MQ145" s="687" t="e">
        <f t="shared" si="1026"/>
        <v>#DIV/0!</v>
      </c>
      <c r="MR145" s="687" t="e">
        <f t="shared" si="1026"/>
        <v>#DIV/0!</v>
      </c>
      <c r="MS145" s="687" t="e">
        <f t="shared" si="1026"/>
        <v>#DIV/0!</v>
      </c>
      <c r="MT145" s="690" t="e">
        <f t="shared" si="1026"/>
        <v>#DIV/0!</v>
      </c>
      <c r="MU145" s="692">
        <f t="shared" si="1026"/>
        <v>20.48</v>
      </c>
      <c r="MV145" s="711">
        <f t="shared" si="1026"/>
        <v>52.8</v>
      </c>
      <c r="MW145" s="693">
        <f t="shared" si="1026"/>
        <v>1007</v>
      </c>
      <c r="MX145" s="599">
        <f t="shared" si="1026"/>
        <v>-3.5662000000000001E-11</v>
      </c>
      <c r="MY145" s="685">
        <f t="shared" si="1026"/>
        <v>60</v>
      </c>
      <c r="MZ145" s="685" t="s">
        <v>93</v>
      </c>
      <c r="NA145" s="599" t="e">
        <f t="shared" ref="NA145:NP145" si="1027">AVERAGE(NA140:NA144)</f>
        <v>#DIV/0!</v>
      </c>
      <c r="NB145" s="619">
        <f t="shared" si="1027"/>
        <v>0</v>
      </c>
      <c r="NC145" s="675" t="e">
        <f t="shared" si="1027"/>
        <v>#VALUE!</v>
      </c>
      <c r="ND145" s="672" t="e">
        <f t="shared" si="1027"/>
        <v>#VALUE!</v>
      </c>
      <c r="NE145" s="687" t="e">
        <f t="shared" si="1027"/>
        <v>#VALUE!</v>
      </c>
      <c r="NF145" s="686" t="e">
        <f t="shared" si="1027"/>
        <v>#VALUE!</v>
      </c>
      <c r="NG145" s="687" t="e">
        <f t="shared" si="1027"/>
        <v>#VALUE!</v>
      </c>
      <c r="NH145" s="687" t="e">
        <f t="shared" si="1027"/>
        <v>#VALUE!</v>
      </c>
      <c r="NI145" s="687" t="e">
        <f t="shared" si="1027"/>
        <v>#VALUE!</v>
      </c>
      <c r="NJ145" s="687" t="e">
        <f t="shared" si="1027"/>
        <v>#VALUE!</v>
      </c>
      <c r="NK145" s="690" t="e">
        <f t="shared" si="1027"/>
        <v>#VALUE!</v>
      </c>
      <c r="NL145" s="682" t="e">
        <f t="shared" si="1027"/>
        <v>#DIV/0!</v>
      </c>
      <c r="NM145" s="683" t="e">
        <f t="shared" si="1027"/>
        <v>#DIV/0!</v>
      </c>
      <c r="NN145" s="684" t="e">
        <f t="shared" si="1027"/>
        <v>#DIV/0!</v>
      </c>
      <c r="NO145" s="599" t="e">
        <f t="shared" si="1027"/>
        <v>#DIV/0!</v>
      </c>
      <c r="NP145" s="685" t="e">
        <f t="shared" si="1027"/>
        <v>#DIV/0!</v>
      </c>
      <c r="NQ145" s="685" t="s">
        <v>93</v>
      </c>
      <c r="NR145" s="599">
        <f t="shared" ref="NR145:OG145" si="1028">AVERAGE(NR140:NR144)</f>
        <v>0</v>
      </c>
      <c r="NS145" s="619" t="e">
        <f t="shared" si="1028"/>
        <v>#DIV/0!</v>
      </c>
      <c r="NT145" s="675" t="e">
        <f t="shared" si="1028"/>
        <v>#DIV/0!</v>
      </c>
      <c r="NU145" s="672" t="e">
        <f t="shared" si="1028"/>
        <v>#DIV/0!</v>
      </c>
      <c r="NV145" s="687" t="e">
        <f t="shared" si="1028"/>
        <v>#DIV/0!</v>
      </c>
      <c r="NW145" s="686" t="e">
        <f t="shared" si="1028"/>
        <v>#DIV/0!</v>
      </c>
      <c r="NX145" s="687" t="e">
        <f t="shared" si="1028"/>
        <v>#DIV/0!</v>
      </c>
      <c r="NY145" s="687" t="e">
        <f t="shared" si="1028"/>
        <v>#DIV/0!</v>
      </c>
      <c r="NZ145" s="687" t="e">
        <f t="shared" si="1028"/>
        <v>#DIV/0!</v>
      </c>
      <c r="OA145" s="687" t="e">
        <f t="shared" si="1028"/>
        <v>#DIV/0!</v>
      </c>
      <c r="OB145" s="690" t="e">
        <f t="shared" si="1028"/>
        <v>#DIV/0!</v>
      </c>
      <c r="OC145" s="692">
        <f t="shared" si="1028"/>
        <v>20.5</v>
      </c>
      <c r="OD145" s="711">
        <f t="shared" si="1028"/>
        <v>53.4</v>
      </c>
      <c r="OE145" s="693">
        <f t="shared" si="1028"/>
        <v>1007</v>
      </c>
      <c r="OF145" s="599">
        <f t="shared" si="1028"/>
        <v>-8.3022000000000006E-11</v>
      </c>
      <c r="OG145" s="694">
        <f t="shared" si="1028"/>
        <v>60</v>
      </c>
      <c r="OH145" s="685" t="s">
        <v>93</v>
      </c>
      <c r="OI145" s="599" t="e">
        <f t="shared" ref="OI145:OX145" si="1029">AVERAGE(OI140:OI144)</f>
        <v>#DIV/0!</v>
      </c>
      <c r="OJ145" s="619">
        <f t="shared" si="1029"/>
        <v>0</v>
      </c>
      <c r="OK145" s="675" t="e">
        <f t="shared" si="1029"/>
        <v>#VALUE!</v>
      </c>
      <c r="OL145" s="672" t="e">
        <f t="shared" si="1029"/>
        <v>#VALUE!</v>
      </c>
      <c r="OM145" s="687" t="e">
        <f t="shared" si="1029"/>
        <v>#VALUE!</v>
      </c>
      <c r="ON145" s="686" t="e">
        <f t="shared" si="1029"/>
        <v>#VALUE!</v>
      </c>
      <c r="OO145" s="687" t="e">
        <f t="shared" si="1029"/>
        <v>#VALUE!</v>
      </c>
      <c r="OP145" s="687" t="e">
        <f t="shared" si="1029"/>
        <v>#VALUE!</v>
      </c>
      <c r="OQ145" s="687" t="e">
        <f t="shared" si="1029"/>
        <v>#VALUE!</v>
      </c>
      <c r="OR145" s="687" t="e">
        <f t="shared" si="1029"/>
        <v>#VALUE!</v>
      </c>
      <c r="OS145" s="690" t="e">
        <f t="shared" si="1029"/>
        <v>#VALUE!</v>
      </c>
      <c r="OT145" s="682" t="e">
        <f t="shared" si="1029"/>
        <v>#DIV/0!</v>
      </c>
      <c r="OU145" s="683" t="e">
        <f t="shared" si="1029"/>
        <v>#DIV/0!</v>
      </c>
      <c r="OV145" s="684" t="e">
        <f t="shared" si="1029"/>
        <v>#DIV/0!</v>
      </c>
      <c r="OW145" s="599" t="e">
        <f t="shared" si="1029"/>
        <v>#DIV/0!</v>
      </c>
      <c r="OX145" s="685" t="e">
        <f t="shared" si="1029"/>
        <v>#DIV/0!</v>
      </c>
      <c r="OY145" s="685" t="s">
        <v>93</v>
      </c>
      <c r="OZ145" s="599">
        <f t="shared" ref="OZ145:PO145" si="1030">AVERAGE(OZ140:OZ144)</f>
        <v>0</v>
      </c>
      <c r="PA145" s="619" t="e">
        <f t="shared" si="1030"/>
        <v>#DIV/0!</v>
      </c>
      <c r="PB145" s="675" t="e">
        <f t="shared" si="1030"/>
        <v>#DIV/0!</v>
      </c>
      <c r="PC145" s="672" t="e">
        <f t="shared" si="1030"/>
        <v>#DIV/0!</v>
      </c>
      <c r="PD145" s="687" t="e">
        <f t="shared" si="1030"/>
        <v>#DIV/0!</v>
      </c>
      <c r="PE145" s="686" t="e">
        <f t="shared" si="1030"/>
        <v>#DIV/0!</v>
      </c>
      <c r="PF145" s="687" t="e">
        <f t="shared" si="1030"/>
        <v>#DIV/0!</v>
      </c>
      <c r="PG145" s="687" t="e">
        <f t="shared" si="1030"/>
        <v>#DIV/0!</v>
      </c>
      <c r="PH145" s="687" t="e">
        <f t="shared" si="1030"/>
        <v>#DIV/0!</v>
      </c>
      <c r="PI145" s="687" t="e">
        <f t="shared" si="1030"/>
        <v>#DIV/0!</v>
      </c>
      <c r="PJ145" s="690" t="e">
        <f t="shared" si="1030"/>
        <v>#DIV/0!</v>
      </c>
      <c r="PK145" s="682" t="e">
        <f t="shared" si="1030"/>
        <v>#DIV/0!</v>
      </c>
      <c r="PL145" s="683" t="e">
        <f t="shared" si="1030"/>
        <v>#DIV/0!</v>
      </c>
      <c r="PM145" s="684" t="e">
        <f t="shared" si="1030"/>
        <v>#DIV/0!</v>
      </c>
      <c r="PN145" s="599" t="e">
        <f t="shared" si="1030"/>
        <v>#DIV/0!</v>
      </c>
      <c r="PO145" s="685" t="e">
        <f t="shared" si="1030"/>
        <v>#DIV/0!</v>
      </c>
      <c r="PP145" s="685" t="s">
        <v>93</v>
      </c>
      <c r="PQ145" s="599">
        <f t="shared" ref="PQ145:QF145" si="1031">AVERAGE(PQ140:PQ144)</f>
        <v>0</v>
      </c>
      <c r="PR145" s="619" t="e">
        <f t="shared" si="1031"/>
        <v>#DIV/0!</v>
      </c>
      <c r="PS145" s="675" t="e">
        <f t="shared" si="1031"/>
        <v>#DIV/0!</v>
      </c>
      <c r="PT145" s="672" t="e">
        <f t="shared" si="1031"/>
        <v>#DIV/0!</v>
      </c>
      <c r="PU145" s="687" t="e">
        <f t="shared" si="1031"/>
        <v>#DIV/0!</v>
      </c>
      <c r="PV145" s="686" t="e">
        <f t="shared" si="1031"/>
        <v>#DIV/0!</v>
      </c>
      <c r="PW145" s="687" t="e">
        <f t="shared" si="1031"/>
        <v>#DIV/0!</v>
      </c>
      <c r="PX145" s="687" t="e">
        <f t="shared" si="1031"/>
        <v>#DIV/0!</v>
      </c>
      <c r="PY145" s="687" t="e">
        <f t="shared" si="1031"/>
        <v>#DIV/0!</v>
      </c>
      <c r="PZ145" s="687" t="e">
        <f t="shared" si="1031"/>
        <v>#DIV/0!</v>
      </c>
      <c r="QA145" s="690" t="e">
        <f t="shared" si="1031"/>
        <v>#DIV/0!</v>
      </c>
      <c r="QB145" s="682" t="e">
        <f t="shared" si="1031"/>
        <v>#DIV/0!</v>
      </c>
      <c r="QC145" s="683" t="e">
        <f t="shared" si="1031"/>
        <v>#DIV/0!</v>
      </c>
      <c r="QD145" s="693" t="e">
        <f t="shared" si="1031"/>
        <v>#DIV/0!</v>
      </c>
      <c r="QE145" s="599" t="e">
        <f t="shared" si="1031"/>
        <v>#DIV/0!</v>
      </c>
      <c r="QF145" s="694" t="e">
        <f t="shared" si="1031"/>
        <v>#DIV/0!</v>
      </c>
      <c r="QG145" s="685" t="s">
        <v>93</v>
      </c>
      <c r="QH145" s="599">
        <f t="shared" ref="QH145:QW145" si="1032">AVERAGE(QH140:QH144)</f>
        <v>0</v>
      </c>
      <c r="QI145" s="619" t="e">
        <f t="shared" si="1032"/>
        <v>#DIV/0!</v>
      </c>
      <c r="QJ145" s="675" t="e">
        <f t="shared" si="1032"/>
        <v>#DIV/0!</v>
      </c>
      <c r="QK145" s="672" t="e">
        <f t="shared" si="1032"/>
        <v>#DIV/0!</v>
      </c>
      <c r="QL145" s="687" t="e">
        <f t="shared" si="1032"/>
        <v>#DIV/0!</v>
      </c>
      <c r="QM145" s="686" t="e">
        <f t="shared" si="1032"/>
        <v>#DIV/0!</v>
      </c>
      <c r="QN145" s="687" t="e">
        <f t="shared" si="1032"/>
        <v>#DIV/0!</v>
      </c>
      <c r="QO145" s="687" t="e">
        <f t="shared" si="1032"/>
        <v>#DIV/0!</v>
      </c>
      <c r="QP145" s="687" t="e">
        <f t="shared" si="1032"/>
        <v>#DIV/0!</v>
      </c>
      <c r="QQ145" s="687" t="e">
        <f t="shared" si="1032"/>
        <v>#DIV/0!</v>
      </c>
      <c r="QR145" s="690" t="e">
        <f t="shared" si="1032"/>
        <v>#DIV/0!</v>
      </c>
      <c r="QS145" s="692" t="e">
        <f t="shared" si="1032"/>
        <v>#DIV/0!</v>
      </c>
      <c r="QT145" s="711" t="e">
        <f t="shared" si="1032"/>
        <v>#DIV/0!</v>
      </c>
      <c r="QU145" s="710" t="e">
        <f t="shared" si="1032"/>
        <v>#DIV/0!</v>
      </c>
      <c r="QV145" s="672" t="e">
        <f t="shared" si="1032"/>
        <v>#DIV/0!</v>
      </c>
      <c r="QW145" s="694" t="e">
        <f t="shared" si="1032"/>
        <v>#DIV/0!</v>
      </c>
      <c r="QX145" s="685" t="s">
        <v>93</v>
      </c>
      <c r="QY145" s="599">
        <f t="shared" ref="QY145:RN145" si="1033">AVERAGE(QY140:QY144)</f>
        <v>0</v>
      </c>
      <c r="QZ145" s="619" t="e">
        <f t="shared" si="1033"/>
        <v>#DIV/0!</v>
      </c>
      <c r="RA145" s="675" t="e">
        <f t="shared" si="1033"/>
        <v>#DIV/0!</v>
      </c>
      <c r="RB145" s="672" t="e">
        <f t="shared" si="1033"/>
        <v>#DIV/0!</v>
      </c>
      <c r="RC145" s="687" t="e">
        <f t="shared" si="1033"/>
        <v>#DIV/0!</v>
      </c>
      <c r="RD145" s="686" t="e">
        <f t="shared" si="1033"/>
        <v>#DIV/0!</v>
      </c>
      <c r="RE145" s="687" t="e">
        <f t="shared" si="1033"/>
        <v>#DIV/0!</v>
      </c>
      <c r="RF145" s="687" t="e">
        <f t="shared" si="1033"/>
        <v>#DIV/0!</v>
      </c>
      <c r="RG145" s="687" t="e">
        <f t="shared" si="1033"/>
        <v>#DIV/0!</v>
      </c>
      <c r="RH145" s="687" t="e">
        <f t="shared" si="1033"/>
        <v>#DIV/0!</v>
      </c>
      <c r="RI145" s="690" t="e">
        <f t="shared" si="1033"/>
        <v>#DIV/0!</v>
      </c>
      <c r="RJ145" s="682">
        <f t="shared" si="1033"/>
        <v>20.48</v>
      </c>
      <c r="RK145" s="683">
        <f t="shared" si="1033"/>
        <v>53.8</v>
      </c>
      <c r="RL145" s="684">
        <f t="shared" si="1033"/>
        <v>1007</v>
      </c>
      <c r="RM145" s="599">
        <f t="shared" si="1033"/>
        <v>-3.8620000000000003E-12</v>
      </c>
      <c r="RN145" s="694">
        <f t="shared" si="1033"/>
        <v>60</v>
      </c>
      <c r="RO145" s="685" t="s">
        <v>93</v>
      </c>
      <c r="RP145" s="599" t="e">
        <f t="shared" ref="RP145:SE145" si="1034">AVERAGE(RP140:RP144)</f>
        <v>#DIV/0!</v>
      </c>
      <c r="RQ145" s="619">
        <f t="shared" si="1034"/>
        <v>0</v>
      </c>
      <c r="RR145" s="675" t="e">
        <f t="shared" si="1034"/>
        <v>#VALUE!</v>
      </c>
      <c r="RS145" s="672" t="e">
        <f t="shared" si="1034"/>
        <v>#VALUE!</v>
      </c>
      <c r="RT145" s="687" t="e">
        <f t="shared" si="1034"/>
        <v>#VALUE!</v>
      </c>
      <c r="RU145" s="686" t="e">
        <f t="shared" si="1034"/>
        <v>#VALUE!</v>
      </c>
      <c r="RV145" s="687" t="e">
        <f t="shared" si="1034"/>
        <v>#VALUE!</v>
      </c>
      <c r="RW145" s="687" t="e">
        <f t="shared" si="1034"/>
        <v>#VALUE!</v>
      </c>
      <c r="RX145" s="687" t="e">
        <f t="shared" si="1034"/>
        <v>#VALUE!</v>
      </c>
      <c r="RY145" s="687" t="e">
        <f t="shared" si="1034"/>
        <v>#VALUE!</v>
      </c>
      <c r="RZ145" s="690" t="e">
        <f t="shared" si="1034"/>
        <v>#VALUE!</v>
      </c>
      <c r="SA145" s="682">
        <f t="shared" si="1034"/>
        <v>20.48</v>
      </c>
      <c r="SB145" s="683">
        <f t="shared" si="1034"/>
        <v>55</v>
      </c>
      <c r="SC145" s="693">
        <f t="shared" si="1034"/>
        <v>1008</v>
      </c>
      <c r="SD145" s="599">
        <f t="shared" si="1034"/>
        <v>-2.0653999999999999E-10</v>
      </c>
      <c r="SE145" s="685">
        <f t="shared" si="1034"/>
        <v>60</v>
      </c>
      <c r="SF145" s="685" t="s">
        <v>93</v>
      </c>
      <c r="SG145" s="599" t="e">
        <f t="shared" ref="SG145:SV145" si="1035">AVERAGE(SG140:SG144)</f>
        <v>#DIV/0!</v>
      </c>
      <c r="SH145" s="619">
        <f t="shared" si="1035"/>
        <v>0</v>
      </c>
      <c r="SI145" s="675" t="e">
        <f t="shared" si="1035"/>
        <v>#VALUE!</v>
      </c>
      <c r="SJ145" s="672" t="e">
        <f t="shared" si="1035"/>
        <v>#VALUE!</v>
      </c>
      <c r="SK145" s="687" t="e">
        <f t="shared" si="1035"/>
        <v>#VALUE!</v>
      </c>
      <c r="SL145" s="686" t="e">
        <f t="shared" si="1035"/>
        <v>#VALUE!</v>
      </c>
      <c r="SM145" s="687" t="e">
        <f t="shared" si="1035"/>
        <v>#VALUE!</v>
      </c>
      <c r="SN145" s="687" t="e">
        <f t="shared" si="1035"/>
        <v>#VALUE!</v>
      </c>
      <c r="SO145" s="687" t="e">
        <f t="shared" si="1035"/>
        <v>#VALUE!</v>
      </c>
      <c r="SP145" s="687" t="e">
        <f t="shared" si="1035"/>
        <v>#VALUE!</v>
      </c>
      <c r="SQ145" s="690" t="e">
        <f t="shared" si="1035"/>
        <v>#VALUE!</v>
      </c>
      <c r="SR145" s="682" t="e">
        <f t="shared" si="1035"/>
        <v>#DIV/0!</v>
      </c>
      <c r="SS145" s="683" t="e">
        <f t="shared" si="1035"/>
        <v>#DIV/0!</v>
      </c>
      <c r="ST145" s="684" t="e">
        <f t="shared" si="1035"/>
        <v>#DIV/0!</v>
      </c>
      <c r="SU145" s="599" t="e">
        <f t="shared" si="1035"/>
        <v>#DIV/0!</v>
      </c>
      <c r="SV145" s="685" t="e">
        <f t="shared" si="1035"/>
        <v>#DIV/0!</v>
      </c>
      <c r="SW145" s="685" t="s">
        <v>93</v>
      </c>
      <c r="SX145" s="599">
        <f t="shared" ref="SX145:TM145" si="1036">AVERAGE(SX140:SX144)</f>
        <v>0</v>
      </c>
      <c r="SY145" s="619" t="e">
        <f t="shared" si="1036"/>
        <v>#DIV/0!</v>
      </c>
      <c r="SZ145" s="675" t="e">
        <f t="shared" si="1036"/>
        <v>#DIV/0!</v>
      </c>
      <c r="TA145" s="672" t="e">
        <f t="shared" si="1036"/>
        <v>#DIV/0!</v>
      </c>
      <c r="TB145" s="687" t="e">
        <f t="shared" si="1036"/>
        <v>#DIV/0!</v>
      </c>
      <c r="TC145" s="686" t="e">
        <f t="shared" si="1036"/>
        <v>#DIV/0!</v>
      </c>
      <c r="TD145" s="687" t="e">
        <f t="shared" si="1036"/>
        <v>#DIV/0!</v>
      </c>
      <c r="TE145" s="687" t="e">
        <f t="shared" si="1036"/>
        <v>#DIV/0!</v>
      </c>
      <c r="TF145" s="687" t="e">
        <f t="shared" si="1036"/>
        <v>#DIV/0!</v>
      </c>
      <c r="TG145" s="687" t="e">
        <f t="shared" si="1036"/>
        <v>#DIV/0!</v>
      </c>
      <c r="TH145" s="690" t="e">
        <f t="shared" si="1036"/>
        <v>#DIV/0!</v>
      </c>
      <c r="TI145" s="692">
        <f t="shared" si="1036"/>
        <v>20.46</v>
      </c>
      <c r="TJ145" s="711">
        <f t="shared" si="1036"/>
        <v>55</v>
      </c>
      <c r="TK145" s="693">
        <f t="shared" si="1036"/>
        <v>1008</v>
      </c>
      <c r="TL145" s="599">
        <f t="shared" si="1036"/>
        <v>-8.5500000000000005E-12</v>
      </c>
      <c r="TM145" s="694">
        <f t="shared" si="1036"/>
        <v>60</v>
      </c>
      <c r="TN145" s="685" t="s">
        <v>93</v>
      </c>
      <c r="TO145" s="599" t="e">
        <f t="shared" ref="TO145:TY145" si="1037">AVERAGE(TO140:TO144)</f>
        <v>#DIV/0!</v>
      </c>
      <c r="TP145" s="619">
        <f t="shared" si="1037"/>
        <v>0</v>
      </c>
      <c r="TQ145" s="675" t="e">
        <f t="shared" si="1037"/>
        <v>#VALUE!</v>
      </c>
      <c r="TR145" s="672" t="e">
        <f t="shared" si="1037"/>
        <v>#VALUE!</v>
      </c>
      <c r="TS145" s="687" t="e">
        <f t="shared" si="1037"/>
        <v>#VALUE!</v>
      </c>
      <c r="TT145" s="686" t="e">
        <f t="shared" si="1037"/>
        <v>#VALUE!</v>
      </c>
      <c r="TU145" s="687" t="e">
        <f t="shared" si="1037"/>
        <v>#VALUE!</v>
      </c>
      <c r="TV145" s="687" t="e">
        <f t="shared" si="1037"/>
        <v>#VALUE!</v>
      </c>
      <c r="TW145" s="687" t="e">
        <f t="shared" si="1037"/>
        <v>#VALUE!</v>
      </c>
      <c r="TX145" s="687" t="e">
        <f t="shared" si="1037"/>
        <v>#VALUE!</v>
      </c>
      <c r="TY145" s="690" t="e">
        <f t="shared" si="1037"/>
        <v>#VALUE!</v>
      </c>
    </row>
    <row r="146" spans="1:545" x14ac:dyDescent="0.25">
      <c r="A146" s="681" t="s">
        <v>62</v>
      </c>
      <c r="B146" s="688"/>
      <c r="C146" s="619"/>
      <c r="D146" s="619"/>
      <c r="E146" s="672"/>
      <c r="F146" s="619"/>
      <c r="G146" s="652"/>
      <c r="H146" s="599"/>
      <c r="I146" s="652"/>
      <c r="J146" s="675"/>
      <c r="K146" s="672"/>
      <c r="L146" s="672"/>
      <c r="M146" s="675"/>
      <c r="N146" s="672"/>
      <c r="O146" s="672"/>
      <c r="P146" s="672"/>
      <c r="Q146" s="672"/>
      <c r="R146" s="676"/>
      <c r="S146" s="691" t="e">
        <f t="shared" ref="S146:W146" si="1038">STDEVA(S140:S144)</f>
        <v>#DIV/0!</v>
      </c>
      <c r="T146" s="691" t="e">
        <f t="shared" si="1038"/>
        <v>#DIV/0!</v>
      </c>
      <c r="U146" s="695" t="e">
        <f t="shared" si="1038"/>
        <v>#DIV/0!</v>
      </c>
      <c r="V146" s="599" t="e">
        <f t="shared" si="1038"/>
        <v>#DIV/0!</v>
      </c>
      <c r="W146" s="652" t="e">
        <f t="shared" si="1038"/>
        <v>#DIV/0!</v>
      </c>
      <c r="X146" s="652" t="s">
        <v>93</v>
      </c>
      <c r="Y146" s="599">
        <f>STDEVA(Y140:Y144)</f>
        <v>0</v>
      </c>
      <c r="Z146" s="652" t="e">
        <f t="shared" ref="Z146:AN146" si="1039">STDEVA(Z140:Z144)</f>
        <v>#DIV/0!</v>
      </c>
      <c r="AA146" s="675" t="e">
        <f t="shared" si="1039"/>
        <v>#DIV/0!</v>
      </c>
      <c r="AB146" s="672" t="e">
        <f t="shared" si="1039"/>
        <v>#DIV/0!</v>
      </c>
      <c r="AC146" s="672" t="e">
        <f t="shared" si="1039"/>
        <v>#DIV/0!</v>
      </c>
      <c r="AD146" s="675" t="e">
        <f t="shared" si="1039"/>
        <v>#DIV/0!</v>
      </c>
      <c r="AE146" s="672" t="e">
        <f t="shared" si="1039"/>
        <v>#DIV/0!</v>
      </c>
      <c r="AF146" s="672" t="e">
        <f t="shared" si="1039"/>
        <v>#DIV/0!</v>
      </c>
      <c r="AG146" s="672" t="e">
        <f>STDEVA(AG140:AG144)</f>
        <v>#DIV/0!</v>
      </c>
      <c r="AH146" s="672" t="e">
        <f t="shared" si="1039"/>
        <v>#DIV/0!</v>
      </c>
      <c r="AI146" s="676" t="e">
        <f t="shared" si="1039"/>
        <v>#DIV/0!</v>
      </c>
      <c r="AJ146" s="691" t="e">
        <f t="shared" si="1039"/>
        <v>#DIV/0!</v>
      </c>
      <c r="AK146" s="691" t="e">
        <f t="shared" si="1039"/>
        <v>#DIV/0!</v>
      </c>
      <c r="AL146" s="695" t="e">
        <f t="shared" si="1039"/>
        <v>#DIV/0!</v>
      </c>
      <c r="AM146" s="599" t="e">
        <f t="shared" si="1039"/>
        <v>#DIV/0!</v>
      </c>
      <c r="AN146" s="652" t="e">
        <f t="shared" si="1039"/>
        <v>#DIV/0!</v>
      </c>
      <c r="AO146" s="652" t="s">
        <v>93</v>
      </c>
      <c r="AP146" s="599">
        <f>STDEVA(AP140:AP144)</f>
        <v>0</v>
      </c>
      <c r="AQ146" s="652" t="e">
        <f t="shared" ref="AQ146:BE146" si="1040">STDEVA(AQ140:AQ144)</f>
        <v>#DIV/0!</v>
      </c>
      <c r="AR146" s="675" t="e">
        <f t="shared" si="1040"/>
        <v>#DIV/0!</v>
      </c>
      <c r="AS146" s="672" t="e">
        <f t="shared" si="1040"/>
        <v>#DIV/0!</v>
      </c>
      <c r="AT146" s="672" t="e">
        <f t="shared" si="1040"/>
        <v>#DIV/0!</v>
      </c>
      <c r="AU146" s="675" t="e">
        <f t="shared" si="1040"/>
        <v>#DIV/0!</v>
      </c>
      <c r="AV146" s="672" t="e">
        <f t="shared" si="1040"/>
        <v>#DIV/0!</v>
      </c>
      <c r="AW146" s="672" t="e">
        <f t="shared" si="1040"/>
        <v>#DIV/0!</v>
      </c>
      <c r="AX146" s="672" t="e">
        <f>STDEVA(AX140:AX144)</f>
        <v>#DIV/0!</v>
      </c>
      <c r="AY146" s="672" t="e">
        <f t="shared" si="1040"/>
        <v>#DIV/0!</v>
      </c>
      <c r="AZ146" s="676" t="e">
        <f t="shared" si="1040"/>
        <v>#DIV/0!</v>
      </c>
      <c r="BA146" s="682">
        <f t="shared" si="1040"/>
        <v>9.9999999999999645E-2</v>
      </c>
      <c r="BB146" s="691">
        <f t="shared" si="1040"/>
        <v>0.83666002653407556</v>
      </c>
      <c r="BC146" s="695">
        <f t="shared" si="1040"/>
        <v>0</v>
      </c>
      <c r="BD146" s="599">
        <f t="shared" si="1040"/>
        <v>1.6733200530678302E-13</v>
      </c>
      <c r="BE146" s="694">
        <f t="shared" si="1040"/>
        <v>0</v>
      </c>
      <c r="BF146" s="652" t="s">
        <v>93</v>
      </c>
      <c r="BG146" s="599">
        <f>STDEVA(BG140:BG144)</f>
        <v>0</v>
      </c>
      <c r="BH146" s="652">
        <f t="shared" ref="BH146:BV146" si="1041">STDEVA(BH140:BH144)</f>
        <v>0</v>
      </c>
      <c r="BI146" s="675" t="e">
        <f t="shared" si="1041"/>
        <v>#VALUE!</v>
      </c>
      <c r="BJ146" s="672" t="e">
        <f t="shared" si="1041"/>
        <v>#VALUE!</v>
      </c>
      <c r="BK146" s="672" t="e">
        <f t="shared" si="1041"/>
        <v>#VALUE!</v>
      </c>
      <c r="BL146" s="675" t="e">
        <f t="shared" si="1041"/>
        <v>#VALUE!</v>
      </c>
      <c r="BM146" s="672" t="e">
        <f t="shared" si="1041"/>
        <v>#VALUE!</v>
      </c>
      <c r="BN146" s="672" t="e">
        <f t="shared" si="1041"/>
        <v>#VALUE!</v>
      </c>
      <c r="BO146" s="672" t="e">
        <f>STDEVA(BO140:BO144)</f>
        <v>#VALUE!</v>
      </c>
      <c r="BP146" s="672" t="e">
        <f t="shared" si="1041"/>
        <v>#VALUE!</v>
      </c>
      <c r="BQ146" s="676" t="e">
        <f t="shared" si="1041"/>
        <v>#VALUE!</v>
      </c>
      <c r="BR146" s="682">
        <f t="shared" si="1041"/>
        <v>0.10954451150103282</v>
      </c>
      <c r="BS146" s="691">
        <f t="shared" si="1041"/>
        <v>0.54772255750516607</v>
      </c>
      <c r="BT146" s="695">
        <f t="shared" si="1041"/>
        <v>0</v>
      </c>
      <c r="BU146" s="599">
        <f t="shared" si="1041"/>
        <v>1.3255187663703582E-13</v>
      </c>
      <c r="BV146" s="652">
        <f t="shared" si="1041"/>
        <v>0</v>
      </c>
      <c r="BW146" s="652" t="s">
        <v>93</v>
      </c>
      <c r="BX146" s="599">
        <f>STDEVA(BX140:BX144)</f>
        <v>0</v>
      </c>
      <c r="BY146" s="652">
        <f t="shared" ref="BY146:CM146" si="1042">STDEVA(BY140:BY144)</f>
        <v>0</v>
      </c>
      <c r="BZ146" s="675" t="e">
        <f t="shared" si="1042"/>
        <v>#VALUE!</v>
      </c>
      <c r="CA146" s="672" t="e">
        <f t="shared" si="1042"/>
        <v>#VALUE!</v>
      </c>
      <c r="CB146" s="672" t="e">
        <f t="shared" si="1042"/>
        <v>#VALUE!</v>
      </c>
      <c r="CC146" s="675" t="e">
        <f t="shared" si="1042"/>
        <v>#VALUE!</v>
      </c>
      <c r="CD146" s="672" t="e">
        <f t="shared" si="1042"/>
        <v>#VALUE!</v>
      </c>
      <c r="CE146" s="672" t="e">
        <f t="shared" si="1042"/>
        <v>#VALUE!</v>
      </c>
      <c r="CF146" s="672" t="e">
        <f>STDEVA(CF140:CF144)</f>
        <v>#VALUE!</v>
      </c>
      <c r="CG146" s="672" t="e">
        <f t="shared" si="1042"/>
        <v>#VALUE!</v>
      </c>
      <c r="CH146" s="676" t="e">
        <f t="shared" si="1042"/>
        <v>#VALUE!</v>
      </c>
      <c r="CI146" s="682">
        <f t="shared" si="1042"/>
        <v>0.11401754250991417</v>
      </c>
      <c r="CJ146" s="691">
        <f t="shared" si="1042"/>
        <v>0.89442719099991586</v>
      </c>
      <c r="CK146" s="695">
        <f t="shared" si="1042"/>
        <v>0</v>
      </c>
      <c r="CL146" s="599">
        <f t="shared" si="1042"/>
        <v>5.477225575052208E-13</v>
      </c>
      <c r="CM146" s="652">
        <f t="shared" si="1042"/>
        <v>0</v>
      </c>
      <c r="CN146" s="652" t="s">
        <v>93</v>
      </c>
      <c r="CO146" s="599">
        <f>STDEVA(CO140:CO144)</f>
        <v>0</v>
      </c>
      <c r="CP146" s="652">
        <f t="shared" ref="CP146:DD146" si="1043">STDEVA(CP140:CP144)</f>
        <v>0</v>
      </c>
      <c r="CQ146" s="675" t="e">
        <f t="shared" si="1043"/>
        <v>#VALUE!</v>
      </c>
      <c r="CR146" s="672" t="e">
        <f t="shared" si="1043"/>
        <v>#VALUE!</v>
      </c>
      <c r="CS146" s="672" t="e">
        <f t="shared" si="1043"/>
        <v>#VALUE!</v>
      </c>
      <c r="CT146" s="675" t="e">
        <f t="shared" si="1043"/>
        <v>#VALUE!</v>
      </c>
      <c r="CU146" s="672" t="e">
        <f t="shared" si="1043"/>
        <v>#VALUE!</v>
      </c>
      <c r="CV146" s="672" t="e">
        <f t="shared" si="1043"/>
        <v>#VALUE!</v>
      </c>
      <c r="CW146" s="672" t="e">
        <f>STDEVA(CW140:CW144)</f>
        <v>#VALUE!</v>
      </c>
      <c r="CX146" s="672" t="e">
        <f t="shared" si="1043"/>
        <v>#VALUE!</v>
      </c>
      <c r="CY146" s="676" t="e">
        <f t="shared" si="1043"/>
        <v>#VALUE!</v>
      </c>
      <c r="CZ146" s="682" t="e">
        <f t="shared" si="1043"/>
        <v>#DIV/0!</v>
      </c>
      <c r="DA146" s="691" t="e">
        <f t="shared" si="1043"/>
        <v>#DIV/0!</v>
      </c>
      <c r="DB146" s="695" t="e">
        <f t="shared" si="1043"/>
        <v>#DIV/0!</v>
      </c>
      <c r="DC146" s="599" t="e">
        <f t="shared" si="1043"/>
        <v>#DIV/0!</v>
      </c>
      <c r="DD146" s="652" t="e">
        <f t="shared" si="1043"/>
        <v>#DIV/0!</v>
      </c>
      <c r="DE146" s="652" t="s">
        <v>93</v>
      </c>
      <c r="DF146" s="599">
        <f>STDEVA(DF140:DF144)</f>
        <v>0</v>
      </c>
      <c r="DG146" s="652" t="e">
        <f t="shared" ref="DG146:DU146" si="1044">STDEVA(DG140:DG144)</f>
        <v>#DIV/0!</v>
      </c>
      <c r="DH146" s="675" t="e">
        <f t="shared" si="1044"/>
        <v>#DIV/0!</v>
      </c>
      <c r="DI146" s="672" t="e">
        <f t="shared" si="1044"/>
        <v>#DIV/0!</v>
      </c>
      <c r="DJ146" s="672" t="e">
        <f t="shared" si="1044"/>
        <v>#DIV/0!</v>
      </c>
      <c r="DK146" s="675" t="e">
        <f t="shared" si="1044"/>
        <v>#DIV/0!</v>
      </c>
      <c r="DL146" s="672" t="e">
        <f t="shared" si="1044"/>
        <v>#DIV/0!</v>
      </c>
      <c r="DM146" s="672" t="e">
        <f t="shared" si="1044"/>
        <v>#DIV/0!</v>
      </c>
      <c r="DN146" s="672" t="e">
        <f>STDEVA(DN140:DN144)</f>
        <v>#DIV/0!</v>
      </c>
      <c r="DO146" s="672" t="e">
        <f t="shared" si="1044"/>
        <v>#DIV/0!</v>
      </c>
      <c r="DP146" s="676" t="e">
        <f t="shared" si="1044"/>
        <v>#DIV/0!</v>
      </c>
      <c r="DQ146" s="682" t="e">
        <f t="shared" si="1044"/>
        <v>#DIV/0!</v>
      </c>
      <c r="DR146" s="691" t="e">
        <f t="shared" si="1044"/>
        <v>#DIV/0!</v>
      </c>
      <c r="DS146" s="695" t="e">
        <f t="shared" si="1044"/>
        <v>#DIV/0!</v>
      </c>
      <c r="DT146" s="653" t="e">
        <f t="shared" si="1044"/>
        <v>#DIV/0!</v>
      </c>
      <c r="DU146" s="652" t="e">
        <f t="shared" si="1044"/>
        <v>#DIV/0!</v>
      </c>
      <c r="DV146" s="652" t="s">
        <v>93</v>
      </c>
      <c r="DW146" s="599">
        <f>STDEVA(DW140:DW144)</f>
        <v>0</v>
      </c>
      <c r="DX146" s="652" t="e">
        <f t="shared" ref="DX146:EL146" si="1045">STDEVA(DX140:DX144)</f>
        <v>#DIV/0!</v>
      </c>
      <c r="DY146" s="675" t="e">
        <f t="shared" si="1045"/>
        <v>#DIV/0!</v>
      </c>
      <c r="DZ146" s="672" t="e">
        <f t="shared" si="1045"/>
        <v>#DIV/0!</v>
      </c>
      <c r="EA146" s="672" t="e">
        <f t="shared" si="1045"/>
        <v>#DIV/0!</v>
      </c>
      <c r="EB146" s="675" t="e">
        <f t="shared" si="1045"/>
        <v>#DIV/0!</v>
      </c>
      <c r="EC146" s="672" t="e">
        <f t="shared" si="1045"/>
        <v>#DIV/0!</v>
      </c>
      <c r="ED146" s="672" t="e">
        <f t="shared" si="1045"/>
        <v>#DIV/0!</v>
      </c>
      <c r="EE146" s="672" t="e">
        <f>STDEVA(EE140:EE144)</f>
        <v>#DIV/0!</v>
      </c>
      <c r="EF146" s="672" t="e">
        <f t="shared" si="1045"/>
        <v>#DIV/0!</v>
      </c>
      <c r="EG146" s="676" t="e">
        <f t="shared" si="1045"/>
        <v>#DIV/0!</v>
      </c>
      <c r="EH146" s="682">
        <f t="shared" si="1045"/>
        <v>7.0710678118655765E-2</v>
      </c>
      <c r="EI146" s="691">
        <f t="shared" si="1045"/>
        <v>0.54772255750516607</v>
      </c>
      <c r="EJ146" s="695">
        <f t="shared" si="1045"/>
        <v>0</v>
      </c>
      <c r="EK146" s="599">
        <f t="shared" si="1045"/>
        <v>7.5630681604756105E-14</v>
      </c>
      <c r="EL146" s="652">
        <f t="shared" si="1045"/>
        <v>0</v>
      </c>
      <c r="EM146" s="652" t="s">
        <v>93</v>
      </c>
      <c r="EN146" s="599">
        <f>STDEVA(EN140:EN144)</f>
        <v>0</v>
      </c>
      <c r="EO146" s="652">
        <f t="shared" ref="EO146:FC146" si="1046">STDEVA(EO140:EO144)</f>
        <v>0</v>
      </c>
      <c r="EP146" s="675" t="e">
        <f t="shared" si="1046"/>
        <v>#VALUE!</v>
      </c>
      <c r="EQ146" s="672" t="e">
        <f t="shared" si="1046"/>
        <v>#VALUE!</v>
      </c>
      <c r="ER146" s="672" t="e">
        <f t="shared" si="1046"/>
        <v>#VALUE!</v>
      </c>
      <c r="ES146" s="675" t="e">
        <f t="shared" si="1046"/>
        <v>#VALUE!</v>
      </c>
      <c r="ET146" s="672" t="e">
        <f t="shared" si="1046"/>
        <v>#VALUE!</v>
      </c>
      <c r="EU146" s="672" t="e">
        <f t="shared" si="1046"/>
        <v>#VALUE!</v>
      </c>
      <c r="EV146" s="672" t="e">
        <f>STDEVA(EV140:EV144)</f>
        <v>#VALUE!</v>
      </c>
      <c r="EW146" s="672" t="e">
        <f t="shared" si="1046"/>
        <v>#VALUE!</v>
      </c>
      <c r="EX146" s="676" t="e">
        <f t="shared" si="1046"/>
        <v>#VALUE!</v>
      </c>
      <c r="EY146" s="682" t="e">
        <f t="shared" si="1046"/>
        <v>#DIV/0!</v>
      </c>
      <c r="EZ146" s="691" t="e">
        <f t="shared" si="1046"/>
        <v>#DIV/0!</v>
      </c>
      <c r="FA146" s="695" t="e">
        <f t="shared" si="1046"/>
        <v>#DIV/0!</v>
      </c>
      <c r="FB146" s="599" t="e">
        <f t="shared" si="1046"/>
        <v>#DIV/0!</v>
      </c>
      <c r="FC146" s="652" t="e">
        <f t="shared" si="1046"/>
        <v>#DIV/0!</v>
      </c>
      <c r="FD146" s="652" t="s">
        <v>93</v>
      </c>
      <c r="FE146" s="599">
        <f>STDEVA(FE140:FE144)</f>
        <v>0</v>
      </c>
      <c r="FF146" s="652" t="e">
        <f t="shared" ref="FF146:FT146" si="1047">STDEVA(FF140:FF144)</f>
        <v>#DIV/0!</v>
      </c>
      <c r="FG146" s="675" t="e">
        <f t="shared" si="1047"/>
        <v>#DIV/0!</v>
      </c>
      <c r="FH146" s="672" t="e">
        <f t="shared" si="1047"/>
        <v>#DIV/0!</v>
      </c>
      <c r="FI146" s="672" t="e">
        <f t="shared" si="1047"/>
        <v>#DIV/0!</v>
      </c>
      <c r="FJ146" s="675" t="e">
        <f t="shared" si="1047"/>
        <v>#DIV/0!</v>
      </c>
      <c r="FK146" s="672" t="e">
        <f t="shared" si="1047"/>
        <v>#DIV/0!</v>
      </c>
      <c r="FL146" s="672" t="e">
        <f t="shared" si="1047"/>
        <v>#DIV/0!</v>
      </c>
      <c r="FM146" s="672" t="e">
        <f>STDEVA(FM140:FM144)</f>
        <v>#DIV/0!</v>
      </c>
      <c r="FN146" s="672" t="e">
        <f t="shared" si="1047"/>
        <v>#DIV/0!</v>
      </c>
      <c r="FO146" s="676" t="e">
        <f t="shared" si="1047"/>
        <v>#DIV/0!</v>
      </c>
      <c r="FP146" s="682" t="e">
        <f t="shared" si="1047"/>
        <v>#DIV/0!</v>
      </c>
      <c r="FQ146" s="691" t="e">
        <f t="shared" si="1047"/>
        <v>#DIV/0!</v>
      </c>
      <c r="FR146" s="695" t="e">
        <f t="shared" si="1047"/>
        <v>#DIV/0!</v>
      </c>
      <c r="FS146" s="599" t="e">
        <f t="shared" si="1047"/>
        <v>#DIV/0!</v>
      </c>
      <c r="FT146" s="652" t="e">
        <f t="shared" si="1047"/>
        <v>#DIV/0!</v>
      </c>
      <c r="FU146" s="652" t="s">
        <v>93</v>
      </c>
      <c r="FV146" s="599">
        <f>STDEVA(FV140:FV144)</f>
        <v>0</v>
      </c>
      <c r="FW146" s="652" t="e">
        <f t="shared" ref="FW146:GK146" si="1048">STDEVA(FW140:FW144)</f>
        <v>#DIV/0!</v>
      </c>
      <c r="FX146" s="675" t="e">
        <f t="shared" si="1048"/>
        <v>#DIV/0!</v>
      </c>
      <c r="FY146" s="672" t="e">
        <f t="shared" si="1048"/>
        <v>#DIV/0!</v>
      </c>
      <c r="FZ146" s="672" t="e">
        <f t="shared" si="1048"/>
        <v>#DIV/0!</v>
      </c>
      <c r="GA146" s="675" t="e">
        <f t="shared" si="1048"/>
        <v>#DIV/0!</v>
      </c>
      <c r="GB146" s="672" t="e">
        <f t="shared" si="1048"/>
        <v>#DIV/0!</v>
      </c>
      <c r="GC146" s="672" t="e">
        <f t="shared" si="1048"/>
        <v>#DIV/0!</v>
      </c>
      <c r="GD146" s="672" t="e">
        <f>STDEVA(GD140:GD144)</f>
        <v>#DIV/0!</v>
      </c>
      <c r="GE146" s="672" t="e">
        <f t="shared" si="1048"/>
        <v>#DIV/0!</v>
      </c>
      <c r="GF146" s="676" t="e">
        <f t="shared" si="1048"/>
        <v>#DIV/0!</v>
      </c>
      <c r="GG146" s="682" t="e">
        <f t="shared" si="1048"/>
        <v>#DIV/0!</v>
      </c>
      <c r="GH146" s="691" t="e">
        <f t="shared" si="1048"/>
        <v>#DIV/0!</v>
      </c>
      <c r="GI146" s="695" t="e">
        <f t="shared" si="1048"/>
        <v>#DIV/0!</v>
      </c>
      <c r="GJ146" s="653" t="e">
        <f t="shared" si="1048"/>
        <v>#DIV/0!</v>
      </c>
      <c r="GK146" s="652" t="e">
        <f t="shared" si="1048"/>
        <v>#DIV/0!</v>
      </c>
      <c r="GL146" s="652" t="s">
        <v>93</v>
      </c>
      <c r="GM146" s="599">
        <f>STDEVA(GM140:GM144)</f>
        <v>0</v>
      </c>
      <c r="GN146" s="652" t="e">
        <f t="shared" ref="GN146:HB146" si="1049">STDEVA(GN140:GN144)</f>
        <v>#DIV/0!</v>
      </c>
      <c r="GO146" s="675" t="e">
        <f t="shared" si="1049"/>
        <v>#DIV/0!</v>
      </c>
      <c r="GP146" s="672" t="e">
        <f t="shared" si="1049"/>
        <v>#DIV/0!</v>
      </c>
      <c r="GQ146" s="672" t="e">
        <f t="shared" si="1049"/>
        <v>#DIV/0!</v>
      </c>
      <c r="GR146" s="675" t="e">
        <f t="shared" si="1049"/>
        <v>#DIV/0!</v>
      </c>
      <c r="GS146" s="672" t="e">
        <f t="shared" si="1049"/>
        <v>#DIV/0!</v>
      </c>
      <c r="GT146" s="672" t="e">
        <f t="shared" si="1049"/>
        <v>#DIV/0!</v>
      </c>
      <c r="GU146" s="672" t="e">
        <f>STDEVA(GU140:GU144)</f>
        <v>#DIV/0!</v>
      </c>
      <c r="GV146" s="672" t="e">
        <f t="shared" si="1049"/>
        <v>#DIV/0!</v>
      </c>
      <c r="GW146" s="676" t="e">
        <f t="shared" si="1049"/>
        <v>#DIV/0!</v>
      </c>
      <c r="GX146" s="682" t="e">
        <f t="shared" si="1049"/>
        <v>#DIV/0!</v>
      </c>
      <c r="GY146" s="691" t="e">
        <f t="shared" si="1049"/>
        <v>#DIV/0!</v>
      </c>
      <c r="GZ146" s="695" t="e">
        <f t="shared" si="1049"/>
        <v>#DIV/0!</v>
      </c>
      <c r="HA146" s="599" t="e">
        <f t="shared" si="1049"/>
        <v>#DIV/0!</v>
      </c>
      <c r="HB146" s="652" t="e">
        <f t="shared" si="1049"/>
        <v>#DIV/0!</v>
      </c>
      <c r="HC146" s="652" t="s">
        <v>93</v>
      </c>
      <c r="HD146" s="599">
        <f>STDEVA(HD140:HD144)</f>
        <v>0</v>
      </c>
      <c r="HE146" s="652" t="e">
        <f t="shared" ref="HE146:HS146" si="1050">STDEVA(HE140:HE144)</f>
        <v>#DIV/0!</v>
      </c>
      <c r="HF146" s="675" t="e">
        <f t="shared" si="1050"/>
        <v>#DIV/0!</v>
      </c>
      <c r="HG146" s="672" t="e">
        <f t="shared" si="1050"/>
        <v>#DIV/0!</v>
      </c>
      <c r="HH146" s="672" t="e">
        <f t="shared" si="1050"/>
        <v>#DIV/0!</v>
      </c>
      <c r="HI146" s="675" t="e">
        <f t="shared" si="1050"/>
        <v>#DIV/0!</v>
      </c>
      <c r="HJ146" s="672" t="e">
        <f t="shared" si="1050"/>
        <v>#DIV/0!</v>
      </c>
      <c r="HK146" s="672" t="e">
        <f t="shared" si="1050"/>
        <v>#DIV/0!</v>
      </c>
      <c r="HL146" s="672" t="e">
        <f>STDEVA(HL140:HL144)</f>
        <v>#DIV/0!</v>
      </c>
      <c r="HM146" s="672" t="e">
        <f t="shared" si="1050"/>
        <v>#DIV/0!</v>
      </c>
      <c r="HN146" s="676" t="e">
        <f t="shared" si="1050"/>
        <v>#DIV/0!</v>
      </c>
      <c r="HO146" s="682" t="e">
        <f t="shared" si="1050"/>
        <v>#DIV/0!</v>
      </c>
      <c r="HP146" s="691" t="e">
        <f t="shared" si="1050"/>
        <v>#DIV/0!</v>
      </c>
      <c r="HQ146" s="695" t="e">
        <f t="shared" si="1050"/>
        <v>#DIV/0!</v>
      </c>
      <c r="HR146" s="599" t="e">
        <f t="shared" si="1050"/>
        <v>#DIV/0!</v>
      </c>
      <c r="HS146" s="652" t="e">
        <f t="shared" si="1050"/>
        <v>#DIV/0!</v>
      </c>
      <c r="HT146" s="652" t="s">
        <v>93</v>
      </c>
      <c r="HU146" s="599">
        <f>STDEVA(HU140:HU144)</f>
        <v>0</v>
      </c>
      <c r="HV146" s="652" t="e">
        <f t="shared" ref="HV146:IJ146" si="1051">STDEVA(HV140:HV144)</f>
        <v>#DIV/0!</v>
      </c>
      <c r="HW146" s="675" t="e">
        <f t="shared" si="1051"/>
        <v>#DIV/0!</v>
      </c>
      <c r="HX146" s="672" t="e">
        <f t="shared" si="1051"/>
        <v>#DIV/0!</v>
      </c>
      <c r="HY146" s="672" t="e">
        <f t="shared" si="1051"/>
        <v>#DIV/0!</v>
      </c>
      <c r="HZ146" s="675" t="e">
        <f t="shared" si="1051"/>
        <v>#DIV/0!</v>
      </c>
      <c r="IA146" s="672" t="e">
        <f t="shared" si="1051"/>
        <v>#DIV/0!</v>
      </c>
      <c r="IB146" s="672" t="e">
        <f t="shared" si="1051"/>
        <v>#DIV/0!</v>
      </c>
      <c r="IC146" s="672" t="e">
        <f>STDEVA(IC140:IC144)</f>
        <v>#DIV/0!</v>
      </c>
      <c r="ID146" s="672" t="e">
        <f t="shared" si="1051"/>
        <v>#DIV/0!</v>
      </c>
      <c r="IE146" s="676" t="e">
        <f t="shared" si="1051"/>
        <v>#DIV/0!</v>
      </c>
      <c r="IF146" s="682" t="e">
        <f t="shared" si="1051"/>
        <v>#DIV/0!</v>
      </c>
      <c r="IG146" s="691" t="e">
        <f t="shared" si="1051"/>
        <v>#DIV/0!</v>
      </c>
      <c r="IH146" s="695" t="e">
        <f t="shared" si="1051"/>
        <v>#DIV/0!</v>
      </c>
      <c r="II146" s="599" t="e">
        <f t="shared" si="1051"/>
        <v>#DIV/0!</v>
      </c>
      <c r="IJ146" s="652" t="e">
        <f t="shared" si="1051"/>
        <v>#DIV/0!</v>
      </c>
      <c r="IK146" s="652" t="s">
        <v>93</v>
      </c>
      <c r="IL146" s="599">
        <f>STDEVA(IL140:IL144)</f>
        <v>0</v>
      </c>
      <c r="IM146" s="652" t="e">
        <f t="shared" ref="IM146:JA146" si="1052">STDEVA(IM140:IM144)</f>
        <v>#DIV/0!</v>
      </c>
      <c r="IN146" s="675" t="e">
        <f t="shared" si="1052"/>
        <v>#DIV/0!</v>
      </c>
      <c r="IO146" s="672" t="e">
        <f t="shared" si="1052"/>
        <v>#DIV/0!</v>
      </c>
      <c r="IP146" s="672" t="e">
        <f t="shared" si="1052"/>
        <v>#DIV/0!</v>
      </c>
      <c r="IQ146" s="675" t="e">
        <f t="shared" si="1052"/>
        <v>#DIV/0!</v>
      </c>
      <c r="IR146" s="672" t="e">
        <f t="shared" si="1052"/>
        <v>#DIV/0!</v>
      </c>
      <c r="IS146" s="672" t="e">
        <f t="shared" si="1052"/>
        <v>#DIV/0!</v>
      </c>
      <c r="IT146" s="672" t="e">
        <f>STDEVA(IT140:IT144)</f>
        <v>#DIV/0!</v>
      </c>
      <c r="IU146" s="672" t="e">
        <f t="shared" si="1052"/>
        <v>#DIV/0!</v>
      </c>
      <c r="IV146" s="676" t="e">
        <f t="shared" si="1052"/>
        <v>#DIV/0!</v>
      </c>
      <c r="IW146" s="682" t="e">
        <f t="shared" si="1052"/>
        <v>#DIV/0!</v>
      </c>
      <c r="IX146" s="691" t="e">
        <f t="shared" si="1052"/>
        <v>#DIV/0!</v>
      </c>
      <c r="IY146" s="695" t="e">
        <f t="shared" si="1052"/>
        <v>#DIV/0!</v>
      </c>
      <c r="IZ146" s="599" t="e">
        <f t="shared" si="1052"/>
        <v>#DIV/0!</v>
      </c>
      <c r="JA146" s="652" t="e">
        <f t="shared" si="1052"/>
        <v>#DIV/0!</v>
      </c>
      <c r="JB146" s="652" t="s">
        <v>93</v>
      </c>
      <c r="JC146" s="599">
        <f>STDEVA(JC140:JC144)</f>
        <v>0</v>
      </c>
      <c r="JD146" s="652" t="e">
        <f t="shared" ref="JD146:JR146" si="1053">STDEVA(JD140:JD144)</f>
        <v>#DIV/0!</v>
      </c>
      <c r="JE146" s="675" t="e">
        <f t="shared" si="1053"/>
        <v>#DIV/0!</v>
      </c>
      <c r="JF146" s="672" t="e">
        <f t="shared" si="1053"/>
        <v>#DIV/0!</v>
      </c>
      <c r="JG146" s="672" t="e">
        <f t="shared" si="1053"/>
        <v>#DIV/0!</v>
      </c>
      <c r="JH146" s="675" t="e">
        <f t="shared" si="1053"/>
        <v>#DIV/0!</v>
      </c>
      <c r="JI146" s="672" t="e">
        <f t="shared" si="1053"/>
        <v>#DIV/0!</v>
      </c>
      <c r="JJ146" s="672" t="e">
        <f t="shared" si="1053"/>
        <v>#DIV/0!</v>
      </c>
      <c r="JK146" s="672" t="e">
        <f>STDEVA(JK140:JK144)</f>
        <v>#DIV/0!</v>
      </c>
      <c r="JL146" s="672" t="e">
        <f t="shared" si="1053"/>
        <v>#DIV/0!</v>
      </c>
      <c r="JM146" s="676" t="e">
        <f t="shared" si="1053"/>
        <v>#DIV/0!</v>
      </c>
      <c r="JN146" s="682" t="e">
        <f t="shared" si="1053"/>
        <v>#DIV/0!</v>
      </c>
      <c r="JO146" s="691" t="e">
        <f t="shared" si="1053"/>
        <v>#DIV/0!</v>
      </c>
      <c r="JP146" s="695" t="e">
        <f t="shared" si="1053"/>
        <v>#DIV/0!</v>
      </c>
      <c r="JQ146" s="599" t="e">
        <f t="shared" si="1053"/>
        <v>#DIV/0!</v>
      </c>
      <c r="JR146" s="652" t="e">
        <f t="shared" si="1053"/>
        <v>#DIV/0!</v>
      </c>
      <c r="JS146" s="652" t="s">
        <v>93</v>
      </c>
      <c r="JT146" s="599">
        <f>STDEVA(JT140:JT144)</f>
        <v>0</v>
      </c>
      <c r="JU146" s="652" t="e">
        <f t="shared" ref="JU146:KI146" si="1054">STDEVA(JU140:JU144)</f>
        <v>#DIV/0!</v>
      </c>
      <c r="JV146" s="675" t="e">
        <f t="shared" si="1054"/>
        <v>#DIV/0!</v>
      </c>
      <c r="JW146" s="672" t="e">
        <f t="shared" si="1054"/>
        <v>#DIV/0!</v>
      </c>
      <c r="JX146" s="672" t="e">
        <f t="shared" si="1054"/>
        <v>#DIV/0!</v>
      </c>
      <c r="JY146" s="675" t="e">
        <f t="shared" si="1054"/>
        <v>#DIV/0!</v>
      </c>
      <c r="JZ146" s="672" t="e">
        <f t="shared" si="1054"/>
        <v>#DIV/0!</v>
      </c>
      <c r="KA146" s="672" t="e">
        <f t="shared" si="1054"/>
        <v>#DIV/0!</v>
      </c>
      <c r="KB146" s="672" t="e">
        <f>STDEVA(KB140:KB144)</f>
        <v>#DIV/0!</v>
      </c>
      <c r="KC146" s="672" t="e">
        <f t="shared" si="1054"/>
        <v>#DIV/0!</v>
      </c>
      <c r="KD146" s="676" t="e">
        <f t="shared" si="1054"/>
        <v>#DIV/0!</v>
      </c>
      <c r="KE146" s="682" t="e">
        <f t="shared" si="1054"/>
        <v>#DIV/0!</v>
      </c>
      <c r="KF146" s="691" t="e">
        <f t="shared" si="1054"/>
        <v>#DIV/0!</v>
      </c>
      <c r="KG146" s="695" t="e">
        <f t="shared" si="1054"/>
        <v>#DIV/0!</v>
      </c>
      <c r="KH146" s="599" t="e">
        <f t="shared" si="1054"/>
        <v>#DIV/0!</v>
      </c>
      <c r="KI146" s="652" t="e">
        <f t="shared" si="1054"/>
        <v>#DIV/0!</v>
      </c>
      <c r="KJ146" s="652" t="s">
        <v>93</v>
      </c>
      <c r="KK146" s="599">
        <f>STDEVA(KK140:KK144)</f>
        <v>0</v>
      </c>
      <c r="KL146" s="652" t="e">
        <f t="shared" ref="KL146:KZ146" si="1055">STDEVA(KL140:KL144)</f>
        <v>#DIV/0!</v>
      </c>
      <c r="KM146" s="675" t="e">
        <f t="shared" si="1055"/>
        <v>#DIV/0!</v>
      </c>
      <c r="KN146" s="672" t="e">
        <f t="shared" si="1055"/>
        <v>#DIV/0!</v>
      </c>
      <c r="KO146" s="672" t="e">
        <f t="shared" si="1055"/>
        <v>#DIV/0!</v>
      </c>
      <c r="KP146" s="675" t="e">
        <f t="shared" si="1055"/>
        <v>#DIV/0!</v>
      </c>
      <c r="KQ146" s="672" t="e">
        <f t="shared" si="1055"/>
        <v>#DIV/0!</v>
      </c>
      <c r="KR146" s="672" t="e">
        <f t="shared" si="1055"/>
        <v>#DIV/0!</v>
      </c>
      <c r="KS146" s="672" t="e">
        <f>STDEVA(KS140:KS144)</f>
        <v>#DIV/0!</v>
      </c>
      <c r="KT146" s="672" t="e">
        <f t="shared" si="1055"/>
        <v>#DIV/0!</v>
      </c>
      <c r="KU146" s="676" t="e">
        <f t="shared" si="1055"/>
        <v>#DIV/0!</v>
      </c>
      <c r="KV146" s="682" t="e">
        <f t="shared" si="1055"/>
        <v>#DIV/0!</v>
      </c>
      <c r="KW146" s="691" t="e">
        <f t="shared" si="1055"/>
        <v>#DIV/0!</v>
      </c>
      <c r="KX146" s="695" t="e">
        <f t="shared" si="1055"/>
        <v>#DIV/0!</v>
      </c>
      <c r="KY146" s="599" t="e">
        <f t="shared" si="1055"/>
        <v>#DIV/0!</v>
      </c>
      <c r="KZ146" s="652" t="e">
        <f t="shared" si="1055"/>
        <v>#DIV/0!</v>
      </c>
      <c r="LA146" s="652" t="s">
        <v>93</v>
      </c>
      <c r="LB146" s="599">
        <f>STDEVA(LB140:LB144)</f>
        <v>0</v>
      </c>
      <c r="LC146" s="652" t="e">
        <f t="shared" ref="LC146:LQ146" si="1056">STDEVA(LC140:LC144)</f>
        <v>#DIV/0!</v>
      </c>
      <c r="LD146" s="675" t="e">
        <f t="shared" si="1056"/>
        <v>#DIV/0!</v>
      </c>
      <c r="LE146" s="672" t="e">
        <f t="shared" si="1056"/>
        <v>#DIV/0!</v>
      </c>
      <c r="LF146" s="672" t="e">
        <f t="shared" si="1056"/>
        <v>#DIV/0!</v>
      </c>
      <c r="LG146" s="675" t="e">
        <f t="shared" si="1056"/>
        <v>#DIV/0!</v>
      </c>
      <c r="LH146" s="672" t="e">
        <f t="shared" si="1056"/>
        <v>#DIV/0!</v>
      </c>
      <c r="LI146" s="672" t="e">
        <f t="shared" si="1056"/>
        <v>#DIV/0!</v>
      </c>
      <c r="LJ146" s="672" t="e">
        <f>STDEVA(LJ140:LJ144)</f>
        <v>#DIV/0!</v>
      </c>
      <c r="LK146" s="672" t="e">
        <f t="shared" si="1056"/>
        <v>#DIV/0!</v>
      </c>
      <c r="LL146" s="676" t="e">
        <f t="shared" si="1056"/>
        <v>#DIV/0!</v>
      </c>
      <c r="LM146" s="682" t="e">
        <f t="shared" si="1056"/>
        <v>#DIV/0!</v>
      </c>
      <c r="LN146" s="691" t="e">
        <f t="shared" si="1056"/>
        <v>#DIV/0!</v>
      </c>
      <c r="LO146" s="695" t="e">
        <f t="shared" si="1056"/>
        <v>#DIV/0!</v>
      </c>
      <c r="LP146" s="599" t="e">
        <f t="shared" si="1056"/>
        <v>#DIV/0!</v>
      </c>
      <c r="LQ146" s="652" t="e">
        <f t="shared" si="1056"/>
        <v>#DIV/0!</v>
      </c>
      <c r="LR146" s="652" t="s">
        <v>93</v>
      </c>
      <c r="LS146" s="599">
        <f>STDEVA(LS140:LS144)</f>
        <v>0</v>
      </c>
      <c r="LT146" s="652" t="e">
        <f t="shared" ref="LT146:MH146" si="1057">STDEVA(LT140:LT144)</f>
        <v>#DIV/0!</v>
      </c>
      <c r="LU146" s="675" t="e">
        <f t="shared" si="1057"/>
        <v>#DIV/0!</v>
      </c>
      <c r="LV146" s="672" t="e">
        <f t="shared" si="1057"/>
        <v>#DIV/0!</v>
      </c>
      <c r="LW146" s="672" t="e">
        <f t="shared" si="1057"/>
        <v>#DIV/0!</v>
      </c>
      <c r="LX146" s="675" t="e">
        <f t="shared" si="1057"/>
        <v>#DIV/0!</v>
      </c>
      <c r="LY146" s="672" t="e">
        <f t="shared" si="1057"/>
        <v>#DIV/0!</v>
      </c>
      <c r="LZ146" s="672" t="e">
        <f t="shared" si="1057"/>
        <v>#DIV/0!</v>
      </c>
      <c r="MA146" s="672" t="e">
        <f>STDEVA(MA140:MA144)</f>
        <v>#DIV/0!</v>
      </c>
      <c r="MB146" s="672" t="e">
        <f t="shared" si="1057"/>
        <v>#DIV/0!</v>
      </c>
      <c r="MC146" s="676" t="e">
        <f t="shared" si="1057"/>
        <v>#DIV/0!</v>
      </c>
      <c r="MD146" s="682" t="e">
        <f t="shared" si="1057"/>
        <v>#DIV/0!</v>
      </c>
      <c r="ME146" s="691" t="e">
        <f t="shared" si="1057"/>
        <v>#DIV/0!</v>
      </c>
      <c r="MF146" s="695" t="e">
        <f t="shared" si="1057"/>
        <v>#DIV/0!</v>
      </c>
      <c r="MG146" s="599" t="e">
        <f t="shared" si="1057"/>
        <v>#DIV/0!</v>
      </c>
      <c r="MH146" s="652" t="e">
        <f t="shared" si="1057"/>
        <v>#DIV/0!</v>
      </c>
      <c r="MI146" s="652" t="s">
        <v>93</v>
      </c>
      <c r="MJ146" s="599">
        <f>STDEVA(MJ140:MJ144)</f>
        <v>0</v>
      </c>
      <c r="MK146" s="652" t="e">
        <f t="shared" ref="MK146:MY146" si="1058">STDEVA(MK140:MK144)</f>
        <v>#DIV/0!</v>
      </c>
      <c r="ML146" s="675" t="e">
        <f t="shared" si="1058"/>
        <v>#DIV/0!</v>
      </c>
      <c r="MM146" s="672" t="e">
        <f t="shared" si="1058"/>
        <v>#DIV/0!</v>
      </c>
      <c r="MN146" s="672" t="e">
        <f t="shared" si="1058"/>
        <v>#DIV/0!</v>
      </c>
      <c r="MO146" s="675" t="e">
        <f t="shared" si="1058"/>
        <v>#DIV/0!</v>
      </c>
      <c r="MP146" s="672" t="e">
        <f t="shared" si="1058"/>
        <v>#DIV/0!</v>
      </c>
      <c r="MQ146" s="672" t="e">
        <f t="shared" si="1058"/>
        <v>#DIV/0!</v>
      </c>
      <c r="MR146" s="672" t="e">
        <f>STDEVA(MR140:MR144)</f>
        <v>#DIV/0!</v>
      </c>
      <c r="MS146" s="672" t="e">
        <f t="shared" si="1058"/>
        <v>#DIV/0!</v>
      </c>
      <c r="MT146" s="676" t="e">
        <f t="shared" si="1058"/>
        <v>#DIV/0!</v>
      </c>
      <c r="MU146" s="682">
        <f t="shared" si="1058"/>
        <v>0.10954451150103332</v>
      </c>
      <c r="MV146" s="691">
        <f t="shared" si="1058"/>
        <v>0.83666002653407556</v>
      </c>
      <c r="MW146" s="695">
        <f t="shared" si="1058"/>
        <v>0</v>
      </c>
      <c r="MX146" s="599">
        <f t="shared" si="1058"/>
        <v>9.6798760322642884E-14</v>
      </c>
      <c r="MY146" s="652">
        <f t="shared" si="1058"/>
        <v>0</v>
      </c>
      <c r="MZ146" s="652" t="s">
        <v>93</v>
      </c>
      <c r="NA146" s="599">
        <f>STDEVA(NA140:NA144)</f>
        <v>0</v>
      </c>
      <c r="NB146" s="652">
        <f t="shared" ref="NB146:NP146" si="1059">STDEVA(NB140:NB144)</f>
        <v>0</v>
      </c>
      <c r="NC146" s="675" t="e">
        <f t="shared" si="1059"/>
        <v>#VALUE!</v>
      </c>
      <c r="ND146" s="672" t="e">
        <f t="shared" si="1059"/>
        <v>#VALUE!</v>
      </c>
      <c r="NE146" s="672" t="e">
        <f t="shared" si="1059"/>
        <v>#VALUE!</v>
      </c>
      <c r="NF146" s="675" t="e">
        <f t="shared" si="1059"/>
        <v>#VALUE!</v>
      </c>
      <c r="NG146" s="672" t="e">
        <f t="shared" si="1059"/>
        <v>#VALUE!</v>
      </c>
      <c r="NH146" s="672" t="e">
        <f t="shared" si="1059"/>
        <v>#VALUE!</v>
      </c>
      <c r="NI146" s="672" t="e">
        <f>STDEVA(NI140:NI144)</f>
        <v>#VALUE!</v>
      </c>
      <c r="NJ146" s="672" t="e">
        <f t="shared" si="1059"/>
        <v>#VALUE!</v>
      </c>
      <c r="NK146" s="676" t="e">
        <f t="shared" si="1059"/>
        <v>#VALUE!</v>
      </c>
      <c r="NL146" s="682" t="e">
        <f t="shared" si="1059"/>
        <v>#DIV/0!</v>
      </c>
      <c r="NM146" s="691" t="e">
        <f t="shared" si="1059"/>
        <v>#DIV/0!</v>
      </c>
      <c r="NN146" s="695" t="e">
        <f t="shared" si="1059"/>
        <v>#DIV/0!</v>
      </c>
      <c r="NO146" s="599" t="e">
        <f t="shared" si="1059"/>
        <v>#DIV/0!</v>
      </c>
      <c r="NP146" s="652" t="e">
        <f t="shared" si="1059"/>
        <v>#DIV/0!</v>
      </c>
      <c r="NQ146" s="652" t="s">
        <v>93</v>
      </c>
      <c r="NR146" s="599">
        <f>STDEVA(NR140:NR144)</f>
        <v>0</v>
      </c>
      <c r="NS146" s="652" t="e">
        <f t="shared" ref="NS146:OG146" si="1060">STDEVA(NS140:NS144)</f>
        <v>#DIV/0!</v>
      </c>
      <c r="NT146" s="675" t="e">
        <f t="shared" si="1060"/>
        <v>#DIV/0!</v>
      </c>
      <c r="NU146" s="672" t="e">
        <f t="shared" si="1060"/>
        <v>#DIV/0!</v>
      </c>
      <c r="NV146" s="672" t="e">
        <f t="shared" si="1060"/>
        <v>#DIV/0!</v>
      </c>
      <c r="NW146" s="675" t="e">
        <f t="shared" si="1060"/>
        <v>#DIV/0!</v>
      </c>
      <c r="NX146" s="672" t="e">
        <f t="shared" si="1060"/>
        <v>#DIV/0!</v>
      </c>
      <c r="NY146" s="672" t="e">
        <f t="shared" si="1060"/>
        <v>#DIV/0!</v>
      </c>
      <c r="NZ146" s="672" t="e">
        <f>STDEVA(NZ140:NZ144)</f>
        <v>#DIV/0!</v>
      </c>
      <c r="OA146" s="672" t="e">
        <f t="shared" si="1060"/>
        <v>#DIV/0!</v>
      </c>
      <c r="OB146" s="676" t="e">
        <f t="shared" si="1060"/>
        <v>#DIV/0!</v>
      </c>
      <c r="OC146" s="682">
        <f t="shared" si="1060"/>
        <v>0</v>
      </c>
      <c r="OD146" s="691">
        <f t="shared" si="1060"/>
        <v>0.54772255750516607</v>
      </c>
      <c r="OE146" s="695">
        <f t="shared" si="1060"/>
        <v>0</v>
      </c>
      <c r="OF146" s="599">
        <f t="shared" si="1060"/>
        <v>1.9201562436427158E-13</v>
      </c>
      <c r="OG146" s="652">
        <f t="shared" si="1060"/>
        <v>0</v>
      </c>
      <c r="OH146" s="652" t="s">
        <v>93</v>
      </c>
      <c r="OI146" s="599">
        <f>STDEVA(OI140:OI144)</f>
        <v>0</v>
      </c>
      <c r="OJ146" s="652">
        <f t="shared" ref="OJ146:OX146" si="1061">STDEVA(OJ140:OJ144)</f>
        <v>0</v>
      </c>
      <c r="OK146" s="675" t="e">
        <f t="shared" si="1061"/>
        <v>#VALUE!</v>
      </c>
      <c r="OL146" s="672" t="e">
        <f t="shared" si="1061"/>
        <v>#VALUE!</v>
      </c>
      <c r="OM146" s="672" t="e">
        <f t="shared" si="1061"/>
        <v>#VALUE!</v>
      </c>
      <c r="ON146" s="675" t="e">
        <f t="shared" si="1061"/>
        <v>#VALUE!</v>
      </c>
      <c r="OO146" s="672" t="e">
        <f t="shared" si="1061"/>
        <v>#VALUE!</v>
      </c>
      <c r="OP146" s="672" t="e">
        <f t="shared" si="1061"/>
        <v>#VALUE!</v>
      </c>
      <c r="OQ146" s="672" t="e">
        <f>STDEVA(OQ140:OQ144)</f>
        <v>#VALUE!</v>
      </c>
      <c r="OR146" s="672" t="e">
        <f t="shared" si="1061"/>
        <v>#VALUE!</v>
      </c>
      <c r="OS146" s="676" t="e">
        <f t="shared" si="1061"/>
        <v>#VALUE!</v>
      </c>
      <c r="OT146" s="682" t="e">
        <f t="shared" si="1061"/>
        <v>#DIV/0!</v>
      </c>
      <c r="OU146" s="691" t="e">
        <f t="shared" si="1061"/>
        <v>#DIV/0!</v>
      </c>
      <c r="OV146" s="695" t="e">
        <f t="shared" si="1061"/>
        <v>#DIV/0!</v>
      </c>
      <c r="OW146" s="599" t="e">
        <f t="shared" si="1061"/>
        <v>#DIV/0!</v>
      </c>
      <c r="OX146" s="652" t="e">
        <f t="shared" si="1061"/>
        <v>#DIV/0!</v>
      </c>
      <c r="OY146" s="652" t="s">
        <v>93</v>
      </c>
      <c r="OZ146" s="599">
        <f>STDEVA(OZ140:OZ144)</f>
        <v>0</v>
      </c>
      <c r="PA146" s="652" t="e">
        <f t="shared" ref="PA146:PO146" si="1062">STDEVA(PA140:PA144)</f>
        <v>#DIV/0!</v>
      </c>
      <c r="PB146" s="675" t="e">
        <f t="shared" si="1062"/>
        <v>#DIV/0!</v>
      </c>
      <c r="PC146" s="672" t="e">
        <f t="shared" si="1062"/>
        <v>#DIV/0!</v>
      </c>
      <c r="PD146" s="672" t="e">
        <f t="shared" si="1062"/>
        <v>#DIV/0!</v>
      </c>
      <c r="PE146" s="675" t="e">
        <f t="shared" si="1062"/>
        <v>#DIV/0!</v>
      </c>
      <c r="PF146" s="672" t="e">
        <f t="shared" si="1062"/>
        <v>#DIV/0!</v>
      </c>
      <c r="PG146" s="672" t="e">
        <f t="shared" si="1062"/>
        <v>#DIV/0!</v>
      </c>
      <c r="PH146" s="672" t="e">
        <f>STDEVA(PH140:PH144)</f>
        <v>#DIV/0!</v>
      </c>
      <c r="PI146" s="672" t="e">
        <f t="shared" si="1062"/>
        <v>#DIV/0!</v>
      </c>
      <c r="PJ146" s="676" t="e">
        <f t="shared" si="1062"/>
        <v>#DIV/0!</v>
      </c>
      <c r="PK146" s="682" t="e">
        <f t="shared" si="1062"/>
        <v>#DIV/0!</v>
      </c>
      <c r="PL146" s="691" t="e">
        <f t="shared" si="1062"/>
        <v>#DIV/0!</v>
      </c>
      <c r="PM146" s="695" t="e">
        <f t="shared" si="1062"/>
        <v>#DIV/0!</v>
      </c>
      <c r="PN146" s="599" t="e">
        <f t="shared" si="1062"/>
        <v>#DIV/0!</v>
      </c>
      <c r="PO146" s="652" t="e">
        <f t="shared" si="1062"/>
        <v>#DIV/0!</v>
      </c>
      <c r="PP146" s="652" t="s">
        <v>93</v>
      </c>
      <c r="PQ146" s="599">
        <f>STDEVA(PQ140:PQ144)</f>
        <v>0</v>
      </c>
      <c r="PR146" s="652" t="e">
        <f t="shared" ref="PR146:QF146" si="1063">STDEVA(PR140:PR144)</f>
        <v>#DIV/0!</v>
      </c>
      <c r="PS146" s="675" t="e">
        <f t="shared" si="1063"/>
        <v>#DIV/0!</v>
      </c>
      <c r="PT146" s="672" t="e">
        <f t="shared" si="1063"/>
        <v>#DIV/0!</v>
      </c>
      <c r="PU146" s="672" t="e">
        <f t="shared" si="1063"/>
        <v>#DIV/0!</v>
      </c>
      <c r="PV146" s="675" t="e">
        <f t="shared" si="1063"/>
        <v>#DIV/0!</v>
      </c>
      <c r="PW146" s="672" t="e">
        <f t="shared" si="1063"/>
        <v>#DIV/0!</v>
      </c>
      <c r="PX146" s="672" t="e">
        <f t="shared" si="1063"/>
        <v>#DIV/0!</v>
      </c>
      <c r="PY146" s="672" t="e">
        <f>STDEVA(PY140:PY144)</f>
        <v>#DIV/0!</v>
      </c>
      <c r="PZ146" s="672" t="e">
        <f t="shared" si="1063"/>
        <v>#DIV/0!</v>
      </c>
      <c r="QA146" s="676" t="e">
        <f t="shared" si="1063"/>
        <v>#DIV/0!</v>
      </c>
      <c r="QB146" s="682" t="e">
        <f t="shared" si="1063"/>
        <v>#DIV/0!</v>
      </c>
      <c r="QC146" s="691" t="e">
        <f t="shared" si="1063"/>
        <v>#DIV/0!</v>
      </c>
      <c r="QD146" s="695" t="e">
        <f t="shared" si="1063"/>
        <v>#DIV/0!</v>
      </c>
      <c r="QE146" s="599" t="e">
        <f t="shared" si="1063"/>
        <v>#DIV/0!</v>
      </c>
      <c r="QF146" s="652" t="e">
        <f t="shared" si="1063"/>
        <v>#DIV/0!</v>
      </c>
      <c r="QG146" s="652" t="s">
        <v>93</v>
      </c>
      <c r="QH146" s="599">
        <f>STDEVA(QH140:QH144)</f>
        <v>0</v>
      </c>
      <c r="QI146" s="652" t="e">
        <f t="shared" ref="QI146:QW146" si="1064">STDEVA(QI140:QI144)</f>
        <v>#DIV/0!</v>
      </c>
      <c r="QJ146" s="675" t="e">
        <f t="shared" si="1064"/>
        <v>#DIV/0!</v>
      </c>
      <c r="QK146" s="672" t="e">
        <f t="shared" si="1064"/>
        <v>#DIV/0!</v>
      </c>
      <c r="QL146" s="672" t="e">
        <f t="shared" si="1064"/>
        <v>#DIV/0!</v>
      </c>
      <c r="QM146" s="675" t="e">
        <f t="shared" si="1064"/>
        <v>#DIV/0!</v>
      </c>
      <c r="QN146" s="672" t="e">
        <f t="shared" si="1064"/>
        <v>#DIV/0!</v>
      </c>
      <c r="QO146" s="672" t="e">
        <f t="shared" si="1064"/>
        <v>#DIV/0!</v>
      </c>
      <c r="QP146" s="672" t="e">
        <f>STDEVA(QP140:QP144)</f>
        <v>#DIV/0!</v>
      </c>
      <c r="QQ146" s="672" t="e">
        <f t="shared" si="1064"/>
        <v>#DIV/0!</v>
      </c>
      <c r="QR146" s="676" t="e">
        <f t="shared" si="1064"/>
        <v>#DIV/0!</v>
      </c>
      <c r="QS146" s="682" t="e">
        <f t="shared" si="1064"/>
        <v>#DIV/0!</v>
      </c>
      <c r="QT146" s="691" t="e">
        <f t="shared" si="1064"/>
        <v>#DIV/0!</v>
      </c>
      <c r="QU146" s="619" t="e">
        <f t="shared" si="1064"/>
        <v>#DIV/0!</v>
      </c>
      <c r="QV146" s="672" t="e">
        <f t="shared" si="1064"/>
        <v>#DIV/0!</v>
      </c>
      <c r="QW146" s="652" t="e">
        <f t="shared" si="1064"/>
        <v>#DIV/0!</v>
      </c>
      <c r="QX146" s="652" t="s">
        <v>93</v>
      </c>
      <c r="QY146" s="599">
        <f>STDEVA(QY140:QY144)</f>
        <v>0</v>
      </c>
      <c r="QZ146" s="652" t="e">
        <f t="shared" ref="QZ146:RN146" si="1065">STDEVA(QZ140:QZ144)</f>
        <v>#DIV/0!</v>
      </c>
      <c r="RA146" s="675" t="e">
        <f t="shared" si="1065"/>
        <v>#DIV/0!</v>
      </c>
      <c r="RB146" s="672" t="e">
        <f t="shared" si="1065"/>
        <v>#DIV/0!</v>
      </c>
      <c r="RC146" s="672" t="e">
        <f t="shared" si="1065"/>
        <v>#DIV/0!</v>
      </c>
      <c r="RD146" s="675" t="e">
        <f t="shared" si="1065"/>
        <v>#DIV/0!</v>
      </c>
      <c r="RE146" s="672" t="e">
        <f t="shared" si="1065"/>
        <v>#DIV/0!</v>
      </c>
      <c r="RF146" s="672" t="e">
        <f t="shared" si="1065"/>
        <v>#DIV/0!</v>
      </c>
      <c r="RG146" s="672" t="e">
        <f>STDEVA(RG140:RG144)</f>
        <v>#DIV/0!</v>
      </c>
      <c r="RH146" s="672" t="e">
        <f t="shared" si="1065"/>
        <v>#DIV/0!</v>
      </c>
      <c r="RI146" s="676" t="e">
        <f t="shared" si="1065"/>
        <v>#DIV/0!</v>
      </c>
      <c r="RJ146" s="682">
        <f t="shared" si="1065"/>
        <v>4.4721359549996433E-2</v>
      </c>
      <c r="RK146" s="691">
        <f t="shared" si="1065"/>
        <v>0.44721359549995793</v>
      </c>
      <c r="RL146" s="695">
        <f t="shared" si="1065"/>
        <v>0</v>
      </c>
      <c r="RM146" s="599">
        <f t="shared" si="1065"/>
        <v>7.6615925237512009E-14</v>
      </c>
      <c r="RN146" s="652">
        <f t="shared" si="1065"/>
        <v>0</v>
      </c>
      <c r="RO146" s="652" t="s">
        <v>93</v>
      </c>
      <c r="RP146" s="599">
        <f>STDEVA(RP140:RP144)</f>
        <v>0</v>
      </c>
      <c r="RQ146" s="652">
        <f t="shared" ref="RQ146:SE146" si="1066">STDEVA(RQ140:RQ144)</f>
        <v>0</v>
      </c>
      <c r="RR146" s="675" t="e">
        <f t="shared" si="1066"/>
        <v>#VALUE!</v>
      </c>
      <c r="RS146" s="672" t="e">
        <f t="shared" si="1066"/>
        <v>#VALUE!</v>
      </c>
      <c r="RT146" s="672" t="e">
        <f t="shared" si="1066"/>
        <v>#VALUE!</v>
      </c>
      <c r="RU146" s="675" t="e">
        <f t="shared" si="1066"/>
        <v>#VALUE!</v>
      </c>
      <c r="RV146" s="672" t="e">
        <f t="shared" si="1066"/>
        <v>#VALUE!</v>
      </c>
      <c r="RW146" s="672" t="e">
        <f t="shared" si="1066"/>
        <v>#VALUE!</v>
      </c>
      <c r="RX146" s="672" t="e">
        <f>STDEVA(RX140:RX144)</f>
        <v>#VALUE!</v>
      </c>
      <c r="RY146" s="672" t="e">
        <f t="shared" si="1066"/>
        <v>#VALUE!</v>
      </c>
      <c r="RZ146" s="676" t="e">
        <f t="shared" si="1066"/>
        <v>#VALUE!</v>
      </c>
      <c r="SA146" s="682">
        <f t="shared" si="1066"/>
        <v>4.4721359549996433E-2</v>
      </c>
      <c r="SB146" s="691">
        <f t="shared" si="1066"/>
        <v>0</v>
      </c>
      <c r="SC146" s="695">
        <f t="shared" si="1066"/>
        <v>0</v>
      </c>
      <c r="SD146" s="599">
        <f t="shared" si="1066"/>
        <v>1.1401754250990684E-13</v>
      </c>
      <c r="SE146" s="652">
        <f t="shared" si="1066"/>
        <v>0</v>
      </c>
      <c r="SF146" s="652" t="s">
        <v>93</v>
      </c>
      <c r="SG146" s="599">
        <f>STDEVA(SG140:SG144)</f>
        <v>0</v>
      </c>
      <c r="SH146" s="652">
        <f t="shared" ref="SH146:SV146" si="1067">STDEVA(SH140:SH144)</f>
        <v>0</v>
      </c>
      <c r="SI146" s="675" t="e">
        <f t="shared" si="1067"/>
        <v>#VALUE!</v>
      </c>
      <c r="SJ146" s="672" t="e">
        <f t="shared" si="1067"/>
        <v>#VALUE!</v>
      </c>
      <c r="SK146" s="672" t="e">
        <f t="shared" si="1067"/>
        <v>#VALUE!</v>
      </c>
      <c r="SL146" s="675" t="e">
        <f t="shared" si="1067"/>
        <v>#VALUE!</v>
      </c>
      <c r="SM146" s="672" t="e">
        <f t="shared" si="1067"/>
        <v>#VALUE!</v>
      </c>
      <c r="SN146" s="672" t="e">
        <f t="shared" si="1067"/>
        <v>#VALUE!</v>
      </c>
      <c r="SO146" s="672" t="e">
        <f>STDEVA(SO140:SO144)</f>
        <v>#VALUE!</v>
      </c>
      <c r="SP146" s="672" t="e">
        <f t="shared" si="1067"/>
        <v>#VALUE!</v>
      </c>
      <c r="SQ146" s="676" t="e">
        <f t="shared" si="1067"/>
        <v>#VALUE!</v>
      </c>
      <c r="SR146" s="682" t="e">
        <f t="shared" si="1067"/>
        <v>#DIV/0!</v>
      </c>
      <c r="SS146" s="691" t="e">
        <f t="shared" si="1067"/>
        <v>#DIV/0!</v>
      </c>
      <c r="ST146" s="695" t="e">
        <f t="shared" si="1067"/>
        <v>#DIV/0!</v>
      </c>
      <c r="SU146" s="599" t="e">
        <f t="shared" si="1067"/>
        <v>#DIV/0!</v>
      </c>
      <c r="SV146" s="652" t="e">
        <f t="shared" si="1067"/>
        <v>#DIV/0!</v>
      </c>
      <c r="SW146" s="652" t="s">
        <v>93</v>
      </c>
      <c r="SX146" s="599">
        <f>STDEVA(SX140:SX144)</f>
        <v>0</v>
      </c>
      <c r="SY146" s="652" t="e">
        <f t="shared" ref="SY146:TM146" si="1068">STDEVA(SY140:SY144)</f>
        <v>#DIV/0!</v>
      </c>
      <c r="SZ146" s="675" t="e">
        <f t="shared" si="1068"/>
        <v>#DIV/0!</v>
      </c>
      <c r="TA146" s="672" t="e">
        <f t="shared" si="1068"/>
        <v>#DIV/0!</v>
      </c>
      <c r="TB146" s="672" t="e">
        <f t="shared" si="1068"/>
        <v>#DIV/0!</v>
      </c>
      <c r="TC146" s="675" t="e">
        <f t="shared" si="1068"/>
        <v>#DIV/0!</v>
      </c>
      <c r="TD146" s="672" t="e">
        <f t="shared" si="1068"/>
        <v>#DIV/0!</v>
      </c>
      <c r="TE146" s="672" t="e">
        <f t="shared" si="1068"/>
        <v>#DIV/0!</v>
      </c>
      <c r="TF146" s="672" t="e">
        <f>STDEVA(TF140:TF144)</f>
        <v>#DIV/0!</v>
      </c>
      <c r="TG146" s="672" t="e">
        <f t="shared" si="1068"/>
        <v>#DIV/0!</v>
      </c>
      <c r="TH146" s="676" t="e">
        <f t="shared" si="1068"/>
        <v>#DIV/0!</v>
      </c>
      <c r="TI146" s="682">
        <f t="shared" si="1068"/>
        <v>8.9442719099991269E-2</v>
      </c>
      <c r="TJ146" s="691">
        <f t="shared" si="1068"/>
        <v>0</v>
      </c>
      <c r="TK146" s="695">
        <f t="shared" si="1068"/>
        <v>0</v>
      </c>
      <c r="TL146" s="599">
        <f t="shared" si="1068"/>
        <v>7.1763500472036976E-14</v>
      </c>
      <c r="TM146" s="652">
        <f t="shared" si="1068"/>
        <v>0</v>
      </c>
      <c r="TN146" s="652" t="s">
        <v>93</v>
      </c>
      <c r="TO146" s="599">
        <f>STDEVA(TO140:TO144)</f>
        <v>0</v>
      </c>
      <c r="TP146" s="652">
        <f t="shared" ref="TP146:TY146" si="1069">STDEVA(TP140:TP144)</f>
        <v>0</v>
      </c>
      <c r="TQ146" s="675" t="e">
        <f t="shared" si="1069"/>
        <v>#VALUE!</v>
      </c>
      <c r="TR146" s="672" t="e">
        <f t="shared" si="1069"/>
        <v>#VALUE!</v>
      </c>
      <c r="TS146" s="672" t="e">
        <f t="shared" si="1069"/>
        <v>#VALUE!</v>
      </c>
      <c r="TT146" s="675" t="e">
        <f t="shared" si="1069"/>
        <v>#VALUE!</v>
      </c>
      <c r="TU146" s="672" t="e">
        <f t="shared" si="1069"/>
        <v>#VALUE!</v>
      </c>
      <c r="TV146" s="672" t="e">
        <f t="shared" si="1069"/>
        <v>#VALUE!</v>
      </c>
      <c r="TW146" s="672" t="e">
        <f>STDEVA(TW140:TW144)</f>
        <v>#VALUE!</v>
      </c>
      <c r="TX146" s="672" t="e">
        <f t="shared" si="1069"/>
        <v>#VALUE!</v>
      </c>
      <c r="TY146" s="676" t="e">
        <f t="shared" si="1069"/>
        <v>#VALUE!</v>
      </c>
    </row>
    <row r="147" spans="1:545" x14ac:dyDescent="0.25">
      <c r="A147" s="1537" t="s">
        <v>63</v>
      </c>
      <c r="B147" s="688"/>
      <c r="C147" s="619"/>
      <c r="D147" s="619"/>
      <c r="E147" s="672"/>
      <c r="F147" s="619"/>
      <c r="G147" s="619"/>
      <c r="H147" s="672"/>
      <c r="I147" s="619"/>
      <c r="J147" s="675"/>
      <c r="K147" s="672"/>
      <c r="L147" s="672"/>
      <c r="M147" s="675"/>
      <c r="N147" s="672"/>
      <c r="O147" s="672"/>
      <c r="P147" s="672"/>
      <c r="Q147" s="672"/>
      <c r="R147" s="676"/>
      <c r="S147" s="1538" t="e">
        <f t="shared" ref="S147:W147" si="1070">S146/S145*100</f>
        <v>#DIV/0!</v>
      </c>
      <c r="T147" s="1538" t="e">
        <f t="shared" si="1070"/>
        <v>#DIV/0!</v>
      </c>
      <c r="U147" s="1539" t="e">
        <f t="shared" si="1070"/>
        <v>#DIV/0!</v>
      </c>
      <c r="V147" s="672" t="e">
        <f t="shared" si="1070"/>
        <v>#DIV/0!</v>
      </c>
      <c r="W147" s="619" t="e">
        <f t="shared" si="1070"/>
        <v>#DIV/0!</v>
      </c>
      <c r="X147" s="619" t="s">
        <v>93</v>
      </c>
      <c r="Y147" s="672" t="e">
        <f>Y146/Y145*100</f>
        <v>#DIV/0!</v>
      </c>
      <c r="Z147" s="619" t="e">
        <f t="shared" ref="Z147:AN147" si="1071">Z146/Z145*100</f>
        <v>#DIV/0!</v>
      </c>
      <c r="AA147" s="675" t="e">
        <f t="shared" si="1071"/>
        <v>#DIV/0!</v>
      </c>
      <c r="AB147" s="672" t="e">
        <f t="shared" si="1071"/>
        <v>#DIV/0!</v>
      </c>
      <c r="AC147" s="672" t="e">
        <f t="shared" si="1071"/>
        <v>#DIV/0!</v>
      </c>
      <c r="AD147" s="675" t="e">
        <f t="shared" si="1071"/>
        <v>#DIV/0!</v>
      </c>
      <c r="AE147" s="672" t="e">
        <f t="shared" si="1071"/>
        <v>#DIV/0!</v>
      </c>
      <c r="AF147" s="672" t="e">
        <f t="shared" si="1071"/>
        <v>#DIV/0!</v>
      </c>
      <c r="AG147" s="672" t="e">
        <f>AG146/AG145*100</f>
        <v>#DIV/0!</v>
      </c>
      <c r="AH147" s="672" t="e">
        <f t="shared" si="1071"/>
        <v>#DIV/0!</v>
      </c>
      <c r="AI147" s="676" t="e">
        <f t="shared" si="1071"/>
        <v>#DIV/0!</v>
      </c>
      <c r="AJ147" s="1538" t="e">
        <f t="shared" si="1071"/>
        <v>#DIV/0!</v>
      </c>
      <c r="AK147" s="1538" t="e">
        <f t="shared" si="1071"/>
        <v>#DIV/0!</v>
      </c>
      <c r="AL147" s="1539" t="e">
        <f t="shared" si="1071"/>
        <v>#DIV/0!</v>
      </c>
      <c r="AM147" s="672" t="e">
        <f t="shared" si="1071"/>
        <v>#DIV/0!</v>
      </c>
      <c r="AN147" s="619" t="e">
        <f t="shared" si="1071"/>
        <v>#DIV/0!</v>
      </c>
      <c r="AO147" s="619" t="s">
        <v>93</v>
      </c>
      <c r="AP147" s="672" t="e">
        <f>AP146/AP145*100</f>
        <v>#DIV/0!</v>
      </c>
      <c r="AQ147" s="619" t="e">
        <f t="shared" ref="AQ147:BE147" si="1072">AQ146/AQ145*100</f>
        <v>#DIV/0!</v>
      </c>
      <c r="AR147" s="675" t="e">
        <f t="shared" si="1072"/>
        <v>#DIV/0!</v>
      </c>
      <c r="AS147" s="672" t="e">
        <f t="shared" si="1072"/>
        <v>#DIV/0!</v>
      </c>
      <c r="AT147" s="672" t="e">
        <f t="shared" si="1072"/>
        <v>#DIV/0!</v>
      </c>
      <c r="AU147" s="675" t="e">
        <f t="shared" si="1072"/>
        <v>#DIV/0!</v>
      </c>
      <c r="AV147" s="672" t="e">
        <f t="shared" si="1072"/>
        <v>#DIV/0!</v>
      </c>
      <c r="AW147" s="672" t="e">
        <f t="shared" si="1072"/>
        <v>#DIV/0!</v>
      </c>
      <c r="AX147" s="672" t="e">
        <f>AX146/AX145*100</f>
        <v>#DIV/0!</v>
      </c>
      <c r="AY147" s="672" t="e">
        <f t="shared" si="1072"/>
        <v>#DIV/0!</v>
      </c>
      <c r="AZ147" s="676" t="e">
        <f t="shared" si="1072"/>
        <v>#DIV/0!</v>
      </c>
      <c r="BA147" s="688">
        <f t="shared" si="1072"/>
        <v>0.48543689320388173</v>
      </c>
      <c r="BB147" s="1538">
        <f t="shared" si="1072"/>
        <v>1.5845833835872645</v>
      </c>
      <c r="BC147" s="1539">
        <f t="shared" si="1072"/>
        <v>0</v>
      </c>
      <c r="BD147" s="672">
        <f t="shared" si="1072"/>
        <v>-3.1106072295568842E-2</v>
      </c>
      <c r="BE147" s="619">
        <f t="shared" si="1072"/>
        <v>0</v>
      </c>
      <c r="BF147" s="619" t="s">
        <v>93</v>
      </c>
      <c r="BG147" s="672" t="e">
        <f>BG146/BG145*100</f>
        <v>#DIV/0!</v>
      </c>
      <c r="BH147" s="619" t="e">
        <f t="shared" ref="BH147:BV147" si="1073">BH146/BH145*100</f>
        <v>#DIV/0!</v>
      </c>
      <c r="BI147" s="675" t="e">
        <f t="shared" si="1073"/>
        <v>#VALUE!</v>
      </c>
      <c r="BJ147" s="672" t="e">
        <f t="shared" si="1073"/>
        <v>#VALUE!</v>
      </c>
      <c r="BK147" s="672" t="e">
        <f t="shared" si="1073"/>
        <v>#VALUE!</v>
      </c>
      <c r="BL147" s="675" t="e">
        <f t="shared" si="1073"/>
        <v>#VALUE!</v>
      </c>
      <c r="BM147" s="672" t="e">
        <f t="shared" si="1073"/>
        <v>#VALUE!</v>
      </c>
      <c r="BN147" s="672" t="e">
        <f t="shared" si="1073"/>
        <v>#VALUE!</v>
      </c>
      <c r="BO147" s="672" t="e">
        <f>BO146/BO145*100</f>
        <v>#VALUE!</v>
      </c>
      <c r="BP147" s="672" t="e">
        <f t="shared" si="1073"/>
        <v>#VALUE!</v>
      </c>
      <c r="BQ147" s="676" t="e">
        <f t="shared" si="1073"/>
        <v>#VALUE!</v>
      </c>
      <c r="BR147" s="688">
        <f t="shared" si="1073"/>
        <v>0.53228625607887659</v>
      </c>
      <c r="BS147" s="1538">
        <f t="shared" si="1073"/>
        <v>1.0824556472434113</v>
      </c>
      <c r="BT147" s="1539">
        <f t="shared" si="1073"/>
        <v>0</v>
      </c>
      <c r="BU147" s="672">
        <f t="shared" si="1073"/>
        <v>-0.60658922129340931</v>
      </c>
      <c r="BV147" s="619">
        <f t="shared" si="1073"/>
        <v>0</v>
      </c>
      <c r="BW147" s="619" t="s">
        <v>93</v>
      </c>
      <c r="BX147" s="672" t="e">
        <f>BX146/BX145*100</f>
        <v>#DIV/0!</v>
      </c>
      <c r="BY147" s="619" t="e">
        <f t="shared" ref="BY147:CM147" si="1074">BY146/BY145*100</f>
        <v>#DIV/0!</v>
      </c>
      <c r="BZ147" s="675" t="e">
        <f t="shared" si="1074"/>
        <v>#VALUE!</v>
      </c>
      <c r="CA147" s="672" t="e">
        <f t="shared" si="1074"/>
        <v>#VALUE!</v>
      </c>
      <c r="CB147" s="672" t="e">
        <f t="shared" si="1074"/>
        <v>#VALUE!</v>
      </c>
      <c r="CC147" s="675" t="e">
        <f t="shared" si="1074"/>
        <v>#VALUE!</v>
      </c>
      <c r="CD147" s="672" t="e">
        <f t="shared" si="1074"/>
        <v>#VALUE!</v>
      </c>
      <c r="CE147" s="672" t="e">
        <f t="shared" si="1074"/>
        <v>#VALUE!</v>
      </c>
      <c r="CF147" s="672" t="e">
        <f>CF146/CF145*100</f>
        <v>#VALUE!</v>
      </c>
      <c r="CG147" s="672" t="e">
        <f t="shared" si="1074"/>
        <v>#VALUE!</v>
      </c>
      <c r="CH147" s="676" t="e">
        <f t="shared" si="1074"/>
        <v>#VALUE!</v>
      </c>
      <c r="CI147" s="688">
        <f t="shared" si="1074"/>
        <v>0.5572704912508023</v>
      </c>
      <c r="CJ147" s="1538">
        <f t="shared" si="1074"/>
        <v>1.7401307217897195</v>
      </c>
      <c r="CK147" s="1539">
        <f t="shared" si="1074"/>
        <v>0</v>
      </c>
      <c r="CL147" s="672">
        <f t="shared" si="1074"/>
        <v>-4.3622376354350172E-2</v>
      </c>
      <c r="CM147" s="619">
        <f t="shared" si="1074"/>
        <v>0</v>
      </c>
      <c r="CN147" s="619" t="s">
        <v>93</v>
      </c>
      <c r="CO147" s="672" t="e">
        <f>CO146/CO145*100</f>
        <v>#DIV/0!</v>
      </c>
      <c r="CP147" s="619" t="e">
        <f t="shared" ref="CP147:DD147" si="1075">CP146/CP145*100</f>
        <v>#DIV/0!</v>
      </c>
      <c r="CQ147" s="675" t="e">
        <f t="shared" si="1075"/>
        <v>#VALUE!</v>
      </c>
      <c r="CR147" s="672" t="e">
        <f t="shared" si="1075"/>
        <v>#VALUE!</v>
      </c>
      <c r="CS147" s="672" t="e">
        <f t="shared" si="1075"/>
        <v>#VALUE!</v>
      </c>
      <c r="CT147" s="675" t="e">
        <f t="shared" si="1075"/>
        <v>#VALUE!</v>
      </c>
      <c r="CU147" s="672" t="e">
        <f t="shared" si="1075"/>
        <v>#VALUE!</v>
      </c>
      <c r="CV147" s="672" t="e">
        <f t="shared" si="1075"/>
        <v>#VALUE!</v>
      </c>
      <c r="CW147" s="672" t="e">
        <f>CW146/CW145*100</f>
        <v>#VALUE!</v>
      </c>
      <c r="CX147" s="672" t="e">
        <f t="shared" si="1075"/>
        <v>#VALUE!</v>
      </c>
      <c r="CY147" s="676" t="e">
        <f t="shared" si="1075"/>
        <v>#VALUE!</v>
      </c>
      <c r="CZ147" s="688" t="e">
        <f t="shared" si="1075"/>
        <v>#DIV/0!</v>
      </c>
      <c r="DA147" s="1538" t="e">
        <f t="shared" si="1075"/>
        <v>#DIV/0!</v>
      </c>
      <c r="DB147" s="1539" t="e">
        <f t="shared" si="1075"/>
        <v>#DIV/0!</v>
      </c>
      <c r="DC147" s="672" t="e">
        <f t="shared" si="1075"/>
        <v>#DIV/0!</v>
      </c>
      <c r="DD147" s="619" t="e">
        <f t="shared" si="1075"/>
        <v>#DIV/0!</v>
      </c>
      <c r="DE147" s="619" t="s">
        <v>93</v>
      </c>
      <c r="DF147" s="672" t="e">
        <f>DF146/DF145*100</f>
        <v>#DIV/0!</v>
      </c>
      <c r="DG147" s="619" t="e">
        <f t="shared" ref="DG147:DU147" si="1076">DG146/DG145*100</f>
        <v>#DIV/0!</v>
      </c>
      <c r="DH147" s="675" t="e">
        <f t="shared" si="1076"/>
        <v>#DIV/0!</v>
      </c>
      <c r="DI147" s="672" t="e">
        <f t="shared" si="1076"/>
        <v>#DIV/0!</v>
      </c>
      <c r="DJ147" s="672" t="e">
        <f t="shared" si="1076"/>
        <v>#DIV/0!</v>
      </c>
      <c r="DK147" s="675" t="e">
        <f t="shared" si="1076"/>
        <v>#DIV/0!</v>
      </c>
      <c r="DL147" s="672" t="e">
        <f t="shared" si="1076"/>
        <v>#DIV/0!</v>
      </c>
      <c r="DM147" s="672" t="e">
        <f t="shared" si="1076"/>
        <v>#DIV/0!</v>
      </c>
      <c r="DN147" s="672" t="e">
        <f>DN146/DN145*100</f>
        <v>#DIV/0!</v>
      </c>
      <c r="DO147" s="672" t="e">
        <f t="shared" si="1076"/>
        <v>#DIV/0!</v>
      </c>
      <c r="DP147" s="676" t="e">
        <f t="shared" si="1076"/>
        <v>#DIV/0!</v>
      </c>
      <c r="DQ147" s="688" t="e">
        <f t="shared" si="1076"/>
        <v>#DIV/0!</v>
      </c>
      <c r="DR147" s="1538" t="e">
        <f t="shared" si="1076"/>
        <v>#DIV/0!</v>
      </c>
      <c r="DS147" s="1539" t="e">
        <f t="shared" si="1076"/>
        <v>#DIV/0!</v>
      </c>
      <c r="DT147" s="674" t="e">
        <f t="shared" si="1076"/>
        <v>#DIV/0!</v>
      </c>
      <c r="DU147" s="619" t="e">
        <f t="shared" si="1076"/>
        <v>#DIV/0!</v>
      </c>
      <c r="DV147" s="619" t="s">
        <v>93</v>
      </c>
      <c r="DW147" s="672" t="e">
        <f>DW146/DW145*100</f>
        <v>#DIV/0!</v>
      </c>
      <c r="DX147" s="619" t="e">
        <f t="shared" ref="DX147:EL147" si="1077">DX146/DX145*100</f>
        <v>#DIV/0!</v>
      </c>
      <c r="DY147" s="675" t="e">
        <f t="shared" si="1077"/>
        <v>#DIV/0!</v>
      </c>
      <c r="DZ147" s="672" t="e">
        <f t="shared" si="1077"/>
        <v>#DIV/0!</v>
      </c>
      <c r="EA147" s="672" t="e">
        <f t="shared" si="1077"/>
        <v>#DIV/0!</v>
      </c>
      <c r="EB147" s="675" t="e">
        <f t="shared" si="1077"/>
        <v>#DIV/0!</v>
      </c>
      <c r="EC147" s="672" t="e">
        <f t="shared" si="1077"/>
        <v>#DIV/0!</v>
      </c>
      <c r="ED147" s="672" t="e">
        <f t="shared" si="1077"/>
        <v>#DIV/0!</v>
      </c>
      <c r="EE147" s="672" t="e">
        <f>EE146/EE145*100</f>
        <v>#DIV/0!</v>
      </c>
      <c r="EF147" s="672" t="e">
        <f t="shared" si="1077"/>
        <v>#DIV/0!</v>
      </c>
      <c r="EG147" s="676" t="e">
        <f t="shared" si="1077"/>
        <v>#DIV/0!</v>
      </c>
      <c r="EH147" s="688">
        <f t="shared" si="1077"/>
        <v>0.34493013716417448</v>
      </c>
      <c r="EI147" s="1538">
        <f t="shared" si="1077"/>
        <v>1.0452720563075688</v>
      </c>
      <c r="EJ147" s="1539">
        <f t="shared" si="1077"/>
        <v>0</v>
      </c>
      <c r="EK147" s="672">
        <f t="shared" si="1077"/>
        <v>-4.8111120613712544</v>
      </c>
      <c r="EL147" s="619">
        <f t="shared" si="1077"/>
        <v>0</v>
      </c>
      <c r="EM147" s="619" t="s">
        <v>93</v>
      </c>
      <c r="EN147" s="672" t="e">
        <f>EN146/EN145*100</f>
        <v>#DIV/0!</v>
      </c>
      <c r="EO147" s="619" t="e">
        <f t="shared" ref="EO147:FC147" si="1078">EO146/EO145*100</f>
        <v>#DIV/0!</v>
      </c>
      <c r="EP147" s="675" t="e">
        <f t="shared" si="1078"/>
        <v>#VALUE!</v>
      </c>
      <c r="EQ147" s="672" t="e">
        <f t="shared" si="1078"/>
        <v>#VALUE!</v>
      </c>
      <c r="ER147" s="672" t="e">
        <f t="shared" si="1078"/>
        <v>#VALUE!</v>
      </c>
      <c r="ES147" s="675" t="e">
        <f t="shared" si="1078"/>
        <v>#VALUE!</v>
      </c>
      <c r="ET147" s="672" t="e">
        <f t="shared" si="1078"/>
        <v>#VALUE!</v>
      </c>
      <c r="EU147" s="672" t="e">
        <f t="shared" si="1078"/>
        <v>#VALUE!</v>
      </c>
      <c r="EV147" s="672" t="e">
        <f>EV146/EV145*100</f>
        <v>#VALUE!</v>
      </c>
      <c r="EW147" s="672" t="e">
        <f t="shared" si="1078"/>
        <v>#VALUE!</v>
      </c>
      <c r="EX147" s="676" t="e">
        <f t="shared" si="1078"/>
        <v>#VALUE!</v>
      </c>
      <c r="EY147" s="688" t="e">
        <f t="shared" si="1078"/>
        <v>#DIV/0!</v>
      </c>
      <c r="EZ147" s="1538" t="e">
        <f t="shared" si="1078"/>
        <v>#DIV/0!</v>
      </c>
      <c r="FA147" s="1539" t="e">
        <f t="shared" si="1078"/>
        <v>#DIV/0!</v>
      </c>
      <c r="FB147" s="672" t="e">
        <f t="shared" si="1078"/>
        <v>#DIV/0!</v>
      </c>
      <c r="FC147" s="619" t="e">
        <f t="shared" si="1078"/>
        <v>#DIV/0!</v>
      </c>
      <c r="FD147" s="619" t="s">
        <v>93</v>
      </c>
      <c r="FE147" s="672" t="e">
        <f>FE146/FE145*100</f>
        <v>#DIV/0!</v>
      </c>
      <c r="FF147" s="619" t="e">
        <f t="shared" ref="FF147:FT147" si="1079">FF146/FF145*100</f>
        <v>#DIV/0!</v>
      </c>
      <c r="FG147" s="675" t="e">
        <f t="shared" si="1079"/>
        <v>#DIV/0!</v>
      </c>
      <c r="FH147" s="672" t="e">
        <f t="shared" si="1079"/>
        <v>#DIV/0!</v>
      </c>
      <c r="FI147" s="672" t="e">
        <f t="shared" si="1079"/>
        <v>#DIV/0!</v>
      </c>
      <c r="FJ147" s="675" t="e">
        <f t="shared" si="1079"/>
        <v>#DIV/0!</v>
      </c>
      <c r="FK147" s="672" t="e">
        <f t="shared" si="1079"/>
        <v>#DIV/0!</v>
      </c>
      <c r="FL147" s="672" t="e">
        <f t="shared" si="1079"/>
        <v>#DIV/0!</v>
      </c>
      <c r="FM147" s="672" t="e">
        <f>FM146/FM145*100</f>
        <v>#DIV/0!</v>
      </c>
      <c r="FN147" s="672" t="e">
        <f t="shared" si="1079"/>
        <v>#DIV/0!</v>
      </c>
      <c r="FO147" s="676" t="e">
        <f t="shared" si="1079"/>
        <v>#DIV/0!</v>
      </c>
      <c r="FP147" s="688" t="e">
        <f t="shared" si="1079"/>
        <v>#DIV/0!</v>
      </c>
      <c r="FQ147" s="1538" t="e">
        <f t="shared" si="1079"/>
        <v>#DIV/0!</v>
      </c>
      <c r="FR147" s="1539" t="e">
        <f t="shared" si="1079"/>
        <v>#DIV/0!</v>
      </c>
      <c r="FS147" s="672" t="e">
        <f t="shared" si="1079"/>
        <v>#DIV/0!</v>
      </c>
      <c r="FT147" s="619" t="e">
        <f t="shared" si="1079"/>
        <v>#DIV/0!</v>
      </c>
      <c r="FU147" s="619" t="s">
        <v>93</v>
      </c>
      <c r="FV147" s="672" t="e">
        <f>FV146/FV145*100</f>
        <v>#DIV/0!</v>
      </c>
      <c r="FW147" s="619" t="e">
        <f t="shared" ref="FW147:GK147" si="1080">FW146/FW145*100</f>
        <v>#DIV/0!</v>
      </c>
      <c r="FX147" s="675" t="e">
        <f t="shared" si="1080"/>
        <v>#DIV/0!</v>
      </c>
      <c r="FY147" s="672" t="e">
        <f t="shared" si="1080"/>
        <v>#DIV/0!</v>
      </c>
      <c r="FZ147" s="672" t="e">
        <f t="shared" si="1080"/>
        <v>#DIV/0!</v>
      </c>
      <c r="GA147" s="675" t="e">
        <f t="shared" si="1080"/>
        <v>#DIV/0!</v>
      </c>
      <c r="GB147" s="672" t="e">
        <f t="shared" si="1080"/>
        <v>#DIV/0!</v>
      </c>
      <c r="GC147" s="672" t="e">
        <f t="shared" si="1080"/>
        <v>#DIV/0!</v>
      </c>
      <c r="GD147" s="672" t="e">
        <f>GD146/GD145*100</f>
        <v>#DIV/0!</v>
      </c>
      <c r="GE147" s="672" t="e">
        <f t="shared" si="1080"/>
        <v>#DIV/0!</v>
      </c>
      <c r="GF147" s="676" t="e">
        <f t="shared" si="1080"/>
        <v>#DIV/0!</v>
      </c>
      <c r="GG147" s="688" t="e">
        <f t="shared" si="1080"/>
        <v>#DIV/0!</v>
      </c>
      <c r="GH147" s="1538" t="e">
        <f t="shared" si="1080"/>
        <v>#DIV/0!</v>
      </c>
      <c r="GI147" s="1539" t="e">
        <f t="shared" si="1080"/>
        <v>#DIV/0!</v>
      </c>
      <c r="GJ147" s="674" t="e">
        <f t="shared" si="1080"/>
        <v>#DIV/0!</v>
      </c>
      <c r="GK147" s="619" t="e">
        <f t="shared" si="1080"/>
        <v>#DIV/0!</v>
      </c>
      <c r="GL147" s="619" t="s">
        <v>93</v>
      </c>
      <c r="GM147" s="672" t="e">
        <f>GM146/GM145*100</f>
        <v>#DIV/0!</v>
      </c>
      <c r="GN147" s="619" t="e">
        <f t="shared" ref="GN147:HB147" si="1081">GN146/GN145*100</f>
        <v>#DIV/0!</v>
      </c>
      <c r="GO147" s="675" t="e">
        <f t="shared" si="1081"/>
        <v>#DIV/0!</v>
      </c>
      <c r="GP147" s="672" t="e">
        <f t="shared" si="1081"/>
        <v>#DIV/0!</v>
      </c>
      <c r="GQ147" s="672" t="e">
        <f t="shared" si="1081"/>
        <v>#DIV/0!</v>
      </c>
      <c r="GR147" s="675" t="e">
        <f t="shared" si="1081"/>
        <v>#DIV/0!</v>
      </c>
      <c r="GS147" s="672" t="e">
        <f t="shared" si="1081"/>
        <v>#DIV/0!</v>
      </c>
      <c r="GT147" s="672" t="e">
        <f t="shared" si="1081"/>
        <v>#DIV/0!</v>
      </c>
      <c r="GU147" s="672" t="e">
        <f>GU146/GU145*100</f>
        <v>#DIV/0!</v>
      </c>
      <c r="GV147" s="672" t="e">
        <f t="shared" si="1081"/>
        <v>#DIV/0!</v>
      </c>
      <c r="GW147" s="676" t="e">
        <f t="shared" si="1081"/>
        <v>#DIV/0!</v>
      </c>
      <c r="GX147" s="688" t="e">
        <f t="shared" si="1081"/>
        <v>#DIV/0!</v>
      </c>
      <c r="GY147" s="1538" t="e">
        <f t="shared" si="1081"/>
        <v>#DIV/0!</v>
      </c>
      <c r="GZ147" s="1539" t="e">
        <f t="shared" si="1081"/>
        <v>#DIV/0!</v>
      </c>
      <c r="HA147" s="672" t="e">
        <f t="shared" si="1081"/>
        <v>#DIV/0!</v>
      </c>
      <c r="HB147" s="619" t="e">
        <f t="shared" si="1081"/>
        <v>#DIV/0!</v>
      </c>
      <c r="HC147" s="619" t="s">
        <v>93</v>
      </c>
      <c r="HD147" s="672" t="e">
        <f>HD146/HD145*100</f>
        <v>#DIV/0!</v>
      </c>
      <c r="HE147" s="619" t="e">
        <f t="shared" ref="HE147:HS147" si="1082">HE146/HE145*100</f>
        <v>#DIV/0!</v>
      </c>
      <c r="HF147" s="675" t="e">
        <f t="shared" si="1082"/>
        <v>#DIV/0!</v>
      </c>
      <c r="HG147" s="672" t="e">
        <f t="shared" si="1082"/>
        <v>#DIV/0!</v>
      </c>
      <c r="HH147" s="672" t="e">
        <f t="shared" si="1082"/>
        <v>#DIV/0!</v>
      </c>
      <c r="HI147" s="675" t="e">
        <f t="shared" si="1082"/>
        <v>#DIV/0!</v>
      </c>
      <c r="HJ147" s="672" t="e">
        <f t="shared" si="1082"/>
        <v>#DIV/0!</v>
      </c>
      <c r="HK147" s="672" t="e">
        <f t="shared" si="1082"/>
        <v>#DIV/0!</v>
      </c>
      <c r="HL147" s="672" t="e">
        <f>HL146/HL145*100</f>
        <v>#DIV/0!</v>
      </c>
      <c r="HM147" s="672" t="e">
        <f t="shared" si="1082"/>
        <v>#DIV/0!</v>
      </c>
      <c r="HN147" s="676" t="e">
        <f t="shared" si="1082"/>
        <v>#DIV/0!</v>
      </c>
      <c r="HO147" s="688" t="e">
        <f t="shared" si="1082"/>
        <v>#DIV/0!</v>
      </c>
      <c r="HP147" s="1538" t="e">
        <f t="shared" si="1082"/>
        <v>#DIV/0!</v>
      </c>
      <c r="HQ147" s="1539" t="e">
        <f t="shared" si="1082"/>
        <v>#DIV/0!</v>
      </c>
      <c r="HR147" s="672" t="e">
        <f t="shared" si="1082"/>
        <v>#DIV/0!</v>
      </c>
      <c r="HS147" s="619" t="e">
        <f t="shared" si="1082"/>
        <v>#DIV/0!</v>
      </c>
      <c r="HT147" s="619" t="s">
        <v>93</v>
      </c>
      <c r="HU147" s="672" t="e">
        <f>HU146/HU145*100</f>
        <v>#DIV/0!</v>
      </c>
      <c r="HV147" s="619" t="e">
        <f t="shared" ref="HV147:IJ147" si="1083">HV146/HV145*100</f>
        <v>#DIV/0!</v>
      </c>
      <c r="HW147" s="675" t="e">
        <f t="shared" si="1083"/>
        <v>#DIV/0!</v>
      </c>
      <c r="HX147" s="672" t="e">
        <f t="shared" si="1083"/>
        <v>#DIV/0!</v>
      </c>
      <c r="HY147" s="672" t="e">
        <f t="shared" si="1083"/>
        <v>#DIV/0!</v>
      </c>
      <c r="HZ147" s="675" t="e">
        <f t="shared" si="1083"/>
        <v>#DIV/0!</v>
      </c>
      <c r="IA147" s="672" t="e">
        <f t="shared" si="1083"/>
        <v>#DIV/0!</v>
      </c>
      <c r="IB147" s="672" t="e">
        <f t="shared" si="1083"/>
        <v>#DIV/0!</v>
      </c>
      <c r="IC147" s="672" t="e">
        <f>IC146/IC145*100</f>
        <v>#DIV/0!</v>
      </c>
      <c r="ID147" s="672" t="e">
        <f t="shared" si="1083"/>
        <v>#DIV/0!</v>
      </c>
      <c r="IE147" s="676" t="e">
        <f t="shared" si="1083"/>
        <v>#DIV/0!</v>
      </c>
      <c r="IF147" s="688" t="e">
        <f t="shared" si="1083"/>
        <v>#DIV/0!</v>
      </c>
      <c r="IG147" s="1538" t="e">
        <f t="shared" si="1083"/>
        <v>#DIV/0!</v>
      </c>
      <c r="IH147" s="1539" t="e">
        <f t="shared" si="1083"/>
        <v>#DIV/0!</v>
      </c>
      <c r="II147" s="672" t="e">
        <f t="shared" si="1083"/>
        <v>#DIV/0!</v>
      </c>
      <c r="IJ147" s="619" t="e">
        <f t="shared" si="1083"/>
        <v>#DIV/0!</v>
      </c>
      <c r="IK147" s="619" t="s">
        <v>93</v>
      </c>
      <c r="IL147" s="672" t="e">
        <f>IL146/IL145*100</f>
        <v>#DIV/0!</v>
      </c>
      <c r="IM147" s="619" t="e">
        <f t="shared" ref="IM147:JA147" si="1084">IM146/IM145*100</f>
        <v>#DIV/0!</v>
      </c>
      <c r="IN147" s="675" t="e">
        <f t="shared" si="1084"/>
        <v>#DIV/0!</v>
      </c>
      <c r="IO147" s="672" t="e">
        <f t="shared" si="1084"/>
        <v>#DIV/0!</v>
      </c>
      <c r="IP147" s="672" t="e">
        <f t="shared" si="1084"/>
        <v>#DIV/0!</v>
      </c>
      <c r="IQ147" s="675" t="e">
        <f t="shared" si="1084"/>
        <v>#DIV/0!</v>
      </c>
      <c r="IR147" s="672" t="e">
        <f t="shared" si="1084"/>
        <v>#DIV/0!</v>
      </c>
      <c r="IS147" s="672" t="e">
        <f t="shared" si="1084"/>
        <v>#DIV/0!</v>
      </c>
      <c r="IT147" s="672" t="e">
        <f>IT146/IT145*100</f>
        <v>#DIV/0!</v>
      </c>
      <c r="IU147" s="672" t="e">
        <f t="shared" si="1084"/>
        <v>#DIV/0!</v>
      </c>
      <c r="IV147" s="676" t="e">
        <f t="shared" si="1084"/>
        <v>#DIV/0!</v>
      </c>
      <c r="IW147" s="688" t="e">
        <f t="shared" si="1084"/>
        <v>#DIV/0!</v>
      </c>
      <c r="IX147" s="1538" t="e">
        <f t="shared" si="1084"/>
        <v>#DIV/0!</v>
      </c>
      <c r="IY147" s="1539" t="e">
        <f t="shared" si="1084"/>
        <v>#DIV/0!</v>
      </c>
      <c r="IZ147" s="672" t="e">
        <f t="shared" si="1084"/>
        <v>#DIV/0!</v>
      </c>
      <c r="JA147" s="619" t="e">
        <f t="shared" si="1084"/>
        <v>#DIV/0!</v>
      </c>
      <c r="JB147" s="619" t="s">
        <v>93</v>
      </c>
      <c r="JC147" s="672" t="e">
        <f>JC146/JC145*100</f>
        <v>#DIV/0!</v>
      </c>
      <c r="JD147" s="619" t="e">
        <f t="shared" ref="JD147:JR147" si="1085">JD146/JD145*100</f>
        <v>#DIV/0!</v>
      </c>
      <c r="JE147" s="675" t="e">
        <f t="shared" si="1085"/>
        <v>#DIV/0!</v>
      </c>
      <c r="JF147" s="672" t="e">
        <f t="shared" si="1085"/>
        <v>#DIV/0!</v>
      </c>
      <c r="JG147" s="672" t="e">
        <f t="shared" si="1085"/>
        <v>#DIV/0!</v>
      </c>
      <c r="JH147" s="675" t="e">
        <f t="shared" si="1085"/>
        <v>#DIV/0!</v>
      </c>
      <c r="JI147" s="672" t="e">
        <f t="shared" si="1085"/>
        <v>#DIV/0!</v>
      </c>
      <c r="JJ147" s="672" t="e">
        <f t="shared" si="1085"/>
        <v>#DIV/0!</v>
      </c>
      <c r="JK147" s="672" t="e">
        <f>JK146/JK145*100</f>
        <v>#DIV/0!</v>
      </c>
      <c r="JL147" s="672" t="e">
        <f t="shared" si="1085"/>
        <v>#DIV/0!</v>
      </c>
      <c r="JM147" s="676" t="e">
        <f t="shared" si="1085"/>
        <v>#DIV/0!</v>
      </c>
      <c r="JN147" s="688" t="e">
        <f t="shared" si="1085"/>
        <v>#DIV/0!</v>
      </c>
      <c r="JO147" s="1538" t="e">
        <f t="shared" si="1085"/>
        <v>#DIV/0!</v>
      </c>
      <c r="JP147" s="1539" t="e">
        <f t="shared" si="1085"/>
        <v>#DIV/0!</v>
      </c>
      <c r="JQ147" s="672" t="e">
        <f t="shared" si="1085"/>
        <v>#DIV/0!</v>
      </c>
      <c r="JR147" s="619" t="e">
        <f t="shared" si="1085"/>
        <v>#DIV/0!</v>
      </c>
      <c r="JS147" s="619" t="s">
        <v>93</v>
      </c>
      <c r="JT147" s="672" t="e">
        <f>JT146/JT145*100</f>
        <v>#DIV/0!</v>
      </c>
      <c r="JU147" s="619" t="e">
        <f t="shared" ref="JU147:KI147" si="1086">JU146/JU145*100</f>
        <v>#DIV/0!</v>
      </c>
      <c r="JV147" s="675" t="e">
        <f t="shared" si="1086"/>
        <v>#DIV/0!</v>
      </c>
      <c r="JW147" s="672" t="e">
        <f t="shared" si="1086"/>
        <v>#DIV/0!</v>
      </c>
      <c r="JX147" s="672" t="e">
        <f t="shared" si="1086"/>
        <v>#DIV/0!</v>
      </c>
      <c r="JY147" s="675" t="e">
        <f t="shared" si="1086"/>
        <v>#DIV/0!</v>
      </c>
      <c r="JZ147" s="672" t="e">
        <f t="shared" si="1086"/>
        <v>#DIV/0!</v>
      </c>
      <c r="KA147" s="672" t="e">
        <f t="shared" si="1086"/>
        <v>#DIV/0!</v>
      </c>
      <c r="KB147" s="672" t="e">
        <f>KB146/KB145*100</f>
        <v>#DIV/0!</v>
      </c>
      <c r="KC147" s="672" t="e">
        <f t="shared" si="1086"/>
        <v>#DIV/0!</v>
      </c>
      <c r="KD147" s="676" t="e">
        <f t="shared" si="1086"/>
        <v>#DIV/0!</v>
      </c>
      <c r="KE147" s="688" t="e">
        <f t="shared" si="1086"/>
        <v>#DIV/0!</v>
      </c>
      <c r="KF147" s="1538" t="e">
        <f t="shared" si="1086"/>
        <v>#DIV/0!</v>
      </c>
      <c r="KG147" s="1539" t="e">
        <f t="shared" si="1086"/>
        <v>#DIV/0!</v>
      </c>
      <c r="KH147" s="672" t="e">
        <f t="shared" si="1086"/>
        <v>#DIV/0!</v>
      </c>
      <c r="KI147" s="619" t="e">
        <f t="shared" si="1086"/>
        <v>#DIV/0!</v>
      </c>
      <c r="KJ147" s="619" t="s">
        <v>93</v>
      </c>
      <c r="KK147" s="672" t="e">
        <f>KK146/KK145*100</f>
        <v>#DIV/0!</v>
      </c>
      <c r="KL147" s="619" t="e">
        <f t="shared" ref="KL147:KZ147" si="1087">KL146/KL145*100</f>
        <v>#DIV/0!</v>
      </c>
      <c r="KM147" s="675" t="e">
        <f t="shared" si="1087"/>
        <v>#DIV/0!</v>
      </c>
      <c r="KN147" s="672" t="e">
        <f t="shared" si="1087"/>
        <v>#DIV/0!</v>
      </c>
      <c r="KO147" s="672" t="e">
        <f t="shared" si="1087"/>
        <v>#DIV/0!</v>
      </c>
      <c r="KP147" s="675" t="e">
        <f t="shared" si="1087"/>
        <v>#DIV/0!</v>
      </c>
      <c r="KQ147" s="672" t="e">
        <f t="shared" si="1087"/>
        <v>#DIV/0!</v>
      </c>
      <c r="KR147" s="672" t="e">
        <f t="shared" si="1087"/>
        <v>#DIV/0!</v>
      </c>
      <c r="KS147" s="672" t="e">
        <f>KS146/KS145*100</f>
        <v>#DIV/0!</v>
      </c>
      <c r="KT147" s="672" t="e">
        <f t="shared" si="1087"/>
        <v>#DIV/0!</v>
      </c>
      <c r="KU147" s="676" t="e">
        <f t="shared" si="1087"/>
        <v>#DIV/0!</v>
      </c>
      <c r="KV147" s="688" t="e">
        <f t="shared" si="1087"/>
        <v>#DIV/0!</v>
      </c>
      <c r="KW147" s="1538" t="e">
        <f t="shared" si="1087"/>
        <v>#DIV/0!</v>
      </c>
      <c r="KX147" s="1539" t="e">
        <f t="shared" si="1087"/>
        <v>#DIV/0!</v>
      </c>
      <c r="KY147" s="672" t="e">
        <f t="shared" si="1087"/>
        <v>#DIV/0!</v>
      </c>
      <c r="KZ147" s="619" t="e">
        <f t="shared" si="1087"/>
        <v>#DIV/0!</v>
      </c>
      <c r="LA147" s="619" t="s">
        <v>93</v>
      </c>
      <c r="LB147" s="672" t="e">
        <f>LB146/LB145*100</f>
        <v>#DIV/0!</v>
      </c>
      <c r="LC147" s="619" t="e">
        <f t="shared" ref="LC147:LQ147" si="1088">LC146/LC145*100</f>
        <v>#DIV/0!</v>
      </c>
      <c r="LD147" s="675" t="e">
        <f t="shared" si="1088"/>
        <v>#DIV/0!</v>
      </c>
      <c r="LE147" s="672" t="e">
        <f t="shared" si="1088"/>
        <v>#DIV/0!</v>
      </c>
      <c r="LF147" s="672" t="e">
        <f t="shared" si="1088"/>
        <v>#DIV/0!</v>
      </c>
      <c r="LG147" s="675" t="e">
        <f t="shared" si="1088"/>
        <v>#DIV/0!</v>
      </c>
      <c r="LH147" s="672" t="e">
        <f t="shared" si="1088"/>
        <v>#DIV/0!</v>
      </c>
      <c r="LI147" s="672" t="e">
        <f t="shared" si="1088"/>
        <v>#DIV/0!</v>
      </c>
      <c r="LJ147" s="672" t="e">
        <f>LJ146/LJ145*100</f>
        <v>#DIV/0!</v>
      </c>
      <c r="LK147" s="672" t="e">
        <f t="shared" si="1088"/>
        <v>#DIV/0!</v>
      </c>
      <c r="LL147" s="676" t="e">
        <f t="shared" si="1088"/>
        <v>#DIV/0!</v>
      </c>
      <c r="LM147" s="688" t="e">
        <f t="shared" si="1088"/>
        <v>#DIV/0!</v>
      </c>
      <c r="LN147" s="1538" t="e">
        <f t="shared" si="1088"/>
        <v>#DIV/0!</v>
      </c>
      <c r="LO147" s="1539" t="e">
        <f t="shared" si="1088"/>
        <v>#DIV/0!</v>
      </c>
      <c r="LP147" s="672" t="e">
        <f t="shared" si="1088"/>
        <v>#DIV/0!</v>
      </c>
      <c r="LQ147" s="619" t="e">
        <f t="shared" si="1088"/>
        <v>#DIV/0!</v>
      </c>
      <c r="LR147" s="619" t="s">
        <v>93</v>
      </c>
      <c r="LS147" s="672" t="e">
        <f>LS146/LS145*100</f>
        <v>#DIV/0!</v>
      </c>
      <c r="LT147" s="619" t="e">
        <f t="shared" ref="LT147:MH147" si="1089">LT146/LT145*100</f>
        <v>#DIV/0!</v>
      </c>
      <c r="LU147" s="675" t="e">
        <f t="shared" si="1089"/>
        <v>#DIV/0!</v>
      </c>
      <c r="LV147" s="672" t="e">
        <f t="shared" si="1089"/>
        <v>#DIV/0!</v>
      </c>
      <c r="LW147" s="672" t="e">
        <f t="shared" si="1089"/>
        <v>#DIV/0!</v>
      </c>
      <c r="LX147" s="675" t="e">
        <f t="shared" si="1089"/>
        <v>#DIV/0!</v>
      </c>
      <c r="LY147" s="672" t="e">
        <f t="shared" si="1089"/>
        <v>#DIV/0!</v>
      </c>
      <c r="LZ147" s="672" t="e">
        <f t="shared" si="1089"/>
        <v>#DIV/0!</v>
      </c>
      <c r="MA147" s="672" t="e">
        <f>MA146/MA145*100</f>
        <v>#DIV/0!</v>
      </c>
      <c r="MB147" s="672" t="e">
        <f t="shared" si="1089"/>
        <v>#DIV/0!</v>
      </c>
      <c r="MC147" s="676" t="e">
        <f t="shared" si="1089"/>
        <v>#DIV/0!</v>
      </c>
      <c r="MD147" s="688" t="e">
        <f t="shared" si="1089"/>
        <v>#DIV/0!</v>
      </c>
      <c r="ME147" s="1538" t="e">
        <f t="shared" si="1089"/>
        <v>#DIV/0!</v>
      </c>
      <c r="MF147" s="1539" t="e">
        <f t="shared" si="1089"/>
        <v>#DIV/0!</v>
      </c>
      <c r="MG147" s="672" t="e">
        <f t="shared" si="1089"/>
        <v>#DIV/0!</v>
      </c>
      <c r="MH147" s="619" t="e">
        <f t="shared" si="1089"/>
        <v>#DIV/0!</v>
      </c>
      <c r="MI147" s="619" t="s">
        <v>93</v>
      </c>
      <c r="MJ147" s="672" t="e">
        <f>MJ146/MJ145*100</f>
        <v>#DIV/0!</v>
      </c>
      <c r="MK147" s="619" t="e">
        <f t="shared" ref="MK147:MY147" si="1090">MK146/MK145*100</f>
        <v>#DIV/0!</v>
      </c>
      <c r="ML147" s="675" t="e">
        <f t="shared" si="1090"/>
        <v>#DIV/0!</v>
      </c>
      <c r="MM147" s="672" t="e">
        <f t="shared" si="1090"/>
        <v>#DIV/0!</v>
      </c>
      <c r="MN147" s="672" t="e">
        <f t="shared" si="1090"/>
        <v>#DIV/0!</v>
      </c>
      <c r="MO147" s="675" t="e">
        <f t="shared" si="1090"/>
        <v>#DIV/0!</v>
      </c>
      <c r="MP147" s="672" t="e">
        <f t="shared" si="1090"/>
        <v>#DIV/0!</v>
      </c>
      <c r="MQ147" s="672" t="e">
        <f t="shared" si="1090"/>
        <v>#DIV/0!</v>
      </c>
      <c r="MR147" s="672" t="e">
        <f>MR146/MR145*100</f>
        <v>#DIV/0!</v>
      </c>
      <c r="MS147" s="672" t="e">
        <f t="shared" si="1090"/>
        <v>#DIV/0!</v>
      </c>
      <c r="MT147" s="676" t="e">
        <f t="shared" si="1090"/>
        <v>#DIV/0!</v>
      </c>
      <c r="MU147" s="688">
        <f t="shared" si="1090"/>
        <v>0.53488531006363926</v>
      </c>
      <c r="MV147" s="1538">
        <f t="shared" si="1090"/>
        <v>1.5845833835872645</v>
      </c>
      <c r="MW147" s="1539">
        <f t="shared" si="1090"/>
        <v>0</v>
      </c>
      <c r="MX147" s="672">
        <f t="shared" si="1090"/>
        <v>-0.27143390814492424</v>
      </c>
      <c r="MY147" s="619">
        <f t="shared" si="1090"/>
        <v>0</v>
      </c>
      <c r="MZ147" s="619" t="s">
        <v>93</v>
      </c>
      <c r="NA147" s="672" t="e">
        <f>NA146/NA145*100</f>
        <v>#DIV/0!</v>
      </c>
      <c r="NB147" s="619" t="e">
        <f t="shared" ref="NB147:NP147" si="1091">NB146/NB145*100</f>
        <v>#DIV/0!</v>
      </c>
      <c r="NC147" s="675" t="e">
        <f t="shared" si="1091"/>
        <v>#VALUE!</v>
      </c>
      <c r="ND147" s="672" t="e">
        <f t="shared" si="1091"/>
        <v>#VALUE!</v>
      </c>
      <c r="NE147" s="672" t="e">
        <f t="shared" si="1091"/>
        <v>#VALUE!</v>
      </c>
      <c r="NF147" s="675" t="e">
        <f t="shared" si="1091"/>
        <v>#VALUE!</v>
      </c>
      <c r="NG147" s="672" t="e">
        <f t="shared" si="1091"/>
        <v>#VALUE!</v>
      </c>
      <c r="NH147" s="672" t="e">
        <f t="shared" si="1091"/>
        <v>#VALUE!</v>
      </c>
      <c r="NI147" s="672" t="e">
        <f>NI146/NI145*100</f>
        <v>#VALUE!</v>
      </c>
      <c r="NJ147" s="672" t="e">
        <f t="shared" si="1091"/>
        <v>#VALUE!</v>
      </c>
      <c r="NK147" s="676" t="e">
        <f t="shared" si="1091"/>
        <v>#VALUE!</v>
      </c>
      <c r="NL147" s="688" t="e">
        <f t="shared" si="1091"/>
        <v>#DIV/0!</v>
      </c>
      <c r="NM147" s="1538" t="e">
        <f t="shared" si="1091"/>
        <v>#DIV/0!</v>
      </c>
      <c r="NN147" s="1539" t="e">
        <f t="shared" si="1091"/>
        <v>#DIV/0!</v>
      </c>
      <c r="NO147" s="672" t="e">
        <f t="shared" si="1091"/>
        <v>#DIV/0!</v>
      </c>
      <c r="NP147" s="619" t="e">
        <f t="shared" si="1091"/>
        <v>#DIV/0!</v>
      </c>
      <c r="NQ147" s="619" t="s">
        <v>93</v>
      </c>
      <c r="NR147" s="672" t="e">
        <f>NR146/NR145*100</f>
        <v>#DIV/0!</v>
      </c>
      <c r="NS147" s="619" t="e">
        <f t="shared" ref="NS147:OG147" si="1092">NS146/NS145*100</f>
        <v>#DIV/0!</v>
      </c>
      <c r="NT147" s="675" t="e">
        <f t="shared" si="1092"/>
        <v>#DIV/0!</v>
      </c>
      <c r="NU147" s="672" t="e">
        <f t="shared" si="1092"/>
        <v>#DIV/0!</v>
      </c>
      <c r="NV147" s="672" t="e">
        <f t="shared" si="1092"/>
        <v>#DIV/0!</v>
      </c>
      <c r="NW147" s="675" t="e">
        <f t="shared" si="1092"/>
        <v>#DIV/0!</v>
      </c>
      <c r="NX147" s="672" t="e">
        <f t="shared" si="1092"/>
        <v>#DIV/0!</v>
      </c>
      <c r="NY147" s="672" t="e">
        <f t="shared" si="1092"/>
        <v>#DIV/0!</v>
      </c>
      <c r="NZ147" s="672" t="e">
        <f>NZ146/NZ145*100</f>
        <v>#DIV/0!</v>
      </c>
      <c r="OA147" s="672" t="e">
        <f t="shared" si="1092"/>
        <v>#DIV/0!</v>
      </c>
      <c r="OB147" s="676" t="e">
        <f t="shared" si="1092"/>
        <v>#DIV/0!</v>
      </c>
      <c r="OC147" s="688">
        <f t="shared" si="1092"/>
        <v>0</v>
      </c>
      <c r="OD147" s="1538">
        <f t="shared" si="1092"/>
        <v>1.025697673230648</v>
      </c>
      <c r="OE147" s="1539">
        <f t="shared" si="1092"/>
        <v>0</v>
      </c>
      <c r="OF147" s="672">
        <f t="shared" si="1092"/>
        <v>-0.23128282185959334</v>
      </c>
      <c r="OG147" s="619">
        <f t="shared" si="1092"/>
        <v>0</v>
      </c>
      <c r="OH147" s="619" t="s">
        <v>93</v>
      </c>
      <c r="OI147" s="672" t="e">
        <f>OI146/OI145*100</f>
        <v>#DIV/0!</v>
      </c>
      <c r="OJ147" s="619" t="e">
        <f t="shared" ref="OJ147:OX147" si="1093">OJ146/OJ145*100</f>
        <v>#DIV/0!</v>
      </c>
      <c r="OK147" s="675" t="e">
        <f t="shared" si="1093"/>
        <v>#VALUE!</v>
      </c>
      <c r="OL147" s="672" t="e">
        <f t="shared" si="1093"/>
        <v>#VALUE!</v>
      </c>
      <c r="OM147" s="672" t="e">
        <f t="shared" si="1093"/>
        <v>#VALUE!</v>
      </c>
      <c r="ON147" s="675" t="e">
        <f t="shared" si="1093"/>
        <v>#VALUE!</v>
      </c>
      <c r="OO147" s="672" t="e">
        <f t="shared" si="1093"/>
        <v>#VALUE!</v>
      </c>
      <c r="OP147" s="672" t="e">
        <f t="shared" si="1093"/>
        <v>#VALUE!</v>
      </c>
      <c r="OQ147" s="672" t="e">
        <f>OQ146/OQ145*100</f>
        <v>#VALUE!</v>
      </c>
      <c r="OR147" s="672" t="e">
        <f t="shared" si="1093"/>
        <v>#VALUE!</v>
      </c>
      <c r="OS147" s="676" t="e">
        <f t="shared" si="1093"/>
        <v>#VALUE!</v>
      </c>
      <c r="OT147" s="688" t="e">
        <f t="shared" si="1093"/>
        <v>#DIV/0!</v>
      </c>
      <c r="OU147" s="1538" t="e">
        <f t="shared" si="1093"/>
        <v>#DIV/0!</v>
      </c>
      <c r="OV147" s="1539" t="e">
        <f t="shared" si="1093"/>
        <v>#DIV/0!</v>
      </c>
      <c r="OW147" s="672" t="e">
        <f t="shared" si="1093"/>
        <v>#DIV/0!</v>
      </c>
      <c r="OX147" s="619" t="e">
        <f t="shared" si="1093"/>
        <v>#DIV/0!</v>
      </c>
      <c r="OY147" s="619" t="s">
        <v>93</v>
      </c>
      <c r="OZ147" s="672" t="e">
        <f>OZ146/OZ145*100</f>
        <v>#DIV/0!</v>
      </c>
      <c r="PA147" s="619" t="e">
        <f t="shared" ref="PA147:PO147" si="1094">PA146/PA145*100</f>
        <v>#DIV/0!</v>
      </c>
      <c r="PB147" s="675" t="e">
        <f t="shared" si="1094"/>
        <v>#DIV/0!</v>
      </c>
      <c r="PC147" s="672" t="e">
        <f t="shared" si="1094"/>
        <v>#DIV/0!</v>
      </c>
      <c r="PD147" s="672" t="e">
        <f t="shared" si="1094"/>
        <v>#DIV/0!</v>
      </c>
      <c r="PE147" s="675" t="e">
        <f t="shared" si="1094"/>
        <v>#DIV/0!</v>
      </c>
      <c r="PF147" s="672" t="e">
        <f t="shared" si="1094"/>
        <v>#DIV/0!</v>
      </c>
      <c r="PG147" s="672" t="e">
        <f t="shared" si="1094"/>
        <v>#DIV/0!</v>
      </c>
      <c r="PH147" s="672" t="e">
        <f>PH146/PH145*100</f>
        <v>#DIV/0!</v>
      </c>
      <c r="PI147" s="672" t="e">
        <f t="shared" si="1094"/>
        <v>#DIV/0!</v>
      </c>
      <c r="PJ147" s="676" t="e">
        <f t="shared" si="1094"/>
        <v>#DIV/0!</v>
      </c>
      <c r="PK147" s="688" t="e">
        <f t="shared" si="1094"/>
        <v>#DIV/0!</v>
      </c>
      <c r="PL147" s="1538" t="e">
        <f t="shared" si="1094"/>
        <v>#DIV/0!</v>
      </c>
      <c r="PM147" s="1539" t="e">
        <f t="shared" si="1094"/>
        <v>#DIV/0!</v>
      </c>
      <c r="PN147" s="672" t="e">
        <f t="shared" si="1094"/>
        <v>#DIV/0!</v>
      </c>
      <c r="PO147" s="619" t="e">
        <f t="shared" si="1094"/>
        <v>#DIV/0!</v>
      </c>
      <c r="PP147" s="619" t="s">
        <v>93</v>
      </c>
      <c r="PQ147" s="672" t="e">
        <f>PQ146/PQ145*100</f>
        <v>#DIV/0!</v>
      </c>
      <c r="PR147" s="619" t="e">
        <f t="shared" ref="PR147:QF147" si="1095">PR146/PR145*100</f>
        <v>#DIV/0!</v>
      </c>
      <c r="PS147" s="675" t="e">
        <f t="shared" si="1095"/>
        <v>#DIV/0!</v>
      </c>
      <c r="PT147" s="672" t="e">
        <f t="shared" si="1095"/>
        <v>#DIV/0!</v>
      </c>
      <c r="PU147" s="672" t="e">
        <f t="shared" si="1095"/>
        <v>#DIV/0!</v>
      </c>
      <c r="PV147" s="675" t="e">
        <f t="shared" si="1095"/>
        <v>#DIV/0!</v>
      </c>
      <c r="PW147" s="672" t="e">
        <f t="shared" si="1095"/>
        <v>#DIV/0!</v>
      </c>
      <c r="PX147" s="672" t="e">
        <f t="shared" si="1095"/>
        <v>#DIV/0!</v>
      </c>
      <c r="PY147" s="672" t="e">
        <f>PY146/PY145*100</f>
        <v>#DIV/0!</v>
      </c>
      <c r="PZ147" s="672" t="e">
        <f t="shared" si="1095"/>
        <v>#DIV/0!</v>
      </c>
      <c r="QA147" s="676" t="e">
        <f t="shared" si="1095"/>
        <v>#DIV/0!</v>
      </c>
      <c r="QB147" s="688" t="e">
        <f t="shared" si="1095"/>
        <v>#DIV/0!</v>
      </c>
      <c r="QC147" s="1538" t="e">
        <f t="shared" si="1095"/>
        <v>#DIV/0!</v>
      </c>
      <c r="QD147" s="1539" t="e">
        <f t="shared" si="1095"/>
        <v>#DIV/0!</v>
      </c>
      <c r="QE147" s="672" t="e">
        <f t="shared" si="1095"/>
        <v>#DIV/0!</v>
      </c>
      <c r="QF147" s="619" t="e">
        <f t="shared" si="1095"/>
        <v>#DIV/0!</v>
      </c>
      <c r="QG147" s="619" t="s">
        <v>93</v>
      </c>
      <c r="QH147" s="672" t="e">
        <f>QH146/QH145*100</f>
        <v>#DIV/0!</v>
      </c>
      <c r="QI147" s="619" t="e">
        <f t="shared" ref="QI147:QW147" si="1096">QI146/QI145*100</f>
        <v>#DIV/0!</v>
      </c>
      <c r="QJ147" s="675" t="e">
        <f t="shared" si="1096"/>
        <v>#DIV/0!</v>
      </c>
      <c r="QK147" s="672" t="e">
        <f t="shared" si="1096"/>
        <v>#DIV/0!</v>
      </c>
      <c r="QL147" s="672" t="e">
        <f t="shared" si="1096"/>
        <v>#DIV/0!</v>
      </c>
      <c r="QM147" s="675" t="e">
        <f t="shared" si="1096"/>
        <v>#DIV/0!</v>
      </c>
      <c r="QN147" s="672" t="e">
        <f t="shared" si="1096"/>
        <v>#DIV/0!</v>
      </c>
      <c r="QO147" s="672" t="e">
        <f t="shared" si="1096"/>
        <v>#DIV/0!</v>
      </c>
      <c r="QP147" s="672" t="e">
        <f>QP146/QP145*100</f>
        <v>#DIV/0!</v>
      </c>
      <c r="QQ147" s="672" t="e">
        <f t="shared" si="1096"/>
        <v>#DIV/0!</v>
      </c>
      <c r="QR147" s="676" t="e">
        <f t="shared" si="1096"/>
        <v>#DIV/0!</v>
      </c>
      <c r="QS147" s="688" t="e">
        <f t="shared" si="1096"/>
        <v>#DIV/0!</v>
      </c>
      <c r="QT147" s="1538" t="e">
        <f t="shared" si="1096"/>
        <v>#DIV/0!</v>
      </c>
      <c r="QU147" s="619" t="e">
        <f t="shared" si="1096"/>
        <v>#DIV/0!</v>
      </c>
      <c r="QV147" s="674" t="e">
        <f t="shared" si="1096"/>
        <v>#DIV/0!</v>
      </c>
      <c r="QW147" s="619" t="e">
        <f t="shared" si="1096"/>
        <v>#DIV/0!</v>
      </c>
      <c r="QX147" s="619" t="s">
        <v>93</v>
      </c>
      <c r="QY147" s="672" t="e">
        <f>QY146/QY145*100</f>
        <v>#DIV/0!</v>
      </c>
      <c r="QZ147" s="619" t="e">
        <f t="shared" ref="QZ147:RN147" si="1097">QZ146/QZ145*100</f>
        <v>#DIV/0!</v>
      </c>
      <c r="RA147" s="675" t="e">
        <f t="shared" si="1097"/>
        <v>#DIV/0!</v>
      </c>
      <c r="RB147" s="672" t="e">
        <f t="shared" si="1097"/>
        <v>#DIV/0!</v>
      </c>
      <c r="RC147" s="672" t="e">
        <f t="shared" si="1097"/>
        <v>#DIV/0!</v>
      </c>
      <c r="RD147" s="675" t="e">
        <f t="shared" si="1097"/>
        <v>#DIV/0!</v>
      </c>
      <c r="RE147" s="672" t="e">
        <f t="shared" si="1097"/>
        <v>#DIV/0!</v>
      </c>
      <c r="RF147" s="672" t="e">
        <f t="shared" si="1097"/>
        <v>#DIV/0!</v>
      </c>
      <c r="RG147" s="672" t="e">
        <f>RG146/RG145*100</f>
        <v>#DIV/0!</v>
      </c>
      <c r="RH147" s="672" t="e">
        <f t="shared" si="1097"/>
        <v>#DIV/0!</v>
      </c>
      <c r="RI147" s="676" t="e">
        <f t="shared" si="1097"/>
        <v>#DIV/0!</v>
      </c>
      <c r="RJ147" s="688">
        <f t="shared" si="1097"/>
        <v>0.21836601342771697</v>
      </c>
      <c r="RK147" s="1538">
        <f t="shared" si="1097"/>
        <v>0.83125203624527499</v>
      </c>
      <c r="RL147" s="1539">
        <f t="shared" si="1097"/>
        <v>0</v>
      </c>
      <c r="RM147" s="672">
        <f t="shared" si="1097"/>
        <v>-1.9838406327683067</v>
      </c>
      <c r="RN147" s="619">
        <f t="shared" si="1097"/>
        <v>0</v>
      </c>
      <c r="RO147" s="619" t="s">
        <v>93</v>
      </c>
      <c r="RP147" s="672" t="e">
        <f>RP146/RP145*100</f>
        <v>#DIV/0!</v>
      </c>
      <c r="RQ147" s="619" t="e">
        <f t="shared" ref="RQ147:SE147" si="1098">RQ146/RQ145*100</f>
        <v>#DIV/0!</v>
      </c>
      <c r="RR147" s="675" t="e">
        <f t="shared" si="1098"/>
        <v>#VALUE!</v>
      </c>
      <c r="RS147" s="672" t="e">
        <f t="shared" si="1098"/>
        <v>#VALUE!</v>
      </c>
      <c r="RT147" s="672" t="e">
        <f t="shared" si="1098"/>
        <v>#VALUE!</v>
      </c>
      <c r="RU147" s="675" t="e">
        <f t="shared" si="1098"/>
        <v>#VALUE!</v>
      </c>
      <c r="RV147" s="672" t="e">
        <f t="shared" si="1098"/>
        <v>#VALUE!</v>
      </c>
      <c r="RW147" s="672" t="e">
        <f t="shared" si="1098"/>
        <v>#VALUE!</v>
      </c>
      <c r="RX147" s="672" t="e">
        <f>RX146/RX145*100</f>
        <v>#VALUE!</v>
      </c>
      <c r="RY147" s="672" t="e">
        <f t="shared" si="1098"/>
        <v>#VALUE!</v>
      </c>
      <c r="RZ147" s="676" t="e">
        <f t="shared" si="1098"/>
        <v>#VALUE!</v>
      </c>
      <c r="SA147" s="688">
        <f t="shared" si="1098"/>
        <v>0.21836601342771697</v>
      </c>
      <c r="SB147" s="1538">
        <f t="shared" si="1098"/>
        <v>0</v>
      </c>
      <c r="SC147" s="1539">
        <f t="shared" si="1098"/>
        <v>0</v>
      </c>
      <c r="SD147" s="672">
        <f t="shared" si="1098"/>
        <v>-5.5203613106374956E-2</v>
      </c>
      <c r="SE147" s="619">
        <f t="shared" si="1098"/>
        <v>0</v>
      </c>
      <c r="SF147" s="619" t="s">
        <v>93</v>
      </c>
      <c r="SG147" s="672" t="e">
        <f>SG146/SG145*100</f>
        <v>#DIV/0!</v>
      </c>
      <c r="SH147" s="619" t="e">
        <f t="shared" ref="SH147:SV147" si="1099">SH146/SH145*100</f>
        <v>#DIV/0!</v>
      </c>
      <c r="SI147" s="675" t="e">
        <f t="shared" si="1099"/>
        <v>#VALUE!</v>
      </c>
      <c r="SJ147" s="672" t="e">
        <f t="shared" si="1099"/>
        <v>#VALUE!</v>
      </c>
      <c r="SK147" s="672" t="e">
        <f t="shared" si="1099"/>
        <v>#VALUE!</v>
      </c>
      <c r="SL147" s="675" t="e">
        <f t="shared" si="1099"/>
        <v>#VALUE!</v>
      </c>
      <c r="SM147" s="672" t="e">
        <f t="shared" si="1099"/>
        <v>#VALUE!</v>
      </c>
      <c r="SN147" s="672" t="e">
        <f t="shared" si="1099"/>
        <v>#VALUE!</v>
      </c>
      <c r="SO147" s="672" t="e">
        <f>SO146/SO145*100</f>
        <v>#VALUE!</v>
      </c>
      <c r="SP147" s="672" t="e">
        <f t="shared" si="1099"/>
        <v>#VALUE!</v>
      </c>
      <c r="SQ147" s="676" t="e">
        <f t="shared" si="1099"/>
        <v>#VALUE!</v>
      </c>
      <c r="SR147" s="688" t="e">
        <f t="shared" si="1099"/>
        <v>#DIV/0!</v>
      </c>
      <c r="SS147" s="1538" t="e">
        <f t="shared" si="1099"/>
        <v>#DIV/0!</v>
      </c>
      <c r="ST147" s="1539" t="e">
        <f t="shared" si="1099"/>
        <v>#DIV/0!</v>
      </c>
      <c r="SU147" s="672" t="e">
        <f t="shared" si="1099"/>
        <v>#DIV/0!</v>
      </c>
      <c r="SV147" s="619" t="e">
        <f t="shared" si="1099"/>
        <v>#DIV/0!</v>
      </c>
      <c r="SW147" s="619" t="s">
        <v>93</v>
      </c>
      <c r="SX147" s="672" t="e">
        <f>SX146/SX145*100</f>
        <v>#DIV/0!</v>
      </c>
      <c r="SY147" s="619" t="e">
        <f t="shared" ref="SY147:TM147" si="1100">SY146/SY145*100</f>
        <v>#DIV/0!</v>
      </c>
      <c r="SZ147" s="675" t="e">
        <f t="shared" si="1100"/>
        <v>#DIV/0!</v>
      </c>
      <c r="TA147" s="672" t="e">
        <f t="shared" si="1100"/>
        <v>#DIV/0!</v>
      </c>
      <c r="TB147" s="672" t="e">
        <f t="shared" si="1100"/>
        <v>#DIV/0!</v>
      </c>
      <c r="TC147" s="675" t="e">
        <f t="shared" si="1100"/>
        <v>#DIV/0!</v>
      </c>
      <c r="TD147" s="672" t="e">
        <f t="shared" si="1100"/>
        <v>#DIV/0!</v>
      </c>
      <c r="TE147" s="672" t="e">
        <f t="shared" si="1100"/>
        <v>#DIV/0!</v>
      </c>
      <c r="TF147" s="672" t="e">
        <f>TF146/TF145*100</f>
        <v>#DIV/0!</v>
      </c>
      <c r="TG147" s="672" t="e">
        <f t="shared" si="1100"/>
        <v>#DIV/0!</v>
      </c>
      <c r="TH147" s="676" t="e">
        <f t="shared" si="1100"/>
        <v>#DIV/0!</v>
      </c>
      <c r="TI147" s="688">
        <f t="shared" si="1100"/>
        <v>0.43715893988265531</v>
      </c>
      <c r="TJ147" s="1538">
        <f t="shared" si="1100"/>
        <v>0</v>
      </c>
      <c r="TK147" s="1539">
        <f t="shared" si="1100"/>
        <v>0</v>
      </c>
      <c r="TL147" s="672">
        <f t="shared" si="1100"/>
        <v>-0.8393391868074499</v>
      </c>
      <c r="TM147" s="619">
        <f t="shared" si="1100"/>
        <v>0</v>
      </c>
      <c r="TN147" s="619" t="s">
        <v>93</v>
      </c>
      <c r="TO147" s="672" t="e">
        <f>TO146/TO145*100</f>
        <v>#DIV/0!</v>
      </c>
      <c r="TP147" s="619" t="e">
        <f t="shared" ref="TP147:TY147" si="1101">TP146/TP145*100</f>
        <v>#DIV/0!</v>
      </c>
      <c r="TQ147" s="675" t="e">
        <f t="shared" si="1101"/>
        <v>#VALUE!</v>
      </c>
      <c r="TR147" s="672" t="e">
        <f t="shared" si="1101"/>
        <v>#VALUE!</v>
      </c>
      <c r="TS147" s="672" t="e">
        <f t="shared" si="1101"/>
        <v>#VALUE!</v>
      </c>
      <c r="TT147" s="675" t="e">
        <f t="shared" si="1101"/>
        <v>#VALUE!</v>
      </c>
      <c r="TU147" s="672" t="e">
        <f t="shared" si="1101"/>
        <v>#VALUE!</v>
      </c>
      <c r="TV147" s="672" t="e">
        <f t="shared" si="1101"/>
        <v>#VALUE!</v>
      </c>
      <c r="TW147" s="672" t="e">
        <f>TW146/TW145*100</f>
        <v>#VALUE!</v>
      </c>
      <c r="TX147" s="672" t="e">
        <f t="shared" si="1101"/>
        <v>#VALUE!</v>
      </c>
      <c r="TY147" s="676" t="e">
        <f t="shared" si="1101"/>
        <v>#VALUE!</v>
      </c>
    </row>
    <row r="148" spans="1:545" ht="15.75" thickBot="1" x14ac:dyDescent="0.3">
      <c r="A148" s="1541" t="s">
        <v>1059</v>
      </c>
      <c r="B148" s="699"/>
      <c r="C148" s="700"/>
      <c r="D148" s="700"/>
      <c r="E148" s="604"/>
      <c r="F148" s="700"/>
      <c r="G148" s="700"/>
      <c r="H148" s="604"/>
      <c r="I148" s="700"/>
      <c r="J148" s="698"/>
      <c r="K148" s="604"/>
      <c r="L148" s="604"/>
      <c r="M148" s="697"/>
      <c r="N148" s="604"/>
      <c r="O148" s="19"/>
      <c r="P148" s="604"/>
      <c r="Q148" s="604"/>
      <c r="R148" s="607"/>
      <c r="S148" s="1535"/>
      <c r="T148" s="1535"/>
      <c r="U148" s="1536"/>
      <c r="V148" s="604"/>
      <c r="W148" s="700"/>
      <c r="X148" s="700"/>
      <c r="Y148" s="604"/>
      <c r="Z148" s="700"/>
      <c r="AA148" s="698"/>
      <c r="AB148" s="604"/>
      <c r="AC148" s="604"/>
      <c r="AD148" s="697"/>
      <c r="AE148" s="604"/>
      <c r="AF148" s="604"/>
      <c r="AG148" s="604"/>
      <c r="AH148" s="604"/>
      <c r="AI148" s="607"/>
      <c r="AJ148" s="1535"/>
      <c r="AK148" s="1535"/>
      <c r="AL148" s="1536"/>
      <c r="AM148" s="604"/>
      <c r="AN148" s="700"/>
      <c r="AO148" s="700"/>
      <c r="AP148" s="604"/>
      <c r="AQ148" s="700"/>
      <c r="AR148" s="698"/>
      <c r="AS148" s="604"/>
      <c r="AT148" s="604"/>
      <c r="AU148" s="697"/>
      <c r="AV148" s="604"/>
      <c r="AW148" s="604"/>
      <c r="AX148" s="604"/>
      <c r="AY148" s="604"/>
      <c r="AZ148" s="607"/>
      <c r="BA148" s="699"/>
      <c r="BB148" s="1535"/>
      <c r="BC148" s="1536"/>
      <c r="BD148" s="604"/>
      <c r="BE148" s="700"/>
      <c r="BF148" s="700"/>
      <c r="BG148" s="604"/>
      <c r="BH148" s="700"/>
      <c r="BI148" s="698"/>
      <c r="BJ148" s="604"/>
      <c r="BK148" s="604"/>
      <c r="BL148" s="697"/>
      <c r="BM148" s="604"/>
      <c r="BN148" s="19"/>
      <c r="BO148" s="604"/>
      <c r="BP148" s="604"/>
      <c r="BQ148" s="607"/>
      <c r="BR148" s="699"/>
      <c r="BS148" s="1535"/>
      <c r="BT148" s="1536"/>
      <c r="BU148" s="604"/>
      <c r="BV148" s="700"/>
      <c r="BW148" s="700"/>
      <c r="BX148" s="604"/>
      <c r="BY148" s="700"/>
      <c r="BZ148" s="698"/>
      <c r="CA148" s="604"/>
      <c r="CB148" s="604"/>
      <c r="CC148" s="697"/>
      <c r="CD148" s="604"/>
      <c r="CE148" s="19"/>
      <c r="CF148" s="604"/>
      <c r="CG148" s="604"/>
      <c r="CH148" s="607"/>
      <c r="CI148" s="699"/>
      <c r="CJ148" s="1535"/>
      <c r="CK148" s="1536"/>
      <c r="CL148" s="604"/>
      <c r="CM148" s="700"/>
      <c r="CN148" s="700"/>
      <c r="CO148" s="604"/>
      <c r="CP148" s="700"/>
      <c r="CQ148" s="698"/>
      <c r="CR148" s="604"/>
      <c r="CS148" s="604"/>
      <c r="CT148" s="697"/>
      <c r="CU148" s="604"/>
      <c r="CV148" s="19"/>
      <c r="CW148" s="604"/>
      <c r="CX148" s="604"/>
      <c r="CY148" s="607"/>
      <c r="CZ148" s="699"/>
      <c r="DA148" s="1535"/>
      <c r="DB148" s="1536"/>
      <c r="DC148" s="604"/>
      <c r="DD148" s="700"/>
      <c r="DE148" s="700"/>
      <c r="DF148" s="604"/>
      <c r="DG148" s="700"/>
      <c r="DH148" s="698"/>
      <c r="DI148" s="604"/>
      <c r="DJ148" s="604"/>
      <c r="DK148" s="697"/>
      <c r="DL148" s="604"/>
      <c r="DM148" s="604"/>
      <c r="DN148" s="604"/>
      <c r="DO148" s="604"/>
      <c r="DP148" s="607"/>
      <c r="DQ148" s="699"/>
      <c r="DR148" s="1535"/>
      <c r="DS148" s="1536"/>
      <c r="DT148" s="698"/>
      <c r="DU148" s="700"/>
      <c r="DV148" s="700"/>
      <c r="DW148" s="604"/>
      <c r="DX148" s="700"/>
      <c r="DY148" s="698"/>
      <c r="DZ148" s="604"/>
      <c r="EA148" s="604"/>
      <c r="EB148" s="697"/>
      <c r="EC148" s="604"/>
      <c r="ED148" s="604"/>
      <c r="EE148" s="604"/>
      <c r="EF148" s="604"/>
      <c r="EG148" s="607"/>
      <c r="EH148" s="699"/>
      <c r="EI148" s="1535"/>
      <c r="EJ148" s="1536"/>
      <c r="EK148" s="604"/>
      <c r="EL148" s="700"/>
      <c r="EM148" s="700"/>
      <c r="EN148" s="604"/>
      <c r="EO148" s="700"/>
      <c r="EP148" s="698"/>
      <c r="EQ148" s="604"/>
      <c r="ER148" s="604"/>
      <c r="ES148" s="697"/>
      <c r="ET148" s="604"/>
      <c r="EU148" s="19"/>
      <c r="EV148" s="604"/>
      <c r="EW148" s="604"/>
      <c r="EX148" s="607"/>
      <c r="EY148" s="699"/>
      <c r="EZ148" s="1535"/>
      <c r="FA148" s="1536"/>
      <c r="FB148" s="604"/>
      <c r="FC148" s="700"/>
      <c r="FD148" s="700"/>
      <c r="FE148" s="604"/>
      <c r="FF148" s="700"/>
      <c r="FG148" s="698"/>
      <c r="FH148" s="604"/>
      <c r="FI148" s="604"/>
      <c r="FJ148" s="697"/>
      <c r="FK148" s="604"/>
      <c r="FL148" s="604"/>
      <c r="FM148" s="604"/>
      <c r="FN148" s="604"/>
      <c r="FO148" s="607"/>
      <c r="FP148" s="699"/>
      <c r="FQ148" s="1535"/>
      <c r="FR148" s="1536"/>
      <c r="FS148" s="604"/>
      <c r="FT148" s="700"/>
      <c r="FU148" s="700"/>
      <c r="FV148" s="604"/>
      <c r="FW148" s="700"/>
      <c r="FX148" s="698"/>
      <c r="FY148" s="604"/>
      <c r="FZ148" s="604"/>
      <c r="GA148" s="697"/>
      <c r="GB148" s="604"/>
      <c r="GC148" s="604"/>
      <c r="GD148" s="604"/>
      <c r="GE148" s="604"/>
      <c r="GF148" s="607"/>
      <c r="GG148" s="699"/>
      <c r="GH148" s="1535"/>
      <c r="GI148" s="1536"/>
      <c r="GJ148" s="698"/>
      <c r="GK148" s="700"/>
      <c r="GL148" s="700"/>
      <c r="GM148" s="604"/>
      <c r="GN148" s="700"/>
      <c r="GO148" s="698"/>
      <c r="GP148" s="604"/>
      <c r="GQ148" s="604"/>
      <c r="GR148" s="697"/>
      <c r="GS148" s="604"/>
      <c r="GT148" s="604"/>
      <c r="GU148" s="604"/>
      <c r="GV148" s="604"/>
      <c r="GW148" s="607"/>
      <c r="GX148" s="699"/>
      <c r="GY148" s="1535"/>
      <c r="GZ148" s="1536"/>
      <c r="HA148" s="604"/>
      <c r="HB148" s="700"/>
      <c r="HC148" s="700"/>
      <c r="HD148" s="604"/>
      <c r="HE148" s="700"/>
      <c r="HF148" s="698"/>
      <c r="HG148" s="604"/>
      <c r="HH148" s="604"/>
      <c r="HI148" s="697"/>
      <c r="HJ148" s="604"/>
      <c r="HK148" s="604"/>
      <c r="HL148" s="604"/>
      <c r="HM148" s="604"/>
      <c r="HN148" s="607"/>
      <c r="HO148" s="699"/>
      <c r="HP148" s="1535"/>
      <c r="HQ148" s="1536"/>
      <c r="HR148" s="604"/>
      <c r="HS148" s="700"/>
      <c r="HT148" s="700"/>
      <c r="HU148" s="604"/>
      <c r="HV148" s="700"/>
      <c r="HW148" s="698"/>
      <c r="HX148" s="604"/>
      <c r="HY148" s="604"/>
      <c r="HZ148" s="697"/>
      <c r="IA148" s="604"/>
      <c r="IB148" s="604"/>
      <c r="IC148" s="604"/>
      <c r="ID148" s="604"/>
      <c r="IE148" s="607"/>
      <c r="IF148" s="699"/>
      <c r="IG148" s="1535"/>
      <c r="IH148" s="1536"/>
      <c r="II148" s="604"/>
      <c r="IJ148" s="700"/>
      <c r="IK148" s="700"/>
      <c r="IL148" s="604"/>
      <c r="IM148" s="700"/>
      <c r="IN148" s="698"/>
      <c r="IO148" s="604"/>
      <c r="IP148" s="604"/>
      <c r="IQ148" s="697"/>
      <c r="IR148" s="604"/>
      <c r="IS148" s="604"/>
      <c r="IT148" s="604"/>
      <c r="IU148" s="604"/>
      <c r="IV148" s="607"/>
      <c r="IW148" s="699"/>
      <c r="IX148" s="1535"/>
      <c r="IY148" s="1536"/>
      <c r="IZ148" s="604"/>
      <c r="JA148" s="700"/>
      <c r="JB148" s="700"/>
      <c r="JC148" s="604"/>
      <c r="JD148" s="700"/>
      <c r="JE148" s="698"/>
      <c r="JF148" s="604"/>
      <c r="JG148" s="604"/>
      <c r="JH148" s="697"/>
      <c r="JI148" s="604"/>
      <c r="JJ148" s="604"/>
      <c r="JK148" s="604"/>
      <c r="JL148" s="604"/>
      <c r="JM148" s="607"/>
      <c r="JN148" s="699"/>
      <c r="JO148" s="1535"/>
      <c r="JP148" s="1536"/>
      <c r="JQ148" s="604"/>
      <c r="JR148" s="700"/>
      <c r="JS148" s="700"/>
      <c r="JT148" s="604"/>
      <c r="JU148" s="700"/>
      <c r="JV148" s="698"/>
      <c r="JW148" s="604"/>
      <c r="JX148" s="604"/>
      <c r="JY148" s="697"/>
      <c r="JZ148" s="604"/>
      <c r="KA148" s="604"/>
      <c r="KB148" s="604"/>
      <c r="KC148" s="604"/>
      <c r="KD148" s="607"/>
      <c r="KE148" s="699"/>
      <c r="KF148" s="1535"/>
      <c r="KG148" s="1536"/>
      <c r="KH148" s="604"/>
      <c r="KI148" s="700"/>
      <c r="KJ148" s="700"/>
      <c r="KK148" s="604"/>
      <c r="KL148" s="700"/>
      <c r="KM148" s="698"/>
      <c r="KN148" s="604"/>
      <c r="KO148" s="604"/>
      <c r="KP148" s="697"/>
      <c r="KQ148" s="604"/>
      <c r="KR148" s="604"/>
      <c r="KS148" s="604"/>
      <c r="KT148" s="604"/>
      <c r="KU148" s="607"/>
      <c r="KV148" s="699"/>
      <c r="KW148" s="1535"/>
      <c r="KX148" s="1536"/>
      <c r="KY148" s="604"/>
      <c r="KZ148" s="700"/>
      <c r="LA148" s="700"/>
      <c r="LB148" s="604"/>
      <c r="LC148" s="700"/>
      <c r="LD148" s="698"/>
      <c r="LE148" s="604"/>
      <c r="LF148" s="604"/>
      <c r="LG148" s="697"/>
      <c r="LH148" s="604"/>
      <c r="LI148" s="604"/>
      <c r="LJ148" s="604"/>
      <c r="LK148" s="604"/>
      <c r="LL148" s="607"/>
      <c r="LM148" s="699"/>
      <c r="LN148" s="1535"/>
      <c r="LO148" s="1536"/>
      <c r="LP148" s="604"/>
      <c r="LQ148" s="700"/>
      <c r="LR148" s="700"/>
      <c r="LS148" s="604"/>
      <c r="LT148" s="700"/>
      <c r="LU148" s="698"/>
      <c r="LV148" s="604"/>
      <c r="LW148" s="604"/>
      <c r="LX148" s="697"/>
      <c r="LY148" s="604"/>
      <c r="LZ148" s="604"/>
      <c r="MA148" s="604"/>
      <c r="MB148" s="604"/>
      <c r="MC148" s="607"/>
      <c r="MD148" s="699"/>
      <c r="ME148" s="1535"/>
      <c r="MF148" s="1536"/>
      <c r="MG148" s="604"/>
      <c r="MH148" s="700"/>
      <c r="MI148" s="700"/>
      <c r="MJ148" s="604"/>
      <c r="MK148" s="700"/>
      <c r="ML148" s="698"/>
      <c r="MM148" s="604"/>
      <c r="MN148" s="604"/>
      <c r="MO148" s="697"/>
      <c r="MP148" s="604"/>
      <c r="MQ148" s="604"/>
      <c r="MR148" s="604"/>
      <c r="MS148" s="604"/>
      <c r="MT148" s="607"/>
      <c r="MU148" s="699"/>
      <c r="MV148" s="1535"/>
      <c r="MW148" s="1536"/>
      <c r="MX148" s="604"/>
      <c r="MY148" s="700"/>
      <c r="MZ148" s="700"/>
      <c r="NA148" s="604"/>
      <c r="NB148" s="700"/>
      <c r="NC148" s="698"/>
      <c r="ND148" s="604"/>
      <c r="NE148" s="604"/>
      <c r="NF148" s="697"/>
      <c r="NG148" s="604"/>
      <c r="NH148" s="19"/>
      <c r="NI148" s="604"/>
      <c r="NJ148" s="604"/>
      <c r="NK148" s="607"/>
      <c r="NL148" s="699"/>
      <c r="NM148" s="1535"/>
      <c r="NN148" s="1536"/>
      <c r="NO148" s="604"/>
      <c r="NP148" s="700"/>
      <c r="NQ148" s="700"/>
      <c r="NR148" s="604"/>
      <c r="NS148" s="700"/>
      <c r="NT148" s="698"/>
      <c r="NU148" s="604"/>
      <c r="NV148" s="604"/>
      <c r="NW148" s="697"/>
      <c r="NX148" s="604"/>
      <c r="NY148" s="604"/>
      <c r="NZ148" s="604"/>
      <c r="OA148" s="604"/>
      <c r="OB148" s="607"/>
      <c r="OC148" s="699"/>
      <c r="OD148" s="1535"/>
      <c r="OE148" s="1536"/>
      <c r="OF148" s="604"/>
      <c r="OG148" s="700"/>
      <c r="OH148" s="700"/>
      <c r="OI148" s="604"/>
      <c r="OJ148" s="700"/>
      <c r="OK148" s="698"/>
      <c r="OL148" s="604"/>
      <c r="OM148" s="604"/>
      <c r="ON148" s="697"/>
      <c r="OO148" s="604"/>
      <c r="OP148" s="19"/>
      <c r="OQ148" s="604"/>
      <c r="OR148" s="604"/>
      <c r="OS148" s="607"/>
      <c r="OT148" s="699"/>
      <c r="OU148" s="1535"/>
      <c r="OV148" s="1536"/>
      <c r="OW148" s="604"/>
      <c r="OX148" s="700"/>
      <c r="OY148" s="700"/>
      <c r="OZ148" s="604"/>
      <c r="PA148" s="700"/>
      <c r="PB148" s="698"/>
      <c r="PC148" s="604"/>
      <c r="PD148" s="604"/>
      <c r="PE148" s="697"/>
      <c r="PF148" s="604"/>
      <c r="PG148" s="604"/>
      <c r="PH148" s="604"/>
      <c r="PI148" s="604"/>
      <c r="PJ148" s="607"/>
      <c r="PK148" s="699"/>
      <c r="PL148" s="1535"/>
      <c r="PM148" s="1536"/>
      <c r="PN148" s="604"/>
      <c r="PO148" s="700"/>
      <c r="PP148" s="700"/>
      <c r="PQ148" s="604"/>
      <c r="PR148" s="700"/>
      <c r="PS148" s="698"/>
      <c r="PT148" s="604"/>
      <c r="PU148" s="604"/>
      <c r="PV148" s="697"/>
      <c r="PW148" s="604"/>
      <c r="PX148" s="604"/>
      <c r="PY148" s="604"/>
      <c r="PZ148" s="604"/>
      <c r="QA148" s="607"/>
      <c r="QB148" s="699"/>
      <c r="QC148" s="1535"/>
      <c r="QD148" s="1536"/>
      <c r="QE148" s="604"/>
      <c r="QF148" s="700"/>
      <c r="QG148" s="700"/>
      <c r="QH148" s="604"/>
      <c r="QI148" s="700"/>
      <c r="QJ148" s="698"/>
      <c r="QK148" s="604"/>
      <c r="QL148" s="604"/>
      <c r="QM148" s="697"/>
      <c r="QN148" s="604"/>
      <c r="QO148" s="604"/>
      <c r="QP148" s="604"/>
      <c r="QQ148" s="604"/>
      <c r="QR148" s="607"/>
      <c r="QS148" s="699"/>
      <c r="QT148" s="1535"/>
      <c r="QU148" s="1535"/>
      <c r="QV148" s="698"/>
      <c r="QW148" s="700"/>
      <c r="QX148" s="700"/>
      <c r="QY148" s="604"/>
      <c r="QZ148" s="700"/>
      <c r="RA148" s="698"/>
      <c r="RB148" s="604"/>
      <c r="RC148" s="604"/>
      <c r="RD148" s="697"/>
      <c r="RE148" s="604"/>
      <c r="RF148" s="604"/>
      <c r="RG148" s="604"/>
      <c r="RH148" s="604"/>
      <c r="RI148" s="607"/>
      <c r="RJ148" s="699"/>
      <c r="RK148" s="1535"/>
      <c r="RL148" s="1536"/>
      <c r="RM148" s="604"/>
      <c r="RN148" s="700"/>
      <c r="RO148" s="700"/>
      <c r="RP148" s="604"/>
      <c r="RQ148" s="700"/>
      <c r="RR148" s="698"/>
      <c r="RS148" s="604"/>
      <c r="RT148" s="604"/>
      <c r="RU148" s="697"/>
      <c r="RV148" s="604"/>
      <c r="RW148" s="19"/>
      <c r="RX148" s="604"/>
      <c r="RY148" s="604"/>
      <c r="RZ148" s="607"/>
      <c r="SA148" s="699"/>
      <c r="SB148" s="1535"/>
      <c r="SC148" s="1536"/>
      <c r="SD148" s="604"/>
      <c r="SE148" s="700"/>
      <c r="SF148" s="700"/>
      <c r="SG148" s="604"/>
      <c r="SH148" s="700"/>
      <c r="SI148" s="698"/>
      <c r="SJ148" s="604"/>
      <c r="SK148" s="604"/>
      <c r="SL148" s="697"/>
      <c r="SM148" s="604"/>
      <c r="SN148" s="19"/>
      <c r="SO148" s="604"/>
      <c r="SP148" s="604"/>
      <c r="SQ148" s="607"/>
      <c r="SR148" s="699"/>
      <c r="SS148" s="1535"/>
      <c r="ST148" s="1536"/>
      <c r="SU148" s="604"/>
      <c r="SV148" s="700"/>
      <c r="SW148" s="700"/>
      <c r="SX148" s="604"/>
      <c r="SY148" s="700"/>
      <c r="SZ148" s="698"/>
      <c r="TA148" s="604"/>
      <c r="TB148" s="604"/>
      <c r="TC148" s="697"/>
      <c r="TD148" s="604"/>
      <c r="TE148" s="604"/>
      <c r="TF148" s="604"/>
      <c r="TG148" s="604"/>
      <c r="TH148" s="607"/>
      <c r="TI148" s="699"/>
      <c r="TJ148" s="1535"/>
      <c r="TK148" s="1536"/>
      <c r="TL148" s="604"/>
      <c r="TM148" s="700"/>
      <c r="TN148" s="700"/>
      <c r="TO148" s="604"/>
      <c r="TP148" s="700"/>
      <c r="TQ148" s="698"/>
      <c r="TR148" s="604"/>
      <c r="TS148" s="604"/>
      <c r="TT148" s="697"/>
      <c r="TU148" s="604"/>
      <c r="TV148" s="19"/>
      <c r="TW148" s="604"/>
      <c r="TX148" s="604"/>
      <c r="TY148" s="607"/>
    </row>
    <row r="149" spans="1:545" x14ac:dyDescent="0.25">
      <c r="A149" s="2218">
        <v>300</v>
      </c>
      <c r="B149" s="664"/>
      <c r="C149" s="667"/>
      <c r="D149" s="667"/>
      <c r="E149" s="651"/>
      <c r="F149" s="667"/>
      <c r="G149" s="663"/>
      <c r="H149" s="651"/>
      <c r="I149" s="652"/>
      <c r="J149" s="653"/>
      <c r="K149" s="599"/>
      <c r="L149" s="599"/>
      <c r="M149" s="657"/>
      <c r="N149" s="600"/>
      <c r="O149" s="599"/>
      <c r="P149" s="600"/>
      <c r="Q149" s="599"/>
      <c r="R149" s="658"/>
      <c r="S149" s="659"/>
      <c r="T149" s="660"/>
      <c r="U149" s="661"/>
      <c r="V149" s="651"/>
      <c r="W149" s="662"/>
      <c r="X149" s="663"/>
      <c r="Y149" s="651">
        <f>IF(AND(ABS(V149)&gt;=$F$42,ABS(V149)&lt;=$G$42),V149*$D$42,IF(AND(ABS(V149)&gt;=$F$43,ABS(V149)&lt;=$G$43),V149*$D$43,IF(AND(ABS(V149)&gt;=$F$44,ABS(V149)&lt;=$G$44),V149*$D$44,"rango cal. out")))</f>
        <v>0</v>
      </c>
      <c r="Z149" s="652" t="e">
        <f>((273.2+S149)*$F$32/((273.2+$F$31)*U149))</f>
        <v>#DIV/0!</v>
      </c>
      <c r="AA149" s="653" t="e">
        <f>Y149/W149*Z149*EXP(-LN(2)/10990*($F$88-X149))</f>
        <v>#DIV/0!</v>
      </c>
      <c r="AB149" s="599" t="e">
        <f>AA149-AVERAGE(AI94:AI95)</f>
        <v>#DIV/0!</v>
      </c>
      <c r="AC149" s="599" t="e">
        <f>ABS($B$33*AB149*3600)</f>
        <v>#DIV/0!</v>
      </c>
      <c r="AD149" s="657" t="e">
        <f>ABS($B$34*AB149*3600)</f>
        <v>#DIV/0!</v>
      </c>
      <c r="AE149" s="600" t="e">
        <f>AD149*$C$79</f>
        <v>#DIV/0!</v>
      </c>
      <c r="AF149" s="599" t="e">
        <f>AD149*$F$70</f>
        <v>#DIV/0!</v>
      </c>
      <c r="AG149" s="600" t="e">
        <f>AD149*$F$75</f>
        <v>#DIV/0!</v>
      </c>
      <c r="AH149" s="599" t="e">
        <f>AD149*$F$72</f>
        <v>#DIV/0!</v>
      </c>
      <c r="AI149" s="658" t="e">
        <f>AD149*$F$71</f>
        <v>#DIV/0!</v>
      </c>
      <c r="AJ149" s="659"/>
      <c r="AK149" s="660"/>
      <c r="AL149" s="661"/>
      <c r="AM149" s="651"/>
      <c r="AN149" s="662"/>
      <c r="AO149" s="663"/>
      <c r="AP149" s="651">
        <f>IF(AND(ABS(AM149)&gt;=$F$42,ABS(AM149)&lt;=$G$42),AM149*$D$42,IF(AND(ABS(AM149)&gt;=$F$43,ABS(AM149)&lt;=$G$43),AM149*$D$43,IF(AND(ABS(AM149)&gt;=$F$44,ABS(AM149)&lt;=$G$44),AM149*$D$44,"rango cal. out")))</f>
        <v>0</v>
      </c>
      <c r="AQ149" s="652" t="e">
        <f>((273.2+AJ149)*$F$32/((273.2+$F$31)*AL149))</f>
        <v>#DIV/0!</v>
      </c>
      <c r="AR149" s="653" t="e">
        <f>AP149/AN149*AQ149*EXP(-LN(2)/10990*($F$88-AO149))</f>
        <v>#DIV/0!</v>
      </c>
      <c r="AS149" s="599" t="e">
        <f>AR149-AVERAGE(AZ94:AZ95)</f>
        <v>#DIV/0!</v>
      </c>
      <c r="AT149" s="599" t="e">
        <f>ABS($B$33*AS149*3600)</f>
        <v>#DIV/0!</v>
      </c>
      <c r="AU149" s="657" t="e">
        <f>ABS($B$34*AS149*3600)</f>
        <v>#DIV/0!</v>
      </c>
      <c r="AV149" s="600" t="e">
        <f>AU149*$C$79</f>
        <v>#DIV/0!</v>
      </c>
      <c r="AW149" s="599" t="e">
        <f>AU149*$F$70</f>
        <v>#DIV/0!</v>
      </c>
      <c r="AX149" s="600" t="e">
        <f>AU149*$F$75</f>
        <v>#DIV/0!</v>
      </c>
      <c r="AY149" s="599" t="e">
        <f>AU149*$F$72</f>
        <v>#DIV/0!</v>
      </c>
      <c r="AZ149" s="658" t="e">
        <f>AU149*$F$71</f>
        <v>#DIV/0!</v>
      </c>
      <c r="BA149" s="664"/>
      <c r="BB149" s="660"/>
      <c r="BC149" s="661"/>
      <c r="BD149" s="651"/>
      <c r="BE149" s="662"/>
      <c r="BF149" s="663"/>
      <c r="BG149" s="651">
        <f>IF(AND(ABS(BD149)&gt;=$F$42,ABS(BD149)&lt;=$G$42),BD149*$D$42,IF(AND(ABS(BD149)&gt;=$F$43,ABS(BD149)&lt;=$G$43),BD149*$D$43,IF(AND(ABS(BD149)&gt;=$F$44,ABS(BD149)&lt;=$G$44),BD149*$D$44,"rango cal. out")))</f>
        <v>0</v>
      </c>
      <c r="BH149" s="652" t="e">
        <f>((273.2+BA149)*$F$32/((273.2+$F$31)*BC149))</f>
        <v>#DIV/0!</v>
      </c>
      <c r="BI149" s="653" t="e">
        <f>BG149/BE149*BH149*EXP(-LN(2)/10990*($F$88-BF149))</f>
        <v>#DIV/0!</v>
      </c>
      <c r="BJ149" s="599" t="e">
        <f>BI149-AVERAGE(BQ94:BQ95)</f>
        <v>#DIV/0!</v>
      </c>
      <c r="BK149" s="599" t="e">
        <f>ABS($B$33*BJ149*3600)</f>
        <v>#DIV/0!</v>
      </c>
      <c r="BL149" s="657" t="e">
        <f>ABS($B$34*BJ149*3600)</f>
        <v>#DIV/0!</v>
      </c>
      <c r="BM149" s="600" t="e">
        <f>BL149*$C$79</f>
        <v>#DIV/0!</v>
      </c>
      <c r="BN149" s="599" t="e">
        <f>BL149*$F$70</f>
        <v>#DIV/0!</v>
      </c>
      <c r="BO149" s="600" t="e">
        <f>BL149*$F$75</f>
        <v>#DIV/0!</v>
      </c>
      <c r="BP149" s="599" t="e">
        <f>BL149*$F$72</f>
        <v>#DIV/0!</v>
      </c>
      <c r="BQ149" s="658" t="e">
        <f>BL149*$F$71</f>
        <v>#DIV/0!</v>
      </c>
      <c r="BR149" s="664"/>
      <c r="BS149" s="660"/>
      <c r="BT149" s="661"/>
      <c r="BU149" s="651"/>
      <c r="BV149" s="662"/>
      <c r="BW149" s="663"/>
      <c r="BX149" s="651">
        <f>IF(AND(ABS(BU149)&gt;=$F$42,ABS(BU149)&lt;=$G$42),BU149*$D$42,IF(AND(ABS(BU149)&gt;=$F$43,ABS(BU149)&lt;=$G$43),BU149*$D$43,IF(AND(ABS(BU149)&gt;=$F$44,ABS(BU149)&lt;=$G$44),BU149*$D$44,"rango cal. out")))</f>
        <v>0</v>
      </c>
      <c r="BY149" s="652" t="e">
        <f>((273.2+BR149)*$F$32/((273.2+$F$31)*BT149))</f>
        <v>#DIV/0!</v>
      </c>
      <c r="BZ149" s="653" t="e">
        <f>BX149/BV149*BY149*EXP(-LN(2)/10990*($F$88-BW149))</f>
        <v>#DIV/0!</v>
      </c>
      <c r="CA149" s="599" t="e">
        <f>BZ149-AVERAGE(CH94:CH95)</f>
        <v>#DIV/0!</v>
      </c>
      <c r="CB149" s="599" t="e">
        <f>ABS($B$33*CA149*3600)</f>
        <v>#DIV/0!</v>
      </c>
      <c r="CC149" s="657" t="e">
        <f>ABS($B$34*CA149*3600)</f>
        <v>#DIV/0!</v>
      </c>
      <c r="CD149" s="600" t="e">
        <f>CC149*$C$79</f>
        <v>#DIV/0!</v>
      </c>
      <c r="CE149" s="599" t="e">
        <f>CC149*$F$70</f>
        <v>#DIV/0!</v>
      </c>
      <c r="CF149" s="600" t="e">
        <f>CC149*$F$75</f>
        <v>#DIV/0!</v>
      </c>
      <c r="CG149" s="599" t="e">
        <f>CC149*$F$72</f>
        <v>#DIV/0!</v>
      </c>
      <c r="CH149" s="658" t="e">
        <f>CC149*$F$71</f>
        <v>#DIV/0!</v>
      </c>
      <c r="CI149" s="664"/>
      <c r="CJ149" s="660"/>
      <c r="CK149" s="661"/>
      <c r="CL149" s="651"/>
      <c r="CM149" s="662"/>
      <c r="CN149" s="663"/>
      <c r="CO149" s="651">
        <f>IF(AND(ABS(CL149)&gt;=$F$42,ABS(CL149)&lt;=$G$42),CL149*$D$42,IF(AND(ABS(CL149)&gt;=$F$43,ABS(CL149)&lt;=$G$43),CL149*$D$43,IF(AND(ABS(CL149)&gt;=$F$44,ABS(CL149)&lt;=$G$44),CL149*$D$44,"rango cal. out")))</f>
        <v>0</v>
      </c>
      <c r="CP149" s="652" t="e">
        <f>((273.2+CI149)*$F$32/((273.2+$F$31)*CK149))</f>
        <v>#DIV/0!</v>
      </c>
      <c r="CQ149" s="653" t="e">
        <f>CO149/CM149*CP149*EXP(-LN(2)/10990*($F$88-CN149))</f>
        <v>#DIV/0!</v>
      </c>
      <c r="CR149" s="599" t="e">
        <f>CQ149-AVERAGE(CY94:CY95)</f>
        <v>#DIV/0!</v>
      </c>
      <c r="CS149" s="599" t="e">
        <f>ABS($B$33*CR149*3600)</f>
        <v>#DIV/0!</v>
      </c>
      <c r="CT149" s="657" t="e">
        <f>ABS($B$34*CR149*3600)</f>
        <v>#DIV/0!</v>
      </c>
      <c r="CU149" s="600" t="e">
        <f>CT149*$C$79</f>
        <v>#DIV/0!</v>
      </c>
      <c r="CV149" s="599" t="e">
        <f>CT149*$F$70</f>
        <v>#DIV/0!</v>
      </c>
      <c r="CW149" s="600" t="e">
        <f>CT149*$F$75</f>
        <v>#DIV/0!</v>
      </c>
      <c r="CX149" s="599" t="e">
        <f>CT149*$F$72</f>
        <v>#DIV/0!</v>
      </c>
      <c r="CY149" s="658" t="e">
        <f>CT149*$F$71</f>
        <v>#DIV/0!</v>
      </c>
      <c r="CZ149" s="664"/>
      <c r="DA149" s="660"/>
      <c r="DB149" s="661"/>
      <c r="DC149" s="651"/>
      <c r="DD149" s="662"/>
      <c r="DE149" s="663"/>
      <c r="DF149" s="651">
        <f>IF(AND(ABS(DC149)&gt;=$F$42,ABS(DC149)&lt;=$G$42),DC149*$D$42,IF(AND(ABS(DC149)&gt;=$F$43,ABS(DC149)&lt;=$G$43),DC149*$D$43,IF(AND(ABS(DC149)&gt;=$F$44,ABS(DC149)&lt;=$G$44),DC149*$D$44,"rango cal. out")))</f>
        <v>0</v>
      </c>
      <c r="DG149" s="652" t="e">
        <f>((273.2+CZ149)*$F$32/((273.2+$F$31)*DB149))</f>
        <v>#DIV/0!</v>
      </c>
      <c r="DH149" s="653" t="e">
        <f>DF149/DD149*DG149*EXP(-LN(2)/10990*($F$88-DE149))</f>
        <v>#DIV/0!</v>
      </c>
      <c r="DI149" s="599" t="e">
        <f>DH149-AVERAGE(DP94:DP95)</f>
        <v>#DIV/0!</v>
      </c>
      <c r="DJ149" s="599" t="e">
        <f>ABS($B$33*DI149*3600)</f>
        <v>#DIV/0!</v>
      </c>
      <c r="DK149" s="657" t="e">
        <f>ABS($B$34*DI149*3600)</f>
        <v>#DIV/0!</v>
      </c>
      <c r="DL149" s="600" t="e">
        <f>DK149*$C$79</f>
        <v>#DIV/0!</v>
      </c>
      <c r="DM149" s="599" t="e">
        <f>DK149*$F$70</f>
        <v>#DIV/0!</v>
      </c>
      <c r="DN149" s="600" t="e">
        <f>DK149*$F$75</f>
        <v>#DIV/0!</v>
      </c>
      <c r="DO149" s="599" t="e">
        <f>DK149*$F$72</f>
        <v>#DIV/0!</v>
      </c>
      <c r="DP149" s="658" t="e">
        <f>DK149*$F$71</f>
        <v>#DIV/0!</v>
      </c>
      <c r="DQ149" s="664"/>
      <c r="DR149" s="660"/>
      <c r="DS149" s="659"/>
      <c r="DT149" s="665"/>
      <c r="DU149" s="662"/>
      <c r="DV149" s="663"/>
      <c r="DW149" s="651">
        <f>IF(AND(ABS(DT149)&gt;=$F$42,ABS(DT149)&lt;=$G$42),DT149*$D$42,IF(AND(ABS(DT149)&gt;=$F$43,ABS(DT149)&lt;=$G$43),DT149*$D$43,IF(AND(ABS(DT149)&gt;=$F$44,ABS(DT149)&lt;=$G$44),DT149*$D$44,"rango cal. out")))</f>
        <v>0</v>
      </c>
      <c r="DX149" s="652" t="e">
        <f>((273.2+DQ149)*$F$32/((273.2+$F$31)*DS149))</f>
        <v>#DIV/0!</v>
      </c>
      <c r="DY149" s="653" t="e">
        <f>DW149/DU149*DX149*EXP(-LN(2)/10990*($F$88-DV149))</f>
        <v>#DIV/0!</v>
      </c>
      <c r="DZ149" s="599" t="e">
        <f>DY149-AVERAGE(EG94:EG95)</f>
        <v>#DIV/0!</v>
      </c>
      <c r="EA149" s="599" t="e">
        <f>ABS($B$33*DZ149*3600)</f>
        <v>#DIV/0!</v>
      </c>
      <c r="EB149" s="657" t="e">
        <f>ABS($B$34*DZ149*3600)</f>
        <v>#DIV/0!</v>
      </c>
      <c r="EC149" s="600" t="e">
        <f>EB149*$C$79</f>
        <v>#DIV/0!</v>
      </c>
      <c r="ED149" s="599" t="e">
        <f>EB149*$F$70</f>
        <v>#DIV/0!</v>
      </c>
      <c r="EE149" s="600" t="e">
        <f>EB149*$F$75</f>
        <v>#DIV/0!</v>
      </c>
      <c r="EF149" s="599" t="e">
        <f>EB149*$F$72</f>
        <v>#DIV/0!</v>
      </c>
      <c r="EG149" s="658" t="e">
        <f>EB149*$F$71</f>
        <v>#DIV/0!</v>
      </c>
      <c r="EH149" s="664"/>
      <c r="EI149" s="660"/>
      <c r="EJ149" s="661"/>
      <c r="EK149" s="651"/>
      <c r="EL149" s="662"/>
      <c r="EM149" s="663"/>
      <c r="EN149" s="651">
        <f>IF(AND(ABS(EK149)&gt;=$F$42,ABS(EK149)&lt;=$G$42),EK149*$D$42,IF(AND(ABS(EK149)&gt;=$F$43,ABS(EK149)&lt;=$G$43),EK149*$D$43,IF(AND(ABS(EK149)&gt;=$F$44,ABS(EK149)&lt;=$G$44),EK149*$D$44,"rango cal. out")))</f>
        <v>0</v>
      </c>
      <c r="EO149" s="652" t="e">
        <f>((273.2+EH149)*$F$32/((273.2+$F$31)*EJ149))</f>
        <v>#DIV/0!</v>
      </c>
      <c r="EP149" s="653" t="e">
        <f>EN149/EL149*EO149*EXP(-LN(2)/10990*($F$88-EM149))</f>
        <v>#DIV/0!</v>
      </c>
      <c r="EQ149" s="599" t="e">
        <f>EP149-AVERAGE(EX94:EX95)</f>
        <v>#DIV/0!</v>
      </c>
      <c r="ER149" s="599" t="e">
        <f>ABS($B$33*EQ149*3600)</f>
        <v>#DIV/0!</v>
      </c>
      <c r="ES149" s="657" t="e">
        <f>ABS($B$34*EQ149*3600)</f>
        <v>#DIV/0!</v>
      </c>
      <c r="ET149" s="600" t="e">
        <f>ES149*$C$79</f>
        <v>#DIV/0!</v>
      </c>
      <c r="EU149" s="599" t="e">
        <f>ES149*$F$70</f>
        <v>#DIV/0!</v>
      </c>
      <c r="EV149" s="600" t="e">
        <f>ES149*$F$75</f>
        <v>#DIV/0!</v>
      </c>
      <c r="EW149" s="599" t="e">
        <f>ES149*$F$72</f>
        <v>#DIV/0!</v>
      </c>
      <c r="EX149" s="658" t="e">
        <f>ES149*$F$71</f>
        <v>#DIV/0!</v>
      </c>
      <c r="EY149" s="664"/>
      <c r="EZ149" s="660"/>
      <c r="FA149" s="661"/>
      <c r="FB149" s="651"/>
      <c r="FC149" s="662"/>
      <c r="FD149" s="663"/>
      <c r="FE149" s="651">
        <f>IF(AND(ABS(FB149)&gt;=$F$42,ABS(FB149)&lt;=$G$42),FB149*$D$42,IF(AND(ABS(FB149)&gt;=$F$43,ABS(FB149)&lt;=$G$43),FB149*$D$43,IF(AND(ABS(FB149)&gt;=$F$44,ABS(FB149)&lt;=$G$44),FB149*$D$44,"rango cal. out")))</f>
        <v>0</v>
      </c>
      <c r="FF149" s="652" t="e">
        <f>((273.2+EY149)*$F$32/((273.2+$F$31)*FA149))</f>
        <v>#DIV/0!</v>
      </c>
      <c r="FG149" s="653" t="e">
        <f>FE149/FC149*FF149*EXP(-LN(2)/10990*($F$88-FD149))</f>
        <v>#DIV/0!</v>
      </c>
      <c r="FH149" s="599" t="e">
        <f>FG149-AVERAGE(FO94:FO95)</f>
        <v>#DIV/0!</v>
      </c>
      <c r="FI149" s="599" t="e">
        <f>ABS($B$33*FH149*3600)</f>
        <v>#DIV/0!</v>
      </c>
      <c r="FJ149" s="657" t="e">
        <f>ABS($B$34*FH149*3600)</f>
        <v>#DIV/0!</v>
      </c>
      <c r="FK149" s="600" t="e">
        <f>FJ149*$C$79</f>
        <v>#DIV/0!</v>
      </c>
      <c r="FL149" s="599" t="e">
        <f>FJ149*$F$70</f>
        <v>#DIV/0!</v>
      </c>
      <c r="FM149" s="600" t="e">
        <f>FJ149*$F$75</f>
        <v>#DIV/0!</v>
      </c>
      <c r="FN149" s="599" t="e">
        <f>FJ149*$F$72</f>
        <v>#DIV/0!</v>
      </c>
      <c r="FO149" s="658" t="e">
        <f>FJ149*$F$71</f>
        <v>#DIV/0!</v>
      </c>
      <c r="FP149" s="664"/>
      <c r="FQ149" s="660"/>
      <c r="FR149" s="661"/>
      <c r="FS149" s="651"/>
      <c r="FT149" s="662"/>
      <c r="FU149" s="663"/>
      <c r="FV149" s="651">
        <f>IF(AND(ABS(FS149)&gt;=$F$42,ABS(FS149)&lt;=$G$42),FS149*$D$42,IF(AND(ABS(FS149)&gt;=$F$43,ABS(FS149)&lt;=$G$43),FS149*$D$43,IF(AND(ABS(FS149)&gt;=$F$44,ABS(FS149)&lt;=$G$44),FS149*$D$44,"rango cal. out")))</f>
        <v>0</v>
      </c>
      <c r="FW149" s="652" t="e">
        <f>((273.2+FP149)*$F$32/((273.2+$F$31)*FR149))</f>
        <v>#DIV/0!</v>
      </c>
      <c r="FX149" s="653" t="e">
        <f>FV149/FT149*FW149*EXP(-LN(2)/10990*($F$88-FU149))</f>
        <v>#DIV/0!</v>
      </c>
      <c r="FY149" s="599" t="e">
        <f>FX149-AVERAGE(GF94:GF95)</f>
        <v>#DIV/0!</v>
      </c>
      <c r="FZ149" s="599" t="e">
        <f>ABS($B$33*FY149*3600)</f>
        <v>#DIV/0!</v>
      </c>
      <c r="GA149" s="657" t="e">
        <f>ABS($B$34*FY149*3600)</f>
        <v>#DIV/0!</v>
      </c>
      <c r="GB149" s="600" t="e">
        <f>GA149*$C$79</f>
        <v>#DIV/0!</v>
      </c>
      <c r="GC149" s="599" t="e">
        <f>GA149*$F$70</f>
        <v>#DIV/0!</v>
      </c>
      <c r="GD149" s="600" t="e">
        <f>GA149*$F$75</f>
        <v>#DIV/0!</v>
      </c>
      <c r="GE149" s="599" t="e">
        <f>GA149*$F$72</f>
        <v>#DIV/0!</v>
      </c>
      <c r="GF149" s="658" t="e">
        <f>GA149*$F$71</f>
        <v>#DIV/0!</v>
      </c>
      <c r="GG149" s="664"/>
      <c r="GH149" s="660"/>
      <c r="GI149" s="659"/>
      <c r="GJ149" s="665"/>
      <c r="GK149" s="662"/>
      <c r="GL149" s="663"/>
      <c r="GM149" s="651">
        <f>IF(AND(ABS(GJ149)&gt;=$F$42,ABS(GJ149)&lt;=$G$42),GJ149*$D$42,IF(AND(ABS(GJ149)&gt;=$F$43,ABS(GJ149)&lt;=$G$43),GJ149*$D$43,IF(AND(ABS(GJ149)&gt;=$F$44,ABS(GJ149)&lt;=$G$44),GJ149*$D$44,"rango cal. out")))</f>
        <v>0</v>
      </c>
      <c r="GN149" s="652" t="e">
        <f>((273.2+GG149)*$F$32/((273.2+$F$31)*GI149))</f>
        <v>#DIV/0!</v>
      </c>
      <c r="GO149" s="653" t="e">
        <f>GM149/GK149*GN149*EXP(-LN(2)/10990*($F$88-GL149))</f>
        <v>#DIV/0!</v>
      </c>
      <c r="GP149" s="599" t="e">
        <f>GO149-AVERAGE(GW94:GW95)</f>
        <v>#DIV/0!</v>
      </c>
      <c r="GQ149" s="599" t="e">
        <f>ABS($B$33*GP149*3600)</f>
        <v>#DIV/0!</v>
      </c>
      <c r="GR149" s="657" t="e">
        <f>ABS($B$34*GP149*3600)</f>
        <v>#DIV/0!</v>
      </c>
      <c r="GS149" s="600" t="e">
        <f>GR149*$C$79</f>
        <v>#DIV/0!</v>
      </c>
      <c r="GT149" s="599" t="e">
        <f>GR149*$F$70</f>
        <v>#DIV/0!</v>
      </c>
      <c r="GU149" s="600" t="e">
        <f>GR149*$F$75</f>
        <v>#DIV/0!</v>
      </c>
      <c r="GV149" s="599" t="e">
        <f>GR149*$F$72</f>
        <v>#DIV/0!</v>
      </c>
      <c r="GW149" s="658" t="e">
        <f>GR149*$F$71</f>
        <v>#DIV/0!</v>
      </c>
      <c r="GX149" s="664"/>
      <c r="GY149" s="660"/>
      <c r="GZ149" s="661"/>
      <c r="HA149" s="651"/>
      <c r="HB149" s="662"/>
      <c r="HC149" s="663"/>
      <c r="HD149" s="651">
        <f>IF(AND(ABS(HA149)&gt;=$F$42,ABS(HA149)&lt;=$G$42),HA149*$D$42,IF(AND(ABS(HA149)&gt;=$F$43,ABS(HA149)&lt;=$G$43),HA149*$D$43,IF(AND(ABS(HA149)&gt;=$F$44,ABS(HA149)&lt;=$G$44),HA149*$D$44,"rango cal. out")))</f>
        <v>0</v>
      </c>
      <c r="HE149" s="652" t="e">
        <f>((273.2+GX149)*$F$32/((273.2+$F$31)*GZ149))</f>
        <v>#DIV/0!</v>
      </c>
      <c r="HF149" s="653" t="e">
        <f>HD149/HB149*HE149*EXP(-LN(2)/10990*($F$88-HC149))</f>
        <v>#DIV/0!</v>
      </c>
      <c r="HG149" s="599" t="e">
        <f>HF149-AVERAGE(HN94:HN95)</f>
        <v>#DIV/0!</v>
      </c>
      <c r="HH149" s="599" t="e">
        <f>ABS($B$33*HG149*3600)</f>
        <v>#DIV/0!</v>
      </c>
      <c r="HI149" s="657" t="e">
        <f>ABS($B$34*HG149*3600)</f>
        <v>#DIV/0!</v>
      </c>
      <c r="HJ149" s="600" t="e">
        <f>HI149*$C$79</f>
        <v>#DIV/0!</v>
      </c>
      <c r="HK149" s="599" t="e">
        <f>HI149*$F$70</f>
        <v>#DIV/0!</v>
      </c>
      <c r="HL149" s="600" t="e">
        <f>HI149*$F$75</f>
        <v>#DIV/0!</v>
      </c>
      <c r="HM149" s="599" t="e">
        <f>HI149*$F$72</f>
        <v>#DIV/0!</v>
      </c>
      <c r="HN149" s="658" t="e">
        <f>HI149*$F$71</f>
        <v>#DIV/0!</v>
      </c>
      <c r="HO149" s="664"/>
      <c r="HP149" s="660"/>
      <c r="HQ149" s="661"/>
      <c r="HR149" s="651"/>
      <c r="HS149" s="662"/>
      <c r="HT149" s="663"/>
      <c r="HU149" s="651">
        <f>IF(AND(ABS(HR149)&gt;=$F$42,ABS(HR149)&lt;=$G$42),HR149*$D$42,IF(AND(ABS(HR149)&gt;=$F$43,ABS(HR149)&lt;=$G$43),HR149*$D$43,IF(AND(ABS(HR149)&gt;=$F$44,ABS(HR149)&lt;=$G$44),HR149*$D$44,"rango cal. out")))</f>
        <v>0</v>
      </c>
      <c r="HV149" s="652" t="e">
        <f>((273.2+HO149)*$F$32/((273.2+$F$31)*HQ149))</f>
        <v>#DIV/0!</v>
      </c>
      <c r="HW149" s="653" t="e">
        <f>HU149/HS149*HV149*EXP(-LN(2)/10990*($F$88-HT149))</f>
        <v>#DIV/0!</v>
      </c>
      <c r="HX149" s="599" t="e">
        <f>HW149-AVERAGE(IE94:IE95)</f>
        <v>#DIV/0!</v>
      </c>
      <c r="HY149" s="599" t="e">
        <f>ABS($B$33*HX149*3600)</f>
        <v>#DIV/0!</v>
      </c>
      <c r="HZ149" s="657" t="e">
        <f>ABS($B$34*HX149*3600)</f>
        <v>#DIV/0!</v>
      </c>
      <c r="IA149" s="600" t="e">
        <f>HZ149*$C$79</f>
        <v>#DIV/0!</v>
      </c>
      <c r="IB149" s="599" t="e">
        <f>HZ149*$F$70</f>
        <v>#DIV/0!</v>
      </c>
      <c r="IC149" s="600" t="e">
        <f>HZ149*$F$75</f>
        <v>#DIV/0!</v>
      </c>
      <c r="ID149" s="599" t="e">
        <f>HZ149*$F$72</f>
        <v>#DIV/0!</v>
      </c>
      <c r="IE149" s="658" t="e">
        <f>HZ149*$F$71</f>
        <v>#DIV/0!</v>
      </c>
      <c r="IF149" s="664"/>
      <c r="IG149" s="660"/>
      <c r="IH149" s="661"/>
      <c r="II149" s="651"/>
      <c r="IJ149" s="662"/>
      <c r="IK149" s="663"/>
      <c r="IL149" s="651">
        <f>IF(AND(ABS(II149)&gt;=$F$42,ABS(II149)&lt;=$G$42),II149*$D$42,IF(AND(ABS(II149)&gt;=$F$43,ABS(II149)&lt;=$G$43),II149*$D$43,IF(AND(ABS(II149)&gt;=$F$44,ABS(II149)&lt;=$G$44),II149*$D$44,"rango cal. out")))</f>
        <v>0</v>
      </c>
      <c r="IM149" s="652" t="e">
        <f>((273.2+IF149)*$F$32/((273.2+$F$31)*IH149))</f>
        <v>#DIV/0!</v>
      </c>
      <c r="IN149" s="653" t="e">
        <f>IL149/IJ149*IM149*EXP(-LN(2)/10990*($F$88-IK149))</f>
        <v>#DIV/0!</v>
      </c>
      <c r="IO149" s="599" t="e">
        <f>IN149-AVERAGE(IV94:IV95)</f>
        <v>#DIV/0!</v>
      </c>
      <c r="IP149" s="599" t="e">
        <f>ABS($B$33*IO149*3600)</f>
        <v>#DIV/0!</v>
      </c>
      <c r="IQ149" s="657" t="e">
        <f>ABS($B$34*IO149*3600)</f>
        <v>#DIV/0!</v>
      </c>
      <c r="IR149" s="600" t="e">
        <f>IQ149*$C$79</f>
        <v>#DIV/0!</v>
      </c>
      <c r="IS149" s="599" t="e">
        <f>IQ149*$F$70</f>
        <v>#DIV/0!</v>
      </c>
      <c r="IT149" s="600" t="e">
        <f>IQ149*$F$75</f>
        <v>#DIV/0!</v>
      </c>
      <c r="IU149" s="599" t="e">
        <f>IQ149*$F$72</f>
        <v>#DIV/0!</v>
      </c>
      <c r="IV149" s="658" t="e">
        <f>IQ149*$F$71</f>
        <v>#DIV/0!</v>
      </c>
      <c r="IW149" s="664"/>
      <c r="IX149" s="660"/>
      <c r="IY149" s="661"/>
      <c r="IZ149" s="651"/>
      <c r="JA149" s="662"/>
      <c r="JB149" s="663"/>
      <c r="JC149" s="651">
        <f>IF(AND(ABS(IZ149)&gt;=$F$42,ABS(IZ149)&lt;=$G$42),IZ149*$D$42,IF(AND(ABS(IZ149)&gt;=$F$43,ABS(IZ149)&lt;=$G$43),IZ149*$D$43,IF(AND(ABS(IZ149)&gt;=$F$44,ABS(IZ149)&lt;=$G$44),IZ149*$D$44,"rango cal. out")))</f>
        <v>0</v>
      </c>
      <c r="JD149" s="652" t="e">
        <f>((273.2+IW149)*$F$32/((273.2+$F$31)*IY149))</f>
        <v>#DIV/0!</v>
      </c>
      <c r="JE149" s="653" t="e">
        <f>JC149/JA149*JD149*EXP(-LN(2)/10990*($F$88-JB149))</f>
        <v>#DIV/0!</v>
      </c>
      <c r="JF149" s="599" t="e">
        <f>JE149-AVERAGE(JM94:JM95)</f>
        <v>#DIV/0!</v>
      </c>
      <c r="JG149" s="599" t="e">
        <f>ABS($B$33*JF149*3600)</f>
        <v>#DIV/0!</v>
      </c>
      <c r="JH149" s="657" t="e">
        <f>ABS($B$34*JF149*3600)</f>
        <v>#DIV/0!</v>
      </c>
      <c r="JI149" s="600" t="e">
        <f>JH149*$C$79</f>
        <v>#DIV/0!</v>
      </c>
      <c r="JJ149" s="599" t="e">
        <f>JH149*$F$70</f>
        <v>#DIV/0!</v>
      </c>
      <c r="JK149" s="600" t="e">
        <f>JH149*$F$75</f>
        <v>#DIV/0!</v>
      </c>
      <c r="JL149" s="599" t="e">
        <f>JH149*$F$72</f>
        <v>#DIV/0!</v>
      </c>
      <c r="JM149" s="658" t="e">
        <f>JH149*$F$71</f>
        <v>#DIV/0!</v>
      </c>
      <c r="JN149" s="664"/>
      <c r="JO149" s="660"/>
      <c r="JP149" s="661"/>
      <c r="JQ149" s="651"/>
      <c r="JR149" s="662"/>
      <c r="JS149" s="663"/>
      <c r="JT149" s="651">
        <f>IF(AND(ABS(JQ149)&gt;=$F$42,ABS(JQ149)&lt;=$G$42),JQ149*$D$42,IF(AND(ABS(JQ149)&gt;=$F$43,ABS(JQ149)&lt;=$G$43),JQ149*$D$43,IF(AND(ABS(JQ149)&gt;=$F$44,ABS(JQ149)&lt;=$G$44),JQ149*$D$44,"rango cal. out")))</f>
        <v>0</v>
      </c>
      <c r="JU149" s="652" t="e">
        <f>((273.2+JN149)*$F$32/((273.2+$F$31)*JP149))</f>
        <v>#DIV/0!</v>
      </c>
      <c r="JV149" s="653" t="e">
        <f>JT149/JR149*JU149*EXP(-LN(2)/10990*($F$88-JS149))</f>
        <v>#DIV/0!</v>
      </c>
      <c r="JW149" s="599" t="e">
        <f>JV149-AVERAGE(KD94:KD95)</f>
        <v>#DIV/0!</v>
      </c>
      <c r="JX149" s="599" t="e">
        <f>ABS($B$33*JW149*3600)</f>
        <v>#DIV/0!</v>
      </c>
      <c r="JY149" s="657" t="e">
        <f>ABS($B$34*JW149*3600)</f>
        <v>#DIV/0!</v>
      </c>
      <c r="JZ149" s="600" t="e">
        <f>JY149*$C$79</f>
        <v>#DIV/0!</v>
      </c>
      <c r="KA149" s="599" t="e">
        <f>JY149*$F$70</f>
        <v>#DIV/0!</v>
      </c>
      <c r="KB149" s="600" t="e">
        <f>JY149*$F$75</f>
        <v>#DIV/0!</v>
      </c>
      <c r="KC149" s="599" t="e">
        <f>JY149*$F$72</f>
        <v>#DIV/0!</v>
      </c>
      <c r="KD149" s="658" t="e">
        <f>JY149*$F$71</f>
        <v>#DIV/0!</v>
      </c>
      <c r="KE149" s="664"/>
      <c r="KF149" s="660"/>
      <c r="KG149" s="661"/>
      <c r="KH149" s="651"/>
      <c r="KI149" s="662"/>
      <c r="KJ149" s="663"/>
      <c r="KK149" s="651">
        <f>IF(AND(ABS(KH149)&gt;=$F$42,ABS(KH149)&lt;=$G$42),KH149*$D$42,IF(AND(ABS(KH149)&gt;=$F$43,ABS(KH149)&lt;=$G$43),KH149*$D$43,IF(AND(ABS(KH149)&gt;=$F$44,ABS(KH149)&lt;=$G$44),KH149*$D$44,"rango cal. out")))</f>
        <v>0</v>
      </c>
      <c r="KL149" s="652" t="e">
        <f>((273.2+KE149)*$F$32/((273.2+$F$31)*KG149))</f>
        <v>#DIV/0!</v>
      </c>
      <c r="KM149" s="653" t="e">
        <f>KK149/KI149*KL149*EXP(-LN(2)/10990*($F$88-KJ149))</f>
        <v>#DIV/0!</v>
      </c>
      <c r="KN149" s="599" t="e">
        <f>KM149-AVERAGE(KU94:KU95)</f>
        <v>#DIV/0!</v>
      </c>
      <c r="KO149" s="599" t="e">
        <f>ABS($B$33*KN149*3600)</f>
        <v>#DIV/0!</v>
      </c>
      <c r="KP149" s="657" t="e">
        <f>ABS($B$34*KN149*3600)</f>
        <v>#DIV/0!</v>
      </c>
      <c r="KQ149" s="600" t="e">
        <f>KP149*$C$79</f>
        <v>#DIV/0!</v>
      </c>
      <c r="KR149" s="599" t="e">
        <f>KP149*$F$70</f>
        <v>#DIV/0!</v>
      </c>
      <c r="KS149" s="600" t="e">
        <f>KP149*$F$75</f>
        <v>#DIV/0!</v>
      </c>
      <c r="KT149" s="599" t="e">
        <f>KP149*$F$72</f>
        <v>#DIV/0!</v>
      </c>
      <c r="KU149" s="658" t="e">
        <f>KP149*$F$71</f>
        <v>#DIV/0!</v>
      </c>
      <c r="KV149" s="664"/>
      <c r="KW149" s="660"/>
      <c r="KX149" s="661"/>
      <c r="KY149" s="651"/>
      <c r="KZ149" s="662"/>
      <c r="LA149" s="663"/>
      <c r="LB149" s="651">
        <f>IF(AND(ABS(KY149)&gt;=$F$42,ABS(KY149)&lt;=$G$42),KY149*$D$42,IF(AND(ABS(KY149)&gt;=$F$43,ABS(KY149)&lt;=$G$43),KY149*$D$43,IF(AND(ABS(KY149)&gt;=$F$44,ABS(KY149)&lt;=$G$44),KY149*$D$44,"rango cal. out")))</f>
        <v>0</v>
      </c>
      <c r="LC149" s="652" t="e">
        <f>((273.2+KV149)*$F$32/((273.2+$F$31)*KX149))</f>
        <v>#DIV/0!</v>
      </c>
      <c r="LD149" s="653" t="e">
        <f>LB149/KZ149*LC149*EXP(-LN(2)/10990*($F$88-LA149))</f>
        <v>#DIV/0!</v>
      </c>
      <c r="LE149" s="599" t="e">
        <f>LD149-AVERAGE(LL94:LL95)</f>
        <v>#DIV/0!</v>
      </c>
      <c r="LF149" s="599" t="e">
        <f>ABS($B$33*LE149*3600)</f>
        <v>#DIV/0!</v>
      </c>
      <c r="LG149" s="657" t="e">
        <f>ABS($B$34*LE149*3600)</f>
        <v>#DIV/0!</v>
      </c>
      <c r="LH149" s="600" t="e">
        <f>LG149*$C$79</f>
        <v>#DIV/0!</v>
      </c>
      <c r="LI149" s="599" t="e">
        <f>LG149*$F$70</f>
        <v>#DIV/0!</v>
      </c>
      <c r="LJ149" s="600" t="e">
        <f>LG149*$F$75</f>
        <v>#DIV/0!</v>
      </c>
      <c r="LK149" s="599" t="e">
        <f>LG149*$F$72</f>
        <v>#DIV/0!</v>
      </c>
      <c r="LL149" s="658" t="e">
        <f>LG149*$F$71</f>
        <v>#DIV/0!</v>
      </c>
      <c r="LM149" s="664"/>
      <c r="LN149" s="660"/>
      <c r="LO149" s="661"/>
      <c r="LP149" s="651"/>
      <c r="LQ149" s="662"/>
      <c r="LR149" s="663"/>
      <c r="LS149" s="651">
        <f>IF(AND(ABS(LP149)&gt;=$F$42,ABS(LP149)&lt;=$G$42),LP149*$D$42,IF(AND(ABS(LP149)&gt;=$F$43,ABS(LP149)&lt;=$G$43),LP149*$D$43,IF(AND(ABS(LP149)&gt;=$F$44,ABS(LP149)&lt;=$G$44),LP149*$D$44,"rango cal. out")))</f>
        <v>0</v>
      </c>
      <c r="LT149" s="652" t="e">
        <f>((273.2+LM149)*$F$32/((273.2+$F$31)*LO149))</f>
        <v>#DIV/0!</v>
      </c>
      <c r="LU149" s="653" t="e">
        <f>LS149/LQ149*LT149*EXP(-LN(2)/10990*($F$88-LR149))</f>
        <v>#DIV/0!</v>
      </c>
      <c r="LV149" s="599" t="e">
        <f>LU149-AVERAGE(MC94:MC95)</f>
        <v>#DIV/0!</v>
      </c>
      <c r="LW149" s="599" t="e">
        <f>ABS($B$33*LV149*3600)</f>
        <v>#DIV/0!</v>
      </c>
      <c r="LX149" s="657" t="e">
        <f>ABS($B$34*LV149*3600)</f>
        <v>#DIV/0!</v>
      </c>
      <c r="LY149" s="600" t="e">
        <f>LX149*$C$79</f>
        <v>#DIV/0!</v>
      </c>
      <c r="LZ149" s="599" t="e">
        <f>LX149*$F$70</f>
        <v>#DIV/0!</v>
      </c>
      <c r="MA149" s="600" t="e">
        <f>LX149*$F$75</f>
        <v>#DIV/0!</v>
      </c>
      <c r="MB149" s="599" t="e">
        <f>LX149*$F$72</f>
        <v>#DIV/0!</v>
      </c>
      <c r="MC149" s="658" t="e">
        <f>LX149*$F$71</f>
        <v>#DIV/0!</v>
      </c>
      <c r="MD149" s="664"/>
      <c r="ME149" s="660"/>
      <c r="MF149" s="661"/>
      <c r="MG149" s="651"/>
      <c r="MH149" s="662"/>
      <c r="MI149" s="663"/>
      <c r="MJ149" s="651">
        <f>IF(AND(ABS(MG149)&gt;=$F$42,ABS(MG149)&lt;=$G$42),MG149*$D$42,IF(AND(ABS(MG149)&gt;=$F$43,ABS(MG149)&lt;=$G$43),MG149*$D$43,IF(AND(ABS(MG149)&gt;=$F$44,ABS(MG149)&lt;=$G$44),MG149*$D$44,"rango cal. out")))</f>
        <v>0</v>
      </c>
      <c r="MK149" s="652" t="e">
        <f>((273.2+MD149)*$F$32/((273.2+$F$31)*MF149))</f>
        <v>#DIV/0!</v>
      </c>
      <c r="ML149" s="653" t="e">
        <f>MJ149/MH149*MK149*EXP(-LN(2)/10990*($F$88-MI149))</f>
        <v>#DIV/0!</v>
      </c>
      <c r="MM149" s="599" t="e">
        <f>ML149-AVERAGE(MT94:MT95)</f>
        <v>#DIV/0!</v>
      </c>
      <c r="MN149" s="599" t="e">
        <f>ABS($B$33*MM149*3600)</f>
        <v>#DIV/0!</v>
      </c>
      <c r="MO149" s="657" t="e">
        <f>ABS($B$34*MM149*3600)</f>
        <v>#DIV/0!</v>
      </c>
      <c r="MP149" s="600" t="e">
        <f>MO149*$C$79</f>
        <v>#DIV/0!</v>
      </c>
      <c r="MQ149" s="599" t="e">
        <f>MO149*$F$70</f>
        <v>#DIV/0!</v>
      </c>
      <c r="MR149" s="600" t="e">
        <f>MO149*$F$75</f>
        <v>#DIV/0!</v>
      </c>
      <c r="MS149" s="599" t="e">
        <f>MO149*$F$72</f>
        <v>#DIV/0!</v>
      </c>
      <c r="MT149" s="658" t="e">
        <f>MO149*$F$71</f>
        <v>#DIV/0!</v>
      </c>
      <c r="MU149" s="664"/>
      <c r="MV149" s="660"/>
      <c r="MW149" s="661"/>
      <c r="MX149" s="651"/>
      <c r="MY149" s="662"/>
      <c r="MZ149" s="663"/>
      <c r="NA149" s="651">
        <f>IF(AND(ABS(MX149)&gt;=$F$42,ABS(MX149)&lt;=$G$42),MX149*$D$42,IF(AND(ABS(MX149)&gt;=$F$43,ABS(MX149)&lt;=$G$43),MX149*$D$43,IF(AND(ABS(MX149)&gt;=$F$44,ABS(MX149)&lt;=$G$44),MX149*$D$44,"rango cal. out")))</f>
        <v>0</v>
      </c>
      <c r="NB149" s="652" t="e">
        <f>((273.2+MU149)*$F$32/((273.2+$F$31)*MW149))</f>
        <v>#DIV/0!</v>
      </c>
      <c r="NC149" s="653" t="e">
        <f>NA149/MY149*NB149*EXP(-LN(2)/10990*($F$88-MZ149))</f>
        <v>#DIV/0!</v>
      </c>
      <c r="ND149" s="599" t="e">
        <f>NC149-AVERAGE(NK94:NK95)</f>
        <v>#DIV/0!</v>
      </c>
      <c r="NE149" s="599" t="e">
        <f>ABS($B$33*ND149*3600)</f>
        <v>#DIV/0!</v>
      </c>
      <c r="NF149" s="657" t="e">
        <f>ABS($B$34*ND149*3600)</f>
        <v>#DIV/0!</v>
      </c>
      <c r="NG149" s="600" t="e">
        <f>NF149*$C$79</f>
        <v>#DIV/0!</v>
      </c>
      <c r="NH149" s="599" t="e">
        <f>NF149*$F$70</f>
        <v>#DIV/0!</v>
      </c>
      <c r="NI149" s="600" t="e">
        <f>NF149*$F$75</f>
        <v>#DIV/0!</v>
      </c>
      <c r="NJ149" s="599" t="e">
        <f>NF149*$F$72</f>
        <v>#DIV/0!</v>
      </c>
      <c r="NK149" s="658" t="e">
        <f>NF149*$F$71</f>
        <v>#DIV/0!</v>
      </c>
      <c r="NL149" s="664"/>
      <c r="NM149" s="660"/>
      <c r="NN149" s="661"/>
      <c r="NO149" s="651"/>
      <c r="NP149" s="662"/>
      <c r="NQ149" s="663"/>
      <c r="NR149" s="651">
        <f>IF(AND(ABS(NO149)&gt;=$F$42,ABS(NO149)&lt;=$G$42),NO149*$D$42,IF(AND(ABS(NO149)&gt;=$F$43,ABS(NO149)&lt;=$G$43),NO149*$D$43,IF(AND(ABS(NO149)&gt;=$F$44,ABS(NO149)&lt;=$G$44),NO149*$D$44,"rango cal. out")))</f>
        <v>0</v>
      </c>
      <c r="NS149" s="652" t="e">
        <f>((273.2+NL149)*$F$32/((273.2+$F$31)*NN149))</f>
        <v>#DIV/0!</v>
      </c>
      <c r="NT149" s="653" t="e">
        <f>NR149/NP149*NS149*EXP(-LN(2)/10990*($F$88-NQ149))</f>
        <v>#DIV/0!</v>
      </c>
      <c r="NU149" s="599" t="e">
        <f>NT149-AVERAGE(OB94:OB95)</f>
        <v>#DIV/0!</v>
      </c>
      <c r="NV149" s="599" t="e">
        <f>ABS($B$33*NU149*3600)</f>
        <v>#DIV/0!</v>
      </c>
      <c r="NW149" s="657" t="e">
        <f>ABS($B$34*NU149*3600)</f>
        <v>#DIV/0!</v>
      </c>
      <c r="NX149" s="600" t="e">
        <f>NW149*$C$79</f>
        <v>#DIV/0!</v>
      </c>
      <c r="NY149" s="599" t="e">
        <f>NW149*$F$70</f>
        <v>#DIV/0!</v>
      </c>
      <c r="NZ149" s="600" t="e">
        <f>NW149*$F$75</f>
        <v>#DIV/0!</v>
      </c>
      <c r="OA149" s="599" t="e">
        <f>NW149*$F$72</f>
        <v>#DIV/0!</v>
      </c>
      <c r="OB149" s="658" t="e">
        <f>NW149*$F$71</f>
        <v>#DIV/0!</v>
      </c>
      <c r="OC149" s="664"/>
      <c r="OD149" s="660"/>
      <c r="OE149" s="661"/>
      <c r="OF149" s="651"/>
      <c r="OG149" s="662"/>
      <c r="OH149" s="663"/>
      <c r="OI149" s="651">
        <f>IF(AND(ABS(OF149)&gt;=$F$42,ABS(OF149)&lt;=$G$42),OF149*$D$42,IF(AND(ABS(OF149)&gt;=$F$43,ABS(OF149)&lt;=$G$43),OF149*$D$43,IF(AND(ABS(OF149)&gt;=$F$44,ABS(OF149)&lt;=$G$44),OF149*$D$44,"rango cal. out")))</f>
        <v>0</v>
      </c>
      <c r="OJ149" s="652" t="e">
        <f>((273.2+OC149)*$F$32/((273.2+$F$31)*OE149))</f>
        <v>#DIV/0!</v>
      </c>
      <c r="OK149" s="653" t="e">
        <f>OI149/OG149*OJ149*EXP(-LN(2)/10990*($F$88-OH149))</f>
        <v>#DIV/0!</v>
      </c>
      <c r="OL149" s="599" t="e">
        <f>OK149-AVERAGE(OS94:OS95)</f>
        <v>#DIV/0!</v>
      </c>
      <c r="OM149" s="599" t="e">
        <f>ABS($B$33*OL149*3600)</f>
        <v>#DIV/0!</v>
      </c>
      <c r="ON149" s="657" t="e">
        <f>ABS($B$34*OL149*3600)</f>
        <v>#DIV/0!</v>
      </c>
      <c r="OO149" s="600" t="e">
        <f>ON149*$C$79</f>
        <v>#DIV/0!</v>
      </c>
      <c r="OP149" s="599" t="e">
        <f>ON149*$F$70</f>
        <v>#DIV/0!</v>
      </c>
      <c r="OQ149" s="600" t="e">
        <f>ON149*$F$75</f>
        <v>#DIV/0!</v>
      </c>
      <c r="OR149" s="599" t="e">
        <f>ON149*$F$72</f>
        <v>#DIV/0!</v>
      </c>
      <c r="OS149" s="658" t="e">
        <f>ON149*$F$71</f>
        <v>#DIV/0!</v>
      </c>
      <c r="OT149" s="664"/>
      <c r="OU149" s="660"/>
      <c r="OV149" s="661"/>
      <c r="OW149" s="651"/>
      <c r="OX149" s="662"/>
      <c r="OY149" s="663"/>
      <c r="OZ149" s="651">
        <f>IF(AND(ABS(OW149)&gt;=$F$42,ABS(OW149)&lt;=$G$42),OW149*$D$42,IF(AND(ABS(OW149)&gt;=$F$43,ABS(OW149)&lt;=$G$43),OW149*$D$43,IF(AND(ABS(OW149)&gt;=$F$44,ABS(OW149)&lt;=$G$44),OW149*$D$44,"rango cal. out")))</f>
        <v>0</v>
      </c>
      <c r="PA149" s="652" t="e">
        <f>((273.2+OT149)*$F$32/((273.2+$F$31)*OV149))</f>
        <v>#DIV/0!</v>
      </c>
      <c r="PB149" s="653" t="e">
        <f>OZ149/OX149*PA149*EXP(-LN(2)/10990*($F$88-OY149))</f>
        <v>#DIV/0!</v>
      </c>
      <c r="PC149" s="599" t="e">
        <f>PB149-AVERAGE(PJ94:PJ95)</f>
        <v>#DIV/0!</v>
      </c>
      <c r="PD149" s="599" t="e">
        <f>ABS($B$33*PC149*3600)</f>
        <v>#DIV/0!</v>
      </c>
      <c r="PE149" s="657" t="e">
        <f>ABS($B$34*PC149*3600)</f>
        <v>#DIV/0!</v>
      </c>
      <c r="PF149" s="600" t="e">
        <f>PE149*$C$79</f>
        <v>#DIV/0!</v>
      </c>
      <c r="PG149" s="599" t="e">
        <f>PE149*$F$70</f>
        <v>#DIV/0!</v>
      </c>
      <c r="PH149" s="600" t="e">
        <f>PE149*$F$75</f>
        <v>#DIV/0!</v>
      </c>
      <c r="PI149" s="599" t="e">
        <f>PE149*$F$72</f>
        <v>#DIV/0!</v>
      </c>
      <c r="PJ149" s="658" t="e">
        <f>PE149*$F$71</f>
        <v>#DIV/0!</v>
      </c>
      <c r="PK149" s="664"/>
      <c r="PL149" s="660"/>
      <c r="PM149" s="661"/>
      <c r="PN149" s="651"/>
      <c r="PO149" s="662"/>
      <c r="PP149" s="663"/>
      <c r="PQ149" s="651">
        <f>IF(AND(ABS(PN149)&gt;=$F$42,ABS(PN149)&lt;=$G$42),PN149*$D$42,IF(AND(ABS(PN149)&gt;=$F$43,ABS(PN149)&lt;=$G$43),PN149*$D$43,IF(AND(ABS(PN149)&gt;=$F$44,ABS(PN149)&lt;=$G$44),PN149*$D$44,"rango cal. out")))</f>
        <v>0</v>
      </c>
      <c r="PR149" s="652" t="e">
        <f>((273.2+PK149)*$F$32/((273.2+$F$31)*PM149))</f>
        <v>#DIV/0!</v>
      </c>
      <c r="PS149" s="653" t="e">
        <f>PQ149/PO149*PR149*EXP(-LN(2)/10990*($F$88-PP149))</f>
        <v>#DIV/0!</v>
      </c>
      <c r="PT149" s="599" t="e">
        <f>PS149-AVERAGE(QA94:QA95)</f>
        <v>#DIV/0!</v>
      </c>
      <c r="PU149" s="599" t="e">
        <f>ABS($B$33*PT149*3600)</f>
        <v>#DIV/0!</v>
      </c>
      <c r="PV149" s="657" t="e">
        <f>ABS($B$34*PT149*3600)</f>
        <v>#DIV/0!</v>
      </c>
      <c r="PW149" s="600" t="e">
        <f>PV149*$C$79</f>
        <v>#DIV/0!</v>
      </c>
      <c r="PX149" s="599" t="e">
        <f>PV149*$F$70</f>
        <v>#DIV/0!</v>
      </c>
      <c r="PY149" s="600" t="e">
        <f>PV149*$F$75</f>
        <v>#DIV/0!</v>
      </c>
      <c r="PZ149" s="599" t="e">
        <f>PV149*$F$72</f>
        <v>#DIV/0!</v>
      </c>
      <c r="QA149" s="658" t="e">
        <f>PV149*$F$71</f>
        <v>#DIV/0!</v>
      </c>
      <c r="QB149" s="664"/>
      <c r="QC149" s="660"/>
      <c r="QD149" s="661"/>
      <c r="QE149" s="651"/>
      <c r="QF149" s="667">
        <v>100</v>
      </c>
      <c r="QG149" s="663"/>
      <c r="QH149" s="651">
        <f>IF(AND(ABS(QE149)&gt;=$F$42,ABS(QE149)&lt;=$G$42),QE149*$D$42,IF(AND(ABS(QE149)&gt;=$F$43,ABS(QE149)&lt;=$G$43),QE149*$D$43,IF(AND(ABS(QE149)&gt;=$F$44,ABS(QE149)&lt;=$G$44),QE149*$D$44,"rango cal. out")))</f>
        <v>0</v>
      </c>
      <c r="QI149" s="652" t="e">
        <f>((273.2+QB149)*$F$32/((273.2+$F$31)*QD149))</f>
        <v>#DIV/0!</v>
      </c>
      <c r="QJ149" s="653" t="e">
        <f>QH149/QF149*QI149*EXP(-LN(2)/10990*($F$88-QG149))</f>
        <v>#DIV/0!</v>
      </c>
      <c r="QK149" s="599" t="e">
        <f>QJ149-AVERAGE(QR94:QR95)</f>
        <v>#DIV/0!</v>
      </c>
      <c r="QL149" s="599" t="e">
        <f>ABS($B$33*QK149*3600)</f>
        <v>#DIV/0!</v>
      </c>
      <c r="QM149" s="657" t="e">
        <f>ABS($B$34*QK149*3600)</f>
        <v>#DIV/0!</v>
      </c>
      <c r="QN149" s="600" t="e">
        <f>QM149*$C$79</f>
        <v>#DIV/0!</v>
      </c>
      <c r="QO149" s="599" t="e">
        <f>QM149*$F$70</f>
        <v>#DIV/0!</v>
      </c>
      <c r="QP149" s="600" t="e">
        <f>QM149*$F$75</f>
        <v>#DIV/0!</v>
      </c>
      <c r="QQ149" s="599" t="e">
        <f>QM149*$F$72</f>
        <v>#DIV/0!</v>
      </c>
      <c r="QR149" s="658" t="e">
        <f>QM149*$F$71</f>
        <v>#DIV/0!</v>
      </c>
      <c r="QS149" s="664"/>
      <c r="QT149" s="660"/>
      <c r="QU149" s="660"/>
      <c r="QV149" s="665"/>
      <c r="QW149" s="667">
        <v>100</v>
      </c>
      <c r="QX149" s="663"/>
      <c r="QY149" s="651">
        <f>IF(AND(ABS(QV149)&gt;=$F$42,ABS(QV149)&lt;=$G$42),QV149*$D$42,IF(AND(ABS(QV149)&gt;=$F$43,ABS(QV149)&lt;=$G$43),QV149*$D$43,IF(AND(ABS(QV149)&gt;=$F$44,ABS(QV149)&lt;=$G$44),QV149*$D$44,"rango cal. out")))</f>
        <v>0</v>
      </c>
      <c r="QZ149" s="652" t="e">
        <f>((273.2+QS149)*$F$32/((273.2+$F$31)*QU149))</f>
        <v>#DIV/0!</v>
      </c>
      <c r="RA149" s="653" t="e">
        <f>QY149/QW149*QZ149*EXP(-LN(2)/10990*($F$88-QX149))</f>
        <v>#DIV/0!</v>
      </c>
      <c r="RB149" s="599" t="e">
        <f>RA149-AVERAGE(RI94:RI95)</f>
        <v>#DIV/0!</v>
      </c>
      <c r="RC149" s="599" t="e">
        <f>ABS($B$33*RB149*3600)</f>
        <v>#DIV/0!</v>
      </c>
      <c r="RD149" s="657" t="e">
        <f>ABS($B$34*RB149*3600)</f>
        <v>#DIV/0!</v>
      </c>
      <c r="RE149" s="600" t="e">
        <f>RD149*$C$79</f>
        <v>#DIV/0!</v>
      </c>
      <c r="RF149" s="599" t="e">
        <f>RD149*$F$70</f>
        <v>#DIV/0!</v>
      </c>
      <c r="RG149" s="600" t="e">
        <f>RD149*$F$75</f>
        <v>#DIV/0!</v>
      </c>
      <c r="RH149" s="599" t="e">
        <f>RD149*$F$72</f>
        <v>#DIV/0!</v>
      </c>
      <c r="RI149" s="658" t="e">
        <f>RD149*$F$71</f>
        <v>#DIV/0!</v>
      </c>
      <c r="RJ149" s="664"/>
      <c r="RK149" s="660"/>
      <c r="RL149" s="661"/>
      <c r="RM149" s="651"/>
      <c r="RN149" s="662"/>
      <c r="RO149" s="663"/>
      <c r="RP149" s="651">
        <f>IF(AND(ABS(RM149)&gt;=$F$42,ABS(RM149)&lt;=$G$42),RM149*$D$42,IF(AND(ABS(RM149)&gt;=$F$43,ABS(RM149)&lt;=$G$43),RM149*$D$43,IF(AND(ABS(RM149)&gt;=$F$44,ABS(RM149)&lt;=$G$44),RM149*$D$44,"rango cal. out")))</f>
        <v>0</v>
      </c>
      <c r="RQ149" s="652" t="e">
        <f>((273.2+RJ149)*$F$32/((273.2+$F$31)*RL149))</f>
        <v>#DIV/0!</v>
      </c>
      <c r="RR149" s="653" t="e">
        <f>RP149/RN149*RQ149*EXP(-LN(2)/10990*($F$88-RO149))</f>
        <v>#DIV/0!</v>
      </c>
      <c r="RS149" s="599" t="e">
        <f>RR149-AVERAGE(RZ94:RZ95)</f>
        <v>#DIV/0!</v>
      </c>
      <c r="RT149" s="599" t="e">
        <f>ABS($B$33*RS149*3600)</f>
        <v>#DIV/0!</v>
      </c>
      <c r="RU149" s="657" t="e">
        <f>ABS($B$34*RS149*3600)</f>
        <v>#DIV/0!</v>
      </c>
      <c r="RV149" s="600" t="e">
        <f>RU149*$C$79</f>
        <v>#DIV/0!</v>
      </c>
      <c r="RW149" s="599" t="e">
        <f>RU149*$F$70</f>
        <v>#DIV/0!</v>
      </c>
      <c r="RX149" s="600" t="e">
        <f>RU149*$F$75</f>
        <v>#DIV/0!</v>
      </c>
      <c r="RY149" s="599" t="e">
        <f>RU149*$F$72</f>
        <v>#DIV/0!</v>
      </c>
      <c r="RZ149" s="658" t="e">
        <f>RU149*$F$71</f>
        <v>#DIV/0!</v>
      </c>
      <c r="SA149" s="664"/>
      <c r="SB149" s="660"/>
      <c r="SC149" s="661"/>
      <c r="SD149" s="651"/>
      <c r="SE149" s="662"/>
      <c r="SF149" s="663"/>
      <c r="SG149" s="651">
        <f>IF(AND(ABS(SD149)&gt;=$F$42,ABS(SD149)&lt;=$G$42),SD149*$D$42,IF(AND(ABS(SD149)&gt;=$F$43,ABS(SD149)&lt;=$G$43),SD149*$D$43,IF(AND(ABS(SD149)&gt;=$F$44,ABS(SD149)&lt;=$G$44),SD149*$D$44,"rango cal. out")))</f>
        <v>0</v>
      </c>
      <c r="SH149" s="652" t="e">
        <f>((273.2+SA149)*$F$32/((273.2+$F$31)*SC149))</f>
        <v>#DIV/0!</v>
      </c>
      <c r="SI149" s="653" t="e">
        <f>SG149/SE149*SH149*EXP(-LN(2)/10990*($F$88-SF149))</f>
        <v>#DIV/0!</v>
      </c>
      <c r="SJ149" s="599" t="e">
        <f>SI149-AVERAGE(SQ94:SQ95)</f>
        <v>#DIV/0!</v>
      </c>
      <c r="SK149" s="599" t="e">
        <f>ABS($B$33*SJ149*3600)</f>
        <v>#DIV/0!</v>
      </c>
      <c r="SL149" s="657" t="e">
        <f>ABS($B$34*SJ149*3600)</f>
        <v>#DIV/0!</v>
      </c>
      <c r="SM149" s="600" t="e">
        <f>SL149*$C$79</f>
        <v>#DIV/0!</v>
      </c>
      <c r="SN149" s="599" t="e">
        <f>SL149*$F$70</f>
        <v>#DIV/0!</v>
      </c>
      <c r="SO149" s="600" t="e">
        <f>SL149*$F$75</f>
        <v>#DIV/0!</v>
      </c>
      <c r="SP149" s="599" t="e">
        <f>SL149*$F$72</f>
        <v>#DIV/0!</v>
      </c>
      <c r="SQ149" s="658" t="e">
        <f>SL149*$F$71</f>
        <v>#DIV/0!</v>
      </c>
      <c r="SR149" s="664"/>
      <c r="SS149" s="660"/>
      <c r="ST149" s="661"/>
      <c r="SU149" s="651"/>
      <c r="SV149" s="662"/>
      <c r="SW149" s="663"/>
      <c r="SX149" s="651">
        <f>IF(AND(ABS(SU149)&gt;=$F$42,ABS(SU149)&lt;=$G$42),SU149*$D$42,IF(AND(ABS(SU149)&gt;=$F$43,ABS(SU149)&lt;=$G$43),SU149*$D$43,IF(AND(ABS(SU149)&gt;=$F$44,ABS(SU149)&lt;=$G$44),SU149*$D$44,"rango cal. out")))</f>
        <v>0</v>
      </c>
      <c r="SY149" s="652" t="e">
        <f>((273.2+SR149)*$F$32/((273.2+$F$31)*ST149))</f>
        <v>#DIV/0!</v>
      </c>
      <c r="SZ149" s="653" t="e">
        <f>SX149/SV149*SY149*EXP(-LN(2)/10990*($F$88-SW149))</f>
        <v>#DIV/0!</v>
      </c>
      <c r="TA149" s="599" t="e">
        <f>SZ149-AVERAGE(TH94:TH95)</f>
        <v>#DIV/0!</v>
      </c>
      <c r="TB149" s="599" t="e">
        <f>ABS($B$33*TA149*3600)</f>
        <v>#DIV/0!</v>
      </c>
      <c r="TC149" s="657" t="e">
        <f>ABS($B$34*TA149*3600)</f>
        <v>#DIV/0!</v>
      </c>
      <c r="TD149" s="600" t="e">
        <f>TC149*$C$79</f>
        <v>#DIV/0!</v>
      </c>
      <c r="TE149" s="599" t="e">
        <f>TC149*$F$70</f>
        <v>#DIV/0!</v>
      </c>
      <c r="TF149" s="600" t="e">
        <f>TC149*$F$75</f>
        <v>#DIV/0!</v>
      </c>
      <c r="TG149" s="599" t="e">
        <f>TC149*$F$72</f>
        <v>#DIV/0!</v>
      </c>
      <c r="TH149" s="658" t="e">
        <f>TC149*$F$71</f>
        <v>#DIV/0!</v>
      </c>
      <c r="TI149" s="664"/>
      <c r="TJ149" s="660"/>
      <c r="TK149" s="661"/>
      <c r="TL149" s="651"/>
      <c r="TM149" s="662"/>
      <c r="TN149" s="663"/>
      <c r="TO149" s="651">
        <f>IF(AND(ABS(TL149)&gt;=$F$42,ABS(TL149)&lt;=$G$42),TL149*$D$42,IF(AND(ABS(TL149)&gt;=$F$43,ABS(TL149)&lt;=$G$43),TL149*$D$43,IF(AND(ABS(TL149)&gt;=$F$44,ABS(TL149)&lt;=$G$44),TL149*$D$44,"rango cal. out")))</f>
        <v>0</v>
      </c>
      <c r="TP149" s="652" t="e">
        <f>((273.2+TI149)*$F$32/((273.2+$F$31)*TK149))</f>
        <v>#DIV/0!</v>
      </c>
      <c r="TQ149" s="653" t="e">
        <f>TO149/TM149*TP149*EXP(-LN(2)/10990*($F$88-TN149))</f>
        <v>#DIV/0!</v>
      </c>
      <c r="TR149" s="599" t="e">
        <f>TQ149-AVERAGE(TY94:TY95)</f>
        <v>#DIV/0!</v>
      </c>
      <c r="TS149" s="599" t="e">
        <f>ABS($B$33*TR149*3600)</f>
        <v>#DIV/0!</v>
      </c>
      <c r="TT149" s="657" t="e">
        <f>ABS($B$34*TR149*3600)</f>
        <v>#DIV/0!</v>
      </c>
      <c r="TU149" s="600" t="e">
        <f>TT149*$C$79</f>
        <v>#DIV/0!</v>
      </c>
      <c r="TV149" s="599" t="e">
        <f>TT149*$F$70</f>
        <v>#DIV/0!</v>
      </c>
      <c r="TW149" s="600" t="e">
        <f>TT149*$F$75</f>
        <v>#DIV/0!</v>
      </c>
      <c r="TX149" s="599" t="e">
        <f>TT149*$F$72</f>
        <v>#DIV/0!</v>
      </c>
      <c r="TY149" s="658" t="e">
        <f>TT149*$F$71</f>
        <v>#DIV/0!</v>
      </c>
    </row>
    <row r="150" spans="1:545" x14ac:dyDescent="0.25">
      <c r="A150" s="2219"/>
      <c r="B150" s="668"/>
      <c r="C150" s="673"/>
      <c r="D150" s="673"/>
      <c r="E150" s="671"/>
      <c r="F150" s="673"/>
      <c r="G150" s="650"/>
      <c r="H150" s="651"/>
      <c r="I150" s="619"/>
      <c r="J150" s="674"/>
      <c r="K150" s="599"/>
      <c r="L150" s="672"/>
      <c r="M150" s="675"/>
      <c r="N150" s="614"/>
      <c r="O150" s="672"/>
      <c r="P150" s="600"/>
      <c r="Q150" s="672"/>
      <c r="R150" s="676"/>
      <c r="S150" s="677"/>
      <c r="T150" s="669"/>
      <c r="U150" s="670"/>
      <c r="V150" s="671"/>
      <c r="W150" s="678"/>
      <c r="X150" s="650"/>
      <c r="Y150" s="651">
        <f t="shared" ref="Y150:Y153" si="1102">IF(AND(ABS(V150)&gt;=$F$42,ABS(V150)&lt;=$G$42),V150*$D$42,IF(AND(ABS(V150)&gt;=$F$43,ABS(V150)&lt;=$G$43),V150*$D$43,IF(AND(ABS(V150)&gt;=$F$44,ABS(V150)&lt;=$G$44),V150*$D$44,"rango cal. out")))</f>
        <v>0</v>
      </c>
      <c r="Z150" s="619" t="e">
        <f>((273.2+S150)*$F$32/((273.2+$F$31)*U150))</f>
        <v>#DIV/0!</v>
      </c>
      <c r="AA150" s="674" t="e">
        <f>Y150/W150*Z150*EXP(-LN(2)/10990*($F$88-X150))</f>
        <v>#DIV/0!</v>
      </c>
      <c r="AB150" s="599" t="e">
        <f>AA150-AVERAGE(AI94:AI95)</f>
        <v>#DIV/0!</v>
      </c>
      <c r="AC150" s="672" t="e">
        <f>ABS($B$33*AB150*3600)</f>
        <v>#DIV/0!</v>
      </c>
      <c r="AD150" s="675" t="e">
        <f>ABS($B$34*AB150*3600)</f>
        <v>#DIV/0!</v>
      </c>
      <c r="AE150" s="614" t="e">
        <f>AD150*$C$79</f>
        <v>#DIV/0!</v>
      </c>
      <c r="AF150" s="672" t="e">
        <f>AD150*$F$70</f>
        <v>#DIV/0!</v>
      </c>
      <c r="AG150" s="600" t="e">
        <f t="shared" ref="AG150:AG153" si="1103">AD150*$F$75</f>
        <v>#DIV/0!</v>
      </c>
      <c r="AH150" s="672" t="e">
        <f>AD150*$F$72</f>
        <v>#DIV/0!</v>
      </c>
      <c r="AI150" s="676" t="e">
        <f>AD150*$F$71</f>
        <v>#DIV/0!</v>
      </c>
      <c r="AJ150" s="677"/>
      <c r="AK150" s="669"/>
      <c r="AL150" s="670"/>
      <c r="AM150" s="671"/>
      <c r="AN150" s="678"/>
      <c r="AO150" s="650"/>
      <c r="AP150" s="651">
        <f t="shared" ref="AP150:AP153" si="1104">IF(AND(ABS(AM150)&gt;=$F$42,ABS(AM150)&lt;=$G$42),AM150*$D$42,IF(AND(ABS(AM150)&gt;=$F$43,ABS(AM150)&lt;=$G$43),AM150*$D$43,IF(AND(ABS(AM150)&gt;=$F$44,ABS(AM150)&lt;=$G$44),AM150*$D$44,"rango cal. out")))</f>
        <v>0</v>
      </c>
      <c r="AQ150" s="619" t="e">
        <f>((273.2+AJ150)*$F$32/((273.2+$F$31)*AL150))</f>
        <v>#DIV/0!</v>
      </c>
      <c r="AR150" s="674" t="e">
        <f>AP150/AN150*AQ150*EXP(-LN(2)/10990*($F$88-AO150))</f>
        <v>#DIV/0!</v>
      </c>
      <c r="AS150" s="599" t="e">
        <f>AR150-AVERAGE(AZ94:AZ95)</f>
        <v>#DIV/0!</v>
      </c>
      <c r="AT150" s="672" t="e">
        <f>ABS($B$33*AS150*3600)</f>
        <v>#DIV/0!</v>
      </c>
      <c r="AU150" s="675" t="e">
        <f>ABS($B$34*AS150*3600)</f>
        <v>#DIV/0!</v>
      </c>
      <c r="AV150" s="614" t="e">
        <f>AU150*$C$79</f>
        <v>#DIV/0!</v>
      </c>
      <c r="AW150" s="672" t="e">
        <f>AU150*$F$70</f>
        <v>#DIV/0!</v>
      </c>
      <c r="AX150" s="600" t="e">
        <f t="shared" ref="AX150:AX153" si="1105">AU150*$F$75</f>
        <v>#DIV/0!</v>
      </c>
      <c r="AY150" s="672" t="e">
        <f>AU150*$F$72</f>
        <v>#DIV/0!</v>
      </c>
      <c r="AZ150" s="676" t="e">
        <f>AU150*$F$71</f>
        <v>#DIV/0!</v>
      </c>
      <c r="BA150" s="668"/>
      <c r="BB150" s="669"/>
      <c r="BC150" s="661"/>
      <c r="BD150" s="671"/>
      <c r="BE150" s="678"/>
      <c r="BF150" s="650"/>
      <c r="BG150" s="651">
        <f t="shared" ref="BG150:BG153" si="1106">IF(AND(ABS(BD150)&gt;=$F$42,ABS(BD150)&lt;=$G$42),BD150*$D$42,IF(AND(ABS(BD150)&gt;=$F$43,ABS(BD150)&lt;=$G$43),BD150*$D$43,IF(AND(ABS(BD150)&gt;=$F$44,ABS(BD150)&lt;=$G$44),BD150*$D$44,"rango cal. out")))</f>
        <v>0</v>
      </c>
      <c r="BH150" s="619" t="e">
        <f>((273.2+BA150)*$F$32/((273.2+$F$31)*BC150))</f>
        <v>#DIV/0!</v>
      </c>
      <c r="BI150" s="674" t="e">
        <f>BG150/BE150*BH150*EXP(-LN(2)/10990*($F$88-BF150))</f>
        <v>#DIV/0!</v>
      </c>
      <c r="BJ150" s="599" t="e">
        <f>BI150-AVERAGE(BQ94:BQ95)</f>
        <v>#DIV/0!</v>
      </c>
      <c r="BK150" s="672" t="e">
        <f>ABS($B$33*BJ150*3600)</f>
        <v>#DIV/0!</v>
      </c>
      <c r="BL150" s="675" t="e">
        <f>ABS($B$34*BJ150*3600)</f>
        <v>#DIV/0!</v>
      </c>
      <c r="BM150" s="614" t="e">
        <f>BL150*$C$79</f>
        <v>#DIV/0!</v>
      </c>
      <c r="BN150" s="672" t="e">
        <f>BL150*$F$70</f>
        <v>#DIV/0!</v>
      </c>
      <c r="BO150" s="600" t="e">
        <f t="shared" ref="BO150:BO153" si="1107">BL150*$F$75</f>
        <v>#DIV/0!</v>
      </c>
      <c r="BP150" s="672" t="e">
        <f>BL150*$F$72</f>
        <v>#DIV/0!</v>
      </c>
      <c r="BQ150" s="676" t="e">
        <f>BL150*$F$71</f>
        <v>#DIV/0!</v>
      </c>
      <c r="BR150" s="668"/>
      <c r="BS150" s="669"/>
      <c r="BT150" s="670"/>
      <c r="BU150" s="671"/>
      <c r="BV150" s="678"/>
      <c r="BW150" s="650"/>
      <c r="BX150" s="651">
        <f t="shared" ref="BX150:BX153" si="1108">IF(AND(ABS(BU150)&gt;=$F$42,ABS(BU150)&lt;=$G$42),BU150*$D$42,IF(AND(ABS(BU150)&gt;=$F$43,ABS(BU150)&lt;=$G$43),BU150*$D$43,IF(AND(ABS(BU150)&gt;=$F$44,ABS(BU150)&lt;=$G$44),BU150*$D$44,"rango cal. out")))</f>
        <v>0</v>
      </c>
      <c r="BY150" s="619" t="e">
        <f>((273.2+BR150)*$F$32/((273.2+$F$31)*BT150))</f>
        <v>#DIV/0!</v>
      </c>
      <c r="BZ150" s="674" t="e">
        <f>BX150/BV150*BY150*EXP(-LN(2)/10990*($F$88-BW150))</f>
        <v>#DIV/0!</v>
      </c>
      <c r="CA150" s="599" t="e">
        <f>BZ150-AVERAGE(CH94:CH95)</f>
        <v>#DIV/0!</v>
      </c>
      <c r="CB150" s="672" t="e">
        <f>ABS($B$33*CA150*3600)</f>
        <v>#DIV/0!</v>
      </c>
      <c r="CC150" s="675" t="e">
        <f>ABS($B$34*CA150*3600)</f>
        <v>#DIV/0!</v>
      </c>
      <c r="CD150" s="614" t="e">
        <f>CC150*$C$79</f>
        <v>#DIV/0!</v>
      </c>
      <c r="CE150" s="672" t="e">
        <f>CC150*$F$70</f>
        <v>#DIV/0!</v>
      </c>
      <c r="CF150" s="600" t="e">
        <f t="shared" ref="CF150:CF153" si="1109">CC150*$F$75</f>
        <v>#DIV/0!</v>
      </c>
      <c r="CG150" s="672" t="e">
        <f>CC150*$F$72</f>
        <v>#DIV/0!</v>
      </c>
      <c r="CH150" s="676" t="e">
        <f>CC150*$F$71</f>
        <v>#DIV/0!</v>
      </c>
      <c r="CI150" s="668"/>
      <c r="CJ150" s="669"/>
      <c r="CK150" s="670"/>
      <c r="CL150" s="671"/>
      <c r="CM150" s="678"/>
      <c r="CN150" s="650"/>
      <c r="CO150" s="651">
        <f t="shared" ref="CO150:CO153" si="1110">IF(AND(ABS(CL150)&gt;=$F$42,ABS(CL150)&lt;=$G$42),CL150*$D$42,IF(AND(ABS(CL150)&gt;=$F$43,ABS(CL150)&lt;=$G$43),CL150*$D$43,IF(AND(ABS(CL150)&gt;=$F$44,ABS(CL150)&lt;=$G$44),CL150*$D$44,"rango cal. out")))</f>
        <v>0</v>
      </c>
      <c r="CP150" s="619" t="e">
        <f>((273.2+CI150)*$F$32/((273.2+$F$31)*CK150))</f>
        <v>#DIV/0!</v>
      </c>
      <c r="CQ150" s="674" t="e">
        <f>CO150/CM150*CP150*EXP(-LN(2)/10990*($F$88-CN150))</f>
        <v>#DIV/0!</v>
      </c>
      <c r="CR150" s="599" t="e">
        <f>CQ150-AVERAGE(CY94:CY95)</f>
        <v>#DIV/0!</v>
      </c>
      <c r="CS150" s="672" t="e">
        <f>ABS($B$33*CR150*3600)</f>
        <v>#DIV/0!</v>
      </c>
      <c r="CT150" s="675" t="e">
        <f>ABS($B$34*CR150*3600)</f>
        <v>#DIV/0!</v>
      </c>
      <c r="CU150" s="614" t="e">
        <f>CT150*$C$79</f>
        <v>#DIV/0!</v>
      </c>
      <c r="CV150" s="672" t="e">
        <f>CT150*$F$70</f>
        <v>#DIV/0!</v>
      </c>
      <c r="CW150" s="600" t="e">
        <f t="shared" ref="CW150:CW153" si="1111">CT150*$F$75</f>
        <v>#DIV/0!</v>
      </c>
      <c r="CX150" s="672" t="e">
        <f>CT150*$F$72</f>
        <v>#DIV/0!</v>
      </c>
      <c r="CY150" s="676" t="e">
        <f>CT150*$F$71</f>
        <v>#DIV/0!</v>
      </c>
      <c r="CZ150" s="668"/>
      <c r="DA150" s="669"/>
      <c r="DB150" s="670"/>
      <c r="DC150" s="671"/>
      <c r="DD150" s="678"/>
      <c r="DE150" s="650"/>
      <c r="DF150" s="651">
        <f t="shared" ref="DF150:DF153" si="1112">IF(AND(ABS(DC150)&gt;=$F$42,ABS(DC150)&lt;=$G$42),DC150*$D$42,IF(AND(ABS(DC150)&gt;=$F$43,ABS(DC150)&lt;=$G$43),DC150*$D$43,IF(AND(ABS(DC150)&gt;=$F$44,ABS(DC150)&lt;=$G$44),DC150*$D$44,"rango cal. out")))</f>
        <v>0</v>
      </c>
      <c r="DG150" s="619" t="e">
        <f>((273.2+CZ150)*$F$32/((273.2+$F$31)*DB150))</f>
        <v>#DIV/0!</v>
      </c>
      <c r="DH150" s="674" t="e">
        <f>DF150/DD150*DG150*EXP(-LN(2)/10990*($F$88-DE150))</f>
        <v>#DIV/0!</v>
      </c>
      <c r="DI150" s="599" t="e">
        <f>DH150-AVERAGE(DP94:DP95)</f>
        <v>#DIV/0!</v>
      </c>
      <c r="DJ150" s="672" t="e">
        <f>ABS($B$33*DI150*3600)</f>
        <v>#DIV/0!</v>
      </c>
      <c r="DK150" s="675" t="e">
        <f>ABS($B$34*DI150*3600)</f>
        <v>#DIV/0!</v>
      </c>
      <c r="DL150" s="614" t="e">
        <f>DK150*$C$79</f>
        <v>#DIV/0!</v>
      </c>
      <c r="DM150" s="672" t="e">
        <f>DK150*$F$70</f>
        <v>#DIV/0!</v>
      </c>
      <c r="DN150" s="600" t="e">
        <f t="shared" ref="DN150:DN153" si="1113">DK150*$F$75</f>
        <v>#DIV/0!</v>
      </c>
      <c r="DO150" s="672" t="e">
        <f>DK150*$F$72</f>
        <v>#DIV/0!</v>
      </c>
      <c r="DP150" s="676" t="e">
        <f>DK150*$F$71</f>
        <v>#DIV/0!</v>
      </c>
      <c r="DQ150" s="668"/>
      <c r="DR150" s="669"/>
      <c r="DS150" s="677"/>
      <c r="DT150" s="679"/>
      <c r="DU150" s="678"/>
      <c r="DV150" s="650"/>
      <c r="DW150" s="651">
        <f t="shared" ref="DW150:DW153" si="1114">IF(AND(ABS(DT150)&gt;=$F$42,ABS(DT150)&lt;=$G$42),DT150*$D$42,IF(AND(ABS(DT150)&gt;=$F$43,ABS(DT150)&lt;=$G$43),DT150*$D$43,IF(AND(ABS(DT150)&gt;=$F$44,ABS(DT150)&lt;=$G$44),DT150*$D$44,"rango cal. out")))</f>
        <v>0</v>
      </c>
      <c r="DX150" s="619" t="e">
        <f>((273.2+DQ150)*$F$32/((273.2+$F$31)*DS150))</f>
        <v>#DIV/0!</v>
      </c>
      <c r="DY150" s="674" t="e">
        <f>DW150/DU150*DX150*EXP(-LN(2)/10990*($F$88-DV150))</f>
        <v>#DIV/0!</v>
      </c>
      <c r="DZ150" s="599" t="e">
        <f>DY150-AVERAGE(EG94:EG95)</f>
        <v>#DIV/0!</v>
      </c>
      <c r="EA150" s="672" t="e">
        <f>ABS($B$33*DZ150*3600)</f>
        <v>#DIV/0!</v>
      </c>
      <c r="EB150" s="675" t="e">
        <f>ABS($B$34*DZ150*3600)</f>
        <v>#DIV/0!</v>
      </c>
      <c r="EC150" s="614" t="e">
        <f>EB150*$C$79</f>
        <v>#DIV/0!</v>
      </c>
      <c r="ED150" s="672" t="e">
        <f>EB150*$F$70</f>
        <v>#DIV/0!</v>
      </c>
      <c r="EE150" s="600" t="e">
        <f t="shared" ref="EE150:EE153" si="1115">EB150*$F$75</f>
        <v>#DIV/0!</v>
      </c>
      <c r="EF150" s="672" t="e">
        <f>EB150*$F$72</f>
        <v>#DIV/0!</v>
      </c>
      <c r="EG150" s="676" t="e">
        <f>EB150*$F$71</f>
        <v>#DIV/0!</v>
      </c>
      <c r="EH150" s="668"/>
      <c r="EI150" s="669"/>
      <c r="EJ150" s="670"/>
      <c r="EK150" s="671"/>
      <c r="EL150" s="678"/>
      <c r="EM150" s="650"/>
      <c r="EN150" s="651">
        <f t="shared" ref="EN150:EN153" si="1116">IF(AND(ABS(EK150)&gt;=$F$42,ABS(EK150)&lt;=$G$42),EK150*$D$42,IF(AND(ABS(EK150)&gt;=$F$43,ABS(EK150)&lt;=$G$43),EK150*$D$43,IF(AND(ABS(EK150)&gt;=$F$44,ABS(EK150)&lt;=$G$44),EK150*$D$44,"rango cal. out")))</f>
        <v>0</v>
      </c>
      <c r="EO150" s="619" t="e">
        <f>((273.2+EH150)*$F$32/((273.2+$F$31)*EJ150))</f>
        <v>#DIV/0!</v>
      </c>
      <c r="EP150" s="674" t="e">
        <f>EN150/EL150*EO150*EXP(-LN(2)/10990*($F$88-EM150))</f>
        <v>#DIV/0!</v>
      </c>
      <c r="EQ150" s="599" t="e">
        <f>EP150-AVERAGE(EX94:EX95)</f>
        <v>#DIV/0!</v>
      </c>
      <c r="ER150" s="672" t="e">
        <f>ABS($B$33*EQ150*3600)</f>
        <v>#DIV/0!</v>
      </c>
      <c r="ES150" s="675" t="e">
        <f>ABS($B$34*EQ150*3600)</f>
        <v>#DIV/0!</v>
      </c>
      <c r="ET150" s="614" t="e">
        <f>ES150*$C$79</f>
        <v>#DIV/0!</v>
      </c>
      <c r="EU150" s="672" t="e">
        <f>ES150*$F$70</f>
        <v>#DIV/0!</v>
      </c>
      <c r="EV150" s="600" t="e">
        <f t="shared" ref="EV150:EV153" si="1117">ES150*$F$75</f>
        <v>#DIV/0!</v>
      </c>
      <c r="EW150" s="672" t="e">
        <f>ES150*$F$72</f>
        <v>#DIV/0!</v>
      </c>
      <c r="EX150" s="676" t="e">
        <f>ES150*$F$71</f>
        <v>#DIV/0!</v>
      </c>
      <c r="EY150" s="668"/>
      <c r="EZ150" s="669"/>
      <c r="FA150" s="670"/>
      <c r="FB150" s="671"/>
      <c r="FC150" s="678"/>
      <c r="FD150" s="650"/>
      <c r="FE150" s="651">
        <f t="shared" ref="FE150:FE153" si="1118">IF(AND(ABS(FB150)&gt;=$F$42,ABS(FB150)&lt;=$G$42),FB150*$D$42,IF(AND(ABS(FB150)&gt;=$F$43,ABS(FB150)&lt;=$G$43),FB150*$D$43,IF(AND(ABS(FB150)&gt;=$F$44,ABS(FB150)&lt;=$G$44),FB150*$D$44,"rango cal. out")))</f>
        <v>0</v>
      </c>
      <c r="FF150" s="619" t="e">
        <f>((273.2+EY150)*$F$32/((273.2+$F$31)*FA150))</f>
        <v>#DIV/0!</v>
      </c>
      <c r="FG150" s="674" t="e">
        <f>FE150/FC150*FF150*EXP(-LN(2)/10990*($F$88-FD150))</f>
        <v>#DIV/0!</v>
      </c>
      <c r="FH150" s="599" t="e">
        <f>FG150-AVERAGE(FO94:FO95)</f>
        <v>#DIV/0!</v>
      </c>
      <c r="FI150" s="672" t="e">
        <f>ABS($B$33*FH150*3600)</f>
        <v>#DIV/0!</v>
      </c>
      <c r="FJ150" s="675" t="e">
        <f>ABS($B$34*FH150*3600)</f>
        <v>#DIV/0!</v>
      </c>
      <c r="FK150" s="614" t="e">
        <f>FJ150*$C$79</f>
        <v>#DIV/0!</v>
      </c>
      <c r="FL150" s="672" t="e">
        <f>FJ150*$F$70</f>
        <v>#DIV/0!</v>
      </c>
      <c r="FM150" s="600" t="e">
        <f t="shared" ref="FM150:FM153" si="1119">FJ150*$F$75</f>
        <v>#DIV/0!</v>
      </c>
      <c r="FN150" s="672" t="e">
        <f>FJ150*$F$72</f>
        <v>#DIV/0!</v>
      </c>
      <c r="FO150" s="676" t="e">
        <f>FJ150*$F$71</f>
        <v>#DIV/0!</v>
      </c>
      <c r="FP150" s="668"/>
      <c r="FQ150" s="669"/>
      <c r="FR150" s="670"/>
      <c r="FS150" s="671"/>
      <c r="FT150" s="678"/>
      <c r="FU150" s="650"/>
      <c r="FV150" s="651">
        <f t="shared" ref="FV150:FV153" si="1120">IF(AND(ABS(FS150)&gt;=$F$42,ABS(FS150)&lt;=$G$42),FS150*$D$42,IF(AND(ABS(FS150)&gt;=$F$43,ABS(FS150)&lt;=$G$43),FS150*$D$43,IF(AND(ABS(FS150)&gt;=$F$44,ABS(FS150)&lt;=$G$44),FS150*$D$44,"rango cal. out")))</f>
        <v>0</v>
      </c>
      <c r="FW150" s="619" t="e">
        <f>((273.2+FP150)*$F$32/((273.2+$F$31)*FR150))</f>
        <v>#DIV/0!</v>
      </c>
      <c r="FX150" s="674" t="e">
        <f>FV150/FT150*FW150*EXP(-LN(2)/10990*($F$88-FU150))</f>
        <v>#DIV/0!</v>
      </c>
      <c r="FY150" s="599" t="e">
        <f>FX150-AVERAGE(GF94:GF95)</f>
        <v>#DIV/0!</v>
      </c>
      <c r="FZ150" s="672" t="e">
        <f>ABS($B$33*FY150*3600)</f>
        <v>#DIV/0!</v>
      </c>
      <c r="GA150" s="675" t="e">
        <f>ABS($B$34*FY150*3600)</f>
        <v>#DIV/0!</v>
      </c>
      <c r="GB150" s="614" t="e">
        <f>GA150*$C$79</f>
        <v>#DIV/0!</v>
      </c>
      <c r="GC150" s="672" t="e">
        <f>GA150*$F$70</f>
        <v>#DIV/0!</v>
      </c>
      <c r="GD150" s="600" t="e">
        <f t="shared" ref="GD150:GD153" si="1121">GA150*$F$75</f>
        <v>#DIV/0!</v>
      </c>
      <c r="GE150" s="672" t="e">
        <f>GA150*$F$72</f>
        <v>#DIV/0!</v>
      </c>
      <c r="GF150" s="676" t="e">
        <f>GA150*$F$71</f>
        <v>#DIV/0!</v>
      </c>
      <c r="GG150" s="668"/>
      <c r="GH150" s="669"/>
      <c r="GI150" s="677"/>
      <c r="GJ150" s="679"/>
      <c r="GK150" s="678"/>
      <c r="GL150" s="650"/>
      <c r="GM150" s="651">
        <f t="shared" ref="GM150:GM153" si="1122">IF(AND(ABS(GJ150)&gt;=$F$42,ABS(GJ150)&lt;=$G$42),GJ150*$D$42,IF(AND(ABS(GJ150)&gt;=$F$43,ABS(GJ150)&lt;=$G$43),GJ150*$D$43,IF(AND(ABS(GJ150)&gt;=$F$44,ABS(GJ150)&lt;=$G$44),GJ150*$D$44,"rango cal. out")))</f>
        <v>0</v>
      </c>
      <c r="GN150" s="619" t="e">
        <f>((273.2+GG150)*$F$32/((273.2+$F$31)*GI150))</f>
        <v>#DIV/0!</v>
      </c>
      <c r="GO150" s="674" t="e">
        <f>GM150/GK150*GN150*EXP(-LN(2)/10990*($F$88-GL150))</f>
        <v>#DIV/0!</v>
      </c>
      <c r="GP150" s="599" t="e">
        <f>GO150-AVERAGE(GW94:GW95)</f>
        <v>#DIV/0!</v>
      </c>
      <c r="GQ150" s="672" t="e">
        <f>ABS($B$33*GP150*3600)</f>
        <v>#DIV/0!</v>
      </c>
      <c r="GR150" s="675" t="e">
        <f>ABS($B$34*GP150*3600)</f>
        <v>#DIV/0!</v>
      </c>
      <c r="GS150" s="614" t="e">
        <f>GR150*$C$79</f>
        <v>#DIV/0!</v>
      </c>
      <c r="GT150" s="672" t="e">
        <f>GR150*$F$70</f>
        <v>#DIV/0!</v>
      </c>
      <c r="GU150" s="600" t="e">
        <f t="shared" ref="GU150:GU153" si="1123">GR150*$F$75</f>
        <v>#DIV/0!</v>
      </c>
      <c r="GV150" s="672" t="e">
        <f>GR150*$F$72</f>
        <v>#DIV/0!</v>
      </c>
      <c r="GW150" s="676" t="e">
        <f>GR150*$F$71</f>
        <v>#DIV/0!</v>
      </c>
      <c r="GX150" s="668"/>
      <c r="GY150" s="669"/>
      <c r="GZ150" s="670"/>
      <c r="HA150" s="671"/>
      <c r="HB150" s="678"/>
      <c r="HC150" s="650"/>
      <c r="HD150" s="651">
        <f t="shared" ref="HD150:HD153" si="1124">IF(AND(ABS(HA150)&gt;=$F$42,ABS(HA150)&lt;=$G$42),HA150*$D$42,IF(AND(ABS(HA150)&gt;=$F$43,ABS(HA150)&lt;=$G$43),HA150*$D$43,IF(AND(ABS(HA150)&gt;=$F$44,ABS(HA150)&lt;=$G$44),HA150*$D$44,"rango cal. out")))</f>
        <v>0</v>
      </c>
      <c r="HE150" s="619" t="e">
        <f>((273.2+GX150)*$F$32/((273.2+$F$31)*GZ150))</f>
        <v>#DIV/0!</v>
      </c>
      <c r="HF150" s="674" t="e">
        <f>HD150/HB150*HE150*EXP(-LN(2)/10990*($F$88-HC150))</f>
        <v>#DIV/0!</v>
      </c>
      <c r="HG150" s="599" t="e">
        <f>HF150-AVERAGE(HN94:HN95)</f>
        <v>#DIV/0!</v>
      </c>
      <c r="HH150" s="672" t="e">
        <f>ABS($B$33*HG150*3600)</f>
        <v>#DIV/0!</v>
      </c>
      <c r="HI150" s="675" t="e">
        <f>ABS($B$34*HG150*3600)</f>
        <v>#DIV/0!</v>
      </c>
      <c r="HJ150" s="614" t="e">
        <f>HI150*$C$79</f>
        <v>#DIV/0!</v>
      </c>
      <c r="HK150" s="672" t="e">
        <f>HI150*$F$70</f>
        <v>#DIV/0!</v>
      </c>
      <c r="HL150" s="600" t="e">
        <f t="shared" ref="HL150:HL153" si="1125">HI150*$F$75</f>
        <v>#DIV/0!</v>
      </c>
      <c r="HM150" s="672" t="e">
        <f>HI150*$F$72</f>
        <v>#DIV/0!</v>
      </c>
      <c r="HN150" s="676" t="e">
        <f>HI150*$F$71</f>
        <v>#DIV/0!</v>
      </c>
      <c r="HO150" s="668"/>
      <c r="HP150" s="669"/>
      <c r="HQ150" s="670"/>
      <c r="HR150" s="671"/>
      <c r="HS150" s="678"/>
      <c r="HT150" s="650"/>
      <c r="HU150" s="651">
        <f t="shared" ref="HU150:HU153" si="1126">IF(AND(ABS(HR150)&gt;=$F$42,ABS(HR150)&lt;=$G$42),HR150*$D$42,IF(AND(ABS(HR150)&gt;=$F$43,ABS(HR150)&lt;=$G$43),HR150*$D$43,IF(AND(ABS(HR150)&gt;=$F$44,ABS(HR150)&lt;=$G$44),HR150*$D$44,"rango cal. out")))</f>
        <v>0</v>
      </c>
      <c r="HV150" s="619" t="e">
        <f>((273.2+HO150)*$F$32/((273.2+$F$31)*HQ150))</f>
        <v>#DIV/0!</v>
      </c>
      <c r="HW150" s="674" t="e">
        <f>HU150/HS150*HV150*EXP(-LN(2)/10990*($F$88-HT150))</f>
        <v>#DIV/0!</v>
      </c>
      <c r="HX150" s="599" t="e">
        <f>HW150-AVERAGE(IE94:IE95)</f>
        <v>#DIV/0!</v>
      </c>
      <c r="HY150" s="672" t="e">
        <f>ABS($B$33*HX150*3600)</f>
        <v>#DIV/0!</v>
      </c>
      <c r="HZ150" s="675" t="e">
        <f>ABS($B$34*HX150*3600)</f>
        <v>#DIV/0!</v>
      </c>
      <c r="IA150" s="614" t="e">
        <f>HZ150*$C$79</f>
        <v>#DIV/0!</v>
      </c>
      <c r="IB150" s="672" t="e">
        <f>HZ150*$F$70</f>
        <v>#DIV/0!</v>
      </c>
      <c r="IC150" s="600" t="e">
        <f t="shared" ref="IC150:IC153" si="1127">HZ150*$F$75</f>
        <v>#DIV/0!</v>
      </c>
      <c r="ID150" s="672" t="e">
        <f>HZ150*$F$72</f>
        <v>#DIV/0!</v>
      </c>
      <c r="IE150" s="676" t="e">
        <f>HZ150*$F$71</f>
        <v>#DIV/0!</v>
      </c>
      <c r="IF150" s="668"/>
      <c r="IG150" s="669"/>
      <c r="IH150" s="670"/>
      <c r="II150" s="671"/>
      <c r="IJ150" s="678"/>
      <c r="IK150" s="650"/>
      <c r="IL150" s="651">
        <f t="shared" ref="IL150:IL153" si="1128">IF(AND(ABS(II150)&gt;=$F$42,ABS(II150)&lt;=$G$42),II150*$D$42,IF(AND(ABS(II150)&gt;=$F$43,ABS(II150)&lt;=$G$43),II150*$D$43,IF(AND(ABS(II150)&gt;=$F$44,ABS(II150)&lt;=$G$44),II150*$D$44,"rango cal. out")))</f>
        <v>0</v>
      </c>
      <c r="IM150" s="619" t="e">
        <f>((273.2+IF150)*$F$32/((273.2+$F$31)*IH150))</f>
        <v>#DIV/0!</v>
      </c>
      <c r="IN150" s="674" t="e">
        <f>IL150/IJ150*IM150*EXP(-LN(2)/10990*($F$88-IK150))</f>
        <v>#DIV/0!</v>
      </c>
      <c r="IO150" s="599" t="e">
        <f>IN150-AVERAGE(IV94:IV95)</f>
        <v>#DIV/0!</v>
      </c>
      <c r="IP150" s="672" t="e">
        <f>ABS($B$33*IO150*3600)</f>
        <v>#DIV/0!</v>
      </c>
      <c r="IQ150" s="675" t="e">
        <f>ABS($B$34*IO150*3600)</f>
        <v>#DIV/0!</v>
      </c>
      <c r="IR150" s="614" t="e">
        <f>IQ150*$C$79</f>
        <v>#DIV/0!</v>
      </c>
      <c r="IS150" s="672" t="e">
        <f>IQ150*$F$70</f>
        <v>#DIV/0!</v>
      </c>
      <c r="IT150" s="600" t="e">
        <f t="shared" ref="IT150:IT153" si="1129">IQ150*$F$75</f>
        <v>#DIV/0!</v>
      </c>
      <c r="IU150" s="672" t="e">
        <f>IQ150*$F$72</f>
        <v>#DIV/0!</v>
      </c>
      <c r="IV150" s="676" t="e">
        <f>IQ150*$F$71</f>
        <v>#DIV/0!</v>
      </c>
      <c r="IW150" s="668"/>
      <c r="IX150" s="669"/>
      <c r="IY150" s="670"/>
      <c r="IZ150" s="671"/>
      <c r="JA150" s="678"/>
      <c r="JB150" s="650"/>
      <c r="JC150" s="651">
        <f t="shared" ref="JC150:JC153" si="1130">IF(AND(ABS(IZ150)&gt;=$F$42,ABS(IZ150)&lt;=$G$42),IZ150*$D$42,IF(AND(ABS(IZ150)&gt;=$F$43,ABS(IZ150)&lt;=$G$43),IZ150*$D$43,IF(AND(ABS(IZ150)&gt;=$F$44,ABS(IZ150)&lt;=$G$44),IZ150*$D$44,"rango cal. out")))</f>
        <v>0</v>
      </c>
      <c r="JD150" s="619" t="e">
        <f>((273.2+IW150)*$F$32/((273.2+$F$31)*IY150))</f>
        <v>#DIV/0!</v>
      </c>
      <c r="JE150" s="674" t="e">
        <f>JC150/JA150*JD150*EXP(-LN(2)/10990*($F$88-JB150))</f>
        <v>#DIV/0!</v>
      </c>
      <c r="JF150" s="599" t="e">
        <f>JE150-AVERAGE(JM94:JM95)</f>
        <v>#DIV/0!</v>
      </c>
      <c r="JG150" s="672" t="e">
        <f>ABS($B$33*JF150*3600)</f>
        <v>#DIV/0!</v>
      </c>
      <c r="JH150" s="675" t="e">
        <f>ABS($B$34*JF150*3600)</f>
        <v>#DIV/0!</v>
      </c>
      <c r="JI150" s="614" t="e">
        <f>JH150*$C$79</f>
        <v>#DIV/0!</v>
      </c>
      <c r="JJ150" s="672" t="e">
        <f>JH150*$F$70</f>
        <v>#DIV/0!</v>
      </c>
      <c r="JK150" s="600" t="e">
        <f t="shared" ref="JK150:JK153" si="1131">JH150*$F$75</f>
        <v>#DIV/0!</v>
      </c>
      <c r="JL150" s="672" t="e">
        <f>JH150*$F$72</f>
        <v>#DIV/0!</v>
      </c>
      <c r="JM150" s="676" t="e">
        <f>JH150*$F$71</f>
        <v>#DIV/0!</v>
      </c>
      <c r="JN150" s="668"/>
      <c r="JO150" s="669"/>
      <c r="JP150" s="670"/>
      <c r="JQ150" s="671"/>
      <c r="JR150" s="678"/>
      <c r="JS150" s="650"/>
      <c r="JT150" s="651">
        <f t="shared" ref="JT150:JT153" si="1132">IF(AND(ABS(JQ150)&gt;=$F$42,ABS(JQ150)&lt;=$G$42),JQ150*$D$42,IF(AND(ABS(JQ150)&gt;=$F$43,ABS(JQ150)&lt;=$G$43),JQ150*$D$43,IF(AND(ABS(JQ150)&gt;=$F$44,ABS(JQ150)&lt;=$G$44),JQ150*$D$44,"rango cal. out")))</f>
        <v>0</v>
      </c>
      <c r="JU150" s="619" t="e">
        <f>((273.2+JN150)*$F$32/((273.2+$F$31)*JP150))</f>
        <v>#DIV/0!</v>
      </c>
      <c r="JV150" s="674" t="e">
        <f>JT150/JR150*JU150*EXP(-LN(2)/10990*($F$88-JS150))</f>
        <v>#DIV/0!</v>
      </c>
      <c r="JW150" s="599" t="e">
        <f>JV150-AVERAGE(KD94:KD95)</f>
        <v>#DIV/0!</v>
      </c>
      <c r="JX150" s="672" t="e">
        <f>ABS($B$33*JW150*3600)</f>
        <v>#DIV/0!</v>
      </c>
      <c r="JY150" s="675" t="e">
        <f>ABS($B$34*JW150*3600)</f>
        <v>#DIV/0!</v>
      </c>
      <c r="JZ150" s="614" t="e">
        <f>JY150*$C$79</f>
        <v>#DIV/0!</v>
      </c>
      <c r="KA150" s="672" t="e">
        <f>JY150*$F$70</f>
        <v>#DIV/0!</v>
      </c>
      <c r="KB150" s="600" t="e">
        <f t="shared" ref="KB150:KB153" si="1133">JY150*$F$75</f>
        <v>#DIV/0!</v>
      </c>
      <c r="KC150" s="672" t="e">
        <f>JY150*$F$72</f>
        <v>#DIV/0!</v>
      </c>
      <c r="KD150" s="676" t="e">
        <f>JY150*$F$71</f>
        <v>#DIV/0!</v>
      </c>
      <c r="KE150" s="668"/>
      <c r="KF150" s="669"/>
      <c r="KG150" s="670"/>
      <c r="KH150" s="671"/>
      <c r="KI150" s="678"/>
      <c r="KJ150" s="650"/>
      <c r="KK150" s="651">
        <f t="shared" ref="KK150:KK153" si="1134">IF(AND(ABS(KH150)&gt;=$F$42,ABS(KH150)&lt;=$G$42),KH150*$D$42,IF(AND(ABS(KH150)&gt;=$F$43,ABS(KH150)&lt;=$G$43),KH150*$D$43,IF(AND(ABS(KH150)&gt;=$F$44,ABS(KH150)&lt;=$G$44),KH150*$D$44,"rango cal. out")))</f>
        <v>0</v>
      </c>
      <c r="KL150" s="619" t="e">
        <f>((273.2+KE150)*$F$32/((273.2+$F$31)*KG150))</f>
        <v>#DIV/0!</v>
      </c>
      <c r="KM150" s="674" t="e">
        <f>KK150/KI150*KL150*EXP(-LN(2)/10990*($F$88-KJ150))</f>
        <v>#DIV/0!</v>
      </c>
      <c r="KN150" s="599" t="e">
        <f>KM150-AVERAGE(KU94:KU95)</f>
        <v>#DIV/0!</v>
      </c>
      <c r="KO150" s="672" t="e">
        <f>ABS($B$33*KN150*3600)</f>
        <v>#DIV/0!</v>
      </c>
      <c r="KP150" s="675" t="e">
        <f>ABS($B$34*KN150*3600)</f>
        <v>#DIV/0!</v>
      </c>
      <c r="KQ150" s="614" t="e">
        <f>KP150*$C$79</f>
        <v>#DIV/0!</v>
      </c>
      <c r="KR150" s="672" t="e">
        <f>KP150*$F$70</f>
        <v>#DIV/0!</v>
      </c>
      <c r="KS150" s="600" t="e">
        <f t="shared" ref="KS150:KS153" si="1135">KP150*$F$75</f>
        <v>#DIV/0!</v>
      </c>
      <c r="KT150" s="672" t="e">
        <f>KP150*$F$72</f>
        <v>#DIV/0!</v>
      </c>
      <c r="KU150" s="676" t="e">
        <f>KP150*$F$71</f>
        <v>#DIV/0!</v>
      </c>
      <c r="KV150" s="668"/>
      <c r="KW150" s="669"/>
      <c r="KX150" s="670"/>
      <c r="KY150" s="671"/>
      <c r="KZ150" s="678"/>
      <c r="LA150" s="650"/>
      <c r="LB150" s="651">
        <f t="shared" ref="LB150:LB153" si="1136">IF(AND(ABS(KY150)&gt;=$F$42,ABS(KY150)&lt;=$G$42),KY150*$D$42,IF(AND(ABS(KY150)&gt;=$F$43,ABS(KY150)&lt;=$G$43),KY150*$D$43,IF(AND(ABS(KY150)&gt;=$F$44,ABS(KY150)&lt;=$G$44),KY150*$D$44,"rango cal. out")))</f>
        <v>0</v>
      </c>
      <c r="LC150" s="619" t="e">
        <f>((273.2+KV150)*$F$32/((273.2+$F$31)*KX150))</f>
        <v>#DIV/0!</v>
      </c>
      <c r="LD150" s="674" t="e">
        <f>LB150/KZ150*LC150*EXP(-LN(2)/10990*($F$88-LA150))</f>
        <v>#DIV/0!</v>
      </c>
      <c r="LE150" s="599" t="e">
        <f>LD150-AVERAGE(LL94:LL95)</f>
        <v>#DIV/0!</v>
      </c>
      <c r="LF150" s="672" t="e">
        <f>ABS($B$33*LE150*3600)</f>
        <v>#DIV/0!</v>
      </c>
      <c r="LG150" s="675" t="e">
        <f>ABS($B$34*LE150*3600)</f>
        <v>#DIV/0!</v>
      </c>
      <c r="LH150" s="614" t="e">
        <f>LG150*$C$79</f>
        <v>#DIV/0!</v>
      </c>
      <c r="LI150" s="672" t="e">
        <f>LG150*$F$70</f>
        <v>#DIV/0!</v>
      </c>
      <c r="LJ150" s="600" t="e">
        <f t="shared" ref="LJ150:LJ153" si="1137">LG150*$F$75</f>
        <v>#DIV/0!</v>
      </c>
      <c r="LK150" s="672" t="e">
        <f>LG150*$F$72</f>
        <v>#DIV/0!</v>
      </c>
      <c r="LL150" s="676" t="e">
        <f>LG150*$F$71</f>
        <v>#DIV/0!</v>
      </c>
      <c r="LM150" s="668"/>
      <c r="LN150" s="669"/>
      <c r="LO150" s="670"/>
      <c r="LP150" s="671"/>
      <c r="LQ150" s="678"/>
      <c r="LR150" s="650"/>
      <c r="LS150" s="651">
        <f t="shared" ref="LS150:LS153" si="1138">IF(AND(ABS(LP150)&gt;=$F$42,ABS(LP150)&lt;=$G$42),LP150*$D$42,IF(AND(ABS(LP150)&gt;=$F$43,ABS(LP150)&lt;=$G$43),LP150*$D$43,IF(AND(ABS(LP150)&gt;=$F$44,ABS(LP150)&lt;=$G$44),LP150*$D$44,"rango cal. out")))</f>
        <v>0</v>
      </c>
      <c r="LT150" s="619" t="e">
        <f>((273.2+LM150)*$F$32/((273.2+$F$31)*LO150))</f>
        <v>#DIV/0!</v>
      </c>
      <c r="LU150" s="674" t="e">
        <f>LS150/LQ150*LT150*EXP(-LN(2)/10990*($F$88-LR150))</f>
        <v>#DIV/0!</v>
      </c>
      <c r="LV150" s="599" t="e">
        <f>LU150-AVERAGE(MC94:MC95)</f>
        <v>#DIV/0!</v>
      </c>
      <c r="LW150" s="672" t="e">
        <f>ABS($B$33*LV150*3600)</f>
        <v>#DIV/0!</v>
      </c>
      <c r="LX150" s="675" t="e">
        <f>ABS($B$34*LV150*3600)</f>
        <v>#DIV/0!</v>
      </c>
      <c r="LY150" s="614" t="e">
        <f>LX150*$C$79</f>
        <v>#DIV/0!</v>
      </c>
      <c r="LZ150" s="672" t="e">
        <f>LX150*$F$70</f>
        <v>#DIV/0!</v>
      </c>
      <c r="MA150" s="600" t="e">
        <f t="shared" ref="MA150:MA153" si="1139">LX150*$F$75</f>
        <v>#DIV/0!</v>
      </c>
      <c r="MB150" s="672" t="e">
        <f>LX150*$F$72</f>
        <v>#DIV/0!</v>
      </c>
      <c r="MC150" s="676" t="e">
        <f>LX150*$F$71</f>
        <v>#DIV/0!</v>
      </c>
      <c r="MD150" s="668"/>
      <c r="ME150" s="669"/>
      <c r="MF150" s="670"/>
      <c r="MG150" s="671"/>
      <c r="MH150" s="678"/>
      <c r="MI150" s="650"/>
      <c r="MJ150" s="651">
        <f t="shared" ref="MJ150:MJ153" si="1140">IF(AND(ABS(MG150)&gt;=$F$42,ABS(MG150)&lt;=$G$42),MG150*$D$42,IF(AND(ABS(MG150)&gt;=$F$43,ABS(MG150)&lt;=$G$43),MG150*$D$43,IF(AND(ABS(MG150)&gt;=$F$44,ABS(MG150)&lt;=$G$44),MG150*$D$44,"rango cal. out")))</f>
        <v>0</v>
      </c>
      <c r="MK150" s="619" t="e">
        <f>((273.2+MD150)*$F$32/((273.2+$F$31)*MF150))</f>
        <v>#DIV/0!</v>
      </c>
      <c r="ML150" s="674" t="e">
        <f>MJ150/MH150*MK150*EXP(-LN(2)/10990*($F$88-MI150))</f>
        <v>#DIV/0!</v>
      </c>
      <c r="MM150" s="599" t="e">
        <f>ML150-AVERAGE(MT94:MT95)</f>
        <v>#DIV/0!</v>
      </c>
      <c r="MN150" s="672" t="e">
        <f>ABS($B$33*MM150*3600)</f>
        <v>#DIV/0!</v>
      </c>
      <c r="MO150" s="675" t="e">
        <f>ABS($B$34*MM150*3600)</f>
        <v>#DIV/0!</v>
      </c>
      <c r="MP150" s="614" t="e">
        <f>MO150*$C$79</f>
        <v>#DIV/0!</v>
      </c>
      <c r="MQ150" s="672" t="e">
        <f>MO150*$F$70</f>
        <v>#DIV/0!</v>
      </c>
      <c r="MR150" s="600" t="e">
        <f t="shared" ref="MR150:MR153" si="1141">MO150*$F$75</f>
        <v>#DIV/0!</v>
      </c>
      <c r="MS150" s="672" t="e">
        <f>MO150*$F$72</f>
        <v>#DIV/0!</v>
      </c>
      <c r="MT150" s="676" t="e">
        <f>MO150*$F$71</f>
        <v>#DIV/0!</v>
      </c>
      <c r="MU150" s="668"/>
      <c r="MV150" s="669"/>
      <c r="MW150" s="670"/>
      <c r="MX150" s="671"/>
      <c r="MY150" s="678"/>
      <c r="MZ150" s="650"/>
      <c r="NA150" s="651">
        <f t="shared" ref="NA150:NA153" si="1142">IF(AND(ABS(MX150)&gt;=$F$42,ABS(MX150)&lt;=$G$42),MX150*$D$42,IF(AND(ABS(MX150)&gt;=$F$43,ABS(MX150)&lt;=$G$43),MX150*$D$43,IF(AND(ABS(MX150)&gt;=$F$44,ABS(MX150)&lt;=$G$44),MX150*$D$44,"rango cal. out")))</f>
        <v>0</v>
      </c>
      <c r="NB150" s="619" t="e">
        <f>((273.2+MU150)*$F$32/((273.2+$F$31)*MW150))</f>
        <v>#DIV/0!</v>
      </c>
      <c r="NC150" s="674" t="e">
        <f>NA150/MY150*NB150*EXP(-LN(2)/10990*($F$88-MZ150))</f>
        <v>#DIV/0!</v>
      </c>
      <c r="ND150" s="599" t="e">
        <f>NC150-AVERAGE(NK94:NK95)</f>
        <v>#DIV/0!</v>
      </c>
      <c r="NE150" s="672" t="e">
        <f>ABS($B$33*ND150*3600)</f>
        <v>#DIV/0!</v>
      </c>
      <c r="NF150" s="675" t="e">
        <f>ABS($B$34*ND150*3600)</f>
        <v>#DIV/0!</v>
      </c>
      <c r="NG150" s="614" t="e">
        <f>NF150*$C$79</f>
        <v>#DIV/0!</v>
      </c>
      <c r="NH150" s="672" t="e">
        <f>NF150*$F$70</f>
        <v>#DIV/0!</v>
      </c>
      <c r="NI150" s="600" t="e">
        <f t="shared" ref="NI150:NI153" si="1143">NF150*$F$75</f>
        <v>#DIV/0!</v>
      </c>
      <c r="NJ150" s="672" t="e">
        <f>NF150*$F$72</f>
        <v>#DIV/0!</v>
      </c>
      <c r="NK150" s="676" t="e">
        <f>NF150*$F$71</f>
        <v>#DIV/0!</v>
      </c>
      <c r="NL150" s="668"/>
      <c r="NM150" s="669"/>
      <c r="NN150" s="670"/>
      <c r="NO150" s="671"/>
      <c r="NP150" s="678"/>
      <c r="NQ150" s="650"/>
      <c r="NR150" s="651">
        <f t="shared" ref="NR150:NR153" si="1144">IF(AND(ABS(NO150)&gt;=$F$42,ABS(NO150)&lt;=$G$42),NO150*$D$42,IF(AND(ABS(NO150)&gt;=$F$43,ABS(NO150)&lt;=$G$43),NO150*$D$43,IF(AND(ABS(NO150)&gt;=$F$44,ABS(NO150)&lt;=$G$44),NO150*$D$44,"rango cal. out")))</f>
        <v>0</v>
      </c>
      <c r="NS150" s="619" t="e">
        <f>((273.2+NL150)*$F$32/((273.2+$F$31)*NN150))</f>
        <v>#DIV/0!</v>
      </c>
      <c r="NT150" s="674" t="e">
        <f>NR150/NP150*NS150*EXP(-LN(2)/10990*($F$88-NQ150))</f>
        <v>#DIV/0!</v>
      </c>
      <c r="NU150" s="599" t="e">
        <f>NT150-AVERAGE(OB94:OB95)</f>
        <v>#DIV/0!</v>
      </c>
      <c r="NV150" s="672" t="e">
        <f>ABS($B$33*NU150*3600)</f>
        <v>#DIV/0!</v>
      </c>
      <c r="NW150" s="675" t="e">
        <f>ABS($B$34*NU150*3600)</f>
        <v>#DIV/0!</v>
      </c>
      <c r="NX150" s="614" t="e">
        <f>NW150*$C$79</f>
        <v>#DIV/0!</v>
      </c>
      <c r="NY150" s="672" t="e">
        <f>NW150*$F$70</f>
        <v>#DIV/0!</v>
      </c>
      <c r="NZ150" s="600" t="e">
        <f t="shared" ref="NZ150:NZ153" si="1145">NW150*$F$75</f>
        <v>#DIV/0!</v>
      </c>
      <c r="OA150" s="672" t="e">
        <f>NW150*$F$72</f>
        <v>#DIV/0!</v>
      </c>
      <c r="OB150" s="676" t="e">
        <f>NW150*$F$71</f>
        <v>#DIV/0!</v>
      </c>
      <c r="OC150" s="668"/>
      <c r="OD150" s="669"/>
      <c r="OE150" s="670"/>
      <c r="OF150" s="671"/>
      <c r="OG150" s="678"/>
      <c r="OH150" s="650"/>
      <c r="OI150" s="651">
        <f t="shared" ref="OI150:OI153" si="1146">IF(AND(ABS(OF150)&gt;=$F$42,ABS(OF150)&lt;=$G$42),OF150*$D$42,IF(AND(ABS(OF150)&gt;=$F$43,ABS(OF150)&lt;=$G$43),OF150*$D$43,IF(AND(ABS(OF150)&gt;=$F$44,ABS(OF150)&lt;=$G$44),OF150*$D$44,"rango cal. out")))</f>
        <v>0</v>
      </c>
      <c r="OJ150" s="619" t="e">
        <f>((273.2+OC150)*$F$32/((273.2+$F$31)*OE150))</f>
        <v>#DIV/0!</v>
      </c>
      <c r="OK150" s="674" t="e">
        <f>OI150/OG150*OJ150*EXP(-LN(2)/10990*($F$88-OH150))</f>
        <v>#DIV/0!</v>
      </c>
      <c r="OL150" s="599" t="e">
        <f>OK150-AVERAGE(OS94:OS95)</f>
        <v>#DIV/0!</v>
      </c>
      <c r="OM150" s="672" t="e">
        <f>ABS($B$33*OL150*3600)</f>
        <v>#DIV/0!</v>
      </c>
      <c r="ON150" s="675" t="e">
        <f>ABS($B$34*OL150*3600)</f>
        <v>#DIV/0!</v>
      </c>
      <c r="OO150" s="614" t="e">
        <f>ON150*$C$79</f>
        <v>#DIV/0!</v>
      </c>
      <c r="OP150" s="672" t="e">
        <f>ON150*$F$70</f>
        <v>#DIV/0!</v>
      </c>
      <c r="OQ150" s="600" t="e">
        <f t="shared" ref="OQ150:OQ153" si="1147">ON150*$F$75</f>
        <v>#DIV/0!</v>
      </c>
      <c r="OR150" s="672" t="e">
        <f>ON150*$F$72</f>
        <v>#DIV/0!</v>
      </c>
      <c r="OS150" s="676" t="e">
        <f>ON150*$F$71</f>
        <v>#DIV/0!</v>
      </c>
      <c r="OT150" s="668"/>
      <c r="OU150" s="669"/>
      <c r="OV150" s="670"/>
      <c r="OW150" s="671"/>
      <c r="OX150" s="678"/>
      <c r="OY150" s="650"/>
      <c r="OZ150" s="651">
        <f t="shared" ref="OZ150:OZ153" si="1148">IF(AND(ABS(OW150)&gt;=$F$42,ABS(OW150)&lt;=$G$42),OW150*$D$42,IF(AND(ABS(OW150)&gt;=$F$43,ABS(OW150)&lt;=$G$43),OW150*$D$43,IF(AND(ABS(OW150)&gt;=$F$44,ABS(OW150)&lt;=$G$44),OW150*$D$44,"rango cal. out")))</f>
        <v>0</v>
      </c>
      <c r="PA150" s="619" t="e">
        <f>((273.2+OT150)*$F$32/((273.2+$F$31)*OV150))</f>
        <v>#DIV/0!</v>
      </c>
      <c r="PB150" s="674" t="e">
        <f>OZ150/OX150*PA150*EXP(-LN(2)/10990*($F$88-OY150))</f>
        <v>#DIV/0!</v>
      </c>
      <c r="PC150" s="599" t="e">
        <f>PB150-AVERAGE(PJ94:PJ95)</f>
        <v>#DIV/0!</v>
      </c>
      <c r="PD150" s="672" t="e">
        <f>ABS($B$33*PC150*3600)</f>
        <v>#DIV/0!</v>
      </c>
      <c r="PE150" s="675" t="e">
        <f>ABS($B$34*PC150*3600)</f>
        <v>#DIV/0!</v>
      </c>
      <c r="PF150" s="614" t="e">
        <f>PE150*$C$79</f>
        <v>#DIV/0!</v>
      </c>
      <c r="PG150" s="672" t="e">
        <f>PE150*$F$70</f>
        <v>#DIV/0!</v>
      </c>
      <c r="PH150" s="600" t="e">
        <f t="shared" ref="PH150:PH153" si="1149">PE150*$F$75</f>
        <v>#DIV/0!</v>
      </c>
      <c r="PI150" s="672" t="e">
        <f>PE150*$F$72</f>
        <v>#DIV/0!</v>
      </c>
      <c r="PJ150" s="676" t="e">
        <f>PE150*$F$71</f>
        <v>#DIV/0!</v>
      </c>
      <c r="PK150" s="668"/>
      <c r="PL150" s="669"/>
      <c r="PM150" s="670"/>
      <c r="PN150" s="671"/>
      <c r="PO150" s="678"/>
      <c r="PP150" s="650"/>
      <c r="PQ150" s="651">
        <f t="shared" ref="PQ150:PQ153" si="1150">IF(AND(ABS(PN150)&gt;=$F$42,ABS(PN150)&lt;=$G$42),PN150*$D$42,IF(AND(ABS(PN150)&gt;=$F$43,ABS(PN150)&lt;=$G$43),PN150*$D$43,IF(AND(ABS(PN150)&gt;=$F$44,ABS(PN150)&lt;=$G$44),PN150*$D$44,"rango cal. out")))</f>
        <v>0</v>
      </c>
      <c r="PR150" s="619" t="e">
        <f>((273.2+PK150)*$F$32/((273.2+$F$31)*PM150))</f>
        <v>#DIV/0!</v>
      </c>
      <c r="PS150" s="674" t="e">
        <f>PQ150/PO150*PR150*EXP(-LN(2)/10990*($F$88-PP150))</f>
        <v>#DIV/0!</v>
      </c>
      <c r="PT150" s="599" t="e">
        <f>PS150-AVERAGE(QA94:QA95)</f>
        <v>#DIV/0!</v>
      </c>
      <c r="PU150" s="672" t="e">
        <f>ABS($B$33*PT150*3600)</f>
        <v>#DIV/0!</v>
      </c>
      <c r="PV150" s="675" t="e">
        <f>ABS($B$34*PT150*3600)</f>
        <v>#DIV/0!</v>
      </c>
      <c r="PW150" s="614" t="e">
        <f>PV150*$C$79</f>
        <v>#DIV/0!</v>
      </c>
      <c r="PX150" s="672" t="e">
        <f>PV150*$F$70</f>
        <v>#DIV/0!</v>
      </c>
      <c r="PY150" s="600" t="e">
        <f t="shared" ref="PY150:PY153" si="1151">PV150*$F$75</f>
        <v>#DIV/0!</v>
      </c>
      <c r="PZ150" s="672" t="e">
        <f>PV150*$F$72</f>
        <v>#DIV/0!</v>
      </c>
      <c r="QA150" s="676" t="e">
        <f>PV150*$F$71</f>
        <v>#DIV/0!</v>
      </c>
      <c r="QB150" s="668"/>
      <c r="QC150" s="669"/>
      <c r="QD150" s="670"/>
      <c r="QE150" s="671"/>
      <c r="QF150" s="673">
        <v>100</v>
      </c>
      <c r="QG150" s="650"/>
      <c r="QH150" s="651">
        <f t="shared" ref="QH150:QH153" si="1152">IF(AND(ABS(QE150)&gt;=$F$42,ABS(QE150)&lt;=$G$42),QE150*$D$42,IF(AND(ABS(QE150)&gt;=$F$43,ABS(QE150)&lt;=$G$43),QE150*$D$43,IF(AND(ABS(QE150)&gt;=$F$44,ABS(QE150)&lt;=$G$44),QE150*$D$44,"rango cal. out")))</f>
        <v>0</v>
      </c>
      <c r="QI150" s="619" t="e">
        <f>((273.2+QB150)*$F$32/((273.2+$F$31)*QD150))</f>
        <v>#DIV/0!</v>
      </c>
      <c r="QJ150" s="674" t="e">
        <f>QH150/QF150*QI150*EXP(-LN(2)/10990*($F$88-QG150))</f>
        <v>#DIV/0!</v>
      </c>
      <c r="QK150" s="599" t="e">
        <f>QJ150-AVERAGE(QR94:QR95)</f>
        <v>#DIV/0!</v>
      </c>
      <c r="QL150" s="672" t="e">
        <f>ABS($B$33*QK150*3600)</f>
        <v>#DIV/0!</v>
      </c>
      <c r="QM150" s="675" t="e">
        <f>ABS($B$34*QK150*3600)</f>
        <v>#DIV/0!</v>
      </c>
      <c r="QN150" s="614" t="e">
        <f>QM150*$C$79</f>
        <v>#DIV/0!</v>
      </c>
      <c r="QO150" s="672" t="e">
        <f>QM150*$F$70</f>
        <v>#DIV/0!</v>
      </c>
      <c r="QP150" s="600" t="e">
        <f t="shared" ref="QP150:QP153" si="1153">QM150*$F$75</f>
        <v>#DIV/0!</v>
      </c>
      <c r="QQ150" s="672" t="e">
        <f>QM150*$F$72</f>
        <v>#DIV/0!</v>
      </c>
      <c r="QR150" s="676" t="e">
        <f>QM150*$F$71</f>
        <v>#DIV/0!</v>
      </c>
      <c r="QS150" s="668"/>
      <c r="QT150" s="669"/>
      <c r="QU150" s="669"/>
      <c r="QV150" s="679"/>
      <c r="QW150" s="673">
        <v>100</v>
      </c>
      <c r="QX150" s="650"/>
      <c r="QY150" s="651">
        <f t="shared" ref="QY150:QY153" si="1154">IF(AND(ABS(QV150)&gt;=$F$42,ABS(QV150)&lt;=$G$42),QV150*$D$42,IF(AND(ABS(QV150)&gt;=$F$43,ABS(QV150)&lt;=$G$43),QV150*$D$43,IF(AND(ABS(QV150)&gt;=$F$44,ABS(QV150)&lt;=$G$44),QV150*$D$44,"rango cal. out")))</f>
        <v>0</v>
      </c>
      <c r="QZ150" s="619" t="e">
        <f>((273.2+QS150)*$F$32/((273.2+$F$31)*QU150))</f>
        <v>#DIV/0!</v>
      </c>
      <c r="RA150" s="674" t="e">
        <f>QY150/QW150*QZ150*EXP(-LN(2)/10990*($F$88-QX150))</f>
        <v>#DIV/0!</v>
      </c>
      <c r="RB150" s="599" t="e">
        <f>RA150-AVERAGE(RI94:RI95)</f>
        <v>#DIV/0!</v>
      </c>
      <c r="RC150" s="672" t="e">
        <f>ABS($B$33*RB150*3600)</f>
        <v>#DIV/0!</v>
      </c>
      <c r="RD150" s="675" t="e">
        <f>ABS($B$34*RB150*3600)</f>
        <v>#DIV/0!</v>
      </c>
      <c r="RE150" s="614" t="e">
        <f>RD150*$C$79</f>
        <v>#DIV/0!</v>
      </c>
      <c r="RF150" s="672" t="e">
        <f>RD150*$F$70</f>
        <v>#DIV/0!</v>
      </c>
      <c r="RG150" s="600" t="e">
        <f t="shared" ref="RG150:RG153" si="1155">RD150*$F$75</f>
        <v>#DIV/0!</v>
      </c>
      <c r="RH150" s="672" t="e">
        <f>RD150*$F$72</f>
        <v>#DIV/0!</v>
      </c>
      <c r="RI150" s="676" t="e">
        <f>RD150*$F$71</f>
        <v>#DIV/0!</v>
      </c>
      <c r="RJ150" s="668"/>
      <c r="RK150" s="669"/>
      <c r="RL150" s="670"/>
      <c r="RM150" s="671"/>
      <c r="RN150" s="678"/>
      <c r="RO150" s="650"/>
      <c r="RP150" s="651">
        <f t="shared" ref="RP150:RP153" si="1156">IF(AND(ABS(RM150)&gt;=$F$42,ABS(RM150)&lt;=$G$42),RM150*$D$42,IF(AND(ABS(RM150)&gt;=$F$43,ABS(RM150)&lt;=$G$43),RM150*$D$43,IF(AND(ABS(RM150)&gt;=$F$44,ABS(RM150)&lt;=$G$44),RM150*$D$44,"rango cal. out")))</f>
        <v>0</v>
      </c>
      <c r="RQ150" s="619" t="e">
        <f>((273.2+RJ150)*$F$32/((273.2+$F$31)*RL150))</f>
        <v>#DIV/0!</v>
      </c>
      <c r="RR150" s="674" t="e">
        <f>RP150/RN150*RQ150*EXP(-LN(2)/10990*($F$88-RO150))</f>
        <v>#DIV/0!</v>
      </c>
      <c r="RS150" s="599" t="e">
        <f>RR150-AVERAGE(RZ94:RZ95)</f>
        <v>#DIV/0!</v>
      </c>
      <c r="RT150" s="672" t="e">
        <f>ABS($B$33*RS150*3600)</f>
        <v>#DIV/0!</v>
      </c>
      <c r="RU150" s="675" t="e">
        <f>ABS($B$34*RS150*3600)</f>
        <v>#DIV/0!</v>
      </c>
      <c r="RV150" s="614" t="e">
        <f>RU150*$C$79</f>
        <v>#DIV/0!</v>
      </c>
      <c r="RW150" s="672" t="e">
        <f>RU150*$F$70</f>
        <v>#DIV/0!</v>
      </c>
      <c r="RX150" s="600" t="e">
        <f t="shared" ref="RX150:RX153" si="1157">RU150*$F$75</f>
        <v>#DIV/0!</v>
      </c>
      <c r="RY150" s="672" t="e">
        <f>RU150*$F$72</f>
        <v>#DIV/0!</v>
      </c>
      <c r="RZ150" s="676" t="e">
        <f>RU150*$F$71</f>
        <v>#DIV/0!</v>
      </c>
      <c r="SA150" s="668"/>
      <c r="SB150" s="669"/>
      <c r="SC150" s="670"/>
      <c r="SD150" s="671"/>
      <c r="SE150" s="678"/>
      <c r="SF150" s="650"/>
      <c r="SG150" s="651">
        <f t="shared" ref="SG150:SG153" si="1158">IF(AND(ABS(SD150)&gt;=$F$42,ABS(SD150)&lt;=$G$42),SD150*$D$42,IF(AND(ABS(SD150)&gt;=$F$43,ABS(SD150)&lt;=$G$43),SD150*$D$43,IF(AND(ABS(SD150)&gt;=$F$44,ABS(SD150)&lt;=$G$44),SD150*$D$44,"rango cal. out")))</f>
        <v>0</v>
      </c>
      <c r="SH150" s="619" t="e">
        <f>((273.2+SA150)*$F$32/((273.2+$F$31)*SC150))</f>
        <v>#DIV/0!</v>
      </c>
      <c r="SI150" s="674" t="e">
        <f>SG150/SE150*SH150*EXP(-LN(2)/10990*($F$88-SF150))</f>
        <v>#DIV/0!</v>
      </c>
      <c r="SJ150" s="599" t="e">
        <f>SI150-AVERAGE(SQ94:SQ95)</f>
        <v>#DIV/0!</v>
      </c>
      <c r="SK150" s="672" t="e">
        <f>ABS($B$33*SJ150*3600)</f>
        <v>#DIV/0!</v>
      </c>
      <c r="SL150" s="675" t="e">
        <f>ABS($B$34*SJ150*3600)</f>
        <v>#DIV/0!</v>
      </c>
      <c r="SM150" s="614" t="e">
        <f>SL150*$C$79</f>
        <v>#DIV/0!</v>
      </c>
      <c r="SN150" s="672" t="e">
        <f>SL150*$F$70</f>
        <v>#DIV/0!</v>
      </c>
      <c r="SO150" s="600" t="e">
        <f t="shared" ref="SO150:SO153" si="1159">SL150*$F$75</f>
        <v>#DIV/0!</v>
      </c>
      <c r="SP150" s="672" t="e">
        <f>SL150*$F$72</f>
        <v>#DIV/0!</v>
      </c>
      <c r="SQ150" s="676" t="e">
        <f>SL150*$F$71</f>
        <v>#DIV/0!</v>
      </c>
      <c r="SR150" s="668"/>
      <c r="SS150" s="669"/>
      <c r="ST150" s="670"/>
      <c r="SU150" s="671"/>
      <c r="SV150" s="678"/>
      <c r="SW150" s="650"/>
      <c r="SX150" s="651">
        <f t="shared" ref="SX150:SX153" si="1160">IF(AND(ABS(SU150)&gt;=$F$42,ABS(SU150)&lt;=$G$42),SU150*$D$42,IF(AND(ABS(SU150)&gt;=$F$43,ABS(SU150)&lt;=$G$43),SU150*$D$43,IF(AND(ABS(SU150)&gt;=$F$44,ABS(SU150)&lt;=$G$44),SU150*$D$44,"rango cal. out")))</f>
        <v>0</v>
      </c>
      <c r="SY150" s="619" t="e">
        <f>((273.2+SR150)*$F$32/((273.2+$F$31)*ST150))</f>
        <v>#DIV/0!</v>
      </c>
      <c r="SZ150" s="674" t="e">
        <f>SX150/SV150*SY150*EXP(-LN(2)/10990*($F$88-SW150))</f>
        <v>#DIV/0!</v>
      </c>
      <c r="TA150" s="599" t="e">
        <f>SZ150-AVERAGE(TH94:TH95)</f>
        <v>#DIV/0!</v>
      </c>
      <c r="TB150" s="672" t="e">
        <f>ABS($B$33*TA150*3600)</f>
        <v>#DIV/0!</v>
      </c>
      <c r="TC150" s="675" t="e">
        <f>ABS($B$34*TA150*3600)</f>
        <v>#DIV/0!</v>
      </c>
      <c r="TD150" s="614" t="e">
        <f>TC150*$C$79</f>
        <v>#DIV/0!</v>
      </c>
      <c r="TE150" s="672" t="e">
        <f>TC150*$F$70</f>
        <v>#DIV/0!</v>
      </c>
      <c r="TF150" s="600" t="e">
        <f t="shared" ref="TF150:TF153" si="1161">TC150*$F$75</f>
        <v>#DIV/0!</v>
      </c>
      <c r="TG150" s="672" t="e">
        <f>TC150*$F$72</f>
        <v>#DIV/0!</v>
      </c>
      <c r="TH150" s="676" t="e">
        <f>TC150*$F$71</f>
        <v>#DIV/0!</v>
      </c>
      <c r="TI150" s="668"/>
      <c r="TJ150" s="669"/>
      <c r="TK150" s="670"/>
      <c r="TL150" s="671"/>
      <c r="TM150" s="678"/>
      <c r="TN150" s="650"/>
      <c r="TO150" s="651">
        <f t="shared" ref="TO150:TO153" si="1162">IF(AND(ABS(TL150)&gt;=$F$42,ABS(TL150)&lt;=$G$42),TL150*$D$42,IF(AND(ABS(TL150)&gt;=$F$43,ABS(TL150)&lt;=$G$43),TL150*$D$43,IF(AND(ABS(TL150)&gt;=$F$44,ABS(TL150)&lt;=$G$44),TL150*$D$44,"rango cal. out")))</f>
        <v>0</v>
      </c>
      <c r="TP150" s="619" t="e">
        <f>((273.2+TI150)*$F$32/((273.2+$F$31)*TK150))</f>
        <v>#DIV/0!</v>
      </c>
      <c r="TQ150" s="674" t="e">
        <f>TO150/TM150*TP150*EXP(-LN(2)/10990*($F$88-TN150))</f>
        <v>#DIV/0!</v>
      </c>
      <c r="TR150" s="599" t="e">
        <f>TQ150-AVERAGE(TY94:TY95)</f>
        <v>#DIV/0!</v>
      </c>
      <c r="TS150" s="672" t="e">
        <f>ABS($B$33*TR150*3600)</f>
        <v>#DIV/0!</v>
      </c>
      <c r="TT150" s="675" t="e">
        <f>ABS($B$34*TR150*3600)</f>
        <v>#DIV/0!</v>
      </c>
      <c r="TU150" s="614" t="e">
        <f>TT150*$C$79</f>
        <v>#DIV/0!</v>
      </c>
      <c r="TV150" s="672" t="e">
        <f>TT150*$F$70</f>
        <v>#DIV/0!</v>
      </c>
      <c r="TW150" s="600" t="e">
        <f t="shared" ref="TW150:TW153" si="1163">TT150*$F$75</f>
        <v>#DIV/0!</v>
      </c>
      <c r="TX150" s="672" t="e">
        <f>TT150*$F$72</f>
        <v>#DIV/0!</v>
      </c>
      <c r="TY150" s="676" t="e">
        <f>TT150*$F$71</f>
        <v>#DIV/0!</v>
      </c>
    </row>
    <row r="151" spans="1:545" x14ac:dyDescent="0.25">
      <c r="A151" s="2219"/>
      <c r="B151" s="668"/>
      <c r="C151" s="673"/>
      <c r="D151" s="673"/>
      <c r="E151" s="671"/>
      <c r="F151" s="673"/>
      <c r="G151" s="650"/>
      <c r="H151" s="651"/>
      <c r="I151" s="619"/>
      <c r="J151" s="674"/>
      <c r="K151" s="599"/>
      <c r="L151" s="672"/>
      <c r="M151" s="675"/>
      <c r="N151" s="672"/>
      <c r="O151" s="672"/>
      <c r="P151" s="600"/>
      <c r="Q151" s="672"/>
      <c r="R151" s="676"/>
      <c r="S151" s="677"/>
      <c r="T151" s="669"/>
      <c r="U151" s="670"/>
      <c r="V151" s="671"/>
      <c r="W151" s="678"/>
      <c r="X151" s="650"/>
      <c r="Y151" s="651">
        <f t="shared" si="1102"/>
        <v>0</v>
      </c>
      <c r="Z151" s="619" t="e">
        <f>((273.2+S151)*$F$32/((273.2+$F$31)*U151))</f>
        <v>#DIV/0!</v>
      </c>
      <c r="AA151" s="674" t="e">
        <f>Y151/W151*Z151*EXP(-LN(2)/10990*($F$88-X151))</f>
        <v>#DIV/0!</v>
      </c>
      <c r="AB151" s="599" t="e">
        <f>AA151-AVERAGE(AI94:AI95)</f>
        <v>#DIV/0!</v>
      </c>
      <c r="AC151" s="672" t="e">
        <f>ABS($B$33*AB151*3600)</f>
        <v>#DIV/0!</v>
      </c>
      <c r="AD151" s="675" t="e">
        <f>ABS($B$34*AB151*3600)</f>
        <v>#DIV/0!</v>
      </c>
      <c r="AE151" s="672" t="e">
        <f>AD151*$C$79</f>
        <v>#DIV/0!</v>
      </c>
      <c r="AF151" s="672" t="e">
        <f>AD151*$F$70</f>
        <v>#DIV/0!</v>
      </c>
      <c r="AG151" s="600" t="e">
        <f t="shared" si="1103"/>
        <v>#DIV/0!</v>
      </c>
      <c r="AH151" s="672" t="e">
        <f>AD151*$F$72</f>
        <v>#DIV/0!</v>
      </c>
      <c r="AI151" s="676" t="e">
        <f>AD151*$F$71</f>
        <v>#DIV/0!</v>
      </c>
      <c r="AJ151" s="677"/>
      <c r="AK151" s="669"/>
      <c r="AL151" s="670"/>
      <c r="AM151" s="671"/>
      <c r="AN151" s="678"/>
      <c r="AO151" s="650"/>
      <c r="AP151" s="651">
        <f t="shared" si="1104"/>
        <v>0</v>
      </c>
      <c r="AQ151" s="619" t="e">
        <f>((273.2+AJ151)*$F$32/((273.2+$F$31)*AL151))</f>
        <v>#DIV/0!</v>
      </c>
      <c r="AR151" s="674" t="e">
        <f>AP151/AN151*AQ151*EXP(-LN(2)/10990*($F$88-AO151))</f>
        <v>#DIV/0!</v>
      </c>
      <c r="AS151" s="599" t="e">
        <f>AR151-AVERAGE(AZ94:AZ95)</f>
        <v>#DIV/0!</v>
      </c>
      <c r="AT151" s="672" t="e">
        <f>ABS($B$33*AS151*3600)</f>
        <v>#DIV/0!</v>
      </c>
      <c r="AU151" s="675" t="e">
        <f>ABS($B$34*AS151*3600)</f>
        <v>#DIV/0!</v>
      </c>
      <c r="AV151" s="672" t="e">
        <f>AU151*$C$79</f>
        <v>#DIV/0!</v>
      </c>
      <c r="AW151" s="672" t="e">
        <f>AU151*$F$70</f>
        <v>#DIV/0!</v>
      </c>
      <c r="AX151" s="600" t="e">
        <f t="shared" si="1105"/>
        <v>#DIV/0!</v>
      </c>
      <c r="AY151" s="672" t="e">
        <f>AU151*$F$72</f>
        <v>#DIV/0!</v>
      </c>
      <c r="AZ151" s="676" t="e">
        <f>AU151*$F$71</f>
        <v>#DIV/0!</v>
      </c>
      <c r="BA151" s="668"/>
      <c r="BB151" s="669"/>
      <c r="BC151" s="661"/>
      <c r="BD151" s="671"/>
      <c r="BE151" s="678"/>
      <c r="BF151" s="650"/>
      <c r="BG151" s="651">
        <f t="shared" si="1106"/>
        <v>0</v>
      </c>
      <c r="BH151" s="619" t="e">
        <f>((273.2+BA151)*$F$32/((273.2+$F$31)*BC151))</f>
        <v>#DIV/0!</v>
      </c>
      <c r="BI151" s="674" t="e">
        <f>BG151/BE151*BH151*EXP(-LN(2)/10990*($F$88-BF151))</f>
        <v>#DIV/0!</v>
      </c>
      <c r="BJ151" s="599" t="e">
        <f>BI151-AVERAGE(BQ94:BQ95)</f>
        <v>#DIV/0!</v>
      </c>
      <c r="BK151" s="672" t="e">
        <f>ABS($B$33*BJ151*3600)</f>
        <v>#DIV/0!</v>
      </c>
      <c r="BL151" s="675" t="e">
        <f>ABS($B$34*BJ151*3600)</f>
        <v>#DIV/0!</v>
      </c>
      <c r="BM151" s="672" t="e">
        <f>BL151*$C$79</f>
        <v>#DIV/0!</v>
      </c>
      <c r="BN151" s="672" t="e">
        <f>BL151*$F$70</f>
        <v>#DIV/0!</v>
      </c>
      <c r="BO151" s="600" t="e">
        <f t="shared" si="1107"/>
        <v>#DIV/0!</v>
      </c>
      <c r="BP151" s="672" t="e">
        <f>BL151*$F$72</f>
        <v>#DIV/0!</v>
      </c>
      <c r="BQ151" s="676" t="e">
        <f>BL151*$F$71</f>
        <v>#DIV/0!</v>
      </c>
      <c r="BR151" s="668"/>
      <c r="BS151" s="669"/>
      <c r="BT151" s="670"/>
      <c r="BU151" s="671"/>
      <c r="BV151" s="678"/>
      <c r="BW151" s="650"/>
      <c r="BX151" s="651">
        <f t="shared" si="1108"/>
        <v>0</v>
      </c>
      <c r="BY151" s="619" t="e">
        <f>((273.2+BR151)*$F$32/((273.2+$F$31)*BT151))</f>
        <v>#DIV/0!</v>
      </c>
      <c r="BZ151" s="674" t="e">
        <f>BX151/BV151*BY151*EXP(-LN(2)/10990*($F$88-BW151))</f>
        <v>#DIV/0!</v>
      </c>
      <c r="CA151" s="599" t="e">
        <f>BZ151-AVERAGE(CH94:CH95)</f>
        <v>#DIV/0!</v>
      </c>
      <c r="CB151" s="672" t="e">
        <f>ABS($B$33*CA151*3600)</f>
        <v>#DIV/0!</v>
      </c>
      <c r="CC151" s="675" t="e">
        <f>ABS($B$34*CA151*3600)</f>
        <v>#DIV/0!</v>
      </c>
      <c r="CD151" s="672" t="e">
        <f>CC151*$C$79</f>
        <v>#DIV/0!</v>
      </c>
      <c r="CE151" s="672" t="e">
        <f>CC151*$F$70</f>
        <v>#DIV/0!</v>
      </c>
      <c r="CF151" s="600" t="e">
        <f t="shared" si="1109"/>
        <v>#DIV/0!</v>
      </c>
      <c r="CG151" s="672" t="e">
        <f>CC151*$F$72</f>
        <v>#DIV/0!</v>
      </c>
      <c r="CH151" s="676" t="e">
        <f>CC151*$F$71</f>
        <v>#DIV/0!</v>
      </c>
      <c r="CI151" s="668"/>
      <c r="CJ151" s="669"/>
      <c r="CK151" s="670"/>
      <c r="CL151" s="671"/>
      <c r="CM151" s="678"/>
      <c r="CN151" s="650"/>
      <c r="CO151" s="651">
        <f t="shared" si="1110"/>
        <v>0</v>
      </c>
      <c r="CP151" s="619" t="e">
        <f>((273.2+CI151)*$F$32/((273.2+$F$31)*CK151))</f>
        <v>#DIV/0!</v>
      </c>
      <c r="CQ151" s="674" t="e">
        <f>CO151/CM151*CP151*EXP(-LN(2)/10990*($F$88-CN151))</f>
        <v>#DIV/0!</v>
      </c>
      <c r="CR151" s="599" t="e">
        <f>CQ151-AVERAGE(CY94:CY95)</f>
        <v>#DIV/0!</v>
      </c>
      <c r="CS151" s="672" t="e">
        <f>ABS($B$33*CR151*3600)</f>
        <v>#DIV/0!</v>
      </c>
      <c r="CT151" s="675" t="e">
        <f>ABS($B$34*CR151*3600)</f>
        <v>#DIV/0!</v>
      </c>
      <c r="CU151" s="672" t="e">
        <f>CT151*$C$79</f>
        <v>#DIV/0!</v>
      </c>
      <c r="CV151" s="672" t="e">
        <f>CT151*$F$70</f>
        <v>#DIV/0!</v>
      </c>
      <c r="CW151" s="600" t="e">
        <f t="shared" si="1111"/>
        <v>#DIV/0!</v>
      </c>
      <c r="CX151" s="672" t="e">
        <f>CT151*$F$72</f>
        <v>#DIV/0!</v>
      </c>
      <c r="CY151" s="676" t="e">
        <f>CT151*$F$71</f>
        <v>#DIV/0!</v>
      </c>
      <c r="CZ151" s="668"/>
      <c r="DA151" s="669"/>
      <c r="DB151" s="670"/>
      <c r="DC151" s="671"/>
      <c r="DD151" s="678"/>
      <c r="DE151" s="650"/>
      <c r="DF151" s="651">
        <f t="shared" si="1112"/>
        <v>0</v>
      </c>
      <c r="DG151" s="619" t="e">
        <f>((273.2+CZ151)*$F$32/((273.2+$F$31)*DB151))</f>
        <v>#DIV/0!</v>
      </c>
      <c r="DH151" s="674" t="e">
        <f>DF151/DD151*DG151*EXP(-LN(2)/10990*($F$88-DE151))</f>
        <v>#DIV/0!</v>
      </c>
      <c r="DI151" s="599" t="e">
        <f>DH151-AVERAGE(DP94:DP95)</f>
        <v>#DIV/0!</v>
      </c>
      <c r="DJ151" s="672" t="e">
        <f>ABS($B$33*DI151*3600)</f>
        <v>#DIV/0!</v>
      </c>
      <c r="DK151" s="675" t="e">
        <f>ABS($B$34*DI151*3600)</f>
        <v>#DIV/0!</v>
      </c>
      <c r="DL151" s="672" t="e">
        <f>DK151*$C$79</f>
        <v>#DIV/0!</v>
      </c>
      <c r="DM151" s="672" t="e">
        <f>DK151*$F$70</f>
        <v>#DIV/0!</v>
      </c>
      <c r="DN151" s="600" t="e">
        <f t="shared" si="1113"/>
        <v>#DIV/0!</v>
      </c>
      <c r="DO151" s="672" t="e">
        <f>DK151*$F$72</f>
        <v>#DIV/0!</v>
      </c>
      <c r="DP151" s="676" t="e">
        <f>DK151*$F$71</f>
        <v>#DIV/0!</v>
      </c>
      <c r="DQ151" s="668"/>
      <c r="DR151" s="669"/>
      <c r="DS151" s="677"/>
      <c r="DT151" s="679"/>
      <c r="DU151" s="678"/>
      <c r="DV151" s="650"/>
      <c r="DW151" s="651">
        <f t="shared" si="1114"/>
        <v>0</v>
      </c>
      <c r="DX151" s="619" t="e">
        <f>((273.2+DQ151)*$F$32/((273.2+$F$31)*DS151))</f>
        <v>#DIV/0!</v>
      </c>
      <c r="DY151" s="674" t="e">
        <f>DW151/DU151*DX151*EXP(-LN(2)/10990*($F$88-DV151))</f>
        <v>#DIV/0!</v>
      </c>
      <c r="DZ151" s="599" t="e">
        <f>DY151-AVERAGE(EG94:EG95)</f>
        <v>#DIV/0!</v>
      </c>
      <c r="EA151" s="672" t="e">
        <f>ABS($B$33*DZ151*3600)</f>
        <v>#DIV/0!</v>
      </c>
      <c r="EB151" s="675" t="e">
        <f>ABS($B$34*DZ151*3600)</f>
        <v>#DIV/0!</v>
      </c>
      <c r="EC151" s="672" t="e">
        <f>EB151*$C$79</f>
        <v>#DIV/0!</v>
      </c>
      <c r="ED151" s="672" t="e">
        <f>EB151*$F$70</f>
        <v>#DIV/0!</v>
      </c>
      <c r="EE151" s="600" t="e">
        <f t="shared" si="1115"/>
        <v>#DIV/0!</v>
      </c>
      <c r="EF151" s="672" t="e">
        <f>EB151*$F$72</f>
        <v>#DIV/0!</v>
      </c>
      <c r="EG151" s="676" t="e">
        <f>EB151*$F$71</f>
        <v>#DIV/0!</v>
      </c>
      <c r="EH151" s="668"/>
      <c r="EI151" s="669"/>
      <c r="EJ151" s="670"/>
      <c r="EK151" s="671"/>
      <c r="EL151" s="678"/>
      <c r="EM151" s="650"/>
      <c r="EN151" s="651">
        <f t="shared" si="1116"/>
        <v>0</v>
      </c>
      <c r="EO151" s="619" t="e">
        <f>((273.2+EH151)*$F$32/((273.2+$F$31)*EJ151))</f>
        <v>#DIV/0!</v>
      </c>
      <c r="EP151" s="674" t="e">
        <f>EN151/EL151*EO151*EXP(-LN(2)/10990*($F$88-EM151))</f>
        <v>#DIV/0!</v>
      </c>
      <c r="EQ151" s="599" t="e">
        <f>EP151-AVERAGE(EX94:EX95)</f>
        <v>#DIV/0!</v>
      </c>
      <c r="ER151" s="672" t="e">
        <f>ABS($B$33*EQ151*3600)</f>
        <v>#DIV/0!</v>
      </c>
      <c r="ES151" s="675" t="e">
        <f>ABS($B$34*EQ151*3600)</f>
        <v>#DIV/0!</v>
      </c>
      <c r="ET151" s="672" t="e">
        <f>ES151*$C$79</f>
        <v>#DIV/0!</v>
      </c>
      <c r="EU151" s="672" t="e">
        <f>ES151*$F$70</f>
        <v>#DIV/0!</v>
      </c>
      <c r="EV151" s="600" t="e">
        <f t="shared" si="1117"/>
        <v>#DIV/0!</v>
      </c>
      <c r="EW151" s="672" t="e">
        <f>ES151*$F$72</f>
        <v>#DIV/0!</v>
      </c>
      <c r="EX151" s="676" t="e">
        <f>ES151*$F$71</f>
        <v>#DIV/0!</v>
      </c>
      <c r="EY151" s="668"/>
      <c r="EZ151" s="669"/>
      <c r="FA151" s="670"/>
      <c r="FB151" s="671"/>
      <c r="FC151" s="678"/>
      <c r="FD151" s="650"/>
      <c r="FE151" s="651">
        <f t="shared" si="1118"/>
        <v>0</v>
      </c>
      <c r="FF151" s="619" t="e">
        <f>((273.2+EY151)*$F$32/((273.2+$F$31)*FA151))</f>
        <v>#DIV/0!</v>
      </c>
      <c r="FG151" s="674" t="e">
        <f>FE151/FC151*FF151*EXP(-LN(2)/10990*($F$88-FD151))</f>
        <v>#DIV/0!</v>
      </c>
      <c r="FH151" s="599" t="e">
        <f>FG151-AVERAGE(FO94:FO95)</f>
        <v>#DIV/0!</v>
      </c>
      <c r="FI151" s="672" t="e">
        <f>ABS($B$33*FH151*3600)</f>
        <v>#DIV/0!</v>
      </c>
      <c r="FJ151" s="675" t="e">
        <f>ABS($B$34*FH151*3600)</f>
        <v>#DIV/0!</v>
      </c>
      <c r="FK151" s="672" t="e">
        <f>FJ151*$C$79</f>
        <v>#DIV/0!</v>
      </c>
      <c r="FL151" s="672" t="e">
        <f>FJ151*$F$70</f>
        <v>#DIV/0!</v>
      </c>
      <c r="FM151" s="600" t="e">
        <f t="shared" si="1119"/>
        <v>#DIV/0!</v>
      </c>
      <c r="FN151" s="672" t="e">
        <f>FJ151*$F$72</f>
        <v>#DIV/0!</v>
      </c>
      <c r="FO151" s="676" t="e">
        <f>FJ151*$F$71</f>
        <v>#DIV/0!</v>
      </c>
      <c r="FP151" s="668"/>
      <c r="FQ151" s="669"/>
      <c r="FR151" s="670"/>
      <c r="FS151" s="671"/>
      <c r="FT151" s="678"/>
      <c r="FU151" s="650"/>
      <c r="FV151" s="651">
        <f t="shared" si="1120"/>
        <v>0</v>
      </c>
      <c r="FW151" s="619" t="e">
        <f>((273.2+FP151)*$F$32/((273.2+$F$31)*FR151))</f>
        <v>#DIV/0!</v>
      </c>
      <c r="FX151" s="674" t="e">
        <f>FV151/FT151*FW151*EXP(-LN(2)/10990*($F$88-FU151))</f>
        <v>#DIV/0!</v>
      </c>
      <c r="FY151" s="599" t="e">
        <f>FX151-AVERAGE(GF94:GF95)</f>
        <v>#DIV/0!</v>
      </c>
      <c r="FZ151" s="672" t="e">
        <f>ABS($B$33*FY151*3600)</f>
        <v>#DIV/0!</v>
      </c>
      <c r="GA151" s="675" t="e">
        <f>ABS($B$34*FY151*3600)</f>
        <v>#DIV/0!</v>
      </c>
      <c r="GB151" s="672" t="e">
        <f>GA151*$C$79</f>
        <v>#DIV/0!</v>
      </c>
      <c r="GC151" s="672" t="e">
        <f>GA151*$F$70</f>
        <v>#DIV/0!</v>
      </c>
      <c r="GD151" s="600" t="e">
        <f t="shared" si="1121"/>
        <v>#DIV/0!</v>
      </c>
      <c r="GE151" s="672" t="e">
        <f>GA151*$F$72</f>
        <v>#DIV/0!</v>
      </c>
      <c r="GF151" s="676" t="e">
        <f>GA151*$F$71</f>
        <v>#DIV/0!</v>
      </c>
      <c r="GG151" s="668"/>
      <c r="GH151" s="669"/>
      <c r="GI151" s="677"/>
      <c r="GJ151" s="679"/>
      <c r="GK151" s="678"/>
      <c r="GL151" s="650"/>
      <c r="GM151" s="651">
        <f t="shared" si="1122"/>
        <v>0</v>
      </c>
      <c r="GN151" s="619" t="e">
        <f>((273.2+GG151)*$F$32/((273.2+$F$31)*GI151))</f>
        <v>#DIV/0!</v>
      </c>
      <c r="GO151" s="674" t="e">
        <f>GM151/GK151*GN151*EXP(-LN(2)/10990*($F$88-GL151))</f>
        <v>#DIV/0!</v>
      </c>
      <c r="GP151" s="599" t="e">
        <f>GO151-AVERAGE(GW94:GW95)</f>
        <v>#DIV/0!</v>
      </c>
      <c r="GQ151" s="672" t="e">
        <f>ABS($B$33*GP151*3600)</f>
        <v>#DIV/0!</v>
      </c>
      <c r="GR151" s="675" t="e">
        <f>ABS($B$34*GP151*3600)</f>
        <v>#DIV/0!</v>
      </c>
      <c r="GS151" s="672" t="e">
        <f>GR151*$C$79</f>
        <v>#DIV/0!</v>
      </c>
      <c r="GT151" s="672" t="e">
        <f>GR151*$F$70</f>
        <v>#DIV/0!</v>
      </c>
      <c r="GU151" s="600" t="e">
        <f t="shared" si="1123"/>
        <v>#DIV/0!</v>
      </c>
      <c r="GV151" s="672" t="e">
        <f>GR151*$F$72</f>
        <v>#DIV/0!</v>
      </c>
      <c r="GW151" s="676" t="e">
        <f>GR151*$F$71</f>
        <v>#DIV/0!</v>
      </c>
      <c r="GX151" s="668"/>
      <c r="GY151" s="669"/>
      <c r="GZ151" s="670"/>
      <c r="HA151" s="671"/>
      <c r="HB151" s="678"/>
      <c r="HC151" s="650"/>
      <c r="HD151" s="651">
        <f t="shared" si="1124"/>
        <v>0</v>
      </c>
      <c r="HE151" s="619" t="e">
        <f>((273.2+GX151)*$F$32/((273.2+$F$31)*GZ151))</f>
        <v>#DIV/0!</v>
      </c>
      <c r="HF151" s="674" t="e">
        <f>HD151/HB151*HE151*EXP(-LN(2)/10990*($F$88-HC151))</f>
        <v>#DIV/0!</v>
      </c>
      <c r="HG151" s="599" t="e">
        <f>HF151-AVERAGE(HN94:HN95)</f>
        <v>#DIV/0!</v>
      </c>
      <c r="HH151" s="672" t="e">
        <f>ABS($B$33*HG151*3600)</f>
        <v>#DIV/0!</v>
      </c>
      <c r="HI151" s="675" t="e">
        <f>ABS($B$34*HG151*3600)</f>
        <v>#DIV/0!</v>
      </c>
      <c r="HJ151" s="672" t="e">
        <f>HI151*$C$79</f>
        <v>#DIV/0!</v>
      </c>
      <c r="HK151" s="672" t="e">
        <f>HI151*$F$70</f>
        <v>#DIV/0!</v>
      </c>
      <c r="HL151" s="600" t="e">
        <f t="shared" si="1125"/>
        <v>#DIV/0!</v>
      </c>
      <c r="HM151" s="672" t="e">
        <f>HI151*$F$72</f>
        <v>#DIV/0!</v>
      </c>
      <c r="HN151" s="676" t="e">
        <f>HI151*$F$71</f>
        <v>#DIV/0!</v>
      </c>
      <c r="HO151" s="668"/>
      <c r="HP151" s="669"/>
      <c r="HQ151" s="670"/>
      <c r="HR151" s="671"/>
      <c r="HS151" s="678"/>
      <c r="HT151" s="650"/>
      <c r="HU151" s="651">
        <f t="shared" si="1126"/>
        <v>0</v>
      </c>
      <c r="HV151" s="619" t="e">
        <f>((273.2+HO151)*$F$32/((273.2+$F$31)*HQ151))</f>
        <v>#DIV/0!</v>
      </c>
      <c r="HW151" s="674" t="e">
        <f>HU151/HS151*HV151*EXP(-LN(2)/10990*($F$88-HT151))</f>
        <v>#DIV/0!</v>
      </c>
      <c r="HX151" s="599" t="e">
        <f>HW151-AVERAGE(IE94:IE95)</f>
        <v>#DIV/0!</v>
      </c>
      <c r="HY151" s="672" t="e">
        <f>ABS($B$33*HX151*3600)</f>
        <v>#DIV/0!</v>
      </c>
      <c r="HZ151" s="675" t="e">
        <f>ABS($B$34*HX151*3600)</f>
        <v>#DIV/0!</v>
      </c>
      <c r="IA151" s="672" t="e">
        <f>HZ151*$C$79</f>
        <v>#DIV/0!</v>
      </c>
      <c r="IB151" s="672" t="e">
        <f>HZ151*$F$70</f>
        <v>#DIV/0!</v>
      </c>
      <c r="IC151" s="600" t="e">
        <f t="shared" si="1127"/>
        <v>#DIV/0!</v>
      </c>
      <c r="ID151" s="672" t="e">
        <f>HZ151*$F$72</f>
        <v>#DIV/0!</v>
      </c>
      <c r="IE151" s="676" t="e">
        <f>HZ151*$F$71</f>
        <v>#DIV/0!</v>
      </c>
      <c r="IF151" s="668"/>
      <c r="IG151" s="669"/>
      <c r="IH151" s="670"/>
      <c r="II151" s="671"/>
      <c r="IJ151" s="678"/>
      <c r="IK151" s="650"/>
      <c r="IL151" s="651">
        <f t="shared" si="1128"/>
        <v>0</v>
      </c>
      <c r="IM151" s="619" t="e">
        <f>((273.2+IF151)*$F$32/((273.2+$F$31)*IH151))</f>
        <v>#DIV/0!</v>
      </c>
      <c r="IN151" s="674" t="e">
        <f>IL151/IJ151*IM151*EXP(-LN(2)/10990*($F$88-IK151))</f>
        <v>#DIV/0!</v>
      </c>
      <c r="IO151" s="599" t="e">
        <f>IN151-AVERAGE(IV94:IV95)</f>
        <v>#DIV/0!</v>
      </c>
      <c r="IP151" s="672" t="e">
        <f>ABS($B$33*IO151*3600)</f>
        <v>#DIV/0!</v>
      </c>
      <c r="IQ151" s="675" t="e">
        <f>ABS($B$34*IO151*3600)</f>
        <v>#DIV/0!</v>
      </c>
      <c r="IR151" s="672" t="e">
        <f>IQ151*$C$79</f>
        <v>#DIV/0!</v>
      </c>
      <c r="IS151" s="672" t="e">
        <f>IQ151*$F$70</f>
        <v>#DIV/0!</v>
      </c>
      <c r="IT151" s="600" t="e">
        <f t="shared" si="1129"/>
        <v>#DIV/0!</v>
      </c>
      <c r="IU151" s="672" t="e">
        <f>IQ151*$F$72</f>
        <v>#DIV/0!</v>
      </c>
      <c r="IV151" s="676" t="e">
        <f>IQ151*$F$71</f>
        <v>#DIV/0!</v>
      </c>
      <c r="IW151" s="668"/>
      <c r="IX151" s="669"/>
      <c r="IY151" s="670"/>
      <c r="IZ151" s="671"/>
      <c r="JA151" s="678"/>
      <c r="JB151" s="650"/>
      <c r="JC151" s="651">
        <f t="shared" si="1130"/>
        <v>0</v>
      </c>
      <c r="JD151" s="619" t="e">
        <f>((273.2+IW151)*$F$32/((273.2+$F$31)*IY151))</f>
        <v>#DIV/0!</v>
      </c>
      <c r="JE151" s="674" t="e">
        <f>JC151/JA151*JD151*EXP(-LN(2)/10990*($F$88-JB151))</f>
        <v>#DIV/0!</v>
      </c>
      <c r="JF151" s="599" t="e">
        <f>JE151-AVERAGE(JM94:JM95)</f>
        <v>#DIV/0!</v>
      </c>
      <c r="JG151" s="672" t="e">
        <f>ABS($B$33*JF151*3600)</f>
        <v>#DIV/0!</v>
      </c>
      <c r="JH151" s="675" t="e">
        <f>ABS($B$34*JF151*3600)</f>
        <v>#DIV/0!</v>
      </c>
      <c r="JI151" s="672" t="e">
        <f>JH151*$C$79</f>
        <v>#DIV/0!</v>
      </c>
      <c r="JJ151" s="672" t="e">
        <f>JH151*$F$70</f>
        <v>#DIV/0!</v>
      </c>
      <c r="JK151" s="600" t="e">
        <f t="shared" si="1131"/>
        <v>#DIV/0!</v>
      </c>
      <c r="JL151" s="672" t="e">
        <f>JH151*$F$72</f>
        <v>#DIV/0!</v>
      </c>
      <c r="JM151" s="676" t="e">
        <f>JH151*$F$71</f>
        <v>#DIV/0!</v>
      </c>
      <c r="JN151" s="668"/>
      <c r="JO151" s="669"/>
      <c r="JP151" s="670"/>
      <c r="JQ151" s="671"/>
      <c r="JR151" s="678"/>
      <c r="JS151" s="650"/>
      <c r="JT151" s="651">
        <f t="shared" si="1132"/>
        <v>0</v>
      </c>
      <c r="JU151" s="619" t="e">
        <f>((273.2+JN151)*$F$32/((273.2+$F$31)*JP151))</f>
        <v>#DIV/0!</v>
      </c>
      <c r="JV151" s="674" t="e">
        <f>JT151/JR151*JU151*EXP(-LN(2)/10990*($F$88-JS151))</f>
        <v>#DIV/0!</v>
      </c>
      <c r="JW151" s="599" t="e">
        <f>JV151-AVERAGE(KD94:KD95)</f>
        <v>#DIV/0!</v>
      </c>
      <c r="JX151" s="672" t="e">
        <f>ABS($B$33*JW151*3600)</f>
        <v>#DIV/0!</v>
      </c>
      <c r="JY151" s="675" t="e">
        <f>ABS($B$34*JW151*3600)</f>
        <v>#DIV/0!</v>
      </c>
      <c r="JZ151" s="672" t="e">
        <f>JY151*$C$79</f>
        <v>#DIV/0!</v>
      </c>
      <c r="KA151" s="672" t="e">
        <f>JY151*$F$70</f>
        <v>#DIV/0!</v>
      </c>
      <c r="KB151" s="600" t="e">
        <f t="shared" si="1133"/>
        <v>#DIV/0!</v>
      </c>
      <c r="KC151" s="672" t="e">
        <f>JY151*$F$72</f>
        <v>#DIV/0!</v>
      </c>
      <c r="KD151" s="676" t="e">
        <f>JY151*$F$71</f>
        <v>#DIV/0!</v>
      </c>
      <c r="KE151" s="668"/>
      <c r="KF151" s="669"/>
      <c r="KG151" s="670"/>
      <c r="KH151" s="671"/>
      <c r="KI151" s="678"/>
      <c r="KJ151" s="650"/>
      <c r="KK151" s="651">
        <f t="shared" si="1134"/>
        <v>0</v>
      </c>
      <c r="KL151" s="619" t="e">
        <f>((273.2+KE151)*$F$32/((273.2+$F$31)*KG151))</f>
        <v>#DIV/0!</v>
      </c>
      <c r="KM151" s="674" t="e">
        <f>KK151/KI151*KL151*EXP(-LN(2)/10990*($F$88-KJ151))</f>
        <v>#DIV/0!</v>
      </c>
      <c r="KN151" s="599" t="e">
        <f>KM151-AVERAGE(KU94:KU95)</f>
        <v>#DIV/0!</v>
      </c>
      <c r="KO151" s="672" t="e">
        <f>ABS($B$33*KN151*3600)</f>
        <v>#DIV/0!</v>
      </c>
      <c r="KP151" s="675" t="e">
        <f>ABS($B$34*KN151*3600)</f>
        <v>#DIV/0!</v>
      </c>
      <c r="KQ151" s="672" t="e">
        <f>KP151*$C$79</f>
        <v>#DIV/0!</v>
      </c>
      <c r="KR151" s="672" t="e">
        <f>KP151*$F$70</f>
        <v>#DIV/0!</v>
      </c>
      <c r="KS151" s="600" t="e">
        <f t="shared" si="1135"/>
        <v>#DIV/0!</v>
      </c>
      <c r="KT151" s="672" t="e">
        <f>KP151*$F$72</f>
        <v>#DIV/0!</v>
      </c>
      <c r="KU151" s="676" t="e">
        <f>KP151*$F$71</f>
        <v>#DIV/0!</v>
      </c>
      <c r="KV151" s="668"/>
      <c r="KW151" s="669"/>
      <c r="KX151" s="670"/>
      <c r="KY151" s="671"/>
      <c r="KZ151" s="678"/>
      <c r="LA151" s="650"/>
      <c r="LB151" s="651">
        <f t="shared" si="1136"/>
        <v>0</v>
      </c>
      <c r="LC151" s="619" t="e">
        <f>((273.2+KV151)*$F$32/((273.2+$F$31)*KX151))</f>
        <v>#DIV/0!</v>
      </c>
      <c r="LD151" s="674" t="e">
        <f>LB151/KZ151*LC151*EXP(-LN(2)/10990*($F$88-LA151))</f>
        <v>#DIV/0!</v>
      </c>
      <c r="LE151" s="599" t="e">
        <f>LD151-AVERAGE(LL94:LL95)</f>
        <v>#DIV/0!</v>
      </c>
      <c r="LF151" s="672" t="e">
        <f>ABS($B$33*LE151*3600)</f>
        <v>#DIV/0!</v>
      </c>
      <c r="LG151" s="675" t="e">
        <f>ABS($B$34*LE151*3600)</f>
        <v>#DIV/0!</v>
      </c>
      <c r="LH151" s="672" t="e">
        <f>LG151*$C$79</f>
        <v>#DIV/0!</v>
      </c>
      <c r="LI151" s="672" t="e">
        <f>LG151*$F$70</f>
        <v>#DIV/0!</v>
      </c>
      <c r="LJ151" s="600" t="e">
        <f t="shared" si="1137"/>
        <v>#DIV/0!</v>
      </c>
      <c r="LK151" s="672" t="e">
        <f>LG151*$F$72</f>
        <v>#DIV/0!</v>
      </c>
      <c r="LL151" s="676" t="e">
        <f>LG151*$F$71</f>
        <v>#DIV/0!</v>
      </c>
      <c r="LM151" s="668"/>
      <c r="LN151" s="669"/>
      <c r="LO151" s="670"/>
      <c r="LP151" s="671"/>
      <c r="LQ151" s="678"/>
      <c r="LR151" s="650"/>
      <c r="LS151" s="651">
        <f t="shared" si="1138"/>
        <v>0</v>
      </c>
      <c r="LT151" s="619" t="e">
        <f>((273.2+LM151)*$F$32/((273.2+$F$31)*LO151))</f>
        <v>#DIV/0!</v>
      </c>
      <c r="LU151" s="674" t="e">
        <f>LS151/LQ151*LT151*EXP(-LN(2)/10990*($F$88-LR151))</f>
        <v>#DIV/0!</v>
      </c>
      <c r="LV151" s="599" t="e">
        <f>LU151-AVERAGE(MC94:MC95)</f>
        <v>#DIV/0!</v>
      </c>
      <c r="LW151" s="672" t="e">
        <f>ABS($B$33*LV151*3600)</f>
        <v>#DIV/0!</v>
      </c>
      <c r="LX151" s="675" t="e">
        <f>ABS($B$34*LV151*3600)</f>
        <v>#DIV/0!</v>
      </c>
      <c r="LY151" s="672" t="e">
        <f>LX151*$C$79</f>
        <v>#DIV/0!</v>
      </c>
      <c r="LZ151" s="672" t="e">
        <f>LX151*$F$70</f>
        <v>#DIV/0!</v>
      </c>
      <c r="MA151" s="600" t="e">
        <f t="shared" si="1139"/>
        <v>#DIV/0!</v>
      </c>
      <c r="MB151" s="672" t="e">
        <f>LX151*$F$72</f>
        <v>#DIV/0!</v>
      </c>
      <c r="MC151" s="676" t="e">
        <f>LX151*$F$71</f>
        <v>#DIV/0!</v>
      </c>
      <c r="MD151" s="668"/>
      <c r="ME151" s="669"/>
      <c r="MF151" s="670"/>
      <c r="MG151" s="671"/>
      <c r="MH151" s="678"/>
      <c r="MI151" s="650"/>
      <c r="MJ151" s="651">
        <f t="shared" si="1140"/>
        <v>0</v>
      </c>
      <c r="MK151" s="619" t="e">
        <f>((273.2+MD151)*$F$32/((273.2+$F$31)*MF151))</f>
        <v>#DIV/0!</v>
      </c>
      <c r="ML151" s="674" t="e">
        <f>MJ151/MH151*MK151*EXP(-LN(2)/10990*($F$88-MI151))</f>
        <v>#DIV/0!</v>
      </c>
      <c r="MM151" s="599" t="e">
        <f>ML151-AVERAGE(MT94:MT95)</f>
        <v>#DIV/0!</v>
      </c>
      <c r="MN151" s="672" t="e">
        <f>ABS($B$33*MM151*3600)</f>
        <v>#DIV/0!</v>
      </c>
      <c r="MO151" s="675" t="e">
        <f>ABS($B$34*MM151*3600)</f>
        <v>#DIV/0!</v>
      </c>
      <c r="MP151" s="672" t="e">
        <f>MO151*$C$79</f>
        <v>#DIV/0!</v>
      </c>
      <c r="MQ151" s="672" t="e">
        <f>MO151*$F$70</f>
        <v>#DIV/0!</v>
      </c>
      <c r="MR151" s="600" t="e">
        <f t="shared" si="1141"/>
        <v>#DIV/0!</v>
      </c>
      <c r="MS151" s="672" t="e">
        <f>MO151*$F$72</f>
        <v>#DIV/0!</v>
      </c>
      <c r="MT151" s="676" t="e">
        <f>MO151*$F$71</f>
        <v>#DIV/0!</v>
      </c>
      <c r="MU151" s="668"/>
      <c r="MV151" s="669"/>
      <c r="MW151" s="670"/>
      <c r="MX151" s="671"/>
      <c r="MY151" s="678"/>
      <c r="MZ151" s="650"/>
      <c r="NA151" s="651">
        <f t="shared" si="1142"/>
        <v>0</v>
      </c>
      <c r="NB151" s="619" t="e">
        <f>((273.2+MU151)*$F$32/((273.2+$F$31)*MW151))</f>
        <v>#DIV/0!</v>
      </c>
      <c r="NC151" s="674" t="e">
        <f>NA151/MY151*NB151*EXP(-LN(2)/10990*($F$88-MZ151))</f>
        <v>#DIV/0!</v>
      </c>
      <c r="ND151" s="599" t="e">
        <f>NC151-AVERAGE(NK94:NK95)</f>
        <v>#DIV/0!</v>
      </c>
      <c r="NE151" s="672" t="e">
        <f>ABS($B$33*ND151*3600)</f>
        <v>#DIV/0!</v>
      </c>
      <c r="NF151" s="675" t="e">
        <f>ABS($B$34*ND151*3600)</f>
        <v>#DIV/0!</v>
      </c>
      <c r="NG151" s="672" t="e">
        <f>NF151*$C$79</f>
        <v>#DIV/0!</v>
      </c>
      <c r="NH151" s="672" t="e">
        <f>NF151*$F$70</f>
        <v>#DIV/0!</v>
      </c>
      <c r="NI151" s="600" t="e">
        <f t="shared" si="1143"/>
        <v>#DIV/0!</v>
      </c>
      <c r="NJ151" s="672" t="e">
        <f>NF151*$F$72</f>
        <v>#DIV/0!</v>
      </c>
      <c r="NK151" s="676" t="e">
        <f>NF151*$F$71</f>
        <v>#DIV/0!</v>
      </c>
      <c r="NL151" s="668"/>
      <c r="NM151" s="669"/>
      <c r="NN151" s="670"/>
      <c r="NO151" s="671"/>
      <c r="NP151" s="678"/>
      <c r="NQ151" s="650"/>
      <c r="NR151" s="651">
        <f t="shared" si="1144"/>
        <v>0</v>
      </c>
      <c r="NS151" s="619" t="e">
        <f>((273.2+NL151)*$F$32/((273.2+$F$31)*NN151))</f>
        <v>#DIV/0!</v>
      </c>
      <c r="NT151" s="674" t="e">
        <f>NR151/NP151*NS151*EXP(-LN(2)/10990*($F$88-NQ151))</f>
        <v>#DIV/0!</v>
      </c>
      <c r="NU151" s="599" t="e">
        <f>NT151-AVERAGE(OB94:OB95)</f>
        <v>#DIV/0!</v>
      </c>
      <c r="NV151" s="672" t="e">
        <f>ABS($B$33*NU151*3600)</f>
        <v>#DIV/0!</v>
      </c>
      <c r="NW151" s="675" t="e">
        <f>ABS($B$34*NU151*3600)</f>
        <v>#DIV/0!</v>
      </c>
      <c r="NX151" s="672" t="e">
        <f>NW151*$C$79</f>
        <v>#DIV/0!</v>
      </c>
      <c r="NY151" s="672" t="e">
        <f>NW151*$F$70</f>
        <v>#DIV/0!</v>
      </c>
      <c r="NZ151" s="600" t="e">
        <f t="shared" si="1145"/>
        <v>#DIV/0!</v>
      </c>
      <c r="OA151" s="672" t="e">
        <f>NW151*$F$72</f>
        <v>#DIV/0!</v>
      </c>
      <c r="OB151" s="676" t="e">
        <f>NW151*$F$71</f>
        <v>#DIV/0!</v>
      </c>
      <c r="OC151" s="668"/>
      <c r="OD151" s="669"/>
      <c r="OE151" s="670"/>
      <c r="OF151" s="671"/>
      <c r="OG151" s="678"/>
      <c r="OH151" s="650"/>
      <c r="OI151" s="651">
        <f t="shared" si="1146"/>
        <v>0</v>
      </c>
      <c r="OJ151" s="619" t="e">
        <f>((273.2+OC151)*$F$32/((273.2+$F$31)*OE151))</f>
        <v>#DIV/0!</v>
      </c>
      <c r="OK151" s="674" t="e">
        <f>OI151/OG151*OJ151*EXP(-LN(2)/10990*($F$88-OH151))</f>
        <v>#DIV/0!</v>
      </c>
      <c r="OL151" s="599" t="e">
        <f>OK151-AVERAGE(OS94:OS95)</f>
        <v>#DIV/0!</v>
      </c>
      <c r="OM151" s="672" t="e">
        <f>ABS($B$33*OL151*3600)</f>
        <v>#DIV/0!</v>
      </c>
      <c r="ON151" s="675" t="e">
        <f>ABS($B$34*OL151*3600)</f>
        <v>#DIV/0!</v>
      </c>
      <c r="OO151" s="672" t="e">
        <f>ON151*$C$79</f>
        <v>#DIV/0!</v>
      </c>
      <c r="OP151" s="672" t="e">
        <f>ON151*$F$70</f>
        <v>#DIV/0!</v>
      </c>
      <c r="OQ151" s="600" t="e">
        <f t="shared" si="1147"/>
        <v>#DIV/0!</v>
      </c>
      <c r="OR151" s="672" t="e">
        <f>ON151*$F$72</f>
        <v>#DIV/0!</v>
      </c>
      <c r="OS151" s="676" t="e">
        <f>ON151*$F$71</f>
        <v>#DIV/0!</v>
      </c>
      <c r="OT151" s="668"/>
      <c r="OU151" s="669"/>
      <c r="OV151" s="670"/>
      <c r="OW151" s="671"/>
      <c r="OX151" s="678"/>
      <c r="OY151" s="650"/>
      <c r="OZ151" s="651">
        <f t="shared" si="1148"/>
        <v>0</v>
      </c>
      <c r="PA151" s="619" t="e">
        <f>((273.2+OT151)*$F$32/((273.2+$F$31)*OV151))</f>
        <v>#DIV/0!</v>
      </c>
      <c r="PB151" s="674" t="e">
        <f>OZ151/OX151*PA151*EXP(-LN(2)/10990*($F$88-OY151))</f>
        <v>#DIV/0!</v>
      </c>
      <c r="PC151" s="599" t="e">
        <f>PB151-AVERAGE(PJ94:PJ95)</f>
        <v>#DIV/0!</v>
      </c>
      <c r="PD151" s="672" t="e">
        <f>ABS($B$33*PC151*3600)</f>
        <v>#DIV/0!</v>
      </c>
      <c r="PE151" s="675" t="e">
        <f>ABS($B$34*PC151*3600)</f>
        <v>#DIV/0!</v>
      </c>
      <c r="PF151" s="672" t="e">
        <f>PE151*$C$79</f>
        <v>#DIV/0!</v>
      </c>
      <c r="PG151" s="672" t="e">
        <f>PE151*$F$70</f>
        <v>#DIV/0!</v>
      </c>
      <c r="PH151" s="600" t="e">
        <f t="shared" si="1149"/>
        <v>#DIV/0!</v>
      </c>
      <c r="PI151" s="672" t="e">
        <f>PE151*$F$72</f>
        <v>#DIV/0!</v>
      </c>
      <c r="PJ151" s="676" t="e">
        <f>PE151*$F$71</f>
        <v>#DIV/0!</v>
      </c>
      <c r="PK151" s="668"/>
      <c r="PL151" s="669"/>
      <c r="PM151" s="670"/>
      <c r="PN151" s="671"/>
      <c r="PO151" s="678"/>
      <c r="PP151" s="650"/>
      <c r="PQ151" s="651">
        <f t="shared" si="1150"/>
        <v>0</v>
      </c>
      <c r="PR151" s="619" t="e">
        <f>((273.2+PK151)*$F$32/((273.2+$F$31)*PM151))</f>
        <v>#DIV/0!</v>
      </c>
      <c r="PS151" s="674" t="e">
        <f>PQ151/PO151*PR151*EXP(-LN(2)/10990*($F$88-PP151))</f>
        <v>#DIV/0!</v>
      </c>
      <c r="PT151" s="599" t="e">
        <f>PS151-AVERAGE(QA94:QA95)</f>
        <v>#DIV/0!</v>
      </c>
      <c r="PU151" s="672" t="e">
        <f>ABS($B$33*PT151*3600)</f>
        <v>#DIV/0!</v>
      </c>
      <c r="PV151" s="675" t="e">
        <f>ABS($B$34*PT151*3600)</f>
        <v>#DIV/0!</v>
      </c>
      <c r="PW151" s="672" t="e">
        <f>PV151*$C$79</f>
        <v>#DIV/0!</v>
      </c>
      <c r="PX151" s="672" t="e">
        <f>PV151*$F$70</f>
        <v>#DIV/0!</v>
      </c>
      <c r="PY151" s="600" t="e">
        <f t="shared" si="1151"/>
        <v>#DIV/0!</v>
      </c>
      <c r="PZ151" s="672" t="e">
        <f>PV151*$F$72</f>
        <v>#DIV/0!</v>
      </c>
      <c r="QA151" s="676" t="e">
        <f>PV151*$F$71</f>
        <v>#DIV/0!</v>
      </c>
      <c r="QB151" s="668"/>
      <c r="QC151" s="669"/>
      <c r="QD151" s="670"/>
      <c r="QE151" s="671"/>
      <c r="QF151" s="673">
        <v>100</v>
      </c>
      <c r="QG151" s="650"/>
      <c r="QH151" s="651">
        <f t="shared" si="1152"/>
        <v>0</v>
      </c>
      <c r="QI151" s="619" t="e">
        <f>((273.2+QB151)*$F$32/((273.2+$F$31)*QD151))</f>
        <v>#DIV/0!</v>
      </c>
      <c r="QJ151" s="674" t="e">
        <f>QH151/QF151*QI151*EXP(-LN(2)/10990*($F$88-QG151))</f>
        <v>#DIV/0!</v>
      </c>
      <c r="QK151" s="599" t="e">
        <f>QJ151-AVERAGE(QR94:QR95)</f>
        <v>#DIV/0!</v>
      </c>
      <c r="QL151" s="672" t="e">
        <f>ABS($B$33*QK151*3600)</f>
        <v>#DIV/0!</v>
      </c>
      <c r="QM151" s="675" t="e">
        <f>ABS($B$34*QK151*3600)</f>
        <v>#DIV/0!</v>
      </c>
      <c r="QN151" s="672" t="e">
        <f>QM151*$C$79</f>
        <v>#DIV/0!</v>
      </c>
      <c r="QO151" s="672" t="e">
        <f>QM151*$F$70</f>
        <v>#DIV/0!</v>
      </c>
      <c r="QP151" s="600" t="e">
        <f t="shared" si="1153"/>
        <v>#DIV/0!</v>
      </c>
      <c r="QQ151" s="672" t="e">
        <f>QM151*$F$72</f>
        <v>#DIV/0!</v>
      </c>
      <c r="QR151" s="676" t="e">
        <f>QM151*$F$71</f>
        <v>#DIV/0!</v>
      </c>
      <c r="QS151" s="668"/>
      <c r="QT151" s="669"/>
      <c r="QU151" s="669"/>
      <c r="QV151" s="679"/>
      <c r="QW151" s="673">
        <v>100</v>
      </c>
      <c r="QX151" s="650"/>
      <c r="QY151" s="651">
        <f t="shared" si="1154"/>
        <v>0</v>
      </c>
      <c r="QZ151" s="619" t="e">
        <f>((273.2+QS151)*$F$32/((273.2+$F$31)*QU151))</f>
        <v>#DIV/0!</v>
      </c>
      <c r="RA151" s="674" t="e">
        <f>QY151/QW151*QZ151*EXP(-LN(2)/10990*($F$88-QX151))</f>
        <v>#DIV/0!</v>
      </c>
      <c r="RB151" s="599" t="e">
        <f>RA151-AVERAGE(RI94:RI95)</f>
        <v>#DIV/0!</v>
      </c>
      <c r="RC151" s="672" t="e">
        <f>ABS($B$33*RB151*3600)</f>
        <v>#DIV/0!</v>
      </c>
      <c r="RD151" s="675" t="e">
        <f>ABS($B$34*RB151*3600)</f>
        <v>#DIV/0!</v>
      </c>
      <c r="RE151" s="672" t="e">
        <f>RD151*$C$79</f>
        <v>#DIV/0!</v>
      </c>
      <c r="RF151" s="672" t="e">
        <f>RD151*$F$70</f>
        <v>#DIV/0!</v>
      </c>
      <c r="RG151" s="600" t="e">
        <f t="shared" si="1155"/>
        <v>#DIV/0!</v>
      </c>
      <c r="RH151" s="672" t="e">
        <f>RD151*$F$72</f>
        <v>#DIV/0!</v>
      </c>
      <c r="RI151" s="676" t="e">
        <f>RD151*$F$71</f>
        <v>#DIV/0!</v>
      </c>
      <c r="RJ151" s="668"/>
      <c r="RK151" s="669"/>
      <c r="RL151" s="670"/>
      <c r="RM151" s="671"/>
      <c r="RN151" s="678"/>
      <c r="RO151" s="650"/>
      <c r="RP151" s="651">
        <f t="shared" si="1156"/>
        <v>0</v>
      </c>
      <c r="RQ151" s="619" t="e">
        <f>((273.2+RJ151)*$F$32/((273.2+$F$31)*RL151))</f>
        <v>#DIV/0!</v>
      </c>
      <c r="RR151" s="674" t="e">
        <f>RP151/RN151*RQ151*EXP(-LN(2)/10990*($F$88-RO151))</f>
        <v>#DIV/0!</v>
      </c>
      <c r="RS151" s="599" t="e">
        <f>RR151-AVERAGE(RZ94:RZ95)</f>
        <v>#DIV/0!</v>
      </c>
      <c r="RT151" s="672" t="e">
        <f>ABS($B$33*RS151*3600)</f>
        <v>#DIV/0!</v>
      </c>
      <c r="RU151" s="675" t="e">
        <f>ABS($B$34*RS151*3600)</f>
        <v>#DIV/0!</v>
      </c>
      <c r="RV151" s="672" t="e">
        <f>RU151*$C$79</f>
        <v>#DIV/0!</v>
      </c>
      <c r="RW151" s="672" t="e">
        <f>RU151*$F$70</f>
        <v>#DIV/0!</v>
      </c>
      <c r="RX151" s="600" t="e">
        <f t="shared" si="1157"/>
        <v>#DIV/0!</v>
      </c>
      <c r="RY151" s="672" t="e">
        <f>RU151*$F$72</f>
        <v>#DIV/0!</v>
      </c>
      <c r="RZ151" s="676" t="e">
        <f>RU151*$F$71</f>
        <v>#DIV/0!</v>
      </c>
      <c r="SA151" s="668"/>
      <c r="SB151" s="669"/>
      <c r="SC151" s="670"/>
      <c r="SD151" s="671"/>
      <c r="SE151" s="678"/>
      <c r="SF151" s="650"/>
      <c r="SG151" s="651">
        <f t="shared" si="1158"/>
        <v>0</v>
      </c>
      <c r="SH151" s="619" t="e">
        <f>((273.2+SA151)*$F$32/((273.2+$F$31)*SC151))</f>
        <v>#DIV/0!</v>
      </c>
      <c r="SI151" s="674" t="e">
        <f>SG151/SE151*SH151*EXP(-LN(2)/10990*($F$88-SF151))</f>
        <v>#DIV/0!</v>
      </c>
      <c r="SJ151" s="599" t="e">
        <f>SI151-AVERAGE(SQ94:SQ95)</f>
        <v>#DIV/0!</v>
      </c>
      <c r="SK151" s="672" t="e">
        <f>ABS($B$33*SJ151*3600)</f>
        <v>#DIV/0!</v>
      </c>
      <c r="SL151" s="675" t="e">
        <f>ABS($B$34*SJ151*3600)</f>
        <v>#DIV/0!</v>
      </c>
      <c r="SM151" s="672" t="e">
        <f>SL151*$C$79</f>
        <v>#DIV/0!</v>
      </c>
      <c r="SN151" s="672" t="e">
        <f>SL151*$F$70</f>
        <v>#DIV/0!</v>
      </c>
      <c r="SO151" s="600" t="e">
        <f t="shared" si="1159"/>
        <v>#DIV/0!</v>
      </c>
      <c r="SP151" s="672" t="e">
        <f>SL151*$F$72</f>
        <v>#DIV/0!</v>
      </c>
      <c r="SQ151" s="676" t="e">
        <f>SL151*$F$71</f>
        <v>#DIV/0!</v>
      </c>
      <c r="SR151" s="668"/>
      <c r="SS151" s="669"/>
      <c r="ST151" s="670"/>
      <c r="SU151" s="671"/>
      <c r="SV151" s="678"/>
      <c r="SW151" s="650"/>
      <c r="SX151" s="651">
        <f t="shared" si="1160"/>
        <v>0</v>
      </c>
      <c r="SY151" s="619" t="e">
        <f>((273.2+SR151)*$F$32/((273.2+$F$31)*ST151))</f>
        <v>#DIV/0!</v>
      </c>
      <c r="SZ151" s="674" t="e">
        <f>SX151/SV151*SY151*EXP(-LN(2)/10990*($F$88-SW151))</f>
        <v>#DIV/0!</v>
      </c>
      <c r="TA151" s="599" t="e">
        <f>SZ151-AVERAGE(TH94:TH95)</f>
        <v>#DIV/0!</v>
      </c>
      <c r="TB151" s="672" t="e">
        <f>ABS($B$33*TA151*3600)</f>
        <v>#DIV/0!</v>
      </c>
      <c r="TC151" s="675" t="e">
        <f>ABS($B$34*TA151*3600)</f>
        <v>#DIV/0!</v>
      </c>
      <c r="TD151" s="672" t="e">
        <f>TC151*$C$79</f>
        <v>#DIV/0!</v>
      </c>
      <c r="TE151" s="672" t="e">
        <f>TC151*$F$70</f>
        <v>#DIV/0!</v>
      </c>
      <c r="TF151" s="600" t="e">
        <f t="shared" si="1161"/>
        <v>#DIV/0!</v>
      </c>
      <c r="TG151" s="672" t="e">
        <f>TC151*$F$72</f>
        <v>#DIV/0!</v>
      </c>
      <c r="TH151" s="676" t="e">
        <f>TC151*$F$71</f>
        <v>#DIV/0!</v>
      </c>
      <c r="TI151" s="668"/>
      <c r="TJ151" s="669"/>
      <c r="TK151" s="670"/>
      <c r="TL151" s="671"/>
      <c r="TM151" s="678"/>
      <c r="TN151" s="650"/>
      <c r="TO151" s="651">
        <f t="shared" si="1162"/>
        <v>0</v>
      </c>
      <c r="TP151" s="619" t="e">
        <f>((273.2+TI151)*$F$32/((273.2+$F$31)*TK151))</f>
        <v>#DIV/0!</v>
      </c>
      <c r="TQ151" s="674" t="e">
        <f>TO151/TM151*TP151*EXP(-LN(2)/10990*($F$88-TN151))</f>
        <v>#DIV/0!</v>
      </c>
      <c r="TR151" s="599" t="e">
        <f>TQ151-AVERAGE(TY94:TY95)</f>
        <v>#DIV/0!</v>
      </c>
      <c r="TS151" s="672" t="e">
        <f>ABS($B$33*TR151*3600)</f>
        <v>#DIV/0!</v>
      </c>
      <c r="TT151" s="675" t="e">
        <f>ABS($B$34*TR151*3600)</f>
        <v>#DIV/0!</v>
      </c>
      <c r="TU151" s="672" t="e">
        <f>TT151*$C$79</f>
        <v>#DIV/0!</v>
      </c>
      <c r="TV151" s="672" t="e">
        <f>TT151*$F$70</f>
        <v>#DIV/0!</v>
      </c>
      <c r="TW151" s="600" t="e">
        <f t="shared" si="1163"/>
        <v>#DIV/0!</v>
      </c>
      <c r="TX151" s="672" t="e">
        <f>TT151*$F$72</f>
        <v>#DIV/0!</v>
      </c>
      <c r="TY151" s="676" t="e">
        <f>TT151*$F$71</f>
        <v>#DIV/0!</v>
      </c>
    </row>
    <row r="152" spans="1:545" x14ac:dyDescent="0.25">
      <c r="A152" s="2219"/>
      <c r="B152" s="668"/>
      <c r="C152" s="673"/>
      <c r="D152" s="673"/>
      <c r="E152" s="671"/>
      <c r="F152" s="673"/>
      <c r="G152" s="650"/>
      <c r="H152" s="651"/>
      <c r="I152" s="619"/>
      <c r="J152" s="674"/>
      <c r="K152" s="599"/>
      <c r="L152" s="672"/>
      <c r="M152" s="675"/>
      <c r="N152" s="614"/>
      <c r="O152" s="672"/>
      <c r="P152" s="600"/>
      <c r="Q152" s="672"/>
      <c r="R152" s="676"/>
      <c r="S152" s="677"/>
      <c r="T152" s="669"/>
      <c r="U152" s="670"/>
      <c r="V152" s="671"/>
      <c r="W152" s="678"/>
      <c r="X152" s="650"/>
      <c r="Y152" s="651">
        <f t="shared" si="1102"/>
        <v>0</v>
      </c>
      <c r="Z152" s="619" t="e">
        <f>((273.2+S152)*$F$32/((273.2+$F$31)*U152))</f>
        <v>#DIV/0!</v>
      </c>
      <c r="AA152" s="674" t="e">
        <f>Y152/W152*Z152*EXP(-LN(2)/10990*($F$88-X152))</f>
        <v>#DIV/0!</v>
      </c>
      <c r="AB152" s="599" t="e">
        <f>AA152-AVERAGE(AI94:AI95)</f>
        <v>#DIV/0!</v>
      </c>
      <c r="AC152" s="672" t="e">
        <f>ABS($B$33*AB152*3600)</f>
        <v>#DIV/0!</v>
      </c>
      <c r="AD152" s="675" t="e">
        <f>ABS($B$34*AB152*3600)</f>
        <v>#DIV/0!</v>
      </c>
      <c r="AE152" s="614" t="e">
        <f>AD152*$C$79</f>
        <v>#DIV/0!</v>
      </c>
      <c r="AF152" s="672" t="e">
        <f>AD152*$F$70</f>
        <v>#DIV/0!</v>
      </c>
      <c r="AG152" s="600" t="e">
        <f>AD152*$F$75</f>
        <v>#DIV/0!</v>
      </c>
      <c r="AH152" s="672" t="e">
        <f>AD152*$F$72</f>
        <v>#DIV/0!</v>
      </c>
      <c r="AI152" s="676" t="e">
        <f>AD152*$F$71</f>
        <v>#DIV/0!</v>
      </c>
      <c r="AJ152" s="677"/>
      <c r="AK152" s="669"/>
      <c r="AL152" s="670"/>
      <c r="AM152" s="671"/>
      <c r="AN152" s="678"/>
      <c r="AO152" s="650"/>
      <c r="AP152" s="651">
        <f t="shared" si="1104"/>
        <v>0</v>
      </c>
      <c r="AQ152" s="619" t="e">
        <f>((273.2+AJ152)*$F$32/((273.2+$F$31)*AL152))</f>
        <v>#DIV/0!</v>
      </c>
      <c r="AR152" s="674" t="e">
        <f>AP152/AN152*AQ152*EXP(-LN(2)/10990*($F$88-AO152))</f>
        <v>#DIV/0!</v>
      </c>
      <c r="AS152" s="599" t="e">
        <f>AR152-AVERAGE(AZ94:AZ95)</f>
        <v>#DIV/0!</v>
      </c>
      <c r="AT152" s="672" t="e">
        <f>ABS($B$33*AS152*3600)</f>
        <v>#DIV/0!</v>
      </c>
      <c r="AU152" s="675" t="e">
        <f>ABS($B$34*AS152*3600)</f>
        <v>#DIV/0!</v>
      </c>
      <c r="AV152" s="614" t="e">
        <f>AU152*$C$79</f>
        <v>#DIV/0!</v>
      </c>
      <c r="AW152" s="672" t="e">
        <f>AU152*$F$70</f>
        <v>#DIV/0!</v>
      </c>
      <c r="AX152" s="600" t="e">
        <f>AU152*$F$75</f>
        <v>#DIV/0!</v>
      </c>
      <c r="AY152" s="672" t="e">
        <f>AU152*$F$72</f>
        <v>#DIV/0!</v>
      </c>
      <c r="AZ152" s="676" t="e">
        <f>AU152*$F$71</f>
        <v>#DIV/0!</v>
      </c>
      <c r="BA152" s="668"/>
      <c r="BB152" s="669"/>
      <c r="BC152" s="661"/>
      <c r="BD152" s="671"/>
      <c r="BE152" s="678"/>
      <c r="BF152" s="650"/>
      <c r="BG152" s="651">
        <f t="shared" si="1106"/>
        <v>0</v>
      </c>
      <c r="BH152" s="619" t="e">
        <f>((273.2+BA152)*$F$32/((273.2+$F$31)*BC152))</f>
        <v>#DIV/0!</v>
      </c>
      <c r="BI152" s="674" t="e">
        <f>BG152/BE152*BH152*EXP(-LN(2)/10990*($F$88-BF152))</f>
        <v>#DIV/0!</v>
      </c>
      <c r="BJ152" s="599" t="e">
        <f>BI152-AVERAGE(BQ94:BQ95)</f>
        <v>#DIV/0!</v>
      </c>
      <c r="BK152" s="672" t="e">
        <f>ABS($B$33*BJ152*3600)</f>
        <v>#DIV/0!</v>
      </c>
      <c r="BL152" s="675" t="e">
        <f>ABS($B$34*BJ152*3600)</f>
        <v>#DIV/0!</v>
      </c>
      <c r="BM152" s="614" t="e">
        <f>BL152*$C$79</f>
        <v>#DIV/0!</v>
      </c>
      <c r="BN152" s="672" t="e">
        <f>BL152*$F$70</f>
        <v>#DIV/0!</v>
      </c>
      <c r="BO152" s="600" t="e">
        <f>BL152*$F$75</f>
        <v>#DIV/0!</v>
      </c>
      <c r="BP152" s="672" t="e">
        <f>BL152*$F$72</f>
        <v>#DIV/0!</v>
      </c>
      <c r="BQ152" s="676" t="e">
        <f>BL152*$F$71</f>
        <v>#DIV/0!</v>
      </c>
      <c r="BR152" s="668"/>
      <c r="BS152" s="669"/>
      <c r="BT152" s="670"/>
      <c r="BU152" s="671"/>
      <c r="BV152" s="678"/>
      <c r="BW152" s="650"/>
      <c r="BX152" s="651">
        <f t="shared" si="1108"/>
        <v>0</v>
      </c>
      <c r="BY152" s="619" t="e">
        <f>((273.2+BR152)*$F$32/((273.2+$F$31)*BT152))</f>
        <v>#DIV/0!</v>
      </c>
      <c r="BZ152" s="674" t="e">
        <f>BX152/BV152*BY152*EXP(-LN(2)/10990*($F$88-BW152))</f>
        <v>#DIV/0!</v>
      </c>
      <c r="CA152" s="599" t="e">
        <f>BZ152-AVERAGE(CH94:CH95)</f>
        <v>#DIV/0!</v>
      </c>
      <c r="CB152" s="672" t="e">
        <f>ABS($B$33*CA152*3600)</f>
        <v>#DIV/0!</v>
      </c>
      <c r="CC152" s="675" t="e">
        <f>ABS($B$34*CA152*3600)</f>
        <v>#DIV/0!</v>
      </c>
      <c r="CD152" s="614" t="e">
        <f>CC152*$C$79</f>
        <v>#DIV/0!</v>
      </c>
      <c r="CE152" s="672" t="e">
        <f>CC152*$F$70</f>
        <v>#DIV/0!</v>
      </c>
      <c r="CF152" s="600" t="e">
        <f>CC152*$F$75</f>
        <v>#DIV/0!</v>
      </c>
      <c r="CG152" s="672" t="e">
        <f>CC152*$F$72</f>
        <v>#DIV/0!</v>
      </c>
      <c r="CH152" s="676" t="e">
        <f>CC152*$F$71</f>
        <v>#DIV/0!</v>
      </c>
      <c r="CI152" s="668"/>
      <c r="CJ152" s="669"/>
      <c r="CK152" s="670"/>
      <c r="CL152" s="671"/>
      <c r="CM152" s="678"/>
      <c r="CN152" s="650"/>
      <c r="CO152" s="651">
        <f t="shared" si="1110"/>
        <v>0</v>
      </c>
      <c r="CP152" s="619" t="e">
        <f>((273.2+CI152)*$F$32/((273.2+$F$31)*CK152))</f>
        <v>#DIV/0!</v>
      </c>
      <c r="CQ152" s="674" t="e">
        <f>CO152/CM152*CP152*EXP(-LN(2)/10990*($F$88-CN152))</f>
        <v>#DIV/0!</v>
      </c>
      <c r="CR152" s="599" t="e">
        <f>CQ152-AVERAGE(CY94:CY95)</f>
        <v>#DIV/0!</v>
      </c>
      <c r="CS152" s="672" t="e">
        <f>ABS($B$33*CR152*3600)</f>
        <v>#DIV/0!</v>
      </c>
      <c r="CT152" s="675" t="e">
        <f>ABS($B$34*CR152*3600)</f>
        <v>#DIV/0!</v>
      </c>
      <c r="CU152" s="614" t="e">
        <f>CT152*$C$79</f>
        <v>#DIV/0!</v>
      </c>
      <c r="CV152" s="672" t="e">
        <f>CT152*$F$70</f>
        <v>#DIV/0!</v>
      </c>
      <c r="CW152" s="600" t="e">
        <f>CT152*$F$75</f>
        <v>#DIV/0!</v>
      </c>
      <c r="CX152" s="672" t="e">
        <f>CT152*$F$72</f>
        <v>#DIV/0!</v>
      </c>
      <c r="CY152" s="676" t="e">
        <f>CT152*$F$71</f>
        <v>#DIV/0!</v>
      </c>
      <c r="CZ152" s="668"/>
      <c r="DA152" s="669"/>
      <c r="DB152" s="670"/>
      <c r="DC152" s="671"/>
      <c r="DD152" s="678"/>
      <c r="DE152" s="650"/>
      <c r="DF152" s="651">
        <f t="shared" si="1112"/>
        <v>0</v>
      </c>
      <c r="DG152" s="619" t="e">
        <f>((273.2+CZ152)*$F$32/((273.2+$F$31)*DB152))</f>
        <v>#DIV/0!</v>
      </c>
      <c r="DH152" s="674" t="e">
        <f>DF152/DD152*DG152*EXP(-LN(2)/10990*($F$88-DE152))</f>
        <v>#DIV/0!</v>
      </c>
      <c r="DI152" s="599" t="e">
        <f>DH152-AVERAGE(DP94:DP95)</f>
        <v>#DIV/0!</v>
      </c>
      <c r="DJ152" s="672" t="e">
        <f>ABS($B$33*DI152*3600)</f>
        <v>#DIV/0!</v>
      </c>
      <c r="DK152" s="675" t="e">
        <f>ABS($B$34*DI152*3600)</f>
        <v>#DIV/0!</v>
      </c>
      <c r="DL152" s="614" t="e">
        <f>DK152*$C$79</f>
        <v>#DIV/0!</v>
      </c>
      <c r="DM152" s="672" t="e">
        <f>DK152*$F$70</f>
        <v>#DIV/0!</v>
      </c>
      <c r="DN152" s="600" t="e">
        <f>DK152*$F$75</f>
        <v>#DIV/0!</v>
      </c>
      <c r="DO152" s="672" t="e">
        <f>DK152*$F$72</f>
        <v>#DIV/0!</v>
      </c>
      <c r="DP152" s="676" t="e">
        <f>DK152*$F$71</f>
        <v>#DIV/0!</v>
      </c>
      <c r="DQ152" s="668"/>
      <c r="DR152" s="669"/>
      <c r="DS152" s="677"/>
      <c r="DT152" s="679"/>
      <c r="DU152" s="678"/>
      <c r="DV152" s="650"/>
      <c r="DW152" s="651">
        <f t="shared" si="1114"/>
        <v>0</v>
      </c>
      <c r="DX152" s="619" t="e">
        <f>((273.2+DQ152)*$F$32/((273.2+$F$31)*DS152))</f>
        <v>#DIV/0!</v>
      </c>
      <c r="DY152" s="674" t="e">
        <f>DW152/DU152*DX152*EXP(-LN(2)/10990*($F$88-DV152))</f>
        <v>#DIV/0!</v>
      </c>
      <c r="DZ152" s="599" t="e">
        <f>DY152-AVERAGE(EG94:EG95)</f>
        <v>#DIV/0!</v>
      </c>
      <c r="EA152" s="672" t="e">
        <f>ABS($B$33*DZ152*3600)</f>
        <v>#DIV/0!</v>
      </c>
      <c r="EB152" s="675" t="e">
        <f>ABS($B$34*DZ152*3600)</f>
        <v>#DIV/0!</v>
      </c>
      <c r="EC152" s="614" t="e">
        <f>EB152*$C$79</f>
        <v>#DIV/0!</v>
      </c>
      <c r="ED152" s="672" t="e">
        <f>EB152*$F$70</f>
        <v>#DIV/0!</v>
      </c>
      <c r="EE152" s="600" t="e">
        <f>EB152*$F$75</f>
        <v>#DIV/0!</v>
      </c>
      <c r="EF152" s="672" t="e">
        <f>EB152*$F$72</f>
        <v>#DIV/0!</v>
      </c>
      <c r="EG152" s="676" t="e">
        <f>EB152*$F$71</f>
        <v>#DIV/0!</v>
      </c>
      <c r="EH152" s="668"/>
      <c r="EI152" s="669"/>
      <c r="EJ152" s="670"/>
      <c r="EK152" s="671"/>
      <c r="EL152" s="678"/>
      <c r="EM152" s="650"/>
      <c r="EN152" s="651">
        <f t="shared" si="1116"/>
        <v>0</v>
      </c>
      <c r="EO152" s="619" t="e">
        <f>((273.2+EH152)*$F$32/((273.2+$F$31)*EJ152))</f>
        <v>#DIV/0!</v>
      </c>
      <c r="EP152" s="674" t="e">
        <f>EN152/EL152*EO152*EXP(-LN(2)/10990*($F$88-EM152))</f>
        <v>#DIV/0!</v>
      </c>
      <c r="EQ152" s="599" t="e">
        <f>EP152-AVERAGE(EX94:EX95)</f>
        <v>#DIV/0!</v>
      </c>
      <c r="ER152" s="672" t="e">
        <f>ABS($B$33*EQ152*3600)</f>
        <v>#DIV/0!</v>
      </c>
      <c r="ES152" s="675" t="e">
        <f>ABS($B$34*EQ152*3600)</f>
        <v>#DIV/0!</v>
      </c>
      <c r="ET152" s="614" t="e">
        <f>ES152*$C$79</f>
        <v>#DIV/0!</v>
      </c>
      <c r="EU152" s="672" t="e">
        <f>ES152*$F$70</f>
        <v>#DIV/0!</v>
      </c>
      <c r="EV152" s="600" t="e">
        <f>ES152*$F$75</f>
        <v>#DIV/0!</v>
      </c>
      <c r="EW152" s="672" t="e">
        <f>ES152*$F$72</f>
        <v>#DIV/0!</v>
      </c>
      <c r="EX152" s="676" t="e">
        <f>ES152*$F$71</f>
        <v>#DIV/0!</v>
      </c>
      <c r="EY152" s="668"/>
      <c r="EZ152" s="669"/>
      <c r="FA152" s="670"/>
      <c r="FB152" s="671"/>
      <c r="FC152" s="678"/>
      <c r="FD152" s="650"/>
      <c r="FE152" s="651">
        <f t="shared" si="1118"/>
        <v>0</v>
      </c>
      <c r="FF152" s="619" t="e">
        <f>((273.2+EY152)*$F$32/((273.2+$F$31)*FA152))</f>
        <v>#DIV/0!</v>
      </c>
      <c r="FG152" s="674" t="e">
        <f>FE152/FC152*FF152*EXP(-LN(2)/10990*($F$88-FD152))</f>
        <v>#DIV/0!</v>
      </c>
      <c r="FH152" s="599" t="e">
        <f>FG152-AVERAGE(FO94:FO95)</f>
        <v>#DIV/0!</v>
      </c>
      <c r="FI152" s="672" t="e">
        <f>ABS($B$33*FH152*3600)</f>
        <v>#DIV/0!</v>
      </c>
      <c r="FJ152" s="675" t="e">
        <f>ABS($B$34*FH152*3600)</f>
        <v>#DIV/0!</v>
      </c>
      <c r="FK152" s="614" t="e">
        <f>FJ152*$C$79</f>
        <v>#DIV/0!</v>
      </c>
      <c r="FL152" s="672" t="e">
        <f>FJ152*$F$70</f>
        <v>#DIV/0!</v>
      </c>
      <c r="FM152" s="600" t="e">
        <f>FJ152*$F$75</f>
        <v>#DIV/0!</v>
      </c>
      <c r="FN152" s="672" t="e">
        <f>FJ152*$F$72</f>
        <v>#DIV/0!</v>
      </c>
      <c r="FO152" s="676" t="e">
        <f>FJ152*$F$71</f>
        <v>#DIV/0!</v>
      </c>
      <c r="FP152" s="668"/>
      <c r="FQ152" s="669"/>
      <c r="FR152" s="670"/>
      <c r="FS152" s="671"/>
      <c r="FT152" s="678"/>
      <c r="FU152" s="650"/>
      <c r="FV152" s="651">
        <f t="shared" si="1120"/>
        <v>0</v>
      </c>
      <c r="FW152" s="619" t="e">
        <f>((273.2+FP152)*$F$32/((273.2+$F$31)*FR152))</f>
        <v>#DIV/0!</v>
      </c>
      <c r="FX152" s="674" t="e">
        <f>FV152/FT152*FW152*EXP(-LN(2)/10990*($F$88-FU152))</f>
        <v>#DIV/0!</v>
      </c>
      <c r="FY152" s="599" t="e">
        <f>FX152-AVERAGE(GF94:GF95)</f>
        <v>#DIV/0!</v>
      </c>
      <c r="FZ152" s="672" t="e">
        <f>ABS($B$33*FY152*3600)</f>
        <v>#DIV/0!</v>
      </c>
      <c r="GA152" s="675" t="e">
        <f>ABS($B$34*FY152*3600)</f>
        <v>#DIV/0!</v>
      </c>
      <c r="GB152" s="614" t="e">
        <f>GA152*$C$79</f>
        <v>#DIV/0!</v>
      </c>
      <c r="GC152" s="672" t="e">
        <f>GA152*$F$70</f>
        <v>#DIV/0!</v>
      </c>
      <c r="GD152" s="600" t="e">
        <f>GA152*$F$75</f>
        <v>#DIV/0!</v>
      </c>
      <c r="GE152" s="672" t="e">
        <f>GA152*$F$72</f>
        <v>#DIV/0!</v>
      </c>
      <c r="GF152" s="676" t="e">
        <f>GA152*$F$71</f>
        <v>#DIV/0!</v>
      </c>
      <c r="GG152" s="668"/>
      <c r="GH152" s="669"/>
      <c r="GI152" s="677"/>
      <c r="GJ152" s="679"/>
      <c r="GK152" s="678"/>
      <c r="GL152" s="650"/>
      <c r="GM152" s="651">
        <f t="shared" si="1122"/>
        <v>0</v>
      </c>
      <c r="GN152" s="619" t="e">
        <f>((273.2+GG152)*$F$32/((273.2+$F$31)*GI152))</f>
        <v>#DIV/0!</v>
      </c>
      <c r="GO152" s="674" t="e">
        <f>GM152/GK152*GN152*EXP(-LN(2)/10990*($F$88-GL152))</f>
        <v>#DIV/0!</v>
      </c>
      <c r="GP152" s="599" t="e">
        <f>GO152-AVERAGE(GW94:GW95)</f>
        <v>#DIV/0!</v>
      </c>
      <c r="GQ152" s="672" t="e">
        <f>ABS($B$33*GP152*3600)</f>
        <v>#DIV/0!</v>
      </c>
      <c r="GR152" s="675" t="e">
        <f>ABS($B$34*GP152*3600)</f>
        <v>#DIV/0!</v>
      </c>
      <c r="GS152" s="614" t="e">
        <f>GR152*$C$79</f>
        <v>#DIV/0!</v>
      </c>
      <c r="GT152" s="672" t="e">
        <f>GR152*$F$70</f>
        <v>#DIV/0!</v>
      </c>
      <c r="GU152" s="600" t="e">
        <f>GR152*$F$75</f>
        <v>#DIV/0!</v>
      </c>
      <c r="GV152" s="672" t="e">
        <f>GR152*$F$72</f>
        <v>#DIV/0!</v>
      </c>
      <c r="GW152" s="676" t="e">
        <f>GR152*$F$71</f>
        <v>#DIV/0!</v>
      </c>
      <c r="GX152" s="668"/>
      <c r="GY152" s="669"/>
      <c r="GZ152" s="670"/>
      <c r="HA152" s="671"/>
      <c r="HB152" s="678"/>
      <c r="HC152" s="650"/>
      <c r="HD152" s="651">
        <f t="shared" si="1124"/>
        <v>0</v>
      </c>
      <c r="HE152" s="619" t="e">
        <f>((273.2+GX152)*$F$32/((273.2+$F$31)*GZ152))</f>
        <v>#DIV/0!</v>
      </c>
      <c r="HF152" s="674" t="e">
        <f>HD152/HB152*HE152*EXP(-LN(2)/10990*($F$88-HC152))</f>
        <v>#DIV/0!</v>
      </c>
      <c r="HG152" s="599" t="e">
        <f>HF152-AVERAGE(HN94:HN95)</f>
        <v>#DIV/0!</v>
      </c>
      <c r="HH152" s="672" t="e">
        <f>ABS($B$33*HG152*3600)</f>
        <v>#DIV/0!</v>
      </c>
      <c r="HI152" s="675" t="e">
        <f>ABS($B$34*HG152*3600)</f>
        <v>#DIV/0!</v>
      </c>
      <c r="HJ152" s="614" t="e">
        <f>HI152*$C$79</f>
        <v>#DIV/0!</v>
      </c>
      <c r="HK152" s="672" t="e">
        <f>HI152*$F$70</f>
        <v>#DIV/0!</v>
      </c>
      <c r="HL152" s="600" t="e">
        <f>HI152*$F$75</f>
        <v>#DIV/0!</v>
      </c>
      <c r="HM152" s="672" t="e">
        <f>HI152*$F$72</f>
        <v>#DIV/0!</v>
      </c>
      <c r="HN152" s="676" t="e">
        <f>HI152*$F$71</f>
        <v>#DIV/0!</v>
      </c>
      <c r="HO152" s="668"/>
      <c r="HP152" s="669"/>
      <c r="HQ152" s="670"/>
      <c r="HR152" s="671"/>
      <c r="HS152" s="678"/>
      <c r="HT152" s="650"/>
      <c r="HU152" s="651">
        <f t="shared" si="1126"/>
        <v>0</v>
      </c>
      <c r="HV152" s="619" t="e">
        <f>((273.2+HO152)*$F$32/((273.2+$F$31)*HQ152))</f>
        <v>#DIV/0!</v>
      </c>
      <c r="HW152" s="674" t="e">
        <f>HU152/HS152*HV152*EXP(-LN(2)/10990*($F$88-HT152))</f>
        <v>#DIV/0!</v>
      </c>
      <c r="HX152" s="599" t="e">
        <f>HW152-AVERAGE(IE94:IE95)</f>
        <v>#DIV/0!</v>
      </c>
      <c r="HY152" s="672" t="e">
        <f>ABS($B$33*HX152*3600)</f>
        <v>#DIV/0!</v>
      </c>
      <c r="HZ152" s="675" t="e">
        <f>ABS($B$34*HX152*3600)</f>
        <v>#DIV/0!</v>
      </c>
      <c r="IA152" s="614" t="e">
        <f>HZ152*$C$79</f>
        <v>#DIV/0!</v>
      </c>
      <c r="IB152" s="672" t="e">
        <f>HZ152*$F$70</f>
        <v>#DIV/0!</v>
      </c>
      <c r="IC152" s="600" t="e">
        <f>HZ152*$F$75</f>
        <v>#DIV/0!</v>
      </c>
      <c r="ID152" s="672" t="e">
        <f>HZ152*$F$72</f>
        <v>#DIV/0!</v>
      </c>
      <c r="IE152" s="676" t="e">
        <f>HZ152*$F$71</f>
        <v>#DIV/0!</v>
      </c>
      <c r="IF152" s="668"/>
      <c r="IG152" s="669"/>
      <c r="IH152" s="670"/>
      <c r="II152" s="671"/>
      <c r="IJ152" s="678"/>
      <c r="IK152" s="650"/>
      <c r="IL152" s="651">
        <f t="shared" si="1128"/>
        <v>0</v>
      </c>
      <c r="IM152" s="619" t="e">
        <f>((273.2+IF152)*$F$32/((273.2+$F$31)*IH152))</f>
        <v>#DIV/0!</v>
      </c>
      <c r="IN152" s="674" t="e">
        <f>IL152/IJ152*IM152*EXP(-LN(2)/10990*($F$88-IK152))</f>
        <v>#DIV/0!</v>
      </c>
      <c r="IO152" s="599" t="e">
        <f>IN152-AVERAGE(IV94:IV95)</f>
        <v>#DIV/0!</v>
      </c>
      <c r="IP152" s="672" t="e">
        <f>ABS($B$33*IO152*3600)</f>
        <v>#DIV/0!</v>
      </c>
      <c r="IQ152" s="675" t="e">
        <f>ABS($B$34*IO152*3600)</f>
        <v>#DIV/0!</v>
      </c>
      <c r="IR152" s="614" t="e">
        <f>IQ152*$C$79</f>
        <v>#DIV/0!</v>
      </c>
      <c r="IS152" s="672" t="e">
        <f>IQ152*$F$70</f>
        <v>#DIV/0!</v>
      </c>
      <c r="IT152" s="600" t="e">
        <f>IQ152*$F$75</f>
        <v>#DIV/0!</v>
      </c>
      <c r="IU152" s="672" t="e">
        <f>IQ152*$F$72</f>
        <v>#DIV/0!</v>
      </c>
      <c r="IV152" s="676" t="e">
        <f>IQ152*$F$71</f>
        <v>#DIV/0!</v>
      </c>
      <c r="IW152" s="668"/>
      <c r="IX152" s="669"/>
      <c r="IY152" s="670"/>
      <c r="IZ152" s="671"/>
      <c r="JA152" s="678"/>
      <c r="JB152" s="650"/>
      <c r="JC152" s="651">
        <f t="shared" si="1130"/>
        <v>0</v>
      </c>
      <c r="JD152" s="619" t="e">
        <f>((273.2+IW152)*$F$32/((273.2+$F$31)*IY152))</f>
        <v>#DIV/0!</v>
      </c>
      <c r="JE152" s="674" t="e">
        <f>JC152/JA152*JD152*EXP(-LN(2)/10990*($F$88-JB152))</f>
        <v>#DIV/0!</v>
      </c>
      <c r="JF152" s="599" t="e">
        <f>JE152-AVERAGE(JM94:JM95)</f>
        <v>#DIV/0!</v>
      </c>
      <c r="JG152" s="672" t="e">
        <f>ABS($B$33*JF152*3600)</f>
        <v>#DIV/0!</v>
      </c>
      <c r="JH152" s="675" t="e">
        <f>ABS($B$34*JF152*3600)</f>
        <v>#DIV/0!</v>
      </c>
      <c r="JI152" s="614" t="e">
        <f>JH152*$C$79</f>
        <v>#DIV/0!</v>
      </c>
      <c r="JJ152" s="672" t="e">
        <f>JH152*$F$70</f>
        <v>#DIV/0!</v>
      </c>
      <c r="JK152" s="600" t="e">
        <f>JH152*$F$75</f>
        <v>#DIV/0!</v>
      </c>
      <c r="JL152" s="672" t="e">
        <f>JH152*$F$72</f>
        <v>#DIV/0!</v>
      </c>
      <c r="JM152" s="676" t="e">
        <f>JH152*$F$71</f>
        <v>#DIV/0!</v>
      </c>
      <c r="JN152" s="668"/>
      <c r="JO152" s="669"/>
      <c r="JP152" s="670"/>
      <c r="JQ152" s="671"/>
      <c r="JR152" s="678"/>
      <c r="JS152" s="650"/>
      <c r="JT152" s="651">
        <f t="shared" si="1132"/>
        <v>0</v>
      </c>
      <c r="JU152" s="619" t="e">
        <f>((273.2+JN152)*$F$32/((273.2+$F$31)*JP152))</f>
        <v>#DIV/0!</v>
      </c>
      <c r="JV152" s="674" t="e">
        <f>JT152/JR152*JU152*EXP(-LN(2)/10990*($F$88-JS152))</f>
        <v>#DIV/0!</v>
      </c>
      <c r="JW152" s="599" t="e">
        <f>JV152-AVERAGE(KD94:KD95)</f>
        <v>#DIV/0!</v>
      </c>
      <c r="JX152" s="672" t="e">
        <f>ABS($B$33*JW152*3600)</f>
        <v>#DIV/0!</v>
      </c>
      <c r="JY152" s="675" t="e">
        <f>ABS($B$34*JW152*3600)</f>
        <v>#DIV/0!</v>
      </c>
      <c r="JZ152" s="614" t="e">
        <f>JY152*$C$79</f>
        <v>#DIV/0!</v>
      </c>
      <c r="KA152" s="672" t="e">
        <f>JY152*$F$70</f>
        <v>#DIV/0!</v>
      </c>
      <c r="KB152" s="600" t="e">
        <f>JY152*$F$75</f>
        <v>#DIV/0!</v>
      </c>
      <c r="KC152" s="672" t="e">
        <f>JY152*$F$72</f>
        <v>#DIV/0!</v>
      </c>
      <c r="KD152" s="676" t="e">
        <f>JY152*$F$71</f>
        <v>#DIV/0!</v>
      </c>
      <c r="KE152" s="668"/>
      <c r="KF152" s="669"/>
      <c r="KG152" s="670"/>
      <c r="KH152" s="671"/>
      <c r="KI152" s="678"/>
      <c r="KJ152" s="650"/>
      <c r="KK152" s="651">
        <f t="shared" si="1134"/>
        <v>0</v>
      </c>
      <c r="KL152" s="619" t="e">
        <f>((273.2+KE152)*$F$32/((273.2+$F$31)*KG152))</f>
        <v>#DIV/0!</v>
      </c>
      <c r="KM152" s="674" t="e">
        <f>KK152/KI152*KL152*EXP(-LN(2)/10990*($F$88-KJ152))</f>
        <v>#DIV/0!</v>
      </c>
      <c r="KN152" s="599" t="e">
        <f>KM152-AVERAGE(KU94:KU95)</f>
        <v>#DIV/0!</v>
      </c>
      <c r="KO152" s="672" t="e">
        <f>ABS($B$33*KN152*3600)</f>
        <v>#DIV/0!</v>
      </c>
      <c r="KP152" s="675" t="e">
        <f>ABS($B$34*KN152*3600)</f>
        <v>#DIV/0!</v>
      </c>
      <c r="KQ152" s="614" t="e">
        <f>KP152*$C$79</f>
        <v>#DIV/0!</v>
      </c>
      <c r="KR152" s="672" t="e">
        <f>KP152*$F$70</f>
        <v>#DIV/0!</v>
      </c>
      <c r="KS152" s="600" t="e">
        <f>KP152*$F$75</f>
        <v>#DIV/0!</v>
      </c>
      <c r="KT152" s="672" t="e">
        <f>KP152*$F$72</f>
        <v>#DIV/0!</v>
      </c>
      <c r="KU152" s="676" t="e">
        <f>KP152*$F$71</f>
        <v>#DIV/0!</v>
      </c>
      <c r="KV152" s="668"/>
      <c r="KW152" s="669"/>
      <c r="KX152" s="670"/>
      <c r="KY152" s="671"/>
      <c r="KZ152" s="678"/>
      <c r="LA152" s="650"/>
      <c r="LB152" s="651">
        <f t="shared" si="1136"/>
        <v>0</v>
      </c>
      <c r="LC152" s="619" t="e">
        <f>((273.2+KV152)*$F$32/((273.2+$F$31)*KX152))</f>
        <v>#DIV/0!</v>
      </c>
      <c r="LD152" s="674" t="e">
        <f>LB152/KZ152*LC152*EXP(-LN(2)/10990*($F$88-LA152))</f>
        <v>#DIV/0!</v>
      </c>
      <c r="LE152" s="599" t="e">
        <f>LD152-AVERAGE(LL94:LL95)</f>
        <v>#DIV/0!</v>
      </c>
      <c r="LF152" s="672" t="e">
        <f>ABS($B$33*LE152*3600)</f>
        <v>#DIV/0!</v>
      </c>
      <c r="LG152" s="675" t="e">
        <f>ABS($B$34*LE152*3600)</f>
        <v>#DIV/0!</v>
      </c>
      <c r="LH152" s="614" t="e">
        <f>LG152*$C$79</f>
        <v>#DIV/0!</v>
      </c>
      <c r="LI152" s="672" t="e">
        <f>LG152*$F$70</f>
        <v>#DIV/0!</v>
      </c>
      <c r="LJ152" s="600" t="e">
        <f>LG152*$F$75</f>
        <v>#DIV/0!</v>
      </c>
      <c r="LK152" s="672" t="e">
        <f>LG152*$F$72</f>
        <v>#DIV/0!</v>
      </c>
      <c r="LL152" s="676" t="e">
        <f>LG152*$F$71</f>
        <v>#DIV/0!</v>
      </c>
      <c r="LM152" s="668"/>
      <c r="LN152" s="669"/>
      <c r="LO152" s="670"/>
      <c r="LP152" s="671"/>
      <c r="LQ152" s="678"/>
      <c r="LR152" s="650"/>
      <c r="LS152" s="651">
        <f t="shared" si="1138"/>
        <v>0</v>
      </c>
      <c r="LT152" s="619" t="e">
        <f>((273.2+LM152)*$F$32/((273.2+$F$31)*LO152))</f>
        <v>#DIV/0!</v>
      </c>
      <c r="LU152" s="674" t="e">
        <f>LS152/LQ152*LT152*EXP(-LN(2)/10990*($F$88-LR152))</f>
        <v>#DIV/0!</v>
      </c>
      <c r="LV152" s="599" t="e">
        <f>LU152-AVERAGE(MC94:MC95)</f>
        <v>#DIV/0!</v>
      </c>
      <c r="LW152" s="672" t="e">
        <f>ABS($B$33*LV152*3600)</f>
        <v>#DIV/0!</v>
      </c>
      <c r="LX152" s="675" t="e">
        <f>ABS($B$34*LV152*3600)</f>
        <v>#DIV/0!</v>
      </c>
      <c r="LY152" s="614" t="e">
        <f>LX152*$C$79</f>
        <v>#DIV/0!</v>
      </c>
      <c r="LZ152" s="672" t="e">
        <f>LX152*$F$70</f>
        <v>#DIV/0!</v>
      </c>
      <c r="MA152" s="600" t="e">
        <f>LX152*$F$75</f>
        <v>#DIV/0!</v>
      </c>
      <c r="MB152" s="672" t="e">
        <f>LX152*$F$72</f>
        <v>#DIV/0!</v>
      </c>
      <c r="MC152" s="676" t="e">
        <f>LX152*$F$71</f>
        <v>#DIV/0!</v>
      </c>
      <c r="MD152" s="668"/>
      <c r="ME152" s="669"/>
      <c r="MF152" s="670"/>
      <c r="MG152" s="671"/>
      <c r="MH152" s="678"/>
      <c r="MI152" s="650"/>
      <c r="MJ152" s="651">
        <f t="shared" si="1140"/>
        <v>0</v>
      </c>
      <c r="MK152" s="619" t="e">
        <f>((273.2+MD152)*$F$32/((273.2+$F$31)*MF152))</f>
        <v>#DIV/0!</v>
      </c>
      <c r="ML152" s="674" t="e">
        <f>MJ152/MH152*MK152*EXP(-LN(2)/10990*($F$88-MI152))</f>
        <v>#DIV/0!</v>
      </c>
      <c r="MM152" s="599" t="e">
        <f>ML152-AVERAGE(MT94:MT95)</f>
        <v>#DIV/0!</v>
      </c>
      <c r="MN152" s="672" t="e">
        <f>ABS($B$33*MM152*3600)</f>
        <v>#DIV/0!</v>
      </c>
      <c r="MO152" s="675" t="e">
        <f>ABS($B$34*MM152*3600)</f>
        <v>#DIV/0!</v>
      </c>
      <c r="MP152" s="614" t="e">
        <f>MO152*$C$79</f>
        <v>#DIV/0!</v>
      </c>
      <c r="MQ152" s="672" t="e">
        <f>MO152*$F$70</f>
        <v>#DIV/0!</v>
      </c>
      <c r="MR152" s="600" t="e">
        <f>MO152*$F$75</f>
        <v>#DIV/0!</v>
      </c>
      <c r="MS152" s="672" t="e">
        <f>MO152*$F$72</f>
        <v>#DIV/0!</v>
      </c>
      <c r="MT152" s="676" t="e">
        <f>MO152*$F$71</f>
        <v>#DIV/0!</v>
      </c>
      <c r="MU152" s="668"/>
      <c r="MV152" s="669"/>
      <c r="MW152" s="670"/>
      <c r="MX152" s="671"/>
      <c r="MY152" s="678"/>
      <c r="MZ152" s="650"/>
      <c r="NA152" s="651">
        <f t="shared" si="1142"/>
        <v>0</v>
      </c>
      <c r="NB152" s="619" t="e">
        <f>((273.2+MU152)*$F$32/((273.2+$F$31)*MW152))</f>
        <v>#DIV/0!</v>
      </c>
      <c r="NC152" s="674" t="e">
        <f>NA152/MY152*NB152*EXP(-LN(2)/10990*($F$88-MZ152))</f>
        <v>#DIV/0!</v>
      </c>
      <c r="ND152" s="599" t="e">
        <f>NC152-AVERAGE(NK94:NK95)</f>
        <v>#DIV/0!</v>
      </c>
      <c r="NE152" s="672" t="e">
        <f>ABS($B$33*ND152*3600)</f>
        <v>#DIV/0!</v>
      </c>
      <c r="NF152" s="675" t="e">
        <f>ABS($B$34*ND152*3600)</f>
        <v>#DIV/0!</v>
      </c>
      <c r="NG152" s="614" t="e">
        <f>NF152*$C$79</f>
        <v>#DIV/0!</v>
      </c>
      <c r="NH152" s="672" t="e">
        <f>NF152*$F$70</f>
        <v>#DIV/0!</v>
      </c>
      <c r="NI152" s="600" t="e">
        <f>NF152*$F$75</f>
        <v>#DIV/0!</v>
      </c>
      <c r="NJ152" s="672" t="e">
        <f>NF152*$F$72</f>
        <v>#DIV/0!</v>
      </c>
      <c r="NK152" s="676" t="e">
        <f>NF152*$F$71</f>
        <v>#DIV/0!</v>
      </c>
      <c r="NL152" s="668"/>
      <c r="NM152" s="669"/>
      <c r="NN152" s="670"/>
      <c r="NO152" s="671"/>
      <c r="NP152" s="678"/>
      <c r="NQ152" s="650"/>
      <c r="NR152" s="651">
        <f t="shared" si="1144"/>
        <v>0</v>
      </c>
      <c r="NS152" s="619" t="e">
        <f>((273.2+NL152)*$F$32/((273.2+$F$31)*NN152))</f>
        <v>#DIV/0!</v>
      </c>
      <c r="NT152" s="674" t="e">
        <f>NR152/NP152*NS152*EXP(-LN(2)/10990*($F$88-NQ152))</f>
        <v>#DIV/0!</v>
      </c>
      <c r="NU152" s="599" t="e">
        <f>NT152-AVERAGE(OB94:OB95)</f>
        <v>#DIV/0!</v>
      </c>
      <c r="NV152" s="672" t="e">
        <f>ABS($B$33*NU152*3600)</f>
        <v>#DIV/0!</v>
      </c>
      <c r="NW152" s="675" t="e">
        <f>ABS($B$34*NU152*3600)</f>
        <v>#DIV/0!</v>
      </c>
      <c r="NX152" s="614" t="e">
        <f>NW152*$C$79</f>
        <v>#DIV/0!</v>
      </c>
      <c r="NY152" s="672" t="e">
        <f>NW152*$F$70</f>
        <v>#DIV/0!</v>
      </c>
      <c r="NZ152" s="600" t="e">
        <f>NW152*$F$75</f>
        <v>#DIV/0!</v>
      </c>
      <c r="OA152" s="672" t="e">
        <f>NW152*$F$72</f>
        <v>#DIV/0!</v>
      </c>
      <c r="OB152" s="676" t="e">
        <f>NW152*$F$71</f>
        <v>#DIV/0!</v>
      </c>
      <c r="OC152" s="668"/>
      <c r="OD152" s="669"/>
      <c r="OE152" s="670"/>
      <c r="OF152" s="671"/>
      <c r="OG152" s="678"/>
      <c r="OH152" s="650"/>
      <c r="OI152" s="651">
        <f t="shared" si="1146"/>
        <v>0</v>
      </c>
      <c r="OJ152" s="619" t="e">
        <f>((273.2+OC152)*$F$32/((273.2+$F$31)*OE152))</f>
        <v>#DIV/0!</v>
      </c>
      <c r="OK152" s="674" t="e">
        <f>OI152/OG152*OJ152*EXP(-LN(2)/10990*($F$88-OH152))</f>
        <v>#DIV/0!</v>
      </c>
      <c r="OL152" s="599" t="e">
        <f>OK152-AVERAGE(OS94:OS95)</f>
        <v>#DIV/0!</v>
      </c>
      <c r="OM152" s="672" t="e">
        <f>ABS($B$33*OL152*3600)</f>
        <v>#DIV/0!</v>
      </c>
      <c r="ON152" s="675" t="e">
        <f>ABS($B$34*OL152*3600)</f>
        <v>#DIV/0!</v>
      </c>
      <c r="OO152" s="614" t="e">
        <f>ON152*$C$79</f>
        <v>#DIV/0!</v>
      </c>
      <c r="OP152" s="672" t="e">
        <f>ON152*$F$70</f>
        <v>#DIV/0!</v>
      </c>
      <c r="OQ152" s="600" t="e">
        <f>ON152*$F$75</f>
        <v>#DIV/0!</v>
      </c>
      <c r="OR152" s="672" t="e">
        <f>ON152*$F$72</f>
        <v>#DIV/0!</v>
      </c>
      <c r="OS152" s="676" t="e">
        <f>ON152*$F$71</f>
        <v>#DIV/0!</v>
      </c>
      <c r="OT152" s="668"/>
      <c r="OU152" s="669"/>
      <c r="OV152" s="670"/>
      <c r="OW152" s="671"/>
      <c r="OX152" s="678"/>
      <c r="OY152" s="650"/>
      <c r="OZ152" s="651">
        <f t="shared" si="1148"/>
        <v>0</v>
      </c>
      <c r="PA152" s="619" t="e">
        <f>((273.2+OT152)*$F$32/((273.2+$F$31)*OV152))</f>
        <v>#DIV/0!</v>
      </c>
      <c r="PB152" s="674" t="e">
        <f>OZ152/OX152*PA152*EXP(-LN(2)/10990*($F$88-OY152))</f>
        <v>#DIV/0!</v>
      </c>
      <c r="PC152" s="599" t="e">
        <f>PB152-AVERAGE(PJ94:PJ95)</f>
        <v>#DIV/0!</v>
      </c>
      <c r="PD152" s="672" t="e">
        <f>ABS($B$33*PC152*3600)</f>
        <v>#DIV/0!</v>
      </c>
      <c r="PE152" s="675" t="e">
        <f>ABS($B$34*PC152*3600)</f>
        <v>#DIV/0!</v>
      </c>
      <c r="PF152" s="614" t="e">
        <f>PE152*$C$79</f>
        <v>#DIV/0!</v>
      </c>
      <c r="PG152" s="672" t="e">
        <f>PE152*$F$70</f>
        <v>#DIV/0!</v>
      </c>
      <c r="PH152" s="600" t="e">
        <f>PE152*$F$75</f>
        <v>#DIV/0!</v>
      </c>
      <c r="PI152" s="672" t="e">
        <f>PE152*$F$72</f>
        <v>#DIV/0!</v>
      </c>
      <c r="PJ152" s="676" t="e">
        <f>PE152*$F$71</f>
        <v>#DIV/0!</v>
      </c>
      <c r="PK152" s="668"/>
      <c r="PL152" s="669"/>
      <c r="PM152" s="670"/>
      <c r="PN152" s="671"/>
      <c r="PO152" s="678"/>
      <c r="PP152" s="650"/>
      <c r="PQ152" s="651">
        <f t="shared" si="1150"/>
        <v>0</v>
      </c>
      <c r="PR152" s="619" t="e">
        <f>((273.2+PK152)*$F$32/((273.2+$F$31)*PM152))</f>
        <v>#DIV/0!</v>
      </c>
      <c r="PS152" s="674" t="e">
        <f>PQ152/PO152*PR152*EXP(-LN(2)/10990*($F$88-PP152))</f>
        <v>#DIV/0!</v>
      </c>
      <c r="PT152" s="599" t="e">
        <f>PS152-AVERAGE(QA94:QA95)</f>
        <v>#DIV/0!</v>
      </c>
      <c r="PU152" s="672" t="e">
        <f>ABS($B$33*PT152*3600)</f>
        <v>#DIV/0!</v>
      </c>
      <c r="PV152" s="675" t="e">
        <f>ABS($B$34*PT152*3600)</f>
        <v>#DIV/0!</v>
      </c>
      <c r="PW152" s="614" t="e">
        <f>PV152*$C$79</f>
        <v>#DIV/0!</v>
      </c>
      <c r="PX152" s="672" t="e">
        <f>PV152*$F$70</f>
        <v>#DIV/0!</v>
      </c>
      <c r="PY152" s="600" t="e">
        <f>PV152*$F$75</f>
        <v>#DIV/0!</v>
      </c>
      <c r="PZ152" s="672" t="e">
        <f>PV152*$F$72</f>
        <v>#DIV/0!</v>
      </c>
      <c r="QA152" s="676" t="e">
        <f>PV152*$F$71</f>
        <v>#DIV/0!</v>
      </c>
      <c r="QB152" s="668"/>
      <c r="QC152" s="669"/>
      <c r="QD152" s="670"/>
      <c r="QE152" s="671"/>
      <c r="QF152" s="673">
        <v>100</v>
      </c>
      <c r="QG152" s="650"/>
      <c r="QH152" s="651">
        <f t="shared" si="1152"/>
        <v>0</v>
      </c>
      <c r="QI152" s="619" t="e">
        <f>((273.2+QB152)*$F$32/((273.2+$F$31)*QD152))</f>
        <v>#DIV/0!</v>
      </c>
      <c r="QJ152" s="674" t="e">
        <f>QH152/QF152*QI152*EXP(-LN(2)/10990*($F$88-QG152))</f>
        <v>#DIV/0!</v>
      </c>
      <c r="QK152" s="599" t="e">
        <f>QJ152-AVERAGE(QR94:QR95)</f>
        <v>#DIV/0!</v>
      </c>
      <c r="QL152" s="672" t="e">
        <f>ABS($B$33*QK152*3600)</f>
        <v>#DIV/0!</v>
      </c>
      <c r="QM152" s="675" t="e">
        <f>ABS($B$34*QK152*3600)</f>
        <v>#DIV/0!</v>
      </c>
      <c r="QN152" s="614" t="e">
        <f>QM152*$C$79</f>
        <v>#DIV/0!</v>
      </c>
      <c r="QO152" s="672" t="e">
        <f>QM152*$F$70</f>
        <v>#DIV/0!</v>
      </c>
      <c r="QP152" s="600" t="e">
        <f>QM152*$F$75</f>
        <v>#DIV/0!</v>
      </c>
      <c r="QQ152" s="672" t="e">
        <f>QM152*$F$72</f>
        <v>#DIV/0!</v>
      </c>
      <c r="QR152" s="676" t="e">
        <f>QM152*$F$71</f>
        <v>#DIV/0!</v>
      </c>
      <c r="QS152" s="668"/>
      <c r="QT152" s="669"/>
      <c r="QU152" s="669"/>
      <c r="QV152" s="679"/>
      <c r="QW152" s="673">
        <v>100</v>
      </c>
      <c r="QX152" s="650"/>
      <c r="QY152" s="651">
        <f t="shared" si="1154"/>
        <v>0</v>
      </c>
      <c r="QZ152" s="619" t="e">
        <f>((273.2+QS152)*$F$32/((273.2+$F$31)*QU152))</f>
        <v>#DIV/0!</v>
      </c>
      <c r="RA152" s="674" t="e">
        <f>QY152/QW152*QZ152*EXP(-LN(2)/10990*($F$88-QX152))</f>
        <v>#DIV/0!</v>
      </c>
      <c r="RB152" s="599" t="e">
        <f>RA152-AVERAGE(RI94:RI95)</f>
        <v>#DIV/0!</v>
      </c>
      <c r="RC152" s="672" t="e">
        <f>ABS($B$33*RB152*3600)</f>
        <v>#DIV/0!</v>
      </c>
      <c r="RD152" s="675" t="e">
        <f>ABS($B$34*RB152*3600)</f>
        <v>#DIV/0!</v>
      </c>
      <c r="RE152" s="614" t="e">
        <f>RD152*$C$79</f>
        <v>#DIV/0!</v>
      </c>
      <c r="RF152" s="672" t="e">
        <f>RD152*$F$70</f>
        <v>#DIV/0!</v>
      </c>
      <c r="RG152" s="600" t="e">
        <f>RD152*$F$75</f>
        <v>#DIV/0!</v>
      </c>
      <c r="RH152" s="672" t="e">
        <f>RD152*$F$72</f>
        <v>#DIV/0!</v>
      </c>
      <c r="RI152" s="676" t="e">
        <f>RD152*$F$71</f>
        <v>#DIV/0!</v>
      </c>
      <c r="RJ152" s="668"/>
      <c r="RK152" s="669"/>
      <c r="RL152" s="670"/>
      <c r="RM152" s="671"/>
      <c r="RN152" s="678"/>
      <c r="RO152" s="650"/>
      <c r="RP152" s="651">
        <f t="shared" si="1156"/>
        <v>0</v>
      </c>
      <c r="RQ152" s="619" t="e">
        <f>((273.2+RJ152)*$F$32/((273.2+$F$31)*RL152))</f>
        <v>#DIV/0!</v>
      </c>
      <c r="RR152" s="674" t="e">
        <f>RP152/RN152*RQ152*EXP(-LN(2)/10990*($F$88-RO152))</f>
        <v>#DIV/0!</v>
      </c>
      <c r="RS152" s="599" t="e">
        <f>RR152-AVERAGE(RZ94:RZ95)</f>
        <v>#DIV/0!</v>
      </c>
      <c r="RT152" s="672" t="e">
        <f>ABS($B$33*RS152*3600)</f>
        <v>#DIV/0!</v>
      </c>
      <c r="RU152" s="675" t="e">
        <f>ABS($B$34*RS152*3600)</f>
        <v>#DIV/0!</v>
      </c>
      <c r="RV152" s="614" t="e">
        <f>RU152*$C$79</f>
        <v>#DIV/0!</v>
      </c>
      <c r="RW152" s="672" t="e">
        <f>RU152*$F$70</f>
        <v>#DIV/0!</v>
      </c>
      <c r="RX152" s="600" t="e">
        <f>RU152*$F$75</f>
        <v>#DIV/0!</v>
      </c>
      <c r="RY152" s="672" t="e">
        <f>RU152*$F$72</f>
        <v>#DIV/0!</v>
      </c>
      <c r="RZ152" s="676" t="e">
        <f>RU152*$F$71</f>
        <v>#DIV/0!</v>
      </c>
      <c r="SA152" s="668"/>
      <c r="SB152" s="669"/>
      <c r="SC152" s="670"/>
      <c r="SD152" s="671"/>
      <c r="SE152" s="678"/>
      <c r="SF152" s="650"/>
      <c r="SG152" s="651">
        <f t="shared" si="1158"/>
        <v>0</v>
      </c>
      <c r="SH152" s="619" t="e">
        <f>((273.2+SA152)*$F$32/((273.2+$F$31)*SC152))</f>
        <v>#DIV/0!</v>
      </c>
      <c r="SI152" s="674" t="e">
        <f>SG152/SE152*SH152*EXP(-LN(2)/10990*($F$88-SF152))</f>
        <v>#DIV/0!</v>
      </c>
      <c r="SJ152" s="599" t="e">
        <f>SI152-AVERAGE(SQ94:SQ95)</f>
        <v>#DIV/0!</v>
      </c>
      <c r="SK152" s="672" t="e">
        <f>ABS($B$33*SJ152*3600)</f>
        <v>#DIV/0!</v>
      </c>
      <c r="SL152" s="675" t="e">
        <f>ABS($B$34*SJ152*3600)</f>
        <v>#DIV/0!</v>
      </c>
      <c r="SM152" s="614" t="e">
        <f>SL152*$C$79</f>
        <v>#DIV/0!</v>
      </c>
      <c r="SN152" s="672" t="e">
        <f>SL152*$F$70</f>
        <v>#DIV/0!</v>
      </c>
      <c r="SO152" s="600" t="e">
        <f>SL152*$F$75</f>
        <v>#DIV/0!</v>
      </c>
      <c r="SP152" s="672" t="e">
        <f>SL152*$F$72</f>
        <v>#DIV/0!</v>
      </c>
      <c r="SQ152" s="676" t="e">
        <f>SL152*$F$71</f>
        <v>#DIV/0!</v>
      </c>
      <c r="SR152" s="668"/>
      <c r="SS152" s="669"/>
      <c r="ST152" s="670"/>
      <c r="SU152" s="671"/>
      <c r="SV152" s="678"/>
      <c r="SW152" s="650"/>
      <c r="SX152" s="651">
        <f t="shared" si="1160"/>
        <v>0</v>
      </c>
      <c r="SY152" s="619" t="e">
        <f>((273.2+SR152)*$F$32/((273.2+$F$31)*ST152))</f>
        <v>#DIV/0!</v>
      </c>
      <c r="SZ152" s="674" t="e">
        <f>SX152/SV152*SY152*EXP(-LN(2)/10990*($F$88-SW152))</f>
        <v>#DIV/0!</v>
      </c>
      <c r="TA152" s="599" t="e">
        <f>SZ152-AVERAGE(TH94:TH95)</f>
        <v>#DIV/0!</v>
      </c>
      <c r="TB152" s="672" t="e">
        <f>ABS($B$33*TA152*3600)</f>
        <v>#DIV/0!</v>
      </c>
      <c r="TC152" s="675" t="e">
        <f>ABS($B$34*TA152*3600)</f>
        <v>#DIV/0!</v>
      </c>
      <c r="TD152" s="614" t="e">
        <f>TC152*$C$79</f>
        <v>#DIV/0!</v>
      </c>
      <c r="TE152" s="672" t="e">
        <f>TC152*$F$70</f>
        <v>#DIV/0!</v>
      </c>
      <c r="TF152" s="600" t="e">
        <f>TC152*$F$75</f>
        <v>#DIV/0!</v>
      </c>
      <c r="TG152" s="672" t="e">
        <f>TC152*$F$72</f>
        <v>#DIV/0!</v>
      </c>
      <c r="TH152" s="676" t="e">
        <f>TC152*$F$71</f>
        <v>#DIV/0!</v>
      </c>
      <c r="TI152" s="668"/>
      <c r="TJ152" s="669"/>
      <c r="TK152" s="670"/>
      <c r="TL152" s="671"/>
      <c r="TM152" s="678"/>
      <c r="TN152" s="650"/>
      <c r="TO152" s="651">
        <f t="shared" si="1162"/>
        <v>0</v>
      </c>
      <c r="TP152" s="619" t="e">
        <f>((273.2+TI152)*$F$32/((273.2+$F$31)*TK152))</f>
        <v>#DIV/0!</v>
      </c>
      <c r="TQ152" s="674" t="e">
        <f>TO152/TM152*TP152*EXP(-LN(2)/10990*($F$88-TN152))</f>
        <v>#DIV/0!</v>
      </c>
      <c r="TR152" s="599" t="e">
        <f>TQ152-AVERAGE(TY94:TY95)</f>
        <v>#DIV/0!</v>
      </c>
      <c r="TS152" s="672" t="e">
        <f>ABS($B$33*TR152*3600)</f>
        <v>#DIV/0!</v>
      </c>
      <c r="TT152" s="675" t="e">
        <f>ABS($B$34*TR152*3600)</f>
        <v>#DIV/0!</v>
      </c>
      <c r="TU152" s="614" t="e">
        <f>TT152*$C$79</f>
        <v>#DIV/0!</v>
      </c>
      <c r="TV152" s="672" t="e">
        <f>TT152*$F$70</f>
        <v>#DIV/0!</v>
      </c>
      <c r="TW152" s="600" t="e">
        <f>TT152*$F$75</f>
        <v>#DIV/0!</v>
      </c>
      <c r="TX152" s="672" t="e">
        <f>TT152*$F$72</f>
        <v>#DIV/0!</v>
      </c>
      <c r="TY152" s="676" t="e">
        <f>TT152*$F$71</f>
        <v>#DIV/0!</v>
      </c>
    </row>
    <row r="153" spans="1:545" x14ac:dyDescent="0.25">
      <c r="A153" s="2220"/>
      <c r="B153" s="668"/>
      <c r="C153" s="673"/>
      <c r="D153" s="673"/>
      <c r="E153" s="671"/>
      <c r="F153" s="673"/>
      <c r="G153" s="650"/>
      <c r="H153" s="651"/>
      <c r="I153" s="619"/>
      <c r="J153" s="674"/>
      <c r="K153" s="599"/>
      <c r="L153" s="599"/>
      <c r="M153" s="657"/>
      <c r="N153" s="614"/>
      <c r="O153" s="672"/>
      <c r="P153" s="600"/>
      <c r="Q153" s="672"/>
      <c r="R153" s="676"/>
      <c r="S153" s="677"/>
      <c r="T153" s="669"/>
      <c r="U153" s="670"/>
      <c r="V153" s="671"/>
      <c r="W153" s="678"/>
      <c r="X153" s="663"/>
      <c r="Y153" s="651">
        <f t="shared" si="1102"/>
        <v>0</v>
      </c>
      <c r="Z153" s="619" t="e">
        <f>((273.2+S153)*$F$32/((273.2+$F$31)*U153))</f>
        <v>#DIV/0!</v>
      </c>
      <c r="AA153" s="674" t="e">
        <f>Y153/W153*Z153*EXP(-LN(2)/10990*($F$88-X153))</f>
        <v>#DIV/0!</v>
      </c>
      <c r="AB153" s="599" t="e">
        <f>AA153-AVERAGE(AI94:AI95)</f>
        <v>#DIV/0!</v>
      </c>
      <c r="AC153" s="599" t="e">
        <f>ABS($B$33*AB153*3600)</f>
        <v>#DIV/0!</v>
      </c>
      <c r="AD153" s="657" t="e">
        <f>ABS($B$34*AB153*3600)</f>
        <v>#DIV/0!</v>
      </c>
      <c r="AE153" s="614" t="e">
        <f>AD153*$C$79</f>
        <v>#DIV/0!</v>
      </c>
      <c r="AF153" s="672" t="e">
        <f>AD153*$F$70</f>
        <v>#DIV/0!</v>
      </c>
      <c r="AG153" s="600" t="e">
        <f t="shared" si="1103"/>
        <v>#DIV/0!</v>
      </c>
      <c r="AH153" s="672" t="e">
        <f>AD153*$F$72</f>
        <v>#DIV/0!</v>
      </c>
      <c r="AI153" s="676" t="e">
        <f>AD153*$F$71</f>
        <v>#DIV/0!</v>
      </c>
      <c r="AJ153" s="677"/>
      <c r="AK153" s="669"/>
      <c r="AL153" s="670"/>
      <c r="AM153" s="671"/>
      <c r="AN153" s="678"/>
      <c r="AO153" s="663"/>
      <c r="AP153" s="651">
        <f t="shared" si="1104"/>
        <v>0</v>
      </c>
      <c r="AQ153" s="619" t="e">
        <f>((273.2+AJ153)*$F$32/((273.2+$F$31)*AL153))</f>
        <v>#DIV/0!</v>
      </c>
      <c r="AR153" s="674" t="e">
        <f>AP153/AN153*AQ153*EXP(-LN(2)/10990*($F$88-AO153))</f>
        <v>#DIV/0!</v>
      </c>
      <c r="AS153" s="599" t="e">
        <f>AR153-AVERAGE(AZ94:AZ95)</f>
        <v>#DIV/0!</v>
      </c>
      <c r="AT153" s="599" t="e">
        <f>ABS($B$33*AS153*3600)</f>
        <v>#DIV/0!</v>
      </c>
      <c r="AU153" s="657" t="e">
        <f>ABS($B$34*AS153*3600)</f>
        <v>#DIV/0!</v>
      </c>
      <c r="AV153" s="614" t="e">
        <f>AU153*$C$79</f>
        <v>#DIV/0!</v>
      </c>
      <c r="AW153" s="672" t="e">
        <f>AU153*$F$70</f>
        <v>#DIV/0!</v>
      </c>
      <c r="AX153" s="600" t="e">
        <f t="shared" si="1105"/>
        <v>#DIV/0!</v>
      </c>
      <c r="AY153" s="672" t="e">
        <f>AU153*$F$72</f>
        <v>#DIV/0!</v>
      </c>
      <c r="AZ153" s="676" t="e">
        <f>AU153*$F$71</f>
        <v>#DIV/0!</v>
      </c>
      <c r="BA153" s="668"/>
      <c r="BB153" s="669"/>
      <c r="BC153" s="661"/>
      <c r="BD153" s="671"/>
      <c r="BE153" s="678"/>
      <c r="BF153" s="663"/>
      <c r="BG153" s="651">
        <f t="shared" si="1106"/>
        <v>0</v>
      </c>
      <c r="BH153" s="619" t="e">
        <f>((273.2+BA153)*$F$32/((273.2+$F$31)*BC153))</f>
        <v>#DIV/0!</v>
      </c>
      <c r="BI153" s="674" t="e">
        <f>BG153/BE153*BH153*EXP(-LN(2)/10990*($F$88-BF153))</f>
        <v>#DIV/0!</v>
      </c>
      <c r="BJ153" s="599" t="e">
        <f>BI153-AVERAGE(BQ94:BQ95)</f>
        <v>#DIV/0!</v>
      </c>
      <c r="BK153" s="599" t="e">
        <f>ABS($B$33*BJ153*3600)</f>
        <v>#DIV/0!</v>
      </c>
      <c r="BL153" s="657" t="e">
        <f>ABS($B$34*BJ153*3600)</f>
        <v>#DIV/0!</v>
      </c>
      <c r="BM153" s="614" t="e">
        <f>BL153*$C$79</f>
        <v>#DIV/0!</v>
      </c>
      <c r="BN153" s="672" t="e">
        <f>BL153*$F$70</f>
        <v>#DIV/0!</v>
      </c>
      <c r="BO153" s="600" t="e">
        <f t="shared" si="1107"/>
        <v>#DIV/0!</v>
      </c>
      <c r="BP153" s="672" t="e">
        <f>BL153*$F$72</f>
        <v>#DIV/0!</v>
      </c>
      <c r="BQ153" s="676" t="e">
        <f>BL153*$F$71</f>
        <v>#DIV/0!</v>
      </c>
      <c r="BR153" s="668"/>
      <c r="BS153" s="669"/>
      <c r="BT153" s="670"/>
      <c r="BU153" s="671"/>
      <c r="BV153" s="678"/>
      <c r="BW153" s="663"/>
      <c r="BX153" s="651">
        <f t="shared" si="1108"/>
        <v>0</v>
      </c>
      <c r="BY153" s="619" t="e">
        <f>((273.2+BR153)*$F$32/((273.2+$F$31)*BT153))</f>
        <v>#DIV/0!</v>
      </c>
      <c r="BZ153" s="674" t="e">
        <f>BX153/BV153*BY153*EXP(-LN(2)/10990*($F$88-BW153))</f>
        <v>#DIV/0!</v>
      </c>
      <c r="CA153" s="599" t="e">
        <f>BZ153-AVERAGE(CH94:CH95)</f>
        <v>#DIV/0!</v>
      </c>
      <c r="CB153" s="599" t="e">
        <f>ABS($B$33*CA153*3600)</f>
        <v>#DIV/0!</v>
      </c>
      <c r="CC153" s="657" t="e">
        <f>ABS($B$34*CA153*3600)</f>
        <v>#DIV/0!</v>
      </c>
      <c r="CD153" s="614" t="e">
        <f>CC153*$C$79</f>
        <v>#DIV/0!</v>
      </c>
      <c r="CE153" s="672" t="e">
        <f>CC153*$F$70</f>
        <v>#DIV/0!</v>
      </c>
      <c r="CF153" s="600" t="e">
        <f t="shared" si="1109"/>
        <v>#DIV/0!</v>
      </c>
      <c r="CG153" s="672" t="e">
        <f>CC153*$F$72</f>
        <v>#DIV/0!</v>
      </c>
      <c r="CH153" s="676" t="e">
        <f>CC153*$F$71</f>
        <v>#DIV/0!</v>
      </c>
      <c r="CI153" s="668"/>
      <c r="CJ153" s="669"/>
      <c r="CK153" s="670"/>
      <c r="CL153" s="671"/>
      <c r="CM153" s="678"/>
      <c r="CN153" s="663"/>
      <c r="CO153" s="651">
        <f t="shared" si="1110"/>
        <v>0</v>
      </c>
      <c r="CP153" s="619" t="e">
        <f>((273.2+CI153)*$F$32/((273.2+$F$31)*CK153))</f>
        <v>#DIV/0!</v>
      </c>
      <c r="CQ153" s="674" t="e">
        <f>CO153/CM153*CP153*EXP(-LN(2)/10990*($F$88-CN153))</f>
        <v>#DIV/0!</v>
      </c>
      <c r="CR153" s="599" t="e">
        <f>CQ153-AVERAGE(CY94:CY95)</f>
        <v>#DIV/0!</v>
      </c>
      <c r="CS153" s="599" t="e">
        <f>ABS($B$33*CR153*3600)</f>
        <v>#DIV/0!</v>
      </c>
      <c r="CT153" s="657" t="e">
        <f>ABS($B$34*CR153*3600)</f>
        <v>#DIV/0!</v>
      </c>
      <c r="CU153" s="614" t="e">
        <f>CT153*$C$79</f>
        <v>#DIV/0!</v>
      </c>
      <c r="CV153" s="672" t="e">
        <f>CT153*$F$70</f>
        <v>#DIV/0!</v>
      </c>
      <c r="CW153" s="600" t="e">
        <f t="shared" si="1111"/>
        <v>#DIV/0!</v>
      </c>
      <c r="CX153" s="672" t="e">
        <f>CT153*$F$72</f>
        <v>#DIV/0!</v>
      </c>
      <c r="CY153" s="676" t="e">
        <f>CT153*$F$71</f>
        <v>#DIV/0!</v>
      </c>
      <c r="CZ153" s="668"/>
      <c r="DA153" s="669"/>
      <c r="DB153" s="670"/>
      <c r="DC153" s="671"/>
      <c r="DD153" s="678"/>
      <c r="DE153" s="663"/>
      <c r="DF153" s="651">
        <f t="shared" si="1112"/>
        <v>0</v>
      </c>
      <c r="DG153" s="619" t="e">
        <f>((273.2+CZ153)*$F$32/((273.2+$F$31)*DB153))</f>
        <v>#DIV/0!</v>
      </c>
      <c r="DH153" s="674" t="e">
        <f>DF153/DD153*DG153*EXP(-LN(2)/10990*($F$88-DE153))</f>
        <v>#DIV/0!</v>
      </c>
      <c r="DI153" s="599" t="e">
        <f>DH153-AVERAGE(DP94:DP95)</f>
        <v>#DIV/0!</v>
      </c>
      <c r="DJ153" s="599" t="e">
        <f>ABS($B$33*DI153*3600)</f>
        <v>#DIV/0!</v>
      </c>
      <c r="DK153" s="657" t="e">
        <f>ABS($B$34*DI153*3600)</f>
        <v>#DIV/0!</v>
      </c>
      <c r="DL153" s="614" t="e">
        <f>DK153*$C$79</f>
        <v>#DIV/0!</v>
      </c>
      <c r="DM153" s="672" t="e">
        <f>DK153*$F$70</f>
        <v>#DIV/0!</v>
      </c>
      <c r="DN153" s="600" t="e">
        <f t="shared" si="1113"/>
        <v>#DIV/0!</v>
      </c>
      <c r="DO153" s="672" t="e">
        <f>DK153*$F$72</f>
        <v>#DIV/0!</v>
      </c>
      <c r="DP153" s="676" t="e">
        <f>DK153*$F$71</f>
        <v>#DIV/0!</v>
      </c>
      <c r="DQ153" s="668"/>
      <c r="DR153" s="669"/>
      <c r="DS153" s="677"/>
      <c r="DT153" s="679"/>
      <c r="DU153" s="678"/>
      <c r="DV153" s="663"/>
      <c r="DW153" s="651">
        <f t="shared" si="1114"/>
        <v>0</v>
      </c>
      <c r="DX153" s="619" t="e">
        <f>((273.2+DQ153)*$F$32/((273.2+$F$31)*DS153))</f>
        <v>#DIV/0!</v>
      </c>
      <c r="DY153" s="674" t="e">
        <f>DW153/DU153*DX153*EXP(-LN(2)/10990*($F$88-DV153))</f>
        <v>#DIV/0!</v>
      </c>
      <c r="DZ153" s="599" t="e">
        <f>DY153-AVERAGE(EG94:EG95)</f>
        <v>#DIV/0!</v>
      </c>
      <c r="EA153" s="599" t="e">
        <f>ABS($B$33*DZ153*3600)</f>
        <v>#DIV/0!</v>
      </c>
      <c r="EB153" s="657" t="e">
        <f>ABS($B$34*DZ153*3600)</f>
        <v>#DIV/0!</v>
      </c>
      <c r="EC153" s="614" t="e">
        <f>EB153*$C$79</f>
        <v>#DIV/0!</v>
      </c>
      <c r="ED153" s="672" t="e">
        <f>EB153*$F$70</f>
        <v>#DIV/0!</v>
      </c>
      <c r="EE153" s="600" t="e">
        <f t="shared" si="1115"/>
        <v>#DIV/0!</v>
      </c>
      <c r="EF153" s="672" t="e">
        <f>EB153*$F$72</f>
        <v>#DIV/0!</v>
      </c>
      <c r="EG153" s="676" t="e">
        <f>EB153*$F$71</f>
        <v>#DIV/0!</v>
      </c>
      <c r="EH153" s="668"/>
      <c r="EI153" s="669"/>
      <c r="EJ153" s="670"/>
      <c r="EK153" s="671"/>
      <c r="EL153" s="678"/>
      <c r="EM153" s="663"/>
      <c r="EN153" s="651">
        <f t="shared" si="1116"/>
        <v>0</v>
      </c>
      <c r="EO153" s="619" t="e">
        <f>((273.2+EH153)*$F$32/((273.2+$F$31)*EJ153))</f>
        <v>#DIV/0!</v>
      </c>
      <c r="EP153" s="674" t="e">
        <f>EN153/EL153*EO153*EXP(-LN(2)/10990*($F$88-EM153))</f>
        <v>#DIV/0!</v>
      </c>
      <c r="EQ153" s="599" t="e">
        <f>EP153-AVERAGE(EX94:EX95)</f>
        <v>#DIV/0!</v>
      </c>
      <c r="ER153" s="599" t="e">
        <f>ABS($B$33*EQ153*3600)</f>
        <v>#DIV/0!</v>
      </c>
      <c r="ES153" s="657" t="e">
        <f>ABS($B$34*EQ153*3600)</f>
        <v>#DIV/0!</v>
      </c>
      <c r="ET153" s="614" t="e">
        <f>ES153*$C$79</f>
        <v>#DIV/0!</v>
      </c>
      <c r="EU153" s="672" t="e">
        <f>ES153*$F$70</f>
        <v>#DIV/0!</v>
      </c>
      <c r="EV153" s="600" t="e">
        <f t="shared" si="1117"/>
        <v>#DIV/0!</v>
      </c>
      <c r="EW153" s="672" t="e">
        <f>ES153*$F$72</f>
        <v>#DIV/0!</v>
      </c>
      <c r="EX153" s="676" t="e">
        <f>ES153*$F$71</f>
        <v>#DIV/0!</v>
      </c>
      <c r="EY153" s="668"/>
      <c r="EZ153" s="669"/>
      <c r="FA153" s="670"/>
      <c r="FB153" s="671"/>
      <c r="FC153" s="678"/>
      <c r="FD153" s="663"/>
      <c r="FE153" s="651">
        <f t="shared" si="1118"/>
        <v>0</v>
      </c>
      <c r="FF153" s="619" t="e">
        <f>((273.2+EY153)*$F$32/((273.2+$F$31)*FA153))</f>
        <v>#DIV/0!</v>
      </c>
      <c r="FG153" s="674" t="e">
        <f>FE153/FC153*FF153*EXP(-LN(2)/10990*($F$88-FD153))</f>
        <v>#DIV/0!</v>
      </c>
      <c r="FH153" s="599" t="e">
        <f>FG153-AVERAGE(FO94:FO95)</f>
        <v>#DIV/0!</v>
      </c>
      <c r="FI153" s="599" t="e">
        <f>ABS($B$33*FH153*3600)</f>
        <v>#DIV/0!</v>
      </c>
      <c r="FJ153" s="657" t="e">
        <f>ABS($B$34*FH153*3600)</f>
        <v>#DIV/0!</v>
      </c>
      <c r="FK153" s="614" t="e">
        <f>FJ153*$C$79</f>
        <v>#DIV/0!</v>
      </c>
      <c r="FL153" s="672" t="e">
        <f>FJ153*$F$70</f>
        <v>#DIV/0!</v>
      </c>
      <c r="FM153" s="600" t="e">
        <f t="shared" si="1119"/>
        <v>#DIV/0!</v>
      </c>
      <c r="FN153" s="672" t="e">
        <f>FJ153*$F$72</f>
        <v>#DIV/0!</v>
      </c>
      <c r="FO153" s="676" t="e">
        <f>FJ153*$F$71</f>
        <v>#DIV/0!</v>
      </c>
      <c r="FP153" s="668"/>
      <c r="FQ153" s="669"/>
      <c r="FR153" s="670"/>
      <c r="FS153" s="671"/>
      <c r="FT153" s="678"/>
      <c r="FU153" s="663"/>
      <c r="FV153" s="651">
        <f t="shared" si="1120"/>
        <v>0</v>
      </c>
      <c r="FW153" s="619" t="e">
        <f>((273.2+FP153)*$F$32/((273.2+$F$31)*FR153))</f>
        <v>#DIV/0!</v>
      </c>
      <c r="FX153" s="674" t="e">
        <f>FV153/FT153*FW153*EXP(-LN(2)/10990*($F$88-FU153))</f>
        <v>#DIV/0!</v>
      </c>
      <c r="FY153" s="599" t="e">
        <f>FX153-AVERAGE(GF94:GF95)</f>
        <v>#DIV/0!</v>
      </c>
      <c r="FZ153" s="599" t="e">
        <f>ABS($B$33*FY153*3600)</f>
        <v>#DIV/0!</v>
      </c>
      <c r="GA153" s="657" t="e">
        <f>ABS($B$34*FY153*3600)</f>
        <v>#DIV/0!</v>
      </c>
      <c r="GB153" s="614" t="e">
        <f>GA153*$C$79</f>
        <v>#DIV/0!</v>
      </c>
      <c r="GC153" s="672" t="e">
        <f>GA153*$F$70</f>
        <v>#DIV/0!</v>
      </c>
      <c r="GD153" s="600" t="e">
        <f t="shared" si="1121"/>
        <v>#DIV/0!</v>
      </c>
      <c r="GE153" s="672" t="e">
        <f>GA153*$F$72</f>
        <v>#DIV/0!</v>
      </c>
      <c r="GF153" s="676" t="e">
        <f>GA153*$F$71</f>
        <v>#DIV/0!</v>
      </c>
      <c r="GG153" s="668"/>
      <c r="GH153" s="669"/>
      <c r="GI153" s="677"/>
      <c r="GJ153" s="679"/>
      <c r="GK153" s="678"/>
      <c r="GL153" s="663"/>
      <c r="GM153" s="651">
        <f t="shared" si="1122"/>
        <v>0</v>
      </c>
      <c r="GN153" s="619" t="e">
        <f>((273.2+GG153)*$F$32/((273.2+$F$31)*GI153))</f>
        <v>#DIV/0!</v>
      </c>
      <c r="GO153" s="674" t="e">
        <f>GM153/GK153*GN153*EXP(-LN(2)/10990*($F$88-GL153))</f>
        <v>#DIV/0!</v>
      </c>
      <c r="GP153" s="599" t="e">
        <f>GO153-AVERAGE(GW94:GW95)</f>
        <v>#DIV/0!</v>
      </c>
      <c r="GQ153" s="599" t="e">
        <f>ABS($B$33*GP153*3600)</f>
        <v>#DIV/0!</v>
      </c>
      <c r="GR153" s="657" t="e">
        <f>ABS($B$34*GP153*3600)</f>
        <v>#DIV/0!</v>
      </c>
      <c r="GS153" s="614" t="e">
        <f>GR153*$C$79</f>
        <v>#DIV/0!</v>
      </c>
      <c r="GT153" s="672" t="e">
        <f>GR153*$F$70</f>
        <v>#DIV/0!</v>
      </c>
      <c r="GU153" s="600" t="e">
        <f t="shared" si="1123"/>
        <v>#DIV/0!</v>
      </c>
      <c r="GV153" s="672" t="e">
        <f>GR153*$F$72</f>
        <v>#DIV/0!</v>
      </c>
      <c r="GW153" s="676" t="e">
        <f>GR153*$F$71</f>
        <v>#DIV/0!</v>
      </c>
      <c r="GX153" s="668"/>
      <c r="GY153" s="669"/>
      <c r="GZ153" s="670"/>
      <c r="HA153" s="671"/>
      <c r="HB153" s="678"/>
      <c r="HC153" s="663"/>
      <c r="HD153" s="651">
        <f t="shared" si="1124"/>
        <v>0</v>
      </c>
      <c r="HE153" s="619" t="e">
        <f>((273.2+GX153)*$F$32/((273.2+$F$31)*GZ153))</f>
        <v>#DIV/0!</v>
      </c>
      <c r="HF153" s="674" t="e">
        <f>HD153/HB153*HE153*EXP(-LN(2)/10990*($F$88-HC153))</f>
        <v>#DIV/0!</v>
      </c>
      <c r="HG153" s="599" t="e">
        <f>HF153-AVERAGE(HN94:HN95)</f>
        <v>#DIV/0!</v>
      </c>
      <c r="HH153" s="599" t="e">
        <f>ABS($B$33*HG153*3600)</f>
        <v>#DIV/0!</v>
      </c>
      <c r="HI153" s="657" t="e">
        <f>ABS($B$34*HG153*3600)</f>
        <v>#DIV/0!</v>
      </c>
      <c r="HJ153" s="614" t="e">
        <f>HI153*$C$79</f>
        <v>#DIV/0!</v>
      </c>
      <c r="HK153" s="672" t="e">
        <f>HI153*$F$70</f>
        <v>#DIV/0!</v>
      </c>
      <c r="HL153" s="600" t="e">
        <f t="shared" si="1125"/>
        <v>#DIV/0!</v>
      </c>
      <c r="HM153" s="672" t="e">
        <f>HI153*$F$72</f>
        <v>#DIV/0!</v>
      </c>
      <c r="HN153" s="676" t="e">
        <f>HI153*$F$71</f>
        <v>#DIV/0!</v>
      </c>
      <c r="HO153" s="668"/>
      <c r="HP153" s="669"/>
      <c r="HQ153" s="670"/>
      <c r="HR153" s="671"/>
      <c r="HS153" s="678"/>
      <c r="HT153" s="663"/>
      <c r="HU153" s="651">
        <f t="shared" si="1126"/>
        <v>0</v>
      </c>
      <c r="HV153" s="619" t="e">
        <f>((273.2+HO153)*$F$32/((273.2+$F$31)*HQ153))</f>
        <v>#DIV/0!</v>
      </c>
      <c r="HW153" s="674" t="e">
        <f>HU153/HS153*HV153*EXP(-LN(2)/10990*($F$88-HT153))</f>
        <v>#DIV/0!</v>
      </c>
      <c r="HX153" s="599" t="e">
        <f>HW153-AVERAGE(IE94:IE95)</f>
        <v>#DIV/0!</v>
      </c>
      <c r="HY153" s="599" t="e">
        <f>ABS($B$33*HX153*3600)</f>
        <v>#DIV/0!</v>
      </c>
      <c r="HZ153" s="657" t="e">
        <f>ABS($B$34*HX153*3600)</f>
        <v>#DIV/0!</v>
      </c>
      <c r="IA153" s="614" t="e">
        <f>HZ153*$C$79</f>
        <v>#DIV/0!</v>
      </c>
      <c r="IB153" s="672" t="e">
        <f>HZ153*$F$70</f>
        <v>#DIV/0!</v>
      </c>
      <c r="IC153" s="600" t="e">
        <f t="shared" si="1127"/>
        <v>#DIV/0!</v>
      </c>
      <c r="ID153" s="672" t="e">
        <f>HZ153*$F$72</f>
        <v>#DIV/0!</v>
      </c>
      <c r="IE153" s="676" t="e">
        <f>HZ153*$F$71</f>
        <v>#DIV/0!</v>
      </c>
      <c r="IF153" s="668"/>
      <c r="IG153" s="669"/>
      <c r="IH153" s="670"/>
      <c r="II153" s="671"/>
      <c r="IJ153" s="678"/>
      <c r="IK153" s="663"/>
      <c r="IL153" s="651">
        <f t="shared" si="1128"/>
        <v>0</v>
      </c>
      <c r="IM153" s="619" t="e">
        <f>((273.2+IF153)*$F$32/((273.2+$F$31)*IH153))</f>
        <v>#DIV/0!</v>
      </c>
      <c r="IN153" s="674" t="e">
        <f>IL153/IJ153*IM153*EXP(-LN(2)/10990*($F$88-IK153))</f>
        <v>#DIV/0!</v>
      </c>
      <c r="IO153" s="599" t="e">
        <f>IN153-AVERAGE(IV94:IV95)</f>
        <v>#DIV/0!</v>
      </c>
      <c r="IP153" s="599" t="e">
        <f>ABS($B$33*IO153*3600)</f>
        <v>#DIV/0!</v>
      </c>
      <c r="IQ153" s="657" t="e">
        <f>ABS($B$34*IO153*3600)</f>
        <v>#DIV/0!</v>
      </c>
      <c r="IR153" s="614" t="e">
        <f>IQ153*$C$79</f>
        <v>#DIV/0!</v>
      </c>
      <c r="IS153" s="672" t="e">
        <f>IQ153*$F$70</f>
        <v>#DIV/0!</v>
      </c>
      <c r="IT153" s="600" t="e">
        <f t="shared" si="1129"/>
        <v>#DIV/0!</v>
      </c>
      <c r="IU153" s="672" t="e">
        <f>IQ153*$F$72</f>
        <v>#DIV/0!</v>
      </c>
      <c r="IV153" s="676" t="e">
        <f>IQ153*$F$71</f>
        <v>#DIV/0!</v>
      </c>
      <c r="IW153" s="668"/>
      <c r="IX153" s="669"/>
      <c r="IY153" s="670"/>
      <c r="IZ153" s="671"/>
      <c r="JA153" s="678"/>
      <c r="JB153" s="663"/>
      <c r="JC153" s="651">
        <f t="shared" si="1130"/>
        <v>0</v>
      </c>
      <c r="JD153" s="619" t="e">
        <f>((273.2+IW153)*$F$32/((273.2+$F$31)*IY153))</f>
        <v>#DIV/0!</v>
      </c>
      <c r="JE153" s="674" t="e">
        <f>JC153/JA153*JD153*EXP(-LN(2)/10990*($F$88-JB153))</f>
        <v>#DIV/0!</v>
      </c>
      <c r="JF153" s="599" t="e">
        <f>JE153-AVERAGE(JM94:JM95)</f>
        <v>#DIV/0!</v>
      </c>
      <c r="JG153" s="599" t="e">
        <f>ABS($B$33*JF153*3600)</f>
        <v>#DIV/0!</v>
      </c>
      <c r="JH153" s="657" t="e">
        <f>ABS($B$34*JF153*3600)</f>
        <v>#DIV/0!</v>
      </c>
      <c r="JI153" s="614" t="e">
        <f>JH153*$C$79</f>
        <v>#DIV/0!</v>
      </c>
      <c r="JJ153" s="672" t="e">
        <f>JH153*$F$70</f>
        <v>#DIV/0!</v>
      </c>
      <c r="JK153" s="600" t="e">
        <f t="shared" si="1131"/>
        <v>#DIV/0!</v>
      </c>
      <c r="JL153" s="672" t="e">
        <f>JH153*$F$72</f>
        <v>#DIV/0!</v>
      </c>
      <c r="JM153" s="676" t="e">
        <f>JH153*$F$71</f>
        <v>#DIV/0!</v>
      </c>
      <c r="JN153" s="668"/>
      <c r="JO153" s="669"/>
      <c r="JP153" s="670"/>
      <c r="JQ153" s="671"/>
      <c r="JR153" s="678"/>
      <c r="JS153" s="663"/>
      <c r="JT153" s="651">
        <f t="shared" si="1132"/>
        <v>0</v>
      </c>
      <c r="JU153" s="619" t="e">
        <f>((273.2+JN153)*$F$32/((273.2+$F$31)*JP153))</f>
        <v>#DIV/0!</v>
      </c>
      <c r="JV153" s="674" t="e">
        <f>JT153/JR153*JU153*EXP(-LN(2)/10990*($F$88-JS153))</f>
        <v>#DIV/0!</v>
      </c>
      <c r="JW153" s="599" t="e">
        <f>JV153-AVERAGE(KD94:KD95)</f>
        <v>#DIV/0!</v>
      </c>
      <c r="JX153" s="599" t="e">
        <f>ABS($B$33*JW153*3600)</f>
        <v>#DIV/0!</v>
      </c>
      <c r="JY153" s="657" t="e">
        <f>ABS($B$34*JW153*3600)</f>
        <v>#DIV/0!</v>
      </c>
      <c r="JZ153" s="614" t="e">
        <f>JY153*$C$79</f>
        <v>#DIV/0!</v>
      </c>
      <c r="KA153" s="672" t="e">
        <f>JY153*$F$70</f>
        <v>#DIV/0!</v>
      </c>
      <c r="KB153" s="600" t="e">
        <f t="shared" si="1133"/>
        <v>#DIV/0!</v>
      </c>
      <c r="KC153" s="672" t="e">
        <f>JY153*$F$72</f>
        <v>#DIV/0!</v>
      </c>
      <c r="KD153" s="676" t="e">
        <f>JY153*$F$71</f>
        <v>#DIV/0!</v>
      </c>
      <c r="KE153" s="668"/>
      <c r="KF153" s="669"/>
      <c r="KG153" s="670"/>
      <c r="KH153" s="671"/>
      <c r="KI153" s="678"/>
      <c r="KJ153" s="663"/>
      <c r="KK153" s="651">
        <f t="shared" si="1134"/>
        <v>0</v>
      </c>
      <c r="KL153" s="619" t="e">
        <f>((273.2+KE153)*$F$32/((273.2+$F$31)*KG153))</f>
        <v>#DIV/0!</v>
      </c>
      <c r="KM153" s="674" t="e">
        <f>KK153/KI153*KL153*EXP(-LN(2)/10990*($F$88-KJ153))</f>
        <v>#DIV/0!</v>
      </c>
      <c r="KN153" s="599" t="e">
        <f>KM153-AVERAGE(KU94:KU95)</f>
        <v>#DIV/0!</v>
      </c>
      <c r="KO153" s="599" t="e">
        <f>ABS($B$33*KN153*3600)</f>
        <v>#DIV/0!</v>
      </c>
      <c r="KP153" s="657" t="e">
        <f>ABS($B$34*KN153*3600)</f>
        <v>#DIV/0!</v>
      </c>
      <c r="KQ153" s="614" t="e">
        <f>KP153*$C$79</f>
        <v>#DIV/0!</v>
      </c>
      <c r="KR153" s="672" t="e">
        <f>KP153*$F$70</f>
        <v>#DIV/0!</v>
      </c>
      <c r="KS153" s="600" t="e">
        <f t="shared" si="1135"/>
        <v>#DIV/0!</v>
      </c>
      <c r="KT153" s="672" t="e">
        <f>KP153*$F$72</f>
        <v>#DIV/0!</v>
      </c>
      <c r="KU153" s="676" t="e">
        <f>KP153*$F$71</f>
        <v>#DIV/0!</v>
      </c>
      <c r="KV153" s="668"/>
      <c r="KW153" s="669"/>
      <c r="KX153" s="670"/>
      <c r="KY153" s="671"/>
      <c r="KZ153" s="678"/>
      <c r="LA153" s="663"/>
      <c r="LB153" s="651">
        <f t="shared" si="1136"/>
        <v>0</v>
      </c>
      <c r="LC153" s="619" t="e">
        <f>((273.2+KV153)*$F$32/((273.2+$F$31)*KX153))</f>
        <v>#DIV/0!</v>
      </c>
      <c r="LD153" s="674" t="e">
        <f>LB153/KZ153*LC153*EXP(-LN(2)/10990*($F$88-LA153))</f>
        <v>#DIV/0!</v>
      </c>
      <c r="LE153" s="599" t="e">
        <f>LD153-AVERAGE(LL94:LL95)</f>
        <v>#DIV/0!</v>
      </c>
      <c r="LF153" s="599" t="e">
        <f>ABS($B$33*LE153*3600)</f>
        <v>#DIV/0!</v>
      </c>
      <c r="LG153" s="657" t="e">
        <f>ABS($B$34*LE153*3600)</f>
        <v>#DIV/0!</v>
      </c>
      <c r="LH153" s="614" t="e">
        <f>LG153*$C$79</f>
        <v>#DIV/0!</v>
      </c>
      <c r="LI153" s="672" t="e">
        <f>LG153*$F$70</f>
        <v>#DIV/0!</v>
      </c>
      <c r="LJ153" s="600" t="e">
        <f t="shared" si="1137"/>
        <v>#DIV/0!</v>
      </c>
      <c r="LK153" s="672" t="e">
        <f>LG153*$F$72</f>
        <v>#DIV/0!</v>
      </c>
      <c r="LL153" s="676" t="e">
        <f>LG153*$F$71</f>
        <v>#DIV/0!</v>
      </c>
      <c r="LM153" s="668"/>
      <c r="LN153" s="669"/>
      <c r="LO153" s="670"/>
      <c r="LP153" s="671"/>
      <c r="LQ153" s="678"/>
      <c r="LR153" s="663"/>
      <c r="LS153" s="651">
        <f t="shared" si="1138"/>
        <v>0</v>
      </c>
      <c r="LT153" s="619" t="e">
        <f>((273.2+LM153)*$F$32/((273.2+$F$31)*LO153))</f>
        <v>#DIV/0!</v>
      </c>
      <c r="LU153" s="674" t="e">
        <f>LS153/LQ153*LT153*EXP(-LN(2)/10990*($F$88-LR153))</f>
        <v>#DIV/0!</v>
      </c>
      <c r="LV153" s="599" t="e">
        <f>LU153-AVERAGE(MC94:MC95)</f>
        <v>#DIV/0!</v>
      </c>
      <c r="LW153" s="599" t="e">
        <f>ABS($B$33*LV153*3600)</f>
        <v>#DIV/0!</v>
      </c>
      <c r="LX153" s="657" t="e">
        <f>ABS($B$34*LV153*3600)</f>
        <v>#DIV/0!</v>
      </c>
      <c r="LY153" s="614" t="e">
        <f>LX153*$C$79</f>
        <v>#DIV/0!</v>
      </c>
      <c r="LZ153" s="672" t="e">
        <f>LX153*$F$70</f>
        <v>#DIV/0!</v>
      </c>
      <c r="MA153" s="600" t="e">
        <f t="shared" si="1139"/>
        <v>#DIV/0!</v>
      </c>
      <c r="MB153" s="672" t="e">
        <f>LX153*$F$72</f>
        <v>#DIV/0!</v>
      </c>
      <c r="MC153" s="676" t="e">
        <f>LX153*$F$71</f>
        <v>#DIV/0!</v>
      </c>
      <c r="MD153" s="668"/>
      <c r="ME153" s="669"/>
      <c r="MF153" s="670"/>
      <c r="MG153" s="671"/>
      <c r="MH153" s="678"/>
      <c r="MI153" s="663"/>
      <c r="MJ153" s="651">
        <f t="shared" si="1140"/>
        <v>0</v>
      </c>
      <c r="MK153" s="619" t="e">
        <f>((273.2+MD153)*$F$32/((273.2+$F$31)*MF153))</f>
        <v>#DIV/0!</v>
      </c>
      <c r="ML153" s="674" t="e">
        <f>MJ153/MH153*MK153*EXP(-LN(2)/10990*($F$88-MI153))</f>
        <v>#DIV/0!</v>
      </c>
      <c r="MM153" s="599" t="e">
        <f>ML153-AVERAGE(MT94:MT95)</f>
        <v>#DIV/0!</v>
      </c>
      <c r="MN153" s="599" t="e">
        <f>ABS($B$33*MM153*3600)</f>
        <v>#DIV/0!</v>
      </c>
      <c r="MO153" s="657" t="e">
        <f>ABS($B$34*MM153*3600)</f>
        <v>#DIV/0!</v>
      </c>
      <c r="MP153" s="614" t="e">
        <f>MO153*$C$79</f>
        <v>#DIV/0!</v>
      </c>
      <c r="MQ153" s="672" t="e">
        <f>MO153*$F$70</f>
        <v>#DIV/0!</v>
      </c>
      <c r="MR153" s="600" t="e">
        <f t="shared" si="1141"/>
        <v>#DIV/0!</v>
      </c>
      <c r="MS153" s="672" t="e">
        <f>MO153*$F$72</f>
        <v>#DIV/0!</v>
      </c>
      <c r="MT153" s="676" t="e">
        <f>MO153*$F$71</f>
        <v>#DIV/0!</v>
      </c>
      <c r="MU153" s="668"/>
      <c r="MV153" s="669"/>
      <c r="MW153" s="670"/>
      <c r="MX153" s="671"/>
      <c r="MY153" s="678"/>
      <c r="MZ153" s="663"/>
      <c r="NA153" s="651">
        <f t="shared" si="1142"/>
        <v>0</v>
      </c>
      <c r="NB153" s="619" t="e">
        <f>((273.2+MU153)*$F$32/((273.2+$F$31)*MW153))</f>
        <v>#DIV/0!</v>
      </c>
      <c r="NC153" s="674" t="e">
        <f>NA153/MY153*NB153*EXP(-LN(2)/10990*($F$88-MZ153))</f>
        <v>#DIV/0!</v>
      </c>
      <c r="ND153" s="599" t="e">
        <f>NC153-AVERAGE(NK94:NK95)</f>
        <v>#DIV/0!</v>
      </c>
      <c r="NE153" s="599" t="e">
        <f>ABS($B$33*ND153*3600)</f>
        <v>#DIV/0!</v>
      </c>
      <c r="NF153" s="657" t="e">
        <f>ABS($B$34*ND153*3600)</f>
        <v>#DIV/0!</v>
      </c>
      <c r="NG153" s="614" t="e">
        <f>NF153*$C$79</f>
        <v>#DIV/0!</v>
      </c>
      <c r="NH153" s="672" t="e">
        <f>NF153*$F$70</f>
        <v>#DIV/0!</v>
      </c>
      <c r="NI153" s="600" t="e">
        <f t="shared" si="1143"/>
        <v>#DIV/0!</v>
      </c>
      <c r="NJ153" s="672" t="e">
        <f>NF153*$F$72</f>
        <v>#DIV/0!</v>
      </c>
      <c r="NK153" s="676" t="e">
        <f>NF153*$F$71</f>
        <v>#DIV/0!</v>
      </c>
      <c r="NL153" s="668"/>
      <c r="NM153" s="669"/>
      <c r="NN153" s="670"/>
      <c r="NO153" s="671"/>
      <c r="NP153" s="678"/>
      <c r="NQ153" s="663"/>
      <c r="NR153" s="651">
        <f t="shared" si="1144"/>
        <v>0</v>
      </c>
      <c r="NS153" s="619" t="e">
        <f>((273.2+NL153)*$F$32/((273.2+$F$31)*NN153))</f>
        <v>#DIV/0!</v>
      </c>
      <c r="NT153" s="674" t="e">
        <f>NR153/NP153*NS153*EXP(-LN(2)/10990*($F$88-NQ153))</f>
        <v>#DIV/0!</v>
      </c>
      <c r="NU153" s="599" t="e">
        <f>NT153-AVERAGE(OB94:OB95)</f>
        <v>#DIV/0!</v>
      </c>
      <c r="NV153" s="599" t="e">
        <f>ABS($B$33*NU153*3600)</f>
        <v>#DIV/0!</v>
      </c>
      <c r="NW153" s="657" t="e">
        <f>ABS($B$34*NU153*3600)</f>
        <v>#DIV/0!</v>
      </c>
      <c r="NX153" s="614" t="e">
        <f>NW153*$C$79</f>
        <v>#DIV/0!</v>
      </c>
      <c r="NY153" s="672" t="e">
        <f>NW153*$F$70</f>
        <v>#DIV/0!</v>
      </c>
      <c r="NZ153" s="600" t="e">
        <f t="shared" si="1145"/>
        <v>#DIV/0!</v>
      </c>
      <c r="OA153" s="672" t="e">
        <f>NW153*$F$72</f>
        <v>#DIV/0!</v>
      </c>
      <c r="OB153" s="676" t="e">
        <f>NW153*$F$71</f>
        <v>#DIV/0!</v>
      </c>
      <c r="OC153" s="668"/>
      <c r="OD153" s="669"/>
      <c r="OE153" s="670"/>
      <c r="OF153" s="671"/>
      <c r="OG153" s="678"/>
      <c r="OH153" s="663"/>
      <c r="OI153" s="651">
        <f t="shared" si="1146"/>
        <v>0</v>
      </c>
      <c r="OJ153" s="619" t="e">
        <f>((273.2+OC153)*$F$32/((273.2+$F$31)*OE153))</f>
        <v>#DIV/0!</v>
      </c>
      <c r="OK153" s="674" t="e">
        <f>OI153/OG153*OJ153*EXP(-LN(2)/10990*($F$88-OH153))</f>
        <v>#DIV/0!</v>
      </c>
      <c r="OL153" s="599" t="e">
        <f>OK153-AVERAGE(OS94:OS95)</f>
        <v>#DIV/0!</v>
      </c>
      <c r="OM153" s="599" t="e">
        <f>ABS($B$33*OL153*3600)</f>
        <v>#DIV/0!</v>
      </c>
      <c r="ON153" s="657" t="e">
        <f>ABS($B$34*OL153*3600)</f>
        <v>#DIV/0!</v>
      </c>
      <c r="OO153" s="614" t="e">
        <f>ON153*$C$79</f>
        <v>#DIV/0!</v>
      </c>
      <c r="OP153" s="672" t="e">
        <f>ON153*$F$70</f>
        <v>#DIV/0!</v>
      </c>
      <c r="OQ153" s="600" t="e">
        <f t="shared" si="1147"/>
        <v>#DIV/0!</v>
      </c>
      <c r="OR153" s="672" t="e">
        <f>ON153*$F$72</f>
        <v>#DIV/0!</v>
      </c>
      <c r="OS153" s="676" t="e">
        <f>ON153*$F$71</f>
        <v>#DIV/0!</v>
      </c>
      <c r="OT153" s="668"/>
      <c r="OU153" s="669"/>
      <c r="OV153" s="670"/>
      <c r="OW153" s="671"/>
      <c r="OX153" s="678"/>
      <c r="OY153" s="663"/>
      <c r="OZ153" s="651">
        <f t="shared" si="1148"/>
        <v>0</v>
      </c>
      <c r="PA153" s="619" t="e">
        <f>((273.2+OT153)*$F$32/((273.2+$F$31)*OV153))</f>
        <v>#DIV/0!</v>
      </c>
      <c r="PB153" s="674" t="e">
        <f>OZ153/OX153*PA153*EXP(-LN(2)/10990*($F$88-OY153))</f>
        <v>#DIV/0!</v>
      </c>
      <c r="PC153" s="599" t="e">
        <f>PB153-AVERAGE(PJ94:PJ95)</f>
        <v>#DIV/0!</v>
      </c>
      <c r="PD153" s="599" t="e">
        <f>ABS($B$33*PC153*3600)</f>
        <v>#DIV/0!</v>
      </c>
      <c r="PE153" s="657" t="e">
        <f>ABS($B$34*PC153*3600)</f>
        <v>#DIV/0!</v>
      </c>
      <c r="PF153" s="614" t="e">
        <f>PE153*$C$79</f>
        <v>#DIV/0!</v>
      </c>
      <c r="PG153" s="672" t="e">
        <f>PE153*$F$70</f>
        <v>#DIV/0!</v>
      </c>
      <c r="PH153" s="600" t="e">
        <f t="shared" si="1149"/>
        <v>#DIV/0!</v>
      </c>
      <c r="PI153" s="672" t="e">
        <f>PE153*$F$72</f>
        <v>#DIV/0!</v>
      </c>
      <c r="PJ153" s="676" t="e">
        <f>PE153*$F$71</f>
        <v>#DIV/0!</v>
      </c>
      <c r="PK153" s="668"/>
      <c r="PL153" s="669"/>
      <c r="PM153" s="670"/>
      <c r="PN153" s="671"/>
      <c r="PO153" s="678"/>
      <c r="PP153" s="663"/>
      <c r="PQ153" s="651">
        <f t="shared" si="1150"/>
        <v>0</v>
      </c>
      <c r="PR153" s="619" t="e">
        <f>((273.2+PK153)*$F$32/((273.2+$F$31)*PM153))</f>
        <v>#DIV/0!</v>
      </c>
      <c r="PS153" s="674" t="e">
        <f>PQ153/PO153*PR153*EXP(-LN(2)/10990*($F$88-PP153))</f>
        <v>#DIV/0!</v>
      </c>
      <c r="PT153" s="599" t="e">
        <f>PS153-AVERAGE(QA94:QA95)</f>
        <v>#DIV/0!</v>
      </c>
      <c r="PU153" s="599" t="e">
        <f>ABS($B$33*PT153*3600)</f>
        <v>#DIV/0!</v>
      </c>
      <c r="PV153" s="657" t="e">
        <f>ABS($B$34*PT153*3600)</f>
        <v>#DIV/0!</v>
      </c>
      <c r="PW153" s="614" t="e">
        <f>PV153*$C$79</f>
        <v>#DIV/0!</v>
      </c>
      <c r="PX153" s="672" t="e">
        <f>PV153*$F$70</f>
        <v>#DIV/0!</v>
      </c>
      <c r="PY153" s="600" t="e">
        <f t="shared" si="1151"/>
        <v>#DIV/0!</v>
      </c>
      <c r="PZ153" s="672" t="e">
        <f>PV153*$F$72</f>
        <v>#DIV/0!</v>
      </c>
      <c r="QA153" s="676" t="e">
        <f>PV153*$F$71</f>
        <v>#DIV/0!</v>
      </c>
      <c r="QB153" s="668"/>
      <c r="QC153" s="669"/>
      <c r="QD153" s="670"/>
      <c r="QE153" s="671"/>
      <c r="QF153" s="673">
        <v>100</v>
      </c>
      <c r="QG153" s="663"/>
      <c r="QH153" s="651">
        <f t="shared" si="1152"/>
        <v>0</v>
      </c>
      <c r="QI153" s="619" t="e">
        <f>((273.2+QB153)*$F$32/((273.2+$F$31)*QD153))</f>
        <v>#DIV/0!</v>
      </c>
      <c r="QJ153" s="674" t="e">
        <f>QH153/QF153*QI153*EXP(-LN(2)/10990*($F$88-QG153))</f>
        <v>#DIV/0!</v>
      </c>
      <c r="QK153" s="599" t="e">
        <f>QJ153-AVERAGE(QR94:QR95)</f>
        <v>#DIV/0!</v>
      </c>
      <c r="QL153" s="599" t="e">
        <f>ABS($B$33*QK153*3600)</f>
        <v>#DIV/0!</v>
      </c>
      <c r="QM153" s="657" t="e">
        <f>ABS($B$34*QK153*3600)</f>
        <v>#DIV/0!</v>
      </c>
      <c r="QN153" s="614" t="e">
        <f>QM153*$C$79</f>
        <v>#DIV/0!</v>
      </c>
      <c r="QO153" s="672" t="e">
        <f>QM153*$F$70</f>
        <v>#DIV/0!</v>
      </c>
      <c r="QP153" s="600" t="e">
        <f t="shared" si="1153"/>
        <v>#DIV/0!</v>
      </c>
      <c r="QQ153" s="672" t="e">
        <f>QM153*$F$72</f>
        <v>#DIV/0!</v>
      </c>
      <c r="QR153" s="676" t="e">
        <f>QM153*$F$71</f>
        <v>#DIV/0!</v>
      </c>
      <c r="QS153" s="668"/>
      <c r="QT153" s="669"/>
      <c r="QU153" s="669"/>
      <c r="QV153" s="679"/>
      <c r="QW153" s="673">
        <v>100</v>
      </c>
      <c r="QX153" s="663"/>
      <c r="QY153" s="651">
        <f t="shared" si="1154"/>
        <v>0</v>
      </c>
      <c r="QZ153" s="619" t="e">
        <f>((273.2+QS153)*$F$32/((273.2+$F$31)*QU153))</f>
        <v>#DIV/0!</v>
      </c>
      <c r="RA153" s="674" t="e">
        <f>QY153/QW153*QZ153*EXP(-LN(2)/10990*($F$88-QX153))</f>
        <v>#DIV/0!</v>
      </c>
      <c r="RB153" s="599" t="e">
        <f>RA153-AVERAGE(RI94:RI95)</f>
        <v>#DIV/0!</v>
      </c>
      <c r="RC153" s="599" t="e">
        <f>ABS($B$33*RB153*3600)</f>
        <v>#DIV/0!</v>
      </c>
      <c r="RD153" s="657" t="e">
        <f>ABS($B$34*RB153*3600)</f>
        <v>#DIV/0!</v>
      </c>
      <c r="RE153" s="614" t="e">
        <f>RD153*$C$79</f>
        <v>#DIV/0!</v>
      </c>
      <c r="RF153" s="672" t="e">
        <f>RD153*$F$70</f>
        <v>#DIV/0!</v>
      </c>
      <c r="RG153" s="600" t="e">
        <f t="shared" si="1155"/>
        <v>#DIV/0!</v>
      </c>
      <c r="RH153" s="672" t="e">
        <f>RD153*$F$72</f>
        <v>#DIV/0!</v>
      </c>
      <c r="RI153" s="676" t="e">
        <f>RD153*$F$71</f>
        <v>#DIV/0!</v>
      </c>
      <c r="RJ153" s="668"/>
      <c r="RK153" s="669"/>
      <c r="RL153" s="670"/>
      <c r="RM153" s="671"/>
      <c r="RN153" s="678"/>
      <c r="RO153" s="663"/>
      <c r="RP153" s="651">
        <f t="shared" si="1156"/>
        <v>0</v>
      </c>
      <c r="RQ153" s="619" t="e">
        <f>((273.2+RJ153)*$F$32/((273.2+$F$31)*RL153))</f>
        <v>#DIV/0!</v>
      </c>
      <c r="RR153" s="674" t="e">
        <f>RP153/RN153*RQ153*EXP(-LN(2)/10990*($F$88-RO153))</f>
        <v>#DIV/0!</v>
      </c>
      <c r="RS153" s="599" t="e">
        <f>RR153-AVERAGE(RZ94:RZ95)</f>
        <v>#DIV/0!</v>
      </c>
      <c r="RT153" s="599" t="e">
        <f>ABS($B$33*RS153*3600)</f>
        <v>#DIV/0!</v>
      </c>
      <c r="RU153" s="657" t="e">
        <f>ABS($B$34*RS153*3600)</f>
        <v>#DIV/0!</v>
      </c>
      <c r="RV153" s="614" t="e">
        <f>RU153*$C$79</f>
        <v>#DIV/0!</v>
      </c>
      <c r="RW153" s="672" t="e">
        <f>RU153*$F$70</f>
        <v>#DIV/0!</v>
      </c>
      <c r="RX153" s="600" t="e">
        <f t="shared" si="1157"/>
        <v>#DIV/0!</v>
      </c>
      <c r="RY153" s="672" t="e">
        <f>RU153*$F$72</f>
        <v>#DIV/0!</v>
      </c>
      <c r="RZ153" s="676" t="e">
        <f>RU153*$F$71</f>
        <v>#DIV/0!</v>
      </c>
      <c r="SA153" s="668"/>
      <c r="SB153" s="669"/>
      <c r="SC153" s="670"/>
      <c r="SD153" s="671"/>
      <c r="SE153" s="678"/>
      <c r="SF153" s="663"/>
      <c r="SG153" s="651">
        <f t="shared" si="1158"/>
        <v>0</v>
      </c>
      <c r="SH153" s="619" t="e">
        <f>((273.2+SA153)*$F$32/((273.2+$F$31)*SC153))</f>
        <v>#DIV/0!</v>
      </c>
      <c r="SI153" s="674" t="e">
        <f>SG153/SE153*SH153*EXP(-LN(2)/10990*($F$88-SF153))</f>
        <v>#DIV/0!</v>
      </c>
      <c r="SJ153" s="599" t="e">
        <f>SI153-AVERAGE(SQ94:SQ95)</f>
        <v>#DIV/0!</v>
      </c>
      <c r="SK153" s="599" t="e">
        <f>ABS($B$33*SJ153*3600)</f>
        <v>#DIV/0!</v>
      </c>
      <c r="SL153" s="657" t="e">
        <f>ABS($B$34*SJ153*3600)</f>
        <v>#DIV/0!</v>
      </c>
      <c r="SM153" s="614" t="e">
        <f>SL153*$C$79</f>
        <v>#DIV/0!</v>
      </c>
      <c r="SN153" s="672" t="e">
        <f>SL153*$F$70</f>
        <v>#DIV/0!</v>
      </c>
      <c r="SO153" s="600" t="e">
        <f t="shared" si="1159"/>
        <v>#DIV/0!</v>
      </c>
      <c r="SP153" s="672" t="e">
        <f>SL153*$F$72</f>
        <v>#DIV/0!</v>
      </c>
      <c r="SQ153" s="676" t="e">
        <f>SL153*$F$71</f>
        <v>#DIV/0!</v>
      </c>
      <c r="SR153" s="668"/>
      <c r="SS153" s="669"/>
      <c r="ST153" s="670"/>
      <c r="SU153" s="671"/>
      <c r="SV153" s="678"/>
      <c r="SW153" s="663"/>
      <c r="SX153" s="651">
        <f t="shared" si="1160"/>
        <v>0</v>
      </c>
      <c r="SY153" s="619" t="e">
        <f>((273.2+SR153)*$F$32/((273.2+$F$31)*ST153))</f>
        <v>#DIV/0!</v>
      </c>
      <c r="SZ153" s="674" t="e">
        <f>SX153/SV153*SY153*EXP(-LN(2)/10990*($F$88-SW153))</f>
        <v>#DIV/0!</v>
      </c>
      <c r="TA153" s="599" t="e">
        <f>SZ153-AVERAGE(TH94:TH95)</f>
        <v>#DIV/0!</v>
      </c>
      <c r="TB153" s="599" t="e">
        <f>ABS($B$33*TA153*3600)</f>
        <v>#DIV/0!</v>
      </c>
      <c r="TC153" s="657" t="e">
        <f>ABS($B$34*TA153*3600)</f>
        <v>#DIV/0!</v>
      </c>
      <c r="TD153" s="614" t="e">
        <f>TC153*$C$79</f>
        <v>#DIV/0!</v>
      </c>
      <c r="TE153" s="672" t="e">
        <f>TC153*$F$70</f>
        <v>#DIV/0!</v>
      </c>
      <c r="TF153" s="600" t="e">
        <f t="shared" si="1161"/>
        <v>#DIV/0!</v>
      </c>
      <c r="TG153" s="672" t="e">
        <f>TC153*$F$72</f>
        <v>#DIV/0!</v>
      </c>
      <c r="TH153" s="676" t="e">
        <f>TC153*$F$71</f>
        <v>#DIV/0!</v>
      </c>
      <c r="TI153" s="668"/>
      <c r="TJ153" s="669"/>
      <c r="TK153" s="670"/>
      <c r="TL153" s="671"/>
      <c r="TM153" s="678"/>
      <c r="TN153" s="663"/>
      <c r="TO153" s="651">
        <f t="shared" si="1162"/>
        <v>0</v>
      </c>
      <c r="TP153" s="619" t="e">
        <f>((273.2+TI153)*$F$32/((273.2+$F$31)*TK153))</f>
        <v>#DIV/0!</v>
      </c>
      <c r="TQ153" s="674" t="e">
        <f>TO153/TM153*TP153*EXP(-LN(2)/10990*($F$88-TN153))</f>
        <v>#DIV/0!</v>
      </c>
      <c r="TR153" s="599" t="e">
        <f>TQ153-AVERAGE(TY94:TY95)</f>
        <v>#DIV/0!</v>
      </c>
      <c r="TS153" s="599" t="e">
        <f>ABS($B$33*TR153*3600)</f>
        <v>#DIV/0!</v>
      </c>
      <c r="TT153" s="657" t="e">
        <f>ABS($B$34*TR153*3600)</f>
        <v>#DIV/0!</v>
      </c>
      <c r="TU153" s="614" t="e">
        <f>TT153*$C$79</f>
        <v>#DIV/0!</v>
      </c>
      <c r="TV153" s="672" t="e">
        <f>TT153*$F$70</f>
        <v>#DIV/0!</v>
      </c>
      <c r="TW153" s="600" t="e">
        <f t="shared" si="1163"/>
        <v>#DIV/0!</v>
      </c>
      <c r="TX153" s="672" t="e">
        <f>TT153*$F$72</f>
        <v>#DIV/0!</v>
      </c>
      <c r="TY153" s="676" t="e">
        <f>TT153*$F$71</f>
        <v>#DIV/0!</v>
      </c>
    </row>
    <row r="154" spans="1:545" x14ac:dyDescent="0.25">
      <c r="A154" s="681" t="s">
        <v>61</v>
      </c>
      <c r="B154" s="709"/>
      <c r="C154" s="710"/>
      <c r="D154" s="710"/>
      <c r="E154" s="672"/>
      <c r="F154" s="710"/>
      <c r="G154" s="685"/>
      <c r="H154" s="599"/>
      <c r="I154" s="619"/>
      <c r="J154" s="675"/>
      <c r="K154" s="672"/>
      <c r="L154" s="687"/>
      <c r="M154" s="686"/>
      <c r="N154" s="687"/>
      <c r="O154" s="687"/>
      <c r="P154" s="687"/>
      <c r="Q154" s="687"/>
      <c r="R154" s="690"/>
      <c r="S154" s="691" t="e">
        <f t="shared" ref="S154:W154" si="1164">AVERAGE(S149:S153)</f>
        <v>#DIV/0!</v>
      </c>
      <c r="T154" s="691" t="e">
        <f t="shared" si="1164"/>
        <v>#DIV/0!</v>
      </c>
      <c r="U154" s="695" t="e">
        <f t="shared" si="1164"/>
        <v>#DIV/0!</v>
      </c>
      <c r="V154" s="599" t="e">
        <f t="shared" si="1164"/>
        <v>#DIV/0!</v>
      </c>
      <c r="W154" s="685" t="e">
        <f t="shared" si="1164"/>
        <v>#DIV/0!</v>
      </c>
      <c r="X154" s="685" t="s">
        <v>93</v>
      </c>
      <c r="Y154" s="599">
        <f t="shared" ref="Y154:AN154" si="1165">AVERAGE(Y149:Y153)</f>
        <v>0</v>
      </c>
      <c r="Z154" s="619" t="e">
        <f t="shared" si="1165"/>
        <v>#DIV/0!</v>
      </c>
      <c r="AA154" s="675" t="e">
        <f t="shared" si="1165"/>
        <v>#DIV/0!</v>
      </c>
      <c r="AB154" s="672" t="e">
        <f t="shared" si="1165"/>
        <v>#DIV/0!</v>
      </c>
      <c r="AC154" s="687" t="e">
        <f t="shared" si="1165"/>
        <v>#DIV/0!</v>
      </c>
      <c r="AD154" s="686" t="e">
        <f t="shared" si="1165"/>
        <v>#DIV/0!</v>
      </c>
      <c r="AE154" s="687" t="e">
        <f t="shared" si="1165"/>
        <v>#DIV/0!</v>
      </c>
      <c r="AF154" s="687" t="e">
        <f t="shared" si="1165"/>
        <v>#DIV/0!</v>
      </c>
      <c r="AG154" s="687" t="e">
        <f t="shared" si="1165"/>
        <v>#DIV/0!</v>
      </c>
      <c r="AH154" s="687" t="e">
        <f t="shared" si="1165"/>
        <v>#DIV/0!</v>
      </c>
      <c r="AI154" s="690" t="e">
        <f t="shared" si="1165"/>
        <v>#DIV/0!</v>
      </c>
      <c r="AJ154" s="691" t="e">
        <f t="shared" si="1165"/>
        <v>#DIV/0!</v>
      </c>
      <c r="AK154" s="691" t="e">
        <f t="shared" si="1165"/>
        <v>#DIV/0!</v>
      </c>
      <c r="AL154" s="695" t="e">
        <f t="shared" si="1165"/>
        <v>#DIV/0!</v>
      </c>
      <c r="AM154" s="599" t="e">
        <f t="shared" si="1165"/>
        <v>#DIV/0!</v>
      </c>
      <c r="AN154" s="685" t="e">
        <f t="shared" si="1165"/>
        <v>#DIV/0!</v>
      </c>
      <c r="AO154" s="685" t="s">
        <v>93</v>
      </c>
      <c r="AP154" s="599">
        <f t="shared" ref="AP154:BE154" si="1166">AVERAGE(AP149:AP153)</f>
        <v>0</v>
      </c>
      <c r="AQ154" s="619" t="e">
        <f t="shared" si="1166"/>
        <v>#DIV/0!</v>
      </c>
      <c r="AR154" s="675" t="e">
        <f t="shared" si="1166"/>
        <v>#DIV/0!</v>
      </c>
      <c r="AS154" s="672" t="e">
        <f t="shared" si="1166"/>
        <v>#DIV/0!</v>
      </c>
      <c r="AT154" s="687" t="e">
        <f t="shared" si="1166"/>
        <v>#DIV/0!</v>
      </c>
      <c r="AU154" s="686" t="e">
        <f t="shared" si="1166"/>
        <v>#DIV/0!</v>
      </c>
      <c r="AV154" s="687" t="e">
        <f t="shared" si="1166"/>
        <v>#DIV/0!</v>
      </c>
      <c r="AW154" s="687" t="e">
        <f t="shared" si="1166"/>
        <v>#DIV/0!</v>
      </c>
      <c r="AX154" s="687" t="e">
        <f t="shared" si="1166"/>
        <v>#DIV/0!</v>
      </c>
      <c r="AY154" s="687" t="e">
        <f t="shared" si="1166"/>
        <v>#DIV/0!</v>
      </c>
      <c r="AZ154" s="690" t="e">
        <f t="shared" si="1166"/>
        <v>#DIV/0!</v>
      </c>
      <c r="BA154" s="682" t="e">
        <f t="shared" si="1166"/>
        <v>#DIV/0!</v>
      </c>
      <c r="BB154" s="691" t="e">
        <f t="shared" si="1166"/>
        <v>#DIV/0!</v>
      </c>
      <c r="BC154" s="695" t="e">
        <f t="shared" si="1166"/>
        <v>#DIV/0!</v>
      </c>
      <c r="BD154" s="599" t="e">
        <f t="shared" si="1166"/>
        <v>#DIV/0!</v>
      </c>
      <c r="BE154" s="685" t="e">
        <f t="shared" si="1166"/>
        <v>#DIV/0!</v>
      </c>
      <c r="BF154" s="685" t="s">
        <v>93</v>
      </c>
      <c r="BG154" s="599">
        <f t="shared" ref="BG154:BV154" si="1167">AVERAGE(BG149:BG153)</f>
        <v>0</v>
      </c>
      <c r="BH154" s="619" t="e">
        <f t="shared" si="1167"/>
        <v>#DIV/0!</v>
      </c>
      <c r="BI154" s="675" t="e">
        <f t="shared" si="1167"/>
        <v>#DIV/0!</v>
      </c>
      <c r="BJ154" s="672" t="e">
        <f t="shared" si="1167"/>
        <v>#DIV/0!</v>
      </c>
      <c r="BK154" s="687" t="e">
        <f t="shared" si="1167"/>
        <v>#DIV/0!</v>
      </c>
      <c r="BL154" s="686" t="e">
        <f t="shared" si="1167"/>
        <v>#DIV/0!</v>
      </c>
      <c r="BM154" s="687" t="e">
        <f t="shared" si="1167"/>
        <v>#DIV/0!</v>
      </c>
      <c r="BN154" s="687" t="e">
        <f t="shared" si="1167"/>
        <v>#DIV/0!</v>
      </c>
      <c r="BO154" s="687" t="e">
        <f t="shared" si="1167"/>
        <v>#DIV/0!</v>
      </c>
      <c r="BP154" s="687" t="e">
        <f t="shared" si="1167"/>
        <v>#DIV/0!</v>
      </c>
      <c r="BQ154" s="690" t="e">
        <f t="shared" si="1167"/>
        <v>#DIV/0!</v>
      </c>
      <c r="BR154" s="682" t="e">
        <f t="shared" si="1167"/>
        <v>#DIV/0!</v>
      </c>
      <c r="BS154" s="691" t="e">
        <f t="shared" si="1167"/>
        <v>#DIV/0!</v>
      </c>
      <c r="BT154" s="695" t="e">
        <f t="shared" si="1167"/>
        <v>#DIV/0!</v>
      </c>
      <c r="BU154" s="599" t="e">
        <f t="shared" si="1167"/>
        <v>#DIV/0!</v>
      </c>
      <c r="BV154" s="685" t="e">
        <f t="shared" si="1167"/>
        <v>#DIV/0!</v>
      </c>
      <c r="BW154" s="685" t="s">
        <v>93</v>
      </c>
      <c r="BX154" s="599">
        <f t="shared" ref="BX154:CM154" si="1168">AVERAGE(BX149:BX153)</f>
        <v>0</v>
      </c>
      <c r="BY154" s="619" t="e">
        <f t="shared" si="1168"/>
        <v>#DIV/0!</v>
      </c>
      <c r="BZ154" s="675" t="e">
        <f t="shared" si="1168"/>
        <v>#DIV/0!</v>
      </c>
      <c r="CA154" s="672" t="e">
        <f t="shared" si="1168"/>
        <v>#DIV/0!</v>
      </c>
      <c r="CB154" s="687" t="e">
        <f t="shared" si="1168"/>
        <v>#DIV/0!</v>
      </c>
      <c r="CC154" s="686" t="e">
        <f t="shared" si="1168"/>
        <v>#DIV/0!</v>
      </c>
      <c r="CD154" s="687" t="e">
        <f t="shared" si="1168"/>
        <v>#DIV/0!</v>
      </c>
      <c r="CE154" s="687" t="e">
        <f t="shared" si="1168"/>
        <v>#DIV/0!</v>
      </c>
      <c r="CF154" s="687" t="e">
        <f t="shared" si="1168"/>
        <v>#DIV/0!</v>
      </c>
      <c r="CG154" s="687" t="e">
        <f t="shared" si="1168"/>
        <v>#DIV/0!</v>
      </c>
      <c r="CH154" s="690" t="e">
        <f t="shared" si="1168"/>
        <v>#DIV/0!</v>
      </c>
      <c r="CI154" s="682" t="e">
        <f t="shared" si="1168"/>
        <v>#DIV/0!</v>
      </c>
      <c r="CJ154" s="691" t="e">
        <f t="shared" si="1168"/>
        <v>#DIV/0!</v>
      </c>
      <c r="CK154" s="695" t="e">
        <f t="shared" si="1168"/>
        <v>#DIV/0!</v>
      </c>
      <c r="CL154" s="599" t="e">
        <f t="shared" si="1168"/>
        <v>#DIV/0!</v>
      </c>
      <c r="CM154" s="685" t="e">
        <f t="shared" si="1168"/>
        <v>#DIV/0!</v>
      </c>
      <c r="CN154" s="685" t="s">
        <v>93</v>
      </c>
      <c r="CO154" s="599">
        <f t="shared" ref="CO154:DD154" si="1169">AVERAGE(CO149:CO153)</f>
        <v>0</v>
      </c>
      <c r="CP154" s="619" t="e">
        <f t="shared" si="1169"/>
        <v>#DIV/0!</v>
      </c>
      <c r="CQ154" s="675" t="e">
        <f t="shared" si="1169"/>
        <v>#DIV/0!</v>
      </c>
      <c r="CR154" s="672" t="e">
        <f t="shared" si="1169"/>
        <v>#DIV/0!</v>
      </c>
      <c r="CS154" s="687" t="e">
        <f t="shared" si="1169"/>
        <v>#DIV/0!</v>
      </c>
      <c r="CT154" s="686" t="e">
        <f t="shared" si="1169"/>
        <v>#DIV/0!</v>
      </c>
      <c r="CU154" s="687" t="e">
        <f t="shared" si="1169"/>
        <v>#DIV/0!</v>
      </c>
      <c r="CV154" s="687" t="e">
        <f t="shared" si="1169"/>
        <v>#DIV/0!</v>
      </c>
      <c r="CW154" s="687" t="e">
        <f t="shared" si="1169"/>
        <v>#DIV/0!</v>
      </c>
      <c r="CX154" s="687" t="e">
        <f t="shared" si="1169"/>
        <v>#DIV/0!</v>
      </c>
      <c r="CY154" s="690" t="e">
        <f t="shared" si="1169"/>
        <v>#DIV/0!</v>
      </c>
      <c r="CZ154" s="682" t="e">
        <f t="shared" si="1169"/>
        <v>#DIV/0!</v>
      </c>
      <c r="DA154" s="691" t="e">
        <f t="shared" si="1169"/>
        <v>#DIV/0!</v>
      </c>
      <c r="DB154" s="695" t="e">
        <f t="shared" si="1169"/>
        <v>#DIV/0!</v>
      </c>
      <c r="DC154" s="599" t="e">
        <f t="shared" si="1169"/>
        <v>#DIV/0!</v>
      </c>
      <c r="DD154" s="685" t="e">
        <f t="shared" si="1169"/>
        <v>#DIV/0!</v>
      </c>
      <c r="DE154" s="685" t="s">
        <v>93</v>
      </c>
      <c r="DF154" s="599">
        <f t="shared" ref="DF154:DU154" si="1170">AVERAGE(DF149:DF153)</f>
        <v>0</v>
      </c>
      <c r="DG154" s="619" t="e">
        <f t="shared" si="1170"/>
        <v>#DIV/0!</v>
      </c>
      <c r="DH154" s="675" t="e">
        <f t="shared" si="1170"/>
        <v>#DIV/0!</v>
      </c>
      <c r="DI154" s="672" t="e">
        <f t="shared" si="1170"/>
        <v>#DIV/0!</v>
      </c>
      <c r="DJ154" s="687" t="e">
        <f t="shared" si="1170"/>
        <v>#DIV/0!</v>
      </c>
      <c r="DK154" s="686" t="e">
        <f t="shared" si="1170"/>
        <v>#DIV/0!</v>
      </c>
      <c r="DL154" s="687" t="e">
        <f t="shared" si="1170"/>
        <v>#DIV/0!</v>
      </c>
      <c r="DM154" s="687" t="e">
        <f t="shared" si="1170"/>
        <v>#DIV/0!</v>
      </c>
      <c r="DN154" s="687" t="e">
        <f t="shared" si="1170"/>
        <v>#DIV/0!</v>
      </c>
      <c r="DO154" s="687" t="e">
        <f t="shared" si="1170"/>
        <v>#DIV/0!</v>
      </c>
      <c r="DP154" s="690" t="e">
        <f t="shared" si="1170"/>
        <v>#DIV/0!</v>
      </c>
      <c r="DQ154" s="682" t="e">
        <f t="shared" si="1170"/>
        <v>#DIV/0!</v>
      </c>
      <c r="DR154" s="691" t="e">
        <f t="shared" si="1170"/>
        <v>#DIV/0!</v>
      </c>
      <c r="DS154" s="695" t="e">
        <f t="shared" si="1170"/>
        <v>#DIV/0!</v>
      </c>
      <c r="DT154" s="653" t="e">
        <f t="shared" si="1170"/>
        <v>#DIV/0!</v>
      </c>
      <c r="DU154" s="685" t="e">
        <f t="shared" si="1170"/>
        <v>#DIV/0!</v>
      </c>
      <c r="DV154" s="685" t="s">
        <v>93</v>
      </c>
      <c r="DW154" s="599">
        <f t="shared" ref="DW154:EL154" si="1171">AVERAGE(DW149:DW153)</f>
        <v>0</v>
      </c>
      <c r="DX154" s="619" t="e">
        <f t="shared" si="1171"/>
        <v>#DIV/0!</v>
      </c>
      <c r="DY154" s="675" t="e">
        <f t="shared" si="1171"/>
        <v>#DIV/0!</v>
      </c>
      <c r="DZ154" s="672" t="e">
        <f t="shared" si="1171"/>
        <v>#DIV/0!</v>
      </c>
      <c r="EA154" s="687" t="e">
        <f t="shared" si="1171"/>
        <v>#DIV/0!</v>
      </c>
      <c r="EB154" s="686" t="e">
        <f t="shared" si="1171"/>
        <v>#DIV/0!</v>
      </c>
      <c r="EC154" s="687" t="e">
        <f t="shared" si="1171"/>
        <v>#DIV/0!</v>
      </c>
      <c r="ED154" s="687" t="e">
        <f t="shared" si="1171"/>
        <v>#DIV/0!</v>
      </c>
      <c r="EE154" s="687" t="e">
        <f t="shared" si="1171"/>
        <v>#DIV/0!</v>
      </c>
      <c r="EF154" s="687" t="e">
        <f t="shared" si="1171"/>
        <v>#DIV/0!</v>
      </c>
      <c r="EG154" s="690" t="e">
        <f t="shared" si="1171"/>
        <v>#DIV/0!</v>
      </c>
      <c r="EH154" s="682" t="e">
        <f t="shared" si="1171"/>
        <v>#DIV/0!</v>
      </c>
      <c r="EI154" s="691" t="e">
        <f t="shared" si="1171"/>
        <v>#DIV/0!</v>
      </c>
      <c r="EJ154" s="695" t="e">
        <f t="shared" si="1171"/>
        <v>#DIV/0!</v>
      </c>
      <c r="EK154" s="599" t="e">
        <f t="shared" si="1171"/>
        <v>#DIV/0!</v>
      </c>
      <c r="EL154" s="685" t="e">
        <f t="shared" si="1171"/>
        <v>#DIV/0!</v>
      </c>
      <c r="EM154" s="685" t="s">
        <v>93</v>
      </c>
      <c r="EN154" s="599">
        <f t="shared" ref="EN154:FC154" si="1172">AVERAGE(EN149:EN153)</f>
        <v>0</v>
      </c>
      <c r="EO154" s="619" t="e">
        <f t="shared" si="1172"/>
        <v>#DIV/0!</v>
      </c>
      <c r="EP154" s="675" t="e">
        <f t="shared" si="1172"/>
        <v>#DIV/0!</v>
      </c>
      <c r="EQ154" s="672" t="e">
        <f t="shared" si="1172"/>
        <v>#DIV/0!</v>
      </c>
      <c r="ER154" s="687" t="e">
        <f t="shared" si="1172"/>
        <v>#DIV/0!</v>
      </c>
      <c r="ES154" s="686" t="e">
        <f t="shared" si="1172"/>
        <v>#DIV/0!</v>
      </c>
      <c r="ET154" s="687" t="e">
        <f t="shared" si="1172"/>
        <v>#DIV/0!</v>
      </c>
      <c r="EU154" s="687" t="e">
        <f t="shared" si="1172"/>
        <v>#DIV/0!</v>
      </c>
      <c r="EV154" s="687" t="e">
        <f t="shared" si="1172"/>
        <v>#DIV/0!</v>
      </c>
      <c r="EW154" s="687" t="e">
        <f t="shared" si="1172"/>
        <v>#DIV/0!</v>
      </c>
      <c r="EX154" s="690" t="e">
        <f t="shared" si="1172"/>
        <v>#DIV/0!</v>
      </c>
      <c r="EY154" s="682" t="e">
        <f t="shared" si="1172"/>
        <v>#DIV/0!</v>
      </c>
      <c r="EZ154" s="691" t="e">
        <f t="shared" si="1172"/>
        <v>#DIV/0!</v>
      </c>
      <c r="FA154" s="695" t="e">
        <f t="shared" si="1172"/>
        <v>#DIV/0!</v>
      </c>
      <c r="FB154" s="599" t="e">
        <f t="shared" si="1172"/>
        <v>#DIV/0!</v>
      </c>
      <c r="FC154" s="685" t="e">
        <f t="shared" si="1172"/>
        <v>#DIV/0!</v>
      </c>
      <c r="FD154" s="685" t="s">
        <v>93</v>
      </c>
      <c r="FE154" s="599">
        <f t="shared" ref="FE154:FT154" si="1173">AVERAGE(FE149:FE153)</f>
        <v>0</v>
      </c>
      <c r="FF154" s="619" t="e">
        <f t="shared" si="1173"/>
        <v>#DIV/0!</v>
      </c>
      <c r="FG154" s="675" t="e">
        <f t="shared" si="1173"/>
        <v>#DIV/0!</v>
      </c>
      <c r="FH154" s="672" t="e">
        <f t="shared" si="1173"/>
        <v>#DIV/0!</v>
      </c>
      <c r="FI154" s="687" t="e">
        <f t="shared" si="1173"/>
        <v>#DIV/0!</v>
      </c>
      <c r="FJ154" s="686" t="e">
        <f t="shared" si="1173"/>
        <v>#DIV/0!</v>
      </c>
      <c r="FK154" s="687" t="e">
        <f t="shared" si="1173"/>
        <v>#DIV/0!</v>
      </c>
      <c r="FL154" s="687" t="e">
        <f t="shared" si="1173"/>
        <v>#DIV/0!</v>
      </c>
      <c r="FM154" s="687" t="e">
        <f t="shared" si="1173"/>
        <v>#DIV/0!</v>
      </c>
      <c r="FN154" s="687" t="e">
        <f t="shared" si="1173"/>
        <v>#DIV/0!</v>
      </c>
      <c r="FO154" s="690" t="e">
        <f t="shared" si="1173"/>
        <v>#DIV/0!</v>
      </c>
      <c r="FP154" s="682" t="e">
        <f t="shared" si="1173"/>
        <v>#DIV/0!</v>
      </c>
      <c r="FQ154" s="691" t="e">
        <f t="shared" si="1173"/>
        <v>#DIV/0!</v>
      </c>
      <c r="FR154" s="695" t="e">
        <f t="shared" si="1173"/>
        <v>#DIV/0!</v>
      </c>
      <c r="FS154" s="599" t="e">
        <f t="shared" si="1173"/>
        <v>#DIV/0!</v>
      </c>
      <c r="FT154" s="685" t="e">
        <f t="shared" si="1173"/>
        <v>#DIV/0!</v>
      </c>
      <c r="FU154" s="685" t="s">
        <v>93</v>
      </c>
      <c r="FV154" s="599">
        <f t="shared" ref="FV154:GK154" si="1174">AVERAGE(FV149:FV153)</f>
        <v>0</v>
      </c>
      <c r="FW154" s="619" t="e">
        <f t="shared" si="1174"/>
        <v>#DIV/0!</v>
      </c>
      <c r="FX154" s="675" t="e">
        <f t="shared" si="1174"/>
        <v>#DIV/0!</v>
      </c>
      <c r="FY154" s="672" t="e">
        <f t="shared" si="1174"/>
        <v>#DIV/0!</v>
      </c>
      <c r="FZ154" s="687" t="e">
        <f t="shared" si="1174"/>
        <v>#DIV/0!</v>
      </c>
      <c r="GA154" s="686" t="e">
        <f t="shared" si="1174"/>
        <v>#DIV/0!</v>
      </c>
      <c r="GB154" s="687" t="e">
        <f t="shared" si="1174"/>
        <v>#DIV/0!</v>
      </c>
      <c r="GC154" s="687" t="e">
        <f t="shared" si="1174"/>
        <v>#DIV/0!</v>
      </c>
      <c r="GD154" s="687" t="e">
        <f t="shared" si="1174"/>
        <v>#DIV/0!</v>
      </c>
      <c r="GE154" s="687" t="e">
        <f t="shared" si="1174"/>
        <v>#DIV/0!</v>
      </c>
      <c r="GF154" s="690" t="e">
        <f t="shared" si="1174"/>
        <v>#DIV/0!</v>
      </c>
      <c r="GG154" s="682" t="e">
        <f t="shared" si="1174"/>
        <v>#DIV/0!</v>
      </c>
      <c r="GH154" s="691" t="e">
        <f t="shared" si="1174"/>
        <v>#DIV/0!</v>
      </c>
      <c r="GI154" s="695" t="e">
        <f t="shared" si="1174"/>
        <v>#DIV/0!</v>
      </c>
      <c r="GJ154" s="653" t="e">
        <f t="shared" si="1174"/>
        <v>#DIV/0!</v>
      </c>
      <c r="GK154" s="685" t="e">
        <f t="shared" si="1174"/>
        <v>#DIV/0!</v>
      </c>
      <c r="GL154" s="685" t="s">
        <v>93</v>
      </c>
      <c r="GM154" s="599">
        <f t="shared" ref="GM154:HB154" si="1175">AVERAGE(GM149:GM153)</f>
        <v>0</v>
      </c>
      <c r="GN154" s="619" t="e">
        <f t="shared" si="1175"/>
        <v>#DIV/0!</v>
      </c>
      <c r="GO154" s="675" t="e">
        <f t="shared" si="1175"/>
        <v>#DIV/0!</v>
      </c>
      <c r="GP154" s="672" t="e">
        <f t="shared" si="1175"/>
        <v>#DIV/0!</v>
      </c>
      <c r="GQ154" s="687" t="e">
        <f t="shared" si="1175"/>
        <v>#DIV/0!</v>
      </c>
      <c r="GR154" s="686" t="e">
        <f t="shared" si="1175"/>
        <v>#DIV/0!</v>
      </c>
      <c r="GS154" s="687" t="e">
        <f t="shared" si="1175"/>
        <v>#DIV/0!</v>
      </c>
      <c r="GT154" s="687" t="e">
        <f t="shared" si="1175"/>
        <v>#DIV/0!</v>
      </c>
      <c r="GU154" s="687" t="e">
        <f t="shared" si="1175"/>
        <v>#DIV/0!</v>
      </c>
      <c r="GV154" s="687" t="e">
        <f t="shared" si="1175"/>
        <v>#DIV/0!</v>
      </c>
      <c r="GW154" s="690" t="e">
        <f t="shared" si="1175"/>
        <v>#DIV/0!</v>
      </c>
      <c r="GX154" s="682" t="e">
        <f t="shared" si="1175"/>
        <v>#DIV/0!</v>
      </c>
      <c r="GY154" s="691" t="e">
        <f t="shared" si="1175"/>
        <v>#DIV/0!</v>
      </c>
      <c r="GZ154" s="695" t="e">
        <f t="shared" si="1175"/>
        <v>#DIV/0!</v>
      </c>
      <c r="HA154" s="599" t="e">
        <f t="shared" si="1175"/>
        <v>#DIV/0!</v>
      </c>
      <c r="HB154" s="685" t="e">
        <f t="shared" si="1175"/>
        <v>#DIV/0!</v>
      </c>
      <c r="HC154" s="685" t="s">
        <v>93</v>
      </c>
      <c r="HD154" s="599">
        <f t="shared" ref="HD154:HS154" si="1176">AVERAGE(HD149:HD153)</f>
        <v>0</v>
      </c>
      <c r="HE154" s="619" t="e">
        <f t="shared" si="1176"/>
        <v>#DIV/0!</v>
      </c>
      <c r="HF154" s="675" t="e">
        <f t="shared" si="1176"/>
        <v>#DIV/0!</v>
      </c>
      <c r="HG154" s="672" t="e">
        <f t="shared" si="1176"/>
        <v>#DIV/0!</v>
      </c>
      <c r="HH154" s="687" t="e">
        <f t="shared" si="1176"/>
        <v>#DIV/0!</v>
      </c>
      <c r="HI154" s="686" t="e">
        <f t="shared" si="1176"/>
        <v>#DIV/0!</v>
      </c>
      <c r="HJ154" s="687" t="e">
        <f t="shared" si="1176"/>
        <v>#DIV/0!</v>
      </c>
      <c r="HK154" s="687" t="e">
        <f t="shared" si="1176"/>
        <v>#DIV/0!</v>
      </c>
      <c r="HL154" s="687" t="e">
        <f t="shared" si="1176"/>
        <v>#DIV/0!</v>
      </c>
      <c r="HM154" s="687" t="e">
        <f t="shared" si="1176"/>
        <v>#DIV/0!</v>
      </c>
      <c r="HN154" s="690" t="e">
        <f t="shared" si="1176"/>
        <v>#DIV/0!</v>
      </c>
      <c r="HO154" s="682" t="e">
        <f t="shared" si="1176"/>
        <v>#DIV/0!</v>
      </c>
      <c r="HP154" s="691" t="e">
        <f t="shared" si="1176"/>
        <v>#DIV/0!</v>
      </c>
      <c r="HQ154" s="695" t="e">
        <f t="shared" si="1176"/>
        <v>#DIV/0!</v>
      </c>
      <c r="HR154" s="599" t="e">
        <f t="shared" si="1176"/>
        <v>#DIV/0!</v>
      </c>
      <c r="HS154" s="685" t="e">
        <f t="shared" si="1176"/>
        <v>#DIV/0!</v>
      </c>
      <c r="HT154" s="685" t="s">
        <v>93</v>
      </c>
      <c r="HU154" s="599">
        <f t="shared" ref="HU154:IJ154" si="1177">AVERAGE(HU149:HU153)</f>
        <v>0</v>
      </c>
      <c r="HV154" s="619" t="e">
        <f t="shared" si="1177"/>
        <v>#DIV/0!</v>
      </c>
      <c r="HW154" s="675" t="e">
        <f t="shared" si="1177"/>
        <v>#DIV/0!</v>
      </c>
      <c r="HX154" s="672" t="e">
        <f t="shared" si="1177"/>
        <v>#DIV/0!</v>
      </c>
      <c r="HY154" s="687" t="e">
        <f t="shared" si="1177"/>
        <v>#DIV/0!</v>
      </c>
      <c r="HZ154" s="686" t="e">
        <f t="shared" si="1177"/>
        <v>#DIV/0!</v>
      </c>
      <c r="IA154" s="687" t="e">
        <f t="shared" si="1177"/>
        <v>#DIV/0!</v>
      </c>
      <c r="IB154" s="687" t="e">
        <f t="shared" si="1177"/>
        <v>#DIV/0!</v>
      </c>
      <c r="IC154" s="687" t="e">
        <f t="shared" si="1177"/>
        <v>#DIV/0!</v>
      </c>
      <c r="ID154" s="687" t="e">
        <f t="shared" si="1177"/>
        <v>#DIV/0!</v>
      </c>
      <c r="IE154" s="690" t="e">
        <f t="shared" si="1177"/>
        <v>#DIV/0!</v>
      </c>
      <c r="IF154" s="682" t="e">
        <f t="shared" si="1177"/>
        <v>#DIV/0!</v>
      </c>
      <c r="IG154" s="691" t="e">
        <f t="shared" si="1177"/>
        <v>#DIV/0!</v>
      </c>
      <c r="IH154" s="695" t="e">
        <f t="shared" si="1177"/>
        <v>#DIV/0!</v>
      </c>
      <c r="II154" s="599" t="e">
        <f t="shared" si="1177"/>
        <v>#DIV/0!</v>
      </c>
      <c r="IJ154" s="685" t="e">
        <f t="shared" si="1177"/>
        <v>#DIV/0!</v>
      </c>
      <c r="IK154" s="685" t="s">
        <v>93</v>
      </c>
      <c r="IL154" s="599">
        <f t="shared" ref="IL154:JA154" si="1178">AVERAGE(IL149:IL153)</f>
        <v>0</v>
      </c>
      <c r="IM154" s="619" t="e">
        <f t="shared" si="1178"/>
        <v>#DIV/0!</v>
      </c>
      <c r="IN154" s="675" t="e">
        <f t="shared" si="1178"/>
        <v>#DIV/0!</v>
      </c>
      <c r="IO154" s="672" t="e">
        <f t="shared" si="1178"/>
        <v>#DIV/0!</v>
      </c>
      <c r="IP154" s="687" t="e">
        <f t="shared" si="1178"/>
        <v>#DIV/0!</v>
      </c>
      <c r="IQ154" s="686" t="e">
        <f t="shared" si="1178"/>
        <v>#DIV/0!</v>
      </c>
      <c r="IR154" s="687" t="e">
        <f t="shared" si="1178"/>
        <v>#DIV/0!</v>
      </c>
      <c r="IS154" s="687" t="e">
        <f t="shared" si="1178"/>
        <v>#DIV/0!</v>
      </c>
      <c r="IT154" s="687" t="e">
        <f t="shared" si="1178"/>
        <v>#DIV/0!</v>
      </c>
      <c r="IU154" s="687" t="e">
        <f t="shared" si="1178"/>
        <v>#DIV/0!</v>
      </c>
      <c r="IV154" s="690" t="e">
        <f t="shared" si="1178"/>
        <v>#DIV/0!</v>
      </c>
      <c r="IW154" s="682" t="e">
        <f t="shared" si="1178"/>
        <v>#DIV/0!</v>
      </c>
      <c r="IX154" s="691" t="e">
        <f t="shared" si="1178"/>
        <v>#DIV/0!</v>
      </c>
      <c r="IY154" s="695" t="e">
        <f t="shared" si="1178"/>
        <v>#DIV/0!</v>
      </c>
      <c r="IZ154" s="599" t="e">
        <f t="shared" si="1178"/>
        <v>#DIV/0!</v>
      </c>
      <c r="JA154" s="685" t="e">
        <f t="shared" si="1178"/>
        <v>#DIV/0!</v>
      </c>
      <c r="JB154" s="685" t="s">
        <v>93</v>
      </c>
      <c r="JC154" s="599">
        <f t="shared" ref="JC154:JR154" si="1179">AVERAGE(JC149:JC153)</f>
        <v>0</v>
      </c>
      <c r="JD154" s="619" t="e">
        <f t="shared" si="1179"/>
        <v>#DIV/0!</v>
      </c>
      <c r="JE154" s="675" t="e">
        <f t="shared" si="1179"/>
        <v>#DIV/0!</v>
      </c>
      <c r="JF154" s="672" t="e">
        <f t="shared" si="1179"/>
        <v>#DIV/0!</v>
      </c>
      <c r="JG154" s="687" t="e">
        <f t="shared" si="1179"/>
        <v>#DIV/0!</v>
      </c>
      <c r="JH154" s="686" t="e">
        <f t="shared" si="1179"/>
        <v>#DIV/0!</v>
      </c>
      <c r="JI154" s="687" t="e">
        <f t="shared" si="1179"/>
        <v>#DIV/0!</v>
      </c>
      <c r="JJ154" s="687" t="e">
        <f t="shared" si="1179"/>
        <v>#DIV/0!</v>
      </c>
      <c r="JK154" s="687" t="e">
        <f t="shared" si="1179"/>
        <v>#DIV/0!</v>
      </c>
      <c r="JL154" s="687" t="e">
        <f t="shared" si="1179"/>
        <v>#DIV/0!</v>
      </c>
      <c r="JM154" s="690" t="e">
        <f t="shared" si="1179"/>
        <v>#DIV/0!</v>
      </c>
      <c r="JN154" s="682" t="e">
        <f t="shared" si="1179"/>
        <v>#DIV/0!</v>
      </c>
      <c r="JO154" s="691" t="e">
        <f t="shared" si="1179"/>
        <v>#DIV/0!</v>
      </c>
      <c r="JP154" s="695" t="e">
        <f t="shared" si="1179"/>
        <v>#DIV/0!</v>
      </c>
      <c r="JQ154" s="599" t="e">
        <f t="shared" si="1179"/>
        <v>#DIV/0!</v>
      </c>
      <c r="JR154" s="685" t="e">
        <f t="shared" si="1179"/>
        <v>#DIV/0!</v>
      </c>
      <c r="JS154" s="685" t="s">
        <v>93</v>
      </c>
      <c r="JT154" s="599">
        <f t="shared" ref="JT154:KI154" si="1180">AVERAGE(JT149:JT153)</f>
        <v>0</v>
      </c>
      <c r="JU154" s="619" t="e">
        <f t="shared" si="1180"/>
        <v>#DIV/0!</v>
      </c>
      <c r="JV154" s="675" t="e">
        <f t="shared" si="1180"/>
        <v>#DIV/0!</v>
      </c>
      <c r="JW154" s="672" t="e">
        <f t="shared" si="1180"/>
        <v>#DIV/0!</v>
      </c>
      <c r="JX154" s="687" t="e">
        <f t="shared" si="1180"/>
        <v>#DIV/0!</v>
      </c>
      <c r="JY154" s="686" t="e">
        <f t="shared" si="1180"/>
        <v>#DIV/0!</v>
      </c>
      <c r="JZ154" s="687" t="e">
        <f t="shared" si="1180"/>
        <v>#DIV/0!</v>
      </c>
      <c r="KA154" s="687" t="e">
        <f t="shared" si="1180"/>
        <v>#DIV/0!</v>
      </c>
      <c r="KB154" s="687" t="e">
        <f t="shared" si="1180"/>
        <v>#DIV/0!</v>
      </c>
      <c r="KC154" s="687" t="e">
        <f t="shared" si="1180"/>
        <v>#DIV/0!</v>
      </c>
      <c r="KD154" s="690" t="e">
        <f t="shared" si="1180"/>
        <v>#DIV/0!</v>
      </c>
      <c r="KE154" s="682" t="e">
        <f t="shared" si="1180"/>
        <v>#DIV/0!</v>
      </c>
      <c r="KF154" s="691" t="e">
        <f t="shared" si="1180"/>
        <v>#DIV/0!</v>
      </c>
      <c r="KG154" s="695" t="e">
        <f t="shared" si="1180"/>
        <v>#DIV/0!</v>
      </c>
      <c r="KH154" s="599" t="e">
        <f t="shared" si="1180"/>
        <v>#DIV/0!</v>
      </c>
      <c r="KI154" s="685" t="e">
        <f t="shared" si="1180"/>
        <v>#DIV/0!</v>
      </c>
      <c r="KJ154" s="685" t="s">
        <v>93</v>
      </c>
      <c r="KK154" s="599">
        <f t="shared" ref="KK154:KZ154" si="1181">AVERAGE(KK149:KK153)</f>
        <v>0</v>
      </c>
      <c r="KL154" s="619" t="e">
        <f t="shared" si="1181"/>
        <v>#DIV/0!</v>
      </c>
      <c r="KM154" s="675" t="e">
        <f t="shared" si="1181"/>
        <v>#DIV/0!</v>
      </c>
      <c r="KN154" s="672" t="e">
        <f t="shared" si="1181"/>
        <v>#DIV/0!</v>
      </c>
      <c r="KO154" s="687" t="e">
        <f t="shared" si="1181"/>
        <v>#DIV/0!</v>
      </c>
      <c r="KP154" s="686" t="e">
        <f t="shared" si="1181"/>
        <v>#DIV/0!</v>
      </c>
      <c r="KQ154" s="687" t="e">
        <f t="shared" si="1181"/>
        <v>#DIV/0!</v>
      </c>
      <c r="KR154" s="687" t="e">
        <f t="shared" si="1181"/>
        <v>#DIV/0!</v>
      </c>
      <c r="KS154" s="687" t="e">
        <f t="shared" si="1181"/>
        <v>#DIV/0!</v>
      </c>
      <c r="KT154" s="687" t="e">
        <f t="shared" si="1181"/>
        <v>#DIV/0!</v>
      </c>
      <c r="KU154" s="690" t="e">
        <f t="shared" si="1181"/>
        <v>#DIV/0!</v>
      </c>
      <c r="KV154" s="682" t="e">
        <f t="shared" si="1181"/>
        <v>#DIV/0!</v>
      </c>
      <c r="KW154" s="691" t="e">
        <f t="shared" si="1181"/>
        <v>#DIV/0!</v>
      </c>
      <c r="KX154" s="695" t="e">
        <f t="shared" si="1181"/>
        <v>#DIV/0!</v>
      </c>
      <c r="KY154" s="599" t="e">
        <f t="shared" si="1181"/>
        <v>#DIV/0!</v>
      </c>
      <c r="KZ154" s="685" t="e">
        <f t="shared" si="1181"/>
        <v>#DIV/0!</v>
      </c>
      <c r="LA154" s="685" t="s">
        <v>93</v>
      </c>
      <c r="LB154" s="599">
        <f t="shared" ref="LB154:LQ154" si="1182">AVERAGE(LB149:LB153)</f>
        <v>0</v>
      </c>
      <c r="LC154" s="619" t="e">
        <f t="shared" si="1182"/>
        <v>#DIV/0!</v>
      </c>
      <c r="LD154" s="675" t="e">
        <f t="shared" si="1182"/>
        <v>#DIV/0!</v>
      </c>
      <c r="LE154" s="672" t="e">
        <f t="shared" si="1182"/>
        <v>#DIV/0!</v>
      </c>
      <c r="LF154" s="687" t="e">
        <f t="shared" si="1182"/>
        <v>#DIV/0!</v>
      </c>
      <c r="LG154" s="686" t="e">
        <f t="shared" si="1182"/>
        <v>#DIV/0!</v>
      </c>
      <c r="LH154" s="687" t="e">
        <f t="shared" si="1182"/>
        <v>#DIV/0!</v>
      </c>
      <c r="LI154" s="687" t="e">
        <f t="shared" si="1182"/>
        <v>#DIV/0!</v>
      </c>
      <c r="LJ154" s="687" t="e">
        <f t="shared" si="1182"/>
        <v>#DIV/0!</v>
      </c>
      <c r="LK154" s="687" t="e">
        <f t="shared" si="1182"/>
        <v>#DIV/0!</v>
      </c>
      <c r="LL154" s="690" t="e">
        <f t="shared" si="1182"/>
        <v>#DIV/0!</v>
      </c>
      <c r="LM154" s="682" t="e">
        <f t="shared" si="1182"/>
        <v>#DIV/0!</v>
      </c>
      <c r="LN154" s="691" t="e">
        <f t="shared" si="1182"/>
        <v>#DIV/0!</v>
      </c>
      <c r="LO154" s="695" t="e">
        <f t="shared" si="1182"/>
        <v>#DIV/0!</v>
      </c>
      <c r="LP154" s="599" t="e">
        <f t="shared" si="1182"/>
        <v>#DIV/0!</v>
      </c>
      <c r="LQ154" s="685" t="e">
        <f t="shared" si="1182"/>
        <v>#DIV/0!</v>
      </c>
      <c r="LR154" s="685" t="s">
        <v>93</v>
      </c>
      <c r="LS154" s="599">
        <f t="shared" ref="LS154:MH154" si="1183">AVERAGE(LS149:LS153)</f>
        <v>0</v>
      </c>
      <c r="LT154" s="619" t="e">
        <f t="shared" si="1183"/>
        <v>#DIV/0!</v>
      </c>
      <c r="LU154" s="675" t="e">
        <f t="shared" si="1183"/>
        <v>#DIV/0!</v>
      </c>
      <c r="LV154" s="672" t="e">
        <f t="shared" si="1183"/>
        <v>#DIV/0!</v>
      </c>
      <c r="LW154" s="687" t="e">
        <f t="shared" si="1183"/>
        <v>#DIV/0!</v>
      </c>
      <c r="LX154" s="686" t="e">
        <f t="shared" si="1183"/>
        <v>#DIV/0!</v>
      </c>
      <c r="LY154" s="687" t="e">
        <f t="shared" si="1183"/>
        <v>#DIV/0!</v>
      </c>
      <c r="LZ154" s="687" t="e">
        <f t="shared" si="1183"/>
        <v>#DIV/0!</v>
      </c>
      <c r="MA154" s="687" t="e">
        <f t="shared" si="1183"/>
        <v>#DIV/0!</v>
      </c>
      <c r="MB154" s="687" t="e">
        <f t="shared" si="1183"/>
        <v>#DIV/0!</v>
      </c>
      <c r="MC154" s="690" t="e">
        <f t="shared" si="1183"/>
        <v>#DIV/0!</v>
      </c>
      <c r="MD154" s="682" t="e">
        <f t="shared" si="1183"/>
        <v>#DIV/0!</v>
      </c>
      <c r="ME154" s="691" t="e">
        <f t="shared" si="1183"/>
        <v>#DIV/0!</v>
      </c>
      <c r="MF154" s="695" t="e">
        <f t="shared" si="1183"/>
        <v>#DIV/0!</v>
      </c>
      <c r="MG154" s="599" t="e">
        <f t="shared" si="1183"/>
        <v>#DIV/0!</v>
      </c>
      <c r="MH154" s="685" t="e">
        <f t="shared" si="1183"/>
        <v>#DIV/0!</v>
      </c>
      <c r="MI154" s="685" t="s">
        <v>93</v>
      </c>
      <c r="MJ154" s="599">
        <f t="shared" ref="MJ154:MY154" si="1184">AVERAGE(MJ149:MJ153)</f>
        <v>0</v>
      </c>
      <c r="MK154" s="619" t="e">
        <f t="shared" si="1184"/>
        <v>#DIV/0!</v>
      </c>
      <c r="ML154" s="675" t="e">
        <f t="shared" si="1184"/>
        <v>#DIV/0!</v>
      </c>
      <c r="MM154" s="672" t="e">
        <f t="shared" si="1184"/>
        <v>#DIV/0!</v>
      </c>
      <c r="MN154" s="687" t="e">
        <f t="shared" si="1184"/>
        <v>#DIV/0!</v>
      </c>
      <c r="MO154" s="686" t="e">
        <f t="shared" si="1184"/>
        <v>#DIV/0!</v>
      </c>
      <c r="MP154" s="687" t="e">
        <f t="shared" si="1184"/>
        <v>#DIV/0!</v>
      </c>
      <c r="MQ154" s="687" t="e">
        <f t="shared" si="1184"/>
        <v>#DIV/0!</v>
      </c>
      <c r="MR154" s="687" t="e">
        <f t="shared" si="1184"/>
        <v>#DIV/0!</v>
      </c>
      <c r="MS154" s="687" t="e">
        <f t="shared" si="1184"/>
        <v>#DIV/0!</v>
      </c>
      <c r="MT154" s="690" t="e">
        <f t="shared" si="1184"/>
        <v>#DIV/0!</v>
      </c>
      <c r="MU154" s="682" t="e">
        <f t="shared" si="1184"/>
        <v>#DIV/0!</v>
      </c>
      <c r="MV154" s="691" t="e">
        <f t="shared" si="1184"/>
        <v>#DIV/0!</v>
      </c>
      <c r="MW154" s="695" t="e">
        <f t="shared" si="1184"/>
        <v>#DIV/0!</v>
      </c>
      <c r="MX154" s="599" t="e">
        <f t="shared" si="1184"/>
        <v>#DIV/0!</v>
      </c>
      <c r="MY154" s="685" t="e">
        <f t="shared" si="1184"/>
        <v>#DIV/0!</v>
      </c>
      <c r="MZ154" s="685" t="s">
        <v>93</v>
      </c>
      <c r="NA154" s="599">
        <f t="shared" ref="NA154:NP154" si="1185">AVERAGE(NA149:NA153)</f>
        <v>0</v>
      </c>
      <c r="NB154" s="619" t="e">
        <f t="shared" si="1185"/>
        <v>#DIV/0!</v>
      </c>
      <c r="NC154" s="675" t="e">
        <f t="shared" si="1185"/>
        <v>#DIV/0!</v>
      </c>
      <c r="ND154" s="672" t="e">
        <f t="shared" si="1185"/>
        <v>#DIV/0!</v>
      </c>
      <c r="NE154" s="687" t="e">
        <f t="shared" si="1185"/>
        <v>#DIV/0!</v>
      </c>
      <c r="NF154" s="686" t="e">
        <f t="shared" si="1185"/>
        <v>#DIV/0!</v>
      </c>
      <c r="NG154" s="687" t="e">
        <f t="shared" si="1185"/>
        <v>#DIV/0!</v>
      </c>
      <c r="NH154" s="687" t="e">
        <f t="shared" si="1185"/>
        <v>#DIV/0!</v>
      </c>
      <c r="NI154" s="687" t="e">
        <f t="shared" si="1185"/>
        <v>#DIV/0!</v>
      </c>
      <c r="NJ154" s="687" t="e">
        <f t="shared" si="1185"/>
        <v>#DIV/0!</v>
      </c>
      <c r="NK154" s="690" t="e">
        <f t="shared" si="1185"/>
        <v>#DIV/0!</v>
      </c>
      <c r="NL154" s="682" t="e">
        <f t="shared" si="1185"/>
        <v>#DIV/0!</v>
      </c>
      <c r="NM154" s="691" t="e">
        <f t="shared" si="1185"/>
        <v>#DIV/0!</v>
      </c>
      <c r="NN154" s="695" t="e">
        <f t="shared" si="1185"/>
        <v>#DIV/0!</v>
      </c>
      <c r="NO154" s="599" t="e">
        <f t="shared" si="1185"/>
        <v>#DIV/0!</v>
      </c>
      <c r="NP154" s="685" t="e">
        <f t="shared" si="1185"/>
        <v>#DIV/0!</v>
      </c>
      <c r="NQ154" s="685" t="s">
        <v>93</v>
      </c>
      <c r="NR154" s="599">
        <f t="shared" ref="NR154:OG154" si="1186">AVERAGE(NR149:NR153)</f>
        <v>0</v>
      </c>
      <c r="NS154" s="619" t="e">
        <f t="shared" si="1186"/>
        <v>#DIV/0!</v>
      </c>
      <c r="NT154" s="675" t="e">
        <f t="shared" si="1186"/>
        <v>#DIV/0!</v>
      </c>
      <c r="NU154" s="672" t="e">
        <f t="shared" si="1186"/>
        <v>#DIV/0!</v>
      </c>
      <c r="NV154" s="687" t="e">
        <f t="shared" si="1186"/>
        <v>#DIV/0!</v>
      </c>
      <c r="NW154" s="686" t="e">
        <f t="shared" si="1186"/>
        <v>#DIV/0!</v>
      </c>
      <c r="NX154" s="687" t="e">
        <f t="shared" si="1186"/>
        <v>#DIV/0!</v>
      </c>
      <c r="NY154" s="687" t="e">
        <f t="shared" si="1186"/>
        <v>#DIV/0!</v>
      </c>
      <c r="NZ154" s="687" t="e">
        <f t="shared" si="1186"/>
        <v>#DIV/0!</v>
      </c>
      <c r="OA154" s="687" t="e">
        <f t="shared" si="1186"/>
        <v>#DIV/0!</v>
      </c>
      <c r="OB154" s="690" t="e">
        <f t="shared" si="1186"/>
        <v>#DIV/0!</v>
      </c>
      <c r="OC154" s="682" t="e">
        <f t="shared" si="1186"/>
        <v>#DIV/0!</v>
      </c>
      <c r="OD154" s="691" t="e">
        <f t="shared" si="1186"/>
        <v>#DIV/0!</v>
      </c>
      <c r="OE154" s="695" t="e">
        <f t="shared" si="1186"/>
        <v>#DIV/0!</v>
      </c>
      <c r="OF154" s="599" t="e">
        <f t="shared" si="1186"/>
        <v>#DIV/0!</v>
      </c>
      <c r="OG154" s="685" t="e">
        <f t="shared" si="1186"/>
        <v>#DIV/0!</v>
      </c>
      <c r="OH154" s="685" t="s">
        <v>93</v>
      </c>
      <c r="OI154" s="599">
        <f t="shared" ref="OI154:OX154" si="1187">AVERAGE(OI149:OI153)</f>
        <v>0</v>
      </c>
      <c r="OJ154" s="619" t="e">
        <f t="shared" si="1187"/>
        <v>#DIV/0!</v>
      </c>
      <c r="OK154" s="675" t="e">
        <f t="shared" si="1187"/>
        <v>#DIV/0!</v>
      </c>
      <c r="OL154" s="672" t="e">
        <f t="shared" si="1187"/>
        <v>#DIV/0!</v>
      </c>
      <c r="OM154" s="687" t="e">
        <f t="shared" si="1187"/>
        <v>#DIV/0!</v>
      </c>
      <c r="ON154" s="686" t="e">
        <f t="shared" si="1187"/>
        <v>#DIV/0!</v>
      </c>
      <c r="OO154" s="687" t="e">
        <f t="shared" si="1187"/>
        <v>#DIV/0!</v>
      </c>
      <c r="OP154" s="687" t="e">
        <f t="shared" si="1187"/>
        <v>#DIV/0!</v>
      </c>
      <c r="OQ154" s="687" t="e">
        <f t="shared" si="1187"/>
        <v>#DIV/0!</v>
      </c>
      <c r="OR154" s="687" t="e">
        <f t="shared" si="1187"/>
        <v>#DIV/0!</v>
      </c>
      <c r="OS154" s="690" t="e">
        <f t="shared" si="1187"/>
        <v>#DIV/0!</v>
      </c>
      <c r="OT154" s="682" t="e">
        <f t="shared" si="1187"/>
        <v>#DIV/0!</v>
      </c>
      <c r="OU154" s="691" t="e">
        <f t="shared" si="1187"/>
        <v>#DIV/0!</v>
      </c>
      <c r="OV154" s="695" t="e">
        <f t="shared" si="1187"/>
        <v>#DIV/0!</v>
      </c>
      <c r="OW154" s="599" t="e">
        <f t="shared" si="1187"/>
        <v>#DIV/0!</v>
      </c>
      <c r="OX154" s="685" t="e">
        <f t="shared" si="1187"/>
        <v>#DIV/0!</v>
      </c>
      <c r="OY154" s="685" t="s">
        <v>93</v>
      </c>
      <c r="OZ154" s="599">
        <f t="shared" ref="OZ154:PO154" si="1188">AVERAGE(OZ149:OZ153)</f>
        <v>0</v>
      </c>
      <c r="PA154" s="619" t="e">
        <f t="shared" si="1188"/>
        <v>#DIV/0!</v>
      </c>
      <c r="PB154" s="675" t="e">
        <f t="shared" si="1188"/>
        <v>#DIV/0!</v>
      </c>
      <c r="PC154" s="672" t="e">
        <f t="shared" si="1188"/>
        <v>#DIV/0!</v>
      </c>
      <c r="PD154" s="687" t="e">
        <f t="shared" si="1188"/>
        <v>#DIV/0!</v>
      </c>
      <c r="PE154" s="686" t="e">
        <f t="shared" si="1188"/>
        <v>#DIV/0!</v>
      </c>
      <c r="PF154" s="687" t="e">
        <f t="shared" si="1188"/>
        <v>#DIV/0!</v>
      </c>
      <c r="PG154" s="687" t="e">
        <f t="shared" si="1188"/>
        <v>#DIV/0!</v>
      </c>
      <c r="PH154" s="687" t="e">
        <f t="shared" si="1188"/>
        <v>#DIV/0!</v>
      </c>
      <c r="PI154" s="687" t="e">
        <f t="shared" si="1188"/>
        <v>#DIV/0!</v>
      </c>
      <c r="PJ154" s="690" t="e">
        <f t="shared" si="1188"/>
        <v>#DIV/0!</v>
      </c>
      <c r="PK154" s="682" t="e">
        <f t="shared" si="1188"/>
        <v>#DIV/0!</v>
      </c>
      <c r="PL154" s="691" t="e">
        <f t="shared" si="1188"/>
        <v>#DIV/0!</v>
      </c>
      <c r="PM154" s="695" t="e">
        <f t="shared" si="1188"/>
        <v>#DIV/0!</v>
      </c>
      <c r="PN154" s="599" t="e">
        <f t="shared" si="1188"/>
        <v>#DIV/0!</v>
      </c>
      <c r="PO154" s="685" t="e">
        <f t="shared" si="1188"/>
        <v>#DIV/0!</v>
      </c>
      <c r="PP154" s="685" t="s">
        <v>93</v>
      </c>
      <c r="PQ154" s="599">
        <f t="shared" ref="PQ154:QF154" si="1189">AVERAGE(PQ149:PQ153)</f>
        <v>0</v>
      </c>
      <c r="PR154" s="619" t="e">
        <f t="shared" si="1189"/>
        <v>#DIV/0!</v>
      </c>
      <c r="PS154" s="675" t="e">
        <f t="shared" si="1189"/>
        <v>#DIV/0!</v>
      </c>
      <c r="PT154" s="672" t="e">
        <f t="shared" si="1189"/>
        <v>#DIV/0!</v>
      </c>
      <c r="PU154" s="687" t="e">
        <f t="shared" si="1189"/>
        <v>#DIV/0!</v>
      </c>
      <c r="PV154" s="686" t="e">
        <f t="shared" si="1189"/>
        <v>#DIV/0!</v>
      </c>
      <c r="PW154" s="687" t="e">
        <f t="shared" si="1189"/>
        <v>#DIV/0!</v>
      </c>
      <c r="PX154" s="687" t="e">
        <f t="shared" si="1189"/>
        <v>#DIV/0!</v>
      </c>
      <c r="PY154" s="687" t="e">
        <f t="shared" si="1189"/>
        <v>#DIV/0!</v>
      </c>
      <c r="PZ154" s="687" t="e">
        <f t="shared" si="1189"/>
        <v>#DIV/0!</v>
      </c>
      <c r="QA154" s="690" t="e">
        <f t="shared" si="1189"/>
        <v>#DIV/0!</v>
      </c>
      <c r="QB154" s="682" t="e">
        <f t="shared" si="1189"/>
        <v>#DIV/0!</v>
      </c>
      <c r="QC154" s="691" t="e">
        <f t="shared" si="1189"/>
        <v>#DIV/0!</v>
      </c>
      <c r="QD154" s="695" t="e">
        <f t="shared" si="1189"/>
        <v>#DIV/0!</v>
      </c>
      <c r="QE154" s="599" t="e">
        <f t="shared" si="1189"/>
        <v>#DIV/0!</v>
      </c>
      <c r="QF154" s="694">
        <f t="shared" si="1189"/>
        <v>100</v>
      </c>
      <c r="QG154" s="685" t="s">
        <v>93</v>
      </c>
      <c r="QH154" s="599">
        <f t="shared" ref="QH154:QW154" si="1190">AVERAGE(QH149:QH153)</f>
        <v>0</v>
      </c>
      <c r="QI154" s="619" t="e">
        <f t="shared" si="1190"/>
        <v>#DIV/0!</v>
      </c>
      <c r="QJ154" s="675" t="e">
        <f t="shared" si="1190"/>
        <v>#DIV/0!</v>
      </c>
      <c r="QK154" s="672" t="e">
        <f t="shared" si="1190"/>
        <v>#DIV/0!</v>
      </c>
      <c r="QL154" s="687" t="e">
        <f t="shared" si="1190"/>
        <v>#DIV/0!</v>
      </c>
      <c r="QM154" s="686" t="e">
        <f t="shared" si="1190"/>
        <v>#DIV/0!</v>
      </c>
      <c r="QN154" s="687" t="e">
        <f t="shared" si="1190"/>
        <v>#DIV/0!</v>
      </c>
      <c r="QO154" s="687" t="e">
        <f t="shared" si="1190"/>
        <v>#DIV/0!</v>
      </c>
      <c r="QP154" s="687" t="e">
        <f t="shared" si="1190"/>
        <v>#DIV/0!</v>
      </c>
      <c r="QQ154" s="687" t="e">
        <f t="shared" si="1190"/>
        <v>#DIV/0!</v>
      </c>
      <c r="QR154" s="690" t="e">
        <f t="shared" si="1190"/>
        <v>#DIV/0!</v>
      </c>
      <c r="QS154" s="682" t="e">
        <f t="shared" si="1190"/>
        <v>#DIV/0!</v>
      </c>
      <c r="QT154" s="691" t="e">
        <f t="shared" si="1190"/>
        <v>#DIV/0!</v>
      </c>
      <c r="QU154" s="710" t="e">
        <f t="shared" si="1190"/>
        <v>#DIV/0!</v>
      </c>
      <c r="QV154" s="672" t="e">
        <f t="shared" si="1190"/>
        <v>#DIV/0!</v>
      </c>
      <c r="QW154" s="694">
        <f t="shared" si="1190"/>
        <v>100</v>
      </c>
      <c r="QX154" s="685" t="s">
        <v>93</v>
      </c>
      <c r="QY154" s="599">
        <f t="shared" ref="QY154:RN154" si="1191">AVERAGE(QY149:QY153)</f>
        <v>0</v>
      </c>
      <c r="QZ154" s="619" t="e">
        <f t="shared" si="1191"/>
        <v>#DIV/0!</v>
      </c>
      <c r="RA154" s="675" t="e">
        <f t="shared" si="1191"/>
        <v>#DIV/0!</v>
      </c>
      <c r="RB154" s="672" t="e">
        <f t="shared" si="1191"/>
        <v>#DIV/0!</v>
      </c>
      <c r="RC154" s="687" t="e">
        <f t="shared" si="1191"/>
        <v>#DIV/0!</v>
      </c>
      <c r="RD154" s="686" t="e">
        <f t="shared" si="1191"/>
        <v>#DIV/0!</v>
      </c>
      <c r="RE154" s="687" t="e">
        <f t="shared" si="1191"/>
        <v>#DIV/0!</v>
      </c>
      <c r="RF154" s="687" t="e">
        <f t="shared" si="1191"/>
        <v>#DIV/0!</v>
      </c>
      <c r="RG154" s="687" t="e">
        <f t="shared" si="1191"/>
        <v>#DIV/0!</v>
      </c>
      <c r="RH154" s="687" t="e">
        <f t="shared" si="1191"/>
        <v>#DIV/0!</v>
      </c>
      <c r="RI154" s="690" t="e">
        <f t="shared" si="1191"/>
        <v>#DIV/0!</v>
      </c>
      <c r="RJ154" s="682" t="e">
        <f t="shared" si="1191"/>
        <v>#DIV/0!</v>
      </c>
      <c r="RK154" s="691" t="e">
        <f t="shared" si="1191"/>
        <v>#DIV/0!</v>
      </c>
      <c r="RL154" s="695" t="e">
        <f t="shared" si="1191"/>
        <v>#DIV/0!</v>
      </c>
      <c r="RM154" s="599" t="e">
        <f t="shared" si="1191"/>
        <v>#DIV/0!</v>
      </c>
      <c r="RN154" s="685" t="e">
        <f t="shared" si="1191"/>
        <v>#DIV/0!</v>
      </c>
      <c r="RO154" s="685" t="s">
        <v>93</v>
      </c>
      <c r="RP154" s="599">
        <f t="shared" ref="RP154:SE154" si="1192">AVERAGE(RP149:RP153)</f>
        <v>0</v>
      </c>
      <c r="RQ154" s="619" t="e">
        <f t="shared" si="1192"/>
        <v>#DIV/0!</v>
      </c>
      <c r="RR154" s="675" t="e">
        <f t="shared" si="1192"/>
        <v>#DIV/0!</v>
      </c>
      <c r="RS154" s="672" t="e">
        <f t="shared" si="1192"/>
        <v>#DIV/0!</v>
      </c>
      <c r="RT154" s="687" t="e">
        <f t="shared" si="1192"/>
        <v>#DIV/0!</v>
      </c>
      <c r="RU154" s="686" t="e">
        <f t="shared" si="1192"/>
        <v>#DIV/0!</v>
      </c>
      <c r="RV154" s="687" t="e">
        <f t="shared" si="1192"/>
        <v>#DIV/0!</v>
      </c>
      <c r="RW154" s="687" t="e">
        <f t="shared" si="1192"/>
        <v>#DIV/0!</v>
      </c>
      <c r="RX154" s="687" t="e">
        <f t="shared" si="1192"/>
        <v>#DIV/0!</v>
      </c>
      <c r="RY154" s="687" t="e">
        <f t="shared" si="1192"/>
        <v>#DIV/0!</v>
      </c>
      <c r="RZ154" s="690" t="e">
        <f t="shared" si="1192"/>
        <v>#DIV/0!</v>
      </c>
      <c r="SA154" s="682" t="e">
        <f t="shared" si="1192"/>
        <v>#DIV/0!</v>
      </c>
      <c r="SB154" s="691" t="e">
        <f t="shared" si="1192"/>
        <v>#DIV/0!</v>
      </c>
      <c r="SC154" s="695" t="e">
        <f t="shared" si="1192"/>
        <v>#DIV/0!</v>
      </c>
      <c r="SD154" s="599" t="e">
        <f t="shared" si="1192"/>
        <v>#DIV/0!</v>
      </c>
      <c r="SE154" s="685" t="e">
        <f t="shared" si="1192"/>
        <v>#DIV/0!</v>
      </c>
      <c r="SF154" s="685" t="s">
        <v>93</v>
      </c>
      <c r="SG154" s="599">
        <f t="shared" ref="SG154:SV154" si="1193">AVERAGE(SG149:SG153)</f>
        <v>0</v>
      </c>
      <c r="SH154" s="619" t="e">
        <f t="shared" si="1193"/>
        <v>#DIV/0!</v>
      </c>
      <c r="SI154" s="675" t="e">
        <f t="shared" si="1193"/>
        <v>#DIV/0!</v>
      </c>
      <c r="SJ154" s="672" t="e">
        <f t="shared" si="1193"/>
        <v>#DIV/0!</v>
      </c>
      <c r="SK154" s="687" t="e">
        <f t="shared" si="1193"/>
        <v>#DIV/0!</v>
      </c>
      <c r="SL154" s="686" t="e">
        <f t="shared" si="1193"/>
        <v>#DIV/0!</v>
      </c>
      <c r="SM154" s="687" t="e">
        <f t="shared" si="1193"/>
        <v>#DIV/0!</v>
      </c>
      <c r="SN154" s="687" t="e">
        <f t="shared" si="1193"/>
        <v>#DIV/0!</v>
      </c>
      <c r="SO154" s="687" t="e">
        <f t="shared" si="1193"/>
        <v>#DIV/0!</v>
      </c>
      <c r="SP154" s="687" t="e">
        <f t="shared" si="1193"/>
        <v>#DIV/0!</v>
      </c>
      <c r="SQ154" s="690" t="e">
        <f t="shared" si="1193"/>
        <v>#DIV/0!</v>
      </c>
      <c r="SR154" s="682" t="e">
        <f t="shared" si="1193"/>
        <v>#DIV/0!</v>
      </c>
      <c r="SS154" s="691" t="e">
        <f t="shared" si="1193"/>
        <v>#DIV/0!</v>
      </c>
      <c r="ST154" s="695" t="e">
        <f t="shared" si="1193"/>
        <v>#DIV/0!</v>
      </c>
      <c r="SU154" s="599" t="e">
        <f t="shared" si="1193"/>
        <v>#DIV/0!</v>
      </c>
      <c r="SV154" s="685" t="e">
        <f t="shared" si="1193"/>
        <v>#DIV/0!</v>
      </c>
      <c r="SW154" s="685" t="s">
        <v>93</v>
      </c>
      <c r="SX154" s="599">
        <f t="shared" ref="SX154:TM154" si="1194">AVERAGE(SX149:SX153)</f>
        <v>0</v>
      </c>
      <c r="SY154" s="619" t="e">
        <f t="shared" si="1194"/>
        <v>#DIV/0!</v>
      </c>
      <c r="SZ154" s="675" t="e">
        <f t="shared" si="1194"/>
        <v>#DIV/0!</v>
      </c>
      <c r="TA154" s="672" t="e">
        <f t="shared" si="1194"/>
        <v>#DIV/0!</v>
      </c>
      <c r="TB154" s="687" t="e">
        <f t="shared" si="1194"/>
        <v>#DIV/0!</v>
      </c>
      <c r="TC154" s="686" t="e">
        <f t="shared" si="1194"/>
        <v>#DIV/0!</v>
      </c>
      <c r="TD154" s="687" t="e">
        <f t="shared" si="1194"/>
        <v>#DIV/0!</v>
      </c>
      <c r="TE154" s="687" t="e">
        <f t="shared" si="1194"/>
        <v>#DIV/0!</v>
      </c>
      <c r="TF154" s="687" t="e">
        <f t="shared" si="1194"/>
        <v>#DIV/0!</v>
      </c>
      <c r="TG154" s="687" t="e">
        <f t="shared" si="1194"/>
        <v>#DIV/0!</v>
      </c>
      <c r="TH154" s="690" t="e">
        <f t="shared" si="1194"/>
        <v>#DIV/0!</v>
      </c>
      <c r="TI154" s="682" t="e">
        <f t="shared" si="1194"/>
        <v>#DIV/0!</v>
      </c>
      <c r="TJ154" s="691" t="e">
        <f t="shared" si="1194"/>
        <v>#DIV/0!</v>
      </c>
      <c r="TK154" s="695" t="e">
        <f t="shared" si="1194"/>
        <v>#DIV/0!</v>
      </c>
      <c r="TL154" s="599" t="e">
        <f t="shared" si="1194"/>
        <v>#DIV/0!</v>
      </c>
      <c r="TM154" s="685" t="e">
        <f t="shared" si="1194"/>
        <v>#DIV/0!</v>
      </c>
      <c r="TN154" s="685" t="s">
        <v>93</v>
      </c>
      <c r="TO154" s="599">
        <f t="shared" ref="TO154:TY154" si="1195">AVERAGE(TO149:TO153)</f>
        <v>0</v>
      </c>
      <c r="TP154" s="619" t="e">
        <f t="shared" si="1195"/>
        <v>#DIV/0!</v>
      </c>
      <c r="TQ154" s="675" t="e">
        <f t="shared" si="1195"/>
        <v>#DIV/0!</v>
      </c>
      <c r="TR154" s="672" t="e">
        <f t="shared" si="1195"/>
        <v>#DIV/0!</v>
      </c>
      <c r="TS154" s="687" t="e">
        <f t="shared" si="1195"/>
        <v>#DIV/0!</v>
      </c>
      <c r="TT154" s="686" t="e">
        <f t="shared" si="1195"/>
        <v>#DIV/0!</v>
      </c>
      <c r="TU154" s="687" t="e">
        <f t="shared" si="1195"/>
        <v>#DIV/0!</v>
      </c>
      <c r="TV154" s="687" t="e">
        <f t="shared" si="1195"/>
        <v>#DIV/0!</v>
      </c>
      <c r="TW154" s="687" t="e">
        <f t="shared" si="1195"/>
        <v>#DIV/0!</v>
      </c>
      <c r="TX154" s="687" t="e">
        <f t="shared" si="1195"/>
        <v>#DIV/0!</v>
      </c>
      <c r="TY154" s="690" t="e">
        <f t="shared" si="1195"/>
        <v>#DIV/0!</v>
      </c>
    </row>
    <row r="155" spans="1:545" x14ac:dyDescent="0.25">
      <c r="A155" s="681" t="s">
        <v>62</v>
      </c>
      <c r="B155" s="688"/>
      <c r="C155" s="619"/>
      <c r="D155" s="619"/>
      <c r="E155" s="672"/>
      <c r="F155" s="619"/>
      <c r="G155" s="652"/>
      <c r="H155" s="599"/>
      <c r="I155" s="652"/>
      <c r="J155" s="675"/>
      <c r="K155" s="672"/>
      <c r="L155" s="672"/>
      <c r="M155" s="675"/>
      <c r="N155" s="672"/>
      <c r="O155" s="672"/>
      <c r="P155" s="672"/>
      <c r="Q155" s="672"/>
      <c r="R155" s="676"/>
      <c r="S155" s="691" t="e">
        <f t="shared" ref="S155:W155" si="1196">STDEVA(S149:S153)</f>
        <v>#DIV/0!</v>
      </c>
      <c r="T155" s="691" t="e">
        <f t="shared" si="1196"/>
        <v>#DIV/0!</v>
      </c>
      <c r="U155" s="695" t="e">
        <f t="shared" si="1196"/>
        <v>#DIV/0!</v>
      </c>
      <c r="V155" s="599" t="e">
        <f t="shared" si="1196"/>
        <v>#DIV/0!</v>
      </c>
      <c r="W155" s="652" t="e">
        <f t="shared" si="1196"/>
        <v>#DIV/0!</v>
      </c>
      <c r="X155" s="652" t="s">
        <v>93</v>
      </c>
      <c r="Y155" s="599">
        <f>STDEVA(Y149:Y153)</f>
        <v>0</v>
      </c>
      <c r="Z155" s="652" t="e">
        <f t="shared" ref="Z155:AN155" si="1197">STDEVA(Z149:Z153)</f>
        <v>#DIV/0!</v>
      </c>
      <c r="AA155" s="675" t="e">
        <f t="shared" si="1197"/>
        <v>#DIV/0!</v>
      </c>
      <c r="AB155" s="672" t="e">
        <f t="shared" si="1197"/>
        <v>#DIV/0!</v>
      </c>
      <c r="AC155" s="672" t="e">
        <f t="shared" si="1197"/>
        <v>#DIV/0!</v>
      </c>
      <c r="AD155" s="675" t="e">
        <f t="shared" si="1197"/>
        <v>#DIV/0!</v>
      </c>
      <c r="AE155" s="672" t="e">
        <f t="shared" si="1197"/>
        <v>#DIV/0!</v>
      </c>
      <c r="AF155" s="672" t="e">
        <f t="shared" si="1197"/>
        <v>#DIV/0!</v>
      </c>
      <c r="AG155" s="672" t="e">
        <f>STDEVA(AG149:AG153)</f>
        <v>#DIV/0!</v>
      </c>
      <c r="AH155" s="672" t="e">
        <f t="shared" si="1197"/>
        <v>#DIV/0!</v>
      </c>
      <c r="AI155" s="676" t="e">
        <f t="shared" si="1197"/>
        <v>#DIV/0!</v>
      </c>
      <c r="AJ155" s="691" t="e">
        <f t="shared" si="1197"/>
        <v>#DIV/0!</v>
      </c>
      <c r="AK155" s="691" t="e">
        <f t="shared" si="1197"/>
        <v>#DIV/0!</v>
      </c>
      <c r="AL155" s="695" t="e">
        <f t="shared" si="1197"/>
        <v>#DIV/0!</v>
      </c>
      <c r="AM155" s="599" t="e">
        <f t="shared" si="1197"/>
        <v>#DIV/0!</v>
      </c>
      <c r="AN155" s="652" t="e">
        <f t="shared" si="1197"/>
        <v>#DIV/0!</v>
      </c>
      <c r="AO155" s="652" t="s">
        <v>93</v>
      </c>
      <c r="AP155" s="599">
        <f>STDEVA(AP149:AP153)</f>
        <v>0</v>
      </c>
      <c r="AQ155" s="652" t="e">
        <f t="shared" ref="AQ155:BE155" si="1198">STDEVA(AQ149:AQ153)</f>
        <v>#DIV/0!</v>
      </c>
      <c r="AR155" s="675" t="e">
        <f t="shared" si="1198"/>
        <v>#DIV/0!</v>
      </c>
      <c r="AS155" s="672" t="e">
        <f t="shared" si="1198"/>
        <v>#DIV/0!</v>
      </c>
      <c r="AT155" s="672" t="e">
        <f t="shared" si="1198"/>
        <v>#DIV/0!</v>
      </c>
      <c r="AU155" s="675" t="e">
        <f t="shared" si="1198"/>
        <v>#DIV/0!</v>
      </c>
      <c r="AV155" s="672" t="e">
        <f t="shared" si="1198"/>
        <v>#DIV/0!</v>
      </c>
      <c r="AW155" s="672" t="e">
        <f t="shared" si="1198"/>
        <v>#DIV/0!</v>
      </c>
      <c r="AX155" s="672" t="e">
        <f>STDEVA(AX149:AX153)</f>
        <v>#DIV/0!</v>
      </c>
      <c r="AY155" s="672" t="e">
        <f t="shared" si="1198"/>
        <v>#DIV/0!</v>
      </c>
      <c r="AZ155" s="676" t="e">
        <f t="shared" si="1198"/>
        <v>#DIV/0!</v>
      </c>
      <c r="BA155" s="682" t="e">
        <f t="shared" si="1198"/>
        <v>#DIV/0!</v>
      </c>
      <c r="BB155" s="691" t="e">
        <f t="shared" si="1198"/>
        <v>#DIV/0!</v>
      </c>
      <c r="BC155" s="695" t="e">
        <f t="shared" si="1198"/>
        <v>#DIV/0!</v>
      </c>
      <c r="BD155" s="599" t="e">
        <f t="shared" si="1198"/>
        <v>#DIV/0!</v>
      </c>
      <c r="BE155" s="652" t="e">
        <f t="shared" si="1198"/>
        <v>#DIV/0!</v>
      </c>
      <c r="BF155" s="652" t="s">
        <v>93</v>
      </c>
      <c r="BG155" s="599">
        <f>STDEVA(BG149:BG153)</f>
        <v>0</v>
      </c>
      <c r="BH155" s="652" t="e">
        <f t="shared" ref="BH155:BV155" si="1199">STDEVA(BH149:BH153)</f>
        <v>#DIV/0!</v>
      </c>
      <c r="BI155" s="675" t="e">
        <f t="shared" si="1199"/>
        <v>#DIV/0!</v>
      </c>
      <c r="BJ155" s="672" t="e">
        <f t="shared" si="1199"/>
        <v>#DIV/0!</v>
      </c>
      <c r="BK155" s="672" t="e">
        <f t="shared" si="1199"/>
        <v>#DIV/0!</v>
      </c>
      <c r="BL155" s="675" t="e">
        <f t="shared" si="1199"/>
        <v>#DIV/0!</v>
      </c>
      <c r="BM155" s="672" t="e">
        <f t="shared" si="1199"/>
        <v>#DIV/0!</v>
      </c>
      <c r="BN155" s="672" t="e">
        <f t="shared" si="1199"/>
        <v>#DIV/0!</v>
      </c>
      <c r="BO155" s="672" t="e">
        <f>STDEVA(BO149:BO153)</f>
        <v>#DIV/0!</v>
      </c>
      <c r="BP155" s="672" t="e">
        <f t="shared" si="1199"/>
        <v>#DIV/0!</v>
      </c>
      <c r="BQ155" s="676" t="e">
        <f t="shared" si="1199"/>
        <v>#DIV/0!</v>
      </c>
      <c r="BR155" s="682" t="e">
        <f t="shared" si="1199"/>
        <v>#DIV/0!</v>
      </c>
      <c r="BS155" s="691" t="e">
        <f t="shared" si="1199"/>
        <v>#DIV/0!</v>
      </c>
      <c r="BT155" s="695" t="e">
        <f t="shared" si="1199"/>
        <v>#DIV/0!</v>
      </c>
      <c r="BU155" s="599" t="e">
        <f t="shared" si="1199"/>
        <v>#DIV/0!</v>
      </c>
      <c r="BV155" s="652" t="e">
        <f t="shared" si="1199"/>
        <v>#DIV/0!</v>
      </c>
      <c r="BW155" s="652" t="s">
        <v>93</v>
      </c>
      <c r="BX155" s="599">
        <f>STDEVA(BX149:BX153)</f>
        <v>0</v>
      </c>
      <c r="BY155" s="652" t="e">
        <f t="shared" ref="BY155:CM155" si="1200">STDEVA(BY149:BY153)</f>
        <v>#DIV/0!</v>
      </c>
      <c r="BZ155" s="675" t="e">
        <f t="shared" si="1200"/>
        <v>#DIV/0!</v>
      </c>
      <c r="CA155" s="672" t="e">
        <f t="shared" si="1200"/>
        <v>#DIV/0!</v>
      </c>
      <c r="CB155" s="672" t="e">
        <f t="shared" si="1200"/>
        <v>#DIV/0!</v>
      </c>
      <c r="CC155" s="675" t="e">
        <f t="shared" si="1200"/>
        <v>#DIV/0!</v>
      </c>
      <c r="CD155" s="672" t="e">
        <f t="shared" si="1200"/>
        <v>#DIV/0!</v>
      </c>
      <c r="CE155" s="672" t="e">
        <f t="shared" si="1200"/>
        <v>#DIV/0!</v>
      </c>
      <c r="CF155" s="672" t="e">
        <f>STDEVA(CF149:CF153)</f>
        <v>#DIV/0!</v>
      </c>
      <c r="CG155" s="672" t="e">
        <f t="shared" si="1200"/>
        <v>#DIV/0!</v>
      </c>
      <c r="CH155" s="676" t="e">
        <f t="shared" si="1200"/>
        <v>#DIV/0!</v>
      </c>
      <c r="CI155" s="682" t="e">
        <f t="shared" si="1200"/>
        <v>#DIV/0!</v>
      </c>
      <c r="CJ155" s="691" t="e">
        <f t="shared" si="1200"/>
        <v>#DIV/0!</v>
      </c>
      <c r="CK155" s="695" t="e">
        <f t="shared" si="1200"/>
        <v>#DIV/0!</v>
      </c>
      <c r="CL155" s="599" t="e">
        <f t="shared" si="1200"/>
        <v>#DIV/0!</v>
      </c>
      <c r="CM155" s="652" t="e">
        <f t="shared" si="1200"/>
        <v>#DIV/0!</v>
      </c>
      <c r="CN155" s="652" t="s">
        <v>93</v>
      </c>
      <c r="CO155" s="599">
        <f>STDEVA(CO149:CO153)</f>
        <v>0</v>
      </c>
      <c r="CP155" s="652" t="e">
        <f t="shared" ref="CP155:DD155" si="1201">STDEVA(CP149:CP153)</f>
        <v>#DIV/0!</v>
      </c>
      <c r="CQ155" s="675" t="e">
        <f t="shared" si="1201"/>
        <v>#DIV/0!</v>
      </c>
      <c r="CR155" s="672" t="e">
        <f t="shared" si="1201"/>
        <v>#DIV/0!</v>
      </c>
      <c r="CS155" s="672" t="e">
        <f t="shared" si="1201"/>
        <v>#DIV/0!</v>
      </c>
      <c r="CT155" s="675" t="e">
        <f t="shared" si="1201"/>
        <v>#DIV/0!</v>
      </c>
      <c r="CU155" s="672" t="e">
        <f t="shared" si="1201"/>
        <v>#DIV/0!</v>
      </c>
      <c r="CV155" s="672" t="e">
        <f t="shared" si="1201"/>
        <v>#DIV/0!</v>
      </c>
      <c r="CW155" s="672" t="e">
        <f>STDEVA(CW149:CW153)</f>
        <v>#DIV/0!</v>
      </c>
      <c r="CX155" s="672" t="e">
        <f t="shared" si="1201"/>
        <v>#DIV/0!</v>
      </c>
      <c r="CY155" s="676" t="e">
        <f t="shared" si="1201"/>
        <v>#DIV/0!</v>
      </c>
      <c r="CZ155" s="682" t="e">
        <f t="shared" si="1201"/>
        <v>#DIV/0!</v>
      </c>
      <c r="DA155" s="691" t="e">
        <f t="shared" si="1201"/>
        <v>#DIV/0!</v>
      </c>
      <c r="DB155" s="695" t="e">
        <f t="shared" si="1201"/>
        <v>#DIV/0!</v>
      </c>
      <c r="DC155" s="599" t="e">
        <f t="shared" si="1201"/>
        <v>#DIV/0!</v>
      </c>
      <c r="DD155" s="652" t="e">
        <f t="shared" si="1201"/>
        <v>#DIV/0!</v>
      </c>
      <c r="DE155" s="652" t="s">
        <v>93</v>
      </c>
      <c r="DF155" s="599">
        <f>STDEVA(DF149:DF153)</f>
        <v>0</v>
      </c>
      <c r="DG155" s="652" t="e">
        <f t="shared" ref="DG155:DU155" si="1202">STDEVA(DG149:DG153)</f>
        <v>#DIV/0!</v>
      </c>
      <c r="DH155" s="675" t="e">
        <f t="shared" si="1202"/>
        <v>#DIV/0!</v>
      </c>
      <c r="DI155" s="672" t="e">
        <f t="shared" si="1202"/>
        <v>#DIV/0!</v>
      </c>
      <c r="DJ155" s="672" t="e">
        <f t="shared" si="1202"/>
        <v>#DIV/0!</v>
      </c>
      <c r="DK155" s="675" t="e">
        <f t="shared" si="1202"/>
        <v>#DIV/0!</v>
      </c>
      <c r="DL155" s="672" t="e">
        <f t="shared" si="1202"/>
        <v>#DIV/0!</v>
      </c>
      <c r="DM155" s="672" t="e">
        <f t="shared" si="1202"/>
        <v>#DIV/0!</v>
      </c>
      <c r="DN155" s="672" t="e">
        <f>STDEVA(DN149:DN153)</f>
        <v>#DIV/0!</v>
      </c>
      <c r="DO155" s="672" t="e">
        <f t="shared" si="1202"/>
        <v>#DIV/0!</v>
      </c>
      <c r="DP155" s="676" t="e">
        <f t="shared" si="1202"/>
        <v>#DIV/0!</v>
      </c>
      <c r="DQ155" s="682" t="e">
        <f t="shared" si="1202"/>
        <v>#DIV/0!</v>
      </c>
      <c r="DR155" s="691" t="e">
        <f t="shared" si="1202"/>
        <v>#DIV/0!</v>
      </c>
      <c r="DS155" s="695" t="e">
        <f t="shared" si="1202"/>
        <v>#DIV/0!</v>
      </c>
      <c r="DT155" s="653" t="e">
        <f t="shared" si="1202"/>
        <v>#DIV/0!</v>
      </c>
      <c r="DU155" s="652" t="e">
        <f t="shared" si="1202"/>
        <v>#DIV/0!</v>
      </c>
      <c r="DV155" s="652" t="s">
        <v>93</v>
      </c>
      <c r="DW155" s="599">
        <f>STDEVA(DW149:DW153)</f>
        <v>0</v>
      </c>
      <c r="DX155" s="652" t="e">
        <f t="shared" ref="DX155:EL155" si="1203">STDEVA(DX149:DX153)</f>
        <v>#DIV/0!</v>
      </c>
      <c r="DY155" s="675" t="e">
        <f t="shared" si="1203"/>
        <v>#DIV/0!</v>
      </c>
      <c r="DZ155" s="672" t="e">
        <f t="shared" si="1203"/>
        <v>#DIV/0!</v>
      </c>
      <c r="EA155" s="672" t="e">
        <f t="shared" si="1203"/>
        <v>#DIV/0!</v>
      </c>
      <c r="EB155" s="675" t="e">
        <f t="shared" si="1203"/>
        <v>#DIV/0!</v>
      </c>
      <c r="EC155" s="672" t="e">
        <f t="shared" si="1203"/>
        <v>#DIV/0!</v>
      </c>
      <c r="ED155" s="672" t="e">
        <f t="shared" si="1203"/>
        <v>#DIV/0!</v>
      </c>
      <c r="EE155" s="672" t="e">
        <f>STDEVA(EE149:EE153)</f>
        <v>#DIV/0!</v>
      </c>
      <c r="EF155" s="672" t="e">
        <f t="shared" si="1203"/>
        <v>#DIV/0!</v>
      </c>
      <c r="EG155" s="676" t="e">
        <f t="shared" si="1203"/>
        <v>#DIV/0!</v>
      </c>
      <c r="EH155" s="682" t="e">
        <f t="shared" si="1203"/>
        <v>#DIV/0!</v>
      </c>
      <c r="EI155" s="691" t="e">
        <f t="shared" si="1203"/>
        <v>#DIV/0!</v>
      </c>
      <c r="EJ155" s="695" t="e">
        <f t="shared" si="1203"/>
        <v>#DIV/0!</v>
      </c>
      <c r="EK155" s="599" t="e">
        <f t="shared" si="1203"/>
        <v>#DIV/0!</v>
      </c>
      <c r="EL155" s="652" t="e">
        <f t="shared" si="1203"/>
        <v>#DIV/0!</v>
      </c>
      <c r="EM155" s="652" t="s">
        <v>93</v>
      </c>
      <c r="EN155" s="599">
        <f>STDEVA(EN149:EN153)</f>
        <v>0</v>
      </c>
      <c r="EO155" s="652" t="e">
        <f t="shared" ref="EO155:FC155" si="1204">STDEVA(EO149:EO153)</f>
        <v>#DIV/0!</v>
      </c>
      <c r="EP155" s="675" t="e">
        <f t="shared" si="1204"/>
        <v>#DIV/0!</v>
      </c>
      <c r="EQ155" s="672" t="e">
        <f t="shared" si="1204"/>
        <v>#DIV/0!</v>
      </c>
      <c r="ER155" s="672" t="e">
        <f t="shared" si="1204"/>
        <v>#DIV/0!</v>
      </c>
      <c r="ES155" s="675" t="e">
        <f t="shared" si="1204"/>
        <v>#DIV/0!</v>
      </c>
      <c r="ET155" s="672" t="e">
        <f t="shared" si="1204"/>
        <v>#DIV/0!</v>
      </c>
      <c r="EU155" s="672" t="e">
        <f t="shared" si="1204"/>
        <v>#DIV/0!</v>
      </c>
      <c r="EV155" s="672" t="e">
        <f>STDEVA(EV149:EV153)</f>
        <v>#DIV/0!</v>
      </c>
      <c r="EW155" s="672" t="e">
        <f t="shared" si="1204"/>
        <v>#DIV/0!</v>
      </c>
      <c r="EX155" s="676" t="e">
        <f t="shared" si="1204"/>
        <v>#DIV/0!</v>
      </c>
      <c r="EY155" s="682" t="e">
        <f t="shared" si="1204"/>
        <v>#DIV/0!</v>
      </c>
      <c r="EZ155" s="691" t="e">
        <f t="shared" si="1204"/>
        <v>#DIV/0!</v>
      </c>
      <c r="FA155" s="695" t="e">
        <f t="shared" si="1204"/>
        <v>#DIV/0!</v>
      </c>
      <c r="FB155" s="599" t="e">
        <f t="shared" si="1204"/>
        <v>#DIV/0!</v>
      </c>
      <c r="FC155" s="652" t="e">
        <f t="shared" si="1204"/>
        <v>#DIV/0!</v>
      </c>
      <c r="FD155" s="652" t="s">
        <v>93</v>
      </c>
      <c r="FE155" s="599">
        <f>STDEVA(FE149:FE153)</f>
        <v>0</v>
      </c>
      <c r="FF155" s="652" t="e">
        <f t="shared" ref="FF155:FT155" si="1205">STDEVA(FF149:FF153)</f>
        <v>#DIV/0!</v>
      </c>
      <c r="FG155" s="675" t="e">
        <f t="shared" si="1205"/>
        <v>#DIV/0!</v>
      </c>
      <c r="FH155" s="672" t="e">
        <f t="shared" si="1205"/>
        <v>#DIV/0!</v>
      </c>
      <c r="FI155" s="672" t="e">
        <f t="shared" si="1205"/>
        <v>#DIV/0!</v>
      </c>
      <c r="FJ155" s="675" t="e">
        <f t="shared" si="1205"/>
        <v>#DIV/0!</v>
      </c>
      <c r="FK155" s="672" t="e">
        <f t="shared" si="1205"/>
        <v>#DIV/0!</v>
      </c>
      <c r="FL155" s="672" t="e">
        <f t="shared" si="1205"/>
        <v>#DIV/0!</v>
      </c>
      <c r="FM155" s="672" t="e">
        <f>STDEVA(FM149:FM153)</f>
        <v>#DIV/0!</v>
      </c>
      <c r="FN155" s="672" t="e">
        <f t="shared" si="1205"/>
        <v>#DIV/0!</v>
      </c>
      <c r="FO155" s="676" t="e">
        <f t="shared" si="1205"/>
        <v>#DIV/0!</v>
      </c>
      <c r="FP155" s="682" t="e">
        <f t="shared" si="1205"/>
        <v>#DIV/0!</v>
      </c>
      <c r="FQ155" s="691" t="e">
        <f t="shared" si="1205"/>
        <v>#DIV/0!</v>
      </c>
      <c r="FR155" s="695" t="e">
        <f t="shared" si="1205"/>
        <v>#DIV/0!</v>
      </c>
      <c r="FS155" s="599" t="e">
        <f t="shared" si="1205"/>
        <v>#DIV/0!</v>
      </c>
      <c r="FT155" s="652" t="e">
        <f t="shared" si="1205"/>
        <v>#DIV/0!</v>
      </c>
      <c r="FU155" s="652" t="s">
        <v>93</v>
      </c>
      <c r="FV155" s="599">
        <f>STDEVA(FV149:FV153)</f>
        <v>0</v>
      </c>
      <c r="FW155" s="652" t="e">
        <f t="shared" ref="FW155:GK155" si="1206">STDEVA(FW149:FW153)</f>
        <v>#DIV/0!</v>
      </c>
      <c r="FX155" s="675" t="e">
        <f t="shared" si="1206"/>
        <v>#DIV/0!</v>
      </c>
      <c r="FY155" s="672" t="e">
        <f t="shared" si="1206"/>
        <v>#DIV/0!</v>
      </c>
      <c r="FZ155" s="672" t="e">
        <f t="shared" si="1206"/>
        <v>#DIV/0!</v>
      </c>
      <c r="GA155" s="675" t="e">
        <f t="shared" si="1206"/>
        <v>#DIV/0!</v>
      </c>
      <c r="GB155" s="672" t="e">
        <f t="shared" si="1206"/>
        <v>#DIV/0!</v>
      </c>
      <c r="GC155" s="672" t="e">
        <f t="shared" si="1206"/>
        <v>#DIV/0!</v>
      </c>
      <c r="GD155" s="672" t="e">
        <f>STDEVA(GD149:GD153)</f>
        <v>#DIV/0!</v>
      </c>
      <c r="GE155" s="672" t="e">
        <f t="shared" si="1206"/>
        <v>#DIV/0!</v>
      </c>
      <c r="GF155" s="676" t="e">
        <f t="shared" si="1206"/>
        <v>#DIV/0!</v>
      </c>
      <c r="GG155" s="682" t="e">
        <f t="shared" si="1206"/>
        <v>#DIV/0!</v>
      </c>
      <c r="GH155" s="691" t="e">
        <f t="shared" si="1206"/>
        <v>#DIV/0!</v>
      </c>
      <c r="GI155" s="695" t="e">
        <f t="shared" si="1206"/>
        <v>#DIV/0!</v>
      </c>
      <c r="GJ155" s="653" t="e">
        <f t="shared" si="1206"/>
        <v>#DIV/0!</v>
      </c>
      <c r="GK155" s="652" t="e">
        <f t="shared" si="1206"/>
        <v>#DIV/0!</v>
      </c>
      <c r="GL155" s="652" t="s">
        <v>93</v>
      </c>
      <c r="GM155" s="599">
        <f>STDEVA(GM149:GM153)</f>
        <v>0</v>
      </c>
      <c r="GN155" s="652" t="e">
        <f t="shared" ref="GN155:HB155" si="1207">STDEVA(GN149:GN153)</f>
        <v>#DIV/0!</v>
      </c>
      <c r="GO155" s="675" t="e">
        <f t="shared" si="1207"/>
        <v>#DIV/0!</v>
      </c>
      <c r="GP155" s="672" t="e">
        <f t="shared" si="1207"/>
        <v>#DIV/0!</v>
      </c>
      <c r="GQ155" s="672" t="e">
        <f t="shared" si="1207"/>
        <v>#DIV/0!</v>
      </c>
      <c r="GR155" s="675" t="e">
        <f t="shared" si="1207"/>
        <v>#DIV/0!</v>
      </c>
      <c r="GS155" s="672" t="e">
        <f t="shared" si="1207"/>
        <v>#DIV/0!</v>
      </c>
      <c r="GT155" s="672" t="e">
        <f t="shared" si="1207"/>
        <v>#DIV/0!</v>
      </c>
      <c r="GU155" s="672" t="e">
        <f>STDEVA(GU149:GU153)</f>
        <v>#DIV/0!</v>
      </c>
      <c r="GV155" s="672" t="e">
        <f t="shared" si="1207"/>
        <v>#DIV/0!</v>
      </c>
      <c r="GW155" s="676" t="e">
        <f t="shared" si="1207"/>
        <v>#DIV/0!</v>
      </c>
      <c r="GX155" s="682" t="e">
        <f t="shared" si="1207"/>
        <v>#DIV/0!</v>
      </c>
      <c r="GY155" s="691" t="e">
        <f t="shared" si="1207"/>
        <v>#DIV/0!</v>
      </c>
      <c r="GZ155" s="695" t="e">
        <f t="shared" si="1207"/>
        <v>#DIV/0!</v>
      </c>
      <c r="HA155" s="599" t="e">
        <f t="shared" si="1207"/>
        <v>#DIV/0!</v>
      </c>
      <c r="HB155" s="652" t="e">
        <f t="shared" si="1207"/>
        <v>#DIV/0!</v>
      </c>
      <c r="HC155" s="652" t="s">
        <v>93</v>
      </c>
      <c r="HD155" s="599">
        <f>STDEVA(HD149:HD153)</f>
        <v>0</v>
      </c>
      <c r="HE155" s="652" t="e">
        <f t="shared" ref="HE155:HS155" si="1208">STDEVA(HE149:HE153)</f>
        <v>#DIV/0!</v>
      </c>
      <c r="HF155" s="675" t="e">
        <f t="shared" si="1208"/>
        <v>#DIV/0!</v>
      </c>
      <c r="HG155" s="672" t="e">
        <f t="shared" si="1208"/>
        <v>#DIV/0!</v>
      </c>
      <c r="HH155" s="672" t="e">
        <f t="shared" si="1208"/>
        <v>#DIV/0!</v>
      </c>
      <c r="HI155" s="675" t="e">
        <f t="shared" si="1208"/>
        <v>#DIV/0!</v>
      </c>
      <c r="HJ155" s="672" t="e">
        <f t="shared" si="1208"/>
        <v>#DIV/0!</v>
      </c>
      <c r="HK155" s="672" t="e">
        <f t="shared" si="1208"/>
        <v>#DIV/0!</v>
      </c>
      <c r="HL155" s="672" t="e">
        <f>STDEVA(HL149:HL153)</f>
        <v>#DIV/0!</v>
      </c>
      <c r="HM155" s="672" t="e">
        <f t="shared" si="1208"/>
        <v>#DIV/0!</v>
      </c>
      <c r="HN155" s="676" t="e">
        <f t="shared" si="1208"/>
        <v>#DIV/0!</v>
      </c>
      <c r="HO155" s="682" t="e">
        <f t="shared" si="1208"/>
        <v>#DIV/0!</v>
      </c>
      <c r="HP155" s="691" t="e">
        <f t="shared" si="1208"/>
        <v>#DIV/0!</v>
      </c>
      <c r="HQ155" s="695" t="e">
        <f t="shared" si="1208"/>
        <v>#DIV/0!</v>
      </c>
      <c r="HR155" s="599" t="e">
        <f t="shared" si="1208"/>
        <v>#DIV/0!</v>
      </c>
      <c r="HS155" s="652" t="e">
        <f t="shared" si="1208"/>
        <v>#DIV/0!</v>
      </c>
      <c r="HT155" s="652" t="s">
        <v>93</v>
      </c>
      <c r="HU155" s="599">
        <f>STDEVA(HU149:HU153)</f>
        <v>0</v>
      </c>
      <c r="HV155" s="652" t="e">
        <f t="shared" ref="HV155:IJ155" si="1209">STDEVA(HV149:HV153)</f>
        <v>#DIV/0!</v>
      </c>
      <c r="HW155" s="675" t="e">
        <f t="shared" si="1209"/>
        <v>#DIV/0!</v>
      </c>
      <c r="HX155" s="672" t="e">
        <f t="shared" si="1209"/>
        <v>#DIV/0!</v>
      </c>
      <c r="HY155" s="672" t="e">
        <f t="shared" si="1209"/>
        <v>#DIV/0!</v>
      </c>
      <c r="HZ155" s="675" t="e">
        <f t="shared" si="1209"/>
        <v>#DIV/0!</v>
      </c>
      <c r="IA155" s="672" t="e">
        <f t="shared" si="1209"/>
        <v>#DIV/0!</v>
      </c>
      <c r="IB155" s="672" t="e">
        <f t="shared" si="1209"/>
        <v>#DIV/0!</v>
      </c>
      <c r="IC155" s="672" t="e">
        <f>STDEVA(IC149:IC153)</f>
        <v>#DIV/0!</v>
      </c>
      <c r="ID155" s="672" t="e">
        <f t="shared" si="1209"/>
        <v>#DIV/0!</v>
      </c>
      <c r="IE155" s="676" t="e">
        <f t="shared" si="1209"/>
        <v>#DIV/0!</v>
      </c>
      <c r="IF155" s="682" t="e">
        <f t="shared" si="1209"/>
        <v>#DIV/0!</v>
      </c>
      <c r="IG155" s="691" t="e">
        <f t="shared" si="1209"/>
        <v>#DIV/0!</v>
      </c>
      <c r="IH155" s="695" t="e">
        <f t="shared" si="1209"/>
        <v>#DIV/0!</v>
      </c>
      <c r="II155" s="599" t="e">
        <f t="shared" si="1209"/>
        <v>#DIV/0!</v>
      </c>
      <c r="IJ155" s="652" t="e">
        <f t="shared" si="1209"/>
        <v>#DIV/0!</v>
      </c>
      <c r="IK155" s="652" t="s">
        <v>93</v>
      </c>
      <c r="IL155" s="599">
        <f>STDEVA(IL149:IL153)</f>
        <v>0</v>
      </c>
      <c r="IM155" s="652" t="e">
        <f t="shared" ref="IM155:JA155" si="1210">STDEVA(IM149:IM153)</f>
        <v>#DIV/0!</v>
      </c>
      <c r="IN155" s="675" t="e">
        <f t="shared" si="1210"/>
        <v>#DIV/0!</v>
      </c>
      <c r="IO155" s="672" t="e">
        <f t="shared" si="1210"/>
        <v>#DIV/0!</v>
      </c>
      <c r="IP155" s="672" t="e">
        <f t="shared" si="1210"/>
        <v>#DIV/0!</v>
      </c>
      <c r="IQ155" s="675" t="e">
        <f t="shared" si="1210"/>
        <v>#DIV/0!</v>
      </c>
      <c r="IR155" s="672" t="e">
        <f t="shared" si="1210"/>
        <v>#DIV/0!</v>
      </c>
      <c r="IS155" s="672" t="e">
        <f t="shared" si="1210"/>
        <v>#DIV/0!</v>
      </c>
      <c r="IT155" s="672" t="e">
        <f>STDEVA(IT149:IT153)</f>
        <v>#DIV/0!</v>
      </c>
      <c r="IU155" s="672" t="e">
        <f t="shared" si="1210"/>
        <v>#DIV/0!</v>
      </c>
      <c r="IV155" s="676" t="e">
        <f t="shared" si="1210"/>
        <v>#DIV/0!</v>
      </c>
      <c r="IW155" s="682" t="e">
        <f t="shared" si="1210"/>
        <v>#DIV/0!</v>
      </c>
      <c r="IX155" s="691" t="e">
        <f t="shared" si="1210"/>
        <v>#DIV/0!</v>
      </c>
      <c r="IY155" s="695" t="e">
        <f t="shared" si="1210"/>
        <v>#DIV/0!</v>
      </c>
      <c r="IZ155" s="599" t="e">
        <f t="shared" si="1210"/>
        <v>#DIV/0!</v>
      </c>
      <c r="JA155" s="652" t="e">
        <f t="shared" si="1210"/>
        <v>#DIV/0!</v>
      </c>
      <c r="JB155" s="652" t="s">
        <v>93</v>
      </c>
      <c r="JC155" s="599">
        <f>STDEVA(JC149:JC153)</f>
        <v>0</v>
      </c>
      <c r="JD155" s="652" t="e">
        <f t="shared" ref="JD155:JR155" si="1211">STDEVA(JD149:JD153)</f>
        <v>#DIV/0!</v>
      </c>
      <c r="JE155" s="675" t="e">
        <f t="shared" si="1211"/>
        <v>#DIV/0!</v>
      </c>
      <c r="JF155" s="672" t="e">
        <f t="shared" si="1211"/>
        <v>#DIV/0!</v>
      </c>
      <c r="JG155" s="672" t="e">
        <f t="shared" si="1211"/>
        <v>#DIV/0!</v>
      </c>
      <c r="JH155" s="675" t="e">
        <f t="shared" si="1211"/>
        <v>#DIV/0!</v>
      </c>
      <c r="JI155" s="672" t="e">
        <f t="shared" si="1211"/>
        <v>#DIV/0!</v>
      </c>
      <c r="JJ155" s="672" t="e">
        <f t="shared" si="1211"/>
        <v>#DIV/0!</v>
      </c>
      <c r="JK155" s="672" t="e">
        <f>STDEVA(JK149:JK153)</f>
        <v>#DIV/0!</v>
      </c>
      <c r="JL155" s="672" t="e">
        <f t="shared" si="1211"/>
        <v>#DIV/0!</v>
      </c>
      <c r="JM155" s="676" t="e">
        <f t="shared" si="1211"/>
        <v>#DIV/0!</v>
      </c>
      <c r="JN155" s="682" t="e">
        <f t="shared" si="1211"/>
        <v>#DIV/0!</v>
      </c>
      <c r="JO155" s="691" t="e">
        <f t="shared" si="1211"/>
        <v>#DIV/0!</v>
      </c>
      <c r="JP155" s="695" t="e">
        <f t="shared" si="1211"/>
        <v>#DIV/0!</v>
      </c>
      <c r="JQ155" s="599" t="e">
        <f t="shared" si="1211"/>
        <v>#DIV/0!</v>
      </c>
      <c r="JR155" s="652" t="e">
        <f t="shared" si="1211"/>
        <v>#DIV/0!</v>
      </c>
      <c r="JS155" s="652" t="s">
        <v>93</v>
      </c>
      <c r="JT155" s="599">
        <f>STDEVA(JT149:JT153)</f>
        <v>0</v>
      </c>
      <c r="JU155" s="652" t="e">
        <f t="shared" ref="JU155:KI155" si="1212">STDEVA(JU149:JU153)</f>
        <v>#DIV/0!</v>
      </c>
      <c r="JV155" s="675" t="e">
        <f t="shared" si="1212"/>
        <v>#DIV/0!</v>
      </c>
      <c r="JW155" s="672" t="e">
        <f t="shared" si="1212"/>
        <v>#DIV/0!</v>
      </c>
      <c r="JX155" s="672" t="e">
        <f t="shared" si="1212"/>
        <v>#DIV/0!</v>
      </c>
      <c r="JY155" s="675" t="e">
        <f t="shared" si="1212"/>
        <v>#DIV/0!</v>
      </c>
      <c r="JZ155" s="672" t="e">
        <f t="shared" si="1212"/>
        <v>#DIV/0!</v>
      </c>
      <c r="KA155" s="672" t="e">
        <f t="shared" si="1212"/>
        <v>#DIV/0!</v>
      </c>
      <c r="KB155" s="672" t="e">
        <f>STDEVA(KB149:KB153)</f>
        <v>#DIV/0!</v>
      </c>
      <c r="KC155" s="672" t="e">
        <f t="shared" si="1212"/>
        <v>#DIV/0!</v>
      </c>
      <c r="KD155" s="676" t="e">
        <f t="shared" si="1212"/>
        <v>#DIV/0!</v>
      </c>
      <c r="KE155" s="682" t="e">
        <f t="shared" si="1212"/>
        <v>#DIV/0!</v>
      </c>
      <c r="KF155" s="691" t="e">
        <f t="shared" si="1212"/>
        <v>#DIV/0!</v>
      </c>
      <c r="KG155" s="695" t="e">
        <f t="shared" si="1212"/>
        <v>#DIV/0!</v>
      </c>
      <c r="KH155" s="599" t="e">
        <f t="shared" si="1212"/>
        <v>#DIV/0!</v>
      </c>
      <c r="KI155" s="652" t="e">
        <f t="shared" si="1212"/>
        <v>#DIV/0!</v>
      </c>
      <c r="KJ155" s="652" t="s">
        <v>93</v>
      </c>
      <c r="KK155" s="599">
        <f>STDEVA(KK149:KK153)</f>
        <v>0</v>
      </c>
      <c r="KL155" s="652" t="e">
        <f t="shared" ref="KL155:KZ155" si="1213">STDEVA(KL149:KL153)</f>
        <v>#DIV/0!</v>
      </c>
      <c r="KM155" s="675" t="e">
        <f t="shared" si="1213"/>
        <v>#DIV/0!</v>
      </c>
      <c r="KN155" s="672" t="e">
        <f t="shared" si="1213"/>
        <v>#DIV/0!</v>
      </c>
      <c r="KO155" s="672" t="e">
        <f t="shared" si="1213"/>
        <v>#DIV/0!</v>
      </c>
      <c r="KP155" s="675" t="e">
        <f t="shared" si="1213"/>
        <v>#DIV/0!</v>
      </c>
      <c r="KQ155" s="672" t="e">
        <f t="shared" si="1213"/>
        <v>#DIV/0!</v>
      </c>
      <c r="KR155" s="672" t="e">
        <f t="shared" si="1213"/>
        <v>#DIV/0!</v>
      </c>
      <c r="KS155" s="672" t="e">
        <f>STDEVA(KS149:KS153)</f>
        <v>#DIV/0!</v>
      </c>
      <c r="KT155" s="672" t="e">
        <f t="shared" si="1213"/>
        <v>#DIV/0!</v>
      </c>
      <c r="KU155" s="676" t="e">
        <f t="shared" si="1213"/>
        <v>#DIV/0!</v>
      </c>
      <c r="KV155" s="682" t="e">
        <f t="shared" si="1213"/>
        <v>#DIV/0!</v>
      </c>
      <c r="KW155" s="691" t="e">
        <f t="shared" si="1213"/>
        <v>#DIV/0!</v>
      </c>
      <c r="KX155" s="695" t="e">
        <f t="shared" si="1213"/>
        <v>#DIV/0!</v>
      </c>
      <c r="KY155" s="599" t="e">
        <f t="shared" si="1213"/>
        <v>#DIV/0!</v>
      </c>
      <c r="KZ155" s="652" t="e">
        <f t="shared" si="1213"/>
        <v>#DIV/0!</v>
      </c>
      <c r="LA155" s="652" t="s">
        <v>93</v>
      </c>
      <c r="LB155" s="599">
        <f>STDEVA(LB149:LB153)</f>
        <v>0</v>
      </c>
      <c r="LC155" s="652" t="e">
        <f t="shared" ref="LC155:LQ155" si="1214">STDEVA(LC149:LC153)</f>
        <v>#DIV/0!</v>
      </c>
      <c r="LD155" s="675" t="e">
        <f t="shared" si="1214"/>
        <v>#DIV/0!</v>
      </c>
      <c r="LE155" s="672" t="e">
        <f t="shared" si="1214"/>
        <v>#DIV/0!</v>
      </c>
      <c r="LF155" s="672" t="e">
        <f t="shared" si="1214"/>
        <v>#DIV/0!</v>
      </c>
      <c r="LG155" s="675" t="e">
        <f t="shared" si="1214"/>
        <v>#DIV/0!</v>
      </c>
      <c r="LH155" s="672" t="e">
        <f t="shared" si="1214"/>
        <v>#DIV/0!</v>
      </c>
      <c r="LI155" s="672" t="e">
        <f t="shared" si="1214"/>
        <v>#DIV/0!</v>
      </c>
      <c r="LJ155" s="672" t="e">
        <f>STDEVA(LJ149:LJ153)</f>
        <v>#DIV/0!</v>
      </c>
      <c r="LK155" s="672" t="e">
        <f t="shared" si="1214"/>
        <v>#DIV/0!</v>
      </c>
      <c r="LL155" s="676" t="e">
        <f t="shared" si="1214"/>
        <v>#DIV/0!</v>
      </c>
      <c r="LM155" s="682" t="e">
        <f t="shared" si="1214"/>
        <v>#DIV/0!</v>
      </c>
      <c r="LN155" s="691" t="e">
        <f t="shared" si="1214"/>
        <v>#DIV/0!</v>
      </c>
      <c r="LO155" s="695" t="e">
        <f t="shared" si="1214"/>
        <v>#DIV/0!</v>
      </c>
      <c r="LP155" s="599" t="e">
        <f t="shared" si="1214"/>
        <v>#DIV/0!</v>
      </c>
      <c r="LQ155" s="652" t="e">
        <f t="shared" si="1214"/>
        <v>#DIV/0!</v>
      </c>
      <c r="LR155" s="652" t="s">
        <v>93</v>
      </c>
      <c r="LS155" s="599">
        <f>STDEVA(LS149:LS153)</f>
        <v>0</v>
      </c>
      <c r="LT155" s="652" t="e">
        <f t="shared" ref="LT155:MH155" si="1215">STDEVA(LT149:LT153)</f>
        <v>#DIV/0!</v>
      </c>
      <c r="LU155" s="675" t="e">
        <f t="shared" si="1215"/>
        <v>#DIV/0!</v>
      </c>
      <c r="LV155" s="672" t="e">
        <f t="shared" si="1215"/>
        <v>#DIV/0!</v>
      </c>
      <c r="LW155" s="672" t="e">
        <f t="shared" si="1215"/>
        <v>#DIV/0!</v>
      </c>
      <c r="LX155" s="675" t="e">
        <f t="shared" si="1215"/>
        <v>#DIV/0!</v>
      </c>
      <c r="LY155" s="672" t="e">
        <f t="shared" si="1215"/>
        <v>#DIV/0!</v>
      </c>
      <c r="LZ155" s="672" t="e">
        <f t="shared" si="1215"/>
        <v>#DIV/0!</v>
      </c>
      <c r="MA155" s="672" t="e">
        <f>STDEVA(MA149:MA153)</f>
        <v>#DIV/0!</v>
      </c>
      <c r="MB155" s="672" t="e">
        <f t="shared" si="1215"/>
        <v>#DIV/0!</v>
      </c>
      <c r="MC155" s="676" t="e">
        <f t="shared" si="1215"/>
        <v>#DIV/0!</v>
      </c>
      <c r="MD155" s="682" t="e">
        <f t="shared" si="1215"/>
        <v>#DIV/0!</v>
      </c>
      <c r="ME155" s="691" t="e">
        <f t="shared" si="1215"/>
        <v>#DIV/0!</v>
      </c>
      <c r="MF155" s="695" t="e">
        <f t="shared" si="1215"/>
        <v>#DIV/0!</v>
      </c>
      <c r="MG155" s="599" t="e">
        <f t="shared" si="1215"/>
        <v>#DIV/0!</v>
      </c>
      <c r="MH155" s="652" t="e">
        <f t="shared" si="1215"/>
        <v>#DIV/0!</v>
      </c>
      <c r="MI155" s="652" t="s">
        <v>93</v>
      </c>
      <c r="MJ155" s="599">
        <f>STDEVA(MJ149:MJ153)</f>
        <v>0</v>
      </c>
      <c r="MK155" s="652" t="e">
        <f t="shared" ref="MK155:MY155" si="1216">STDEVA(MK149:MK153)</f>
        <v>#DIV/0!</v>
      </c>
      <c r="ML155" s="675" t="e">
        <f t="shared" si="1216"/>
        <v>#DIV/0!</v>
      </c>
      <c r="MM155" s="672" t="e">
        <f t="shared" si="1216"/>
        <v>#DIV/0!</v>
      </c>
      <c r="MN155" s="672" t="e">
        <f t="shared" si="1216"/>
        <v>#DIV/0!</v>
      </c>
      <c r="MO155" s="675" t="e">
        <f t="shared" si="1216"/>
        <v>#DIV/0!</v>
      </c>
      <c r="MP155" s="672" t="e">
        <f t="shared" si="1216"/>
        <v>#DIV/0!</v>
      </c>
      <c r="MQ155" s="672" t="e">
        <f t="shared" si="1216"/>
        <v>#DIV/0!</v>
      </c>
      <c r="MR155" s="672" t="e">
        <f>STDEVA(MR149:MR153)</f>
        <v>#DIV/0!</v>
      </c>
      <c r="MS155" s="672" t="e">
        <f t="shared" si="1216"/>
        <v>#DIV/0!</v>
      </c>
      <c r="MT155" s="676" t="e">
        <f t="shared" si="1216"/>
        <v>#DIV/0!</v>
      </c>
      <c r="MU155" s="682" t="e">
        <f t="shared" si="1216"/>
        <v>#DIV/0!</v>
      </c>
      <c r="MV155" s="691" t="e">
        <f t="shared" si="1216"/>
        <v>#DIV/0!</v>
      </c>
      <c r="MW155" s="695" t="e">
        <f t="shared" si="1216"/>
        <v>#DIV/0!</v>
      </c>
      <c r="MX155" s="599" t="e">
        <f t="shared" si="1216"/>
        <v>#DIV/0!</v>
      </c>
      <c r="MY155" s="652" t="e">
        <f t="shared" si="1216"/>
        <v>#DIV/0!</v>
      </c>
      <c r="MZ155" s="652" t="s">
        <v>93</v>
      </c>
      <c r="NA155" s="599">
        <f>STDEVA(NA149:NA153)</f>
        <v>0</v>
      </c>
      <c r="NB155" s="652" t="e">
        <f t="shared" ref="NB155:NP155" si="1217">STDEVA(NB149:NB153)</f>
        <v>#DIV/0!</v>
      </c>
      <c r="NC155" s="675" t="e">
        <f t="shared" si="1217"/>
        <v>#DIV/0!</v>
      </c>
      <c r="ND155" s="672" t="e">
        <f t="shared" si="1217"/>
        <v>#DIV/0!</v>
      </c>
      <c r="NE155" s="672" t="e">
        <f t="shared" si="1217"/>
        <v>#DIV/0!</v>
      </c>
      <c r="NF155" s="675" t="e">
        <f t="shared" si="1217"/>
        <v>#DIV/0!</v>
      </c>
      <c r="NG155" s="672" t="e">
        <f t="shared" si="1217"/>
        <v>#DIV/0!</v>
      </c>
      <c r="NH155" s="672" t="e">
        <f t="shared" si="1217"/>
        <v>#DIV/0!</v>
      </c>
      <c r="NI155" s="672" t="e">
        <f>STDEVA(NI149:NI153)</f>
        <v>#DIV/0!</v>
      </c>
      <c r="NJ155" s="672" t="e">
        <f t="shared" si="1217"/>
        <v>#DIV/0!</v>
      </c>
      <c r="NK155" s="676" t="e">
        <f t="shared" si="1217"/>
        <v>#DIV/0!</v>
      </c>
      <c r="NL155" s="682" t="e">
        <f t="shared" si="1217"/>
        <v>#DIV/0!</v>
      </c>
      <c r="NM155" s="691" t="e">
        <f t="shared" si="1217"/>
        <v>#DIV/0!</v>
      </c>
      <c r="NN155" s="695" t="e">
        <f t="shared" si="1217"/>
        <v>#DIV/0!</v>
      </c>
      <c r="NO155" s="599" t="e">
        <f t="shared" si="1217"/>
        <v>#DIV/0!</v>
      </c>
      <c r="NP155" s="652" t="e">
        <f t="shared" si="1217"/>
        <v>#DIV/0!</v>
      </c>
      <c r="NQ155" s="652" t="s">
        <v>93</v>
      </c>
      <c r="NR155" s="599">
        <f>STDEVA(NR149:NR153)</f>
        <v>0</v>
      </c>
      <c r="NS155" s="652" t="e">
        <f t="shared" ref="NS155:OG155" si="1218">STDEVA(NS149:NS153)</f>
        <v>#DIV/0!</v>
      </c>
      <c r="NT155" s="675" t="e">
        <f t="shared" si="1218"/>
        <v>#DIV/0!</v>
      </c>
      <c r="NU155" s="672" t="e">
        <f t="shared" si="1218"/>
        <v>#DIV/0!</v>
      </c>
      <c r="NV155" s="672" t="e">
        <f t="shared" si="1218"/>
        <v>#DIV/0!</v>
      </c>
      <c r="NW155" s="675" t="e">
        <f t="shared" si="1218"/>
        <v>#DIV/0!</v>
      </c>
      <c r="NX155" s="672" t="e">
        <f t="shared" si="1218"/>
        <v>#DIV/0!</v>
      </c>
      <c r="NY155" s="672" t="e">
        <f t="shared" si="1218"/>
        <v>#DIV/0!</v>
      </c>
      <c r="NZ155" s="672" t="e">
        <f>STDEVA(NZ149:NZ153)</f>
        <v>#DIV/0!</v>
      </c>
      <c r="OA155" s="672" t="e">
        <f t="shared" si="1218"/>
        <v>#DIV/0!</v>
      </c>
      <c r="OB155" s="676" t="e">
        <f t="shared" si="1218"/>
        <v>#DIV/0!</v>
      </c>
      <c r="OC155" s="682" t="e">
        <f t="shared" si="1218"/>
        <v>#DIV/0!</v>
      </c>
      <c r="OD155" s="691" t="e">
        <f t="shared" si="1218"/>
        <v>#DIV/0!</v>
      </c>
      <c r="OE155" s="695" t="e">
        <f t="shared" si="1218"/>
        <v>#DIV/0!</v>
      </c>
      <c r="OF155" s="599" t="e">
        <f t="shared" si="1218"/>
        <v>#DIV/0!</v>
      </c>
      <c r="OG155" s="652" t="e">
        <f t="shared" si="1218"/>
        <v>#DIV/0!</v>
      </c>
      <c r="OH155" s="652" t="s">
        <v>93</v>
      </c>
      <c r="OI155" s="599">
        <f>STDEVA(OI149:OI153)</f>
        <v>0</v>
      </c>
      <c r="OJ155" s="652" t="e">
        <f t="shared" ref="OJ155:OX155" si="1219">STDEVA(OJ149:OJ153)</f>
        <v>#DIV/0!</v>
      </c>
      <c r="OK155" s="675" t="e">
        <f t="shared" si="1219"/>
        <v>#DIV/0!</v>
      </c>
      <c r="OL155" s="672" t="e">
        <f t="shared" si="1219"/>
        <v>#DIV/0!</v>
      </c>
      <c r="OM155" s="672" t="e">
        <f t="shared" si="1219"/>
        <v>#DIV/0!</v>
      </c>
      <c r="ON155" s="675" t="e">
        <f t="shared" si="1219"/>
        <v>#DIV/0!</v>
      </c>
      <c r="OO155" s="672" t="e">
        <f t="shared" si="1219"/>
        <v>#DIV/0!</v>
      </c>
      <c r="OP155" s="672" t="e">
        <f t="shared" si="1219"/>
        <v>#DIV/0!</v>
      </c>
      <c r="OQ155" s="672" t="e">
        <f>STDEVA(OQ149:OQ153)</f>
        <v>#DIV/0!</v>
      </c>
      <c r="OR155" s="672" t="e">
        <f t="shared" si="1219"/>
        <v>#DIV/0!</v>
      </c>
      <c r="OS155" s="676" t="e">
        <f t="shared" si="1219"/>
        <v>#DIV/0!</v>
      </c>
      <c r="OT155" s="682" t="e">
        <f t="shared" si="1219"/>
        <v>#DIV/0!</v>
      </c>
      <c r="OU155" s="691" t="e">
        <f t="shared" si="1219"/>
        <v>#DIV/0!</v>
      </c>
      <c r="OV155" s="695" t="e">
        <f t="shared" si="1219"/>
        <v>#DIV/0!</v>
      </c>
      <c r="OW155" s="599" t="e">
        <f t="shared" si="1219"/>
        <v>#DIV/0!</v>
      </c>
      <c r="OX155" s="652" t="e">
        <f t="shared" si="1219"/>
        <v>#DIV/0!</v>
      </c>
      <c r="OY155" s="652" t="s">
        <v>93</v>
      </c>
      <c r="OZ155" s="599">
        <f>STDEVA(OZ149:OZ153)</f>
        <v>0</v>
      </c>
      <c r="PA155" s="652" t="e">
        <f t="shared" ref="PA155:PO155" si="1220">STDEVA(PA149:PA153)</f>
        <v>#DIV/0!</v>
      </c>
      <c r="PB155" s="675" t="e">
        <f t="shared" si="1220"/>
        <v>#DIV/0!</v>
      </c>
      <c r="PC155" s="672" t="e">
        <f t="shared" si="1220"/>
        <v>#DIV/0!</v>
      </c>
      <c r="PD155" s="672" t="e">
        <f t="shared" si="1220"/>
        <v>#DIV/0!</v>
      </c>
      <c r="PE155" s="675" t="e">
        <f t="shared" si="1220"/>
        <v>#DIV/0!</v>
      </c>
      <c r="PF155" s="672" t="e">
        <f t="shared" si="1220"/>
        <v>#DIV/0!</v>
      </c>
      <c r="PG155" s="672" t="e">
        <f t="shared" si="1220"/>
        <v>#DIV/0!</v>
      </c>
      <c r="PH155" s="672" t="e">
        <f>STDEVA(PH149:PH153)</f>
        <v>#DIV/0!</v>
      </c>
      <c r="PI155" s="672" t="e">
        <f t="shared" si="1220"/>
        <v>#DIV/0!</v>
      </c>
      <c r="PJ155" s="676" t="e">
        <f t="shared" si="1220"/>
        <v>#DIV/0!</v>
      </c>
      <c r="PK155" s="682" t="e">
        <f t="shared" si="1220"/>
        <v>#DIV/0!</v>
      </c>
      <c r="PL155" s="691" t="e">
        <f t="shared" si="1220"/>
        <v>#DIV/0!</v>
      </c>
      <c r="PM155" s="695" t="e">
        <f t="shared" si="1220"/>
        <v>#DIV/0!</v>
      </c>
      <c r="PN155" s="599" t="e">
        <f t="shared" si="1220"/>
        <v>#DIV/0!</v>
      </c>
      <c r="PO155" s="652" t="e">
        <f t="shared" si="1220"/>
        <v>#DIV/0!</v>
      </c>
      <c r="PP155" s="652" t="s">
        <v>93</v>
      </c>
      <c r="PQ155" s="599">
        <f>STDEVA(PQ149:PQ153)</f>
        <v>0</v>
      </c>
      <c r="PR155" s="652" t="e">
        <f t="shared" ref="PR155:QF155" si="1221">STDEVA(PR149:PR153)</f>
        <v>#DIV/0!</v>
      </c>
      <c r="PS155" s="675" t="e">
        <f t="shared" si="1221"/>
        <v>#DIV/0!</v>
      </c>
      <c r="PT155" s="672" t="e">
        <f t="shared" si="1221"/>
        <v>#DIV/0!</v>
      </c>
      <c r="PU155" s="672" t="e">
        <f t="shared" si="1221"/>
        <v>#DIV/0!</v>
      </c>
      <c r="PV155" s="675" t="e">
        <f t="shared" si="1221"/>
        <v>#DIV/0!</v>
      </c>
      <c r="PW155" s="672" t="e">
        <f t="shared" si="1221"/>
        <v>#DIV/0!</v>
      </c>
      <c r="PX155" s="672" t="e">
        <f t="shared" si="1221"/>
        <v>#DIV/0!</v>
      </c>
      <c r="PY155" s="672" t="e">
        <f>STDEVA(PY149:PY153)</f>
        <v>#DIV/0!</v>
      </c>
      <c r="PZ155" s="672" t="e">
        <f t="shared" si="1221"/>
        <v>#DIV/0!</v>
      </c>
      <c r="QA155" s="676" t="e">
        <f t="shared" si="1221"/>
        <v>#DIV/0!</v>
      </c>
      <c r="QB155" s="682" t="e">
        <f t="shared" si="1221"/>
        <v>#DIV/0!</v>
      </c>
      <c r="QC155" s="691" t="e">
        <f t="shared" si="1221"/>
        <v>#DIV/0!</v>
      </c>
      <c r="QD155" s="695" t="e">
        <f t="shared" si="1221"/>
        <v>#DIV/0!</v>
      </c>
      <c r="QE155" s="599" t="e">
        <f t="shared" si="1221"/>
        <v>#DIV/0!</v>
      </c>
      <c r="QF155" s="652">
        <f t="shared" si="1221"/>
        <v>0</v>
      </c>
      <c r="QG155" s="652" t="s">
        <v>93</v>
      </c>
      <c r="QH155" s="599">
        <f>STDEVA(QH149:QH153)</f>
        <v>0</v>
      </c>
      <c r="QI155" s="652" t="e">
        <f t="shared" ref="QI155:QW155" si="1222">STDEVA(QI149:QI153)</f>
        <v>#DIV/0!</v>
      </c>
      <c r="QJ155" s="675" t="e">
        <f t="shared" si="1222"/>
        <v>#DIV/0!</v>
      </c>
      <c r="QK155" s="672" t="e">
        <f t="shared" si="1222"/>
        <v>#DIV/0!</v>
      </c>
      <c r="QL155" s="672" t="e">
        <f t="shared" si="1222"/>
        <v>#DIV/0!</v>
      </c>
      <c r="QM155" s="675" t="e">
        <f t="shared" si="1222"/>
        <v>#DIV/0!</v>
      </c>
      <c r="QN155" s="672" t="e">
        <f t="shared" si="1222"/>
        <v>#DIV/0!</v>
      </c>
      <c r="QO155" s="672" t="e">
        <f t="shared" si="1222"/>
        <v>#DIV/0!</v>
      </c>
      <c r="QP155" s="672" t="e">
        <f>STDEVA(QP149:QP153)</f>
        <v>#DIV/0!</v>
      </c>
      <c r="QQ155" s="672" t="e">
        <f t="shared" si="1222"/>
        <v>#DIV/0!</v>
      </c>
      <c r="QR155" s="676" t="e">
        <f t="shared" si="1222"/>
        <v>#DIV/0!</v>
      </c>
      <c r="QS155" s="682" t="e">
        <f t="shared" si="1222"/>
        <v>#DIV/0!</v>
      </c>
      <c r="QT155" s="691" t="e">
        <f t="shared" si="1222"/>
        <v>#DIV/0!</v>
      </c>
      <c r="QU155" s="619" t="e">
        <f t="shared" si="1222"/>
        <v>#DIV/0!</v>
      </c>
      <c r="QV155" s="672" t="e">
        <f t="shared" si="1222"/>
        <v>#DIV/0!</v>
      </c>
      <c r="QW155" s="652">
        <f t="shared" si="1222"/>
        <v>0</v>
      </c>
      <c r="QX155" s="652" t="s">
        <v>93</v>
      </c>
      <c r="QY155" s="599">
        <f>STDEVA(QY149:QY153)</f>
        <v>0</v>
      </c>
      <c r="QZ155" s="652" t="e">
        <f t="shared" ref="QZ155:RN155" si="1223">STDEVA(QZ149:QZ153)</f>
        <v>#DIV/0!</v>
      </c>
      <c r="RA155" s="675" t="e">
        <f t="shared" si="1223"/>
        <v>#DIV/0!</v>
      </c>
      <c r="RB155" s="672" t="e">
        <f t="shared" si="1223"/>
        <v>#DIV/0!</v>
      </c>
      <c r="RC155" s="672" t="e">
        <f t="shared" si="1223"/>
        <v>#DIV/0!</v>
      </c>
      <c r="RD155" s="675" t="e">
        <f t="shared" si="1223"/>
        <v>#DIV/0!</v>
      </c>
      <c r="RE155" s="672" t="e">
        <f t="shared" si="1223"/>
        <v>#DIV/0!</v>
      </c>
      <c r="RF155" s="672" t="e">
        <f t="shared" si="1223"/>
        <v>#DIV/0!</v>
      </c>
      <c r="RG155" s="672" t="e">
        <f>STDEVA(RG149:RG153)</f>
        <v>#DIV/0!</v>
      </c>
      <c r="RH155" s="672" t="e">
        <f t="shared" si="1223"/>
        <v>#DIV/0!</v>
      </c>
      <c r="RI155" s="676" t="e">
        <f t="shared" si="1223"/>
        <v>#DIV/0!</v>
      </c>
      <c r="RJ155" s="682" t="e">
        <f t="shared" si="1223"/>
        <v>#DIV/0!</v>
      </c>
      <c r="RK155" s="691" t="e">
        <f t="shared" si="1223"/>
        <v>#DIV/0!</v>
      </c>
      <c r="RL155" s="695" t="e">
        <f t="shared" si="1223"/>
        <v>#DIV/0!</v>
      </c>
      <c r="RM155" s="599" t="e">
        <f t="shared" si="1223"/>
        <v>#DIV/0!</v>
      </c>
      <c r="RN155" s="652" t="e">
        <f t="shared" si="1223"/>
        <v>#DIV/0!</v>
      </c>
      <c r="RO155" s="652" t="s">
        <v>93</v>
      </c>
      <c r="RP155" s="599">
        <f>STDEVA(RP149:RP153)</f>
        <v>0</v>
      </c>
      <c r="RQ155" s="652" t="e">
        <f t="shared" ref="RQ155:SE155" si="1224">STDEVA(RQ149:RQ153)</f>
        <v>#DIV/0!</v>
      </c>
      <c r="RR155" s="675" t="e">
        <f t="shared" si="1224"/>
        <v>#DIV/0!</v>
      </c>
      <c r="RS155" s="672" t="e">
        <f t="shared" si="1224"/>
        <v>#DIV/0!</v>
      </c>
      <c r="RT155" s="672" t="e">
        <f t="shared" si="1224"/>
        <v>#DIV/0!</v>
      </c>
      <c r="RU155" s="675" t="e">
        <f t="shared" si="1224"/>
        <v>#DIV/0!</v>
      </c>
      <c r="RV155" s="672" t="e">
        <f t="shared" si="1224"/>
        <v>#DIV/0!</v>
      </c>
      <c r="RW155" s="672" t="e">
        <f t="shared" si="1224"/>
        <v>#DIV/0!</v>
      </c>
      <c r="RX155" s="672" t="e">
        <f>STDEVA(RX149:RX153)</f>
        <v>#DIV/0!</v>
      </c>
      <c r="RY155" s="672" t="e">
        <f t="shared" si="1224"/>
        <v>#DIV/0!</v>
      </c>
      <c r="RZ155" s="676" t="e">
        <f t="shared" si="1224"/>
        <v>#DIV/0!</v>
      </c>
      <c r="SA155" s="682" t="e">
        <f t="shared" si="1224"/>
        <v>#DIV/0!</v>
      </c>
      <c r="SB155" s="691" t="e">
        <f t="shared" si="1224"/>
        <v>#DIV/0!</v>
      </c>
      <c r="SC155" s="695" t="e">
        <f t="shared" si="1224"/>
        <v>#DIV/0!</v>
      </c>
      <c r="SD155" s="599" t="e">
        <f t="shared" si="1224"/>
        <v>#DIV/0!</v>
      </c>
      <c r="SE155" s="652" t="e">
        <f t="shared" si="1224"/>
        <v>#DIV/0!</v>
      </c>
      <c r="SF155" s="652" t="s">
        <v>93</v>
      </c>
      <c r="SG155" s="599">
        <f>STDEVA(SG149:SG153)</f>
        <v>0</v>
      </c>
      <c r="SH155" s="652" t="e">
        <f t="shared" ref="SH155:SV155" si="1225">STDEVA(SH149:SH153)</f>
        <v>#DIV/0!</v>
      </c>
      <c r="SI155" s="675" t="e">
        <f t="shared" si="1225"/>
        <v>#DIV/0!</v>
      </c>
      <c r="SJ155" s="672" t="e">
        <f t="shared" si="1225"/>
        <v>#DIV/0!</v>
      </c>
      <c r="SK155" s="672" t="e">
        <f t="shared" si="1225"/>
        <v>#DIV/0!</v>
      </c>
      <c r="SL155" s="675" t="e">
        <f t="shared" si="1225"/>
        <v>#DIV/0!</v>
      </c>
      <c r="SM155" s="672" t="e">
        <f t="shared" si="1225"/>
        <v>#DIV/0!</v>
      </c>
      <c r="SN155" s="672" t="e">
        <f t="shared" si="1225"/>
        <v>#DIV/0!</v>
      </c>
      <c r="SO155" s="672" t="e">
        <f>STDEVA(SO149:SO153)</f>
        <v>#DIV/0!</v>
      </c>
      <c r="SP155" s="672" t="e">
        <f t="shared" si="1225"/>
        <v>#DIV/0!</v>
      </c>
      <c r="SQ155" s="676" t="e">
        <f t="shared" si="1225"/>
        <v>#DIV/0!</v>
      </c>
      <c r="SR155" s="682" t="e">
        <f t="shared" si="1225"/>
        <v>#DIV/0!</v>
      </c>
      <c r="SS155" s="691" t="e">
        <f t="shared" si="1225"/>
        <v>#DIV/0!</v>
      </c>
      <c r="ST155" s="695" t="e">
        <f t="shared" si="1225"/>
        <v>#DIV/0!</v>
      </c>
      <c r="SU155" s="599" t="e">
        <f t="shared" si="1225"/>
        <v>#DIV/0!</v>
      </c>
      <c r="SV155" s="652" t="e">
        <f t="shared" si="1225"/>
        <v>#DIV/0!</v>
      </c>
      <c r="SW155" s="652" t="s">
        <v>93</v>
      </c>
      <c r="SX155" s="599">
        <f>STDEVA(SX149:SX153)</f>
        <v>0</v>
      </c>
      <c r="SY155" s="652" t="e">
        <f t="shared" ref="SY155:TM155" si="1226">STDEVA(SY149:SY153)</f>
        <v>#DIV/0!</v>
      </c>
      <c r="SZ155" s="675" t="e">
        <f t="shared" si="1226"/>
        <v>#DIV/0!</v>
      </c>
      <c r="TA155" s="672" t="e">
        <f t="shared" si="1226"/>
        <v>#DIV/0!</v>
      </c>
      <c r="TB155" s="672" t="e">
        <f t="shared" si="1226"/>
        <v>#DIV/0!</v>
      </c>
      <c r="TC155" s="675" t="e">
        <f t="shared" si="1226"/>
        <v>#DIV/0!</v>
      </c>
      <c r="TD155" s="672" t="e">
        <f t="shared" si="1226"/>
        <v>#DIV/0!</v>
      </c>
      <c r="TE155" s="672" t="e">
        <f t="shared" si="1226"/>
        <v>#DIV/0!</v>
      </c>
      <c r="TF155" s="672" t="e">
        <f>STDEVA(TF149:TF153)</f>
        <v>#DIV/0!</v>
      </c>
      <c r="TG155" s="672" t="e">
        <f t="shared" si="1226"/>
        <v>#DIV/0!</v>
      </c>
      <c r="TH155" s="676" t="e">
        <f t="shared" si="1226"/>
        <v>#DIV/0!</v>
      </c>
      <c r="TI155" s="682" t="e">
        <f t="shared" si="1226"/>
        <v>#DIV/0!</v>
      </c>
      <c r="TJ155" s="691" t="e">
        <f t="shared" si="1226"/>
        <v>#DIV/0!</v>
      </c>
      <c r="TK155" s="695" t="e">
        <f t="shared" si="1226"/>
        <v>#DIV/0!</v>
      </c>
      <c r="TL155" s="599" t="e">
        <f t="shared" si="1226"/>
        <v>#DIV/0!</v>
      </c>
      <c r="TM155" s="652" t="e">
        <f t="shared" si="1226"/>
        <v>#DIV/0!</v>
      </c>
      <c r="TN155" s="652" t="s">
        <v>93</v>
      </c>
      <c r="TO155" s="599">
        <f>STDEVA(TO149:TO153)</f>
        <v>0</v>
      </c>
      <c r="TP155" s="652" t="e">
        <f t="shared" ref="TP155:TY155" si="1227">STDEVA(TP149:TP153)</f>
        <v>#DIV/0!</v>
      </c>
      <c r="TQ155" s="675" t="e">
        <f t="shared" si="1227"/>
        <v>#DIV/0!</v>
      </c>
      <c r="TR155" s="672" t="e">
        <f t="shared" si="1227"/>
        <v>#DIV/0!</v>
      </c>
      <c r="TS155" s="672" t="e">
        <f t="shared" si="1227"/>
        <v>#DIV/0!</v>
      </c>
      <c r="TT155" s="675" t="e">
        <f t="shared" si="1227"/>
        <v>#DIV/0!</v>
      </c>
      <c r="TU155" s="672" t="e">
        <f t="shared" si="1227"/>
        <v>#DIV/0!</v>
      </c>
      <c r="TV155" s="672" t="e">
        <f t="shared" si="1227"/>
        <v>#DIV/0!</v>
      </c>
      <c r="TW155" s="672" t="e">
        <f>STDEVA(TW149:TW153)</f>
        <v>#DIV/0!</v>
      </c>
      <c r="TX155" s="672" t="e">
        <f t="shared" si="1227"/>
        <v>#DIV/0!</v>
      </c>
      <c r="TY155" s="676" t="e">
        <f t="shared" si="1227"/>
        <v>#DIV/0!</v>
      </c>
    </row>
    <row r="156" spans="1:545" x14ac:dyDescent="0.25">
      <c r="A156" s="1537" t="s">
        <v>63</v>
      </c>
      <c r="B156" s="688"/>
      <c r="C156" s="619"/>
      <c r="D156" s="619"/>
      <c r="E156" s="672"/>
      <c r="F156" s="619"/>
      <c r="G156" s="619"/>
      <c r="H156" s="672"/>
      <c r="I156" s="619"/>
      <c r="J156" s="675"/>
      <c r="K156" s="672"/>
      <c r="L156" s="672"/>
      <c r="M156" s="675"/>
      <c r="N156" s="672"/>
      <c r="O156" s="672"/>
      <c r="P156" s="672"/>
      <c r="Q156" s="672"/>
      <c r="R156" s="676"/>
      <c r="S156" s="1538" t="e">
        <f t="shared" ref="S156:W156" si="1228">S155/S154*100</f>
        <v>#DIV/0!</v>
      </c>
      <c r="T156" s="1538" t="e">
        <f t="shared" si="1228"/>
        <v>#DIV/0!</v>
      </c>
      <c r="U156" s="1539" t="e">
        <f t="shared" si="1228"/>
        <v>#DIV/0!</v>
      </c>
      <c r="V156" s="672" t="e">
        <f t="shared" si="1228"/>
        <v>#DIV/0!</v>
      </c>
      <c r="W156" s="619" t="e">
        <f t="shared" si="1228"/>
        <v>#DIV/0!</v>
      </c>
      <c r="X156" s="619" t="s">
        <v>93</v>
      </c>
      <c r="Y156" s="672" t="e">
        <f>Y155/Y154*100</f>
        <v>#DIV/0!</v>
      </c>
      <c r="Z156" s="619" t="e">
        <f t="shared" ref="Z156:AN156" si="1229">Z155/Z154*100</f>
        <v>#DIV/0!</v>
      </c>
      <c r="AA156" s="675" t="e">
        <f t="shared" si="1229"/>
        <v>#DIV/0!</v>
      </c>
      <c r="AB156" s="672" t="e">
        <f t="shared" si="1229"/>
        <v>#DIV/0!</v>
      </c>
      <c r="AC156" s="672" t="e">
        <f t="shared" si="1229"/>
        <v>#DIV/0!</v>
      </c>
      <c r="AD156" s="675" t="e">
        <f t="shared" si="1229"/>
        <v>#DIV/0!</v>
      </c>
      <c r="AE156" s="672" t="e">
        <f t="shared" si="1229"/>
        <v>#DIV/0!</v>
      </c>
      <c r="AF156" s="672" t="e">
        <f t="shared" si="1229"/>
        <v>#DIV/0!</v>
      </c>
      <c r="AG156" s="672" t="e">
        <f>AG155/AG154*100</f>
        <v>#DIV/0!</v>
      </c>
      <c r="AH156" s="672" t="e">
        <f t="shared" si="1229"/>
        <v>#DIV/0!</v>
      </c>
      <c r="AI156" s="676" t="e">
        <f t="shared" si="1229"/>
        <v>#DIV/0!</v>
      </c>
      <c r="AJ156" s="1538" t="e">
        <f t="shared" si="1229"/>
        <v>#DIV/0!</v>
      </c>
      <c r="AK156" s="1538" t="e">
        <f t="shared" si="1229"/>
        <v>#DIV/0!</v>
      </c>
      <c r="AL156" s="1539" t="e">
        <f t="shared" si="1229"/>
        <v>#DIV/0!</v>
      </c>
      <c r="AM156" s="672" t="e">
        <f t="shared" si="1229"/>
        <v>#DIV/0!</v>
      </c>
      <c r="AN156" s="619" t="e">
        <f t="shared" si="1229"/>
        <v>#DIV/0!</v>
      </c>
      <c r="AO156" s="619" t="s">
        <v>93</v>
      </c>
      <c r="AP156" s="672" t="e">
        <f>AP155/AP154*100</f>
        <v>#DIV/0!</v>
      </c>
      <c r="AQ156" s="619" t="e">
        <f t="shared" ref="AQ156:BE156" si="1230">AQ155/AQ154*100</f>
        <v>#DIV/0!</v>
      </c>
      <c r="AR156" s="675" t="e">
        <f t="shared" si="1230"/>
        <v>#DIV/0!</v>
      </c>
      <c r="AS156" s="672" t="e">
        <f t="shared" si="1230"/>
        <v>#DIV/0!</v>
      </c>
      <c r="AT156" s="672" t="e">
        <f t="shared" si="1230"/>
        <v>#DIV/0!</v>
      </c>
      <c r="AU156" s="675" t="e">
        <f t="shared" si="1230"/>
        <v>#DIV/0!</v>
      </c>
      <c r="AV156" s="672" t="e">
        <f t="shared" si="1230"/>
        <v>#DIV/0!</v>
      </c>
      <c r="AW156" s="672" t="e">
        <f t="shared" si="1230"/>
        <v>#DIV/0!</v>
      </c>
      <c r="AX156" s="672" t="e">
        <f>AX155/AX154*100</f>
        <v>#DIV/0!</v>
      </c>
      <c r="AY156" s="672" t="e">
        <f t="shared" si="1230"/>
        <v>#DIV/0!</v>
      </c>
      <c r="AZ156" s="676" t="e">
        <f t="shared" si="1230"/>
        <v>#DIV/0!</v>
      </c>
      <c r="BA156" s="688" t="e">
        <f t="shared" si="1230"/>
        <v>#DIV/0!</v>
      </c>
      <c r="BB156" s="1538" t="e">
        <f t="shared" si="1230"/>
        <v>#DIV/0!</v>
      </c>
      <c r="BC156" s="1539" t="e">
        <f t="shared" si="1230"/>
        <v>#DIV/0!</v>
      </c>
      <c r="BD156" s="672" t="e">
        <f t="shared" si="1230"/>
        <v>#DIV/0!</v>
      </c>
      <c r="BE156" s="619" t="e">
        <f t="shared" si="1230"/>
        <v>#DIV/0!</v>
      </c>
      <c r="BF156" s="619" t="s">
        <v>93</v>
      </c>
      <c r="BG156" s="672" t="e">
        <f>BG155/BG154*100</f>
        <v>#DIV/0!</v>
      </c>
      <c r="BH156" s="619" t="e">
        <f t="shared" ref="BH156:BV156" si="1231">BH155/BH154*100</f>
        <v>#DIV/0!</v>
      </c>
      <c r="BI156" s="675" t="e">
        <f t="shared" si="1231"/>
        <v>#DIV/0!</v>
      </c>
      <c r="BJ156" s="672" t="e">
        <f t="shared" si="1231"/>
        <v>#DIV/0!</v>
      </c>
      <c r="BK156" s="672" t="e">
        <f t="shared" si="1231"/>
        <v>#DIV/0!</v>
      </c>
      <c r="BL156" s="675" t="e">
        <f t="shared" si="1231"/>
        <v>#DIV/0!</v>
      </c>
      <c r="BM156" s="672" t="e">
        <f t="shared" si="1231"/>
        <v>#DIV/0!</v>
      </c>
      <c r="BN156" s="672" t="e">
        <f t="shared" si="1231"/>
        <v>#DIV/0!</v>
      </c>
      <c r="BO156" s="672" t="e">
        <f>BO155/BO154*100</f>
        <v>#DIV/0!</v>
      </c>
      <c r="BP156" s="672" t="e">
        <f t="shared" si="1231"/>
        <v>#DIV/0!</v>
      </c>
      <c r="BQ156" s="676" t="e">
        <f t="shared" si="1231"/>
        <v>#DIV/0!</v>
      </c>
      <c r="BR156" s="688" t="e">
        <f t="shared" si="1231"/>
        <v>#DIV/0!</v>
      </c>
      <c r="BS156" s="1538" t="e">
        <f t="shared" si="1231"/>
        <v>#DIV/0!</v>
      </c>
      <c r="BT156" s="1539" t="e">
        <f t="shared" si="1231"/>
        <v>#DIV/0!</v>
      </c>
      <c r="BU156" s="672" t="e">
        <f t="shared" si="1231"/>
        <v>#DIV/0!</v>
      </c>
      <c r="BV156" s="619" t="e">
        <f t="shared" si="1231"/>
        <v>#DIV/0!</v>
      </c>
      <c r="BW156" s="619" t="s">
        <v>93</v>
      </c>
      <c r="BX156" s="672" t="e">
        <f>BX155/BX154*100</f>
        <v>#DIV/0!</v>
      </c>
      <c r="BY156" s="619" t="e">
        <f t="shared" ref="BY156:CM156" si="1232">BY155/BY154*100</f>
        <v>#DIV/0!</v>
      </c>
      <c r="BZ156" s="675" t="e">
        <f t="shared" si="1232"/>
        <v>#DIV/0!</v>
      </c>
      <c r="CA156" s="672" t="e">
        <f t="shared" si="1232"/>
        <v>#DIV/0!</v>
      </c>
      <c r="CB156" s="672" t="e">
        <f t="shared" si="1232"/>
        <v>#DIV/0!</v>
      </c>
      <c r="CC156" s="675" t="e">
        <f t="shared" si="1232"/>
        <v>#DIV/0!</v>
      </c>
      <c r="CD156" s="672" t="e">
        <f t="shared" si="1232"/>
        <v>#DIV/0!</v>
      </c>
      <c r="CE156" s="672" t="e">
        <f t="shared" si="1232"/>
        <v>#DIV/0!</v>
      </c>
      <c r="CF156" s="672" t="e">
        <f>CF155/CF154*100</f>
        <v>#DIV/0!</v>
      </c>
      <c r="CG156" s="672" t="e">
        <f t="shared" si="1232"/>
        <v>#DIV/0!</v>
      </c>
      <c r="CH156" s="676" t="e">
        <f t="shared" si="1232"/>
        <v>#DIV/0!</v>
      </c>
      <c r="CI156" s="688" t="e">
        <f t="shared" si="1232"/>
        <v>#DIV/0!</v>
      </c>
      <c r="CJ156" s="1538" t="e">
        <f t="shared" si="1232"/>
        <v>#DIV/0!</v>
      </c>
      <c r="CK156" s="1539" t="e">
        <f t="shared" si="1232"/>
        <v>#DIV/0!</v>
      </c>
      <c r="CL156" s="672" t="e">
        <f t="shared" si="1232"/>
        <v>#DIV/0!</v>
      </c>
      <c r="CM156" s="619" t="e">
        <f t="shared" si="1232"/>
        <v>#DIV/0!</v>
      </c>
      <c r="CN156" s="619" t="s">
        <v>93</v>
      </c>
      <c r="CO156" s="672" t="e">
        <f>CO155/CO154*100</f>
        <v>#DIV/0!</v>
      </c>
      <c r="CP156" s="619" t="e">
        <f t="shared" ref="CP156:DD156" si="1233">CP155/CP154*100</f>
        <v>#DIV/0!</v>
      </c>
      <c r="CQ156" s="675" t="e">
        <f t="shared" si="1233"/>
        <v>#DIV/0!</v>
      </c>
      <c r="CR156" s="672" t="e">
        <f t="shared" si="1233"/>
        <v>#DIV/0!</v>
      </c>
      <c r="CS156" s="672" t="e">
        <f t="shared" si="1233"/>
        <v>#DIV/0!</v>
      </c>
      <c r="CT156" s="675" t="e">
        <f t="shared" si="1233"/>
        <v>#DIV/0!</v>
      </c>
      <c r="CU156" s="672" t="e">
        <f t="shared" si="1233"/>
        <v>#DIV/0!</v>
      </c>
      <c r="CV156" s="672" t="e">
        <f t="shared" si="1233"/>
        <v>#DIV/0!</v>
      </c>
      <c r="CW156" s="672" t="e">
        <f>CW155/CW154*100</f>
        <v>#DIV/0!</v>
      </c>
      <c r="CX156" s="672" t="e">
        <f t="shared" si="1233"/>
        <v>#DIV/0!</v>
      </c>
      <c r="CY156" s="676" t="e">
        <f t="shared" si="1233"/>
        <v>#DIV/0!</v>
      </c>
      <c r="CZ156" s="688" t="e">
        <f t="shared" si="1233"/>
        <v>#DIV/0!</v>
      </c>
      <c r="DA156" s="1538" t="e">
        <f t="shared" si="1233"/>
        <v>#DIV/0!</v>
      </c>
      <c r="DB156" s="1539" t="e">
        <f t="shared" si="1233"/>
        <v>#DIV/0!</v>
      </c>
      <c r="DC156" s="672" t="e">
        <f t="shared" si="1233"/>
        <v>#DIV/0!</v>
      </c>
      <c r="DD156" s="619" t="e">
        <f t="shared" si="1233"/>
        <v>#DIV/0!</v>
      </c>
      <c r="DE156" s="619" t="s">
        <v>93</v>
      </c>
      <c r="DF156" s="672" t="e">
        <f>DF155/DF154*100</f>
        <v>#DIV/0!</v>
      </c>
      <c r="DG156" s="619" t="e">
        <f t="shared" ref="DG156:DU156" si="1234">DG155/DG154*100</f>
        <v>#DIV/0!</v>
      </c>
      <c r="DH156" s="675" t="e">
        <f t="shared" si="1234"/>
        <v>#DIV/0!</v>
      </c>
      <c r="DI156" s="672" t="e">
        <f t="shared" si="1234"/>
        <v>#DIV/0!</v>
      </c>
      <c r="DJ156" s="672" t="e">
        <f t="shared" si="1234"/>
        <v>#DIV/0!</v>
      </c>
      <c r="DK156" s="675" t="e">
        <f t="shared" si="1234"/>
        <v>#DIV/0!</v>
      </c>
      <c r="DL156" s="672" t="e">
        <f t="shared" si="1234"/>
        <v>#DIV/0!</v>
      </c>
      <c r="DM156" s="672" t="e">
        <f t="shared" si="1234"/>
        <v>#DIV/0!</v>
      </c>
      <c r="DN156" s="672" t="e">
        <f>DN155/DN154*100</f>
        <v>#DIV/0!</v>
      </c>
      <c r="DO156" s="672" t="e">
        <f t="shared" si="1234"/>
        <v>#DIV/0!</v>
      </c>
      <c r="DP156" s="676" t="e">
        <f t="shared" si="1234"/>
        <v>#DIV/0!</v>
      </c>
      <c r="DQ156" s="688" t="e">
        <f t="shared" si="1234"/>
        <v>#DIV/0!</v>
      </c>
      <c r="DR156" s="1538" t="e">
        <f t="shared" si="1234"/>
        <v>#DIV/0!</v>
      </c>
      <c r="DS156" s="1539" t="e">
        <f t="shared" si="1234"/>
        <v>#DIV/0!</v>
      </c>
      <c r="DT156" s="674" t="e">
        <f t="shared" si="1234"/>
        <v>#DIV/0!</v>
      </c>
      <c r="DU156" s="619" t="e">
        <f t="shared" si="1234"/>
        <v>#DIV/0!</v>
      </c>
      <c r="DV156" s="619" t="s">
        <v>93</v>
      </c>
      <c r="DW156" s="672" t="e">
        <f>DW155/DW154*100</f>
        <v>#DIV/0!</v>
      </c>
      <c r="DX156" s="619" t="e">
        <f t="shared" ref="DX156:EL156" si="1235">DX155/DX154*100</f>
        <v>#DIV/0!</v>
      </c>
      <c r="DY156" s="675" t="e">
        <f t="shared" si="1235"/>
        <v>#DIV/0!</v>
      </c>
      <c r="DZ156" s="672" t="e">
        <f t="shared" si="1235"/>
        <v>#DIV/0!</v>
      </c>
      <c r="EA156" s="672" t="e">
        <f t="shared" si="1235"/>
        <v>#DIV/0!</v>
      </c>
      <c r="EB156" s="675" t="e">
        <f t="shared" si="1235"/>
        <v>#DIV/0!</v>
      </c>
      <c r="EC156" s="672" t="e">
        <f t="shared" si="1235"/>
        <v>#DIV/0!</v>
      </c>
      <c r="ED156" s="672" t="e">
        <f t="shared" si="1235"/>
        <v>#DIV/0!</v>
      </c>
      <c r="EE156" s="672" t="e">
        <f>EE155/EE154*100</f>
        <v>#DIV/0!</v>
      </c>
      <c r="EF156" s="672" t="e">
        <f t="shared" si="1235"/>
        <v>#DIV/0!</v>
      </c>
      <c r="EG156" s="676" t="e">
        <f t="shared" si="1235"/>
        <v>#DIV/0!</v>
      </c>
      <c r="EH156" s="688" t="e">
        <f t="shared" si="1235"/>
        <v>#DIV/0!</v>
      </c>
      <c r="EI156" s="1538" t="e">
        <f t="shared" si="1235"/>
        <v>#DIV/0!</v>
      </c>
      <c r="EJ156" s="1539" t="e">
        <f t="shared" si="1235"/>
        <v>#DIV/0!</v>
      </c>
      <c r="EK156" s="672" t="e">
        <f t="shared" si="1235"/>
        <v>#DIV/0!</v>
      </c>
      <c r="EL156" s="619" t="e">
        <f t="shared" si="1235"/>
        <v>#DIV/0!</v>
      </c>
      <c r="EM156" s="619" t="s">
        <v>93</v>
      </c>
      <c r="EN156" s="672" t="e">
        <f>EN155/EN154*100</f>
        <v>#DIV/0!</v>
      </c>
      <c r="EO156" s="619" t="e">
        <f t="shared" ref="EO156:FC156" si="1236">EO155/EO154*100</f>
        <v>#DIV/0!</v>
      </c>
      <c r="EP156" s="675" t="e">
        <f t="shared" si="1236"/>
        <v>#DIV/0!</v>
      </c>
      <c r="EQ156" s="672" t="e">
        <f t="shared" si="1236"/>
        <v>#DIV/0!</v>
      </c>
      <c r="ER156" s="672" t="e">
        <f t="shared" si="1236"/>
        <v>#DIV/0!</v>
      </c>
      <c r="ES156" s="675" t="e">
        <f t="shared" si="1236"/>
        <v>#DIV/0!</v>
      </c>
      <c r="ET156" s="672" t="e">
        <f t="shared" si="1236"/>
        <v>#DIV/0!</v>
      </c>
      <c r="EU156" s="672" t="e">
        <f t="shared" si="1236"/>
        <v>#DIV/0!</v>
      </c>
      <c r="EV156" s="672" t="e">
        <f>EV155/EV154*100</f>
        <v>#DIV/0!</v>
      </c>
      <c r="EW156" s="672" t="e">
        <f t="shared" si="1236"/>
        <v>#DIV/0!</v>
      </c>
      <c r="EX156" s="676" t="e">
        <f t="shared" si="1236"/>
        <v>#DIV/0!</v>
      </c>
      <c r="EY156" s="688" t="e">
        <f t="shared" si="1236"/>
        <v>#DIV/0!</v>
      </c>
      <c r="EZ156" s="1538" t="e">
        <f t="shared" si="1236"/>
        <v>#DIV/0!</v>
      </c>
      <c r="FA156" s="1539" t="e">
        <f t="shared" si="1236"/>
        <v>#DIV/0!</v>
      </c>
      <c r="FB156" s="672" t="e">
        <f t="shared" si="1236"/>
        <v>#DIV/0!</v>
      </c>
      <c r="FC156" s="619" t="e">
        <f t="shared" si="1236"/>
        <v>#DIV/0!</v>
      </c>
      <c r="FD156" s="619" t="s">
        <v>93</v>
      </c>
      <c r="FE156" s="672" t="e">
        <f>FE155/FE154*100</f>
        <v>#DIV/0!</v>
      </c>
      <c r="FF156" s="619" t="e">
        <f t="shared" ref="FF156:FT156" si="1237">FF155/FF154*100</f>
        <v>#DIV/0!</v>
      </c>
      <c r="FG156" s="675" t="e">
        <f t="shared" si="1237"/>
        <v>#DIV/0!</v>
      </c>
      <c r="FH156" s="672" t="e">
        <f t="shared" si="1237"/>
        <v>#DIV/0!</v>
      </c>
      <c r="FI156" s="672" t="e">
        <f t="shared" si="1237"/>
        <v>#DIV/0!</v>
      </c>
      <c r="FJ156" s="675" t="e">
        <f t="shared" si="1237"/>
        <v>#DIV/0!</v>
      </c>
      <c r="FK156" s="672" t="e">
        <f t="shared" si="1237"/>
        <v>#DIV/0!</v>
      </c>
      <c r="FL156" s="672" t="e">
        <f t="shared" si="1237"/>
        <v>#DIV/0!</v>
      </c>
      <c r="FM156" s="672" t="e">
        <f>FM155/FM154*100</f>
        <v>#DIV/0!</v>
      </c>
      <c r="FN156" s="672" t="e">
        <f t="shared" si="1237"/>
        <v>#DIV/0!</v>
      </c>
      <c r="FO156" s="676" t="e">
        <f t="shared" si="1237"/>
        <v>#DIV/0!</v>
      </c>
      <c r="FP156" s="688" t="e">
        <f t="shared" si="1237"/>
        <v>#DIV/0!</v>
      </c>
      <c r="FQ156" s="1538" t="e">
        <f t="shared" si="1237"/>
        <v>#DIV/0!</v>
      </c>
      <c r="FR156" s="1539" t="e">
        <f t="shared" si="1237"/>
        <v>#DIV/0!</v>
      </c>
      <c r="FS156" s="672" t="e">
        <f t="shared" si="1237"/>
        <v>#DIV/0!</v>
      </c>
      <c r="FT156" s="619" t="e">
        <f t="shared" si="1237"/>
        <v>#DIV/0!</v>
      </c>
      <c r="FU156" s="619" t="s">
        <v>93</v>
      </c>
      <c r="FV156" s="672" t="e">
        <f>FV155/FV154*100</f>
        <v>#DIV/0!</v>
      </c>
      <c r="FW156" s="619" t="e">
        <f t="shared" ref="FW156:GK156" si="1238">FW155/FW154*100</f>
        <v>#DIV/0!</v>
      </c>
      <c r="FX156" s="675" t="e">
        <f t="shared" si="1238"/>
        <v>#DIV/0!</v>
      </c>
      <c r="FY156" s="672" t="e">
        <f t="shared" si="1238"/>
        <v>#DIV/0!</v>
      </c>
      <c r="FZ156" s="672" t="e">
        <f t="shared" si="1238"/>
        <v>#DIV/0!</v>
      </c>
      <c r="GA156" s="675" t="e">
        <f t="shared" si="1238"/>
        <v>#DIV/0!</v>
      </c>
      <c r="GB156" s="672" t="e">
        <f t="shared" si="1238"/>
        <v>#DIV/0!</v>
      </c>
      <c r="GC156" s="672" t="e">
        <f t="shared" si="1238"/>
        <v>#DIV/0!</v>
      </c>
      <c r="GD156" s="672" t="e">
        <f>GD155/GD154*100</f>
        <v>#DIV/0!</v>
      </c>
      <c r="GE156" s="672" t="e">
        <f t="shared" si="1238"/>
        <v>#DIV/0!</v>
      </c>
      <c r="GF156" s="676" t="e">
        <f t="shared" si="1238"/>
        <v>#DIV/0!</v>
      </c>
      <c r="GG156" s="688" t="e">
        <f t="shared" si="1238"/>
        <v>#DIV/0!</v>
      </c>
      <c r="GH156" s="1538" t="e">
        <f t="shared" si="1238"/>
        <v>#DIV/0!</v>
      </c>
      <c r="GI156" s="1539" t="e">
        <f t="shared" si="1238"/>
        <v>#DIV/0!</v>
      </c>
      <c r="GJ156" s="674" t="e">
        <f t="shared" si="1238"/>
        <v>#DIV/0!</v>
      </c>
      <c r="GK156" s="619" t="e">
        <f t="shared" si="1238"/>
        <v>#DIV/0!</v>
      </c>
      <c r="GL156" s="619" t="s">
        <v>93</v>
      </c>
      <c r="GM156" s="672" t="e">
        <f>GM155/GM154*100</f>
        <v>#DIV/0!</v>
      </c>
      <c r="GN156" s="619" t="e">
        <f t="shared" ref="GN156:HB156" si="1239">GN155/GN154*100</f>
        <v>#DIV/0!</v>
      </c>
      <c r="GO156" s="675" t="e">
        <f t="shared" si="1239"/>
        <v>#DIV/0!</v>
      </c>
      <c r="GP156" s="672" t="e">
        <f t="shared" si="1239"/>
        <v>#DIV/0!</v>
      </c>
      <c r="GQ156" s="672" t="e">
        <f t="shared" si="1239"/>
        <v>#DIV/0!</v>
      </c>
      <c r="GR156" s="675" t="e">
        <f t="shared" si="1239"/>
        <v>#DIV/0!</v>
      </c>
      <c r="GS156" s="672" t="e">
        <f t="shared" si="1239"/>
        <v>#DIV/0!</v>
      </c>
      <c r="GT156" s="672" t="e">
        <f t="shared" si="1239"/>
        <v>#DIV/0!</v>
      </c>
      <c r="GU156" s="672" t="e">
        <f>GU155/GU154*100</f>
        <v>#DIV/0!</v>
      </c>
      <c r="GV156" s="672" t="e">
        <f t="shared" si="1239"/>
        <v>#DIV/0!</v>
      </c>
      <c r="GW156" s="676" t="e">
        <f t="shared" si="1239"/>
        <v>#DIV/0!</v>
      </c>
      <c r="GX156" s="688" t="e">
        <f t="shared" si="1239"/>
        <v>#DIV/0!</v>
      </c>
      <c r="GY156" s="1538" t="e">
        <f t="shared" si="1239"/>
        <v>#DIV/0!</v>
      </c>
      <c r="GZ156" s="1539" t="e">
        <f t="shared" si="1239"/>
        <v>#DIV/0!</v>
      </c>
      <c r="HA156" s="672" t="e">
        <f t="shared" si="1239"/>
        <v>#DIV/0!</v>
      </c>
      <c r="HB156" s="619" t="e">
        <f t="shared" si="1239"/>
        <v>#DIV/0!</v>
      </c>
      <c r="HC156" s="619" t="s">
        <v>93</v>
      </c>
      <c r="HD156" s="672" t="e">
        <f>HD155/HD154*100</f>
        <v>#DIV/0!</v>
      </c>
      <c r="HE156" s="619" t="e">
        <f t="shared" ref="HE156:HS156" si="1240">HE155/HE154*100</f>
        <v>#DIV/0!</v>
      </c>
      <c r="HF156" s="675" t="e">
        <f t="shared" si="1240"/>
        <v>#DIV/0!</v>
      </c>
      <c r="HG156" s="672" t="e">
        <f t="shared" si="1240"/>
        <v>#DIV/0!</v>
      </c>
      <c r="HH156" s="672" t="e">
        <f t="shared" si="1240"/>
        <v>#DIV/0!</v>
      </c>
      <c r="HI156" s="675" t="e">
        <f t="shared" si="1240"/>
        <v>#DIV/0!</v>
      </c>
      <c r="HJ156" s="672" t="e">
        <f t="shared" si="1240"/>
        <v>#DIV/0!</v>
      </c>
      <c r="HK156" s="672" t="e">
        <f t="shared" si="1240"/>
        <v>#DIV/0!</v>
      </c>
      <c r="HL156" s="672" t="e">
        <f>HL155/HL154*100</f>
        <v>#DIV/0!</v>
      </c>
      <c r="HM156" s="672" t="e">
        <f t="shared" si="1240"/>
        <v>#DIV/0!</v>
      </c>
      <c r="HN156" s="676" t="e">
        <f t="shared" si="1240"/>
        <v>#DIV/0!</v>
      </c>
      <c r="HO156" s="688" t="e">
        <f t="shared" si="1240"/>
        <v>#DIV/0!</v>
      </c>
      <c r="HP156" s="1538" t="e">
        <f t="shared" si="1240"/>
        <v>#DIV/0!</v>
      </c>
      <c r="HQ156" s="1539" t="e">
        <f t="shared" si="1240"/>
        <v>#DIV/0!</v>
      </c>
      <c r="HR156" s="672" t="e">
        <f t="shared" si="1240"/>
        <v>#DIV/0!</v>
      </c>
      <c r="HS156" s="619" t="e">
        <f t="shared" si="1240"/>
        <v>#DIV/0!</v>
      </c>
      <c r="HT156" s="619" t="s">
        <v>93</v>
      </c>
      <c r="HU156" s="672" t="e">
        <f>HU155/HU154*100</f>
        <v>#DIV/0!</v>
      </c>
      <c r="HV156" s="619" t="e">
        <f t="shared" ref="HV156:IJ156" si="1241">HV155/HV154*100</f>
        <v>#DIV/0!</v>
      </c>
      <c r="HW156" s="675" t="e">
        <f t="shared" si="1241"/>
        <v>#DIV/0!</v>
      </c>
      <c r="HX156" s="672" t="e">
        <f t="shared" si="1241"/>
        <v>#DIV/0!</v>
      </c>
      <c r="HY156" s="672" t="e">
        <f t="shared" si="1241"/>
        <v>#DIV/0!</v>
      </c>
      <c r="HZ156" s="675" t="e">
        <f t="shared" si="1241"/>
        <v>#DIV/0!</v>
      </c>
      <c r="IA156" s="672" t="e">
        <f t="shared" si="1241"/>
        <v>#DIV/0!</v>
      </c>
      <c r="IB156" s="672" t="e">
        <f t="shared" si="1241"/>
        <v>#DIV/0!</v>
      </c>
      <c r="IC156" s="672" t="e">
        <f>IC155/IC154*100</f>
        <v>#DIV/0!</v>
      </c>
      <c r="ID156" s="672" t="e">
        <f t="shared" si="1241"/>
        <v>#DIV/0!</v>
      </c>
      <c r="IE156" s="676" t="e">
        <f t="shared" si="1241"/>
        <v>#DIV/0!</v>
      </c>
      <c r="IF156" s="688" t="e">
        <f t="shared" si="1241"/>
        <v>#DIV/0!</v>
      </c>
      <c r="IG156" s="1538" t="e">
        <f t="shared" si="1241"/>
        <v>#DIV/0!</v>
      </c>
      <c r="IH156" s="1539" t="e">
        <f t="shared" si="1241"/>
        <v>#DIV/0!</v>
      </c>
      <c r="II156" s="672" t="e">
        <f t="shared" si="1241"/>
        <v>#DIV/0!</v>
      </c>
      <c r="IJ156" s="619" t="e">
        <f t="shared" si="1241"/>
        <v>#DIV/0!</v>
      </c>
      <c r="IK156" s="619" t="s">
        <v>93</v>
      </c>
      <c r="IL156" s="672" t="e">
        <f>IL155/IL154*100</f>
        <v>#DIV/0!</v>
      </c>
      <c r="IM156" s="619" t="e">
        <f t="shared" ref="IM156:JA156" si="1242">IM155/IM154*100</f>
        <v>#DIV/0!</v>
      </c>
      <c r="IN156" s="675" t="e">
        <f t="shared" si="1242"/>
        <v>#DIV/0!</v>
      </c>
      <c r="IO156" s="672" t="e">
        <f t="shared" si="1242"/>
        <v>#DIV/0!</v>
      </c>
      <c r="IP156" s="672" t="e">
        <f t="shared" si="1242"/>
        <v>#DIV/0!</v>
      </c>
      <c r="IQ156" s="675" t="e">
        <f t="shared" si="1242"/>
        <v>#DIV/0!</v>
      </c>
      <c r="IR156" s="672" t="e">
        <f t="shared" si="1242"/>
        <v>#DIV/0!</v>
      </c>
      <c r="IS156" s="672" t="e">
        <f t="shared" si="1242"/>
        <v>#DIV/0!</v>
      </c>
      <c r="IT156" s="672" t="e">
        <f>IT155/IT154*100</f>
        <v>#DIV/0!</v>
      </c>
      <c r="IU156" s="672" t="e">
        <f t="shared" si="1242"/>
        <v>#DIV/0!</v>
      </c>
      <c r="IV156" s="676" t="e">
        <f t="shared" si="1242"/>
        <v>#DIV/0!</v>
      </c>
      <c r="IW156" s="688" t="e">
        <f t="shared" si="1242"/>
        <v>#DIV/0!</v>
      </c>
      <c r="IX156" s="1538" t="e">
        <f t="shared" si="1242"/>
        <v>#DIV/0!</v>
      </c>
      <c r="IY156" s="1539" t="e">
        <f t="shared" si="1242"/>
        <v>#DIV/0!</v>
      </c>
      <c r="IZ156" s="672" t="e">
        <f t="shared" si="1242"/>
        <v>#DIV/0!</v>
      </c>
      <c r="JA156" s="619" t="e">
        <f t="shared" si="1242"/>
        <v>#DIV/0!</v>
      </c>
      <c r="JB156" s="619" t="s">
        <v>93</v>
      </c>
      <c r="JC156" s="672" t="e">
        <f>JC155/JC154*100</f>
        <v>#DIV/0!</v>
      </c>
      <c r="JD156" s="619" t="e">
        <f t="shared" ref="JD156:JR156" si="1243">JD155/JD154*100</f>
        <v>#DIV/0!</v>
      </c>
      <c r="JE156" s="675" t="e">
        <f t="shared" si="1243"/>
        <v>#DIV/0!</v>
      </c>
      <c r="JF156" s="672" t="e">
        <f t="shared" si="1243"/>
        <v>#DIV/0!</v>
      </c>
      <c r="JG156" s="672" t="e">
        <f t="shared" si="1243"/>
        <v>#DIV/0!</v>
      </c>
      <c r="JH156" s="675" t="e">
        <f t="shared" si="1243"/>
        <v>#DIV/0!</v>
      </c>
      <c r="JI156" s="672" t="e">
        <f t="shared" si="1243"/>
        <v>#DIV/0!</v>
      </c>
      <c r="JJ156" s="672" t="e">
        <f t="shared" si="1243"/>
        <v>#DIV/0!</v>
      </c>
      <c r="JK156" s="672" t="e">
        <f>JK155/JK154*100</f>
        <v>#DIV/0!</v>
      </c>
      <c r="JL156" s="672" t="e">
        <f t="shared" si="1243"/>
        <v>#DIV/0!</v>
      </c>
      <c r="JM156" s="676" t="e">
        <f t="shared" si="1243"/>
        <v>#DIV/0!</v>
      </c>
      <c r="JN156" s="688" t="e">
        <f t="shared" si="1243"/>
        <v>#DIV/0!</v>
      </c>
      <c r="JO156" s="1538" t="e">
        <f t="shared" si="1243"/>
        <v>#DIV/0!</v>
      </c>
      <c r="JP156" s="1539" t="e">
        <f t="shared" si="1243"/>
        <v>#DIV/0!</v>
      </c>
      <c r="JQ156" s="672" t="e">
        <f t="shared" si="1243"/>
        <v>#DIV/0!</v>
      </c>
      <c r="JR156" s="619" t="e">
        <f t="shared" si="1243"/>
        <v>#DIV/0!</v>
      </c>
      <c r="JS156" s="619" t="s">
        <v>93</v>
      </c>
      <c r="JT156" s="672" t="e">
        <f>JT155/JT154*100</f>
        <v>#DIV/0!</v>
      </c>
      <c r="JU156" s="619" t="e">
        <f t="shared" ref="JU156:KI156" si="1244">JU155/JU154*100</f>
        <v>#DIV/0!</v>
      </c>
      <c r="JV156" s="675" t="e">
        <f t="shared" si="1244"/>
        <v>#DIV/0!</v>
      </c>
      <c r="JW156" s="672" t="e">
        <f t="shared" si="1244"/>
        <v>#DIV/0!</v>
      </c>
      <c r="JX156" s="672" t="e">
        <f t="shared" si="1244"/>
        <v>#DIV/0!</v>
      </c>
      <c r="JY156" s="675" t="e">
        <f t="shared" si="1244"/>
        <v>#DIV/0!</v>
      </c>
      <c r="JZ156" s="672" t="e">
        <f t="shared" si="1244"/>
        <v>#DIV/0!</v>
      </c>
      <c r="KA156" s="672" t="e">
        <f t="shared" si="1244"/>
        <v>#DIV/0!</v>
      </c>
      <c r="KB156" s="672" t="e">
        <f>KB155/KB154*100</f>
        <v>#DIV/0!</v>
      </c>
      <c r="KC156" s="672" t="e">
        <f t="shared" si="1244"/>
        <v>#DIV/0!</v>
      </c>
      <c r="KD156" s="676" t="e">
        <f t="shared" si="1244"/>
        <v>#DIV/0!</v>
      </c>
      <c r="KE156" s="688" t="e">
        <f t="shared" si="1244"/>
        <v>#DIV/0!</v>
      </c>
      <c r="KF156" s="1538" t="e">
        <f t="shared" si="1244"/>
        <v>#DIV/0!</v>
      </c>
      <c r="KG156" s="1539" t="e">
        <f t="shared" si="1244"/>
        <v>#DIV/0!</v>
      </c>
      <c r="KH156" s="672" t="e">
        <f t="shared" si="1244"/>
        <v>#DIV/0!</v>
      </c>
      <c r="KI156" s="619" t="e">
        <f t="shared" si="1244"/>
        <v>#DIV/0!</v>
      </c>
      <c r="KJ156" s="619" t="s">
        <v>93</v>
      </c>
      <c r="KK156" s="672" t="e">
        <f>KK155/KK154*100</f>
        <v>#DIV/0!</v>
      </c>
      <c r="KL156" s="619" t="e">
        <f t="shared" ref="KL156:KZ156" si="1245">KL155/KL154*100</f>
        <v>#DIV/0!</v>
      </c>
      <c r="KM156" s="675" t="e">
        <f t="shared" si="1245"/>
        <v>#DIV/0!</v>
      </c>
      <c r="KN156" s="672" t="e">
        <f t="shared" si="1245"/>
        <v>#DIV/0!</v>
      </c>
      <c r="KO156" s="672" t="e">
        <f t="shared" si="1245"/>
        <v>#DIV/0!</v>
      </c>
      <c r="KP156" s="675" t="e">
        <f t="shared" si="1245"/>
        <v>#DIV/0!</v>
      </c>
      <c r="KQ156" s="672" t="e">
        <f t="shared" si="1245"/>
        <v>#DIV/0!</v>
      </c>
      <c r="KR156" s="672" t="e">
        <f t="shared" si="1245"/>
        <v>#DIV/0!</v>
      </c>
      <c r="KS156" s="672" t="e">
        <f>KS155/KS154*100</f>
        <v>#DIV/0!</v>
      </c>
      <c r="KT156" s="672" t="e">
        <f t="shared" si="1245"/>
        <v>#DIV/0!</v>
      </c>
      <c r="KU156" s="676" t="e">
        <f t="shared" si="1245"/>
        <v>#DIV/0!</v>
      </c>
      <c r="KV156" s="688" t="e">
        <f t="shared" si="1245"/>
        <v>#DIV/0!</v>
      </c>
      <c r="KW156" s="1538" t="e">
        <f t="shared" si="1245"/>
        <v>#DIV/0!</v>
      </c>
      <c r="KX156" s="1539" t="e">
        <f t="shared" si="1245"/>
        <v>#DIV/0!</v>
      </c>
      <c r="KY156" s="672" t="e">
        <f t="shared" si="1245"/>
        <v>#DIV/0!</v>
      </c>
      <c r="KZ156" s="619" t="e">
        <f t="shared" si="1245"/>
        <v>#DIV/0!</v>
      </c>
      <c r="LA156" s="619" t="s">
        <v>93</v>
      </c>
      <c r="LB156" s="672" t="e">
        <f>LB155/LB154*100</f>
        <v>#DIV/0!</v>
      </c>
      <c r="LC156" s="619" t="e">
        <f t="shared" ref="LC156:LQ156" si="1246">LC155/LC154*100</f>
        <v>#DIV/0!</v>
      </c>
      <c r="LD156" s="675" t="e">
        <f t="shared" si="1246"/>
        <v>#DIV/0!</v>
      </c>
      <c r="LE156" s="672" t="e">
        <f t="shared" si="1246"/>
        <v>#DIV/0!</v>
      </c>
      <c r="LF156" s="672" t="e">
        <f t="shared" si="1246"/>
        <v>#DIV/0!</v>
      </c>
      <c r="LG156" s="675" t="e">
        <f t="shared" si="1246"/>
        <v>#DIV/0!</v>
      </c>
      <c r="LH156" s="672" t="e">
        <f t="shared" si="1246"/>
        <v>#DIV/0!</v>
      </c>
      <c r="LI156" s="672" t="e">
        <f t="shared" si="1246"/>
        <v>#DIV/0!</v>
      </c>
      <c r="LJ156" s="672" t="e">
        <f>LJ155/LJ154*100</f>
        <v>#DIV/0!</v>
      </c>
      <c r="LK156" s="672" t="e">
        <f t="shared" si="1246"/>
        <v>#DIV/0!</v>
      </c>
      <c r="LL156" s="676" t="e">
        <f t="shared" si="1246"/>
        <v>#DIV/0!</v>
      </c>
      <c r="LM156" s="688" t="e">
        <f t="shared" si="1246"/>
        <v>#DIV/0!</v>
      </c>
      <c r="LN156" s="1538" t="e">
        <f t="shared" si="1246"/>
        <v>#DIV/0!</v>
      </c>
      <c r="LO156" s="1539" t="e">
        <f t="shared" si="1246"/>
        <v>#DIV/0!</v>
      </c>
      <c r="LP156" s="672" t="e">
        <f t="shared" si="1246"/>
        <v>#DIV/0!</v>
      </c>
      <c r="LQ156" s="619" t="e">
        <f t="shared" si="1246"/>
        <v>#DIV/0!</v>
      </c>
      <c r="LR156" s="619" t="s">
        <v>93</v>
      </c>
      <c r="LS156" s="672" t="e">
        <f>LS155/LS154*100</f>
        <v>#DIV/0!</v>
      </c>
      <c r="LT156" s="619" t="e">
        <f t="shared" ref="LT156:MH156" si="1247">LT155/LT154*100</f>
        <v>#DIV/0!</v>
      </c>
      <c r="LU156" s="675" t="e">
        <f t="shared" si="1247"/>
        <v>#DIV/0!</v>
      </c>
      <c r="LV156" s="672" t="e">
        <f t="shared" si="1247"/>
        <v>#DIV/0!</v>
      </c>
      <c r="LW156" s="672" t="e">
        <f t="shared" si="1247"/>
        <v>#DIV/0!</v>
      </c>
      <c r="LX156" s="675" t="e">
        <f t="shared" si="1247"/>
        <v>#DIV/0!</v>
      </c>
      <c r="LY156" s="672" t="e">
        <f t="shared" si="1247"/>
        <v>#DIV/0!</v>
      </c>
      <c r="LZ156" s="672" t="e">
        <f t="shared" si="1247"/>
        <v>#DIV/0!</v>
      </c>
      <c r="MA156" s="672" t="e">
        <f>MA155/MA154*100</f>
        <v>#DIV/0!</v>
      </c>
      <c r="MB156" s="672" t="e">
        <f t="shared" si="1247"/>
        <v>#DIV/0!</v>
      </c>
      <c r="MC156" s="676" t="e">
        <f t="shared" si="1247"/>
        <v>#DIV/0!</v>
      </c>
      <c r="MD156" s="688" t="e">
        <f t="shared" si="1247"/>
        <v>#DIV/0!</v>
      </c>
      <c r="ME156" s="1538" t="e">
        <f t="shared" si="1247"/>
        <v>#DIV/0!</v>
      </c>
      <c r="MF156" s="1539" t="e">
        <f t="shared" si="1247"/>
        <v>#DIV/0!</v>
      </c>
      <c r="MG156" s="672" t="e">
        <f t="shared" si="1247"/>
        <v>#DIV/0!</v>
      </c>
      <c r="MH156" s="619" t="e">
        <f t="shared" si="1247"/>
        <v>#DIV/0!</v>
      </c>
      <c r="MI156" s="619" t="s">
        <v>93</v>
      </c>
      <c r="MJ156" s="672" t="e">
        <f>MJ155/MJ154*100</f>
        <v>#DIV/0!</v>
      </c>
      <c r="MK156" s="619" t="e">
        <f t="shared" ref="MK156:MY156" si="1248">MK155/MK154*100</f>
        <v>#DIV/0!</v>
      </c>
      <c r="ML156" s="675" t="e">
        <f t="shared" si="1248"/>
        <v>#DIV/0!</v>
      </c>
      <c r="MM156" s="672" t="e">
        <f t="shared" si="1248"/>
        <v>#DIV/0!</v>
      </c>
      <c r="MN156" s="672" t="e">
        <f t="shared" si="1248"/>
        <v>#DIV/0!</v>
      </c>
      <c r="MO156" s="675" t="e">
        <f t="shared" si="1248"/>
        <v>#DIV/0!</v>
      </c>
      <c r="MP156" s="672" t="e">
        <f t="shared" si="1248"/>
        <v>#DIV/0!</v>
      </c>
      <c r="MQ156" s="672" t="e">
        <f t="shared" si="1248"/>
        <v>#DIV/0!</v>
      </c>
      <c r="MR156" s="672" t="e">
        <f>MR155/MR154*100</f>
        <v>#DIV/0!</v>
      </c>
      <c r="MS156" s="672" t="e">
        <f t="shared" si="1248"/>
        <v>#DIV/0!</v>
      </c>
      <c r="MT156" s="676" t="e">
        <f t="shared" si="1248"/>
        <v>#DIV/0!</v>
      </c>
      <c r="MU156" s="688" t="e">
        <f t="shared" si="1248"/>
        <v>#DIV/0!</v>
      </c>
      <c r="MV156" s="1538" t="e">
        <f t="shared" si="1248"/>
        <v>#DIV/0!</v>
      </c>
      <c r="MW156" s="1539" t="e">
        <f t="shared" si="1248"/>
        <v>#DIV/0!</v>
      </c>
      <c r="MX156" s="672" t="e">
        <f t="shared" si="1248"/>
        <v>#DIV/0!</v>
      </c>
      <c r="MY156" s="619" t="e">
        <f t="shared" si="1248"/>
        <v>#DIV/0!</v>
      </c>
      <c r="MZ156" s="619" t="s">
        <v>93</v>
      </c>
      <c r="NA156" s="672" t="e">
        <f>NA155/NA154*100</f>
        <v>#DIV/0!</v>
      </c>
      <c r="NB156" s="619" t="e">
        <f t="shared" ref="NB156:NP156" si="1249">NB155/NB154*100</f>
        <v>#DIV/0!</v>
      </c>
      <c r="NC156" s="675" t="e">
        <f t="shared" si="1249"/>
        <v>#DIV/0!</v>
      </c>
      <c r="ND156" s="672" t="e">
        <f t="shared" si="1249"/>
        <v>#DIV/0!</v>
      </c>
      <c r="NE156" s="672" t="e">
        <f t="shared" si="1249"/>
        <v>#DIV/0!</v>
      </c>
      <c r="NF156" s="675" t="e">
        <f t="shared" si="1249"/>
        <v>#DIV/0!</v>
      </c>
      <c r="NG156" s="672" t="e">
        <f t="shared" si="1249"/>
        <v>#DIV/0!</v>
      </c>
      <c r="NH156" s="672" t="e">
        <f t="shared" si="1249"/>
        <v>#DIV/0!</v>
      </c>
      <c r="NI156" s="672" t="e">
        <f>NI155/NI154*100</f>
        <v>#DIV/0!</v>
      </c>
      <c r="NJ156" s="672" t="e">
        <f t="shared" si="1249"/>
        <v>#DIV/0!</v>
      </c>
      <c r="NK156" s="676" t="e">
        <f t="shared" si="1249"/>
        <v>#DIV/0!</v>
      </c>
      <c r="NL156" s="688" t="e">
        <f t="shared" si="1249"/>
        <v>#DIV/0!</v>
      </c>
      <c r="NM156" s="1538" t="e">
        <f t="shared" si="1249"/>
        <v>#DIV/0!</v>
      </c>
      <c r="NN156" s="1539" t="e">
        <f t="shared" si="1249"/>
        <v>#DIV/0!</v>
      </c>
      <c r="NO156" s="672" t="e">
        <f t="shared" si="1249"/>
        <v>#DIV/0!</v>
      </c>
      <c r="NP156" s="619" t="e">
        <f t="shared" si="1249"/>
        <v>#DIV/0!</v>
      </c>
      <c r="NQ156" s="619" t="s">
        <v>93</v>
      </c>
      <c r="NR156" s="672" t="e">
        <f>NR155/NR154*100</f>
        <v>#DIV/0!</v>
      </c>
      <c r="NS156" s="619" t="e">
        <f t="shared" ref="NS156:OG156" si="1250">NS155/NS154*100</f>
        <v>#DIV/0!</v>
      </c>
      <c r="NT156" s="675" t="e">
        <f t="shared" si="1250"/>
        <v>#DIV/0!</v>
      </c>
      <c r="NU156" s="672" t="e">
        <f t="shared" si="1250"/>
        <v>#DIV/0!</v>
      </c>
      <c r="NV156" s="672" t="e">
        <f t="shared" si="1250"/>
        <v>#DIV/0!</v>
      </c>
      <c r="NW156" s="675" t="e">
        <f t="shared" si="1250"/>
        <v>#DIV/0!</v>
      </c>
      <c r="NX156" s="672" t="e">
        <f t="shared" si="1250"/>
        <v>#DIV/0!</v>
      </c>
      <c r="NY156" s="672" t="e">
        <f t="shared" si="1250"/>
        <v>#DIV/0!</v>
      </c>
      <c r="NZ156" s="672" t="e">
        <f>NZ155/NZ154*100</f>
        <v>#DIV/0!</v>
      </c>
      <c r="OA156" s="672" t="e">
        <f t="shared" si="1250"/>
        <v>#DIV/0!</v>
      </c>
      <c r="OB156" s="676" t="e">
        <f t="shared" si="1250"/>
        <v>#DIV/0!</v>
      </c>
      <c r="OC156" s="688" t="e">
        <f t="shared" si="1250"/>
        <v>#DIV/0!</v>
      </c>
      <c r="OD156" s="1538" t="e">
        <f t="shared" si="1250"/>
        <v>#DIV/0!</v>
      </c>
      <c r="OE156" s="1539" t="e">
        <f t="shared" si="1250"/>
        <v>#DIV/0!</v>
      </c>
      <c r="OF156" s="672" t="e">
        <f t="shared" si="1250"/>
        <v>#DIV/0!</v>
      </c>
      <c r="OG156" s="619" t="e">
        <f t="shared" si="1250"/>
        <v>#DIV/0!</v>
      </c>
      <c r="OH156" s="619" t="s">
        <v>93</v>
      </c>
      <c r="OI156" s="672" t="e">
        <f>OI155/OI154*100</f>
        <v>#DIV/0!</v>
      </c>
      <c r="OJ156" s="619" t="e">
        <f t="shared" ref="OJ156:OX156" si="1251">OJ155/OJ154*100</f>
        <v>#DIV/0!</v>
      </c>
      <c r="OK156" s="675" t="e">
        <f t="shared" si="1251"/>
        <v>#DIV/0!</v>
      </c>
      <c r="OL156" s="672" t="e">
        <f t="shared" si="1251"/>
        <v>#DIV/0!</v>
      </c>
      <c r="OM156" s="672" t="e">
        <f t="shared" si="1251"/>
        <v>#DIV/0!</v>
      </c>
      <c r="ON156" s="675" t="e">
        <f t="shared" si="1251"/>
        <v>#DIV/0!</v>
      </c>
      <c r="OO156" s="672" t="e">
        <f t="shared" si="1251"/>
        <v>#DIV/0!</v>
      </c>
      <c r="OP156" s="672" t="e">
        <f t="shared" si="1251"/>
        <v>#DIV/0!</v>
      </c>
      <c r="OQ156" s="672" t="e">
        <f>OQ155/OQ154*100</f>
        <v>#DIV/0!</v>
      </c>
      <c r="OR156" s="672" t="e">
        <f t="shared" si="1251"/>
        <v>#DIV/0!</v>
      </c>
      <c r="OS156" s="676" t="e">
        <f t="shared" si="1251"/>
        <v>#DIV/0!</v>
      </c>
      <c r="OT156" s="688" t="e">
        <f t="shared" si="1251"/>
        <v>#DIV/0!</v>
      </c>
      <c r="OU156" s="1538" t="e">
        <f t="shared" si="1251"/>
        <v>#DIV/0!</v>
      </c>
      <c r="OV156" s="1539" t="e">
        <f t="shared" si="1251"/>
        <v>#DIV/0!</v>
      </c>
      <c r="OW156" s="672" t="e">
        <f t="shared" si="1251"/>
        <v>#DIV/0!</v>
      </c>
      <c r="OX156" s="619" t="e">
        <f t="shared" si="1251"/>
        <v>#DIV/0!</v>
      </c>
      <c r="OY156" s="619" t="s">
        <v>93</v>
      </c>
      <c r="OZ156" s="672" t="e">
        <f>OZ155/OZ154*100</f>
        <v>#DIV/0!</v>
      </c>
      <c r="PA156" s="619" t="e">
        <f t="shared" ref="PA156:PO156" si="1252">PA155/PA154*100</f>
        <v>#DIV/0!</v>
      </c>
      <c r="PB156" s="675" t="e">
        <f t="shared" si="1252"/>
        <v>#DIV/0!</v>
      </c>
      <c r="PC156" s="672" t="e">
        <f t="shared" si="1252"/>
        <v>#DIV/0!</v>
      </c>
      <c r="PD156" s="672" t="e">
        <f t="shared" si="1252"/>
        <v>#DIV/0!</v>
      </c>
      <c r="PE156" s="675" t="e">
        <f t="shared" si="1252"/>
        <v>#DIV/0!</v>
      </c>
      <c r="PF156" s="672" t="e">
        <f t="shared" si="1252"/>
        <v>#DIV/0!</v>
      </c>
      <c r="PG156" s="672" t="e">
        <f t="shared" si="1252"/>
        <v>#DIV/0!</v>
      </c>
      <c r="PH156" s="672" t="e">
        <f>PH155/PH154*100</f>
        <v>#DIV/0!</v>
      </c>
      <c r="PI156" s="672" t="e">
        <f t="shared" si="1252"/>
        <v>#DIV/0!</v>
      </c>
      <c r="PJ156" s="676" t="e">
        <f t="shared" si="1252"/>
        <v>#DIV/0!</v>
      </c>
      <c r="PK156" s="688" t="e">
        <f t="shared" si="1252"/>
        <v>#DIV/0!</v>
      </c>
      <c r="PL156" s="1538" t="e">
        <f t="shared" si="1252"/>
        <v>#DIV/0!</v>
      </c>
      <c r="PM156" s="1539" t="e">
        <f t="shared" si="1252"/>
        <v>#DIV/0!</v>
      </c>
      <c r="PN156" s="672" t="e">
        <f t="shared" si="1252"/>
        <v>#DIV/0!</v>
      </c>
      <c r="PO156" s="619" t="e">
        <f t="shared" si="1252"/>
        <v>#DIV/0!</v>
      </c>
      <c r="PP156" s="619" t="s">
        <v>93</v>
      </c>
      <c r="PQ156" s="672" t="e">
        <f>PQ155/PQ154*100</f>
        <v>#DIV/0!</v>
      </c>
      <c r="PR156" s="619" t="e">
        <f t="shared" ref="PR156:QF156" si="1253">PR155/PR154*100</f>
        <v>#DIV/0!</v>
      </c>
      <c r="PS156" s="675" t="e">
        <f t="shared" si="1253"/>
        <v>#DIV/0!</v>
      </c>
      <c r="PT156" s="672" t="e">
        <f t="shared" si="1253"/>
        <v>#DIV/0!</v>
      </c>
      <c r="PU156" s="672" t="e">
        <f t="shared" si="1253"/>
        <v>#DIV/0!</v>
      </c>
      <c r="PV156" s="675" t="e">
        <f t="shared" si="1253"/>
        <v>#DIV/0!</v>
      </c>
      <c r="PW156" s="672" t="e">
        <f t="shared" si="1253"/>
        <v>#DIV/0!</v>
      </c>
      <c r="PX156" s="672" t="e">
        <f t="shared" si="1253"/>
        <v>#DIV/0!</v>
      </c>
      <c r="PY156" s="672" t="e">
        <f>PY155/PY154*100</f>
        <v>#DIV/0!</v>
      </c>
      <c r="PZ156" s="672" t="e">
        <f t="shared" si="1253"/>
        <v>#DIV/0!</v>
      </c>
      <c r="QA156" s="676" t="e">
        <f t="shared" si="1253"/>
        <v>#DIV/0!</v>
      </c>
      <c r="QB156" s="688" t="e">
        <f t="shared" si="1253"/>
        <v>#DIV/0!</v>
      </c>
      <c r="QC156" s="1538" t="e">
        <f t="shared" si="1253"/>
        <v>#DIV/0!</v>
      </c>
      <c r="QD156" s="1539" t="e">
        <f t="shared" si="1253"/>
        <v>#DIV/0!</v>
      </c>
      <c r="QE156" s="672" t="e">
        <f t="shared" si="1253"/>
        <v>#DIV/0!</v>
      </c>
      <c r="QF156" s="619">
        <f t="shared" si="1253"/>
        <v>0</v>
      </c>
      <c r="QG156" s="619" t="s">
        <v>93</v>
      </c>
      <c r="QH156" s="672" t="e">
        <f>QH155/QH154*100</f>
        <v>#DIV/0!</v>
      </c>
      <c r="QI156" s="619" t="e">
        <f t="shared" ref="QI156:QW156" si="1254">QI155/QI154*100</f>
        <v>#DIV/0!</v>
      </c>
      <c r="QJ156" s="675" t="e">
        <f t="shared" si="1254"/>
        <v>#DIV/0!</v>
      </c>
      <c r="QK156" s="672" t="e">
        <f t="shared" si="1254"/>
        <v>#DIV/0!</v>
      </c>
      <c r="QL156" s="672" t="e">
        <f t="shared" si="1254"/>
        <v>#DIV/0!</v>
      </c>
      <c r="QM156" s="675" t="e">
        <f t="shared" si="1254"/>
        <v>#DIV/0!</v>
      </c>
      <c r="QN156" s="672" t="e">
        <f t="shared" si="1254"/>
        <v>#DIV/0!</v>
      </c>
      <c r="QO156" s="672" t="e">
        <f t="shared" si="1254"/>
        <v>#DIV/0!</v>
      </c>
      <c r="QP156" s="672" t="e">
        <f>QP155/QP154*100</f>
        <v>#DIV/0!</v>
      </c>
      <c r="QQ156" s="672" t="e">
        <f t="shared" si="1254"/>
        <v>#DIV/0!</v>
      </c>
      <c r="QR156" s="676" t="e">
        <f t="shared" si="1254"/>
        <v>#DIV/0!</v>
      </c>
      <c r="QS156" s="688" t="e">
        <f t="shared" si="1254"/>
        <v>#DIV/0!</v>
      </c>
      <c r="QT156" s="1538" t="e">
        <f t="shared" si="1254"/>
        <v>#DIV/0!</v>
      </c>
      <c r="QU156" s="619" t="e">
        <f t="shared" si="1254"/>
        <v>#DIV/0!</v>
      </c>
      <c r="QV156" s="674" t="e">
        <f t="shared" si="1254"/>
        <v>#DIV/0!</v>
      </c>
      <c r="QW156" s="619">
        <f t="shared" si="1254"/>
        <v>0</v>
      </c>
      <c r="QX156" s="619" t="s">
        <v>93</v>
      </c>
      <c r="QY156" s="672" t="e">
        <f>QY155/QY154*100</f>
        <v>#DIV/0!</v>
      </c>
      <c r="QZ156" s="619" t="e">
        <f t="shared" ref="QZ156:RN156" si="1255">QZ155/QZ154*100</f>
        <v>#DIV/0!</v>
      </c>
      <c r="RA156" s="675" t="e">
        <f t="shared" si="1255"/>
        <v>#DIV/0!</v>
      </c>
      <c r="RB156" s="672" t="e">
        <f t="shared" si="1255"/>
        <v>#DIV/0!</v>
      </c>
      <c r="RC156" s="672" t="e">
        <f t="shared" si="1255"/>
        <v>#DIV/0!</v>
      </c>
      <c r="RD156" s="675" t="e">
        <f t="shared" si="1255"/>
        <v>#DIV/0!</v>
      </c>
      <c r="RE156" s="672" t="e">
        <f t="shared" si="1255"/>
        <v>#DIV/0!</v>
      </c>
      <c r="RF156" s="672" t="e">
        <f t="shared" si="1255"/>
        <v>#DIV/0!</v>
      </c>
      <c r="RG156" s="672" t="e">
        <f>RG155/RG154*100</f>
        <v>#DIV/0!</v>
      </c>
      <c r="RH156" s="672" t="e">
        <f t="shared" si="1255"/>
        <v>#DIV/0!</v>
      </c>
      <c r="RI156" s="676" t="e">
        <f t="shared" si="1255"/>
        <v>#DIV/0!</v>
      </c>
      <c r="RJ156" s="688" t="e">
        <f t="shared" si="1255"/>
        <v>#DIV/0!</v>
      </c>
      <c r="RK156" s="1538" t="e">
        <f t="shared" si="1255"/>
        <v>#DIV/0!</v>
      </c>
      <c r="RL156" s="1539" t="e">
        <f t="shared" si="1255"/>
        <v>#DIV/0!</v>
      </c>
      <c r="RM156" s="672" t="e">
        <f t="shared" si="1255"/>
        <v>#DIV/0!</v>
      </c>
      <c r="RN156" s="619" t="e">
        <f t="shared" si="1255"/>
        <v>#DIV/0!</v>
      </c>
      <c r="RO156" s="619" t="s">
        <v>93</v>
      </c>
      <c r="RP156" s="672" t="e">
        <f>RP155/RP154*100</f>
        <v>#DIV/0!</v>
      </c>
      <c r="RQ156" s="619" t="e">
        <f t="shared" ref="RQ156:SE156" si="1256">RQ155/RQ154*100</f>
        <v>#DIV/0!</v>
      </c>
      <c r="RR156" s="675" t="e">
        <f t="shared" si="1256"/>
        <v>#DIV/0!</v>
      </c>
      <c r="RS156" s="672" t="e">
        <f t="shared" si="1256"/>
        <v>#DIV/0!</v>
      </c>
      <c r="RT156" s="672" t="e">
        <f t="shared" si="1256"/>
        <v>#DIV/0!</v>
      </c>
      <c r="RU156" s="675" t="e">
        <f t="shared" si="1256"/>
        <v>#DIV/0!</v>
      </c>
      <c r="RV156" s="672" t="e">
        <f t="shared" si="1256"/>
        <v>#DIV/0!</v>
      </c>
      <c r="RW156" s="672" t="e">
        <f t="shared" si="1256"/>
        <v>#DIV/0!</v>
      </c>
      <c r="RX156" s="672" t="e">
        <f>RX155/RX154*100</f>
        <v>#DIV/0!</v>
      </c>
      <c r="RY156" s="672" t="e">
        <f t="shared" si="1256"/>
        <v>#DIV/0!</v>
      </c>
      <c r="RZ156" s="676" t="e">
        <f t="shared" si="1256"/>
        <v>#DIV/0!</v>
      </c>
      <c r="SA156" s="688" t="e">
        <f t="shared" si="1256"/>
        <v>#DIV/0!</v>
      </c>
      <c r="SB156" s="1538" t="e">
        <f t="shared" si="1256"/>
        <v>#DIV/0!</v>
      </c>
      <c r="SC156" s="1539" t="e">
        <f t="shared" si="1256"/>
        <v>#DIV/0!</v>
      </c>
      <c r="SD156" s="672" t="e">
        <f t="shared" si="1256"/>
        <v>#DIV/0!</v>
      </c>
      <c r="SE156" s="619" t="e">
        <f t="shared" si="1256"/>
        <v>#DIV/0!</v>
      </c>
      <c r="SF156" s="619" t="s">
        <v>93</v>
      </c>
      <c r="SG156" s="672" t="e">
        <f>SG155/SG154*100</f>
        <v>#DIV/0!</v>
      </c>
      <c r="SH156" s="619" t="e">
        <f t="shared" ref="SH156:SV156" si="1257">SH155/SH154*100</f>
        <v>#DIV/0!</v>
      </c>
      <c r="SI156" s="675" t="e">
        <f t="shared" si="1257"/>
        <v>#DIV/0!</v>
      </c>
      <c r="SJ156" s="672" t="e">
        <f t="shared" si="1257"/>
        <v>#DIV/0!</v>
      </c>
      <c r="SK156" s="672" t="e">
        <f t="shared" si="1257"/>
        <v>#DIV/0!</v>
      </c>
      <c r="SL156" s="675" t="e">
        <f t="shared" si="1257"/>
        <v>#DIV/0!</v>
      </c>
      <c r="SM156" s="672" t="e">
        <f t="shared" si="1257"/>
        <v>#DIV/0!</v>
      </c>
      <c r="SN156" s="672" t="e">
        <f t="shared" si="1257"/>
        <v>#DIV/0!</v>
      </c>
      <c r="SO156" s="672" t="e">
        <f>SO155/SO154*100</f>
        <v>#DIV/0!</v>
      </c>
      <c r="SP156" s="672" t="e">
        <f t="shared" si="1257"/>
        <v>#DIV/0!</v>
      </c>
      <c r="SQ156" s="676" t="e">
        <f t="shared" si="1257"/>
        <v>#DIV/0!</v>
      </c>
      <c r="SR156" s="688" t="e">
        <f t="shared" si="1257"/>
        <v>#DIV/0!</v>
      </c>
      <c r="SS156" s="1538" t="e">
        <f t="shared" si="1257"/>
        <v>#DIV/0!</v>
      </c>
      <c r="ST156" s="1539" t="e">
        <f t="shared" si="1257"/>
        <v>#DIV/0!</v>
      </c>
      <c r="SU156" s="672" t="e">
        <f t="shared" si="1257"/>
        <v>#DIV/0!</v>
      </c>
      <c r="SV156" s="619" t="e">
        <f t="shared" si="1257"/>
        <v>#DIV/0!</v>
      </c>
      <c r="SW156" s="619" t="s">
        <v>93</v>
      </c>
      <c r="SX156" s="672" t="e">
        <f>SX155/SX154*100</f>
        <v>#DIV/0!</v>
      </c>
      <c r="SY156" s="619" t="e">
        <f t="shared" ref="SY156:TM156" si="1258">SY155/SY154*100</f>
        <v>#DIV/0!</v>
      </c>
      <c r="SZ156" s="675" t="e">
        <f t="shared" si="1258"/>
        <v>#DIV/0!</v>
      </c>
      <c r="TA156" s="672" t="e">
        <f t="shared" si="1258"/>
        <v>#DIV/0!</v>
      </c>
      <c r="TB156" s="672" t="e">
        <f t="shared" si="1258"/>
        <v>#DIV/0!</v>
      </c>
      <c r="TC156" s="675" t="e">
        <f t="shared" si="1258"/>
        <v>#DIV/0!</v>
      </c>
      <c r="TD156" s="672" t="e">
        <f t="shared" si="1258"/>
        <v>#DIV/0!</v>
      </c>
      <c r="TE156" s="672" t="e">
        <f t="shared" si="1258"/>
        <v>#DIV/0!</v>
      </c>
      <c r="TF156" s="672" t="e">
        <f>TF155/TF154*100</f>
        <v>#DIV/0!</v>
      </c>
      <c r="TG156" s="672" t="e">
        <f t="shared" si="1258"/>
        <v>#DIV/0!</v>
      </c>
      <c r="TH156" s="676" t="e">
        <f t="shared" si="1258"/>
        <v>#DIV/0!</v>
      </c>
      <c r="TI156" s="688" t="e">
        <f t="shared" si="1258"/>
        <v>#DIV/0!</v>
      </c>
      <c r="TJ156" s="1538" t="e">
        <f t="shared" si="1258"/>
        <v>#DIV/0!</v>
      </c>
      <c r="TK156" s="1539" t="e">
        <f t="shared" si="1258"/>
        <v>#DIV/0!</v>
      </c>
      <c r="TL156" s="672" t="e">
        <f t="shared" si="1258"/>
        <v>#DIV/0!</v>
      </c>
      <c r="TM156" s="619" t="e">
        <f t="shared" si="1258"/>
        <v>#DIV/0!</v>
      </c>
      <c r="TN156" s="619" t="s">
        <v>93</v>
      </c>
      <c r="TO156" s="672" t="e">
        <f>TO155/TO154*100</f>
        <v>#DIV/0!</v>
      </c>
      <c r="TP156" s="619" t="e">
        <f t="shared" ref="TP156:TY156" si="1259">TP155/TP154*100</f>
        <v>#DIV/0!</v>
      </c>
      <c r="TQ156" s="675" t="e">
        <f t="shared" si="1259"/>
        <v>#DIV/0!</v>
      </c>
      <c r="TR156" s="672" t="e">
        <f t="shared" si="1259"/>
        <v>#DIV/0!</v>
      </c>
      <c r="TS156" s="672" t="e">
        <f t="shared" si="1259"/>
        <v>#DIV/0!</v>
      </c>
      <c r="TT156" s="675" t="e">
        <f t="shared" si="1259"/>
        <v>#DIV/0!</v>
      </c>
      <c r="TU156" s="672" t="e">
        <f t="shared" si="1259"/>
        <v>#DIV/0!</v>
      </c>
      <c r="TV156" s="672" t="e">
        <f t="shared" si="1259"/>
        <v>#DIV/0!</v>
      </c>
      <c r="TW156" s="672" t="e">
        <f>TW155/TW154*100</f>
        <v>#DIV/0!</v>
      </c>
      <c r="TX156" s="672" t="e">
        <f t="shared" si="1259"/>
        <v>#DIV/0!</v>
      </c>
      <c r="TY156" s="676" t="e">
        <f t="shared" si="1259"/>
        <v>#DIV/0!</v>
      </c>
    </row>
    <row r="157" spans="1:545" ht="15.75" thickBot="1" x14ac:dyDescent="0.3">
      <c r="A157" s="1541" t="s">
        <v>1059</v>
      </c>
      <c r="B157" s="699"/>
      <c r="C157" s="700"/>
      <c r="D157" s="700"/>
      <c r="E157" s="604"/>
      <c r="F157" s="700"/>
      <c r="G157" s="700"/>
      <c r="H157" s="604"/>
      <c r="I157" s="700"/>
      <c r="J157" s="698"/>
      <c r="K157" s="604"/>
      <c r="L157" s="604"/>
      <c r="M157" s="697"/>
      <c r="N157" s="604"/>
      <c r="O157" s="19"/>
      <c r="P157" s="604"/>
      <c r="Q157" s="604"/>
      <c r="R157" s="607"/>
      <c r="S157" s="1535"/>
      <c r="T157" s="1535"/>
      <c r="U157" s="1536"/>
      <c r="V157" s="604"/>
      <c r="W157" s="700"/>
      <c r="X157" s="700"/>
      <c r="Y157" s="604"/>
      <c r="Z157" s="700"/>
      <c r="AA157" s="698"/>
      <c r="AB157" s="604"/>
      <c r="AC157" s="604"/>
      <c r="AD157" s="697"/>
      <c r="AE157" s="604"/>
      <c r="AF157" s="604"/>
      <c r="AG157" s="604"/>
      <c r="AH157" s="604"/>
      <c r="AI157" s="607"/>
      <c r="AJ157" s="1535"/>
      <c r="AK157" s="1535"/>
      <c r="AL157" s="1536"/>
      <c r="AM157" s="604"/>
      <c r="AN157" s="700"/>
      <c r="AO157" s="700"/>
      <c r="AP157" s="604"/>
      <c r="AQ157" s="700"/>
      <c r="AR157" s="698"/>
      <c r="AS157" s="604"/>
      <c r="AT157" s="604"/>
      <c r="AU157" s="697"/>
      <c r="AV157" s="604"/>
      <c r="AW157" s="604"/>
      <c r="AX157" s="604"/>
      <c r="AY157" s="604"/>
      <c r="AZ157" s="607"/>
      <c r="BA157" s="699"/>
      <c r="BB157" s="1535"/>
      <c r="BC157" s="1536"/>
      <c r="BD157" s="604"/>
      <c r="BE157" s="700"/>
      <c r="BF157" s="700"/>
      <c r="BG157" s="604"/>
      <c r="BH157" s="700"/>
      <c r="BI157" s="698"/>
      <c r="BJ157" s="604"/>
      <c r="BK157" s="604"/>
      <c r="BL157" s="697"/>
      <c r="BM157" s="604"/>
      <c r="BN157" s="604"/>
      <c r="BO157" s="604"/>
      <c r="BP157" s="604"/>
      <c r="BQ157" s="607"/>
      <c r="BR157" s="699"/>
      <c r="BS157" s="1535"/>
      <c r="BT157" s="1536"/>
      <c r="BU157" s="604"/>
      <c r="BV157" s="700"/>
      <c r="BW157" s="700"/>
      <c r="BX157" s="604"/>
      <c r="BY157" s="700"/>
      <c r="BZ157" s="698"/>
      <c r="CA157" s="604"/>
      <c r="CB157" s="604"/>
      <c r="CC157" s="697"/>
      <c r="CD157" s="604"/>
      <c r="CE157" s="604"/>
      <c r="CF157" s="604"/>
      <c r="CG157" s="604"/>
      <c r="CH157" s="607"/>
      <c r="CI157" s="699"/>
      <c r="CJ157" s="1535"/>
      <c r="CK157" s="1536"/>
      <c r="CL157" s="604"/>
      <c r="CM157" s="700"/>
      <c r="CN157" s="700"/>
      <c r="CO157" s="604"/>
      <c r="CP157" s="700"/>
      <c r="CQ157" s="698"/>
      <c r="CR157" s="604"/>
      <c r="CS157" s="604"/>
      <c r="CT157" s="697"/>
      <c r="CU157" s="604"/>
      <c r="CV157" s="604"/>
      <c r="CW157" s="604"/>
      <c r="CX157" s="604"/>
      <c r="CY157" s="607"/>
      <c r="CZ157" s="699"/>
      <c r="DA157" s="1535"/>
      <c r="DB157" s="1536"/>
      <c r="DC157" s="604"/>
      <c r="DD157" s="700"/>
      <c r="DE157" s="700"/>
      <c r="DF157" s="604"/>
      <c r="DG157" s="700"/>
      <c r="DH157" s="698"/>
      <c r="DI157" s="604"/>
      <c r="DJ157" s="604"/>
      <c r="DK157" s="697"/>
      <c r="DL157" s="604"/>
      <c r="DM157" s="604"/>
      <c r="DN157" s="604"/>
      <c r="DO157" s="604"/>
      <c r="DP157" s="607"/>
      <c r="DQ157" s="699"/>
      <c r="DR157" s="1535"/>
      <c r="DS157" s="1536"/>
      <c r="DT157" s="698"/>
      <c r="DU157" s="700"/>
      <c r="DV157" s="700"/>
      <c r="DW157" s="604"/>
      <c r="DX157" s="700"/>
      <c r="DY157" s="698"/>
      <c r="DZ157" s="604"/>
      <c r="EA157" s="604"/>
      <c r="EB157" s="697"/>
      <c r="EC157" s="604"/>
      <c r="ED157" s="604"/>
      <c r="EE157" s="604"/>
      <c r="EF157" s="604"/>
      <c r="EG157" s="607"/>
      <c r="EH157" s="699"/>
      <c r="EI157" s="1535"/>
      <c r="EJ157" s="1536"/>
      <c r="EK157" s="604"/>
      <c r="EL157" s="700"/>
      <c r="EM157" s="700"/>
      <c r="EN157" s="604"/>
      <c r="EO157" s="700"/>
      <c r="EP157" s="698"/>
      <c r="EQ157" s="604"/>
      <c r="ER157" s="604"/>
      <c r="ES157" s="697"/>
      <c r="ET157" s="604"/>
      <c r="EU157" s="604"/>
      <c r="EV157" s="604"/>
      <c r="EW157" s="604"/>
      <c r="EX157" s="607"/>
      <c r="EY157" s="699"/>
      <c r="EZ157" s="1535"/>
      <c r="FA157" s="1536"/>
      <c r="FB157" s="604"/>
      <c r="FC157" s="700"/>
      <c r="FD157" s="700"/>
      <c r="FE157" s="604"/>
      <c r="FF157" s="700"/>
      <c r="FG157" s="698"/>
      <c r="FH157" s="604"/>
      <c r="FI157" s="604"/>
      <c r="FJ157" s="697"/>
      <c r="FK157" s="604"/>
      <c r="FL157" s="604"/>
      <c r="FM157" s="604"/>
      <c r="FN157" s="604"/>
      <c r="FO157" s="607"/>
      <c r="FP157" s="699"/>
      <c r="FQ157" s="1535"/>
      <c r="FR157" s="1536"/>
      <c r="FS157" s="604"/>
      <c r="FT157" s="700"/>
      <c r="FU157" s="700"/>
      <c r="FV157" s="604"/>
      <c r="FW157" s="700"/>
      <c r="FX157" s="698"/>
      <c r="FY157" s="604"/>
      <c r="FZ157" s="604"/>
      <c r="GA157" s="697"/>
      <c r="GB157" s="604"/>
      <c r="GC157" s="604"/>
      <c r="GD157" s="604"/>
      <c r="GE157" s="604"/>
      <c r="GF157" s="607"/>
      <c r="GG157" s="699"/>
      <c r="GH157" s="1535"/>
      <c r="GI157" s="1536"/>
      <c r="GJ157" s="698"/>
      <c r="GK157" s="700"/>
      <c r="GL157" s="700"/>
      <c r="GM157" s="604"/>
      <c r="GN157" s="700"/>
      <c r="GO157" s="698"/>
      <c r="GP157" s="604"/>
      <c r="GQ157" s="604"/>
      <c r="GR157" s="697"/>
      <c r="GS157" s="604"/>
      <c r="GT157" s="604"/>
      <c r="GU157" s="604"/>
      <c r="GV157" s="604"/>
      <c r="GW157" s="607"/>
      <c r="GX157" s="699"/>
      <c r="GY157" s="1535"/>
      <c r="GZ157" s="1536"/>
      <c r="HA157" s="604"/>
      <c r="HB157" s="700"/>
      <c r="HC157" s="700"/>
      <c r="HD157" s="604"/>
      <c r="HE157" s="700"/>
      <c r="HF157" s="698"/>
      <c r="HG157" s="604"/>
      <c r="HH157" s="604"/>
      <c r="HI157" s="697"/>
      <c r="HJ157" s="604"/>
      <c r="HK157" s="604"/>
      <c r="HL157" s="604"/>
      <c r="HM157" s="604"/>
      <c r="HN157" s="607"/>
      <c r="HO157" s="699"/>
      <c r="HP157" s="1535"/>
      <c r="HQ157" s="1536"/>
      <c r="HR157" s="604"/>
      <c r="HS157" s="700"/>
      <c r="HT157" s="700"/>
      <c r="HU157" s="604"/>
      <c r="HV157" s="700"/>
      <c r="HW157" s="698"/>
      <c r="HX157" s="604"/>
      <c r="HY157" s="604"/>
      <c r="HZ157" s="697"/>
      <c r="IA157" s="604"/>
      <c r="IB157" s="604"/>
      <c r="IC157" s="604"/>
      <c r="ID157" s="604"/>
      <c r="IE157" s="607"/>
      <c r="IF157" s="699"/>
      <c r="IG157" s="1535"/>
      <c r="IH157" s="1536"/>
      <c r="II157" s="604"/>
      <c r="IJ157" s="700"/>
      <c r="IK157" s="700"/>
      <c r="IL157" s="604"/>
      <c r="IM157" s="700"/>
      <c r="IN157" s="698"/>
      <c r="IO157" s="604"/>
      <c r="IP157" s="604"/>
      <c r="IQ157" s="697"/>
      <c r="IR157" s="604"/>
      <c r="IS157" s="604"/>
      <c r="IT157" s="604"/>
      <c r="IU157" s="604"/>
      <c r="IV157" s="607"/>
      <c r="IW157" s="699"/>
      <c r="IX157" s="1535"/>
      <c r="IY157" s="1536"/>
      <c r="IZ157" s="604"/>
      <c r="JA157" s="700"/>
      <c r="JB157" s="700"/>
      <c r="JC157" s="604"/>
      <c r="JD157" s="700"/>
      <c r="JE157" s="698"/>
      <c r="JF157" s="604"/>
      <c r="JG157" s="604"/>
      <c r="JH157" s="697"/>
      <c r="JI157" s="604"/>
      <c r="JJ157" s="604"/>
      <c r="JK157" s="604"/>
      <c r="JL157" s="604"/>
      <c r="JM157" s="607"/>
      <c r="JN157" s="699"/>
      <c r="JO157" s="1535"/>
      <c r="JP157" s="1536"/>
      <c r="JQ157" s="604"/>
      <c r="JR157" s="700"/>
      <c r="JS157" s="700"/>
      <c r="JT157" s="604"/>
      <c r="JU157" s="700"/>
      <c r="JV157" s="698"/>
      <c r="JW157" s="604"/>
      <c r="JX157" s="604"/>
      <c r="JY157" s="697"/>
      <c r="JZ157" s="604"/>
      <c r="KA157" s="604"/>
      <c r="KB157" s="604"/>
      <c r="KC157" s="604"/>
      <c r="KD157" s="607"/>
      <c r="KE157" s="699"/>
      <c r="KF157" s="1535"/>
      <c r="KG157" s="1536"/>
      <c r="KH157" s="604"/>
      <c r="KI157" s="700"/>
      <c r="KJ157" s="700"/>
      <c r="KK157" s="604"/>
      <c r="KL157" s="700"/>
      <c r="KM157" s="698"/>
      <c r="KN157" s="604"/>
      <c r="KO157" s="604"/>
      <c r="KP157" s="697"/>
      <c r="KQ157" s="604"/>
      <c r="KR157" s="604"/>
      <c r="KS157" s="604"/>
      <c r="KT157" s="604"/>
      <c r="KU157" s="607"/>
      <c r="KV157" s="699"/>
      <c r="KW157" s="1535"/>
      <c r="KX157" s="1536"/>
      <c r="KY157" s="604"/>
      <c r="KZ157" s="700"/>
      <c r="LA157" s="700"/>
      <c r="LB157" s="604"/>
      <c r="LC157" s="700"/>
      <c r="LD157" s="698"/>
      <c r="LE157" s="604"/>
      <c r="LF157" s="604"/>
      <c r="LG157" s="697"/>
      <c r="LH157" s="604"/>
      <c r="LI157" s="604"/>
      <c r="LJ157" s="604"/>
      <c r="LK157" s="604"/>
      <c r="LL157" s="607"/>
      <c r="LM157" s="699"/>
      <c r="LN157" s="1535"/>
      <c r="LO157" s="1536"/>
      <c r="LP157" s="604"/>
      <c r="LQ157" s="700"/>
      <c r="LR157" s="700"/>
      <c r="LS157" s="604"/>
      <c r="LT157" s="700"/>
      <c r="LU157" s="698"/>
      <c r="LV157" s="604"/>
      <c r="LW157" s="604"/>
      <c r="LX157" s="697"/>
      <c r="LY157" s="604"/>
      <c r="LZ157" s="604"/>
      <c r="MA157" s="604"/>
      <c r="MB157" s="604"/>
      <c r="MC157" s="607"/>
      <c r="MD157" s="699"/>
      <c r="ME157" s="1535"/>
      <c r="MF157" s="1536"/>
      <c r="MG157" s="604"/>
      <c r="MH157" s="700"/>
      <c r="MI157" s="700"/>
      <c r="MJ157" s="604"/>
      <c r="MK157" s="700"/>
      <c r="ML157" s="698"/>
      <c r="MM157" s="604"/>
      <c r="MN157" s="604"/>
      <c r="MO157" s="697"/>
      <c r="MP157" s="604"/>
      <c r="MQ157" s="604"/>
      <c r="MR157" s="604"/>
      <c r="MS157" s="604"/>
      <c r="MT157" s="607"/>
      <c r="MU157" s="699"/>
      <c r="MV157" s="1535"/>
      <c r="MW157" s="1536"/>
      <c r="MX157" s="604"/>
      <c r="MY157" s="700"/>
      <c r="MZ157" s="700"/>
      <c r="NA157" s="604"/>
      <c r="NB157" s="700"/>
      <c r="NC157" s="698"/>
      <c r="ND157" s="604"/>
      <c r="NE157" s="604"/>
      <c r="NF157" s="697"/>
      <c r="NG157" s="604"/>
      <c r="NH157" s="604"/>
      <c r="NI157" s="604"/>
      <c r="NJ157" s="604"/>
      <c r="NK157" s="607"/>
      <c r="NL157" s="699"/>
      <c r="NM157" s="1535"/>
      <c r="NN157" s="1536"/>
      <c r="NO157" s="604"/>
      <c r="NP157" s="700"/>
      <c r="NQ157" s="700"/>
      <c r="NR157" s="604"/>
      <c r="NS157" s="700"/>
      <c r="NT157" s="698"/>
      <c r="NU157" s="604"/>
      <c r="NV157" s="604"/>
      <c r="NW157" s="697"/>
      <c r="NX157" s="604"/>
      <c r="NY157" s="604"/>
      <c r="NZ157" s="604"/>
      <c r="OA157" s="604"/>
      <c r="OB157" s="607"/>
      <c r="OC157" s="699"/>
      <c r="OD157" s="1535"/>
      <c r="OE157" s="1536"/>
      <c r="OF157" s="604"/>
      <c r="OG157" s="700"/>
      <c r="OH157" s="700"/>
      <c r="OI157" s="604"/>
      <c r="OJ157" s="700"/>
      <c r="OK157" s="698"/>
      <c r="OL157" s="604"/>
      <c r="OM157" s="604"/>
      <c r="ON157" s="697"/>
      <c r="OO157" s="604"/>
      <c r="OP157" s="604"/>
      <c r="OQ157" s="604"/>
      <c r="OR157" s="604"/>
      <c r="OS157" s="607"/>
      <c r="OT157" s="699"/>
      <c r="OU157" s="1535"/>
      <c r="OV157" s="1536"/>
      <c r="OW157" s="604"/>
      <c r="OX157" s="700"/>
      <c r="OY157" s="700"/>
      <c r="OZ157" s="604"/>
      <c r="PA157" s="700"/>
      <c r="PB157" s="698"/>
      <c r="PC157" s="604"/>
      <c r="PD157" s="604"/>
      <c r="PE157" s="697"/>
      <c r="PF157" s="604"/>
      <c r="PG157" s="604"/>
      <c r="PH157" s="604"/>
      <c r="PI157" s="604"/>
      <c r="PJ157" s="607"/>
      <c r="PK157" s="699"/>
      <c r="PL157" s="1535"/>
      <c r="PM157" s="1536"/>
      <c r="PN157" s="604"/>
      <c r="PO157" s="700"/>
      <c r="PP157" s="700"/>
      <c r="PQ157" s="604"/>
      <c r="PR157" s="700"/>
      <c r="PS157" s="698"/>
      <c r="PT157" s="604"/>
      <c r="PU157" s="604"/>
      <c r="PV157" s="697"/>
      <c r="PW157" s="604"/>
      <c r="PX157" s="604"/>
      <c r="PY157" s="604"/>
      <c r="PZ157" s="604"/>
      <c r="QA157" s="607"/>
      <c r="QB157" s="699"/>
      <c r="QC157" s="1535"/>
      <c r="QD157" s="1536"/>
      <c r="QE157" s="604"/>
      <c r="QF157" s="700"/>
      <c r="QG157" s="700"/>
      <c r="QH157" s="604"/>
      <c r="QI157" s="700"/>
      <c r="QJ157" s="698"/>
      <c r="QK157" s="604"/>
      <c r="QL157" s="604"/>
      <c r="QM157" s="697"/>
      <c r="QN157" s="604"/>
      <c r="QO157" s="604"/>
      <c r="QP157" s="604"/>
      <c r="QQ157" s="604"/>
      <c r="QR157" s="607"/>
      <c r="QS157" s="699"/>
      <c r="QT157" s="1535"/>
      <c r="QU157" s="1535"/>
      <c r="QV157" s="698"/>
      <c r="QW157" s="700"/>
      <c r="QX157" s="700"/>
      <c r="QY157" s="604"/>
      <c r="QZ157" s="700"/>
      <c r="RA157" s="698"/>
      <c r="RB157" s="604"/>
      <c r="RC157" s="604"/>
      <c r="RD157" s="697"/>
      <c r="RE157" s="604"/>
      <c r="RF157" s="604"/>
      <c r="RG157" s="604"/>
      <c r="RH157" s="604"/>
      <c r="RI157" s="607"/>
      <c r="RJ157" s="699"/>
      <c r="RK157" s="1535"/>
      <c r="RL157" s="1536"/>
      <c r="RM157" s="604"/>
      <c r="RN157" s="700"/>
      <c r="RO157" s="700"/>
      <c r="RP157" s="604"/>
      <c r="RQ157" s="700"/>
      <c r="RR157" s="698"/>
      <c r="RS157" s="604"/>
      <c r="RT157" s="604"/>
      <c r="RU157" s="697"/>
      <c r="RV157" s="604"/>
      <c r="RW157" s="604"/>
      <c r="RX157" s="604"/>
      <c r="RY157" s="604"/>
      <c r="RZ157" s="607"/>
      <c r="SA157" s="699"/>
      <c r="SB157" s="1535"/>
      <c r="SC157" s="1536"/>
      <c r="SD157" s="604"/>
      <c r="SE157" s="700"/>
      <c r="SF157" s="700"/>
      <c r="SG157" s="604"/>
      <c r="SH157" s="700"/>
      <c r="SI157" s="698"/>
      <c r="SJ157" s="604"/>
      <c r="SK157" s="604"/>
      <c r="SL157" s="697"/>
      <c r="SM157" s="604"/>
      <c r="SN157" s="604"/>
      <c r="SO157" s="604"/>
      <c r="SP157" s="604"/>
      <c r="SQ157" s="607"/>
      <c r="SR157" s="699"/>
      <c r="SS157" s="1535"/>
      <c r="ST157" s="1536"/>
      <c r="SU157" s="604"/>
      <c r="SV157" s="700"/>
      <c r="SW157" s="700"/>
      <c r="SX157" s="604"/>
      <c r="SY157" s="700"/>
      <c r="SZ157" s="698"/>
      <c r="TA157" s="604"/>
      <c r="TB157" s="604"/>
      <c r="TC157" s="697"/>
      <c r="TD157" s="604"/>
      <c r="TE157" s="604"/>
      <c r="TF157" s="604"/>
      <c r="TG157" s="604"/>
      <c r="TH157" s="607"/>
      <c r="TI157" s="1560"/>
      <c r="TJ157" s="1561"/>
      <c r="TK157" s="1562"/>
      <c r="TL157" s="1559"/>
      <c r="TM157" s="1563"/>
      <c r="TN157" s="1563"/>
      <c r="TO157" s="1559"/>
      <c r="TP157" s="1563"/>
      <c r="TQ157" s="1564"/>
      <c r="TR157" s="604"/>
      <c r="TS157" s="1559"/>
      <c r="TT157" s="1565"/>
      <c r="TU157" s="1559"/>
      <c r="TV157" s="1559"/>
      <c r="TW157" s="1559"/>
      <c r="TX157" s="1559"/>
      <c r="TY157" s="1566"/>
    </row>
    <row r="158" spans="1:545" x14ac:dyDescent="0.25">
      <c r="A158" s="2218">
        <v>350</v>
      </c>
      <c r="B158" s="664"/>
      <c r="C158" s="667"/>
      <c r="D158" s="667"/>
      <c r="E158" s="651"/>
      <c r="F158" s="667"/>
      <c r="G158" s="663"/>
      <c r="H158" s="651"/>
      <c r="I158" s="652"/>
      <c r="J158" s="653"/>
      <c r="K158" s="599"/>
      <c r="L158" s="599"/>
      <c r="M158" s="657"/>
      <c r="N158" s="600"/>
      <c r="O158" s="599"/>
      <c r="P158" s="600"/>
      <c r="Q158" s="599"/>
      <c r="R158" s="658"/>
      <c r="S158" s="659"/>
      <c r="T158" s="660"/>
      <c r="U158" s="661"/>
      <c r="V158" s="651"/>
      <c r="W158" s="662"/>
      <c r="X158" s="663"/>
      <c r="Y158" s="651">
        <f>IF(AND(ABS(V158)&gt;=$F$42,ABS(V158)&lt;=$G$42),V158*$D$42,IF(AND(ABS(V158)&gt;=$F$43,ABS(V158)&lt;=$G$43),V158*$D$43,IF(AND(ABS(V158)&gt;=$F$44,ABS(V158)&lt;=$G$44),V158*$D$44,"rango cal. out")))</f>
        <v>0</v>
      </c>
      <c r="Z158" s="652" t="e">
        <f>((273.2+S158)*$F$32/((273.2+$F$31)*U158))</f>
        <v>#DIV/0!</v>
      </c>
      <c r="AA158" s="653" t="e">
        <f>Y158/W158*Z158*EXP(-LN(2)/10990*($F$88-X158))</f>
        <v>#DIV/0!</v>
      </c>
      <c r="AB158" s="599" t="e">
        <f>AA158-AVERAGE(AI94:AI95)</f>
        <v>#DIV/0!</v>
      </c>
      <c r="AC158" s="599" t="e">
        <f>ABS($B$33*AB158*3600)</f>
        <v>#DIV/0!</v>
      </c>
      <c r="AD158" s="657" t="e">
        <f>ABS($B$34*AB158*3600)</f>
        <v>#DIV/0!</v>
      </c>
      <c r="AE158" s="600" t="e">
        <f>AD158*$C$79</f>
        <v>#DIV/0!</v>
      </c>
      <c r="AF158" s="599" t="e">
        <f>AD158*$F$70</f>
        <v>#DIV/0!</v>
      </c>
      <c r="AG158" s="600" t="e">
        <f>AD158*$F$75</f>
        <v>#DIV/0!</v>
      </c>
      <c r="AH158" s="599" t="e">
        <f>AD158*$F$72</f>
        <v>#DIV/0!</v>
      </c>
      <c r="AI158" s="658" t="e">
        <f>AD158*$F$71</f>
        <v>#DIV/0!</v>
      </c>
      <c r="AJ158" s="659"/>
      <c r="AK158" s="660"/>
      <c r="AL158" s="661"/>
      <c r="AM158" s="651"/>
      <c r="AN158" s="662"/>
      <c r="AO158" s="663"/>
      <c r="AP158" s="651">
        <f>IF(AND(ABS(AM158)&gt;=$F$42,ABS(AM158)&lt;=$G$42),AM158*$D$42,IF(AND(ABS(AM158)&gt;=$F$43,ABS(AM158)&lt;=$G$43),AM158*$D$43,IF(AND(ABS(AM158)&gt;=$F$44,ABS(AM158)&lt;=$G$44),AM158*$D$44,"rango cal. out")))</f>
        <v>0</v>
      </c>
      <c r="AQ158" s="652" t="e">
        <f>((273.2+AJ158)*$F$32/((273.2+$F$31)*AL158))</f>
        <v>#DIV/0!</v>
      </c>
      <c r="AR158" s="653" t="e">
        <f>AP158/AN158*AQ158*EXP(-LN(2)/10990*($F$88-AO158))</f>
        <v>#DIV/0!</v>
      </c>
      <c r="AS158" s="599" t="e">
        <f>AR158-AVERAGE(AZ94:AZ95)</f>
        <v>#DIV/0!</v>
      </c>
      <c r="AT158" s="599" t="e">
        <f>ABS($B$33*AS158*3600)</f>
        <v>#DIV/0!</v>
      </c>
      <c r="AU158" s="657" t="e">
        <f>ABS($B$34*AS158*3600)</f>
        <v>#DIV/0!</v>
      </c>
      <c r="AV158" s="600" t="e">
        <f>AU158*$C$79</f>
        <v>#DIV/0!</v>
      </c>
      <c r="AW158" s="599" t="e">
        <f>AU158*$F$70</f>
        <v>#DIV/0!</v>
      </c>
      <c r="AX158" s="600" t="e">
        <f>AU158*$F$75</f>
        <v>#DIV/0!</v>
      </c>
      <c r="AY158" s="599" t="e">
        <f>AU158*$F$72</f>
        <v>#DIV/0!</v>
      </c>
      <c r="AZ158" s="658" t="e">
        <f>AU158*$F$71</f>
        <v>#DIV/0!</v>
      </c>
      <c r="BA158" s="664"/>
      <c r="BB158" s="660"/>
      <c r="BC158" s="661"/>
      <c r="BD158" s="651"/>
      <c r="BE158" s="662"/>
      <c r="BF158" s="663"/>
      <c r="BG158" s="651">
        <f>IF(AND(ABS(BD158)&gt;=$F$42,ABS(BD158)&lt;=$G$42),BD158*$D$42,IF(AND(ABS(BD158)&gt;=$F$43,ABS(BD158)&lt;=$G$43),BD158*$D$43,IF(AND(ABS(BD158)&gt;=$F$44,ABS(BD158)&lt;=$G$44),BD158*$D$44,"rango cal. out")))</f>
        <v>0</v>
      </c>
      <c r="BH158" s="652" t="e">
        <f>((273.2+BA158)*$F$32/((273.2+$F$31)*BC158))</f>
        <v>#DIV/0!</v>
      </c>
      <c r="BI158" s="653" t="e">
        <f>BG158/BE158*BH158*EXP(-LN(2)/10990*($F$88-BF158))</f>
        <v>#DIV/0!</v>
      </c>
      <c r="BJ158" s="599" t="e">
        <f>BI158-AVERAGE(BQ94:BQ95)</f>
        <v>#DIV/0!</v>
      </c>
      <c r="BK158" s="599" t="e">
        <f>ABS($B$33*BJ158*3600)</f>
        <v>#DIV/0!</v>
      </c>
      <c r="BL158" s="657" t="e">
        <f>ABS($B$34*BJ158*3600)</f>
        <v>#DIV/0!</v>
      </c>
      <c r="BM158" s="600" t="e">
        <f>BL158*$C$79</f>
        <v>#DIV/0!</v>
      </c>
      <c r="BN158" s="599" t="e">
        <f>BL158*$F$70</f>
        <v>#DIV/0!</v>
      </c>
      <c r="BO158" s="600" t="e">
        <f>BL158*$F$75</f>
        <v>#DIV/0!</v>
      </c>
      <c r="BP158" s="599" t="e">
        <f>BL158*$F$72</f>
        <v>#DIV/0!</v>
      </c>
      <c r="BQ158" s="658" t="e">
        <f>BL158*$F$71</f>
        <v>#DIV/0!</v>
      </c>
      <c r="BR158" s="664"/>
      <c r="BS158" s="660"/>
      <c r="BT158" s="661"/>
      <c r="BU158" s="651"/>
      <c r="BV158" s="662"/>
      <c r="BW158" s="663"/>
      <c r="BX158" s="651">
        <f>IF(AND(ABS(BU158)&gt;=$F$42,ABS(BU158)&lt;=$G$42),BU158*$D$42,IF(AND(ABS(BU158)&gt;=$F$43,ABS(BU158)&lt;=$G$43),BU158*$D$43,IF(AND(ABS(BU158)&gt;=$F$44,ABS(BU158)&lt;=$G$44),BU158*$D$44,"rango cal. out")))</f>
        <v>0</v>
      </c>
      <c r="BY158" s="652" t="e">
        <f>((273.2+BR158)*$F$32/((273.2+$F$31)*BT158))</f>
        <v>#DIV/0!</v>
      </c>
      <c r="BZ158" s="653" t="e">
        <f>BX158/BV158*BY158*EXP(-LN(2)/10990*($F$88-BW158))</f>
        <v>#DIV/0!</v>
      </c>
      <c r="CA158" s="599" t="e">
        <f>BZ158-AVERAGE(CH94:CH95)</f>
        <v>#DIV/0!</v>
      </c>
      <c r="CB158" s="599" t="e">
        <f>ABS($B$33*CA158*3600)</f>
        <v>#DIV/0!</v>
      </c>
      <c r="CC158" s="657" t="e">
        <f>ABS($B$34*CA158*3600)</f>
        <v>#DIV/0!</v>
      </c>
      <c r="CD158" s="600" t="e">
        <f>CC158*$C$79</f>
        <v>#DIV/0!</v>
      </c>
      <c r="CE158" s="599" t="e">
        <f>CC158*$F$70</f>
        <v>#DIV/0!</v>
      </c>
      <c r="CF158" s="600" t="e">
        <f>CC158*$F$75</f>
        <v>#DIV/0!</v>
      </c>
      <c r="CG158" s="599" t="e">
        <f>CC158*$F$72</f>
        <v>#DIV/0!</v>
      </c>
      <c r="CH158" s="658" t="e">
        <f>CC158*$F$71</f>
        <v>#DIV/0!</v>
      </c>
      <c r="CI158" s="664"/>
      <c r="CJ158" s="660"/>
      <c r="CK158" s="661"/>
      <c r="CL158" s="651"/>
      <c r="CM158" s="662"/>
      <c r="CN158" s="663"/>
      <c r="CO158" s="651">
        <f>IF(AND(ABS(CL158)&gt;=$F$42,ABS(CL158)&lt;=$G$42),CL158*$D$42,IF(AND(ABS(CL158)&gt;=$F$43,ABS(CL158)&lt;=$G$43),CL158*$D$43,IF(AND(ABS(CL158)&gt;=$F$44,ABS(CL158)&lt;=$G$44),CL158*$D$44,"rango cal. out")))</f>
        <v>0</v>
      </c>
      <c r="CP158" s="652" t="e">
        <f>((273.2+CI158)*$F$32/((273.2+$F$31)*CK158))</f>
        <v>#DIV/0!</v>
      </c>
      <c r="CQ158" s="653" t="e">
        <f>CO158/CM158*CP158*EXP(-LN(2)/10990*($F$88-CN158))</f>
        <v>#DIV/0!</v>
      </c>
      <c r="CR158" s="599" t="e">
        <f>CQ158-AVERAGE(CY94:CY95)</f>
        <v>#DIV/0!</v>
      </c>
      <c r="CS158" s="599" t="e">
        <f>ABS($B$33*CR158*3600)</f>
        <v>#DIV/0!</v>
      </c>
      <c r="CT158" s="657" t="e">
        <f>ABS($B$34*CR158*3600)</f>
        <v>#DIV/0!</v>
      </c>
      <c r="CU158" s="600" t="e">
        <f>CT158*$C$79</f>
        <v>#DIV/0!</v>
      </c>
      <c r="CV158" s="599" t="e">
        <f>CT158*$F$70</f>
        <v>#DIV/0!</v>
      </c>
      <c r="CW158" s="600" t="e">
        <f>CT158*$F$75</f>
        <v>#DIV/0!</v>
      </c>
      <c r="CX158" s="599" t="e">
        <f>CT158*$F$72</f>
        <v>#DIV/0!</v>
      </c>
      <c r="CY158" s="658" t="e">
        <f>CT158*$F$71</f>
        <v>#DIV/0!</v>
      </c>
      <c r="CZ158" s="664"/>
      <c r="DA158" s="660"/>
      <c r="DB158" s="661"/>
      <c r="DC158" s="651"/>
      <c r="DD158" s="662"/>
      <c r="DE158" s="663"/>
      <c r="DF158" s="651">
        <f>IF(AND(ABS(DC158)&gt;=$F$42,ABS(DC158)&lt;=$G$42),DC158*$D$42,IF(AND(ABS(DC158)&gt;=$F$43,ABS(DC158)&lt;=$G$43),DC158*$D$43,IF(AND(ABS(DC158)&gt;=$F$44,ABS(DC158)&lt;=$G$44),DC158*$D$44,"rango cal. out")))</f>
        <v>0</v>
      </c>
      <c r="DG158" s="652" t="e">
        <f>((273.2+CZ158)*$F$32/((273.2+$F$31)*DB158))</f>
        <v>#DIV/0!</v>
      </c>
      <c r="DH158" s="653" t="e">
        <f>DF158/DD158*DG158*EXP(-LN(2)/10990*($F$88-DE158))</f>
        <v>#DIV/0!</v>
      </c>
      <c r="DI158" s="599" t="e">
        <f>DH158-AVERAGE(DP94:DP95)</f>
        <v>#DIV/0!</v>
      </c>
      <c r="DJ158" s="599" t="e">
        <f>ABS($B$33*DI158*3600)</f>
        <v>#DIV/0!</v>
      </c>
      <c r="DK158" s="657" t="e">
        <f>ABS($B$34*DI158*3600)</f>
        <v>#DIV/0!</v>
      </c>
      <c r="DL158" s="600" t="e">
        <f>DK158*$C$79</f>
        <v>#DIV/0!</v>
      </c>
      <c r="DM158" s="599" t="e">
        <f>DK158*$F$70</f>
        <v>#DIV/0!</v>
      </c>
      <c r="DN158" s="600" t="e">
        <f>DK158*$F$75</f>
        <v>#DIV/0!</v>
      </c>
      <c r="DO158" s="599" t="e">
        <f>DK158*$F$72</f>
        <v>#DIV/0!</v>
      </c>
      <c r="DP158" s="658" t="e">
        <f>DK158*$F$71</f>
        <v>#DIV/0!</v>
      </c>
      <c r="DQ158" s="664"/>
      <c r="DR158" s="660"/>
      <c r="DS158" s="659"/>
      <c r="DT158" s="665"/>
      <c r="DU158" s="662"/>
      <c r="DV158" s="663"/>
      <c r="DW158" s="651">
        <f>IF(AND(ABS(DT158)&gt;=$F$42,ABS(DT158)&lt;=$G$42),DT158*$D$42,IF(AND(ABS(DT158)&gt;=$F$43,ABS(DT158)&lt;=$G$43),DT158*$D$43,IF(AND(ABS(DT158)&gt;=$F$44,ABS(DT158)&lt;=$G$44),DT158*$D$44,"rango cal. out")))</f>
        <v>0</v>
      </c>
      <c r="DX158" s="652" t="e">
        <f>((273.2+DQ158)*$F$32/((273.2+$F$31)*DS158))</f>
        <v>#DIV/0!</v>
      </c>
      <c r="DY158" s="653" t="e">
        <f>DW158/DU158*DX158*EXP(-LN(2)/10990*($F$88-DV158))</f>
        <v>#DIV/0!</v>
      </c>
      <c r="DZ158" s="599" t="e">
        <f>DY158-AVERAGE(EG94:EG95)</f>
        <v>#DIV/0!</v>
      </c>
      <c r="EA158" s="599" t="e">
        <f>ABS($B$33*DZ158*3600)</f>
        <v>#DIV/0!</v>
      </c>
      <c r="EB158" s="657" t="e">
        <f>ABS($B$34*DZ158*3600)</f>
        <v>#DIV/0!</v>
      </c>
      <c r="EC158" s="600" t="e">
        <f>EB158*$C$79</f>
        <v>#DIV/0!</v>
      </c>
      <c r="ED158" s="599" t="e">
        <f>EB158*$F$70</f>
        <v>#DIV/0!</v>
      </c>
      <c r="EE158" s="600" t="e">
        <f>EB158*$F$75</f>
        <v>#DIV/0!</v>
      </c>
      <c r="EF158" s="599" t="e">
        <f>EB158*$F$72</f>
        <v>#DIV/0!</v>
      </c>
      <c r="EG158" s="658" t="e">
        <f>EB158*$F$71</f>
        <v>#DIV/0!</v>
      </c>
      <c r="EH158" s="664"/>
      <c r="EI158" s="660"/>
      <c r="EJ158" s="661"/>
      <c r="EK158" s="651"/>
      <c r="EL158" s="662"/>
      <c r="EM158" s="663"/>
      <c r="EN158" s="651">
        <f>IF(AND(ABS(EK158)&gt;=$F$42,ABS(EK158)&lt;=$G$42),EK158*$D$42,IF(AND(ABS(EK158)&gt;=$F$43,ABS(EK158)&lt;=$G$43),EK158*$D$43,IF(AND(ABS(EK158)&gt;=$F$44,ABS(EK158)&lt;=$G$44),EK158*$D$44,"rango cal. out")))</f>
        <v>0</v>
      </c>
      <c r="EO158" s="652" t="e">
        <f>((273.2+EH158)*$F$32/((273.2+$F$31)*EJ158))</f>
        <v>#DIV/0!</v>
      </c>
      <c r="EP158" s="653" t="e">
        <f>EN158/EL158*EO158*EXP(-LN(2)/10990*($F$88-EM158))</f>
        <v>#DIV/0!</v>
      </c>
      <c r="EQ158" s="599" t="e">
        <f>EP158-AVERAGE(EX94:EX95)</f>
        <v>#DIV/0!</v>
      </c>
      <c r="ER158" s="599" t="e">
        <f>ABS($B$33*EQ158*3600)</f>
        <v>#DIV/0!</v>
      </c>
      <c r="ES158" s="657" t="e">
        <f>ABS($B$34*EQ158*3600)</f>
        <v>#DIV/0!</v>
      </c>
      <c r="ET158" s="600" t="e">
        <f>ES158*$C$79</f>
        <v>#DIV/0!</v>
      </c>
      <c r="EU158" s="599" t="e">
        <f>ES158*$F$70</f>
        <v>#DIV/0!</v>
      </c>
      <c r="EV158" s="600" t="e">
        <f>ES158*$F$75</f>
        <v>#DIV/0!</v>
      </c>
      <c r="EW158" s="599" t="e">
        <f>ES158*$F$72</f>
        <v>#DIV/0!</v>
      </c>
      <c r="EX158" s="658" t="e">
        <f>ES158*$F$71</f>
        <v>#DIV/0!</v>
      </c>
      <c r="EY158" s="664"/>
      <c r="EZ158" s="660"/>
      <c r="FA158" s="661"/>
      <c r="FB158" s="651"/>
      <c r="FC158" s="662"/>
      <c r="FD158" s="663"/>
      <c r="FE158" s="651">
        <f>IF(AND(ABS(FB158)&gt;=$F$42,ABS(FB158)&lt;=$G$42),FB158*$D$42,IF(AND(ABS(FB158)&gt;=$F$43,ABS(FB158)&lt;=$G$43),FB158*$D$43,IF(AND(ABS(FB158)&gt;=$F$44,ABS(FB158)&lt;=$G$44),FB158*$D$44,"rango cal. out")))</f>
        <v>0</v>
      </c>
      <c r="FF158" s="652" t="e">
        <f>((273.2+EY158)*$F$32/((273.2+$F$31)*FA158))</f>
        <v>#DIV/0!</v>
      </c>
      <c r="FG158" s="653" t="e">
        <f>FE158/FC158*FF158*EXP(-LN(2)/10990*($F$88-FD158))</f>
        <v>#DIV/0!</v>
      </c>
      <c r="FH158" s="599" t="e">
        <f>FG158-AVERAGE(FO94:FO95)</f>
        <v>#DIV/0!</v>
      </c>
      <c r="FI158" s="599" t="e">
        <f>ABS($B$33*FH158*3600)</f>
        <v>#DIV/0!</v>
      </c>
      <c r="FJ158" s="657" t="e">
        <f>ABS($B$34*FH158*3600)</f>
        <v>#DIV/0!</v>
      </c>
      <c r="FK158" s="600" t="e">
        <f>FJ158*$C$79</f>
        <v>#DIV/0!</v>
      </c>
      <c r="FL158" s="599" t="e">
        <f>FJ158*$F$70</f>
        <v>#DIV/0!</v>
      </c>
      <c r="FM158" s="600" t="e">
        <f>FJ158*$F$75</f>
        <v>#DIV/0!</v>
      </c>
      <c r="FN158" s="599" t="e">
        <f>FJ158*$F$72</f>
        <v>#DIV/0!</v>
      </c>
      <c r="FO158" s="658" t="e">
        <f>FJ158*$F$71</f>
        <v>#DIV/0!</v>
      </c>
      <c r="FP158" s="664"/>
      <c r="FQ158" s="660"/>
      <c r="FR158" s="661"/>
      <c r="FS158" s="651"/>
      <c r="FT158" s="662"/>
      <c r="FU158" s="663"/>
      <c r="FV158" s="651">
        <f>IF(AND(ABS(FS158)&gt;=$F$42,ABS(FS158)&lt;=$G$42),FS158*$D$42,IF(AND(ABS(FS158)&gt;=$F$43,ABS(FS158)&lt;=$G$43),FS158*$D$43,IF(AND(ABS(FS158)&gt;=$F$44,ABS(FS158)&lt;=$G$44),FS158*$D$44,"rango cal. out")))</f>
        <v>0</v>
      </c>
      <c r="FW158" s="652" t="e">
        <f>((273.2+FP158)*$F$32/((273.2+$F$31)*FR158))</f>
        <v>#DIV/0!</v>
      </c>
      <c r="FX158" s="653" t="e">
        <f>FV158/FT158*FW158*EXP(-LN(2)/10990*($F$88-FU158))</f>
        <v>#DIV/0!</v>
      </c>
      <c r="FY158" s="599" t="e">
        <f>FX158-AVERAGE(GF94:GF95)</f>
        <v>#DIV/0!</v>
      </c>
      <c r="FZ158" s="599" t="e">
        <f>ABS($B$33*FY158*3600)</f>
        <v>#DIV/0!</v>
      </c>
      <c r="GA158" s="657" t="e">
        <f>ABS($B$34*FY158*3600)</f>
        <v>#DIV/0!</v>
      </c>
      <c r="GB158" s="600" t="e">
        <f>GA158*$C$79</f>
        <v>#DIV/0!</v>
      </c>
      <c r="GC158" s="599" t="e">
        <f>GA158*$F$70</f>
        <v>#DIV/0!</v>
      </c>
      <c r="GD158" s="600" t="e">
        <f>GA158*$F$75</f>
        <v>#DIV/0!</v>
      </c>
      <c r="GE158" s="599" t="e">
        <f>GA158*$F$72</f>
        <v>#DIV/0!</v>
      </c>
      <c r="GF158" s="658" t="e">
        <f>GA158*$F$71</f>
        <v>#DIV/0!</v>
      </c>
      <c r="GG158" s="664"/>
      <c r="GH158" s="660"/>
      <c r="GI158" s="659"/>
      <c r="GJ158" s="665"/>
      <c r="GK158" s="662"/>
      <c r="GL158" s="663"/>
      <c r="GM158" s="651">
        <f>IF(AND(ABS(GJ158)&gt;=$F$42,ABS(GJ158)&lt;=$G$42),GJ158*$D$42,IF(AND(ABS(GJ158)&gt;=$F$43,ABS(GJ158)&lt;=$G$43),GJ158*$D$43,IF(AND(ABS(GJ158)&gt;=$F$44,ABS(GJ158)&lt;=$G$44),GJ158*$D$44,"rango cal. out")))</f>
        <v>0</v>
      </c>
      <c r="GN158" s="652" t="e">
        <f>((273.2+GG158)*$F$32/((273.2+$F$31)*GI158))</f>
        <v>#DIV/0!</v>
      </c>
      <c r="GO158" s="653" t="e">
        <f>GM158/GK158*GN158*EXP(-LN(2)/10990*($F$88-GL158))</f>
        <v>#DIV/0!</v>
      </c>
      <c r="GP158" s="599" t="e">
        <f>GO158-AVERAGE(GW94:GW95)</f>
        <v>#DIV/0!</v>
      </c>
      <c r="GQ158" s="599" t="e">
        <f>ABS($B$33*GP158*3600)</f>
        <v>#DIV/0!</v>
      </c>
      <c r="GR158" s="657" t="e">
        <f>ABS($B$34*GP158*3600)</f>
        <v>#DIV/0!</v>
      </c>
      <c r="GS158" s="600" t="e">
        <f>GR158*$C$79</f>
        <v>#DIV/0!</v>
      </c>
      <c r="GT158" s="599" t="e">
        <f>GR158*$F$70</f>
        <v>#DIV/0!</v>
      </c>
      <c r="GU158" s="600" t="e">
        <f>GR158*$F$75</f>
        <v>#DIV/0!</v>
      </c>
      <c r="GV158" s="599" t="e">
        <f>GR158*$F$72</f>
        <v>#DIV/0!</v>
      </c>
      <c r="GW158" s="658" t="e">
        <f>GR158*$F$71</f>
        <v>#DIV/0!</v>
      </c>
      <c r="GX158" s="664"/>
      <c r="GY158" s="660"/>
      <c r="GZ158" s="661"/>
      <c r="HA158" s="651"/>
      <c r="HB158" s="662"/>
      <c r="HC158" s="663"/>
      <c r="HD158" s="651">
        <f>IF(AND(ABS(HA158)&gt;=$F$42,ABS(HA158)&lt;=$G$42),HA158*$D$42,IF(AND(ABS(HA158)&gt;=$F$43,ABS(HA158)&lt;=$G$43),HA158*$D$43,IF(AND(ABS(HA158)&gt;=$F$44,ABS(HA158)&lt;=$G$44),HA158*$D$44,"rango cal. out")))</f>
        <v>0</v>
      </c>
      <c r="HE158" s="652" t="e">
        <f>((273.2+GX158)*$F$32/((273.2+$F$31)*GZ158))</f>
        <v>#DIV/0!</v>
      </c>
      <c r="HF158" s="653" t="e">
        <f>HD158/HB158*HE158*EXP(-LN(2)/10990*($F$88-HC158))</f>
        <v>#DIV/0!</v>
      </c>
      <c r="HG158" s="599" t="e">
        <f>HF158-AVERAGE(HN94:HN95)</f>
        <v>#DIV/0!</v>
      </c>
      <c r="HH158" s="599" t="e">
        <f>ABS($B$33*HG158*3600)</f>
        <v>#DIV/0!</v>
      </c>
      <c r="HI158" s="657" t="e">
        <f>ABS($B$34*HG158*3600)</f>
        <v>#DIV/0!</v>
      </c>
      <c r="HJ158" s="600" t="e">
        <f>HI158*$C$79</f>
        <v>#DIV/0!</v>
      </c>
      <c r="HK158" s="599" t="e">
        <f>HI158*$F$70</f>
        <v>#DIV/0!</v>
      </c>
      <c r="HL158" s="600" t="e">
        <f>HI158*$F$75</f>
        <v>#DIV/0!</v>
      </c>
      <c r="HM158" s="599" t="e">
        <f>HI158*$F$72</f>
        <v>#DIV/0!</v>
      </c>
      <c r="HN158" s="658" t="e">
        <f>HI158*$F$71</f>
        <v>#DIV/0!</v>
      </c>
      <c r="HO158" s="664"/>
      <c r="HP158" s="660"/>
      <c r="HQ158" s="661"/>
      <c r="HR158" s="651"/>
      <c r="HS158" s="662"/>
      <c r="HT158" s="663"/>
      <c r="HU158" s="651">
        <f>IF(AND(ABS(HR158)&gt;=$F$42,ABS(HR158)&lt;=$G$42),HR158*$D$42,IF(AND(ABS(HR158)&gt;=$F$43,ABS(HR158)&lt;=$G$43),HR158*$D$43,IF(AND(ABS(HR158)&gt;=$F$44,ABS(HR158)&lt;=$G$44),HR158*$D$44,"rango cal. out")))</f>
        <v>0</v>
      </c>
      <c r="HV158" s="652" t="e">
        <f>((273.2+HO158)*$F$32/((273.2+$F$31)*HQ158))</f>
        <v>#DIV/0!</v>
      </c>
      <c r="HW158" s="653" t="e">
        <f>HU158/HS158*HV158*EXP(-LN(2)/10990*($F$88-HT158))</f>
        <v>#DIV/0!</v>
      </c>
      <c r="HX158" s="599" t="e">
        <f>HW158-AVERAGE(IE94:IE95)</f>
        <v>#DIV/0!</v>
      </c>
      <c r="HY158" s="599" t="e">
        <f>ABS($B$33*HX158*3600)</f>
        <v>#DIV/0!</v>
      </c>
      <c r="HZ158" s="657" t="e">
        <f>ABS($B$34*HX158*3600)</f>
        <v>#DIV/0!</v>
      </c>
      <c r="IA158" s="600" t="e">
        <f>HZ158*$C$79</f>
        <v>#DIV/0!</v>
      </c>
      <c r="IB158" s="599" t="e">
        <f>HZ158*$F$70</f>
        <v>#DIV/0!</v>
      </c>
      <c r="IC158" s="600" t="e">
        <f>HZ158*$F$75</f>
        <v>#DIV/0!</v>
      </c>
      <c r="ID158" s="599" t="e">
        <f>HZ158*$F$72</f>
        <v>#DIV/0!</v>
      </c>
      <c r="IE158" s="658" t="e">
        <f>HZ158*$F$71</f>
        <v>#DIV/0!</v>
      </c>
      <c r="IF158" s="664"/>
      <c r="IG158" s="660"/>
      <c r="IH158" s="661"/>
      <c r="II158" s="651"/>
      <c r="IJ158" s="662"/>
      <c r="IK158" s="663"/>
      <c r="IL158" s="651">
        <f>IF(AND(ABS(II158)&gt;=$F$42,ABS(II158)&lt;=$G$42),II158*$D$42,IF(AND(ABS(II158)&gt;=$F$43,ABS(II158)&lt;=$G$43),II158*$D$43,IF(AND(ABS(II158)&gt;=$F$44,ABS(II158)&lt;=$G$44),II158*$D$44,"rango cal. out")))</f>
        <v>0</v>
      </c>
      <c r="IM158" s="652" t="e">
        <f>((273.2+IF158)*$F$32/((273.2+$F$31)*IH158))</f>
        <v>#DIV/0!</v>
      </c>
      <c r="IN158" s="653" t="e">
        <f>IL158/IJ158*IM158*EXP(-LN(2)/10990*($F$88-IK158))</f>
        <v>#DIV/0!</v>
      </c>
      <c r="IO158" s="599" t="e">
        <f>IN158-AVERAGE(IV94:IV95)</f>
        <v>#DIV/0!</v>
      </c>
      <c r="IP158" s="599" t="e">
        <f>ABS($B$33*IO158*3600)</f>
        <v>#DIV/0!</v>
      </c>
      <c r="IQ158" s="657" t="e">
        <f>ABS($B$34*IO158*3600)</f>
        <v>#DIV/0!</v>
      </c>
      <c r="IR158" s="600" t="e">
        <f>IQ158*$C$79</f>
        <v>#DIV/0!</v>
      </c>
      <c r="IS158" s="599" t="e">
        <f>IQ158*$F$70</f>
        <v>#DIV/0!</v>
      </c>
      <c r="IT158" s="600" t="e">
        <f>IQ158*$F$75</f>
        <v>#DIV/0!</v>
      </c>
      <c r="IU158" s="599" t="e">
        <f>IQ158*$F$72</f>
        <v>#DIV/0!</v>
      </c>
      <c r="IV158" s="658" t="e">
        <f>IQ158*$F$71</f>
        <v>#DIV/0!</v>
      </c>
      <c r="IW158" s="664"/>
      <c r="IX158" s="660"/>
      <c r="IY158" s="661"/>
      <c r="IZ158" s="651"/>
      <c r="JA158" s="662"/>
      <c r="JB158" s="663"/>
      <c r="JC158" s="651">
        <f>IF(AND(ABS(IZ158)&gt;=$F$42,ABS(IZ158)&lt;=$G$42),IZ158*$D$42,IF(AND(ABS(IZ158)&gt;=$F$43,ABS(IZ158)&lt;=$G$43),IZ158*$D$43,IF(AND(ABS(IZ158)&gt;=$F$44,ABS(IZ158)&lt;=$G$44),IZ158*$D$44,"rango cal. out")))</f>
        <v>0</v>
      </c>
      <c r="JD158" s="652" t="e">
        <f>((273.2+IW158)*$F$32/((273.2+$F$31)*IY158))</f>
        <v>#DIV/0!</v>
      </c>
      <c r="JE158" s="653" t="e">
        <f>JC158/JA158*JD158*EXP(-LN(2)/10990*($F$88-JB158))</f>
        <v>#DIV/0!</v>
      </c>
      <c r="JF158" s="599" t="e">
        <f>JE158-AVERAGE(JM94:JM95)</f>
        <v>#DIV/0!</v>
      </c>
      <c r="JG158" s="599" t="e">
        <f>ABS($B$33*JF158*3600)</f>
        <v>#DIV/0!</v>
      </c>
      <c r="JH158" s="657" t="e">
        <f>ABS($B$34*JF158*3600)</f>
        <v>#DIV/0!</v>
      </c>
      <c r="JI158" s="600" t="e">
        <f>JH158*$C$79</f>
        <v>#DIV/0!</v>
      </c>
      <c r="JJ158" s="599" t="e">
        <f>JH158*$F$70</f>
        <v>#DIV/0!</v>
      </c>
      <c r="JK158" s="600" t="e">
        <f>JH158*$F$75</f>
        <v>#DIV/0!</v>
      </c>
      <c r="JL158" s="599" t="e">
        <f>JH158*$F$72</f>
        <v>#DIV/0!</v>
      </c>
      <c r="JM158" s="658" t="e">
        <f>JH158*$F$71</f>
        <v>#DIV/0!</v>
      </c>
      <c r="JN158" s="664"/>
      <c r="JO158" s="660"/>
      <c r="JP158" s="661"/>
      <c r="JQ158" s="651"/>
      <c r="JR158" s="662"/>
      <c r="JS158" s="663"/>
      <c r="JT158" s="651">
        <f>IF(AND(ABS(JQ158)&gt;=$F$42,ABS(JQ158)&lt;=$G$42),JQ158*$D$42,IF(AND(ABS(JQ158)&gt;=$F$43,ABS(JQ158)&lt;=$G$43),JQ158*$D$43,IF(AND(ABS(JQ158)&gt;=$F$44,ABS(JQ158)&lt;=$G$44),JQ158*$D$44,"rango cal. out")))</f>
        <v>0</v>
      </c>
      <c r="JU158" s="652" t="e">
        <f>((273.2+JN158)*$F$32/((273.2+$F$31)*JP158))</f>
        <v>#DIV/0!</v>
      </c>
      <c r="JV158" s="653" t="e">
        <f>JT158/JR158*JU158*EXP(-LN(2)/10990*($F$88-JS158))</f>
        <v>#DIV/0!</v>
      </c>
      <c r="JW158" s="599" t="e">
        <f>JV158-AVERAGE(KD94:KD95)</f>
        <v>#DIV/0!</v>
      </c>
      <c r="JX158" s="599" t="e">
        <f>ABS($B$33*JW158*3600)</f>
        <v>#DIV/0!</v>
      </c>
      <c r="JY158" s="657" t="e">
        <f>ABS($B$34*JW158*3600)</f>
        <v>#DIV/0!</v>
      </c>
      <c r="JZ158" s="600" t="e">
        <f>JY158*$C$79</f>
        <v>#DIV/0!</v>
      </c>
      <c r="KA158" s="599" t="e">
        <f>JY158*$F$70</f>
        <v>#DIV/0!</v>
      </c>
      <c r="KB158" s="600" t="e">
        <f>JY158*$F$75</f>
        <v>#DIV/0!</v>
      </c>
      <c r="KC158" s="599" t="e">
        <f>JY158*$F$72</f>
        <v>#DIV/0!</v>
      </c>
      <c r="KD158" s="658" t="e">
        <f>JY158*$F$71</f>
        <v>#DIV/0!</v>
      </c>
      <c r="KE158" s="664"/>
      <c r="KF158" s="660"/>
      <c r="KG158" s="661"/>
      <c r="KH158" s="651"/>
      <c r="KI158" s="662"/>
      <c r="KJ158" s="663"/>
      <c r="KK158" s="651">
        <f>IF(AND(ABS(KH158)&gt;=$F$42,ABS(KH158)&lt;=$G$42),KH158*$D$42,IF(AND(ABS(KH158)&gt;=$F$43,ABS(KH158)&lt;=$G$43),KH158*$D$43,IF(AND(ABS(KH158)&gt;=$F$44,ABS(KH158)&lt;=$G$44),KH158*$D$44,"rango cal. out")))</f>
        <v>0</v>
      </c>
      <c r="KL158" s="652" t="e">
        <f>((273.2+KE158)*$F$32/((273.2+$F$31)*KG158))</f>
        <v>#DIV/0!</v>
      </c>
      <c r="KM158" s="653" t="e">
        <f>KK158/KI158*KL158*EXP(-LN(2)/10990*($F$88-KJ158))</f>
        <v>#DIV/0!</v>
      </c>
      <c r="KN158" s="599" t="e">
        <f>KM158-AVERAGE(KU94:KU95)</f>
        <v>#DIV/0!</v>
      </c>
      <c r="KO158" s="599" t="e">
        <f>ABS($B$33*KN158*3600)</f>
        <v>#DIV/0!</v>
      </c>
      <c r="KP158" s="657" t="e">
        <f>ABS($B$34*KN158*3600)</f>
        <v>#DIV/0!</v>
      </c>
      <c r="KQ158" s="600" t="e">
        <f>KP158*$C$79</f>
        <v>#DIV/0!</v>
      </c>
      <c r="KR158" s="599" t="e">
        <f>KP158*$F$70</f>
        <v>#DIV/0!</v>
      </c>
      <c r="KS158" s="600" t="e">
        <f>KP158*$F$75</f>
        <v>#DIV/0!</v>
      </c>
      <c r="KT158" s="599" t="e">
        <f>KP158*$F$72</f>
        <v>#DIV/0!</v>
      </c>
      <c r="KU158" s="658" t="e">
        <f>KP158*$F$71</f>
        <v>#DIV/0!</v>
      </c>
      <c r="KV158" s="664"/>
      <c r="KW158" s="660"/>
      <c r="KX158" s="661"/>
      <c r="KY158" s="651"/>
      <c r="KZ158" s="662"/>
      <c r="LA158" s="663"/>
      <c r="LB158" s="651">
        <f>IF(AND(ABS(KY158)&gt;=$F$42,ABS(KY158)&lt;=$G$42),KY158*$D$42,IF(AND(ABS(KY158)&gt;=$F$43,ABS(KY158)&lt;=$G$43),KY158*$D$43,IF(AND(ABS(KY158)&gt;=$F$44,ABS(KY158)&lt;=$G$44),KY158*$D$44,"rango cal. out")))</f>
        <v>0</v>
      </c>
      <c r="LC158" s="652" t="e">
        <f>((273.2+KV158)*$F$32/((273.2+$F$31)*KX158))</f>
        <v>#DIV/0!</v>
      </c>
      <c r="LD158" s="653" t="e">
        <f>LB158/KZ158*LC158*EXP(-LN(2)/10990*($F$88-LA158))</f>
        <v>#DIV/0!</v>
      </c>
      <c r="LE158" s="599" t="e">
        <f>LD158-AVERAGE(LL94:LL95)</f>
        <v>#DIV/0!</v>
      </c>
      <c r="LF158" s="599" t="e">
        <f>ABS($B$33*LE158*3600)</f>
        <v>#DIV/0!</v>
      </c>
      <c r="LG158" s="657" t="e">
        <f>ABS($B$34*LE158*3600)</f>
        <v>#DIV/0!</v>
      </c>
      <c r="LH158" s="600" t="e">
        <f>LG158*$C$79</f>
        <v>#DIV/0!</v>
      </c>
      <c r="LI158" s="599" t="e">
        <f>LG158*$F$70</f>
        <v>#DIV/0!</v>
      </c>
      <c r="LJ158" s="600" t="e">
        <f>LG158*$F$75</f>
        <v>#DIV/0!</v>
      </c>
      <c r="LK158" s="599" t="e">
        <f>LG158*$F$72</f>
        <v>#DIV/0!</v>
      </c>
      <c r="LL158" s="658" t="e">
        <f>LG158*$F$71</f>
        <v>#DIV/0!</v>
      </c>
      <c r="LM158" s="664"/>
      <c r="LN158" s="660"/>
      <c r="LO158" s="661"/>
      <c r="LP158" s="651"/>
      <c r="LQ158" s="662"/>
      <c r="LR158" s="663"/>
      <c r="LS158" s="651">
        <f>IF(AND(ABS(LP158)&gt;=$F$42,ABS(LP158)&lt;=$G$42),LP158*$D$42,IF(AND(ABS(LP158)&gt;=$F$43,ABS(LP158)&lt;=$G$43),LP158*$D$43,IF(AND(ABS(LP158)&gt;=$F$44,ABS(LP158)&lt;=$G$44),LP158*$D$44,"rango cal. out")))</f>
        <v>0</v>
      </c>
      <c r="LT158" s="652" t="e">
        <f>((273.2+LM158)*$F$32/((273.2+$F$31)*LO158))</f>
        <v>#DIV/0!</v>
      </c>
      <c r="LU158" s="653" t="e">
        <f>LS158/LQ158*LT158*EXP(-LN(2)/10990*($F$88-LR158))</f>
        <v>#DIV/0!</v>
      </c>
      <c r="LV158" s="599" t="e">
        <f>LU158-AVERAGE(MC94:MC95)</f>
        <v>#DIV/0!</v>
      </c>
      <c r="LW158" s="599" t="e">
        <f>ABS($B$33*LV158*3600)</f>
        <v>#DIV/0!</v>
      </c>
      <c r="LX158" s="657" t="e">
        <f>ABS($B$34*LV158*3600)</f>
        <v>#DIV/0!</v>
      </c>
      <c r="LY158" s="600" t="e">
        <f>LX158*$C$79</f>
        <v>#DIV/0!</v>
      </c>
      <c r="LZ158" s="599" t="e">
        <f>LX158*$F$70</f>
        <v>#DIV/0!</v>
      </c>
      <c r="MA158" s="600" t="e">
        <f>LX158*$F$75</f>
        <v>#DIV/0!</v>
      </c>
      <c r="MB158" s="599" t="e">
        <f>LX158*$F$72</f>
        <v>#DIV/0!</v>
      </c>
      <c r="MC158" s="658" t="e">
        <f>LX158*$F$71</f>
        <v>#DIV/0!</v>
      </c>
      <c r="MD158" s="664"/>
      <c r="ME158" s="660"/>
      <c r="MF158" s="661"/>
      <c r="MG158" s="651"/>
      <c r="MH158" s="662"/>
      <c r="MI158" s="663"/>
      <c r="MJ158" s="651">
        <f>IF(AND(ABS(MG158)&gt;=$F$42,ABS(MG158)&lt;=$G$42),MG158*$D$42,IF(AND(ABS(MG158)&gt;=$F$43,ABS(MG158)&lt;=$G$43),MG158*$D$43,IF(AND(ABS(MG158)&gt;=$F$44,ABS(MG158)&lt;=$G$44),MG158*$D$44,"rango cal. out")))</f>
        <v>0</v>
      </c>
      <c r="MK158" s="652" t="e">
        <f>((273.2+MD158)*$F$32/((273.2+$F$31)*MF158))</f>
        <v>#DIV/0!</v>
      </c>
      <c r="ML158" s="653" t="e">
        <f>MJ158/MH158*MK158*EXP(-LN(2)/10990*($F$88-MI158))</f>
        <v>#DIV/0!</v>
      </c>
      <c r="MM158" s="599" t="e">
        <f>ML158-AVERAGE(MT94:MT95)</f>
        <v>#DIV/0!</v>
      </c>
      <c r="MN158" s="599" t="e">
        <f>ABS($B$33*MM158*3600)</f>
        <v>#DIV/0!</v>
      </c>
      <c r="MO158" s="657" t="e">
        <f>ABS($B$34*MM158*3600)</f>
        <v>#DIV/0!</v>
      </c>
      <c r="MP158" s="600" t="e">
        <f>MO158*$C$79</f>
        <v>#DIV/0!</v>
      </c>
      <c r="MQ158" s="599" t="e">
        <f>MO158*$F$70</f>
        <v>#DIV/0!</v>
      </c>
      <c r="MR158" s="600" t="e">
        <f>MO158*$F$75</f>
        <v>#DIV/0!</v>
      </c>
      <c r="MS158" s="599" t="e">
        <f>MO158*$F$72</f>
        <v>#DIV/0!</v>
      </c>
      <c r="MT158" s="658" t="e">
        <f>MO158*$F$71</f>
        <v>#DIV/0!</v>
      </c>
      <c r="MU158" s="664"/>
      <c r="MV158" s="660"/>
      <c r="MW158" s="661"/>
      <c r="MX158" s="651"/>
      <c r="MY158" s="662"/>
      <c r="MZ158" s="663"/>
      <c r="NA158" s="651">
        <f>IF(AND(ABS(MX158)&gt;=$F$42,ABS(MX158)&lt;=$G$42),MX158*$D$42,IF(AND(ABS(MX158)&gt;=$F$43,ABS(MX158)&lt;=$G$43),MX158*$D$43,IF(AND(ABS(MX158)&gt;=$F$44,ABS(MX158)&lt;=$G$44),MX158*$D$44,"rango cal. out")))</f>
        <v>0</v>
      </c>
      <c r="NB158" s="652" t="e">
        <f>((273.2+MU158)*$F$32/((273.2+$F$31)*MW158))</f>
        <v>#DIV/0!</v>
      </c>
      <c r="NC158" s="653" t="e">
        <f>NA158/MY158*NB158*EXP(-LN(2)/10990*($F$88-MZ158))</f>
        <v>#DIV/0!</v>
      </c>
      <c r="ND158" s="599" t="e">
        <f>NC158-AVERAGE(NK94:NK95)</f>
        <v>#DIV/0!</v>
      </c>
      <c r="NE158" s="599" t="e">
        <f>ABS($B$33*ND158*3600)</f>
        <v>#DIV/0!</v>
      </c>
      <c r="NF158" s="657" t="e">
        <f>ABS($B$34*ND158*3600)</f>
        <v>#DIV/0!</v>
      </c>
      <c r="NG158" s="600" t="e">
        <f>NF158*$C$79</f>
        <v>#DIV/0!</v>
      </c>
      <c r="NH158" s="599" t="e">
        <f>NF158*$F$70</f>
        <v>#DIV/0!</v>
      </c>
      <c r="NI158" s="600" t="e">
        <f>NF158*$F$75</f>
        <v>#DIV/0!</v>
      </c>
      <c r="NJ158" s="599" t="e">
        <f>NF158*$F$72</f>
        <v>#DIV/0!</v>
      </c>
      <c r="NK158" s="658" t="e">
        <f>NF158*$F$71</f>
        <v>#DIV/0!</v>
      </c>
      <c r="NL158" s="664"/>
      <c r="NM158" s="660"/>
      <c r="NN158" s="661"/>
      <c r="NO158" s="651"/>
      <c r="NP158" s="662"/>
      <c r="NQ158" s="663"/>
      <c r="NR158" s="651">
        <f>IF(AND(ABS(NO158)&gt;=$F$42,ABS(NO158)&lt;=$G$42),NO158*$D$42,IF(AND(ABS(NO158)&gt;=$F$43,ABS(NO158)&lt;=$G$43),NO158*$D$43,IF(AND(ABS(NO158)&gt;=$F$44,ABS(NO158)&lt;=$G$44),NO158*$D$44,"rango cal. out")))</f>
        <v>0</v>
      </c>
      <c r="NS158" s="652" t="e">
        <f>((273.2+NL158)*$F$32/((273.2+$F$31)*NN158))</f>
        <v>#DIV/0!</v>
      </c>
      <c r="NT158" s="653" t="e">
        <f>NR158/NP158*NS158*EXP(-LN(2)/10990*($F$88-NQ158))</f>
        <v>#DIV/0!</v>
      </c>
      <c r="NU158" s="599" t="e">
        <f>NT158-AVERAGE(OB94:OB95)</f>
        <v>#DIV/0!</v>
      </c>
      <c r="NV158" s="599" t="e">
        <f>ABS($B$33*NU158*3600)</f>
        <v>#DIV/0!</v>
      </c>
      <c r="NW158" s="657" t="e">
        <f>ABS($B$34*NU158*3600)</f>
        <v>#DIV/0!</v>
      </c>
      <c r="NX158" s="600" t="e">
        <f>NW158*$C$79</f>
        <v>#DIV/0!</v>
      </c>
      <c r="NY158" s="599" t="e">
        <f>NW158*$F$70</f>
        <v>#DIV/0!</v>
      </c>
      <c r="NZ158" s="600" t="e">
        <f>NW158*$F$75</f>
        <v>#DIV/0!</v>
      </c>
      <c r="OA158" s="599" t="e">
        <f>NW158*$F$72</f>
        <v>#DIV/0!</v>
      </c>
      <c r="OB158" s="658" t="e">
        <f>NW158*$F$71</f>
        <v>#DIV/0!</v>
      </c>
      <c r="OC158" s="664"/>
      <c r="OD158" s="660"/>
      <c r="OE158" s="661"/>
      <c r="OF158" s="651"/>
      <c r="OG158" s="662"/>
      <c r="OH158" s="663"/>
      <c r="OI158" s="651">
        <f>IF(AND(ABS(OF158)&gt;=$F$42,ABS(OF158)&lt;=$G$42),OF158*$D$42,IF(AND(ABS(OF158)&gt;=$F$43,ABS(OF158)&lt;=$G$43),OF158*$D$43,IF(AND(ABS(OF158)&gt;=$F$44,ABS(OF158)&lt;=$G$44),OF158*$D$44,"rango cal. out")))</f>
        <v>0</v>
      </c>
      <c r="OJ158" s="652" t="e">
        <f>((273.2+OC158)*$F$32/((273.2+$F$31)*OE158))</f>
        <v>#DIV/0!</v>
      </c>
      <c r="OK158" s="653" t="e">
        <f>OI158/OG158*OJ158*EXP(-LN(2)/10990*($F$88-OH158))</f>
        <v>#DIV/0!</v>
      </c>
      <c r="OL158" s="599" t="e">
        <f>OK158-AVERAGE(OS94:OS95)</f>
        <v>#DIV/0!</v>
      </c>
      <c r="OM158" s="599" t="e">
        <f>ABS($B$33*OL158*3600)</f>
        <v>#DIV/0!</v>
      </c>
      <c r="ON158" s="657" t="e">
        <f>ABS($B$34*OL158*3600)</f>
        <v>#DIV/0!</v>
      </c>
      <c r="OO158" s="600" t="e">
        <f>ON158*$C$79</f>
        <v>#DIV/0!</v>
      </c>
      <c r="OP158" s="599" t="e">
        <f>ON158*$F$70</f>
        <v>#DIV/0!</v>
      </c>
      <c r="OQ158" s="600" t="e">
        <f>ON158*$F$75</f>
        <v>#DIV/0!</v>
      </c>
      <c r="OR158" s="599" t="e">
        <f>ON158*$F$72</f>
        <v>#DIV/0!</v>
      </c>
      <c r="OS158" s="658" t="e">
        <f>ON158*$F$71</f>
        <v>#DIV/0!</v>
      </c>
      <c r="OT158" s="664"/>
      <c r="OU158" s="660"/>
      <c r="OV158" s="661"/>
      <c r="OW158" s="651"/>
      <c r="OX158" s="662"/>
      <c r="OY158" s="663"/>
      <c r="OZ158" s="651">
        <f>IF(AND(ABS(OW158)&gt;=$F$42,ABS(OW158)&lt;=$G$42),OW158*$D$42,IF(AND(ABS(OW158)&gt;=$F$43,ABS(OW158)&lt;=$G$43),OW158*$D$43,IF(AND(ABS(OW158)&gt;=$F$44,ABS(OW158)&lt;=$G$44),OW158*$D$44,"rango cal. out")))</f>
        <v>0</v>
      </c>
      <c r="PA158" s="652" t="e">
        <f>((273.2+OT158)*$F$32/((273.2+$F$31)*OV158))</f>
        <v>#DIV/0!</v>
      </c>
      <c r="PB158" s="653" t="e">
        <f>OZ158/OX158*PA158*EXP(-LN(2)/10990*($F$88-OY158))</f>
        <v>#DIV/0!</v>
      </c>
      <c r="PC158" s="599" t="e">
        <f>PB158-AVERAGE(PJ94:PJ95)</f>
        <v>#DIV/0!</v>
      </c>
      <c r="PD158" s="599" t="e">
        <f>ABS($B$33*PC158*3600)</f>
        <v>#DIV/0!</v>
      </c>
      <c r="PE158" s="657" t="e">
        <f>ABS($B$34*PC158*3600)</f>
        <v>#DIV/0!</v>
      </c>
      <c r="PF158" s="600" t="e">
        <f>PE158*$C$79</f>
        <v>#DIV/0!</v>
      </c>
      <c r="PG158" s="599" t="e">
        <f>PE158*$F$70</f>
        <v>#DIV/0!</v>
      </c>
      <c r="PH158" s="600" t="e">
        <f>PE158*$F$75</f>
        <v>#DIV/0!</v>
      </c>
      <c r="PI158" s="599" t="e">
        <f>PE158*$F$72</f>
        <v>#DIV/0!</v>
      </c>
      <c r="PJ158" s="658" t="e">
        <f>PE158*$F$71</f>
        <v>#DIV/0!</v>
      </c>
      <c r="PK158" s="664"/>
      <c r="PL158" s="660"/>
      <c r="PM158" s="661"/>
      <c r="PN158" s="651"/>
      <c r="PO158" s="662"/>
      <c r="PP158" s="663"/>
      <c r="PQ158" s="651">
        <f>IF(AND(ABS(PN158)&gt;=$F$42,ABS(PN158)&lt;=$G$42),PN158*$D$42,IF(AND(ABS(PN158)&gt;=$F$43,ABS(PN158)&lt;=$G$43),PN158*$D$43,IF(AND(ABS(PN158)&gt;=$F$44,ABS(PN158)&lt;=$G$44),PN158*$D$44,"rango cal. out")))</f>
        <v>0</v>
      </c>
      <c r="PR158" s="652" t="e">
        <f>((273.2+PK158)*$F$32/((273.2+$F$31)*PM158))</f>
        <v>#DIV/0!</v>
      </c>
      <c r="PS158" s="653" t="e">
        <f>PQ158/PO158*PR158*EXP(-LN(2)/10990*($F$88-PP158))</f>
        <v>#DIV/0!</v>
      </c>
      <c r="PT158" s="599" t="e">
        <f>PS158-AVERAGE(QA94:QA95)</f>
        <v>#DIV/0!</v>
      </c>
      <c r="PU158" s="599" t="e">
        <f>ABS($B$33*PT158*3600)</f>
        <v>#DIV/0!</v>
      </c>
      <c r="PV158" s="657" t="e">
        <f>ABS($B$34*PT158*3600)</f>
        <v>#DIV/0!</v>
      </c>
      <c r="PW158" s="600" t="e">
        <f>PV158*$C$79</f>
        <v>#DIV/0!</v>
      </c>
      <c r="PX158" s="599" t="e">
        <f>PV158*$F$70</f>
        <v>#DIV/0!</v>
      </c>
      <c r="PY158" s="600" t="e">
        <f>PV158*$F$75</f>
        <v>#DIV/0!</v>
      </c>
      <c r="PZ158" s="599" t="e">
        <f>PV158*$F$72</f>
        <v>#DIV/0!</v>
      </c>
      <c r="QA158" s="658" t="e">
        <f>PV158*$F$71</f>
        <v>#DIV/0!</v>
      </c>
      <c r="QB158" s="664"/>
      <c r="QC158" s="660"/>
      <c r="QD158" s="661"/>
      <c r="QE158" s="651"/>
      <c r="QF158" s="667">
        <v>100</v>
      </c>
      <c r="QG158" s="663"/>
      <c r="QH158" s="651">
        <f>IF(AND(ABS(QE158)&gt;=$F$42,ABS(QE158)&lt;=$G$42),QE158*$D$42,IF(AND(ABS(QE158)&gt;=$F$43,ABS(QE158)&lt;=$G$43),QE158*$D$43,IF(AND(ABS(QE158)&gt;=$F$44,ABS(QE158)&lt;=$G$44),QE158*$D$44,"rango cal. out")))</f>
        <v>0</v>
      </c>
      <c r="QI158" s="652" t="e">
        <f>((273.2+QB158)*$F$32/((273.2+$F$31)*QD158))</f>
        <v>#DIV/0!</v>
      </c>
      <c r="QJ158" s="653" t="e">
        <f>QH158/QF158*QI158*EXP(-LN(2)/10990*($F$88-QG158))</f>
        <v>#DIV/0!</v>
      </c>
      <c r="QK158" s="599" t="e">
        <f>QJ158-AVERAGE(QR94:QR95)</f>
        <v>#DIV/0!</v>
      </c>
      <c r="QL158" s="599" t="e">
        <f>ABS($B$33*QK158*3600)</f>
        <v>#DIV/0!</v>
      </c>
      <c r="QM158" s="657" t="e">
        <f>ABS($B$34*QK158*3600)</f>
        <v>#DIV/0!</v>
      </c>
      <c r="QN158" s="600" t="e">
        <f>QM158*$C$79</f>
        <v>#DIV/0!</v>
      </c>
      <c r="QO158" s="599" t="e">
        <f>QM158*$F$70</f>
        <v>#DIV/0!</v>
      </c>
      <c r="QP158" s="600" t="e">
        <f>QM158*$F$75</f>
        <v>#DIV/0!</v>
      </c>
      <c r="QQ158" s="599" t="e">
        <f>QM158*$F$72</f>
        <v>#DIV/0!</v>
      </c>
      <c r="QR158" s="658" t="e">
        <f>QM158*$F$71</f>
        <v>#DIV/0!</v>
      </c>
      <c r="QS158" s="664"/>
      <c r="QT158" s="660"/>
      <c r="QU158" s="660"/>
      <c r="QV158" s="665"/>
      <c r="QW158" s="667">
        <v>100</v>
      </c>
      <c r="QX158" s="663"/>
      <c r="QY158" s="651">
        <f>IF(AND(ABS(QV158)&gt;=$F$42,ABS(QV158)&lt;=$G$42),QV158*$D$42,IF(AND(ABS(QV158)&gt;=$F$43,ABS(QV158)&lt;=$G$43),QV158*$D$43,IF(AND(ABS(QV158)&gt;=$F$44,ABS(QV158)&lt;=$G$44),QV158*$D$44,"rango cal. out")))</f>
        <v>0</v>
      </c>
      <c r="QZ158" s="652" t="e">
        <f>((273.2+QS158)*$F$32/((273.2+$F$31)*QU158))</f>
        <v>#DIV/0!</v>
      </c>
      <c r="RA158" s="653" t="e">
        <f>QY158/QW158*QZ158*EXP(-LN(2)/10990*($F$88-QX158))</f>
        <v>#DIV/0!</v>
      </c>
      <c r="RB158" s="599" t="e">
        <f>RA158-AVERAGE(RI94:RI95)</f>
        <v>#DIV/0!</v>
      </c>
      <c r="RC158" s="599" t="e">
        <f>ABS($B$33*RB158*3600)</f>
        <v>#DIV/0!</v>
      </c>
      <c r="RD158" s="657" t="e">
        <f>ABS($B$34*RB158*3600)</f>
        <v>#DIV/0!</v>
      </c>
      <c r="RE158" s="600" t="e">
        <f>RD158*$C$79</f>
        <v>#DIV/0!</v>
      </c>
      <c r="RF158" s="599" t="e">
        <f>RD158*$F$70</f>
        <v>#DIV/0!</v>
      </c>
      <c r="RG158" s="600" t="e">
        <f>RD158*$F$75</f>
        <v>#DIV/0!</v>
      </c>
      <c r="RH158" s="599" t="e">
        <f>RD158*$F$72</f>
        <v>#DIV/0!</v>
      </c>
      <c r="RI158" s="658" t="e">
        <f>RD158*$F$71</f>
        <v>#DIV/0!</v>
      </c>
      <c r="RJ158" s="664"/>
      <c r="RK158" s="660"/>
      <c r="RL158" s="661"/>
      <c r="RM158" s="651"/>
      <c r="RN158" s="662"/>
      <c r="RO158" s="663"/>
      <c r="RP158" s="651">
        <f>IF(AND(ABS(RM158)&gt;=$F$42,ABS(RM158)&lt;=$G$42),RM158*$D$42,IF(AND(ABS(RM158)&gt;=$F$43,ABS(RM158)&lt;=$G$43),RM158*$D$43,IF(AND(ABS(RM158)&gt;=$F$44,ABS(RM158)&lt;=$G$44),RM158*$D$44,"rango cal. out")))</f>
        <v>0</v>
      </c>
      <c r="RQ158" s="652" t="e">
        <f>((273.2+RJ158)*$F$32/((273.2+$F$31)*RL158))</f>
        <v>#DIV/0!</v>
      </c>
      <c r="RR158" s="653" t="e">
        <f>RP158/RN158*RQ158*EXP(-LN(2)/10990*($F$88-RO158))</f>
        <v>#DIV/0!</v>
      </c>
      <c r="RS158" s="599" t="e">
        <f>RR158-AVERAGE(RZ94:RZ95)</f>
        <v>#DIV/0!</v>
      </c>
      <c r="RT158" s="599" t="e">
        <f>ABS($B$33*RS158*3600)</f>
        <v>#DIV/0!</v>
      </c>
      <c r="RU158" s="657" t="e">
        <f>ABS($B$34*RS158*3600)</f>
        <v>#DIV/0!</v>
      </c>
      <c r="RV158" s="600" t="e">
        <f>RU158*$C$79</f>
        <v>#DIV/0!</v>
      </c>
      <c r="RW158" s="599" t="e">
        <f>RU158*$F$70</f>
        <v>#DIV/0!</v>
      </c>
      <c r="RX158" s="600" t="e">
        <f>RU158*$F$75</f>
        <v>#DIV/0!</v>
      </c>
      <c r="RY158" s="599" t="e">
        <f>RU158*$F$72</f>
        <v>#DIV/0!</v>
      </c>
      <c r="RZ158" s="658" t="e">
        <f>RU158*$F$71</f>
        <v>#DIV/0!</v>
      </c>
      <c r="SA158" s="664"/>
      <c r="SB158" s="660"/>
      <c r="SC158" s="661"/>
      <c r="SD158" s="651"/>
      <c r="SE158" s="662"/>
      <c r="SF158" s="663"/>
      <c r="SG158" s="651">
        <f>IF(AND(ABS(SD158)&gt;=$F$42,ABS(SD158)&lt;=$G$42),SD158*$D$42,IF(AND(ABS(SD158)&gt;=$F$43,ABS(SD158)&lt;=$G$43),SD158*$D$43,IF(AND(ABS(SD158)&gt;=$F$44,ABS(SD158)&lt;=$G$44),SD158*$D$44,"rango cal. out")))</f>
        <v>0</v>
      </c>
      <c r="SH158" s="652" t="e">
        <f>((273.2+SA158)*$F$32/((273.2+$F$31)*SC158))</f>
        <v>#DIV/0!</v>
      </c>
      <c r="SI158" s="653" t="e">
        <f>SG158/SE158*SH158*EXP(-LN(2)/10990*($F$88-SF158))</f>
        <v>#DIV/0!</v>
      </c>
      <c r="SJ158" s="599" t="e">
        <f>SI158-AVERAGE(SQ94:SQ95)</f>
        <v>#DIV/0!</v>
      </c>
      <c r="SK158" s="599" t="e">
        <f>ABS($B$33*SJ158*3600)</f>
        <v>#DIV/0!</v>
      </c>
      <c r="SL158" s="657" t="e">
        <f>ABS($B$34*SJ158*3600)</f>
        <v>#DIV/0!</v>
      </c>
      <c r="SM158" s="600" t="e">
        <f>SL158*$C$79</f>
        <v>#DIV/0!</v>
      </c>
      <c r="SN158" s="599" t="e">
        <f>SL158*$F$70</f>
        <v>#DIV/0!</v>
      </c>
      <c r="SO158" s="600" t="e">
        <f>SL158*$F$75</f>
        <v>#DIV/0!</v>
      </c>
      <c r="SP158" s="599" t="e">
        <f>SL158*$F$72</f>
        <v>#DIV/0!</v>
      </c>
      <c r="SQ158" s="658" t="e">
        <f>SL158*$F$71</f>
        <v>#DIV/0!</v>
      </c>
      <c r="SR158" s="664"/>
      <c r="SS158" s="660"/>
      <c r="ST158" s="661"/>
      <c r="SU158" s="651"/>
      <c r="SV158" s="662"/>
      <c r="SW158" s="663"/>
      <c r="SX158" s="651">
        <f>IF(AND(ABS(SU158)&gt;=$F$42,ABS(SU158)&lt;=$G$42),SU158*$D$42,IF(AND(ABS(SU158)&gt;=$F$43,ABS(SU158)&lt;=$G$43),SU158*$D$43,IF(AND(ABS(SU158)&gt;=$F$44,ABS(SU158)&lt;=$G$44),SU158*$D$44,"rango cal. out")))</f>
        <v>0</v>
      </c>
      <c r="SY158" s="652" t="e">
        <f>((273.2+SR158)*$F$32/((273.2+$F$31)*ST158))</f>
        <v>#DIV/0!</v>
      </c>
      <c r="SZ158" s="653" t="e">
        <f>SX158/SV158*SY158*EXP(-LN(2)/10990*($F$88-SW158))</f>
        <v>#DIV/0!</v>
      </c>
      <c r="TA158" s="599" t="e">
        <f>SZ158-AVERAGE(TH94:TH95)</f>
        <v>#DIV/0!</v>
      </c>
      <c r="TB158" s="599" t="e">
        <f>ABS($B$33*TA158*3600)</f>
        <v>#DIV/0!</v>
      </c>
      <c r="TC158" s="657" t="e">
        <f>ABS($B$34*TA158*3600)</f>
        <v>#DIV/0!</v>
      </c>
      <c r="TD158" s="600" t="e">
        <f>TC158*$C$79</f>
        <v>#DIV/0!</v>
      </c>
      <c r="TE158" s="599" t="e">
        <f>TC158*$F$70</f>
        <v>#DIV/0!</v>
      </c>
      <c r="TF158" s="600" t="e">
        <f>TC158*$F$75</f>
        <v>#DIV/0!</v>
      </c>
      <c r="TG158" s="599" t="e">
        <f>TC158*$F$72</f>
        <v>#DIV/0!</v>
      </c>
      <c r="TH158" s="657" t="e">
        <f>TC158*$F$71</f>
        <v>#DIV/0!</v>
      </c>
      <c r="TI158" s="654"/>
      <c r="TJ158" s="706"/>
      <c r="TK158" s="707"/>
      <c r="TL158" s="649"/>
      <c r="TM158" s="708"/>
      <c r="TN158" s="656"/>
      <c r="TO158" s="649">
        <f>IF(AND(ABS(TL158)&gt;=$F$42,ABS(TL158)&lt;=$G$42),TL158*$D$42,IF(AND(ABS(TL158)&gt;=$F$43,ABS(TL158)&lt;=$G$43),TL158*$D$43,IF(AND(ABS(TL158)&gt;=$F$44,ABS(TL158)&lt;=$G$44),TL158*$D$44,"rango cal. out")))</f>
        <v>0</v>
      </c>
      <c r="TP158" s="702" t="e">
        <f>((273.2+TI158)*$F$32/((273.2+$F$31)*TK158))</f>
        <v>#DIV/0!</v>
      </c>
      <c r="TQ158" s="1540" t="e">
        <f>TO158/TM158*TP158*EXP(-LN(2)/10990*($F$88-TN158))</f>
        <v>#DIV/0!</v>
      </c>
      <c r="TR158" s="599" t="e">
        <f>TQ158-AVERAGE(TY94:TY95)</f>
        <v>#DIV/0!</v>
      </c>
      <c r="TS158" s="703" t="e">
        <f>ABS($B$33*TR158*3600)</f>
        <v>#DIV/0!</v>
      </c>
      <c r="TT158" s="704" t="e">
        <f>ABS($B$34*TR158*3600)</f>
        <v>#DIV/0!</v>
      </c>
      <c r="TU158" s="612" t="e">
        <f>TT158*$C$79</f>
        <v>#DIV/0!</v>
      </c>
      <c r="TV158" s="703" t="e">
        <f>TT158*$F$70</f>
        <v>#DIV/0!</v>
      </c>
      <c r="TW158" s="612" t="e">
        <f>TT158*$F$75</f>
        <v>#DIV/0!</v>
      </c>
      <c r="TX158" s="703" t="e">
        <f>TT158*$F$72</f>
        <v>#DIV/0!</v>
      </c>
      <c r="TY158" s="705" t="e">
        <f>TT158*$F$71</f>
        <v>#DIV/0!</v>
      </c>
    </row>
    <row r="159" spans="1:545" x14ac:dyDescent="0.25">
      <c r="A159" s="2219"/>
      <c r="B159" s="668"/>
      <c r="C159" s="673"/>
      <c r="D159" s="673"/>
      <c r="E159" s="671"/>
      <c r="F159" s="673"/>
      <c r="G159" s="650"/>
      <c r="H159" s="651"/>
      <c r="I159" s="619"/>
      <c r="J159" s="674"/>
      <c r="K159" s="599"/>
      <c r="L159" s="672"/>
      <c r="M159" s="675"/>
      <c r="N159" s="614"/>
      <c r="O159" s="672"/>
      <c r="P159" s="600"/>
      <c r="Q159" s="672"/>
      <c r="R159" s="676"/>
      <c r="S159" s="677"/>
      <c r="T159" s="669"/>
      <c r="U159" s="670"/>
      <c r="V159" s="671"/>
      <c r="W159" s="678"/>
      <c r="X159" s="650"/>
      <c r="Y159" s="651">
        <f t="shared" ref="Y159:Y162" si="1260">IF(AND(ABS(V159)&gt;=$F$42,ABS(V159)&lt;=$G$42),V159*$D$42,IF(AND(ABS(V159)&gt;=$F$43,ABS(V159)&lt;=$G$43),V159*$D$43,IF(AND(ABS(V159)&gt;=$F$44,ABS(V159)&lt;=$G$44),V159*$D$44,"rango cal. out")))</f>
        <v>0</v>
      </c>
      <c r="Z159" s="619" t="e">
        <f>((273.2+S159)*$F$32/((273.2+$F$31)*U159))</f>
        <v>#DIV/0!</v>
      </c>
      <c r="AA159" s="674" t="e">
        <f>Y159/W159*Z159*EXP(-LN(2)/10990*($F$88-X159))</f>
        <v>#DIV/0!</v>
      </c>
      <c r="AB159" s="599" t="e">
        <f>AA159-AVERAGE(AI94:AI95)</f>
        <v>#DIV/0!</v>
      </c>
      <c r="AC159" s="672" t="e">
        <f>ABS($B$33*AB159*3600)</f>
        <v>#DIV/0!</v>
      </c>
      <c r="AD159" s="675" t="e">
        <f>ABS($B$34*AB159*3600)</f>
        <v>#DIV/0!</v>
      </c>
      <c r="AE159" s="614" t="e">
        <f>AD159*$C$79</f>
        <v>#DIV/0!</v>
      </c>
      <c r="AF159" s="672" t="e">
        <f>AD159*$F$70</f>
        <v>#DIV/0!</v>
      </c>
      <c r="AG159" s="600" t="e">
        <f t="shared" ref="AG159:AG162" si="1261">AD159*$F$75</f>
        <v>#DIV/0!</v>
      </c>
      <c r="AH159" s="672" t="e">
        <f>AD159*$F$72</f>
        <v>#DIV/0!</v>
      </c>
      <c r="AI159" s="676" t="e">
        <f>AD159*$F$71</f>
        <v>#DIV/0!</v>
      </c>
      <c r="AJ159" s="677"/>
      <c r="AK159" s="669"/>
      <c r="AL159" s="670"/>
      <c r="AM159" s="671"/>
      <c r="AN159" s="678"/>
      <c r="AO159" s="650"/>
      <c r="AP159" s="651">
        <f t="shared" ref="AP159:AP162" si="1262">IF(AND(ABS(AM159)&gt;=$F$42,ABS(AM159)&lt;=$G$42),AM159*$D$42,IF(AND(ABS(AM159)&gt;=$F$43,ABS(AM159)&lt;=$G$43),AM159*$D$43,IF(AND(ABS(AM159)&gt;=$F$44,ABS(AM159)&lt;=$G$44),AM159*$D$44,"rango cal. out")))</f>
        <v>0</v>
      </c>
      <c r="AQ159" s="619" t="e">
        <f>((273.2+AJ159)*$F$32/((273.2+$F$31)*AL159))</f>
        <v>#DIV/0!</v>
      </c>
      <c r="AR159" s="674" t="e">
        <f>AP159/AN159*AQ159*EXP(-LN(2)/10990*($F$88-AO159))</f>
        <v>#DIV/0!</v>
      </c>
      <c r="AS159" s="599" t="e">
        <f>AR159-AVERAGE(AZ94:AZ95)</f>
        <v>#DIV/0!</v>
      </c>
      <c r="AT159" s="672" t="e">
        <f>ABS($B$33*AS159*3600)</f>
        <v>#DIV/0!</v>
      </c>
      <c r="AU159" s="675" t="e">
        <f>ABS($B$34*AS159*3600)</f>
        <v>#DIV/0!</v>
      </c>
      <c r="AV159" s="614" t="e">
        <f>AU159*$C$79</f>
        <v>#DIV/0!</v>
      </c>
      <c r="AW159" s="672" t="e">
        <f>AU159*$F$70</f>
        <v>#DIV/0!</v>
      </c>
      <c r="AX159" s="600" t="e">
        <f t="shared" ref="AX159:AX162" si="1263">AU159*$F$75</f>
        <v>#DIV/0!</v>
      </c>
      <c r="AY159" s="672" t="e">
        <f>AU159*$F$72</f>
        <v>#DIV/0!</v>
      </c>
      <c r="AZ159" s="676" t="e">
        <f>AU159*$F$71</f>
        <v>#DIV/0!</v>
      </c>
      <c r="BA159" s="668"/>
      <c r="BB159" s="669"/>
      <c r="BC159" s="670"/>
      <c r="BD159" s="671"/>
      <c r="BE159" s="678"/>
      <c r="BF159" s="650"/>
      <c r="BG159" s="651">
        <f t="shared" ref="BG159:BG162" si="1264">IF(AND(ABS(BD159)&gt;=$F$42,ABS(BD159)&lt;=$G$42),BD159*$D$42,IF(AND(ABS(BD159)&gt;=$F$43,ABS(BD159)&lt;=$G$43),BD159*$D$43,IF(AND(ABS(BD159)&gt;=$F$44,ABS(BD159)&lt;=$G$44),BD159*$D$44,"rango cal. out")))</f>
        <v>0</v>
      </c>
      <c r="BH159" s="619" t="e">
        <f>((273.2+BA159)*$F$32/((273.2+$F$31)*BC159))</f>
        <v>#DIV/0!</v>
      </c>
      <c r="BI159" s="674" t="e">
        <f>BG159/BE159*BH159*EXP(-LN(2)/10990*($F$88-BF159))</f>
        <v>#DIV/0!</v>
      </c>
      <c r="BJ159" s="599" t="e">
        <f>BI159-AVERAGE(BQ94:BQ95)</f>
        <v>#DIV/0!</v>
      </c>
      <c r="BK159" s="672" t="e">
        <f>ABS($B$33*BJ159*3600)</f>
        <v>#DIV/0!</v>
      </c>
      <c r="BL159" s="675" t="e">
        <f>ABS($B$34*BJ159*3600)</f>
        <v>#DIV/0!</v>
      </c>
      <c r="BM159" s="614" t="e">
        <f>BL159*$C$79</f>
        <v>#DIV/0!</v>
      </c>
      <c r="BN159" s="672" t="e">
        <f>BL159*$F$70</f>
        <v>#DIV/0!</v>
      </c>
      <c r="BO159" s="600" t="e">
        <f t="shared" ref="BO159:BO162" si="1265">BL159*$F$75</f>
        <v>#DIV/0!</v>
      </c>
      <c r="BP159" s="672" t="e">
        <f>BL159*$F$72</f>
        <v>#DIV/0!</v>
      </c>
      <c r="BQ159" s="676" t="e">
        <f>BL159*$F$71</f>
        <v>#DIV/0!</v>
      </c>
      <c r="BR159" s="668"/>
      <c r="BS159" s="669"/>
      <c r="BT159" s="670"/>
      <c r="BU159" s="671"/>
      <c r="BV159" s="678"/>
      <c r="BW159" s="650"/>
      <c r="BX159" s="651">
        <f t="shared" ref="BX159:BX162" si="1266">IF(AND(ABS(BU159)&gt;=$F$42,ABS(BU159)&lt;=$G$42),BU159*$D$42,IF(AND(ABS(BU159)&gt;=$F$43,ABS(BU159)&lt;=$G$43),BU159*$D$43,IF(AND(ABS(BU159)&gt;=$F$44,ABS(BU159)&lt;=$G$44),BU159*$D$44,"rango cal. out")))</f>
        <v>0</v>
      </c>
      <c r="BY159" s="619" t="e">
        <f>((273.2+BR159)*$F$32/((273.2+$F$31)*BT159))</f>
        <v>#DIV/0!</v>
      </c>
      <c r="BZ159" s="674" t="e">
        <f>BX159/BV159*BY159*EXP(-LN(2)/10990*($F$88-BW159))</f>
        <v>#DIV/0!</v>
      </c>
      <c r="CA159" s="599" t="e">
        <f>BZ159-AVERAGE(CH94:CH95)</f>
        <v>#DIV/0!</v>
      </c>
      <c r="CB159" s="672" t="e">
        <f>ABS($B$33*CA159*3600)</f>
        <v>#DIV/0!</v>
      </c>
      <c r="CC159" s="675" t="e">
        <f>ABS($B$34*CA159*3600)</f>
        <v>#DIV/0!</v>
      </c>
      <c r="CD159" s="614" t="e">
        <f>CC159*$C$79</f>
        <v>#DIV/0!</v>
      </c>
      <c r="CE159" s="672" t="e">
        <f>CC159*$F$70</f>
        <v>#DIV/0!</v>
      </c>
      <c r="CF159" s="600" t="e">
        <f t="shared" ref="CF159:CF162" si="1267">CC159*$F$75</f>
        <v>#DIV/0!</v>
      </c>
      <c r="CG159" s="672" t="e">
        <f>CC159*$F$72</f>
        <v>#DIV/0!</v>
      </c>
      <c r="CH159" s="676" t="e">
        <f>CC159*$F$71</f>
        <v>#DIV/0!</v>
      </c>
      <c r="CI159" s="668"/>
      <c r="CJ159" s="669"/>
      <c r="CK159" s="670"/>
      <c r="CL159" s="671"/>
      <c r="CM159" s="678"/>
      <c r="CN159" s="650"/>
      <c r="CO159" s="651">
        <f t="shared" ref="CO159:CO162" si="1268">IF(AND(ABS(CL159)&gt;=$F$42,ABS(CL159)&lt;=$G$42),CL159*$D$42,IF(AND(ABS(CL159)&gt;=$F$43,ABS(CL159)&lt;=$G$43),CL159*$D$43,IF(AND(ABS(CL159)&gt;=$F$44,ABS(CL159)&lt;=$G$44),CL159*$D$44,"rango cal. out")))</f>
        <v>0</v>
      </c>
      <c r="CP159" s="619" t="e">
        <f>((273.2+CI159)*$F$32/((273.2+$F$31)*CK159))</f>
        <v>#DIV/0!</v>
      </c>
      <c r="CQ159" s="674" t="e">
        <f>CO159/CM159*CP159*EXP(-LN(2)/10990*($F$88-CN159))</f>
        <v>#DIV/0!</v>
      </c>
      <c r="CR159" s="599" t="e">
        <f>CQ159-AVERAGE(CY94:CY95)</f>
        <v>#DIV/0!</v>
      </c>
      <c r="CS159" s="672" t="e">
        <f>ABS($B$33*CR159*3600)</f>
        <v>#DIV/0!</v>
      </c>
      <c r="CT159" s="675" t="e">
        <f>ABS($B$34*CR159*3600)</f>
        <v>#DIV/0!</v>
      </c>
      <c r="CU159" s="614" t="e">
        <f>CT159*$C$79</f>
        <v>#DIV/0!</v>
      </c>
      <c r="CV159" s="672" t="e">
        <f>CT159*$F$70</f>
        <v>#DIV/0!</v>
      </c>
      <c r="CW159" s="600" t="e">
        <f t="shared" ref="CW159:CW162" si="1269">CT159*$F$75</f>
        <v>#DIV/0!</v>
      </c>
      <c r="CX159" s="672" t="e">
        <f>CT159*$F$72</f>
        <v>#DIV/0!</v>
      </c>
      <c r="CY159" s="676" t="e">
        <f>CT159*$F$71</f>
        <v>#DIV/0!</v>
      </c>
      <c r="CZ159" s="668"/>
      <c r="DA159" s="669"/>
      <c r="DB159" s="670"/>
      <c r="DC159" s="671"/>
      <c r="DD159" s="678"/>
      <c r="DE159" s="650"/>
      <c r="DF159" s="651">
        <f t="shared" ref="DF159:DF162" si="1270">IF(AND(ABS(DC159)&gt;=$F$42,ABS(DC159)&lt;=$G$42),DC159*$D$42,IF(AND(ABS(DC159)&gt;=$F$43,ABS(DC159)&lt;=$G$43),DC159*$D$43,IF(AND(ABS(DC159)&gt;=$F$44,ABS(DC159)&lt;=$G$44),DC159*$D$44,"rango cal. out")))</f>
        <v>0</v>
      </c>
      <c r="DG159" s="619" t="e">
        <f>((273.2+CZ159)*$F$32/((273.2+$F$31)*DB159))</f>
        <v>#DIV/0!</v>
      </c>
      <c r="DH159" s="674" t="e">
        <f>DF159/DD159*DG159*EXP(-LN(2)/10990*($F$88-DE159))</f>
        <v>#DIV/0!</v>
      </c>
      <c r="DI159" s="599" t="e">
        <f>DH159-AVERAGE(DP94:DP95)</f>
        <v>#DIV/0!</v>
      </c>
      <c r="DJ159" s="672" t="e">
        <f>ABS($B$33*DI159*3600)</f>
        <v>#DIV/0!</v>
      </c>
      <c r="DK159" s="675" t="e">
        <f>ABS($B$34*DI159*3600)</f>
        <v>#DIV/0!</v>
      </c>
      <c r="DL159" s="614" t="e">
        <f>DK159*$C$79</f>
        <v>#DIV/0!</v>
      </c>
      <c r="DM159" s="672" t="e">
        <f>DK159*$F$70</f>
        <v>#DIV/0!</v>
      </c>
      <c r="DN159" s="600" t="e">
        <f t="shared" ref="DN159:DN162" si="1271">DK159*$F$75</f>
        <v>#DIV/0!</v>
      </c>
      <c r="DO159" s="672" t="e">
        <f>DK159*$F$72</f>
        <v>#DIV/0!</v>
      </c>
      <c r="DP159" s="676" t="e">
        <f>DK159*$F$71</f>
        <v>#DIV/0!</v>
      </c>
      <c r="DQ159" s="668"/>
      <c r="DR159" s="669"/>
      <c r="DS159" s="677"/>
      <c r="DT159" s="679"/>
      <c r="DU159" s="678"/>
      <c r="DV159" s="650"/>
      <c r="DW159" s="651">
        <f t="shared" ref="DW159:DW162" si="1272">IF(AND(ABS(DT159)&gt;=$F$42,ABS(DT159)&lt;=$G$42),DT159*$D$42,IF(AND(ABS(DT159)&gt;=$F$43,ABS(DT159)&lt;=$G$43),DT159*$D$43,IF(AND(ABS(DT159)&gt;=$F$44,ABS(DT159)&lt;=$G$44),DT159*$D$44,"rango cal. out")))</f>
        <v>0</v>
      </c>
      <c r="DX159" s="619" t="e">
        <f>((273.2+DQ159)*$F$32/((273.2+$F$31)*DS159))</f>
        <v>#DIV/0!</v>
      </c>
      <c r="DY159" s="674" t="e">
        <f>DW159/DU159*DX159*EXP(-LN(2)/10990*($F$88-DV159))</f>
        <v>#DIV/0!</v>
      </c>
      <c r="DZ159" s="599" t="e">
        <f>DY159-AVERAGE(EG94:EG95)</f>
        <v>#DIV/0!</v>
      </c>
      <c r="EA159" s="672" t="e">
        <f>ABS($B$33*DZ159*3600)</f>
        <v>#DIV/0!</v>
      </c>
      <c r="EB159" s="675" t="e">
        <f>ABS($B$34*DZ159*3600)</f>
        <v>#DIV/0!</v>
      </c>
      <c r="EC159" s="614" t="e">
        <f>EB159*$C$79</f>
        <v>#DIV/0!</v>
      </c>
      <c r="ED159" s="672" t="e">
        <f>EB159*$F$70</f>
        <v>#DIV/0!</v>
      </c>
      <c r="EE159" s="600" t="e">
        <f t="shared" ref="EE159:EE162" si="1273">EB159*$F$75</f>
        <v>#DIV/0!</v>
      </c>
      <c r="EF159" s="672" t="e">
        <f>EB159*$F$72</f>
        <v>#DIV/0!</v>
      </c>
      <c r="EG159" s="676" t="e">
        <f>EB159*$F$71</f>
        <v>#DIV/0!</v>
      </c>
      <c r="EH159" s="668"/>
      <c r="EI159" s="669"/>
      <c r="EJ159" s="670"/>
      <c r="EK159" s="671"/>
      <c r="EL159" s="678"/>
      <c r="EM159" s="650"/>
      <c r="EN159" s="651">
        <f t="shared" ref="EN159:EN162" si="1274">IF(AND(ABS(EK159)&gt;=$F$42,ABS(EK159)&lt;=$G$42),EK159*$D$42,IF(AND(ABS(EK159)&gt;=$F$43,ABS(EK159)&lt;=$G$43),EK159*$D$43,IF(AND(ABS(EK159)&gt;=$F$44,ABS(EK159)&lt;=$G$44),EK159*$D$44,"rango cal. out")))</f>
        <v>0</v>
      </c>
      <c r="EO159" s="619" t="e">
        <f>((273.2+EH159)*$F$32/((273.2+$F$31)*EJ159))</f>
        <v>#DIV/0!</v>
      </c>
      <c r="EP159" s="674" t="e">
        <f>EN159/EL159*EO159*EXP(-LN(2)/10990*($F$88-EM159))</f>
        <v>#DIV/0!</v>
      </c>
      <c r="EQ159" s="599" t="e">
        <f>EP159-AVERAGE(EX94:EX95)</f>
        <v>#DIV/0!</v>
      </c>
      <c r="ER159" s="672" t="e">
        <f>ABS($B$33*EQ159*3600)</f>
        <v>#DIV/0!</v>
      </c>
      <c r="ES159" s="675" t="e">
        <f>ABS($B$34*EQ159*3600)</f>
        <v>#DIV/0!</v>
      </c>
      <c r="ET159" s="614" t="e">
        <f>ES159*$C$79</f>
        <v>#DIV/0!</v>
      </c>
      <c r="EU159" s="672" t="e">
        <f>ES159*$F$70</f>
        <v>#DIV/0!</v>
      </c>
      <c r="EV159" s="600" t="e">
        <f t="shared" ref="EV159:EV162" si="1275">ES159*$F$75</f>
        <v>#DIV/0!</v>
      </c>
      <c r="EW159" s="672" t="e">
        <f>ES159*$F$72</f>
        <v>#DIV/0!</v>
      </c>
      <c r="EX159" s="676" t="e">
        <f>ES159*$F$71</f>
        <v>#DIV/0!</v>
      </c>
      <c r="EY159" s="668"/>
      <c r="EZ159" s="669"/>
      <c r="FA159" s="670"/>
      <c r="FB159" s="671"/>
      <c r="FC159" s="678"/>
      <c r="FD159" s="650"/>
      <c r="FE159" s="651">
        <f t="shared" ref="FE159:FE162" si="1276">IF(AND(ABS(FB159)&gt;=$F$42,ABS(FB159)&lt;=$G$42),FB159*$D$42,IF(AND(ABS(FB159)&gt;=$F$43,ABS(FB159)&lt;=$G$43),FB159*$D$43,IF(AND(ABS(FB159)&gt;=$F$44,ABS(FB159)&lt;=$G$44),FB159*$D$44,"rango cal. out")))</f>
        <v>0</v>
      </c>
      <c r="FF159" s="619" t="e">
        <f>((273.2+EY159)*$F$32/((273.2+$F$31)*FA159))</f>
        <v>#DIV/0!</v>
      </c>
      <c r="FG159" s="674" t="e">
        <f>FE159/FC159*FF159*EXP(-LN(2)/10990*($F$88-FD159))</f>
        <v>#DIV/0!</v>
      </c>
      <c r="FH159" s="599" t="e">
        <f>FG159-AVERAGE(FO94:FO95)</f>
        <v>#DIV/0!</v>
      </c>
      <c r="FI159" s="672" t="e">
        <f>ABS($B$33*FH159*3600)</f>
        <v>#DIV/0!</v>
      </c>
      <c r="FJ159" s="675" t="e">
        <f>ABS($B$34*FH159*3600)</f>
        <v>#DIV/0!</v>
      </c>
      <c r="FK159" s="614" t="e">
        <f>FJ159*$C$79</f>
        <v>#DIV/0!</v>
      </c>
      <c r="FL159" s="672" t="e">
        <f>FJ159*$F$70</f>
        <v>#DIV/0!</v>
      </c>
      <c r="FM159" s="600" t="e">
        <f t="shared" ref="FM159:FM162" si="1277">FJ159*$F$75</f>
        <v>#DIV/0!</v>
      </c>
      <c r="FN159" s="672" t="e">
        <f>FJ159*$F$72</f>
        <v>#DIV/0!</v>
      </c>
      <c r="FO159" s="676" t="e">
        <f>FJ159*$F$71</f>
        <v>#DIV/0!</v>
      </c>
      <c r="FP159" s="668"/>
      <c r="FQ159" s="669"/>
      <c r="FR159" s="670"/>
      <c r="FS159" s="671"/>
      <c r="FT159" s="678"/>
      <c r="FU159" s="650"/>
      <c r="FV159" s="651">
        <f t="shared" ref="FV159:FV162" si="1278">IF(AND(ABS(FS159)&gt;=$F$42,ABS(FS159)&lt;=$G$42),FS159*$D$42,IF(AND(ABS(FS159)&gt;=$F$43,ABS(FS159)&lt;=$G$43),FS159*$D$43,IF(AND(ABS(FS159)&gt;=$F$44,ABS(FS159)&lt;=$G$44),FS159*$D$44,"rango cal. out")))</f>
        <v>0</v>
      </c>
      <c r="FW159" s="619" t="e">
        <f>((273.2+FP159)*$F$32/((273.2+$F$31)*FR159))</f>
        <v>#DIV/0!</v>
      </c>
      <c r="FX159" s="674" t="e">
        <f>FV159/FT159*FW159*EXP(-LN(2)/10990*($F$88-FU159))</f>
        <v>#DIV/0!</v>
      </c>
      <c r="FY159" s="599" t="e">
        <f>FX159-AVERAGE(GF94:GF95)</f>
        <v>#DIV/0!</v>
      </c>
      <c r="FZ159" s="672" t="e">
        <f>ABS($B$33*FY159*3600)</f>
        <v>#DIV/0!</v>
      </c>
      <c r="GA159" s="675" t="e">
        <f>ABS($B$34*FY159*3600)</f>
        <v>#DIV/0!</v>
      </c>
      <c r="GB159" s="614" t="e">
        <f>GA159*$C$79</f>
        <v>#DIV/0!</v>
      </c>
      <c r="GC159" s="672" t="e">
        <f>GA159*$F$70</f>
        <v>#DIV/0!</v>
      </c>
      <c r="GD159" s="600" t="e">
        <f t="shared" ref="GD159:GD162" si="1279">GA159*$F$75</f>
        <v>#DIV/0!</v>
      </c>
      <c r="GE159" s="672" t="e">
        <f>GA159*$F$72</f>
        <v>#DIV/0!</v>
      </c>
      <c r="GF159" s="676" t="e">
        <f>GA159*$F$71</f>
        <v>#DIV/0!</v>
      </c>
      <c r="GG159" s="668"/>
      <c r="GH159" s="669"/>
      <c r="GI159" s="677"/>
      <c r="GJ159" s="679"/>
      <c r="GK159" s="678"/>
      <c r="GL159" s="650"/>
      <c r="GM159" s="651">
        <f t="shared" ref="GM159:GM162" si="1280">IF(AND(ABS(GJ159)&gt;=$F$42,ABS(GJ159)&lt;=$G$42),GJ159*$D$42,IF(AND(ABS(GJ159)&gt;=$F$43,ABS(GJ159)&lt;=$G$43),GJ159*$D$43,IF(AND(ABS(GJ159)&gt;=$F$44,ABS(GJ159)&lt;=$G$44),GJ159*$D$44,"rango cal. out")))</f>
        <v>0</v>
      </c>
      <c r="GN159" s="619" t="e">
        <f>((273.2+GG159)*$F$32/((273.2+$F$31)*GI159))</f>
        <v>#DIV/0!</v>
      </c>
      <c r="GO159" s="674" t="e">
        <f>GM159/GK159*GN159*EXP(-LN(2)/10990*($F$88-GL159))</f>
        <v>#DIV/0!</v>
      </c>
      <c r="GP159" s="599" t="e">
        <f>GO159-AVERAGE(GW94:GW95)</f>
        <v>#DIV/0!</v>
      </c>
      <c r="GQ159" s="672" t="e">
        <f>ABS($B$33*GP159*3600)</f>
        <v>#DIV/0!</v>
      </c>
      <c r="GR159" s="675" t="e">
        <f>ABS($B$34*GP159*3600)</f>
        <v>#DIV/0!</v>
      </c>
      <c r="GS159" s="614" t="e">
        <f>GR159*$C$79</f>
        <v>#DIV/0!</v>
      </c>
      <c r="GT159" s="672" t="e">
        <f>GR159*$F$70</f>
        <v>#DIV/0!</v>
      </c>
      <c r="GU159" s="600" t="e">
        <f t="shared" ref="GU159:GU162" si="1281">GR159*$F$75</f>
        <v>#DIV/0!</v>
      </c>
      <c r="GV159" s="672" t="e">
        <f>GR159*$F$72</f>
        <v>#DIV/0!</v>
      </c>
      <c r="GW159" s="676" t="e">
        <f>GR159*$F$71</f>
        <v>#DIV/0!</v>
      </c>
      <c r="GX159" s="668"/>
      <c r="GY159" s="669"/>
      <c r="GZ159" s="670"/>
      <c r="HA159" s="671"/>
      <c r="HB159" s="678"/>
      <c r="HC159" s="650"/>
      <c r="HD159" s="651">
        <f t="shared" ref="HD159:HD162" si="1282">IF(AND(ABS(HA159)&gt;=$F$42,ABS(HA159)&lt;=$G$42),HA159*$D$42,IF(AND(ABS(HA159)&gt;=$F$43,ABS(HA159)&lt;=$G$43),HA159*$D$43,IF(AND(ABS(HA159)&gt;=$F$44,ABS(HA159)&lt;=$G$44),HA159*$D$44,"rango cal. out")))</f>
        <v>0</v>
      </c>
      <c r="HE159" s="619" t="e">
        <f>((273.2+GX159)*$F$32/((273.2+$F$31)*GZ159))</f>
        <v>#DIV/0!</v>
      </c>
      <c r="HF159" s="674" t="e">
        <f>HD159/HB159*HE159*EXP(-LN(2)/10990*($F$88-HC159))</f>
        <v>#DIV/0!</v>
      </c>
      <c r="HG159" s="599" t="e">
        <f>HF159-AVERAGE(HN94:HN95)</f>
        <v>#DIV/0!</v>
      </c>
      <c r="HH159" s="672" t="e">
        <f>ABS($B$33*HG159*3600)</f>
        <v>#DIV/0!</v>
      </c>
      <c r="HI159" s="675" t="e">
        <f>ABS($B$34*HG159*3600)</f>
        <v>#DIV/0!</v>
      </c>
      <c r="HJ159" s="614" t="e">
        <f>HI159*$C$79</f>
        <v>#DIV/0!</v>
      </c>
      <c r="HK159" s="672" t="e">
        <f>HI159*$F$70</f>
        <v>#DIV/0!</v>
      </c>
      <c r="HL159" s="600" t="e">
        <f t="shared" ref="HL159:HL162" si="1283">HI159*$F$75</f>
        <v>#DIV/0!</v>
      </c>
      <c r="HM159" s="672" t="e">
        <f>HI159*$F$72</f>
        <v>#DIV/0!</v>
      </c>
      <c r="HN159" s="676" t="e">
        <f>HI159*$F$71</f>
        <v>#DIV/0!</v>
      </c>
      <c r="HO159" s="668"/>
      <c r="HP159" s="669"/>
      <c r="HQ159" s="670"/>
      <c r="HR159" s="671"/>
      <c r="HS159" s="678"/>
      <c r="HT159" s="650"/>
      <c r="HU159" s="651">
        <f t="shared" ref="HU159:HU162" si="1284">IF(AND(ABS(HR159)&gt;=$F$42,ABS(HR159)&lt;=$G$42),HR159*$D$42,IF(AND(ABS(HR159)&gt;=$F$43,ABS(HR159)&lt;=$G$43),HR159*$D$43,IF(AND(ABS(HR159)&gt;=$F$44,ABS(HR159)&lt;=$G$44),HR159*$D$44,"rango cal. out")))</f>
        <v>0</v>
      </c>
      <c r="HV159" s="619" t="e">
        <f>((273.2+HO159)*$F$32/((273.2+$F$31)*HQ159))</f>
        <v>#DIV/0!</v>
      </c>
      <c r="HW159" s="674" t="e">
        <f>HU159/HS159*HV159*EXP(-LN(2)/10990*($F$88-HT159))</f>
        <v>#DIV/0!</v>
      </c>
      <c r="HX159" s="599" t="e">
        <f>HW159-AVERAGE(IE94:IE95)</f>
        <v>#DIV/0!</v>
      </c>
      <c r="HY159" s="672" t="e">
        <f>ABS($B$33*HX159*3600)</f>
        <v>#DIV/0!</v>
      </c>
      <c r="HZ159" s="675" t="e">
        <f>ABS($B$34*HX159*3600)</f>
        <v>#DIV/0!</v>
      </c>
      <c r="IA159" s="614" t="e">
        <f>HZ159*$C$79</f>
        <v>#DIV/0!</v>
      </c>
      <c r="IB159" s="672" t="e">
        <f>HZ159*$F$70</f>
        <v>#DIV/0!</v>
      </c>
      <c r="IC159" s="600" t="e">
        <f t="shared" ref="IC159:IC162" si="1285">HZ159*$F$75</f>
        <v>#DIV/0!</v>
      </c>
      <c r="ID159" s="672" t="e">
        <f>HZ159*$F$72</f>
        <v>#DIV/0!</v>
      </c>
      <c r="IE159" s="676" t="e">
        <f>HZ159*$F$71</f>
        <v>#DIV/0!</v>
      </c>
      <c r="IF159" s="668"/>
      <c r="IG159" s="669"/>
      <c r="IH159" s="670"/>
      <c r="II159" s="671"/>
      <c r="IJ159" s="678"/>
      <c r="IK159" s="650"/>
      <c r="IL159" s="651">
        <f t="shared" ref="IL159:IL162" si="1286">IF(AND(ABS(II159)&gt;=$F$42,ABS(II159)&lt;=$G$42),II159*$D$42,IF(AND(ABS(II159)&gt;=$F$43,ABS(II159)&lt;=$G$43),II159*$D$43,IF(AND(ABS(II159)&gt;=$F$44,ABS(II159)&lt;=$G$44),II159*$D$44,"rango cal. out")))</f>
        <v>0</v>
      </c>
      <c r="IM159" s="619" t="e">
        <f>((273.2+IF159)*$F$32/((273.2+$F$31)*IH159))</f>
        <v>#DIV/0!</v>
      </c>
      <c r="IN159" s="674" t="e">
        <f>IL159/IJ159*IM159*EXP(-LN(2)/10990*($F$88-IK159))</f>
        <v>#DIV/0!</v>
      </c>
      <c r="IO159" s="599" t="e">
        <f>IN159-AVERAGE(IV94:IV95)</f>
        <v>#DIV/0!</v>
      </c>
      <c r="IP159" s="672" t="e">
        <f>ABS($B$33*IO159*3600)</f>
        <v>#DIV/0!</v>
      </c>
      <c r="IQ159" s="675" t="e">
        <f>ABS($B$34*IO159*3600)</f>
        <v>#DIV/0!</v>
      </c>
      <c r="IR159" s="614" t="e">
        <f>IQ159*$C$79</f>
        <v>#DIV/0!</v>
      </c>
      <c r="IS159" s="672" t="e">
        <f>IQ159*$F$70</f>
        <v>#DIV/0!</v>
      </c>
      <c r="IT159" s="600" t="e">
        <f t="shared" ref="IT159:IT162" si="1287">IQ159*$F$75</f>
        <v>#DIV/0!</v>
      </c>
      <c r="IU159" s="672" t="e">
        <f>IQ159*$F$72</f>
        <v>#DIV/0!</v>
      </c>
      <c r="IV159" s="676" t="e">
        <f>IQ159*$F$71</f>
        <v>#DIV/0!</v>
      </c>
      <c r="IW159" s="668"/>
      <c r="IX159" s="669"/>
      <c r="IY159" s="670"/>
      <c r="IZ159" s="671"/>
      <c r="JA159" s="678"/>
      <c r="JB159" s="650"/>
      <c r="JC159" s="651">
        <f t="shared" ref="JC159:JC162" si="1288">IF(AND(ABS(IZ159)&gt;=$F$42,ABS(IZ159)&lt;=$G$42),IZ159*$D$42,IF(AND(ABS(IZ159)&gt;=$F$43,ABS(IZ159)&lt;=$G$43),IZ159*$D$43,IF(AND(ABS(IZ159)&gt;=$F$44,ABS(IZ159)&lt;=$G$44),IZ159*$D$44,"rango cal. out")))</f>
        <v>0</v>
      </c>
      <c r="JD159" s="619" t="e">
        <f>((273.2+IW159)*$F$32/((273.2+$F$31)*IY159))</f>
        <v>#DIV/0!</v>
      </c>
      <c r="JE159" s="674" t="e">
        <f>JC159/JA159*JD159*EXP(-LN(2)/10990*($F$88-JB159))</f>
        <v>#DIV/0!</v>
      </c>
      <c r="JF159" s="599" t="e">
        <f>JE159-AVERAGE(JM94:JM95)</f>
        <v>#DIV/0!</v>
      </c>
      <c r="JG159" s="672" t="e">
        <f>ABS($B$33*JF159*3600)</f>
        <v>#DIV/0!</v>
      </c>
      <c r="JH159" s="675" t="e">
        <f>ABS($B$34*JF159*3600)</f>
        <v>#DIV/0!</v>
      </c>
      <c r="JI159" s="614" t="e">
        <f>JH159*$C$79</f>
        <v>#DIV/0!</v>
      </c>
      <c r="JJ159" s="672" t="e">
        <f>JH159*$F$70</f>
        <v>#DIV/0!</v>
      </c>
      <c r="JK159" s="600" t="e">
        <f t="shared" ref="JK159:JK162" si="1289">JH159*$F$75</f>
        <v>#DIV/0!</v>
      </c>
      <c r="JL159" s="672" t="e">
        <f>JH159*$F$72</f>
        <v>#DIV/0!</v>
      </c>
      <c r="JM159" s="676" t="e">
        <f>JH159*$F$71</f>
        <v>#DIV/0!</v>
      </c>
      <c r="JN159" s="668"/>
      <c r="JO159" s="669"/>
      <c r="JP159" s="670"/>
      <c r="JQ159" s="671"/>
      <c r="JR159" s="678"/>
      <c r="JS159" s="650"/>
      <c r="JT159" s="651">
        <f t="shared" ref="JT159:JT162" si="1290">IF(AND(ABS(JQ159)&gt;=$F$42,ABS(JQ159)&lt;=$G$42),JQ159*$D$42,IF(AND(ABS(JQ159)&gt;=$F$43,ABS(JQ159)&lt;=$G$43),JQ159*$D$43,IF(AND(ABS(JQ159)&gt;=$F$44,ABS(JQ159)&lt;=$G$44),JQ159*$D$44,"rango cal. out")))</f>
        <v>0</v>
      </c>
      <c r="JU159" s="619" t="e">
        <f>((273.2+JN159)*$F$32/((273.2+$F$31)*JP159))</f>
        <v>#DIV/0!</v>
      </c>
      <c r="JV159" s="674" t="e">
        <f>JT159/JR159*JU159*EXP(-LN(2)/10990*($F$88-JS159))</f>
        <v>#DIV/0!</v>
      </c>
      <c r="JW159" s="599" t="e">
        <f>JV159-AVERAGE(KD94:KD95)</f>
        <v>#DIV/0!</v>
      </c>
      <c r="JX159" s="672" t="e">
        <f>ABS($B$33*JW159*3600)</f>
        <v>#DIV/0!</v>
      </c>
      <c r="JY159" s="675" t="e">
        <f>ABS($B$34*JW159*3600)</f>
        <v>#DIV/0!</v>
      </c>
      <c r="JZ159" s="614" t="e">
        <f>JY159*$C$79</f>
        <v>#DIV/0!</v>
      </c>
      <c r="KA159" s="672" t="e">
        <f>JY159*$F$70</f>
        <v>#DIV/0!</v>
      </c>
      <c r="KB159" s="600" t="e">
        <f t="shared" ref="KB159:KB162" si="1291">JY159*$F$75</f>
        <v>#DIV/0!</v>
      </c>
      <c r="KC159" s="672" t="e">
        <f>JY159*$F$72</f>
        <v>#DIV/0!</v>
      </c>
      <c r="KD159" s="676" t="e">
        <f>JY159*$F$71</f>
        <v>#DIV/0!</v>
      </c>
      <c r="KE159" s="668"/>
      <c r="KF159" s="669"/>
      <c r="KG159" s="670"/>
      <c r="KH159" s="671"/>
      <c r="KI159" s="678"/>
      <c r="KJ159" s="650"/>
      <c r="KK159" s="651">
        <f t="shared" ref="KK159:KK162" si="1292">IF(AND(ABS(KH159)&gt;=$F$42,ABS(KH159)&lt;=$G$42),KH159*$D$42,IF(AND(ABS(KH159)&gt;=$F$43,ABS(KH159)&lt;=$G$43),KH159*$D$43,IF(AND(ABS(KH159)&gt;=$F$44,ABS(KH159)&lt;=$G$44),KH159*$D$44,"rango cal. out")))</f>
        <v>0</v>
      </c>
      <c r="KL159" s="619" t="e">
        <f>((273.2+KE159)*$F$32/((273.2+$F$31)*KG159))</f>
        <v>#DIV/0!</v>
      </c>
      <c r="KM159" s="674" t="e">
        <f>KK159/KI159*KL159*EXP(-LN(2)/10990*($F$88-KJ159))</f>
        <v>#DIV/0!</v>
      </c>
      <c r="KN159" s="599" t="e">
        <f>KM159-AVERAGE(KU94:KU95)</f>
        <v>#DIV/0!</v>
      </c>
      <c r="KO159" s="672" t="e">
        <f>ABS($B$33*KN159*3600)</f>
        <v>#DIV/0!</v>
      </c>
      <c r="KP159" s="675" t="e">
        <f>ABS($B$34*KN159*3600)</f>
        <v>#DIV/0!</v>
      </c>
      <c r="KQ159" s="614" t="e">
        <f>KP159*$C$79</f>
        <v>#DIV/0!</v>
      </c>
      <c r="KR159" s="672" t="e">
        <f>KP159*$F$70</f>
        <v>#DIV/0!</v>
      </c>
      <c r="KS159" s="600" t="e">
        <f t="shared" ref="KS159:KS162" si="1293">KP159*$F$75</f>
        <v>#DIV/0!</v>
      </c>
      <c r="KT159" s="672" t="e">
        <f>KP159*$F$72</f>
        <v>#DIV/0!</v>
      </c>
      <c r="KU159" s="676" t="e">
        <f>KP159*$F$71</f>
        <v>#DIV/0!</v>
      </c>
      <c r="KV159" s="668"/>
      <c r="KW159" s="669"/>
      <c r="KX159" s="670"/>
      <c r="KY159" s="671"/>
      <c r="KZ159" s="678"/>
      <c r="LA159" s="650"/>
      <c r="LB159" s="651">
        <f t="shared" ref="LB159:LB162" si="1294">IF(AND(ABS(KY159)&gt;=$F$42,ABS(KY159)&lt;=$G$42),KY159*$D$42,IF(AND(ABS(KY159)&gt;=$F$43,ABS(KY159)&lt;=$G$43),KY159*$D$43,IF(AND(ABS(KY159)&gt;=$F$44,ABS(KY159)&lt;=$G$44),KY159*$D$44,"rango cal. out")))</f>
        <v>0</v>
      </c>
      <c r="LC159" s="619" t="e">
        <f>((273.2+KV159)*$F$32/((273.2+$F$31)*KX159))</f>
        <v>#DIV/0!</v>
      </c>
      <c r="LD159" s="674" t="e">
        <f>LB159/KZ159*LC159*EXP(-LN(2)/10990*($F$88-LA159))</f>
        <v>#DIV/0!</v>
      </c>
      <c r="LE159" s="599" t="e">
        <f>LD159-AVERAGE(LL94:LL95)</f>
        <v>#DIV/0!</v>
      </c>
      <c r="LF159" s="672" t="e">
        <f>ABS($B$33*LE159*3600)</f>
        <v>#DIV/0!</v>
      </c>
      <c r="LG159" s="675" t="e">
        <f>ABS($B$34*LE159*3600)</f>
        <v>#DIV/0!</v>
      </c>
      <c r="LH159" s="614" t="e">
        <f>LG159*$C$79</f>
        <v>#DIV/0!</v>
      </c>
      <c r="LI159" s="672" t="e">
        <f>LG159*$F$70</f>
        <v>#DIV/0!</v>
      </c>
      <c r="LJ159" s="600" t="e">
        <f t="shared" ref="LJ159:LJ162" si="1295">LG159*$F$75</f>
        <v>#DIV/0!</v>
      </c>
      <c r="LK159" s="672" t="e">
        <f>LG159*$F$72</f>
        <v>#DIV/0!</v>
      </c>
      <c r="LL159" s="676" t="e">
        <f>LG159*$F$71</f>
        <v>#DIV/0!</v>
      </c>
      <c r="LM159" s="668"/>
      <c r="LN159" s="669"/>
      <c r="LO159" s="670"/>
      <c r="LP159" s="671"/>
      <c r="LQ159" s="678"/>
      <c r="LR159" s="650"/>
      <c r="LS159" s="651">
        <f t="shared" ref="LS159:LS162" si="1296">IF(AND(ABS(LP159)&gt;=$F$42,ABS(LP159)&lt;=$G$42),LP159*$D$42,IF(AND(ABS(LP159)&gt;=$F$43,ABS(LP159)&lt;=$G$43),LP159*$D$43,IF(AND(ABS(LP159)&gt;=$F$44,ABS(LP159)&lt;=$G$44),LP159*$D$44,"rango cal. out")))</f>
        <v>0</v>
      </c>
      <c r="LT159" s="619" t="e">
        <f>((273.2+LM159)*$F$32/((273.2+$F$31)*LO159))</f>
        <v>#DIV/0!</v>
      </c>
      <c r="LU159" s="674" t="e">
        <f>LS159/LQ159*LT159*EXP(-LN(2)/10990*($F$88-LR159))</f>
        <v>#DIV/0!</v>
      </c>
      <c r="LV159" s="599" t="e">
        <f>LU159-AVERAGE(MC94:MC95)</f>
        <v>#DIV/0!</v>
      </c>
      <c r="LW159" s="672" t="e">
        <f>ABS($B$33*LV159*3600)</f>
        <v>#DIV/0!</v>
      </c>
      <c r="LX159" s="675" t="e">
        <f>ABS($B$34*LV159*3600)</f>
        <v>#DIV/0!</v>
      </c>
      <c r="LY159" s="614" t="e">
        <f>LX159*$C$79</f>
        <v>#DIV/0!</v>
      </c>
      <c r="LZ159" s="672" t="e">
        <f>LX159*$F$70</f>
        <v>#DIV/0!</v>
      </c>
      <c r="MA159" s="600" t="e">
        <f t="shared" ref="MA159:MA162" si="1297">LX159*$F$75</f>
        <v>#DIV/0!</v>
      </c>
      <c r="MB159" s="672" t="e">
        <f>LX159*$F$72</f>
        <v>#DIV/0!</v>
      </c>
      <c r="MC159" s="676" t="e">
        <f>LX159*$F$71</f>
        <v>#DIV/0!</v>
      </c>
      <c r="MD159" s="668"/>
      <c r="ME159" s="669"/>
      <c r="MF159" s="670"/>
      <c r="MG159" s="671"/>
      <c r="MH159" s="678"/>
      <c r="MI159" s="650"/>
      <c r="MJ159" s="651">
        <f t="shared" ref="MJ159:MJ162" si="1298">IF(AND(ABS(MG159)&gt;=$F$42,ABS(MG159)&lt;=$G$42),MG159*$D$42,IF(AND(ABS(MG159)&gt;=$F$43,ABS(MG159)&lt;=$G$43),MG159*$D$43,IF(AND(ABS(MG159)&gt;=$F$44,ABS(MG159)&lt;=$G$44),MG159*$D$44,"rango cal. out")))</f>
        <v>0</v>
      </c>
      <c r="MK159" s="619" t="e">
        <f>((273.2+MD159)*$F$32/((273.2+$F$31)*MF159))</f>
        <v>#DIV/0!</v>
      </c>
      <c r="ML159" s="674" t="e">
        <f>MJ159/MH159*MK159*EXP(-LN(2)/10990*($F$88-MI159))</f>
        <v>#DIV/0!</v>
      </c>
      <c r="MM159" s="599" t="e">
        <f>ML159-AVERAGE(MT94:MT95)</f>
        <v>#DIV/0!</v>
      </c>
      <c r="MN159" s="672" t="e">
        <f>ABS($B$33*MM159*3600)</f>
        <v>#DIV/0!</v>
      </c>
      <c r="MO159" s="675" t="e">
        <f>ABS($B$34*MM159*3600)</f>
        <v>#DIV/0!</v>
      </c>
      <c r="MP159" s="614" t="e">
        <f>MO159*$C$79</f>
        <v>#DIV/0!</v>
      </c>
      <c r="MQ159" s="672" t="e">
        <f>MO159*$F$70</f>
        <v>#DIV/0!</v>
      </c>
      <c r="MR159" s="600" t="e">
        <f t="shared" ref="MR159:MR162" si="1299">MO159*$F$75</f>
        <v>#DIV/0!</v>
      </c>
      <c r="MS159" s="672" t="e">
        <f>MO159*$F$72</f>
        <v>#DIV/0!</v>
      </c>
      <c r="MT159" s="676" t="e">
        <f>MO159*$F$71</f>
        <v>#DIV/0!</v>
      </c>
      <c r="MU159" s="668"/>
      <c r="MV159" s="669"/>
      <c r="MW159" s="670"/>
      <c r="MX159" s="671"/>
      <c r="MY159" s="678"/>
      <c r="MZ159" s="650"/>
      <c r="NA159" s="651">
        <f t="shared" ref="NA159:NA162" si="1300">IF(AND(ABS(MX159)&gt;=$F$42,ABS(MX159)&lt;=$G$42),MX159*$D$42,IF(AND(ABS(MX159)&gt;=$F$43,ABS(MX159)&lt;=$G$43),MX159*$D$43,IF(AND(ABS(MX159)&gt;=$F$44,ABS(MX159)&lt;=$G$44),MX159*$D$44,"rango cal. out")))</f>
        <v>0</v>
      </c>
      <c r="NB159" s="619" t="e">
        <f>((273.2+MU159)*$F$32/((273.2+$F$31)*MW159))</f>
        <v>#DIV/0!</v>
      </c>
      <c r="NC159" s="674" t="e">
        <f>NA159/MY159*NB159*EXP(-LN(2)/10990*($F$88-MZ159))</f>
        <v>#DIV/0!</v>
      </c>
      <c r="ND159" s="599" t="e">
        <f>NC159-AVERAGE(NK94:NK95)</f>
        <v>#DIV/0!</v>
      </c>
      <c r="NE159" s="672" t="e">
        <f>ABS($B$33*ND159*3600)</f>
        <v>#DIV/0!</v>
      </c>
      <c r="NF159" s="675" t="e">
        <f>ABS($B$34*ND159*3600)</f>
        <v>#DIV/0!</v>
      </c>
      <c r="NG159" s="614" t="e">
        <f>NF159*$C$79</f>
        <v>#DIV/0!</v>
      </c>
      <c r="NH159" s="672" t="e">
        <f>NF159*$F$70</f>
        <v>#DIV/0!</v>
      </c>
      <c r="NI159" s="600" t="e">
        <f t="shared" ref="NI159:NI162" si="1301">NF159*$F$75</f>
        <v>#DIV/0!</v>
      </c>
      <c r="NJ159" s="672" t="e">
        <f>NF159*$F$72</f>
        <v>#DIV/0!</v>
      </c>
      <c r="NK159" s="676" t="e">
        <f>NF159*$F$71</f>
        <v>#DIV/0!</v>
      </c>
      <c r="NL159" s="668"/>
      <c r="NM159" s="669"/>
      <c r="NN159" s="670"/>
      <c r="NO159" s="671"/>
      <c r="NP159" s="678"/>
      <c r="NQ159" s="650"/>
      <c r="NR159" s="651">
        <f t="shared" ref="NR159:NR162" si="1302">IF(AND(ABS(NO159)&gt;=$F$42,ABS(NO159)&lt;=$G$42),NO159*$D$42,IF(AND(ABS(NO159)&gt;=$F$43,ABS(NO159)&lt;=$G$43),NO159*$D$43,IF(AND(ABS(NO159)&gt;=$F$44,ABS(NO159)&lt;=$G$44),NO159*$D$44,"rango cal. out")))</f>
        <v>0</v>
      </c>
      <c r="NS159" s="619" t="e">
        <f>((273.2+NL159)*$F$32/((273.2+$F$31)*NN159))</f>
        <v>#DIV/0!</v>
      </c>
      <c r="NT159" s="674" t="e">
        <f>NR159/NP159*NS159*EXP(-LN(2)/10990*($F$88-NQ159))</f>
        <v>#DIV/0!</v>
      </c>
      <c r="NU159" s="599" t="e">
        <f>NT159-AVERAGE(OB94:OB95)</f>
        <v>#DIV/0!</v>
      </c>
      <c r="NV159" s="672" t="e">
        <f>ABS($B$33*NU159*3600)</f>
        <v>#DIV/0!</v>
      </c>
      <c r="NW159" s="675" t="e">
        <f>ABS($B$34*NU159*3600)</f>
        <v>#DIV/0!</v>
      </c>
      <c r="NX159" s="614" t="e">
        <f>NW159*$C$79</f>
        <v>#DIV/0!</v>
      </c>
      <c r="NY159" s="672" t="e">
        <f>NW159*$F$70</f>
        <v>#DIV/0!</v>
      </c>
      <c r="NZ159" s="600" t="e">
        <f t="shared" ref="NZ159:NZ162" si="1303">NW159*$F$75</f>
        <v>#DIV/0!</v>
      </c>
      <c r="OA159" s="672" t="e">
        <f>NW159*$F$72</f>
        <v>#DIV/0!</v>
      </c>
      <c r="OB159" s="676" t="e">
        <f>NW159*$F$71</f>
        <v>#DIV/0!</v>
      </c>
      <c r="OC159" s="668"/>
      <c r="OD159" s="669"/>
      <c r="OE159" s="670"/>
      <c r="OF159" s="671"/>
      <c r="OG159" s="678"/>
      <c r="OH159" s="650"/>
      <c r="OI159" s="651">
        <f t="shared" ref="OI159:OI162" si="1304">IF(AND(ABS(OF159)&gt;=$F$42,ABS(OF159)&lt;=$G$42),OF159*$D$42,IF(AND(ABS(OF159)&gt;=$F$43,ABS(OF159)&lt;=$G$43),OF159*$D$43,IF(AND(ABS(OF159)&gt;=$F$44,ABS(OF159)&lt;=$G$44),OF159*$D$44,"rango cal. out")))</f>
        <v>0</v>
      </c>
      <c r="OJ159" s="619" t="e">
        <f>((273.2+OC159)*$F$32/((273.2+$F$31)*OE159))</f>
        <v>#DIV/0!</v>
      </c>
      <c r="OK159" s="674" t="e">
        <f>OI159/OG159*OJ159*EXP(-LN(2)/10990*($F$88-OH159))</f>
        <v>#DIV/0!</v>
      </c>
      <c r="OL159" s="599" t="e">
        <f>OK159-AVERAGE(OS94:OS95)</f>
        <v>#DIV/0!</v>
      </c>
      <c r="OM159" s="672" t="e">
        <f>ABS($B$33*OL159*3600)</f>
        <v>#DIV/0!</v>
      </c>
      <c r="ON159" s="675" t="e">
        <f>ABS($B$34*OL159*3600)</f>
        <v>#DIV/0!</v>
      </c>
      <c r="OO159" s="614" t="e">
        <f>ON159*$C$79</f>
        <v>#DIV/0!</v>
      </c>
      <c r="OP159" s="672" t="e">
        <f>ON159*$F$70</f>
        <v>#DIV/0!</v>
      </c>
      <c r="OQ159" s="600" t="e">
        <f t="shared" ref="OQ159:OQ162" si="1305">ON159*$F$75</f>
        <v>#DIV/0!</v>
      </c>
      <c r="OR159" s="672" t="e">
        <f>ON159*$F$72</f>
        <v>#DIV/0!</v>
      </c>
      <c r="OS159" s="676" t="e">
        <f>ON159*$F$71</f>
        <v>#DIV/0!</v>
      </c>
      <c r="OT159" s="668"/>
      <c r="OU159" s="669"/>
      <c r="OV159" s="670"/>
      <c r="OW159" s="671"/>
      <c r="OX159" s="678"/>
      <c r="OY159" s="650"/>
      <c r="OZ159" s="651">
        <f t="shared" ref="OZ159:OZ162" si="1306">IF(AND(ABS(OW159)&gt;=$F$42,ABS(OW159)&lt;=$G$42),OW159*$D$42,IF(AND(ABS(OW159)&gt;=$F$43,ABS(OW159)&lt;=$G$43),OW159*$D$43,IF(AND(ABS(OW159)&gt;=$F$44,ABS(OW159)&lt;=$G$44),OW159*$D$44,"rango cal. out")))</f>
        <v>0</v>
      </c>
      <c r="PA159" s="619" t="e">
        <f>((273.2+OT159)*$F$32/((273.2+$F$31)*OV159))</f>
        <v>#DIV/0!</v>
      </c>
      <c r="PB159" s="674" t="e">
        <f>OZ159/OX159*PA159*EXP(-LN(2)/10990*($F$88-OY159))</f>
        <v>#DIV/0!</v>
      </c>
      <c r="PC159" s="599" t="e">
        <f>PB159-AVERAGE(PJ94:PJ95)</f>
        <v>#DIV/0!</v>
      </c>
      <c r="PD159" s="672" t="e">
        <f>ABS($B$33*PC159*3600)</f>
        <v>#DIV/0!</v>
      </c>
      <c r="PE159" s="675" t="e">
        <f>ABS($B$34*PC159*3600)</f>
        <v>#DIV/0!</v>
      </c>
      <c r="PF159" s="614" t="e">
        <f>PE159*$C$79</f>
        <v>#DIV/0!</v>
      </c>
      <c r="PG159" s="672" t="e">
        <f>PE159*$F$70</f>
        <v>#DIV/0!</v>
      </c>
      <c r="PH159" s="600" t="e">
        <f t="shared" ref="PH159:PH162" si="1307">PE159*$F$75</f>
        <v>#DIV/0!</v>
      </c>
      <c r="PI159" s="672" t="e">
        <f>PE159*$F$72</f>
        <v>#DIV/0!</v>
      </c>
      <c r="PJ159" s="676" t="e">
        <f>PE159*$F$71</f>
        <v>#DIV/0!</v>
      </c>
      <c r="PK159" s="668"/>
      <c r="PL159" s="669"/>
      <c r="PM159" s="670"/>
      <c r="PN159" s="671"/>
      <c r="PO159" s="678"/>
      <c r="PP159" s="650"/>
      <c r="PQ159" s="651">
        <f t="shared" ref="PQ159:PQ162" si="1308">IF(AND(ABS(PN159)&gt;=$F$42,ABS(PN159)&lt;=$G$42),PN159*$D$42,IF(AND(ABS(PN159)&gt;=$F$43,ABS(PN159)&lt;=$G$43),PN159*$D$43,IF(AND(ABS(PN159)&gt;=$F$44,ABS(PN159)&lt;=$G$44),PN159*$D$44,"rango cal. out")))</f>
        <v>0</v>
      </c>
      <c r="PR159" s="619" t="e">
        <f>((273.2+PK159)*$F$32/((273.2+$F$31)*PM159))</f>
        <v>#DIV/0!</v>
      </c>
      <c r="PS159" s="674" t="e">
        <f>PQ159/PO159*PR159*EXP(-LN(2)/10990*($F$88-PP159))</f>
        <v>#DIV/0!</v>
      </c>
      <c r="PT159" s="599" t="e">
        <f>PS159-AVERAGE(QA94:QA95)</f>
        <v>#DIV/0!</v>
      </c>
      <c r="PU159" s="672" t="e">
        <f>ABS($B$33*PT159*3600)</f>
        <v>#DIV/0!</v>
      </c>
      <c r="PV159" s="675" t="e">
        <f>ABS($B$34*PT159*3600)</f>
        <v>#DIV/0!</v>
      </c>
      <c r="PW159" s="614" t="e">
        <f>PV159*$C$79</f>
        <v>#DIV/0!</v>
      </c>
      <c r="PX159" s="672" t="e">
        <f>PV159*$F$70</f>
        <v>#DIV/0!</v>
      </c>
      <c r="PY159" s="600" t="e">
        <f t="shared" ref="PY159:PY162" si="1309">PV159*$F$75</f>
        <v>#DIV/0!</v>
      </c>
      <c r="PZ159" s="672" t="e">
        <f>PV159*$F$72</f>
        <v>#DIV/0!</v>
      </c>
      <c r="QA159" s="676" t="e">
        <f>PV159*$F$71</f>
        <v>#DIV/0!</v>
      </c>
      <c r="QB159" s="668"/>
      <c r="QC159" s="669"/>
      <c r="QD159" s="670"/>
      <c r="QE159" s="671"/>
      <c r="QF159" s="673">
        <v>100</v>
      </c>
      <c r="QG159" s="650"/>
      <c r="QH159" s="651">
        <f t="shared" ref="QH159:QH162" si="1310">IF(AND(ABS(QE159)&gt;=$F$42,ABS(QE159)&lt;=$G$42),QE159*$D$42,IF(AND(ABS(QE159)&gt;=$F$43,ABS(QE159)&lt;=$G$43),QE159*$D$43,IF(AND(ABS(QE159)&gt;=$F$44,ABS(QE159)&lt;=$G$44),QE159*$D$44,"rango cal. out")))</f>
        <v>0</v>
      </c>
      <c r="QI159" s="619" t="e">
        <f>((273.2+QB159)*$F$32/((273.2+$F$31)*QD159))</f>
        <v>#DIV/0!</v>
      </c>
      <c r="QJ159" s="674" t="e">
        <f>QH159/QF159*QI159*EXP(-LN(2)/10990*($F$88-QG159))</f>
        <v>#DIV/0!</v>
      </c>
      <c r="QK159" s="599" t="e">
        <f>QJ159-AVERAGE(QR94:QR95)</f>
        <v>#DIV/0!</v>
      </c>
      <c r="QL159" s="672" t="e">
        <f>ABS($B$33*QK159*3600)</f>
        <v>#DIV/0!</v>
      </c>
      <c r="QM159" s="675" t="e">
        <f>ABS($B$34*QK159*3600)</f>
        <v>#DIV/0!</v>
      </c>
      <c r="QN159" s="614" t="e">
        <f>QM159*$C$79</f>
        <v>#DIV/0!</v>
      </c>
      <c r="QO159" s="672" t="e">
        <f>QM159*$F$70</f>
        <v>#DIV/0!</v>
      </c>
      <c r="QP159" s="600" t="e">
        <f t="shared" ref="QP159:QP162" si="1311">QM159*$F$75</f>
        <v>#DIV/0!</v>
      </c>
      <c r="QQ159" s="672" t="e">
        <f>QM159*$F$72</f>
        <v>#DIV/0!</v>
      </c>
      <c r="QR159" s="676" t="e">
        <f>QM159*$F$71</f>
        <v>#DIV/0!</v>
      </c>
      <c r="QS159" s="668"/>
      <c r="QT159" s="669"/>
      <c r="QU159" s="669"/>
      <c r="QV159" s="679"/>
      <c r="QW159" s="673">
        <v>100</v>
      </c>
      <c r="QX159" s="650"/>
      <c r="QY159" s="651">
        <f t="shared" ref="QY159:QY162" si="1312">IF(AND(ABS(QV159)&gt;=$F$42,ABS(QV159)&lt;=$G$42),QV159*$D$42,IF(AND(ABS(QV159)&gt;=$F$43,ABS(QV159)&lt;=$G$43),QV159*$D$43,IF(AND(ABS(QV159)&gt;=$F$44,ABS(QV159)&lt;=$G$44),QV159*$D$44,"rango cal. out")))</f>
        <v>0</v>
      </c>
      <c r="QZ159" s="619" t="e">
        <f>((273.2+QS159)*$F$32/((273.2+$F$31)*QU159))</f>
        <v>#DIV/0!</v>
      </c>
      <c r="RA159" s="674" t="e">
        <f>QY159/QW159*QZ159*EXP(-LN(2)/10990*($F$88-QX159))</f>
        <v>#DIV/0!</v>
      </c>
      <c r="RB159" s="599" t="e">
        <f>RA159-AVERAGE(RI94:RI95)</f>
        <v>#DIV/0!</v>
      </c>
      <c r="RC159" s="672" t="e">
        <f>ABS($B$33*RB159*3600)</f>
        <v>#DIV/0!</v>
      </c>
      <c r="RD159" s="675" t="e">
        <f>ABS($B$34*RB159*3600)</f>
        <v>#DIV/0!</v>
      </c>
      <c r="RE159" s="614" t="e">
        <f>RD159*$C$79</f>
        <v>#DIV/0!</v>
      </c>
      <c r="RF159" s="672" t="e">
        <f>RD159*$F$70</f>
        <v>#DIV/0!</v>
      </c>
      <c r="RG159" s="600" t="e">
        <f t="shared" ref="RG159:RG162" si="1313">RD159*$F$75</f>
        <v>#DIV/0!</v>
      </c>
      <c r="RH159" s="672" t="e">
        <f>RD159*$F$72</f>
        <v>#DIV/0!</v>
      </c>
      <c r="RI159" s="676" t="e">
        <f>RD159*$F$71</f>
        <v>#DIV/0!</v>
      </c>
      <c r="RJ159" s="668"/>
      <c r="RK159" s="669"/>
      <c r="RL159" s="670"/>
      <c r="RM159" s="671"/>
      <c r="RN159" s="678"/>
      <c r="RO159" s="650"/>
      <c r="RP159" s="651">
        <f t="shared" ref="RP159:RP162" si="1314">IF(AND(ABS(RM159)&gt;=$F$42,ABS(RM159)&lt;=$G$42),RM159*$D$42,IF(AND(ABS(RM159)&gt;=$F$43,ABS(RM159)&lt;=$G$43),RM159*$D$43,IF(AND(ABS(RM159)&gt;=$F$44,ABS(RM159)&lt;=$G$44),RM159*$D$44,"rango cal. out")))</f>
        <v>0</v>
      </c>
      <c r="RQ159" s="619" t="e">
        <f>((273.2+RJ159)*$F$32/((273.2+$F$31)*RL159))</f>
        <v>#DIV/0!</v>
      </c>
      <c r="RR159" s="674" t="e">
        <f>RP159/RN159*RQ159*EXP(-LN(2)/10990*($F$88-RO159))</f>
        <v>#DIV/0!</v>
      </c>
      <c r="RS159" s="599" t="e">
        <f>RR159-AVERAGE(RZ94:RZ95)</f>
        <v>#DIV/0!</v>
      </c>
      <c r="RT159" s="672" t="e">
        <f>ABS($B$33*RS159*3600)</f>
        <v>#DIV/0!</v>
      </c>
      <c r="RU159" s="675" t="e">
        <f>ABS($B$34*RS159*3600)</f>
        <v>#DIV/0!</v>
      </c>
      <c r="RV159" s="614" t="e">
        <f>RU159*$C$79</f>
        <v>#DIV/0!</v>
      </c>
      <c r="RW159" s="672" t="e">
        <f>RU159*$F$70</f>
        <v>#DIV/0!</v>
      </c>
      <c r="RX159" s="600" t="e">
        <f t="shared" ref="RX159:RX162" si="1315">RU159*$F$75</f>
        <v>#DIV/0!</v>
      </c>
      <c r="RY159" s="672" t="e">
        <f>RU159*$F$72</f>
        <v>#DIV/0!</v>
      </c>
      <c r="RZ159" s="676" t="e">
        <f>RU159*$F$71</f>
        <v>#DIV/0!</v>
      </c>
      <c r="SA159" s="668"/>
      <c r="SB159" s="669"/>
      <c r="SC159" s="670"/>
      <c r="SD159" s="671"/>
      <c r="SE159" s="678"/>
      <c r="SF159" s="650"/>
      <c r="SG159" s="651">
        <f t="shared" ref="SG159:SG162" si="1316">IF(AND(ABS(SD159)&gt;=$F$42,ABS(SD159)&lt;=$G$42),SD159*$D$42,IF(AND(ABS(SD159)&gt;=$F$43,ABS(SD159)&lt;=$G$43),SD159*$D$43,IF(AND(ABS(SD159)&gt;=$F$44,ABS(SD159)&lt;=$G$44),SD159*$D$44,"rango cal. out")))</f>
        <v>0</v>
      </c>
      <c r="SH159" s="619" t="e">
        <f>((273.2+SA159)*$F$32/((273.2+$F$31)*SC159))</f>
        <v>#DIV/0!</v>
      </c>
      <c r="SI159" s="674" t="e">
        <f>SG159/SE159*SH159*EXP(-LN(2)/10990*($F$88-SF159))</f>
        <v>#DIV/0!</v>
      </c>
      <c r="SJ159" s="599" t="e">
        <f>SI159-AVERAGE(SQ94:SQ95)</f>
        <v>#DIV/0!</v>
      </c>
      <c r="SK159" s="672" t="e">
        <f>ABS($B$33*SJ159*3600)</f>
        <v>#DIV/0!</v>
      </c>
      <c r="SL159" s="675" t="e">
        <f>ABS($B$34*SJ159*3600)</f>
        <v>#DIV/0!</v>
      </c>
      <c r="SM159" s="614" t="e">
        <f>SL159*$C$79</f>
        <v>#DIV/0!</v>
      </c>
      <c r="SN159" s="672" t="e">
        <f>SL159*$F$70</f>
        <v>#DIV/0!</v>
      </c>
      <c r="SO159" s="600" t="e">
        <f t="shared" ref="SO159:SO162" si="1317">SL159*$F$75</f>
        <v>#DIV/0!</v>
      </c>
      <c r="SP159" s="672" t="e">
        <f>SL159*$F$72</f>
        <v>#DIV/0!</v>
      </c>
      <c r="SQ159" s="676" t="e">
        <f>SL159*$F$71</f>
        <v>#DIV/0!</v>
      </c>
      <c r="SR159" s="668"/>
      <c r="SS159" s="669"/>
      <c r="ST159" s="670"/>
      <c r="SU159" s="671"/>
      <c r="SV159" s="678"/>
      <c r="SW159" s="650"/>
      <c r="SX159" s="651">
        <f t="shared" ref="SX159:SX162" si="1318">IF(AND(ABS(SU159)&gt;=$F$42,ABS(SU159)&lt;=$G$42),SU159*$D$42,IF(AND(ABS(SU159)&gt;=$F$43,ABS(SU159)&lt;=$G$43),SU159*$D$43,IF(AND(ABS(SU159)&gt;=$F$44,ABS(SU159)&lt;=$G$44),SU159*$D$44,"rango cal. out")))</f>
        <v>0</v>
      </c>
      <c r="SY159" s="619" t="e">
        <f>((273.2+SR159)*$F$32/((273.2+$F$31)*ST159))</f>
        <v>#DIV/0!</v>
      </c>
      <c r="SZ159" s="674" t="e">
        <f>SX159/SV159*SY159*EXP(-LN(2)/10990*($F$88-SW159))</f>
        <v>#DIV/0!</v>
      </c>
      <c r="TA159" s="599" t="e">
        <f>SZ159-AVERAGE(TH94:TH95)</f>
        <v>#DIV/0!</v>
      </c>
      <c r="TB159" s="672" t="e">
        <f>ABS($B$33*TA159*3600)</f>
        <v>#DIV/0!</v>
      </c>
      <c r="TC159" s="675" t="e">
        <f>ABS($B$34*TA159*3600)</f>
        <v>#DIV/0!</v>
      </c>
      <c r="TD159" s="614" t="e">
        <f>TC159*$C$79</f>
        <v>#DIV/0!</v>
      </c>
      <c r="TE159" s="672" t="e">
        <f>TC159*$F$70</f>
        <v>#DIV/0!</v>
      </c>
      <c r="TF159" s="600" t="e">
        <f t="shared" ref="TF159:TF162" si="1319">TC159*$F$75</f>
        <v>#DIV/0!</v>
      </c>
      <c r="TG159" s="672" t="e">
        <f>TC159*$F$72</f>
        <v>#DIV/0!</v>
      </c>
      <c r="TH159" s="675" t="e">
        <f>TC159*$F$71</f>
        <v>#DIV/0!</v>
      </c>
      <c r="TI159" s="668"/>
      <c r="TJ159" s="669"/>
      <c r="TK159" s="670"/>
      <c r="TL159" s="671"/>
      <c r="TM159" s="678"/>
      <c r="TN159" s="650"/>
      <c r="TO159" s="651">
        <f t="shared" ref="TO159:TO162" si="1320">IF(AND(ABS(TL159)&gt;=$F$42,ABS(TL159)&lt;=$G$42),TL159*$D$42,IF(AND(ABS(TL159)&gt;=$F$43,ABS(TL159)&lt;=$G$43),TL159*$D$43,IF(AND(ABS(TL159)&gt;=$F$44,ABS(TL159)&lt;=$G$44),TL159*$D$44,"rango cal. out")))</f>
        <v>0</v>
      </c>
      <c r="TP159" s="619" t="e">
        <f>((273.2+TI159)*$F$32/((273.2+$F$31)*TK159))</f>
        <v>#DIV/0!</v>
      </c>
      <c r="TQ159" s="674" t="e">
        <f>TO159/TM159*TP159*EXP(-LN(2)/10990*($F$88-TN159))</f>
        <v>#DIV/0!</v>
      </c>
      <c r="TR159" s="599" t="e">
        <f>TQ159-AVERAGE(TY94:TY95)</f>
        <v>#DIV/0!</v>
      </c>
      <c r="TS159" s="672" t="e">
        <f>ABS($B$33*TR159*3600)</f>
        <v>#DIV/0!</v>
      </c>
      <c r="TT159" s="675" t="e">
        <f>ABS($B$34*TR159*3600)</f>
        <v>#DIV/0!</v>
      </c>
      <c r="TU159" s="614" t="e">
        <f>TT159*$C$79</f>
        <v>#DIV/0!</v>
      </c>
      <c r="TV159" s="672" t="e">
        <f>TT159*$F$70</f>
        <v>#DIV/0!</v>
      </c>
      <c r="TW159" s="600" t="e">
        <f t="shared" ref="TW159:TW162" si="1321">TT159*$F$75</f>
        <v>#DIV/0!</v>
      </c>
      <c r="TX159" s="672" t="e">
        <f>TT159*$F$72</f>
        <v>#DIV/0!</v>
      </c>
      <c r="TY159" s="676" t="e">
        <f>TT159*$F$71</f>
        <v>#DIV/0!</v>
      </c>
    </row>
    <row r="160" spans="1:545" x14ac:dyDescent="0.25">
      <c r="A160" s="2219"/>
      <c r="B160" s="668"/>
      <c r="C160" s="673"/>
      <c r="D160" s="673"/>
      <c r="E160" s="671"/>
      <c r="F160" s="673"/>
      <c r="G160" s="650"/>
      <c r="H160" s="651"/>
      <c r="I160" s="619"/>
      <c r="J160" s="674"/>
      <c r="K160" s="599"/>
      <c r="L160" s="672"/>
      <c r="M160" s="675"/>
      <c r="N160" s="672"/>
      <c r="O160" s="672"/>
      <c r="P160" s="600"/>
      <c r="Q160" s="672"/>
      <c r="R160" s="676"/>
      <c r="S160" s="677"/>
      <c r="T160" s="669"/>
      <c r="U160" s="670"/>
      <c r="V160" s="671"/>
      <c r="W160" s="678"/>
      <c r="X160" s="650"/>
      <c r="Y160" s="651">
        <f t="shared" si="1260"/>
        <v>0</v>
      </c>
      <c r="Z160" s="619" t="e">
        <f>((273.2+S160)*$F$32/((273.2+$F$31)*U160))</f>
        <v>#DIV/0!</v>
      </c>
      <c r="AA160" s="674" t="e">
        <f>Y160/W160*Z160*EXP(-LN(2)/10990*($F$88-X160))</f>
        <v>#DIV/0!</v>
      </c>
      <c r="AB160" s="599" t="e">
        <f>AA160-AVERAGE(AI94:AI95)</f>
        <v>#DIV/0!</v>
      </c>
      <c r="AC160" s="672" t="e">
        <f>ABS($B$33*AB160*3600)</f>
        <v>#DIV/0!</v>
      </c>
      <c r="AD160" s="675" t="e">
        <f>ABS($B$34*AB160*3600)</f>
        <v>#DIV/0!</v>
      </c>
      <c r="AE160" s="672" t="e">
        <f>AD160*$C$79</f>
        <v>#DIV/0!</v>
      </c>
      <c r="AF160" s="672" t="e">
        <f>AD160*$F$70</f>
        <v>#DIV/0!</v>
      </c>
      <c r="AG160" s="600" t="e">
        <f t="shared" si="1261"/>
        <v>#DIV/0!</v>
      </c>
      <c r="AH160" s="672" t="e">
        <f>AD160*$F$72</f>
        <v>#DIV/0!</v>
      </c>
      <c r="AI160" s="676" t="e">
        <f>AD160*$F$71</f>
        <v>#DIV/0!</v>
      </c>
      <c r="AJ160" s="677"/>
      <c r="AK160" s="669"/>
      <c r="AL160" s="670"/>
      <c r="AM160" s="671"/>
      <c r="AN160" s="678"/>
      <c r="AO160" s="650"/>
      <c r="AP160" s="651">
        <f t="shared" si="1262"/>
        <v>0</v>
      </c>
      <c r="AQ160" s="619" t="e">
        <f>((273.2+AJ160)*$F$32/((273.2+$F$31)*AL160))</f>
        <v>#DIV/0!</v>
      </c>
      <c r="AR160" s="674" t="e">
        <f>AP160/AN160*AQ160*EXP(-LN(2)/10990*($F$88-AO160))</f>
        <v>#DIV/0!</v>
      </c>
      <c r="AS160" s="599" t="e">
        <f>AR160-AVERAGE(AZ94:AZ95)</f>
        <v>#DIV/0!</v>
      </c>
      <c r="AT160" s="672" t="e">
        <f>ABS($B$33*AS160*3600)</f>
        <v>#DIV/0!</v>
      </c>
      <c r="AU160" s="675" t="e">
        <f>ABS($B$34*AS160*3600)</f>
        <v>#DIV/0!</v>
      </c>
      <c r="AV160" s="672" t="e">
        <f>AU160*$C$79</f>
        <v>#DIV/0!</v>
      </c>
      <c r="AW160" s="672" t="e">
        <f>AU160*$F$70</f>
        <v>#DIV/0!</v>
      </c>
      <c r="AX160" s="600" t="e">
        <f t="shared" si="1263"/>
        <v>#DIV/0!</v>
      </c>
      <c r="AY160" s="672" t="e">
        <f>AU160*$F$72</f>
        <v>#DIV/0!</v>
      </c>
      <c r="AZ160" s="676" t="e">
        <f>AU160*$F$71</f>
        <v>#DIV/0!</v>
      </c>
      <c r="BA160" s="668"/>
      <c r="BB160" s="669"/>
      <c r="BC160" s="670"/>
      <c r="BD160" s="671"/>
      <c r="BE160" s="678"/>
      <c r="BF160" s="650"/>
      <c r="BG160" s="651">
        <f t="shared" si="1264"/>
        <v>0</v>
      </c>
      <c r="BH160" s="619" t="e">
        <f>((273.2+BA160)*$F$32/((273.2+$F$31)*BC160))</f>
        <v>#DIV/0!</v>
      </c>
      <c r="BI160" s="674" t="e">
        <f>BG160/BE160*BH160*EXP(-LN(2)/10990*($F$88-BF160))</f>
        <v>#DIV/0!</v>
      </c>
      <c r="BJ160" s="599" t="e">
        <f>BI160-AVERAGE(BQ94:BQ95)</f>
        <v>#DIV/0!</v>
      </c>
      <c r="BK160" s="672" t="e">
        <f>ABS($B$33*BJ160*3600)</f>
        <v>#DIV/0!</v>
      </c>
      <c r="BL160" s="675" t="e">
        <f>ABS($B$34*BJ160*3600)</f>
        <v>#DIV/0!</v>
      </c>
      <c r="BM160" s="672" t="e">
        <f>BL160*$C$79</f>
        <v>#DIV/0!</v>
      </c>
      <c r="BN160" s="672" t="e">
        <f>BL160*$F$70</f>
        <v>#DIV/0!</v>
      </c>
      <c r="BO160" s="600" t="e">
        <f t="shared" si="1265"/>
        <v>#DIV/0!</v>
      </c>
      <c r="BP160" s="672" t="e">
        <f>BL160*$F$72</f>
        <v>#DIV/0!</v>
      </c>
      <c r="BQ160" s="676" t="e">
        <f>BL160*$F$71</f>
        <v>#DIV/0!</v>
      </c>
      <c r="BR160" s="668"/>
      <c r="BS160" s="669"/>
      <c r="BT160" s="670"/>
      <c r="BU160" s="671"/>
      <c r="BV160" s="678"/>
      <c r="BW160" s="650"/>
      <c r="BX160" s="651">
        <f t="shared" si="1266"/>
        <v>0</v>
      </c>
      <c r="BY160" s="619" t="e">
        <f>((273.2+BR160)*$F$32/((273.2+$F$31)*BT160))</f>
        <v>#DIV/0!</v>
      </c>
      <c r="BZ160" s="674" t="e">
        <f>BX160/BV160*BY160*EXP(-LN(2)/10990*($F$88-BW160))</f>
        <v>#DIV/0!</v>
      </c>
      <c r="CA160" s="599" t="e">
        <f>BZ160-AVERAGE(CH94:CH95)</f>
        <v>#DIV/0!</v>
      </c>
      <c r="CB160" s="672" t="e">
        <f>ABS($B$33*CA160*3600)</f>
        <v>#DIV/0!</v>
      </c>
      <c r="CC160" s="675" t="e">
        <f>ABS($B$34*CA160*3600)</f>
        <v>#DIV/0!</v>
      </c>
      <c r="CD160" s="672" t="e">
        <f>CC160*$C$79</f>
        <v>#DIV/0!</v>
      </c>
      <c r="CE160" s="672" t="e">
        <f>CC160*$F$70</f>
        <v>#DIV/0!</v>
      </c>
      <c r="CF160" s="600" t="e">
        <f t="shared" si="1267"/>
        <v>#DIV/0!</v>
      </c>
      <c r="CG160" s="672" t="e">
        <f>CC160*$F$72</f>
        <v>#DIV/0!</v>
      </c>
      <c r="CH160" s="676" t="e">
        <f>CC160*$F$71</f>
        <v>#DIV/0!</v>
      </c>
      <c r="CI160" s="668"/>
      <c r="CJ160" s="669"/>
      <c r="CK160" s="670"/>
      <c r="CL160" s="671"/>
      <c r="CM160" s="678"/>
      <c r="CN160" s="650"/>
      <c r="CO160" s="651">
        <f t="shared" si="1268"/>
        <v>0</v>
      </c>
      <c r="CP160" s="619" t="e">
        <f>((273.2+CI160)*$F$32/((273.2+$F$31)*CK160))</f>
        <v>#DIV/0!</v>
      </c>
      <c r="CQ160" s="674" t="e">
        <f>CO160/CM160*CP160*EXP(-LN(2)/10990*($F$88-CN160))</f>
        <v>#DIV/0!</v>
      </c>
      <c r="CR160" s="599" t="e">
        <f>CQ160-AVERAGE(CY94:CY95)</f>
        <v>#DIV/0!</v>
      </c>
      <c r="CS160" s="672" t="e">
        <f>ABS($B$33*CR160*3600)</f>
        <v>#DIV/0!</v>
      </c>
      <c r="CT160" s="675" t="e">
        <f>ABS($B$34*CR160*3600)</f>
        <v>#DIV/0!</v>
      </c>
      <c r="CU160" s="672" t="e">
        <f>CT160*$C$79</f>
        <v>#DIV/0!</v>
      </c>
      <c r="CV160" s="672" t="e">
        <f>CT160*$F$70</f>
        <v>#DIV/0!</v>
      </c>
      <c r="CW160" s="600" t="e">
        <f t="shared" si="1269"/>
        <v>#DIV/0!</v>
      </c>
      <c r="CX160" s="672" t="e">
        <f>CT160*$F$72</f>
        <v>#DIV/0!</v>
      </c>
      <c r="CY160" s="676" t="e">
        <f>CT160*$F$71</f>
        <v>#DIV/0!</v>
      </c>
      <c r="CZ160" s="668"/>
      <c r="DA160" s="669"/>
      <c r="DB160" s="670"/>
      <c r="DC160" s="671"/>
      <c r="DD160" s="678"/>
      <c r="DE160" s="650"/>
      <c r="DF160" s="651">
        <f t="shared" si="1270"/>
        <v>0</v>
      </c>
      <c r="DG160" s="619" t="e">
        <f>((273.2+CZ160)*$F$32/((273.2+$F$31)*DB160))</f>
        <v>#DIV/0!</v>
      </c>
      <c r="DH160" s="674" t="e">
        <f>DF160/DD160*DG160*EXP(-LN(2)/10990*($F$88-DE160))</f>
        <v>#DIV/0!</v>
      </c>
      <c r="DI160" s="599" t="e">
        <f>DH160-AVERAGE(DP94:DP95)</f>
        <v>#DIV/0!</v>
      </c>
      <c r="DJ160" s="672" t="e">
        <f>ABS($B$33*DI160*3600)</f>
        <v>#DIV/0!</v>
      </c>
      <c r="DK160" s="675" t="e">
        <f>ABS($B$34*DI160*3600)</f>
        <v>#DIV/0!</v>
      </c>
      <c r="DL160" s="672" t="e">
        <f>DK160*$C$79</f>
        <v>#DIV/0!</v>
      </c>
      <c r="DM160" s="672" t="e">
        <f>DK160*$F$70</f>
        <v>#DIV/0!</v>
      </c>
      <c r="DN160" s="600" t="e">
        <f t="shared" si="1271"/>
        <v>#DIV/0!</v>
      </c>
      <c r="DO160" s="672" t="e">
        <f>DK160*$F$72</f>
        <v>#DIV/0!</v>
      </c>
      <c r="DP160" s="676" t="e">
        <f>DK160*$F$71</f>
        <v>#DIV/0!</v>
      </c>
      <c r="DQ160" s="668"/>
      <c r="DR160" s="669"/>
      <c r="DS160" s="677"/>
      <c r="DT160" s="679"/>
      <c r="DU160" s="678"/>
      <c r="DV160" s="650"/>
      <c r="DW160" s="651">
        <f t="shared" si="1272"/>
        <v>0</v>
      </c>
      <c r="DX160" s="619" t="e">
        <f>((273.2+DQ160)*$F$32/((273.2+$F$31)*DS160))</f>
        <v>#DIV/0!</v>
      </c>
      <c r="DY160" s="674" t="e">
        <f>DW160/DU160*DX160*EXP(-LN(2)/10990*($F$88-DV160))</f>
        <v>#DIV/0!</v>
      </c>
      <c r="DZ160" s="599" t="e">
        <f>DY160-AVERAGE(EG94:EG95)</f>
        <v>#DIV/0!</v>
      </c>
      <c r="EA160" s="672" t="e">
        <f>ABS($B$33*DZ160*3600)</f>
        <v>#DIV/0!</v>
      </c>
      <c r="EB160" s="675" t="e">
        <f>ABS($B$34*DZ160*3600)</f>
        <v>#DIV/0!</v>
      </c>
      <c r="EC160" s="672" t="e">
        <f>EB160*$C$79</f>
        <v>#DIV/0!</v>
      </c>
      <c r="ED160" s="672" t="e">
        <f>EB160*$F$70</f>
        <v>#DIV/0!</v>
      </c>
      <c r="EE160" s="600" t="e">
        <f t="shared" si="1273"/>
        <v>#DIV/0!</v>
      </c>
      <c r="EF160" s="672" t="e">
        <f>EB160*$F$72</f>
        <v>#DIV/0!</v>
      </c>
      <c r="EG160" s="676" t="e">
        <f>EB160*$F$71</f>
        <v>#DIV/0!</v>
      </c>
      <c r="EH160" s="668"/>
      <c r="EI160" s="669"/>
      <c r="EJ160" s="670"/>
      <c r="EK160" s="671"/>
      <c r="EL160" s="678"/>
      <c r="EM160" s="650"/>
      <c r="EN160" s="651">
        <f t="shared" si="1274"/>
        <v>0</v>
      </c>
      <c r="EO160" s="619" t="e">
        <f>((273.2+EH160)*$F$32/((273.2+$F$31)*EJ160))</f>
        <v>#DIV/0!</v>
      </c>
      <c r="EP160" s="674" t="e">
        <f>EN160/EL160*EO160*EXP(-LN(2)/10990*($F$88-EM160))</f>
        <v>#DIV/0!</v>
      </c>
      <c r="EQ160" s="599" t="e">
        <f>EP160-AVERAGE(EX94:EX95)</f>
        <v>#DIV/0!</v>
      </c>
      <c r="ER160" s="672" t="e">
        <f>ABS($B$33*EQ160*3600)</f>
        <v>#DIV/0!</v>
      </c>
      <c r="ES160" s="675" t="e">
        <f>ABS($B$34*EQ160*3600)</f>
        <v>#DIV/0!</v>
      </c>
      <c r="ET160" s="672" t="e">
        <f>ES160*$C$79</f>
        <v>#DIV/0!</v>
      </c>
      <c r="EU160" s="672" t="e">
        <f>ES160*$F$70</f>
        <v>#DIV/0!</v>
      </c>
      <c r="EV160" s="600" t="e">
        <f t="shared" si="1275"/>
        <v>#DIV/0!</v>
      </c>
      <c r="EW160" s="672" t="e">
        <f>ES160*$F$72</f>
        <v>#DIV/0!</v>
      </c>
      <c r="EX160" s="676" t="e">
        <f>ES160*$F$71</f>
        <v>#DIV/0!</v>
      </c>
      <c r="EY160" s="668"/>
      <c r="EZ160" s="669"/>
      <c r="FA160" s="670"/>
      <c r="FB160" s="671"/>
      <c r="FC160" s="678"/>
      <c r="FD160" s="650"/>
      <c r="FE160" s="651">
        <f t="shared" si="1276"/>
        <v>0</v>
      </c>
      <c r="FF160" s="619" t="e">
        <f>((273.2+EY160)*$F$32/((273.2+$F$31)*FA160))</f>
        <v>#DIV/0!</v>
      </c>
      <c r="FG160" s="674" t="e">
        <f>FE160/FC160*FF160*EXP(-LN(2)/10990*($F$88-FD160))</f>
        <v>#DIV/0!</v>
      </c>
      <c r="FH160" s="599" t="e">
        <f>FG160-AVERAGE(FO94:FO95)</f>
        <v>#DIV/0!</v>
      </c>
      <c r="FI160" s="672" t="e">
        <f>ABS($B$33*FH160*3600)</f>
        <v>#DIV/0!</v>
      </c>
      <c r="FJ160" s="675" t="e">
        <f>ABS($B$34*FH160*3600)</f>
        <v>#DIV/0!</v>
      </c>
      <c r="FK160" s="672" t="e">
        <f>FJ160*$C$79</f>
        <v>#DIV/0!</v>
      </c>
      <c r="FL160" s="672" t="e">
        <f>FJ160*$F$70</f>
        <v>#DIV/0!</v>
      </c>
      <c r="FM160" s="600" t="e">
        <f t="shared" si="1277"/>
        <v>#DIV/0!</v>
      </c>
      <c r="FN160" s="672" t="e">
        <f>FJ160*$F$72</f>
        <v>#DIV/0!</v>
      </c>
      <c r="FO160" s="676" t="e">
        <f>FJ160*$F$71</f>
        <v>#DIV/0!</v>
      </c>
      <c r="FP160" s="668"/>
      <c r="FQ160" s="669"/>
      <c r="FR160" s="670"/>
      <c r="FS160" s="671"/>
      <c r="FT160" s="678"/>
      <c r="FU160" s="650"/>
      <c r="FV160" s="651">
        <f t="shared" si="1278"/>
        <v>0</v>
      </c>
      <c r="FW160" s="619" t="e">
        <f>((273.2+FP160)*$F$32/((273.2+$F$31)*FR160))</f>
        <v>#DIV/0!</v>
      </c>
      <c r="FX160" s="674" t="e">
        <f>FV160/FT160*FW160*EXP(-LN(2)/10990*($F$88-FU160))</f>
        <v>#DIV/0!</v>
      </c>
      <c r="FY160" s="599" t="e">
        <f>FX160-AVERAGE(GF94:GF95)</f>
        <v>#DIV/0!</v>
      </c>
      <c r="FZ160" s="672" t="e">
        <f>ABS($B$33*FY160*3600)</f>
        <v>#DIV/0!</v>
      </c>
      <c r="GA160" s="675" t="e">
        <f>ABS($B$34*FY160*3600)</f>
        <v>#DIV/0!</v>
      </c>
      <c r="GB160" s="672" t="e">
        <f>GA160*$C$79</f>
        <v>#DIV/0!</v>
      </c>
      <c r="GC160" s="672" t="e">
        <f>GA160*$F$70</f>
        <v>#DIV/0!</v>
      </c>
      <c r="GD160" s="600" t="e">
        <f t="shared" si="1279"/>
        <v>#DIV/0!</v>
      </c>
      <c r="GE160" s="672" t="e">
        <f>GA160*$F$72</f>
        <v>#DIV/0!</v>
      </c>
      <c r="GF160" s="676" t="e">
        <f>GA160*$F$71</f>
        <v>#DIV/0!</v>
      </c>
      <c r="GG160" s="668"/>
      <c r="GH160" s="669"/>
      <c r="GI160" s="677"/>
      <c r="GJ160" s="679"/>
      <c r="GK160" s="678"/>
      <c r="GL160" s="650"/>
      <c r="GM160" s="651">
        <f t="shared" si="1280"/>
        <v>0</v>
      </c>
      <c r="GN160" s="619" t="e">
        <f>((273.2+GG160)*$F$32/((273.2+$F$31)*GI160))</f>
        <v>#DIV/0!</v>
      </c>
      <c r="GO160" s="674" t="e">
        <f>GM160/GK160*GN160*EXP(-LN(2)/10990*($F$88-GL160))</f>
        <v>#DIV/0!</v>
      </c>
      <c r="GP160" s="599" t="e">
        <f>GO160-AVERAGE(GW94:GW95)</f>
        <v>#DIV/0!</v>
      </c>
      <c r="GQ160" s="672" t="e">
        <f>ABS($B$33*GP160*3600)</f>
        <v>#DIV/0!</v>
      </c>
      <c r="GR160" s="675" t="e">
        <f>ABS($B$34*GP160*3600)</f>
        <v>#DIV/0!</v>
      </c>
      <c r="GS160" s="672" t="e">
        <f>GR160*$C$79</f>
        <v>#DIV/0!</v>
      </c>
      <c r="GT160" s="672" t="e">
        <f>GR160*$F$70</f>
        <v>#DIV/0!</v>
      </c>
      <c r="GU160" s="600" t="e">
        <f t="shared" si="1281"/>
        <v>#DIV/0!</v>
      </c>
      <c r="GV160" s="672" t="e">
        <f>GR160*$F$72</f>
        <v>#DIV/0!</v>
      </c>
      <c r="GW160" s="676" t="e">
        <f>GR160*$F$71</f>
        <v>#DIV/0!</v>
      </c>
      <c r="GX160" s="668"/>
      <c r="GY160" s="669"/>
      <c r="GZ160" s="670"/>
      <c r="HA160" s="671"/>
      <c r="HB160" s="678"/>
      <c r="HC160" s="650"/>
      <c r="HD160" s="651">
        <f t="shared" si="1282"/>
        <v>0</v>
      </c>
      <c r="HE160" s="619" t="e">
        <f>((273.2+GX160)*$F$32/((273.2+$F$31)*GZ160))</f>
        <v>#DIV/0!</v>
      </c>
      <c r="HF160" s="674" t="e">
        <f>HD160/HB160*HE160*EXP(-LN(2)/10990*($F$88-HC160))</f>
        <v>#DIV/0!</v>
      </c>
      <c r="HG160" s="599" t="e">
        <f>HF160-AVERAGE(HN94:HN95)</f>
        <v>#DIV/0!</v>
      </c>
      <c r="HH160" s="672" t="e">
        <f>ABS($B$33*HG160*3600)</f>
        <v>#DIV/0!</v>
      </c>
      <c r="HI160" s="675" t="e">
        <f>ABS($B$34*HG160*3600)</f>
        <v>#DIV/0!</v>
      </c>
      <c r="HJ160" s="672" t="e">
        <f>HI160*$C$79</f>
        <v>#DIV/0!</v>
      </c>
      <c r="HK160" s="672" t="e">
        <f>HI160*$F$70</f>
        <v>#DIV/0!</v>
      </c>
      <c r="HL160" s="600" t="e">
        <f t="shared" si="1283"/>
        <v>#DIV/0!</v>
      </c>
      <c r="HM160" s="672" t="e">
        <f>HI160*$F$72</f>
        <v>#DIV/0!</v>
      </c>
      <c r="HN160" s="676" t="e">
        <f>HI160*$F$71</f>
        <v>#DIV/0!</v>
      </c>
      <c r="HO160" s="668"/>
      <c r="HP160" s="669"/>
      <c r="HQ160" s="670"/>
      <c r="HR160" s="671"/>
      <c r="HS160" s="678"/>
      <c r="HT160" s="650"/>
      <c r="HU160" s="651">
        <f t="shared" si="1284"/>
        <v>0</v>
      </c>
      <c r="HV160" s="619" t="e">
        <f>((273.2+HO160)*$F$32/((273.2+$F$31)*HQ160))</f>
        <v>#DIV/0!</v>
      </c>
      <c r="HW160" s="674" t="e">
        <f>HU160/HS160*HV160*EXP(-LN(2)/10990*($F$88-HT160))</f>
        <v>#DIV/0!</v>
      </c>
      <c r="HX160" s="599" t="e">
        <f>HW160-AVERAGE(IE94:IE95)</f>
        <v>#DIV/0!</v>
      </c>
      <c r="HY160" s="672" t="e">
        <f>ABS($B$33*HX160*3600)</f>
        <v>#DIV/0!</v>
      </c>
      <c r="HZ160" s="675" t="e">
        <f>ABS($B$34*HX160*3600)</f>
        <v>#DIV/0!</v>
      </c>
      <c r="IA160" s="672" t="e">
        <f>HZ160*$C$79</f>
        <v>#DIV/0!</v>
      </c>
      <c r="IB160" s="672" t="e">
        <f>HZ160*$F$70</f>
        <v>#DIV/0!</v>
      </c>
      <c r="IC160" s="600" t="e">
        <f t="shared" si="1285"/>
        <v>#DIV/0!</v>
      </c>
      <c r="ID160" s="672" t="e">
        <f>HZ160*$F$72</f>
        <v>#DIV/0!</v>
      </c>
      <c r="IE160" s="676" t="e">
        <f>HZ160*$F$71</f>
        <v>#DIV/0!</v>
      </c>
      <c r="IF160" s="668"/>
      <c r="IG160" s="669"/>
      <c r="IH160" s="670"/>
      <c r="II160" s="671"/>
      <c r="IJ160" s="678"/>
      <c r="IK160" s="650"/>
      <c r="IL160" s="651">
        <f t="shared" si="1286"/>
        <v>0</v>
      </c>
      <c r="IM160" s="619" t="e">
        <f>((273.2+IF160)*$F$32/((273.2+$F$31)*IH160))</f>
        <v>#DIV/0!</v>
      </c>
      <c r="IN160" s="674" t="e">
        <f>IL160/IJ160*IM160*EXP(-LN(2)/10990*($F$88-IK160))</f>
        <v>#DIV/0!</v>
      </c>
      <c r="IO160" s="599" t="e">
        <f>IN160-AVERAGE(IV94:IV95)</f>
        <v>#DIV/0!</v>
      </c>
      <c r="IP160" s="672" t="e">
        <f>ABS($B$33*IO160*3600)</f>
        <v>#DIV/0!</v>
      </c>
      <c r="IQ160" s="675" t="e">
        <f>ABS($B$34*IO160*3600)</f>
        <v>#DIV/0!</v>
      </c>
      <c r="IR160" s="672" t="e">
        <f>IQ160*$C$79</f>
        <v>#DIV/0!</v>
      </c>
      <c r="IS160" s="672" t="e">
        <f>IQ160*$F$70</f>
        <v>#DIV/0!</v>
      </c>
      <c r="IT160" s="600" t="e">
        <f t="shared" si="1287"/>
        <v>#DIV/0!</v>
      </c>
      <c r="IU160" s="672" t="e">
        <f>IQ160*$F$72</f>
        <v>#DIV/0!</v>
      </c>
      <c r="IV160" s="676" t="e">
        <f>IQ160*$F$71</f>
        <v>#DIV/0!</v>
      </c>
      <c r="IW160" s="668"/>
      <c r="IX160" s="669"/>
      <c r="IY160" s="670"/>
      <c r="IZ160" s="671"/>
      <c r="JA160" s="678"/>
      <c r="JB160" s="650"/>
      <c r="JC160" s="651">
        <f t="shared" si="1288"/>
        <v>0</v>
      </c>
      <c r="JD160" s="619" t="e">
        <f>((273.2+IW160)*$F$32/((273.2+$F$31)*IY160))</f>
        <v>#DIV/0!</v>
      </c>
      <c r="JE160" s="674" t="e">
        <f>JC160/JA160*JD160*EXP(-LN(2)/10990*($F$88-JB160))</f>
        <v>#DIV/0!</v>
      </c>
      <c r="JF160" s="599" t="e">
        <f>JE160-AVERAGE(JM94:JM95)</f>
        <v>#DIV/0!</v>
      </c>
      <c r="JG160" s="672" t="e">
        <f>ABS($B$33*JF160*3600)</f>
        <v>#DIV/0!</v>
      </c>
      <c r="JH160" s="675" t="e">
        <f>ABS($B$34*JF160*3600)</f>
        <v>#DIV/0!</v>
      </c>
      <c r="JI160" s="672" t="e">
        <f>JH160*$C$79</f>
        <v>#DIV/0!</v>
      </c>
      <c r="JJ160" s="672" t="e">
        <f>JH160*$F$70</f>
        <v>#DIV/0!</v>
      </c>
      <c r="JK160" s="600" t="e">
        <f t="shared" si="1289"/>
        <v>#DIV/0!</v>
      </c>
      <c r="JL160" s="672" t="e">
        <f>JH160*$F$72</f>
        <v>#DIV/0!</v>
      </c>
      <c r="JM160" s="676" t="e">
        <f>JH160*$F$71</f>
        <v>#DIV/0!</v>
      </c>
      <c r="JN160" s="668"/>
      <c r="JO160" s="669"/>
      <c r="JP160" s="670"/>
      <c r="JQ160" s="671"/>
      <c r="JR160" s="678"/>
      <c r="JS160" s="650"/>
      <c r="JT160" s="651">
        <f t="shared" si="1290"/>
        <v>0</v>
      </c>
      <c r="JU160" s="619" t="e">
        <f>((273.2+JN160)*$F$32/((273.2+$F$31)*JP160))</f>
        <v>#DIV/0!</v>
      </c>
      <c r="JV160" s="674" t="e">
        <f>JT160/JR160*JU160*EXP(-LN(2)/10990*($F$88-JS160))</f>
        <v>#DIV/0!</v>
      </c>
      <c r="JW160" s="599" t="e">
        <f>JV160-AVERAGE(KD94:KD95)</f>
        <v>#DIV/0!</v>
      </c>
      <c r="JX160" s="672" t="e">
        <f>ABS($B$33*JW160*3600)</f>
        <v>#DIV/0!</v>
      </c>
      <c r="JY160" s="675" t="e">
        <f>ABS($B$34*JW160*3600)</f>
        <v>#DIV/0!</v>
      </c>
      <c r="JZ160" s="672" t="e">
        <f>JY160*$C$79</f>
        <v>#DIV/0!</v>
      </c>
      <c r="KA160" s="672" t="e">
        <f>JY160*$F$70</f>
        <v>#DIV/0!</v>
      </c>
      <c r="KB160" s="600" t="e">
        <f t="shared" si="1291"/>
        <v>#DIV/0!</v>
      </c>
      <c r="KC160" s="672" t="e">
        <f>JY160*$F$72</f>
        <v>#DIV/0!</v>
      </c>
      <c r="KD160" s="676" t="e">
        <f>JY160*$F$71</f>
        <v>#DIV/0!</v>
      </c>
      <c r="KE160" s="668"/>
      <c r="KF160" s="669"/>
      <c r="KG160" s="670"/>
      <c r="KH160" s="671"/>
      <c r="KI160" s="678"/>
      <c r="KJ160" s="650"/>
      <c r="KK160" s="651">
        <f t="shared" si="1292"/>
        <v>0</v>
      </c>
      <c r="KL160" s="619" t="e">
        <f>((273.2+KE160)*$F$32/((273.2+$F$31)*KG160))</f>
        <v>#DIV/0!</v>
      </c>
      <c r="KM160" s="674" t="e">
        <f>KK160/KI160*KL160*EXP(-LN(2)/10990*($F$88-KJ160))</f>
        <v>#DIV/0!</v>
      </c>
      <c r="KN160" s="599" t="e">
        <f>KM160-AVERAGE(KU94:KU95)</f>
        <v>#DIV/0!</v>
      </c>
      <c r="KO160" s="672" t="e">
        <f>ABS($B$33*KN160*3600)</f>
        <v>#DIV/0!</v>
      </c>
      <c r="KP160" s="675" t="e">
        <f>ABS($B$34*KN160*3600)</f>
        <v>#DIV/0!</v>
      </c>
      <c r="KQ160" s="672" t="e">
        <f>KP160*$C$79</f>
        <v>#DIV/0!</v>
      </c>
      <c r="KR160" s="672" t="e">
        <f>KP160*$F$70</f>
        <v>#DIV/0!</v>
      </c>
      <c r="KS160" s="600" t="e">
        <f t="shared" si="1293"/>
        <v>#DIV/0!</v>
      </c>
      <c r="KT160" s="672" t="e">
        <f>KP160*$F$72</f>
        <v>#DIV/0!</v>
      </c>
      <c r="KU160" s="676" t="e">
        <f>KP160*$F$71</f>
        <v>#DIV/0!</v>
      </c>
      <c r="KV160" s="668"/>
      <c r="KW160" s="669"/>
      <c r="KX160" s="670"/>
      <c r="KY160" s="671"/>
      <c r="KZ160" s="678"/>
      <c r="LA160" s="650"/>
      <c r="LB160" s="651">
        <f t="shared" si="1294"/>
        <v>0</v>
      </c>
      <c r="LC160" s="619" t="e">
        <f>((273.2+KV160)*$F$32/((273.2+$F$31)*KX160))</f>
        <v>#DIV/0!</v>
      </c>
      <c r="LD160" s="674" t="e">
        <f>LB160/KZ160*LC160*EXP(-LN(2)/10990*($F$88-LA160))</f>
        <v>#DIV/0!</v>
      </c>
      <c r="LE160" s="599" t="e">
        <f>LD160-AVERAGE(LL94:LL95)</f>
        <v>#DIV/0!</v>
      </c>
      <c r="LF160" s="672" t="e">
        <f>ABS($B$33*LE160*3600)</f>
        <v>#DIV/0!</v>
      </c>
      <c r="LG160" s="675" t="e">
        <f>ABS($B$34*LE160*3600)</f>
        <v>#DIV/0!</v>
      </c>
      <c r="LH160" s="672" t="e">
        <f>LG160*$C$79</f>
        <v>#DIV/0!</v>
      </c>
      <c r="LI160" s="672" t="e">
        <f>LG160*$F$70</f>
        <v>#DIV/0!</v>
      </c>
      <c r="LJ160" s="600" t="e">
        <f t="shared" si="1295"/>
        <v>#DIV/0!</v>
      </c>
      <c r="LK160" s="672" t="e">
        <f>LG160*$F$72</f>
        <v>#DIV/0!</v>
      </c>
      <c r="LL160" s="676" t="e">
        <f>LG160*$F$71</f>
        <v>#DIV/0!</v>
      </c>
      <c r="LM160" s="668"/>
      <c r="LN160" s="669"/>
      <c r="LO160" s="670"/>
      <c r="LP160" s="671"/>
      <c r="LQ160" s="678"/>
      <c r="LR160" s="650"/>
      <c r="LS160" s="651">
        <f t="shared" si="1296"/>
        <v>0</v>
      </c>
      <c r="LT160" s="619" t="e">
        <f>((273.2+LM160)*$F$32/((273.2+$F$31)*LO160))</f>
        <v>#DIV/0!</v>
      </c>
      <c r="LU160" s="674" t="e">
        <f>LS160/LQ160*LT160*EXP(-LN(2)/10990*($F$88-LR160))</f>
        <v>#DIV/0!</v>
      </c>
      <c r="LV160" s="599" t="e">
        <f>LU160-AVERAGE(MC94:MC95)</f>
        <v>#DIV/0!</v>
      </c>
      <c r="LW160" s="672" t="e">
        <f>ABS($B$33*LV160*3600)</f>
        <v>#DIV/0!</v>
      </c>
      <c r="LX160" s="675" t="e">
        <f>ABS($B$34*LV160*3600)</f>
        <v>#DIV/0!</v>
      </c>
      <c r="LY160" s="672" t="e">
        <f>LX160*$C$79</f>
        <v>#DIV/0!</v>
      </c>
      <c r="LZ160" s="672" t="e">
        <f>LX160*$F$70</f>
        <v>#DIV/0!</v>
      </c>
      <c r="MA160" s="600" t="e">
        <f t="shared" si="1297"/>
        <v>#DIV/0!</v>
      </c>
      <c r="MB160" s="672" t="e">
        <f>LX160*$F$72</f>
        <v>#DIV/0!</v>
      </c>
      <c r="MC160" s="676" t="e">
        <f>LX160*$F$71</f>
        <v>#DIV/0!</v>
      </c>
      <c r="MD160" s="668"/>
      <c r="ME160" s="669"/>
      <c r="MF160" s="670"/>
      <c r="MG160" s="671"/>
      <c r="MH160" s="678"/>
      <c r="MI160" s="650"/>
      <c r="MJ160" s="651">
        <f t="shared" si="1298"/>
        <v>0</v>
      </c>
      <c r="MK160" s="619" t="e">
        <f>((273.2+MD160)*$F$32/((273.2+$F$31)*MF160))</f>
        <v>#DIV/0!</v>
      </c>
      <c r="ML160" s="674" t="e">
        <f>MJ160/MH160*MK160*EXP(-LN(2)/10990*($F$88-MI160))</f>
        <v>#DIV/0!</v>
      </c>
      <c r="MM160" s="599" t="e">
        <f>ML160-AVERAGE(MT94:MT95)</f>
        <v>#DIV/0!</v>
      </c>
      <c r="MN160" s="672" t="e">
        <f>ABS($B$33*MM160*3600)</f>
        <v>#DIV/0!</v>
      </c>
      <c r="MO160" s="675" t="e">
        <f>ABS($B$34*MM160*3600)</f>
        <v>#DIV/0!</v>
      </c>
      <c r="MP160" s="672" t="e">
        <f>MO160*$C$79</f>
        <v>#DIV/0!</v>
      </c>
      <c r="MQ160" s="672" t="e">
        <f>MO160*$F$70</f>
        <v>#DIV/0!</v>
      </c>
      <c r="MR160" s="600" t="e">
        <f t="shared" si="1299"/>
        <v>#DIV/0!</v>
      </c>
      <c r="MS160" s="672" t="e">
        <f>MO160*$F$72</f>
        <v>#DIV/0!</v>
      </c>
      <c r="MT160" s="676" t="e">
        <f>MO160*$F$71</f>
        <v>#DIV/0!</v>
      </c>
      <c r="MU160" s="668"/>
      <c r="MV160" s="669"/>
      <c r="MW160" s="670"/>
      <c r="MX160" s="671"/>
      <c r="MY160" s="678"/>
      <c r="MZ160" s="650"/>
      <c r="NA160" s="651">
        <f t="shared" si="1300"/>
        <v>0</v>
      </c>
      <c r="NB160" s="619" t="e">
        <f>((273.2+MU160)*$F$32/((273.2+$F$31)*MW160))</f>
        <v>#DIV/0!</v>
      </c>
      <c r="NC160" s="674" t="e">
        <f>NA160/MY160*NB160*EXP(-LN(2)/10990*($F$88-MZ160))</f>
        <v>#DIV/0!</v>
      </c>
      <c r="ND160" s="599" t="e">
        <f>NC160-AVERAGE(NK94:NK95)</f>
        <v>#DIV/0!</v>
      </c>
      <c r="NE160" s="672" t="e">
        <f>ABS($B$33*ND160*3600)</f>
        <v>#DIV/0!</v>
      </c>
      <c r="NF160" s="675" t="e">
        <f>ABS($B$34*ND160*3600)</f>
        <v>#DIV/0!</v>
      </c>
      <c r="NG160" s="672" t="e">
        <f>NF160*$C$79</f>
        <v>#DIV/0!</v>
      </c>
      <c r="NH160" s="672" t="e">
        <f>NF160*$F$70</f>
        <v>#DIV/0!</v>
      </c>
      <c r="NI160" s="600" t="e">
        <f t="shared" si="1301"/>
        <v>#DIV/0!</v>
      </c>
      <c r="NJ160" s="672" t="e">
        <f>NF160*$F$72</f>
        <v>#DIV/0!</v>
      </c>
      <c r="NK160" s="676" t="e">
        <f>NF160*$F$71</f>
        <v>#DIV/0!</v>
      </c>
      <c r="NL160" s="668"/>
      <c r="NM160" s="669"/>
      <c r="NN160" s="670"/>
      <c r="NO160" s="671"/>
      <c r="NP160" s="678"/>
      <c r="NQ160" s="650"/>
      <c r="NR160" s="651">
        <f t="shared" si="1302"/>
        <v>0</v>
      </c>
      <c r="NS160" s="619" t="e">
        <f>((273.2+NL160)*$F$32/((273.2+$F$31)*NN160))</f>
        <v>#DIV/0!</v>
      </c>
      <c r="NT160" s="674" t="e">
        <f>NR160/NP160*NS160*EXP(-LN(2)/10990*($F$88-NQ160))</f>
        <v>#DIV/0!</v>
      </c>
      <c r="NU160" s="599" t="e">
        <f>NT160-AVERAGE(OB94:OB95)</f>
        <v>#DIV/0!</v>
      </c>
      <c r="NV160" s="672" t="e">
        <f>ABS($B$33*NU160*3600)</f>
        <v>#DIV/0!</v>
      </c>
      <c r="NW160" s="675" t="e">
        <f>ABS($B$34*NU160*3600)</f>
        <v>#DIV/0!</v>
      </c>
      <c r="NX160" s="672" t="e">
        <f>NW160*$C$79</f>
        <v>#DIV/0!</v>
      </c>
      <c r="NY160" s="672" t="e">
        <f>NW160*$F$70</f>
        <v>#DIV/0!</v>
      </c>
      <c r="NZ160" s="600" t="e">
        <f t="shared" si="1303"/>
        <v>#DIV/0!</v>
      </c>
      <c r="OA160" s="672" t="e">
        <f>NW160*$F$72</f>
        <v>#DIV/0!</v>
      </c>
      <c r="OB160" s="676" t="e">
        <f>NW160*$F$71</f>
        <v>#DIV/0!</v>
      </c>
      <c r="OC160" s="668"/>
      <c r="OD160" s="669"/>
      <c r="OE160" s="670"/>
      <c r="OF160" s="671"/>
      <c r="OG160" s="678"/>
      <c r="OH160" s="650"/>
      <c r="OI160" s="651">
        <f t="shared" si="1304"/>
        <v>0</v>
      </c>
      <c r="OJ160" s="619" t="e">
        <f>((273.2+OC160)*$F$32/((273.2+$F$31)*OE160))</f>
        <v>#DIV/0!</v>
      </c>
      <c r="OK160" s="674" t="e">
        <f>OI160/OG160*OJ160*EXP(-LN(2)/10990*($F$88-OH160))</f>
        <v>#DIV/0!</v>
      </c>
      <c r="OL160" s="599" t="e">
        <f>OK160-AVERAGE(OS94:OS95)</f>
        <v>#DIV/0!</v>
      </c>
      <c r="OM160" s="672" t="e">
        <f>ABS($B$33*OL160*3600)</f>
        <v>#DIV/0!</v>
      </c>
      <c r="ON160" s="675" t="e">
        <f>ABS($B$34*OL160*3600)</f>
        <v>#DIV/0!</v>
      </c>
      <c r="OO160" s="672" t="e">
        <f>ON160*$C$79</f>
        <v>#DIV/0!</v>
      </c>
      <c r="OP160" s="672" t="e">
        <f>ON160*$F$70</f>
        <v>#DIV/0!</v>
      </c>
      <c r="OQ160" s="600" t="e">
        <f t="shared" si="1305"/>
        <v>#DIV/0!</v>
      </c>
      <c r="OR160" s="672" t="e">
        <f>ON160*$F$72</f>
        <v>#DIV/0!</v>
      </c>
      <c r="OS160" s="676" t="e">
        <f>ON160*$F$71</f>
        <v>#DIV/0!</v>
      </c>
      <c r="OT160" s="668"/>
      <c r="OU160" s="669"/>
      <c r="OV160" s="670"/>
      <c r="OW160" s="671"/>
      <c r="OX160" s="678"/>
      <c r="OY160" s="650"/>
      <c r="OZ160" s="651">
        <f t="shared" si="1306"/>
        <v>0</v>
      </c>
      <c r="PA160" s="619" t="e">
        <f>((273.2+OT160)*$F$32/((273.2+$F$31)*OV160))</f>
        <v>#DIV/0!</v>
      </c>
      <c r="PB160" s="674" t="e">
        <f>OZ160/OX160*PA160*EXP(-LN(2)/10990*($F$88-OY160))</f>
        <v>#DIV/0!</v>
      </c>
      <c r="PC160" s="599" t="e">
        <f>PB160-AVERAGE(PJ94:PJ95)</f>
        <v>#DIV/0!</v>
      </c>
      <c r="PD160" s="672" t="e">
        <f>ABS($B$33*PC160*3600)</f>
        <v>#DIV/0!</v>
      </c>
      <c r="PE160" s="675" t="e">
        <f>ABS($B$34*PC160*3600)</f>
        <v>#DIV/0!</v>
      </c>
      <c r="PF160" s="672" t="e">
        <f>PE160*$C$79</f>
        <v>#DIV/0!</v>
      </c>
      <c r="PG160" s="672" t="e">
        <f>PE160*$F$70</f>
        <v>#DIV/0!</v>
      </c>
      <c r="PH160" s="600" t="e">
        <f t="shared" si="1307"/>
        <v>#DIV/0!</v>
      </c>
      <c r="PI160" s="672" t="e">
        <f>PE160*$F$72</f>
        <v>#DIV/0!</v>
      </c>
      <c r="PJ160" s="676" t="e">
        <f>PE160*$F$71</f>
        <v>#DIV/0!</v>
      </c>
      <c r="PK160" s="668"/>
      <c r="PL160" s="669"/>
      <c r="PM160" s="670"/>
      <c r="PN160" s="671"/>
      <c r="PO160" s="678"/>
      <c r="PP160" s="650"/>
      <c r="PQ160" s="651">
        <f t="shared" si="1308"/>
        <v>0</v>
      </c>
      <c r="PR160" s="619" t="e">
        <f>((273.2+PK160)*$F$32/((273.2+$F$31)*PM160))</f>
        <v>#DIV/0!</v>
      </c>
      <c r="PS160" s="674" t="e">
        <f>PQ160/PO160*PR160*EXP(-LN(2)/10990*($F$88-PP160))</f>
        <v>#DIV/0!</v>
      </c>
      <c r="PT160" s="599" t="e">
        <f>PS160-AVERAGE(QA94:QA95)</f>
        <v>#DIV/0!</v>
      </c>
      <c r="PU160" s="672" t="e">
        <f>ABS($B$33*PT160*3600)</f>
        <v>#DIV/0!</v>
      </c>
      <c r="PV160" s="675" t="e">
        <f>ABS($B$34*PT160*3600)</f>
        <v>#DIV/0!</v>
      </c>
      <c r="PW160" s="672" t="e">
        <f>PV160*$C$79</f>
        <v>#DIV/0!</v>
      </c>
      <c r="PX160" s="672" t="e">
        <f>PV160*$F$70</f>
        <v>#DIV/0!</v>
      </c>
      <c r="PY160" s="600" t="e">
        <f t="shared" si="1309"/>
        <v>#DIV/0!</v>
      </c>
      <c r="PZ160" s="672" t="e">
        <f>PV160*$F$72</f>
        <v>#DIV/0!</v>
      </c>
      <c r="QA160" s="676" t="e">
        <f>PV160*$F$71</f>
        <v>#DIV/0!</v>
      </c>
      <c r="QB160" s="668"/>
      <c r="QC160" s="669"/>
      <c r="QD160" s="670"/>
      <c r="QE160" s="671"/>
      <c r="QF160" s="673">
        <v>100</v>
      </c>
      <c r="QG160" s="650"/>
      <c r="QH160" s="651">
        <f t="shared" si="1310"/>
        <v>0</v>
      </c>
      <c r="QI160" s="619" t="e">
        <f>((273.2+QB160)*$F$32/((273.2+$F$31)*QD160))</f>
        <v>#DIV/0!</v>
      </c>
      <c r="QJ160" s="674" t="e">
        <f>QH160/QF160*QI160*EXP(-LN(2)/10990*($F$88-QG160))</f>
        <v>#DIV/0!</v>
      </c>
      <c r="QK160" s="599" t="e">
        <f>QJ160-AVERAGE(QR94:QR95)</f>
        <v>#DIV/0!</v>
      </c>
      <c r="QL160" s="672" t="e">
        <f>ABS($B$33*QK160*3600)</f>
        <v>#DIV/0!</v>
      </c>
      <c r="QM160" s="675" t="e">
        <f>ABS($B$34*QK160*3600)</f>
        <v>#DIV/0!</v>
      </c>
      <c r="QN160" s="672" t="e">
        <f>QM160*$C$79</f>
        <v>#DIV/0!</v>
      </c>
      <c r="QO160" s="672" t="e">
        <f>QM160*$F$70</f>
        <v>#DIV/0!</v>
      </c>
      <c r="QP160" s="600" t="e">
        <f t="shared" si="1311"/>
        <v>#DIV/0!</v>
      </c>
      <c r="QQ160" s="672" t="e">
        <f>QM160*$F$72</f>
        <v>#DIV/0!</v>
      </c>
      <c r="QR160" s="676" t="e">
        <f>QM160*$F$71</f>
        <v>#DIV/0!</v>
      </c>
      <c r="QS160" s="668"/>
      <c r="QT160" s="669"/>
      <c r="QU160" s="669"/>
      <c r="QV160" s="679"/>
      <c r="QW160" s="673">
        <v>100</v>
      </c>
      <c r="QX160" s="650"/>
      <c r="QY160" s="651">
        <f t="shared" si="1312"/>
        <v>0</v>
      </c>
      <c r="QZ160" s="619" t="e">
        <f>((273.2+QS160)*$F$32/((273.2+$F$31)*QU160))</f>
        <v>#DIV/0!</v>
      </c>
      <c r="RA160" s="674" t="e">
        <f>QY160/QW160*QZ160*EXP(-LN(2)/10990*($F$88-QX160))</f>
        <v>#DIV/0!</v>
      </c>
      <c r="RB160" s="599" t="e">
        <f>RA160-AVERAGE(RI94:RI95)</f>
        <v>#DIV/0!</v>
      </c>
      <c r="RC160" s="672" t="e">
        <f>ABS($B$33*RB160*3600)</f>
        <v>#DIV/0!</v>
      </c>
      <c r="RD160" s="675" t="e">
        <f>ABS($B$34*RB160*3600)</f>
        <v>#DIV/0!</v>
      </c>
      <c r="RE160" s="672" t="e">
        <f>RD160*$C$79</f>
        <v>#DIV/0!</v>
      </c>
      <c r="RF160" s="672" t="e">
        <f>RD160*$F$70</f>
        <v>#DIV/0!</v>
      </c>
      <c r="RG160" s="600" t="e">
        <f t="shared" si="1313"/>
        <v>#DIV/0!</v>
      </c>
      <c r="RH160" s="672" t="e">
        <f>RD160*$F$72</f>
        <v>#DIV/0!</v>
      </c>
      <c r="RI160" s="676" t="e">
        <f>RD160*$F$71</f>
        <v>#DIV/0!</v>
      </c>
      <c r="RJ160" s="668"/>
      <c r="RK160" s="669"/>
      <c r="RL160" s="670"/>
      <c r="RM160" s="671"/>
      <c r="RN160" s="678"/>
      <c r="RO160" s="650"/>
      <c r="RP160" s="651">
        <f t="shared" si="1314"/>
        <v>0</v>
      </c>
      <c r="RQ160" s="619" t="e">
        <f>((273.2+RJ160)*$F$32/((273.2+$F$31)*RL160))</f>
        <v>#DIV/0!</v>
      </c>
      <c r="RR160" s="674" t="e">
        <f>RP160/RN160*RQ160*EXP(-LN(2)/10990*($F$88-RO160))</f>
        <v>#DIV/0!</v>
      </c>
      <c r="RS160" s="599" t="e">
        <f>RR160-AVERAGE(RZ94:RZ95)</f>
        <v>#DIV/0!</v>
      </c>
      <c r="RT160" s="672" t="e">
        <f>ABS($B$33*RS160*3600)</f>
        <v>#DIV/0!</v>
      </c>
      <c r="RU160" s="675" t="e">
        <f>ABS($B$34*RS160*3600)</f>
        <v>#DIV/0!</v>
      </c>
      <c r="RV160" s="672" t="e">
        <f>RU160*$C$79</f>
        <v>#DIV/0!</v>
      </c>
      <c r="RW160" s="672" t="e">
        <f>RU160*$F$70</f>
        <v>#DIV/0!</v>
      </c>
      <c r="RX160" s="600" t="e">
        <f t="shared" si="1315"/>
        <v>#DIV/0!</v>
      </c>
      <c r="RY160" s="672" t="e">
        <f>RU160*$F$72</f>
        <v>#DIV/0!</v>
      </c>
      <c r="RZ160" s="676" t="e">
        <f>RU160*$F$71</f>
        <v>#DIV/0!</v>
      </c>
      <c r="SA160" s="668"/>
      <c r="SB160" s="669"/>
      <c r="SC160" s="670"/>
      <c r="SD160" s="671"/>
      <c r="SE160" s="678"/>
      <c r="SF160" s="650"/>
      <c r="SG160" s="651">
        <f t="shared" si="1316"/>
        <v>0</v>
      </c>
      <c r="SH160" s="619" t="e">
        <f>((273.2+SA160)*$F$32/((273.2+$F$31)*SC160))</f>
        <v>#DIV/0!</v>
      </c>
      <c r="SI160" s="674" t="e">
        <f>SG160/SE160*SH160*EXP(-LN(2)/10990*($F$88-SF160))</f>
        <v>#DIV/0!</v>
      </c>
      <c r="SJ160" s="599" t="e">
        <f>SI160-AVERAGE(SQ94:SQ95)</f>
        <v>#DIV/0!</v>
      </c>
      <c r="SK160" s="672" t="e">
        <f>ABS($B$33*SJ160*3600)</f>
        <v>#DIV/0!</v>
      </c>
      <c r="SL160" s="675" t="e">
        <f>ABS($B$34*SJ160*3600)</f>
        <v>#DIV/0!</v>
      </c>
      <c r="SM160" s="672" t="e">
        <f>SL160*$C$79</f>
        <v>#DIV/0!</v>
      </c>
      <c r="SN160" s="672" t="e">
        <f>SL160*$F$70</f>
        <v>#DIV/0!</v>
      </c>
      <c r="SO160" s="600" t="e">
        <f t="shared" si="1317"/>
        <v>#DIV/0!</v>
      </c>
      <c r="SP160" s="672" t="e">
        <f>SL160*$F$72</f>
        <v>#DIV/0!</v>
      </c>
      <c r="SQ160" s="676" t="e">
        <f>SL160*$F$71</f>
        <v>#DIV/0!</v>
      </c>
      <c r="SR160" s="668"/>
      <c r="SS160" s="669"/>
      <c r="ST160" s="670"/>
      <c r="SU160" s="671"/>
      <c r="SV160" s="678"/>
      <c r="SW160" s="650"/>
      <c r="SX160" s="651">
        <f t="shared" si="1318"/>
        <v>0</v>
      </c>
      <c r="SY160" s="619" t="e">
        <f>((273.2+SR160)*$F$32/((273.2+$F$31)*ST160))</f>
        <v>#DIV/0!</v>
      </c>
      <c r="SZ160" s="674" t="e">
        <f>SX160/SV160*SY160*EXP(-LN(2)/10990*($F$88-SW160))</f>
        <v>#DIV/0!</v>
      </c>
      <c r="TA160" s="599" t="e">
        <f>SZ160-AVERAGE(TH94:TH95)</f>
        <v>#DIV/0!</v>
      </c>
      <c r="TB160" s="672" t="e">
        <f>ABS($B$33*TA160*3600)</f>
        <v>#DIV/0!</v>
      </c>
      <c r="TC160" s="675" t="e">
        <f>ABS($B$34*TA160*3600)</f>
        <v>#DIV/0!</v>
      </c>
      <c r="TD160" s="672" t="e">
        <f>TC160*$C$79</f>
        <v>#DIV/0!</v>
      </c>
      <c r="TE160" s="672" t="e">
        <f>TC160*$F$70</f>
        <v>#DIV/0!</v>
      </c>
      <c r="TF160" s="600" t="e">
        <f t="shared" si="1319"/>
        <v>#DIV/0!</v>
      </c>
      <c r="TG160" s="672" t="e">
        <f>TC160*$F$72</f>
        <v>#DIV/0!</v>
      </c>
      <c r="TH160" s="675" t="e">
        <f>TC160*$F$71</f>
        <v>#DIV/0!</v>
      </c>
      <c r="TI160" s="668"/>
      <c r="TJ160" s="669"/>
      <c r="TK160" s="670"/>
      <c r="TL160" s="671"/>
      <c r="TM160" s="678"/>
      <c r="TN160" s="650"/>
      <c r="TO160" s="651">
        <f t="shared" si="1320"/>
        <v>0</v>
      </c>
      <c r="TP160" s="619" t="e">
        <f>((273.2+TI160)*$F$32/((273.2+$F$31)*TK160))</f>
        <v>#DIV/0!</v>
      </c>
      <c r="TQ160" s="674" t="e">
        <f>TO160/TM160*TP160*EXP(-LN(2)/10990*($F$88-TN160))</f>
        <v>#DIV/0!</v>
      </c>
      <c r="TR160" s="599" t="e">
        <f>TQ160-AVERAGE(TY94:TY95)</f>
        <v>#DIV/0!</v>
      </c>
      <c r="TS160" s="672" t="e">
        <f>ABS($B$33*TR160*3600)</f>
        <v>#DIV/0!</v>
      </c>
      <c r="TT160" s="675" t="e">
        <f>ABS($B$34*TR160*3600)</f>
        <v>#DIV/0!</v>
      </c>
      <c r="TU160" s="672" t="e">
        <f>TT160*$C$79</f>
        <v>#DIV/0!</v>
      </c>
      <c r="TV160" s="672" t="e">
        <f>TT160*$F$70</f>
        <v>#DIV/0!</v>
      </c>
      <c r="TW160" s="600" t="e">
        <f t="shared" si="1321"/>
        <v>#DIV/0!</v>
      </c>
      <c r="TX160" s="672" t="e">
        <f>TT160*$F$72</f>
        <v>#DIV/0!</v>
      </c>
      <c r="TY160" s="676" t="e">
        <f>TT160*$F$71</f>
        <v>#DIV/0!</v>
      </c>
    </row>
    <row r="161" spans="1:545" x14ac:dyDescent="0.25">
      <c r="A161" s="2219"/>
      <c r="B161" s="668"/>
      <c r="C161" s="673"/>
      <c r="D161" s="673"/>
      <c r="E161" s="671"/>
      <c r="F161" s="673"/>
      <c r="G161" s="650"/>
      <c r="H161" s="651"/>
      <c r="I161" s="619"/>
      <c r="J161" s="674"/>
      <c r="K161" s="599"/>
      <c r="L161" s="672"/>
      <c r="M161" s="675"/>
      <c r="N161" s="614"/>
      <c r="O161" s="672"/>
      <c r="P161" s="600"/>
      <c r="Q161" s="672"/>
      <c r="R161" s="676"/>
      <c r="S161" s="677"/>
      <c r="T161" s="669"/>
      <c r="U161" s="670"/>
      <c r="V161" s="671"/>
      <c r="W161" s="678"/>
      <c r="X161" s="650"/>
      <c r="Y161" s="651">
        <f t="shared" si="1260"/>
        <v>0</v>
      </c>
      <c r="Z161" s="619" t="e">
        <f>((273.2+S161)*$F$32/((273.2+$F$31)*U161))</f>
        <v>#DIV/0!</v>
      </c>
      <c r="AA161" s="674" t="e">
        <f>Y161/W161*Z161*EXP(-LN(2)/10990*($F$88-X161))</f>
        <v>#DIV/0!</v>
      </c>
      <c r="AB161" s="599" t="e">
        <f>AA161-AVERAGE(AI94:AI95)</f>
        <v>#DIV/0!</v>
      </c>
      <c r="AC161" s="672" t="e">
        <f>ABS($B$33*AB161*3600)</f>
        <v>#DIV/0!</v>
      </c>
      <c r="AD161" s="675" t="e">
        <f>ABS($B$34*AB161*3600)</f>
        <v>#DIV/0!</v>
      </c>
      <c r="AE161" s="614" t="e">
        <f>AD161*$C$79</f>
        <v>#DIV/0!</v>
      </c>
      <c r="AF161" s="672" t="e">
        <f>AD161*$F$70</f>
        <v>#DIV/0!</v>
      </c>
      <c r="AG161" s="600" t="e">
        <f>AD161*$F$75</f>
        <v>#DIV/0!</v>
      </c>
      <c r="AH161" s="672" t="e">
        <f>AD161*$F$72</f>
        <v>#DIV/0!</v>
      </c>
      <c r="AI161" s="676" t="e">
        <f>AD161*$F$71</f>
        <v>#DIV/0!</v>
      </c>
      <c r="AJ161" s="677"/>
      <c r="AK161" s="669"/>
      <c r="AL161" s="670"/>
      <c r="AM161" s="671"/>
      <c r="AN161" s="678"/>
      <c r="AO161" s="650"/>
      <c r="AP161" s="651">
        <f t="shared" si="1262"/>
        <v>0</v>
      </c>
      <c r="AQ161" s="619" t="e">
        <f>((273.2+AJ161)*$F$32/((273.2+$F$31)*AL161))</f>
        <v>#DIV/0!</v>
      </c>
      <c r="AR161" s="674" t="e">
        <f>AP161/AN161*AQ161*EXP(-LN(2)/10990*($F$88-AO161))</f>
        <v>#DIV/0!</v>
      </c>
      <c r="AS161" s="599" t="e">
        <f>AR161-AVERAGE(AZ94:AZ95)</f>
        <v>#DIV/0!</v>
      </c>
      <c r="AT161" s="672" t="e">
        <f>ABS($B$33*AS161*3600)</f>
        <v>#DIV/0!</v>
      </c>
      <c r="AU161" s="675" t="e">
        <f>ABS($B$34*AS161*3600)</f>
        <v>#DIV/0!</v>
      </c>
      <c r="AV161" s="614" t="e">
        <f>AU161*$C$79</f>
        <v>#DIV/0!</v>
      </c>
      <c r="AW161" s="672" t="e">
        <f>AU161*$F$70</f>
        <v>#DIV/0!</v>
      </c>
      <c r="AX161" s="600" t="e">
        <f>AU161*$F$75</f>
        <v>#DIV/0!</v>
      </c>
      <c r="AY161" s="672" t="e">
        <f>AU161*$F$72</f>
        <v>#DIV/0!</v>
      </c>
      <c r="AZ161" s="676" t="e">
        <f>AU161*$F$71</f>
        <v>#DIV/0!</v>
      </c>
      <c r="BA161" s="668"/>
      <c r="BB161" s="669"/>
      <c r="BC161" s="670"/>
      <c r="BD161" s="671"/>
      <c r="BE161" s="678"/>
      <c r="BF161" s="650"/>
      <c r="BG161" s="651">
        <f t="shared" si="1264"/>
        <v>0</v>
      </c>
      <c r="BH161" s="619" t="e">
        <f>((273.2+BA161)*$F$32/((273.2+$F$31)*BC161))</f>
        <v>#DIV/0!</v>
      </c>
      <c r="BI161" s="674" t="e">
        <f>BG161/BE161*BH161*EXP(-LN(2)/10990*($F$88-BF161))</f>
        <v>#DIV/0!</v>
      </c>
      <c r="BJ161" s="599" t="e">
        <f>BI161-AVERAGE(BQ94:BQ95)</f>
        <v>#DIV/0!</v>
      </c>
      <c r="BK161" s="672" t="e">
        <f>ABS($B$33*BJ161*3600)</f>
        <v>#DIV/0!</v>
      </c>
      <c r="BL161" s="675" t="e">
        <f>ABS($B$34*BJ161*3600)</f>
        <v>#DIV/0!</v>
      </c>
      <c r="BM161" s="614" t="e">
        <f>BL161*$C$79</f>
        <v>#DIV/0!</v>
      </c>
      <c r="BN161" s="672" t="e">
        <f>BL161*$F$70</f>
        <v>#DIV/0!</v>
      </c>
      <c r="BO161" s="600" t="e">
        <f>BL161*$F$75</f>
        <v>#DIV/0!</v>
      </c>
      <c r="BP161" s="672" t="e">
        <f>BL161*$F$72</f>
        <v>#DIV/0!</v>
      </c>
      <c r="BQ161" s="676" t="e">
        <f>BL161*$F$71</f>
        <v>#DIV/0!</v>
      </c>
      <c r="BR161" s="668"/>
      <c r="BS161" s="669"/>
      <c r="BT161" s="670"/>
      <c r="BU161" s="671"/>
      <c r="BV161" s="678"/>
      <c r="BW161" s="650"/>
      <c r="BX161" s="651">
        <f t="shared" si="1266"/>
        <v>0</v>
      </c>
      <c r="BY161" s="619" t="e">
        <f>((273.2+BR161)*$F$32/((273.2+$F$31)*BT161))</f>
        <v>#DIV/0!</v>
      </c>
      <c r="BZ161" s="674" t="e">
        <f>BX161/BV161*BY161*EXP(-LN(2)/10990*($F$88-BW161))</f>
        <v>#DIV/0!</v>
      </c>
      <c r="CA161" s="599" t="e">
        <f>BZ161-AVERAGE(CH94:CH95)</f>
        <v>#DIV/0!</v>
      </c>
      <c r="CB161" s="672" t="e">
        <f>ABS($B$33*CA161*3600)</f>
        <v>#DIV/0!</v>
      </c>
      <c r="CC161" s="675" t="e">
        <f>ABS($B$34*CA161*3600)</f>
        <v>#DIV/0!</v>
      </c>
      <c r="CD161" s="614" t="e">
        <f>CC161*$C$79</f>
        <v>#DIV/0!</v>
      </c>
      <c r="CE161" s="672" t="e">
        <f>CC161*$F$70</f>
        <v>#DIV/0!</v>
      </c>
      <c r="CF161" s="600" t="e">
        <f>CC161*$F$75</f>
        <v>#DIV/0!</v>
      </c>
      <c r="CG161" s="672" t="e">
        <f>CC161*$F$72</f>
        <v>#DIV/0!</v>
      </c>
      <c r="CH161" s="676" t="e">
        <f>CC161*$F$71</f>
        <v>#DIV/0!</v>
      </c>
      <c r="CI161" s="668"/>
      <c r="CJ161" s="669"/>
      <c r="CK161" s="670"/>
      <c r="CL161" s="671"/>
      <c r="CM161" s="678"/>
      <c r="CN161" s="650"/>
      <c r="CO161" s="651">
        <f t="shared" si="1268"/>
        <v>0</v>
      </c>
      <c r="CP161" s="619" t="e">
        <f>((273.2+CI161)*$F$32/((273.2+$F$31)*CK161))</f>
        <v>#DIV/0!</v>
      </c>
      <c r="CQ161" s="674" t="e">
        <f>CO161/CM161*CP161*EXP(-LN(2)/10990*($F$88-CN161))</f>
        <v>#DIV/0!</v>
      </c>
      <c r="CR161" s="599" t="e">
        <f>CQ161-AVERAGE(CY94:CY95)</f>
        <v>#DIV/0!</v>
      </c>
      <c r="CS161" s="672" t="e">
        <f>ABS($B$33*CR161*3600)</f>
        <v>#DIV/0!</v>
      </c>
      <c r="CT161" s="675" t="e">
        <f>ABS($B$34*CR161*3600)</f>
        <v>#DIV/0!</v>
      </c>
      <c r="CU161" s="614" t="e">
        <f>CT161*$C$79</f>
        <v>#DIV/0!</v>
      </c>
      <c r="CV161" s="672" t="e">
        <f>CT161*$F$70</f>
        <v>#DIV/0!</v>
      </c>
      <c r="CW161" s="600" t="e">
        <f>CT161*$F$75</f>
        <v>#DIV/0!</v>
      </c>
      <c r="CX161" s="672" t="e">
        <f>CT161*$F$72</f>
        <v>#DIV/0!</v>
      </c>
      <c r="CY161" s="676" t="e">
        <f>CT161*$F$71</f>
        <v>#DIV/0!</v>
      </c>
      <c r="CZ161" s="668"/>
      <c r="DA161" s="669"/>
      <c r="DB161" s="670"/>
      <c r="DC161" s="671"/>
      <c r="DD161" s="678"/>
      <c r="DE161" s="650"/>
      <c r="DF161" s="651">
        <f t="shared" si="1270"/>
        <v>0</v>
      </c>
      <c r="DG161" s="619" t="e">
        <f>((273.2+CZ161)*$F$32/((273.2+$F$31)*DB161))</f>
        <v>#DIV/0!</v>
      </c>
      <c r="DH161" s="674" t="e">
        <f>DF161/DD161*DG161*EXP(-LN(2)/10990*($F$88-DE161))</f>
        <v>#DIV/0!</v>
      </c>
      <c r="DI161" s="599" t="e">
        <f>DH161-AVERAGE(DP94:DP95)</f>
        <v>#DIV/0!</v>
      </c>
      <c r="DJ161" s="672" t="e">
        <f>ABS($B$33*DI161*3600)</f>
        <v>#DIV/0!</v>
      </c>
      <c r="DK161" s="675" t="e">
        <f>ABS($B$34*DI161*3600)</f>
        <v>#DIV/0!</v>
      </c>
      <c r="DL161" s="614" t="e">
        <f>DK161*$C$79</f>
        <v>#DIV/0!</v>
      </c>
      <c r="DM161" s="672" t="e">
        <f>DK161*$F$70</f>
        <v>#DIV/0!</v>
      </c>
      <c r="DN161" s="600" t="e">
        <f>DK161*$F$75</f>
        <v>#DIV/0!</v>
      </c>
      <c r="DO161" s="672" t="e">
        <f>DK161*$F$72</f>
        <v>#DIV/0!</v>
      </c>
      <c r="DP161" s="676" t="e">
        <f>DK161*$F$71</f>
        <v>#DIV/0!</v>
      </c>
      <c r="DQ161" s="668"/>
      <c r="DR161" s="669"/>
      <c r="DS161" s="677"/>
      <c r="DT161" s="679"/>
      <c r="DU161" s="678"/>
      <c r="DV161" s="650"/>
      <c r="DW161" s="651">
        <f t="shared" si="1272"/>
        <v>0</v>
      </c>
      <c r="DX161" s="619" t="e">
        <f>((273.2+DQ161)*$F$32/((273.2+$F$31)*DS161))</f>
        <v>#DIV/0!</v>
      </c>
      <c r="DY161" s="674" t="e">
        <f>DW161/DU161*DX161*EXP(-LN(2)/10990*($F$88-DV161))</f>
        <v>#DIV/0!</v>
      </c>
      <c r="DZ161" s="599" t="e">
        <f>DY161-AVERAGE(EG94:EG95)</f>
        <v>#DIV/0!</v>
      </c>
      <c r="EA161" s="672" t="e">
        <f>ABS($B$33*DZ161*3600)</f>
        <v>#DIV/0!</v>
      </c>
      <c r="EB161" s="675" t="e">
        <f>ABS($B$34*DZ161*3600)</f>
        <v>#DIV/0!</v>
      </c>
      <c r="EC161" s="614" t="e">
        <f>EB161*$C$79</f>
        <v>#DIV/0!</v>
      </c>
      <c r="ED161" s="672" t="e">
        <f>EB161*$F$70</f>
        <v>#DIV/0!</v>
      </c>
      <c r="EE161" s="600" t="e">
        <f>EB161*$F$75</f>
        <v>#DIV/0!</v>
      </c>
      <c r="EF161" s="672" t="e">
        <f>EB161*$F$72</f>
        <v>#DIV/0!</v>
      </c>
      <c r="EG161" s="676" t="e">
        <f>EB161*$F$71</f>
        <v>#DIV/0!</v>
      </c>
      <c r="EH161" s="668"/>
      <c r="EI161" s="669"/>
      <c r="EJ161" s="670"/>
      <c r="EK161" s="671"/>
      <c r="EL161" s="678"/>
      <c r="EM161" s="650"/>
      <c r="EN161" s="651">
        <f t="shared" si="1274"/>
        <v>0</v>
      </c>
      <c r="EO161" s="619" t="e">
        <f>((273.2+EH161)*$F$32/((273.2+$F$31)*EJ161))</f>
        <v>#DIV/0!</v>
      </c>
      <c r="EP161" s="674" t="e">
        <f>EN161/EL161*EO161*EXP(-LN(2)/10990*($F$88-EM161))</f>
        <v>#DIV/0!</v>
      </c>
      <c r="EQ161" s="599" t="e">
        <f>EP161-AVERAGE(EX94:EX95)</f>
        <v>#DIV/0!</v>
      </c>
      <c r="ER161" s="672" t="e">
        <f>ABS($B$33*EQ161*3600)</f>
        <v>#DIV/0!</v>
      </c>
      <c r="ES161" s="675" t="e">
        <f>ABS($B$34*EQ161*3600)</f>
        <v>#DIV/0!</v>
      </c>
      <c r="ET161" s="614" t="e">
        <f>ES161*$C$79</f>
        <v>#DIV/0!</v>
      </c>
      <c r="EU161" s="672" t="e">
        <f>ES161*$F$70</f>
        <v>#DIV/0!</v>
      </c>
      <c r="EV161" s="600" t="e">
        <f>ES161*$F$75</f>
        <v>#DIV/0!</v>
      </c>
      <c r="EW161" s="672" t="e">
        <f>ES161*$F$72</f>
        <v>#DIV/0!</v>
      </c>
      <c r="EX161" s="676" t="e">
        <f>ES161*$F$71</f>
        <v>#DIV/0!</v>
      </c>
      <c r="EY161" s="668"/>
      <c r="EZ161" s="669"/>
      <c r="FA161" s="670"/>
      <c r="FB161" s="671"/>
      <c r="FC161" s="678"/>
      <c r="FD161" s="650"/>
      <c r="FE161" s="651">
        <f t="shared" si="1276"/>
        <v>0</v>
      </c>
      <c r="FF161" s="619" t="e">
        <f>((273.2+EY161)*$F$32/((273.2+$F$31)*FA161))</f>
        <v>#DIV/0!</v>
      </c>
      <c r="FG161" s="674" t="e">
        <f>FE161/FC161*FF161*EXP(-LN(2)/10990*($F$88-FD161))</f>
        <v>#DIV/0!</v>
      </c>
      <c r="FH161" s="599" t="e">
        <f>FG161-AVERAGE(FO94:FO95)</f>
        <v>#DIV/0!</v>
      </c>
      <c r="FI161" s="672" t="e">
        <f>ABS($B$33*FH161*3600)</f>
        <v>#DIV/0!</v>
      </c>
      <c r="FJ161" s="675" t="e">
        <f>ABS($B$34*FH161*3600)</f>
        <v>#DIV/0!</v>
      </c>
      <c r="FK161" s="614" t="e">
        <f>FJ161*$C$79</f>
        <v>#DIV/0!</v>
      </c>
      <c r="FL161" s="672" t="e">
        <f>FJ161*$F$70</f>
        <v>#DIV/0!</v>
      </c>
      <c r="FM161" s="600" t="e">
        <f>FJ161*$F$75</f>
        <v>#DIV/0!</v>
      </c>
      <c r="FN161" s="672" t="e">
        <f>FJ161*$F$72</f>
        <v>#DIV/0!</v>
      </c>
      <c r="FO161" s="676" t="e">
        <f>FJ161*$F$71</f>
        <v>#DIV/0!</v>
      </c>
      <c r="FP161" s="668"/>
      <c r="FQ161" s="669"/>
      <c r="FR161" s="670"/>
      <c r="FS161" s="671"/>
      <c r="FT161" s="678"/>
      <c r="FU161" s="650"/>
      <c r="FV161" s="651">
        <f t="shared" si="1278"/>
        <v>0</v>
      </c>
      <c r="FW161" s="619" t="e">
        <f>((273.2+FP161)*$F$32/((273.2+$F$31)*FR161))</f>
        <v>#DIV/0!</v>
      </c>
      <c r="FX161" s="674" t="e">
        <f>FV161/FT161*FW161*EXP(-LN(2)/10990*($F$88-FU161))</f>
        <v>#DIV/0!</v>
      </c>
      <c r="FY161" s="599" t="e">
        <f>FX161-AVERAGE(GF94:GF95)</f>
        <v>#DIV/0!</v>
      </c>
      <c r="FZ161" s="672" t="e">
        <f>ABS($B$33*FY161*3600)</f>
        <v>#DIV/0!</v>
      </c>
      <c r="GA161" s="675" t="e">
        <f>ABS($B$34*FY161*3600)</f>
        <v>#DIV/0!</v>
      </c>
      <c r="GB161" s="614" t="e">
        <f>GA161*$C$79</f>
        <v>#DIV/0!</v>
      </c>
      <c r="GC161" s="672" t="e">
        <f>GA161*$F$70</f>
        <v>#DIV/0!</v>
      </c>
      <c r="GD161" s="600" t="e">
        <f>GA161*$F$75</f>
        <v>#DIV/0!</v>
      </c>
      <c r="GE161" s="672" t="e">
        <f>GA161*$F$72</f>
        <v>#DIV/0!</v>
      </c>
      <c r="GF161" s="676" t="e">
        <f>GA161*$F$71</f>
        <v>#DIV/0!</v>
      </c>
      <c r="GG161" s="668"/>
      <c r="GH161" s="669"/>
      <c r="GI161" s="677"/>
      <c r="GJ161" s="679"/>
      <c r="GK161" s="678"/>
      <c r="GL161" s="650"/>
      <c r="GM161" s="651">
        <f t="shared" si="1280"/>
        <v>0</v>
      </c>
      <c r="GN161" s="619" t="e">
        <f>((273.2+GG161)*$F$32/((273.2+$F$31)*GI161))</f>
        <v>#DIV/0!</v>
      </c>
      <c r="GO161" s="674" t="e">
        <f>GM161/GK161*GN161*EXP(-LN(2)/10990*($F$88-GL161))</f>
        <v>#DIV/0!</v>
      </c>
      <c r="GP161" s="599" t="e">
        <f>GO161-AVERAGE(GW94:GW95)</f>
        <v>#DIV/0!</v>
      </c>
      <c r="GQ161" s="672" t="e">
        <f>ABS($B$33*GP161*3600)</f>
        <v>#DIV/0!</v>
      </c>
      <c r="GR161" s="675" t="e">
        <f>ABS($B$34*GP161*3600)</f>
        <v>#DIV/0!</v>
      </c>
      <c r="GS161" s="614" t="e">
        <f>GR161*$C$79</f>
        <v>#DIV/0!</v>
      </c>
      <c r="GT161" s="672" t="e">
        <f>GR161*$F$70</f>
        <v>#DIV/0!</v>
      </c>
      <c r="GU161" s="600" t="e">
        <f>GR161*$F$75</f>
        <v>#DIV/0!</v>
      </c>
      <c r="GV161" s="672" t="e">
        <f>GR161*$F$72</f>
        <v>#DIV/0!</v>
      </c>
      <c r="GW161" s="676" t="e">
        <f>GR161*$F$71</f>
        <v>#DIV/0!</v>
      </c>
      <c r="GX161" s="668"/>
      <c r="GY161" s="669"/>
      <c r="GZ161" s="670"/>
      <c r="HA161" s="671"/>
      <c r="HB161" s="678"/>
      <c r="HC161" s="650"/>
      <c r="HD161" s="651">
        <f t="shared" si="1282"/>
        <v>0</v>
      </c>
      <c r="HE161" s="619" t="e">
        <f>((273.2+GX161)*$F$32/((273.2+$F$31)*GZ161))</f>
        <v>#DIV/0!</v>
      </c>
      <c r="HF161" s="674" t="e">
        <f>HD161/HB161*HE161*EXP(-LN(2)/10990*($F$88-HC161))</f>
        <v>#DIV/0!</v>
      </c>
      <c r="HG161" s="599" t="e">
        <f>HF161-AVERAGE(HN94:HN95)</f>
        <v>#DIV/0!</v>
      </c>
      <c r="HH161" s="672" t="e">
        <f>ABS($B$33*HG161*3600)</f>
        <v>#DIV/0!</v>
      </c>
      <c r="HI161" s="675" t="e">
        <f>ABS($B$34*HG161*3600)</f>
        <v>#DIV/0!</v>
      </c>
      <c r="HJ161" s="614" t="e">
        <f>HI161*$C$79</f>
        <v>#DIV/0!</v>
      </c>
      <c r="HK161" s="672" t="e">
        <f>HI161*$F$70</f>
        <v>#DIV/0!</v>
      </c>
      <c r="HL161" s="600" t="e">
        <f>HI161*$F$75</f>
        <v>#DIV/0!</v>
      </c>
      <c r="HM161" s="672" t="e">
        <f>HI161*$F$72</f>
        <v>#DIV/0!</v>
      </c>
      <c r="HN161" s="676" t="e">
        <f>HI161*$F$71</f>
        <v>#DIV/0!</v>
      </c>
      <c r="HO161" s="668"/>
      <c r="HP161" s="669"/>
      <c r="HQ161" s="670"/>
      <c r="HR161" s="671"/>
      <c r="HS161" s="678"/>
      <c r="HT161" s="650"/>
      <c r="HU161" s="651">
        <f t="shared" si="1284"/>
        <v>0</v>
      </c>
      <c r="HV161" s="619" t="e">
        <f>((273.2+HO161)*$F$32/((273.2+$F$31)*HQ161))</f>
        <v>#DIV/0!</v>
      </c>
      <c r="HW161" s="674" t="e">
        <f>HU161/HS161*HV161*EXP(-LN(2)/10990*($F$88-HT161))</f>
        <v>#DIV/0!</v>
      </c>
      <c r="HX161" s="599" t="e">
        <f>HW161-AVERAGE(IE94:IE95)</f>
        <v>#DIV/0!</v>
      </c>
      <c r="HY161" s="672" t="e">
        <f>ABS($B$33*HX161*3600)</f>
        <v>#DIV/0!</v>
      </c>
      <c r="HZ161" s="675" t="e">
        <f>ABS($B$34*HX161*3600)</f>
        <v>#DIV/0!</v>
      </c>
      <c r="IA161" s="614" t="e">
        <f>HZ161*$C$79</f>
        <v>#DIV/0!</v>
      </c>
      <c r="IB161" s="672" t="e">
        <f>HZ161*$F$70</f>
        <v>#DIV/0!</v>
      </c>
      <c r="IC161" s="600" t="e">
        <f>HZ161*$F$75</f>
        <v>#DIV/0!</v>
      </c>
      <c r="ID161" s="672" t="e">
        <f>HZ161*$F$72</f>
        <v>#DIV/0!</v>
      </c>
      <c r="IE161" s="676" t="e">
        <f>HZ161*$F$71</f>
        <v>#DIV/0!</v>
      </c>
      <c r="IF161" s="668"/>
      <c r="IG161" s="669"/>
      <c r="IH161" s="670"/>
      <c r="II161" s="671"/>
      <c r="IJ161" s="678"/>
      <c r="IK161" s="650"/>
      <c r="IL161" s="651">
        <f t="shared" si="1286"/>
        <v>0</v>
      </c>
      <c r="IM161" s="619" t="e">
        <f>((273.2+IF161)*$F$32/((273.2+$F$31)*IH161))</f>
        <v>#DIV/0!</v>
      </c>
      <c r="IN161" s="674" t="e">
        <f>IL161/IJ161*IM161*EXP(-LN(2)/10990*($F$88-IK161))</f>
        <v>#DIV/0!</v>
      </c>
      <c r="IO161" s="599" t="e">
        <f>IN161-AVERAGE(IV94:IV95)</f>
        <v>#DIV/0!</v>
      </c>
      <c r="IP161" s="672" t="e">
        <f>ABS($B$33*IO161*3600)</f>
        <v>#DIV/0!</v>
      </c>
      <c r="IQ161" s="675" t="e">
        <f>ABS($B$34*IO161*3600)</f>
        <v>#DIV/0!</v>
      </c>
      <c r="IR161" s="614" t="e">
        <f>IQ161*$C$79</f>
        <v>#DIV/0!</v>
      </c>
      <c r="IS161" s="672" t="e">
        <f>IQ161*$F$70</f>
        <v>#DIV/0!</v>
      </c>
      <c r="IT161" s="600" t="e">
        <f>IQ161*$F$75</f>
        <v>#DIV/0!</v>
      </c>
      <c r="IU161" s="672" t="e">
        <f>IQ161*$F$72</f>
        <v>#DIV/0!</v>
      </c>
      <c r="IV161" s="676" t="e">
        <f>IQ161*$F$71</f>
        <v>#DIV/0!</v>
      </c>
      <c r="IW161" s="668"/>
      <c r="IX161" s="669"/>
      <c r="IY161" s="670"/>
      <c r="IZ161" s="671"/>
      <c r="JA161" s="678"/>
      <c r="JB161" s="650"/>
      <c r="JC161" s="651">
        <f t="shared" si="1288"/>
        <v>0</v>
      </c>
      <c r="JD161" s="619" t="e">
        <f>((273.2+IW161)*$F$32/((273.2+$F$31)*IY161))</f>
        <v>#DIV/0!</v>
      </c>
      <c r="JE161" s="674" t="e">
        <f>JC161/JA161*JD161*EXP(-LN(2)/10990*($F$88-JB161))</f>
        <v>#DIV/0!</v>
      </c>
      <c r="JF161" s="599" t="e">
        <f>JE161-AVERAGE(JM94:JM95)</f>
        <v>#DIV/0!</v>
      </c>
      <c r="JG161" s="672" t="e">
        <f>ABS($B$33*JF161*3600)</f>
        <v>#DIV/0!</v>
      </c>
      <c r="JH161" s="675" t="e">
        <f>ABS($B$34*JF161*3600)</f>
        <v>#DIV/0!</v>
      </c>
      <c r="JI161" s="614" t="e">
        <f>JH161*$C$79</f>
        <v>#DIV/0!</v>
      </c>
      <c r="JJ161" s="672" t="e">
        <f>JH161*$F$70</f>
        <v>#DIV/0!</v>
      </c>
      <c r="JK161" s="600" t="e">
        <f>JH161*$F$75</f>
        <v>#DIV/0!</v>
      </c>
      <c r="JL161" s="672" t="e">
        <f>JH161*$F$72</f>
        <v>#DIV/0!</v>
      </c>
      <c r="JM161" s="676" t="e">
        <f>JH161*$F$71</f>
        <v>#DIV/0!</v>
      </c>
      <c r="JN161" s="668"/>
      <c r="JO161" s="669"/>
      <c r="JP161" s="670"/>
      <c r="JQ161" s="671"/>
      <c r="JR161" s="678"/>
      <c r="JS161" s="650"/>
      <c r="JT161" s="651">
        <f t="shared" si="1290"/>
        <v>0</v>
      </c>
      <c r="JU161" s="619" t="e">
        <f>((273.2+JN161)*$F$32/((273.2+$F$31)*JP161))</f>
        <v>#DIV/0!</v>
      </c>
      <c r="JV161" s="674" t="e">
        <f>JT161/JR161*JU161*EXP(-LN(2)/10990*($F$88-JS161))</f>
        <v>#DIV/0!</v>
      </c>
      <c r="JW161" s="599" t="e">
        <f>JV161-AVERAGE(KD94:KD95)</f>
        <v>#DIV/0!</v>
      </c>
      <c r="JX161" s="672" t="e">
        <f>ABS($B$33*JW161*3600)</f>
        <v>#DIV/0!</v>
      </c>
      <c r="JY161" s="675" t="e">
        <f>ABS($B$34*JW161*3600)</f>
        <v>#DIV/0!</v>
      </c>
      <c r="JZ161" s="614" t="e">
        <f>JY161*$C$79</f>
        <v>#DIV/0!</v>
      </c>
      <c r="KA161" s="672" t="e">
        <f>JY161*$F$70</f>
        <v>#DIV/0!</v>
      </c>
      <c r="KB161" s="600" t="e">
        <f>JY161*$F$75</f>
        <v>#DIV/0!</v>
      </c>
      <c r="KC161" s="672" t="e">
        <f>JY161*$F$72</f>
        <v>#DIV/0!</v>
      </c>
      <c r="KD161" s="676" t="e">
        <f>JY161*$F$71</f>
        <v>#DIV/0!</v>
      </c>
      <c r="KE161" s="668"/>
      <c r="KF161" s="669"/>
      <c r="KG161" s="670"/>
      <c r="KH161" s="671"/>
      <c r="KI161" s="678"/>
      <c r="KJ161" s="650"/>
      <c r="KK161" s="651">
        <f t="shared" si="1292"/>
        <v>0</v>
      </c>
      <c r="KL161" s="619" t="e">
        <f>((273.2+KE161)*$F$32/((273.2+$F$31)*KG161))</f>
        <v>#DIV/0!</v>
      </c>
      <c r="KM161" s="674" t="e">
        <f>KK161/KI161*KL161*EXP(-LN(2)/10990*($F$88-KJ161))</f>
        <v>#DIV/0!</v>
      </c>
      <c r="KN161" s="599" t="e">
        <f>KM161-AVERAGE(KU94:KU95)</f>
        <v>#DIV/0!</v>
      </c>
      <c r="KO161" s="672" t="e">
        <f>ABS($B$33*KN161*3600)</f>
        <v>#DIV/0!</v>
      </c>
      <c r="KP161" s="675" t="e">
        <f>ABS($B$34*KN161*3600)</f>
        <v>#DIV/0!</v>
      </c>
      <c r="KQ161" s="614" t="e">
        <f>KP161*$C$79</f>
        <v>#DIV/0!</v>
      </c>
      <c r="KR161" s="672" t="e">
        <f>KP161*$F$70</f>
        <v>#DIV/0!</v>
      </c>
      <c r="KS161" s="600" t="e">
        <f>KP161*$F$75</f>
        <v>#DIV/0!</v>
      </c>
      <c r="KT161" s="672" t="e">
        <f>KP161*$F$72</f>
        <v>#DIV/0!</v>
      </c>
      <c r="KU161" s="676" t="e">
        <f>KP161*$F$71</f>
        <v>#DIV/0!</v>
      </c>
      <c r="KV161" s="668"/>
      <c r="KW161" s="669"/>
      <c r="KX161" s="670"/>
      <c r="KY161" s="671"/>
      <c r="KZ161" s="678"/>
      <c r="LA161" s="650"/>
      <c r="LB161" s="651">
        <f t="shared" si="1294"/>
        <v>0</v>
      </c>
      <c r="LC161" s="619" t="e">
        <f>((273.2+KV161)*$F$32/((273.2+$F$31)*KX161))</f>
        <v>#DIV/0!</v>
      </c>
      <c r="LD161" s="674" t="e">
        <f>LB161/KZ161*LC161*EXP(-LN(2)/10990*($F$88-LA161))</f>
        <v>#DIV/0!</v>
      </c>
      <c r="LE161" s="599" t="e">
        <f>LD161-AVERAGE(LL94:LL95)</f>
        <v>#DIV/0!</v>
      </c>
      <c r="LF161" s="672" t="e">
        <f>ABS($B$33*LE161*3600)</f>
        <v>#DIV/0!</v>
      </c>
      <c r="LG161" s="675" t="e">
        <f>ABS($B$34*LE161*3600)</f>
        <v>#DIV/0!</v>
      </c>
      <c r="LH161" s="614" t="e">
        <f>LG161*$C$79</f>
        <v>#DIV/0!</v>
      </c>
      <c r="LI161" s="672" t="e">
        <f>LG161*$F$70</f>
        <v>#DIV/0!</v>
      </c>
      <c r="LJ161" s="600" t="e">
        <f>LG161*$F$75</f>
        <v>#DIV/0!</v>
      </c>
      <c r="LK161" s="672" t="e">
        <f>LG161*$F$72</f>
        <v>#DIV/0!</v>
      </c>
      <c r="LL161" s="676" t="e">
        <f>LG161*$F$71</f>
        <v>#DIV/0!</v>
      </c>
      <c r="LM161" s="668"/>
      <c r="LN161" s="669"/>
      <c r="LO161" s="670"/>
      <c r="LP161" s="671"/>
      <c r="LQ161" s="678"/>
      <c r="LR161" s="650"/>
      <c r="LS161" s="651">
        <f t="shared" si="1296"/>
        <v>0</v>
      </c>
      <c r="LT161" s="619" t="e">
        <f>((273.2+LM161)*$F$32/((273.2+$F$31)*LO161))</f>
        <v>#DIV/0!</v>
      </c>
      <c r="LU161" s="674" t="e">
        <f>LS161/LQ161*LT161*EXP(-LN(2)/10990*($F$88-LR161))</f>
        <v>#DIV/0!</v>
      </c>
      <c r="LV161" s="599" t="e">
        <f>LU161-AVERAGE(MC94:MC95)</f>
        <v>#DIV/0!</v>
      </c>
      <c r="LW161" s="672" t="e">
        <f>ABS($B$33*LV161*3600)</f>
        <v>#DIV/0!</v>
      </c>
      <c r="LX161" s="675" t="e">
        <f>ABS($B$34*LV161*3600)</f>
        <v>#DIV/0!</v>
      </c>
      <c r="LY161" s="614" t="e">
        <f>LX161*$C$79</f>
        <v>#DIV/0!</v>
      </c>
      <c r="LZ161" s="672" t="e">
        <f>LX161*$F$70</f>
        <v>#DIV/0!</v>
      </c>
      <c r="MA161" s="600" t="e">
        <f>LX161*$F$75</f>
        <v>#DIV/0!</v>
      </c>
      <c r="MB161" s="672" t="e">
        <f>LX161*$F$72</f>
        <v>#DIV/0!</v>
      </c>
      <c r="MC161" s="676" t="e">
        <f>LX161*$F$71</f>
        <v>#DIV/0!</v>
      </c>
      <c r="MD161" s="668"/>
      <c r="ME161" s="669"/>
      <c r="MF161" s="670"/>
      <c r="MG161" s="671"/>
      <c r="MH161" s="678"/>
      <c r="MI161" s="650"/>
      <c r="MJ161" s="651">
        <f t="shared" si="1298"/>
        <v>0</v>
      </c>
      <c r="MK161" s="619" t="e">
        <f>((273.2+MD161)*$F$32/((273.2+$F$31)*MF161))</f>
        <v>#DIV/0!</v>
      </c>
      <c r="ML161" s="674" t="e">
        <f>MJ161/MH161*MK161*EXP(-LN(2)/10990*($F$88-MI161))</f>
        <v>#DIV/0!</v>
      </c>
      <c r="MM161" s="599" t="e">
        <f>ML161-AVERAGE(MT94:MT95)</f>
        <v>#DIV/0!</v>
      </c>
      <c r="MN161" s="672" t="e">
        <f>ABS($B$33*MM161*3600)</f>
        <v>#DIV/0!</v>
      </c>
      <c r="MO161" s="675" t="e">
        <f>ABS($B$34*MM161*3600)</f>
        <v>#DIV/0!</v>
      </c>
      <c r="MP161" s="614" t="e">
        <f>MO161*$C$79</f>
        <v>#DIV/0!</v>
      </c>
      <c r="MQ161" s="672" t="e">
        <f>MO161*$F$70</f>
        <v>#DIV/0!</v>
      </c>
      <c r="MR161" s="600" t="e">
        <f>MO161*$F$75</f>
        <v>#DIV/0!</v>
      </c>
      <c r="MS161" s="672" t="e">
        <f>MO161*$F$72</f>
        <v>#DIV/0!</v>
      </c>
      <c r="MT161" s="676" t="e">
        <f>MO161*$F$71</f>
        <v>#DIV/0!</v>
      </c>
      <c r="MU161" s="668"/>
      <c r="MV161" s="669"/>
      <c r="MW161" s="670"/>
      <c r="MX161" s="671"/>
      <c r="MY161" s="678"/>
      <c r="MZ161" s="650"/>
      <c r="NA161" s="651">
        <f t="shared" si="1300"/>
        <v>0</v>
      </c>
      <c r="NB161" s="619" t="e">
        <f>((273.2+MU161)*$F$32/((273.2+$F$31)*MW161))</f>
        <v>#DIV/0!</v>
      </c>
      <c r="NC161" s="674" t="e">
        <f>NA161/MY161*NB161*EXP(-LN(2)/10990*($F$88-MZ161))</f>
        <v>#DIV/0!</v>
      </c>
      <c r="ND161" s="599" t="e">
        <f>NC161-AVERAGE(NK94:NK95)</f>
        <v>#DIV/0!</v>
      </c>
      <c r="NE161" s="672" t="e">
        <f>ABS($B$33*ND161*3600)</f>
        <v>#DIV/0!</v>
      </c>
      <c r="NF161" s="675" t="e">
        <f>ABS($B$34*ND161*3600)</f>
        <v>#DIV/0!</v>
      </c>
      <c r="NG161" s="614" t="e">
        <f>NF161*$C$79</f>
        <v>#DIV/0!</v>
      </c>
      <c r="NH161" s="672" t="e">
        <f>NF161*$F$70</f>
        <v>#DIV/0!</v>
      </c>
      <c r="NI161" s="600" t="e">
        <f>NF161*$F$75</f>
        <v>#DIV/0!</v>
      </c>
      <c r="NJ161" s="672" t="e">
        <f>NF161*$F$72</f>
        <v>#DIV/0!</v>
      </c>
      <c r="NK161" s="676" t="e">
        <f>NF161*$F$71</f>
        <v>#DIV/0!</v>
      </c>
      <c r="NL161" s="668"/>
      <c r="NM161" s="669"/>
      <c r="NN161" s="670"/>
      <c r="NO161" s="671"/>
      <c r="NP161" s="678"/>
      <c r="NQ161" s="650"/>
      <c r="NR161" s="651">
        <f t="shared" si="1302"/>
        <v>0</v>
      </c>
      <c r="NS161" s="619" t="e">
        <f>((273.2+NL161)*$F$32/((273.2+$F$31)*NN161))</f>
        <v>#DIV/0!</v>
      </c>
      <c r="NT161" s="674" t="e">
        <f>NR161/NP161*NS161*EXP(-LN(2)/10990*($F$88-NQ161))</f>
        <v>#DIV/0!</v>
      </c>
      <c r="NU161" s="599" t="e">
        <f>NT161-AVERAGE(OB94:OB95)</f>
        <v>#DIV/0!</v>
      </c>
      <c r="NV161" s="672" t="e">
        <f>ABS($B$33*NU161*3600)</f>
        <v>#DIV/0!</v>
      </c>
      <c r="NW161" s="675" t="e">
        <f>ABS($B$34*NU161*3600)</f>
        <v>#DIV/0!</v>
      </c>
      <c r="NX161" s="614" t="e">
        <f>NW161*$C$79</f>
        <v>#DIV/0!</v>
      </c>
      <c r="NY161" s="672" t="e">
        <f>NW161*$F$70</f>
        <v>#DIV/0!</v>
      </c>
      <c r="NZ161" s="600" t="e">
        <f>NW161*$F$75</f>
        <v>#DIV/0!</v>
      </c>
      <c r="OA161" s="672" t="e">
        <f>NW161*$F$72</f>
        <v>#DIV/0!</v>
      </c>
      <c r="OB161" s="676" t="e">
        <f>NW161*$F$71</f>
        <v>#DIV/0!</v>
      </c>
      <c r="OC161" s="668"/>
      <c r="OD161" s="669"/>
      <c r="OE161" s="670"/>
      <c r="OF161" s="671"/>
      <c r="OG161" s="678"/>
      <c r="OH161" s="650"/>
      <c r="OI161" s="651">
        <f t="shared" si="1304"/>
        <v>0</v>
      </c>
      <c r="OJ161" s="619" t="e">
        <f>((273.2+OC161)*$F$32/((273.2+$F$31)*OE161))</f>
        <v>#DIV/0!</v>
      </c>
      <c r="OK161" s="674" t="e">
        <f>OI161/OG161*OJ161*EXP(-LN(2)/10990*($F$88-OH161))</f>
        <v>#DIV/0!</v>
      </c>
      <c r="OL161" s="599" t="e">
        <f>OK161-AVERAGE(OS94:OS95)</f>
        <v>#DIV/0!</v>
      </c>
      <c r="OM161" s="672" t="e">
        <f>ABS($B$33*OL161*3600)</f>
        <v>#DIV/0!</v>
      </c>
      <c r="ON161" s="675" t="e">
        <f>ABS($B$34*OL161*3600)</f>
        <v>#DIV/0!</v>
      </c>
      <c r="OO161" s="614" t="e">
        <f>ON161*$C$79</f>
        <v>#DIV/0!</v>
      </c>
      <c r="OP161" s="672" t="e">
        <f>ON161*$F$70</f>
        <v>#DIV/0!</v>
      </c>
      <c r="OQ161" s="600" t="e">
        <f>ON161*$F$75</f>
        <v>#DIV/0!</v>
      </c>
      <c r="OR161" s="672" t="e">
        <f>ON161*$F$72</f>
        <v>#DIV/0!</v>
      </c>
      <c r="OS161" s="676" t="e">
        <f>ON161*$F$71</f>
        <v>#DIV/0!</v>
      </c>
      <c r="OT161" s="668"/>
      <c r="OU161" s="669"/>
      <c r="OV161" s="670"/>
      <c r="OW161" s="671"/>
      <c r="OX161" s="678"/>
      <c r="OY161" s="650"/>
      <c r="OZ161" s="651">
        <f t="shared" si="1306"/>
        <v>0</v>
      </c>
      <c r="PA161" s="619" t="e">
        <f>((273.2+OT161)*$F$32/((273.2+$F$31)*OV161))</f>
        <v>#DIV/0!</v>
      </c>
      <c r="PB161" s="674" t="e">
        <f>OZ161/OX161*PA161*EXP(-LN(2)/10990*($F$88-OY161))</f>
        <v>#DIV/0!</v>
      </c>
      <c r="PC161" s="599" t="e">
        <f>PB161-AVERAGE(PJ94:PJ95)</f>
        <v>#DIV/0!</v>
      </c>
      <c r="PD161" s="672" t="e">
        <f>ABS($B$33*PC161*3600)</f>
        <v>#DIV/0!</v>
      </c>
      <c r="PE161" s="675" t="e">
        <f>ABS($B$34*PC161*3600)</f>
        <v>#DIV/0!</v>
      </c>
      <c r="PF161" s="614" t="e">
        <f>PE161*$C$79</f>
        <v>#DIV/0!</v>
      </c>
      <c r="PG161" s="672" t="e">
        <f>PE161*$F$70</f>
        <v>#DIV/0!</v>
      </c>
      <c r="PH161" s="600" t="e">
        <f>PE161*$F$75</f>
        <v>#DIV/0!</v>
      </c>
      <c r="PI161" s="672" t="e">
        <f>PE161*$F$72</f>
        <v>#DIV/0!</v>
      </c>
      <c r="PJ161" s="676" t="e">
        <f>PE161*$F$71</f>
        <v>#DIV/0!</v>
      </c>
      <c r="PK161" s="668"/>
      <c r="PL161" s="669"/>
      <c r="PM161" s="670"/>
      <c r="PN161" s="671"/>
      <c r="PO161" s="678"/>
      <c r="PP161" s="650"/>
      <c r="PQ161" s="651">
        <f t="shared" si="1308"/>
        <v>0</v>
      </c>
      <c r="PR161" s="619" t="e">
        <f>((273.2+PK161)*$F$32/((273.2+$F$31)*PM161))</f>
        <v>#DIV/0!</v>
      </c>
      <c r="PS161" s="674" t="e">
        <f>PQ161/PO161*PR161*EXP(-LN(2)/10990*($F$88-PP161))</f>
        <v>#DIV/0!</v>
      </c>
      <c r="PT161" s="599" t="e">
        <f>PS161-AVERAGE(QA94:QA95)</f>
        <v>#DIV/0!</v>
      </c>
      <c r="PU161" s="672" t="e">
        <f>ABS($B$33*PT161*3600)</f>
        <v>#DIV/0!</v>
      </c>
      <c r="PV161" s="675" t="e">
        <f>ABS($B$34*PT161*3600)</f>
        <v>#DIV/0!</v>
      </c>
      <c r="PW161" s="614" t="e">
        <f>PV161*$C$79</f>
        <v>#DIV/0!</v>
      </c>
      <c r="PX161" s="672" t="e">
        <f>PV161*$F$70</f>
        <v>#DIV/0!</v>
      </c>
      <c r="PY161" s="600" t="e">
        <f>PV161*$F$75</f>
        <v>#DIV/0!</v>
      </c>
      <c r="PZ161" s="672" t="e">
        <f>PV161*$F$72</f>
        <v>#DIV/0!</v>
      </c>
      <c r="QA161" s="676" t="e">
        <f>PV161*$F$71</f>
        <v>#DIV/0!</v>
      </c>
      <c r="QB161" s="668"/>
      <c r="QC161" s="669"/>
      <c r="QD161" s="670"/>
      <c r="QE161" s="671"/>
      <c r="QF161" s="673">
        <v>100</v>
      </c>
      <c r="QG161" s="650"/>
      <c r="QH161" s="651">
        <f t="shared" si="1310"/>
        <v>0</v>
      </c>
      <c r="QI161" s="619" t="e">
        <f>((273.2+QB161)*$F$32/((273.2+$F$31)*QD161))</f>
        <v>#DIV/0!</v>
      </c>
      <c r="QJ161" s="674" t="e">
        <f>QH161/QF161*QI161*EXP(-LN(2)/10990*($F$88-QG161))</f>
        <v>#DIV/0!</v>
      </c>
      <c r="QK161" s="599" t="e">
        <f>QJ161-AVERAGE(QR94:QR95)</f>
        <v>#DIV/0!</v>
      </c>
      <c r="QL161" s="672" t="e">
        <f>ABS($B$33*QK161*3600)</f>
        <v>#DIV/0!</v>
      </c>
      <c r="QM161" s="675" t="e">
        <f>ABS($B$34*QK161*3600)</f>
        <v>#DIV/0!</v>
      </c>
      <c r="QN161" s="614" t="e">
        <f>QM161*$C$79</f>
        <v>#DIV/0!</v>
      </c>
      <c r="QO161" s="672" t="e">
        <f>QM161*$F$70</f>
        <v>#DIV/0!</v>
      </c>
      <c r="QP161" s="600" t="e">
        <f>QM161*$F$75</f>
        <v>#DIV/0!</v>
      </c>
      <c r="QQ161" s="672" t="e">
        <f>QM161*$F$72</f>
        <v>#DIV/0!</v>
      </c>
      <c r="QR161" s="676" t="e">
        <f>QM161*$F$71</f>
        <v>#DIV/0!</v>
      </c>
      <c r="QS161" s="668"/>
      <c r="QT161" s="669"/>
      <c r="QU161" s="669"/>
      <c r="QV161" s="679"/>
      <c r="QW161" s="673">
        <v>100</v>
      </c>
      <c r="QX161" s="650"/>
      <c r="QY161" s="651">
        <f t="shared" si="1312"/>
        <v>0</v>
      </c>
      <c r="QZ161" s="619" t="e">
        <f>((273.2+QS161)*$F$32/((273.2+$F$31)*QU161))</f>
        <v>#DIV/0!</v>
      </c>
      <c r="RA161" s="674" t="e">
        <f>QY161/QW161*QZ161*EXP(-LN(2)/10990*($F$88-QX161))</f>
        <v>#DIV/0!</v>
      </c>
      <c r="RB161" s="599" t="e">
        <f>RA161-AVERAGE(RI94:RI95)</f>
        <v>#DIV/0!</v>
      </c>
      <c r="RC161" s="672" t="e">
        <f>ABS($B$33*RB161*3600)</f>
        <v>#DIV/0!</v>
      </c>
      <c r="RD161" s="675" t="e">
        <f>ABS($B$34*RB161*3600)</f>
        <v>#DIV/0!</v>
      </c>
      <c r="RE161" s="614" t="e">
        <f>RD161*$C$79</f>
        <v>#DIV/0!</v>
      </c>
      <c r="RF161" s="672" t="e">
        <f>RD161*$F$70</f>
        <v>#DIV/0!</v>
      </c>
      <c r="RG161" s="600" t="e">
        <f>RD161*$F$75</f>
        <v>#DIV/0!</v>
      </c>
      <c r="RH161" s="672" t="e">
        <f>RD161*$F$72</f>
        <v>#DIV/0!</v>
      </c>
      <c r="RI161" s="676" t="e">
        <f>RD161*$F$71</f>
        <v>#DIV/0!</v>
      </c>
      <c r="RJ161" s="668"/>
      <c r="RK161" s="669"/>
      <c r="RL161" s="670"/>
      <c r="RM161" s="671"/>
      <c r="RN161" s="678"/>
      <c r="RO161" s="650"/>
      <c r="RP161" s="651">
        <f t="shared" si="1314"/>
        <v>0</v>
      </c>
      <c r="RQ161" s="619" t="e">
        <f>((273.2+RJ161)*$F$32/((273.2+$F$31)*RL161))</f>
        <v>#DIV/0!</v>
      </c>
      <c r="RR161" s="674" t="e">
        <f>RP161/RN161*RQ161*EXP(-LN(2)/10990*($F$88-RO161))</f>
        <v>#DIV/0!</v>
      </c>
      <c r="RS161" s="599" t="e">
        <f>RR161-AVERAGE(RZ94:RZ95)</f>
        <v>#DIV/0!</v>
      </c>
      <c r="RT161" s="672" t="e">
        <f>ABS($B$33*RS161*3600)</f>
        <v>#DIV/0!</v>
      </c>
      <c r="RU161" s="675" t="e">
        <f>ABS($B$34*RS161*3600)</f>
        <v>#DIV/0!</v>
      </c>
      <c r="RV161" s="614" t="e">
        <f>RU161*$C$79</f>
        <v>#DIV/0!</v>
      </c>
      <c r="RW161" s="672" t="e">
        <f>RU161*$F$70</f>
        <v>#DIV/0!</v>
      </c>
      <c r="RX161" s="600" t="e">
        <f>RU161*$F$75</f>
        <v>#DIV/0!</v>
      </c>
      <c r="RY161" s="672" t="e">
        <f>RU161*$F$72</f>
        <v>#DIV/0!</v>
      </c>
      <c r="RZ161" s="676" t="e">
        <f>RU161*$F$71</f>
        <v>#DIV/0!</v>
      </c>
      <c r="SA161" s="668"/>
      <c r="SB161" s="669"/>
      <c r="SC161" s="670"/>
      <c r="SD161" s="671"/>
      <c r="SE161" s="678"/>
      <c r="SF161" s="650"/>
      <c r="SG161" s="651">
        <f t="shared" si="1316"/>
        <v>0</v>
      </c>
      <c r="SH161" s="619" t="e">
        <f>((273.2+SA161)*$F$32/((273.2+$F$31)*SC161))</f>
        <v>#DIV/0!</v>
      </c>
      <c r="SI161" s="674" t="e">
        <f>SG161/SE161*SH161*EXP(-LN(2)/10990*($F$88-SF161))</f>
        <v>#DIV/0!</v>
      </c>
      <c r="SJ161" s="599" t="e">
        <f>SI161-AVERAGE(SQ94:SQ95)</f>
        <v>#DIV/0!</v>
      </c>
      <c r="SK161" s="672" t="e">
        <f>ABS($B$33*SJ161*3600)</f>
        <v>#DIV/0!</v>
      </c>
      <c r="SL161" s="675" t="e">
        <f>ABS($B$34*SJ161*3600)</f>
        <v>#DIV/0!</v>
      </c>
      <c r="SM161" s="614" t="e">
        <f>SL161*$C$79</f>
        <v>#DIV/0!</v>
      </c>
      <c r="SN161" s="672" t="e">
        <f>SL161*$F$70</f>
        <v>#DIV/0!</v>
      </c>
      <c r="SO161" s="600" t="e">
        <f>SL161*$F$75</f>
        <v>#DIV/0!</v>
      </c>
      <c r="SP161" s="672" t="e">
        <f>SL161*$F$72</f>
        <v>#DIV/0!</v>
      </c>
      <c r="SQ161" s="676" t="e">
        <f>SL161*$F$71</f>
        <v>#DIV/0!</v>
      </c>
      <c r="SR161" s="668"/>
      <c r="SS161" s="669"/>
      <c r="ST161" s="670"/>
      <c r="SU161" s="671"/>
      <c r="SV161" s="678"/>
      <c r="SW161" s="650"/>
      <c r="SX161" s="651">
        <f t="shared" si="1318"/>
        <v>0</v>
      </c>
      <c r="SY161" s="619" t="e">
        <f>((273.2+SR161)*$F$32/((273.2+$F$31)*ST161))</f>
        <v>#DIV/0!</v>
      </c>
      <c r="SZ161" s="674" t="e">
        <f>SX161/SV161*SY161*EXP(-LN(2)/10990*($F$88-SW161))</f>
        <v>#DIV/0!</v>
      </c>
      <c r="TA161" s="599" t="e">
        <f>SZ161-AVERAGE(TH94:TH95)</f>
        <v>#DIV/0!</v>
      </c>
      <c r="TB161" s="672" t="e">
        <f>ABS($B$33*TA161*3600)</f>
        <v>#DIV/0!</v>
      </c>
      <c r="TC161" s="675" t="e">
        <f>ABS($B$34*TA161*3600)</f>
        <v>#DIV/0!</v>
      </c>
      <c r="TD161" s="614" t="e">
        <f>TC161*$C$79</f>
        <v>#DIV/0!</v>
      </c>
      <c r="TE161" s="672" t="e">
        <f>TC161*$F$70</f>
        <v>#DIV/0!</v>
      </c>
      <c r="TF161" s="600" t="e">
        <f>TC161*$F$75</f>
        <v>#DIV/0!</v>
      </c>
      <c r="TG161" s="672" t="e">
        <f>TC161*$F$72</f>
        <v>#DIV/0!</v>
      </c>
      <c r="TH161" s="675" t="e">
        <f>TC161*$F$71</f>
        <v>#DIV/0!</v>
      </c>
      <c r="TI161" s="668"/>
      <c r="TJ161" s="669"/>
      <c r="TK161" s="670"/>
      <c r="TL161" s="671"/>
      <c r="TM161" s="678"/>
      <c r="TN161" s="650"/>
      <c r="TO161" s="651">
        <f t="shared" si="1320"/>
        <v>0</v>
      </c>
      <c r="TP161" s="619" t="e">
        <f>((273.2+TI161)*$F$32/((273.2+$F$31)*TK161))</f>
        <v>#DIV/0!</v>
      </c>
      <c r="TQ161" s="674" t="e">
        <f>TO161/TM161*TP161*EXP(-LN(2)/10990*($F$88-TN161))</f>
        <v>#DIV/0!</v>
      </c>
      <c r="TR161" s="599" t="e">
        <f>TQ161-AVERAGE(TY94:TY95)</f>
        <v>#DIV/0!</v>
      </c>
      <c r="TS161" s="672" t="e">
        <f>ABS($B$33*TR161*3600)</f>
        <v>#DIV/0!</v>
      </c>
      <c r="TT161" s="675" t="e">
        <f>ABS($B$34*TR161*3600)</f>
        <v>#DIV/0!</v>
      </c>
      <c r="TU161" s="614" t="e">
        <f>TT161*$C$79</f>
        <v>#DIV/0!</v>
      </c>
      <c r="TV161" s="672" t="e">
        <f>TT161*$F$70</f>
        <v>#DIV/0!</v>
      </c>
      <c r="TW161" s="600" t="e">
        <f>TT161*$F$75</f>
        <v>#DIV/0!</v>
      </c>
      <c r="TX161" s="672" t="e">
        <f>TT161*$F$72</f>
        <v>#DIV/0!</v>
      </c>
      <c r="TY161" s="676" t="e">
        <f>TT161*$F$71</f>
        <v>#DIV/0!</v>
      </c>
    </row>
    <row r="162" spans="1:545" x14ac:dyDescent="0.25">
      <c r="A162" s="2220"/>
      <c r="B162" s="668"/>
      <c r="C162" s="673"/>
      <c r="D162" s="673"/>
      <c r="E162" s="671"/>
      <c r="F162" s="673"/>
      <c r="G162" s="650"/>
      <c r="H162" s="651"/>
      <c r="I162" s="619"/>
      <c r="J162" s="674"/>
      <c r="K162" s="599"/>
      <c r="L162" s="599"/>
      <c r="M162" s="657"/>
      <c r="N162" s="614"/>
      <c r="O162" s="672"/>
      <c r="P162" s="600"/>
      <c r="Q162" s="672"/>
      <c r="R162" s="676"/>
      <c r="S162" s="677"/>
      <c r="T162" s="669"/>
      <c r="U162" s="670"/>
      <c r="V162" s="671"/>
      <c r="W162" s="678"/>
      <c r="X162" s="663"/>
      <c r="Y162" s="651">
        <f t="shared" si="1260"/>
        <v>0</v>
      </c>
      <c r="Z162" s="619" t="e">
        <f>((273.2+S162)*$F$32/((273.2+$F$31)*U162))</f>
        <v>#DIV/0!</v>
      </c>
      <c r="AA162" s="674" t="e">
        <f>Y162/W162*Z162*EXP(-LN(2)/10990*($F$88-X162))</f>
        <v>#DIV/0!</v>
      </c>
      <c r="AB162" s="599" t="e">
        <f>AA162-AVERAGE(AI94:AI95)</f>
        <v>#DIV/0!</v>
      </c>
      <c r="AC162" s="599" t="e">
        <f>ABS($B$33*AB162*3600)</f>
        <v>#DIV/0!</v>
      </c>
      <c r="AD162" s="657" t="e">
        <f>ABS($B$34*AB162*3600)</f>
        <v>#DIV/0!</v>
      </c>
      <c r="AE162" s="614" t="e">
        <f>AD162*$C$79</f>
        <v>#DIV/0!</v>
      </c>
      <c r="AF162" s="672" t="e">
        <f>AD162*$F$70</f>
        <v>#DIV/0!</v>
      </c>
      <c r="AG162" s="600" t="e">
        <f t="shared" si="1261"/>
        <v>#DIV/0!</v>
      </c>
      <c r="AH162" s="672" t="e">
        <f>AD162*$F$72</f>
        <v>#DIV/0!</v>
      </c>
      <c r="AI162" s="676" t="e">
        <f>AD162*$F$71</f>
        <v>#DIV/0!</v>
      </c>
      <c r="AJ162" s="677"/>
      <c r="AK162" s="669"/>
      <c r="AL162" s="670"/>
      <c r="AM162" s="671"/>
      <c r="AN162" s="678"/>
      <c r="AO162" s="663"/>
      <c r="AP162" s="651">
        <f t="shared" si="1262"/>
        <v>0</v>
      </c>
      <c r="AQ162" s="619" t="e">
        <f>((273.2+AJ162)*$F$32/((273.2+$F$31)*AL162))</f>
        <v>#DIV/0!</v>
      </c>
      <c r="AR162" s="674" t="e">
        <f>AP162/AN162*AQ162*EXP(-LN(2)/10990*($F$88-AO162))</f>
        <v>#DIV/0!</v>
      </c>
      <c r="AS162" s="599" t="e">
        <f>AR162-AVERAGE(AZ94:AZ95)</f>
        <v>#DIV/0!</v>
      </c>
      <c r="AT162" s="599" t="e">
        <f>ABS($B$33*AS162*3600)</f>
        <v>#DIV/0!</v>
      </c>
      <c r="AU162" s="657" t="e">
        <f>ABS($B$34*AS162*3600)</f>
        <v>#DIV/0!</v>
      </c>
      <c r="AV162" s="614" t="e">
        <f>AU162*$C$79</f>
        <v>#DIV/0!</v>
      </c>
      <c r="AW162" s="672" t="e">
        <f>AU162*$F$70</f>
        <v>#DIV/0!</v>
      </c>
      <c r="AX162" s="600" t="e">
        <f t="shared" si="1263"/>
        <v>#DIV/0!</v>
      </c>
      <c r="AY162" s="672" t="e">
        <f>AU162*$F$72</f>
        <v>#DIV/0!</v>
      </c>
      <c r="AZ162" s="676" t="e">
        <f>AU162*$F$71</f>
        <v>#DIV/0!</v>
      </c>
      <c r="BA162" s="668"/>
      <c r="BB162" s="669"/>
      <c r="BC162" s="670"/>
      <c r="BD162" s="671"/>
      <c r="BE162" s="678"/>
      <c r="BF162" s="663"/>
      <c r="BG162" s="651">
        <f t="shared" si="1264"/>
        <v>0</v>
      </c>
      <c r="BH162" s="619" t="e">
        <f>((273.2+BA162)*$F$32/((273.2+$F$31)*BC162))</f>
        <v>#DIV/0!</v>
      </c>
      <c r="BI162" s="674" t="e">
        <f>BG162/BE162*BH162*EXP(-LN(2)/10990*($F$88-BF162))</f>
        <v>#DIV/0!</v>
      </c>
      <c r="BJ162" s="599" t="e">
        <f>BI162-AVERAGE(BQ94:BQ95)</f>
        <v>#DIV/0!</v>
      </c>
      <c r="BK162" s="599" t="e">
        <f>ABS($B$33*BJ162*3600)</f>
        <v>#DIV/0!</v>
      </c>
      <c r="BL162" s="657" t="e">
        <f>ABS($B$34*BJ162*3600)</f>
        <v>#DIV/0!</v>
      </c>
      <c r="BM162" s="614" t="e">
        <f>BL162*$C$79</f>
        <v>#DIV/0!</v>
      </c>
      <c r="BN162" s="672" t="e">
        <f>BL162*$F$70</f>
        <v>#DIV/0!</v>
      </c>
      <c r="BO162" s="600" t="e">
        <f t="shared" si="1265"/>
        <v>#DIV/0!</v>
      </c>
      <c r="BP162" s="672" t="e">
        <f>BL162*$F$72</f>
        <v>#DIV/0!</v>
      </c>
      <c r="BQ162" s="676" t="e">
        <f>BL162*$F$71</f>
        <v>#DIV/0!</v>
      </c>
      <c r="BR162" s="668"/>
      <c r="BS162" s="669"/>
      <c r="BT162" s="670"/>
      <c r="BU162" s="671"/>
      <c r="BV162" s="678"/>
      <c r="BW162" s="663"/>
      <c r="BX162" s="651">
        <f t="shared" si="1266"/>
        <v>0</v>
      </c>
      <c r="BY162" s="619" t="e">
        <f>((273.2+BR162)*$F$32/((273.2+$F$31)*BT162))</f>
        <v>#DIV/0!</v>
      </c>
      <c r="BZ162" s="674" t="e">
        <f>BX162/BV162*BY162*EXP(-LN(2)/10990*($F$88-BW162))</f>
        <v>#DIV/0!</v>
      </c>
      <c r="CA162" s="599" t="e">
        <f>BZ162-AVERAGE(CH94:CH95)</f>
        <v>#DIV/0!</v>
      </c>
      <c r="CB162" s="599" t="e">
        <f>ABS($B$33*CA162*3600)</f>
        <v>#DIV/0!</v>
      </c>
      <c r="CC162" s="657" t="e">
        <f>ABS($B$34*CA162*3600)</f>
        <v>#DIV/0!</v>
      </c>
      <c r="CD162" s="614" t="e">
        <f>CC162*$C$79</f>
        <v>#DIV/0!</v>
      </c>
      <c r="CE162" s="672" t="e">
        <f>CC162*$F$70</f>
        <v>#DIV/0!</v>
      </c>
      <c r="CF162" s="600" t="e">
        <f t="shared" si="1267"/>
        <v>#DIV/0!</v>
      </c>
      <c r="CG162" s="672" t="e">
        <f>CC162*$F$72</f>
        <v>#DIV/0!</v>
      </c>
      <c r="CH162" s="676" t="e">
        <f>CC162*$F$71</f>
        <v>#DIV/0!</v>
      </c>
      <c r="CI162" s="668"/>
      <c r="CJ162" s="669"/>
      <c r="CK162" s="670"/>
      <c r="CL162" s="671"/>
      <c r="CM162" s="678"/>
      <c r="CN162" s="663"/>
      <c r="CO162" s="651">
        <f t="shared" si="1268"/>
        <v>0</v>
      </c>
      <c r="CP162" s="619" t="e">
        <f>((273.2+CI162)*$F$32/((273.2+$F$31)*CK162))</f>
        <v>#DIV/0!</v>
      </c>
      <c r="CQ162" s="674" t="e">
        <f>CO162/CM162*CP162*EXP(-LN(2)/10990*($F$88-CN162))</f>
        <v>#DIV/0!</v>
      </c>
      <c r="CR162" s="599" t="e">
        <f>CQ162-AVERAGE(CY94:CY95)</f>
        <v>#DIV/0!</v>
      </c>
      <c r="CS162" s="599" t="e">
        <f>ABS($B$33*CR162*3600)</f>
        <v>#DIV/0!</v>
      </c>
      <c r="CT162" s="657" t="e">
        <f>ABS($B$34*CR162*3600)</f>
        <v>#DIV/0!</v>
      </c>
      <c r="CU162" s="614" t="e">
        <f>CT162*$C$79</f>
        <v>#DIV/0!</v>
      </c>
      <c r="CV162" s="672" t="e">
        <f>CT162*$F$70</f>
        <v>#DIV/0!</v>
      </c>
      <c r="CW162" s="600" t="e">
        <f t="shared" si="1269"/>
        <v>#DIV/0!</v>
      </c>
      <c r="CX162" s="672" t="e">
        <f>CT162*$F$72</f>
        <v>#DIV/0!</v>
      </c>
      <c r="CY162" s="676" t="e">
        <f>CT162*$F$71</f>
        <v>#DIV/0!</v>
      </c>
      <c r="CZ162" s="668"/>
      <c r="DA162" s="669"/>
      <c r="DB162" s="670"/>
      <c r="DC162" s="671"/>
      <c r="DD162" s="678"/>
      <c r="DE162" s="663"/>
      <c r="DF162" s="651">
        <f t="shared" si="1270"/>
        <v>0</v>
      </c>
      <c r="DG162" s="619" t="e">
        <f>((273.2+CZ162)*$F$32/((273.2+$F$31)*DB162))</f>
        <v>#DIV/0!</v>
      </c>
      <c r="DH162" s="674" t="e">
        <f>DF162/DD162*DG162*EXP(-LN(2)/10990*($F$88-DE162))</f>
        <v>#DIV/0!</v>
      </c>
      <c r="DI162" s="599" t="e">
        <f>DH162-AVERAGE(DP94:DP95)</f>
        <v>#DIV/0!</v>
      </c>
      <c r="DJ162" s="599" t="e">
        <f>ABS($B$33*DI162*3600)</f>
        <v>#DIV/0!</v>
      </c>
      <c r="DK162" s="657" t="e">
        <f>ABS($B$34*DI162*3600)</f>
        <v>#DIV/0!</v>
      </c>
      <c r="DL162" s="614" t="e">
        <f>DK162*$C$79</f>
        <v>#DIV/0!</v>
      </c>
      <c r="DM162" s="672" t="e">
        <f>DK162*$F$70</f>
        <v>#DIV/0!</v>
      </c>
      <c r="DN162" s="600" t="e">
        <f t="shared" si="1271"/>
        <v>#DIV/0!</v>
      </c>
      <c r="DO162" s="672" t="e">
        <f>DK162*$F$72</f>
        <v>#DIV/0!</v>
      </c>
      <c r="DP162" s="676" t="e">
        <f>DK162*$F$71</f>
        <v>#DIV/0!</v>
      </c>
      <c r="DQ162" s="668"/>
      <c r="DR162" s="669"/>
      <c r="DS162" s="677"/>
      <c r="DT162" s="679"/>
      <c r="DU162" s="678"/>
      <c r="DV162" s="663"/>
      <c r="DW162" s="651">
        <f t="shared" si="1272"/>
        <v>0</v>
      </c>
      <c r="DX162" s="619" t="e">
        <f>((273.2+DQ162)*$F$32/((273.2+$F$31)*DS162))</f>
        <v>#DIV/0!</v>
      </c>
      <c r="DY162" s="674" t="e">
        <f>DW162/DU162*DX162*EXP(-LN(2)/10990*($F$88-DV162))</f>
        <v>#DIV/0!</v>
      </c>
      <c r="DZ162" s="599" t="e">
        <f>DY162-AVERAGE(EG94:EG95)</f>
        <v>#DIV/0!</v>
      </c>
      <c r="EA162" s="599" t="e">
        <f>ABS($B$33*DZ162*3600)</f>
        <v>#DIV/0!</v>
      </c>
      <c r="EB162" s="657" t="e">
        <f>ABS($B$34*DZ162*3600)</f>
        <v>#DIV/0!</v>
      </c>
      <c r="EC162" s="614" t="e">
        <f>EB162*$C$79</f>
        <v>#DIV/0!</v>
      </c>
      <c r="ED162" s="672" t="e">
        <f>EB162*$F$70</f>
        <v>#DIV/0!</v>
      </c>
      <c r="EE162" s="600" t="e">
        <f t="shared" si="1273"/>
        <v>#DIV/0!</v>
      </c>
      <c r="EF162" s="672" t="e">
        <f>EB162*$F$72</f>
        <v>#DIV/0!</v>
      </c>
      <c r="EG162" s="676" t="e">
        <f>EB162*$F$71</f>
        <v>#DIV/0!</v>
      </c>
      <c r="EH162" s="668"/>
      <c r="EI162" s="669"/>
      <c r="EJ162" s="670"/>
      <c r="EK162" s="671"/>
      <c r="EL162" s="678"/>
      <c r="EM162" s="663"/>
      <c r="EN162" s="651">
        <f t="shared" si="1274"/>
        <v>0</v>
      </c>
      <c r="EO162" s="619" t="e">
        <f>((273.2+EH162)*$F$32/((273.2+$F$31)*EJ162))</f>
        <v>#DIV/0!</v>
      </c>
      <c r="EP162" s="674" t="e">
        <f>EN162/EL162*EO162*EXP(-LN(2)/10990*($F$88-EM162))</f>
        <v>#DIV/0!</v>
      </c>
      <c r="EQ162" s="599" t="e">
        <f>EP162-AVERAGE(EX94:EX95)</f>
        <v>#DIV/0!</v>
      </c>
      <c r="ER162" s="599" t="e">
        <f>ABS($B$33*EQ162*3600)</f>
        <v>#DIV/0!</v>
      </c>
      <c r="ES162" s="657" t="e">
        <f>ABS($B$34*EQ162*3600)</f>
        <v>#DIV/0!</v>
      </c>
      <c r="ET162" s="614" t="e">
        <f>ES162*$C$79</f>
        <v>#DIV/0!</v>
      </c>
      <c r="EU162" s="672" t="e">
        <f>ES162*$F$70</f>
        <v>#DIV/0!</v>
      </c>
      <c r="EV162" s="600" t="e">
        <f t="shared" si="1275"/>
        <v>#DIV/0!</v>
      </c>
      <c r="EW162" s="672" t="e">
        <f>ES162*$F$72</f>
        <v>#DIV/0!</v>
      </c>
      <c r="EX162" s="676" t="e">
        <f>ES162*$F$71</f>
        <v>#DIV/0!</v>
      </c>
      <c r="EY162" s="668"/>
      <c r="EZ162" s="669"/>
      <c r="FA162" s="670"/>
      <c r="FB162" s="671"/>
      <c r="FC162" s="678"/>
      <c r="FD162" s="663"/>
      <c r="FE162" s="651">
        <f t="shared" si="1276"/>
        <v>0</v>
      </c>
      <c r="FF162" s="619" t="e">
        <f>((273.2+EY162)*$F$32/((273.2+$F$31)*FA162))</f>
        <v>#DIV/0!</v>
      </c>
      <c r="FG162" s="674" t="e">
        <f>FE162/FC162*FF162*EXP(-LN(2)/10990*($F$88-FD162))</f>
        <v>#DIV/0!</v>
      </c>
      <c r="FH162" s="599" t="e">
        <f>FG162-AVERAGE(FO94:FO95)</f>
        <v>#DIV/0!</v>
      </c>
      <c r="FI162" s="599" t="e">
        <f>ABS($B$33*FH162*3600)</f>
        <v>#DIV/0!</v>
      </c>
      <c r="FJ162" s="657" t="e">
        <f>ABS($B$34*FH162*3600)</f>
        <v>#DIV/0!</v>
      </c>
      <c r="FK162" s="614" t="e">
        <f>FJ162*$C$79</f>
        <v>#DIV/0!</v>
      </c>
      <c r="FL162" s="672" t="e">
        <f>FJ162*$F$70</f>
        <v>#DIV/0!</v>
      </c>
      <c r="FM162" s="600" t="e">
        <f t="shared" si="1277"/>
        <v>#DIV/0!</v>
      </c>
      <c r="FN162" s="672" t="e">
        <f>FJ162*$F$72</f>
        <v>#DIV/0!</v>
      </c>
      <c r="FO162" s="676" t="e">
        <f>FJ162*$F$71</f>
        <v>#DIV/0!</v>
      </c>
      <c r="FP162" s="668"/>
      <c r="FQ162" s="669"/>
      <c r="FR162" s="670"/>
      <c r="FS162" s="671"/>
      <c r="FT162" s="678"/>
      <c r="FU162" s="663"/>
      <c r="FV162" s="651">
        <f t="shared" si="1278"/>
        <v>0</v>
      </c>
      <c r="FW162" s="619" t="e">
        <f>((273.2+FP162)*$F$32/((273.2+$F$31)*FR162))</f>
        <v>#DIV/0!</v>
      </c>
      <c r="FX162" s="674" t="e">
        <f>FV162/FT162*FW162*EXP(-LN(2)/10990*($F$88-FU162))</f>
        <v>#DIV/0!</v>
      </c>
      <c r="FY162" s="599" t="e">
        <f>FX162-AVERAGE(GF94:GF95)</f>
        <v>#DIV/0!</v>
      </c>
      <c r="FZ162" s="599" t="e">
        <f>ABS($B$33*FY162*3600)</f>
        <v>#DIV/0!</v>
      </c>
      <c r="GA162" s="657" t="e">
        <f>ABS($B$34*FY162*3600)</f>
        <v>#DIV/0!</v>
      </c>
      <c r="GB162" s="614" t="e">
        <f>GA162*$C$79</f>
        <v>#DIV/0!</v>
      </c>
      <c r="GC162" s="672" t="e">
        <f>GA162*$F$70</f>
        <v>#DIV/0!</v>
      </c>
      <c r="GD162" s="600" t="e">
        <f t="shared" si="1279"/>
        <v>#DIV/0!</v>
      </c>
      <c r="GE162" s="672" t="e">
        <f>GA162*$F$72</f>
        <v>#DIV/0!</v>
      </c>
      <c r="GF162" s="676" t="e">
        <f>GA162*$F$71</f>
        <v>#DIV/0!</v>
      </c>
      <c r="GG162" s="668"/>
      <c r="GH162" s="669"/>
      <c r="GI162" s="677"/>
      <c r="GJ162" s="679"/>
      <c r="GK162" s="678"/>
      <c r="GL162" s="663"/>
      <c r="GM162" s="651">
        <f t="shared" si="1280"/>
        <v>0</v>
      </c>
      <c r="GN162" s="619" t="e">
        <f>((273.2+GG162)*$F$32/((273.2+$F$31)*GI162))</f>
        <v>#DIV/0!</v>
      </c>
      <c r="GO162" s="674" t="e">
        <f>GM162/GK162*GN162*EXP(-LN(2)/10990*($F$88-GL162))</f>
        <v>#DIV/0!</v>
      </c>
      <c r="GP162" s="599" t="e">
        <f>GO162-AVERAGE(GW94:GW95)</f>
        <v>#DIV/0!</v>
      </c>
      <c r="GQ162" s="599" t="e">
        <f>ABS($B$33*GP162*3600)</f>
        <v>#DIV/0!</v>
      </c>
      <c r="GR162" s="657" t="e">
        <f>ABS($B$34*GP162*3600)</f>
        <v>#DIV/0!</v>
      </c>
      <c r="GS162" s="614" t="e">
        <f>GR162*$C$79</f>
        <v>#DIV/0!</v>
      </c>
      <c r="GT162" s="672" t="e">
        <f>GR162*$F$70</f>
        <v>#DIV/0!</v>
      </c>
      <c r="GU162" s="600" t="e">
        <f t="shared" si="1281"/>
        <v>#DIV/0!</v>
      </c>
      <c r="GV162" s="672" t="e">
        <f>GR162*$F$72</f>
        <v>#DIV/0!</v>
      </c>
      <c r="GW162" s="676" t="e">
        <f>GR162*$F$71</f>
        <v>#DIV/0!</v>
      </c>
      <c r="GX162" s="668"/>
      <c r="GY162" s="669"/>
      <c r="GZ162" s="670"/>
      <c r="HA162" s="671"/>
      <c r="HB162" s="678"/>
      <c r="HC162" s="663"/>
      <c r="HD162" s="651">
        <f t="shared" si="1282"/>
        <v>0</v>
      </c>
      <c r="HE162" s="619" t="e">
        <f>((273.2+GX162)*$F$32/((273.2+$F$31)*GZ162))</f>
        <v>#DIV/0!</v>
      </c>
      <c r="HF162" s="674" t="e">
        <f>HD162/HB162*HE162*EXP(-LN(2)/10990*($F$88-HC162))</f>
        <v>#DIV/0!</v>
      </c>
      <c r="HG162" s="599" t="e">
        <f>HF162-AVERAGE(HN94:HN95)</f>
        <v>#DIV/0!</v>
      </c>
      <c r="HH162" s="599" t="e">
        <f>ABS($B$33*HG162*3600)</f>
        <v>#DIV/0!</v>
      </c>
      <c r="HI162" s="657" t="e">
        <f>ABS($B$34*HG162*3600)</f>
        <v>#DIV/0!</v>
      </c>
      <c r="HJ162" s="614" t="e">
        <f>HI162*$C$79</f>
        <v>#DIV/0!</v>
      </c>
      <c r="HK162" s="672" t="e">
        <f>HI162*$F$70</f>
        <v>#DIV/0!</v>
      </c>
      <c r="HL162" s="600" t="e">
        <f t="shared" si="1283"/>
        <v>#DIV/0!</v>
      </c>
      <c r="HM162" s="672" t="e">
        <f>HI162*$F$72</f>
        <v>#DIV/0!</v>
      </c>
      <c r="HN162" s="676" t="e">
        <f>HI162*$F$71</f>
        <v>#DIV/0!</v>
      </c>
      <c r="HO162" s="668"/>
      <c r="HP162" s="669"/>
      <c r="HQ162" s="670"/>
      <c r="HR162" s="671"/>
      <c r="HS162" s="678"/>
      <c r="HT162" s="663"/>
      <c r="HU162" s="651">
        <f t="shared" si="1284"/>
        <v>0</v>
      </c>
      <c r="HV162" s="619" t="e">
        <f>((273.2+HO162)*$F$32/((273.2+$F$31)*HQ162))</f>
        <v>#DIV/0!</v>
      </c>
      <c r="HW162" s="674" t="e">
        <f>HU162/HS162*HV162*EXP(-LN(2)/10990*($F$88-HT162))</f>
        <v>#DIV/0!</v>
      </c>
      <c r="HX162" s="599" t="e">
        <f>HW162-AVERAGE(IE94:IE95)</f>
        <v>#DIV/0!</v>
      </c>
      <c r="HY162" s="599" t="e">
        <f>ABS($B$33*HX162*3600)</f>
        <v>#DIV/0!</v>
      </c>
      <c r="HZ162" s="657" t="e">
        <f>ABS($B$34*HX162*3600)</f>
        <v>#DIV/0!</v>
      </c>
      <c r="IA162" s="614" t="e">
        <f>HZ162*$C$79</f>
        <v>#DIV/0!</v>
      </c>
      <c r="IB162" s="672" t="e">
        <f>HZ162*$F$70</f>
        <v>#DIV/0!</v>
      </c>
      <c r="IC162" s="600" t="e">
        <f t="shared" si="1285"/>
        <v>#DIV/0!</v>
      </c>
      <c r="ID162" s="672" t="e">
        <f>HZ162*$F$72</f>
        <v>#DIV/0!</v>
      </c>
      <c r="IE162" s="676" t="e">
        <f>HZ162*$F$71</f>
        <v>#DIV/0!</v>
      </c>
      <c r="IF162" s="668"/>
      <c r="IG162" s="669"/>
      <c r="IH162" s="670"/>
      <c r="II162" s="671"/>
      <c r="IJ162" s="678"/>
      <c r="IK162" s="663"/>
      <c r="IL162" s="651">
        <f t="shared" si="1286"/>
        <v>0</v>
      </c>
      <c r="IM162" s="619" t="e">
        <f>((273.2+IF162)*$F$32/((273.2+$F$31)*IH162))</f>
        <v>#DIV/0!</v>
      </c>
      <c r="IN162" s="674" t="e">
        <f>IL162/IJ162*IM162*EXP(-LN(2)/10990*($F$88-IK162))</f>
        <v>#DIV/0!</v>
      </c>
      <c r="IO162" s="599" t="e">
        <f>IN162-AVERAGE(IV94:IV95)</f>
        <v>#DIV/0!</v>
      </c>
      <c r="IP162" s="599" t="e">
        <f>ABS($B$33*IO162*3600)</f>
        <v>#DIV/0!</v>
      </c>
      <c r="IQ162" s="657" t="e">
        <f>ABS($B$34*IO162*3600)</f>
        <v>#DIV/0!</v>
      </c>
      <c r="IR162" s="614" t="e">
        <f>IQ162*$C$79</f>
        <v>#DIV/0!</v>
      </c>
      <c r="IS162" s="672" t="e">
        <f>IQ162*$F$70</f>
        <v>#DIV/0!</v>
      </c>
      <c r="IT162" s="600" t="e">
        <f t="shared" si="1287"/>
        <v>#DIV/0!</v>
      </c>
      <c r="IU162" s="672" t="e">
        <f>IQ162*$F$72</f>
        <v>#DIV/0!</v>
      </c>
      <c r="IV162" s="676" t="e">
        <f>IQ162*$F$71</f>
        <v>#DIV/0!</v>
      </c>
      <c r="IW162" s="668"/>
      <c r="IX162" s="669"/>
      <c r="IY162" s="670"/>
      <c r="IZ162" s="671"/>
      <c r="JA162" s="678"/>
      <c r="JB162" s="663"/>
      <c r="JC162" s="651">
        <f t="shared" si="1288"/>
        <v>0</v>
      </c>
      <c r="JD162" s="619" t="e">
        <f>((273.2+IW162)*$F$32/((273.2+$F$31)*IY162))</f>
        <v>#DIV/0!</v>
      </c>
      <c r="JE162" s="674" t="e">
        <f>JC162/JA162*JD162*EXP(-LN(2)/10990*($F$88-JB162))</f>
        <v>#DIV/0!</v>
      </c>
      <c r="JF162" s="599" t="e">
        <f>JE162-AVERAGE(JM94:JM95)</f>
        <v>#DIV/0!</v>
      </c>
      <c r="JG162" s="599" t="e">
        <f>ABS($B$33*JF162*3600)</f>
        <v>#DIV/0!</v>
      </c>
      <c r="JH162" s="657" t="e">
        <f>ABS($B$34*JF162*3600)</f>
        <v>#DIV/0!</v>
      </c>
      <c r="JI162" s="614" t="e">
        <f>JH162*$C$79</f>
        <v>#DIV/0!</v>
      </c>
      <c r="JJ162" s="672" t="e">
        <f>JH162*$F$70</f>
        <v>#DIV/0!</v>
      </c>
      <c r="JK162" s="600" t="e">
        <f t="shared" si="1289"/>
        <v>#DIV/0!</v>
      </c>
      <c r="JL162" s="672" t="e">
        <f>JH162*$F$72</f>
        <v>#DIV/0!</v>
      </c>
      <c r="JM162" s="676" t="e">
        <f>JH162*$F$71</f>
        <v>#DIV/0!</v>
      </c>
      <c r="JN162" s="668"/>
      <c r="JO162" s="669"/>
      <c r="JP162" s="670"/>
      <c r="JQ162" s="671"/>
      <c r="JR162" s="678"/>
      <c r="JS162" s="663"/>
      <c r="JT162" s="651">
        <f t="shared" si="1290"/>
        <v>0</v>
      </c>
      <c r="JU162" s="619" t="e">
        <f>((273.2+JN162)*$F$32/((273.2+$F$31)*JP162))</f>
        <v>#DIV/0!</v>
      </c>
      <c r="JV162" s="674" t="e">
        <f>JT162/JR162*JU162*EXP(-LN(2)/10990*($F$88-JS162))</f>
        <v>#DIV/0!</v>
      </c>
      <c r="JW162" s="599" t="e">
        <f>JV162-AVERAGE(KD94:KD95)</f>
        <v>#DIV/0!</v>
      </c>
      <c r="JX162" s="599" t="e">
        <f>ABS($B$33*JW162*3600)</f>
        <v>#DIV/0!</v>
      </c>
      <c r="JY162" s="657" t="e">
        <f>ABS($B$34*JW162*3600)</f>
        <v>#DIV/0!</v>
      </c>
      <c r="JZ162" s="614" t="e">
        <f>JY162*$C$79</f>
        <v>#DIV/0!</v>
      </c>
      <c r="KA162" s="672" t="e">
        <f>JY162*$F$70</f>
        <v>#DIV/0!</v>
      </c>
      <c r="KB162" s="600" t="e">
        <f t="shared" si="1291"/>
        <v>#DIV/0!</v>
      </c>
      <c r="KC162" s="672" t="e">
        <f>JY162*$F$72</f>
        <v>#DIV/0!</v>
      </c>
      <c r="KD162" s="676" t="e">
        <f>JY162*$F$71</f>
        <v>#DIV/0!</v>
      </c>
      <c r="KE162" s="668"/>
      <c r="KF162" s="669"/>
      <c r="KG162" s="670"/>
      <c r="KH162" s="671"/>
      <c r="KI162" s="678"/>
      <c r="KJ162" s="663"/>
      <c r="KK162" s="651">
        <f t="shared" si="1292"/>
        <v>0</v>
      </c>
      <c r="KL162" s="619" t="e">
        <f>((273.2+KE162)*$F$32/((273.2+$F$31)*KG162))</f>
        <v>#DIV/0!</v>
      </c>
      <c r="KM162" s="674" t="e">
        <f>KK162/KI162*KL162*EXP(-LN(2)/10990*($F$88-KJ162))</f>
        <v>#DIV/0!</v>
      </c>
      <c r="KN162" s="599" t="e">
        <f>KM162-AVERAGE(KU94:KU95)</f>
        <v>#DIV/0!</v>
      </c>
      <c r="KO162" s="599" t="e">
        <f>ABS($B$33*KN162*3600)</f>
        <v>#DIV/0!</v>
      </c>
      <c r="KP162" s="657" t="e">
        <f>ABS($B$34*KN162*3600)</f>
        <v>#DIV/0!</v>
      </c>
      <c r="KQ162" s="614" t="e">
        <f>KP162*$C$79</f>
        <v>#DIV/0!</v>
      </c>
      <c r="KR162" s="672" t="e">
        <f>KP162*$F$70</f>
        <v>#DIV/0!</v>
      </c>
      <c r="KS162" s="600" t="e">
        <f t="shared" si="1293"/>
        <v>#DIV/0!</v>
      </c>
      <c r="KT162" s="672" t="e">
        <f>KP162*$F$72</f>
        <v>#DIV/0!</v>
      </c>
      <c r="KU162" s="676" t="e">
        <f>KP162*$F$71</f>
        <v>#DIV/0!</v>
      </c>
      <c r="KV162" s="668"/>
      <c r="KW162" s="669"/>
      <c r="KX162" s="670"/>
      <c r="KY162" s="671"/>
      <c r="KZ162" s="678"/>
      <c r="LA162" s="663"/>
      <c r="LB162" s="651">
        <f t="shared" si="1294"/>
        <v>0</v>
      </c>
      <c r="LC162" s="619" t="e">
        <f>((273.2+KV162)*$F$32/((273.2+$F$31)*KX162))</f>
        <v>#DIV/0!</v>
      </c>
      <c r="LD162" s="674" t="e">
        <f>LB162/KZ162*LC162*EXP(-LN(2)/10990*($F$88-LA162))</f>
        <v>#DIV/0!</v>
      </c>
      <c r="LE162" s="599" t="e">
        <f>LD162-AVERAGE(LL94:LL95)</f>
        <v>#DIV/0!</v>
      </c>
      <c r="LF162" s="599" t="e">
        <f>ABS($B$33*LE162*3600)</f>
        <v>#DIV/0!</v>
      </c>
      <c r="LG162" s="657" t="e">
        <f>ABS($B$34*LE162*3600)</f>
        <v>#DIV/0!</v>
      </c>
      <c r="LH162" s="614" t="e">
        <f>LG162*$C$79</f>
        <v>#DIV/0!</v>
      </c>
      <c r="LI162" s="672" t="e">
        <f>LG162*$F$70</f>
        <v>#DIV/0!</v>
      </c>
      <c r="LJ162" s="600" t="e">
        <f t="shared" si="1295"/>
        <v>#DIV/0!</v>
      </c>
      <c r="LK162" s="672" t="e">
        <f>LG162*$F$72</f>
        <v>#DIV/0!</v>
      </c>
      <c r="LL162" s="676" t="e">
        <f>LG162*$F$71</f>
        <v>#DIV/0!</v>
      </c>
      <c r="LM162" s="668"/>
      <c r="LN162" s="669"/>
      <c r="LO162" s="670"/>
      <c r="LP162" s="671"/>
      <c r="LQ162" s="678"/>
      <c r="LR162" s="663"/>
      <c r="LS162" s="651">
        <f t="shared" si="1296"/>
        <v>0</v>
      </c>
      <c r="LT162" s="619" t="e">
        <f>((273.2+LM162)*$F$32/((273.2+$F$31)*LO162))</f>
        <v>#DIV/0!</v>
      </c>
      <c r="LU162" s="674" t="e">
        <f>LS162/LQ162*LT162*EXP(-LN(2)/10990*($F$88-LR162))</f>
        <v>#DIV/0!</v>
      </c>
      <c r="LV162" s="599" t="e">
        <f>LU162-AVERAGE(MC94:MC95)</f>
        <v>#DIV/0!</v>
      </c>
      <c r="LW162" s="599" t="e">
        <f>ABS($B$33*LV162*3600)</f>
        <v>#DIV/0!</v>
      </c>
      <c r="LX162" s="657" t="e">
        <f>ABS($B$34*LV162*3600)</f>
        <v>#DIV/0!</v>
      </c>
      <c r="LY162" s="614" t="e">
        <f>LX162*$C$79</f>
        <v>#DIV/0!</v>
      </c>
      <c r="LZ162" s="672" t="e">
        <f>LX162*$F$70</f>
        <v>#DIV/0!</v>
      </c>
      <c r="MA162" s="600" t="e">
        <f t="shared" si="1297"/>
        <v>#DIV/0!</v>
      </c>
      <c r="MB162" s="672" t="e">
        <f>LX162*$F$72</f>
        <v>#DIV/0!</v>
      </c>
      <c r="MC162" s="676" t="e">
        <f>LX162*$F$71</f>
        <v>#DIV/0!</v>
      </c>
      <c r="MD162" s="668"/>
      <c r="ME162" s="669"/>
      <c r="MF162" s="670"/>
      <c r="MG162" s="671"/>
      <c r="MH162" s="678"/>
      <c r="MI162" s="663"/>
      <c r="MJ162" s="651">
        <f t="shared" si="1298"/>
        <v>0</v>
      </c>
      <c r="MK162" s="619" t="e">
        <f>((273.2+MD162)*$F$32/((273.2+$F$31)*MF162))</f>
        <v>#DIV/0!</v>
      </c>
      <c r="ML162" s="674" t="e">
        <f>MJ162/MH162*MK162*EXP(-LN(2)/10990*($F$88-MI162))</f>
        <v>#DIV/0!</v>
      </c>
      <c r="MM162" s="599" t="e">
        <f>ML162-AVERAGE(MT94:MT95)</f>
        <v>#DIV/0!</v>
      </c>
      <c r="MN162" s="599" t="e">
        <f>ABS($B$33*MM162*3600)</f>
        <v>#DIV/0!</v>
      </c>
      <c r="MO162" s="657" t="e">
        <f>ABS($B$34*MM162*3600)</f>
        <v>#DIV/0!</v>
      </c>
      <c r="MP162" s="614" t="e">
        <f>MO162*$C$79</f>
        <v>#DIV/0!</v>
      </c>
      <c r="MQ162" s="672" t="e">
        <f>MO162*$F$70</f>
        <v>#DIV/0!</v>
      </c>
      <c r="MR162" s="600" t="e">
        <f t="shared" si="1299"/>
        <v>#DIV/0!</v>
      </c>
      <c r="MS162" s="672" t="e">
        <f>MO162*$F$72</f>
        <v>#DIV/0!</v>
      </c>
      <c r="MT162" s="676" t="e">
        <f>MO162*$F$71</f>
        <v>#DIV/0!</v>
      </c>
      <c r="MU162" s="668"/>
      <c r="MV162" s="669"/>
      <c r="MW162" s="670"/>
      <c r="MX162" s="671"/>
      <c r="MY162" s="678"/>
      <c r="MZ162" s="663"/>
      <c r="NA162" s="651">
        <f t="shared" si="1300"/>
        <v>0</v>
      </c>
      <c r="NB162" s="619" t="e">
        <f>((273.2+MU162)*$F$32/((273.2+$F$31)*MW162))</f>
        <v>#DIV/0!</v>
      </c>
      <c r="NC162" s="674" t="e">
        <f>NA162/MY162*NB162*EXP(-LN(2)/10990*($F$88-MZ162))</f>
        <v>#DIV/0!</v>
      </c>
      <c r="ND162" s="599" t="e">
        <f>NC162-AVERAGE(NK94:NK95)</f>
        <v>#DIV/0!</v>
      </c>
      <c r="NE162" s="599" t="e">
        <f>ABS($B$33*ND162*3600)</f>
        <v>#DIV/0!</v>
      </c>
      <c r="NF162" s="657" t="e">
        <f>ABS($B$34*ND162*3600)</f>
        <v>#DIV/0!</v>
      </c>
      <c r="NG162" s="614" t="e">
        <f>NF162*$C$79</f>
        <v>#DIV/0!</v>
      </c>
      <c r="NH162" s="672" t="e">
        <f>NF162*$F$70</f>
        <v>#DIV/0!</v>
      </c>
      <c r="NI162" s="600" t="e">
        <f t="shared" si="1301"/>
        <v>#DIV/0!</v>
      </c>
      <c r="NJ162" s="672" t="e">
        <f>NF162*$F$72</f>
        <v>#DIV/0!</v>
      </c>
      <c r="NK162" s="676" t="e">
        <f>NF162*$F$71</f>
        <v>#DIV/0!</v>
      </c>
      <c r="NL162" s="668"/>
      <c r="NM162" s="669"/>
      <c r="NN162" s="670"/>
      <c r="NO162" s="671"/>
      <c r="NP162" s="678"/>
      <c r="NQ162" s="663"/>
      <c r="NR162" s="651">
        <f t="shared" si="1302"/>
        <v>0</v>
      </c>
      <c r="NS162" s="619" t="e">
        <f>((273.2+NL162)*$F$32/((273.2+$F$31)*NN162))</f>
        <v>#DIV/0!</v>
      </c>
      <c r="NT162" s="674" t="e">
        <f>NR162/NP162*NS162*EXP(-LN(2)/10990*($F$88-NQ162))</f>
        <v>#DIV/0!</v>
      </c>
      <c r="NU162" s="599" t="e">
        <f>NT162-AVERAGE(OB94:OB95)</f>
        <v>#DIV/0!</v>
      </c>
      <c r="NV162" s="599" t="e">
        <f>ABS($B$33*NU162*3600)</f>
        <v>#DIV/0!</v>
      </c>
      <c r="NW162" s="657" t="e">
        <f>ABS($B$34*NU162*3600)</f>
        <v>#DIV/0!</v>
      </c>
      <c r="NX162" s="614" t="e">
        <f>NW162*$C$79</f>
        <v>#DIV/0!</v>
      </c>
      <c r="NY162" s="672" t="e">
        <f>NW162*$F$70</f>
        <v>#DIV/0!</v>
      </c>
      <c r="NZ162" s="600" t="e">
        <f t="shared" si="1303"/>
        <v>#DIV/0!</v>
      </c>
      <c r="OA162" s="672" t="e">
        <f>NW162*$F$72</f>
        <v>#DIV/0!</v>
      </c>
      <c r="OB162" s="676" t="e">
        <f>NW162*$F$71</f>
        <v>#DIV/0!</v>
      </c>
      <c r="OC162" s="668"/>
      <c r="OD162" s="669"/>
      <c r="OE162" s="670"/>
      <c r="OF162" s="671"/>
      <c r="OG162" s="678"/>
      <c r="OH162" s="663"/>
      <c r="OI162" s="651">
        <f t="shared" si="1304"/>
        <v>0</v>
      </c>
      <c r="OJ162" s="619" t="e">
        <f>((273.2+OC162)*$F$32/((273.2+$F$31)*OE162))</f>
        <v>#DIV/0!</v>
      </c>
      <c r="OK162" s="674" t="e">
        <f>OI162/OG162*OJ162*EXP(-LN(2)/10990*($F$88-OH162))</f>
        <v>#DIV/0!</v>
      </c>
      <c r="OL162" s="599" t="e">
        <f>OK162-AVERAGE(OS94:OS95)</f>
        <v>#DIV/0!</v>
      </c>
      <c r="OM162" s="599" t="e">
        <f>ABS($B$33*OL162*3600)</f>
        <v>#DIV/0!</v>
      </c>
      <c r="ON162" s="657" t="e">
        <f>ABS($B$34*OL162*3600)</f>
        <v>#DIV/0!</v>
      </c>
      <c r="OO162" s="614" t="e">
        <f>ON162*$C$79</f>
        <v>#DIV/0!</v>
      </c>
      <c r="OP162" s="672" t="e">
        <f>ON162*$F$70</f>
        <v>#DIV/0!</v>
      </c>
      <c r="OQ162" s="600" t="e">
        <f t="shared" si="1305"/>
        <v>#DIV/0!</v>
      </c>
      <c r="OR162" s="672" t="e">
        <f>ON162*$F$72</f>
        <v>#DIV/0!</v>
      </c>
      <c r="OS162" s="676" t="e">
        <f>ON162*$F$71</f>
        <v>#DIV/0!</v>
      </c>
      <c r="OT162" s="668"/>
      <c r="OU162" s="669"/>
      <c r="OV162" s="670"/>
      <c r="OW162" s="671"/>
      <c r="OX162" s="678"/>
      <c r="OY162" s="663"/>
      <c r="OZ162" s="651">
        <f t="shared" si="1306"/>
        <v>0</v>
      </c>
      <c r="PA162" s="619" t="e">
        <f>((273.2+OT162)*$F$32/((273.2+$F$31)*OV162))</f>
        <v>#DIV/0!</v>
      </c>
      <c r="PB162" s="674" t="e">
        <f>OZ162/OX162*PA162*EXP(-LN(2)/10990*($F$88-OY162))</f>
        <v>#DIV/0!</v>
      </c>
      <c r="PC162" s="599" t="e">
        <f>PB162-AVERAGE(PJ94:PJ95)</f>
        <v>#DIV/0!</v>
      </c>
      <c r="PD162" s="599" t="e">
        <f>ABS($B$33*PC162*3600)</f>
        <v>#DIV/0!</v>
      </c>
      <c r="PE162" s="657" t="e">
        <f>ABS($B$34*PC162*3600)</f>
        <v>#DIV/0!</v>
      </c>
      <c r="PF162" s="614" t="e">
        <f>PE162*$C$79</f>
        <v>#DIV/0!</v>
      </c>
      <c r="PG162" s="672" t="e">
        <f>PE162*$F$70</f>
        <v>#DIV/0!</v>
      </c>
      <c r="PH162" s="600" t="e">
        <f t="shared" si="1307"/>
        <v>#DIV/0!</v>
      </c>
      <c r="PI162" s="672" t="e">
        <f>PE162*$F$72</f>
        <v>#DIV/0!</v>
      </c>
      <c r="PJ162" s="676" t="e">
        <f>PE162*$F$71</f>
        <v>#DIV/0!</v>
      </c>
      <c r="PK162" s="668"/>
      <c r="PL162" s="669"/>
      <c r="PM162" s="670"/>
      <c r="PN162" s="671"/>
      <c r="PO162" s="678"/>
      <c r="PP162" s="663"/>
      <c r="PQ162" s="651">
        <f t="shared" si="1308"/>
        <v>0</v>
      </c>
      <c r="PR162" s="619" t="e">
        <f>((273.2+PK162)*$F$32/((273.2+$F$31)*PM162))</f>
        <v>#DIV/0!</v>
      </c>
      <c r="PS162" s="674" t="e">
        <f>PQ162/PO162*PR162*EXP(-LN(2)/10990*($F$88-PP162))</f>
        <v>#DIV/0!</v>
      </c>
      <c r="PT162" s="599" t="e">
        <f>PS162-AVERAGE(QA94:QA95)</f>
        <v>#DIV/0!</v>
      </c>
      <c r="PU162" s="599" t="e">
        <f>ABS($B$33*PT162*3600)</f>
        <v>#DIV/0!</v>
      </c>
      <c r="PV162" s="657" t="e">
        <f>ABS($B$34*PT162*3600)</f>
        <v>#DIV/0!</v>
      </c>
      <c r="PW162" s="614" t="e">
        <f>PV162*$C$79</f>
        <v>#DIV/0!</v>
      </c>
      <c r="PX162" s="672" t="e">
        <f>PV162*$F$70</f>
        <v>#DIV/0!</v>
      </c>
      <c r="PY162" s="600" t="e">
        <f t="shared" si="1309"/>
        <v>#DIV/0!</v>
      </c>
      <c r="PZ162" s="672" t="e">
        <f>PV162*$F$72</f>
        <v>#DIV/0!</v>
      </c>
      <c r="QA162" s="676" t="e">
        <f>PV162*$F$71</f>
        <v>#DIV/0!</v>
      </c>
      <c r="QB162" s="668"/>
      <c r="QC162" s="669"/>
      <c r="QD162" s="670"/>
      <c r="QE162" s="671"/>
      <c r="QF162" s="673">
        <v>100</v>
      </c>
      <c r="QG162" s="663"/>
      <c r="QH162" s="651">
        <f t="shared" si="1310"/>
        <v>0</v>
      </c>
      <c r="QI162" s="619" t="e">
        <f>((273.2+QB162)*$F$32/((273.2+$F$31)*QD162))</f>
        <v>#DIV/0!</v>
      </c>
      <c r="QJ162" s="674" t="e">
        <f>QH162/QF162*QI162*EXP(-LN(2)/10990*($F$88-QG162))</f>
        <v>#DIV/0!</v>
      </c>
      <c r="QK162" s="599" t="e">
        <f>QJ162-AVERAGE(QR94:QR95)</f>
        <v>#DIV/0!</v>
      </c>
      <c r="QL162" s="599" t="e">
        <f>ABS($B$33*QK162*3600)</f>
        <v>#DIV/0!</v>
      </c>
      <c r="QM162" s="657" t="e">
        <f>ABS($B$34*QK162*3600)</f>
        <v>#DIV/0!</v>
      </c>
      <c r="QN162" s="614" t="e">
        <f>QM162*$C$79</f>
        <v>#DIV/0!</v>
      </c>
      <c r="QO162" s="672" t="e">
        <f>QM162*$F$70</f>
        <v>#DIV/0!</v>
      </c>
      <c r="QP162" s="600" t="e">
        <f t="shared" si="1311"/>
        <v>#DIV/0!</v>
      </c>
      <c r="QQ162" s="672" t="e">
        <f>QM162*$F$72</f>
        <v>#DIV/0!</v>
      </c>
      <c r="QR162" s="676" t="e">
        <f>QM162*$F$71</f>
        <v>#DIV/0!</v>
      </c>
      <c r="QS162" s="668"/>
      <c r="QT162" s="669"/>
      <c r="QU162" s="669"/>
      <c r="QV162" s="679"/>
      <c r="QW162" s="673">
        <v>100</v>
      </c>
      <c r="QX162" s="663"/>
      <c r="QY162" s="651">
        <f t="shared" si="1312"/>
        <v>0</v>
      </c>
      <c r="QZ162" s="619" t="e">
        <f>((273.2+QS162)*$F$32/((273.2+$F$31)*QU162))</f>
        <v>#DIV/0!</v>
      </c>
      <c r="RA162" s="674" t="e">
        <f>QY162/QW162*QZ162*EXP(-LN(2)/10990*($F$88-QX162))</f>
        <v>#DIV/0!</v>
      </c>
      <c r="RB162" s="599" t="e">
        <f>RA162-AVERAGE(RI94:RI95)</f>
        <v>#DIV/0!</v>
      </c>
      <c r="RC162" s="599" t="e">
        <f>ABS($B$33*RB162*3600)</f>
        <v>#DIV/0!</v>
      </c>
      <c r="RD162" s="657" t="e">
        <f>ABS($B$34*RB162*3600)</f>
        <v>#DIV/0!</v>
      </c>
      <c r="RE162" s="614" t="e">
        <f>RD162*$C$79</f>
        <v>#DIV/0!</v>
      </c>
      <c r="RF162" s="672" t="e">
        <f>RD162*$F$70</f>
        <v>#DIV/0!</v>
      </c>
      <c r="RG162" s="600" t="e">
        <f t="shared" si="1313"/>
        <v>#DIV/0!</v>
      </c>
      <c r="RH162" s="672" t="e">
        <f>RD162*$F$72</f>
        <v>#DIV/0!</v>
      </c>
      <c r="RI162" s="676" t="e">
        <f>RD162*$F$71</f>
        <v>#DIV/0!</v>
      </c>
      <c r="RJ162" s="668"/>
      <c r="RK162" s="669"/>
      <c r="RL162" s="670"/>
      <c r="RM162" s="671"/>
      <c r="RN162" s="678"/>
      <c r="RO162" s="663"/>
      <c r="RP162" s="651">
        <f t="shared" si="1314"/>
        <v>0</v>
      </c>
      <c r="RQ162" s="619" t="e">
        <f>((273.2+RJ162)*$F$32/((273.2+$F$31)*RL162))</f>
        <v>#DIV/0!</v>
      </c>
      <c r="RR162" s="674" t="e">
        <f>RP162/RN162*RQ162*EXP(-LN(2)/10990*($F$88-RO162))</f>
        <v>#DIV/0!</v>
      </c>
      <c r="RS162" s="599" t="e">
        <f>RR162-AVERAGE(RZ94:RZ95)</f>
        <v>#DIV/0!</v>
      </c>
      <c r="RT162" s="599" t="e">
        <f>ABS($B$33*RS162*3600)</f>
        <v>#DIV/0!</v>
      </c>
      <c r="RU162" s="657" t="e">
        <f>ABS($B$34*RS162*3600)</f>
        <v>#DIV/0!</v>
      </c>
      <c r="RV162" s="614" t="e">
        <f>RU162*$C$79</f>
        <v>#DIV/0!</v>
      </c>
      <c r="RW162" s="672" t="e">
        <f>RU162*$F$70</f>
        <v>#DIV/0!</v>
      </c>
      <c r="RX162" s="600" t="e">
        <f t="shared" si="1315"/>
        <v>#DIV/0!</v>
      </c>
      <c r="RY162" s="672" t="e">
        <f>RU162*$F$72</f>
        <v>#DIV/0!</v>
      </c>
      <c r="RZ162" s="676" t="e">
        <f>RU162*$F$71</f>
        <v>#DIV/0!</v>
      </c>
      <c r="SA162" s="668"/>
      <c r="SB162" s="669"/>
      <c r="SC162" s="670"/>
      <c r="SD162" s="671"/>
      <c r="SE162" s="678"/>
      <c r="SF162" s="663"/>
      <c r="SG162" s="651">
        <f t="shared" si="1316"/>
        <v>0</v>
      </c>
      <c r="SH162" s="619" t="e">
        <f>((273.2+SA162)*$F$32/((273.2+$F$31)*SC162))</f>
        <v>#DIV/0!</v>
      </c>
      <c r="SI162" s="674" t="e">
        <f>SG162/SE162*SH162*EXP(-LN(2)/10990*($F$88-SF162))</f>
        <v>#DIV/0!</v>
      </c>
      <c r="SJ162" s="599" t="e">
        <f>SI162-AVERAGE(SQ94:SQ95)</f>
        <v>#DIV/0!</v>
      </c>
      <c r="SK162" s="599" t="e">
        <f>ABS($B$33*SJ162*3600)</f>
        <v>#DIV/0!</v>
      </c>
      <c r="SL162" s="657" t="e">
        <f>ABS($B$34*SJ162*3600)</f>
        <v>#DIV/0!</v>
      </c>
      <c r="SM162" s="614" t="e">
        <f>SL162*$C$79</f>
        <v>#DIV/0!</v>
      </c>
      <c r="SN162" s="672" t="e">
        <f>SL162*$F$70</f>
        <v>#DIV/0!</v>
      </c>
      <c r="SO162" s="600" t="e">
        <f t="shared" si="1317"/>
        <v>#DIV/0!</v>
      </c>
      <c r="SP162" s="672" t="e">
        <f>SL162*$F$72</f>
        <v>#DIV/0!</v>
      </c>
      <c r="SQ162" s="676" t="e">
        <f>SL162*$F$71</f>
        <v>#DIV/0!</v>
      </c>
      <c r="SR162" s="668"/>
      <c r="SS162" s="669"/>
      <c r="ST162" s="670"/>
      <c r="SU162" s="671"/>
      <c r="SV162" s="678"/>
      <c r="SW162" s="663"/>
      <c r="SX162" s="651">
        <f t="shared" si="1318"/>
        <v>0</v>
      </c>
      <c r="SY162" s="619" t="e">
        <f>((273.2+SR162)*$F$32/((273.2+$F$31)*ST162))</f>
        <v>#DIV/0!</v>
      </c>
      <c r="SZ162" s="674" t="e">
        <f>SX162/SV162*SY162*EXP(-LN(2)/10990*($F$88-SW162))</f>
        <v>#DIV/0!</v>
      </c>
      <c r="TA162" s="599" t="e">
        <f>SZ162-AVERAGE(TH94:TH95)</f>
        <v>#DIV/0!</v>
      </c>
      <c r="TB162" s="599" t="e">
        <f>ABS($B$33*TA162*3600)</f>
        <v>#DIV/0!</v>
      </c>
      <c r="TC162" s="657" t="e">
        <f>ABS($B$34*TA162*3600)</f>
        <v>#DIV/0!</v>
      </c>
      <c r="TD162" s="614" t="e">
        <f>TC162*$C$79</f>
        <v>#DIV/0!</v>
      </c>
      <c r="TE162" s="672" t="e">
        <f>TC162*$F$70</f>
        <v>#DIV/0!</v>
      </c>
      <c r="TF162" s="600" t="e">
        <f t="shared" si="1319"/>
        <v>#DIV/0!</v>
      </c>
      <c r="TG162" s="672" t="e">
        <f>TC162*$F$72</f>
        <v>#DIV/0!</v>
      </c>
      <c r="TH162" s="675" t="e">
        <f>TC162*$F$71</f>
        <v>#DIV/0!</v>
      </c>
      <c r="TI162" s="668"/>
      <c r="TJ162" s="669"/>
      <c r="TK162" s="670"/>
      <c r="TL162" s="671"/>
      <c r="TM162" s="678"/>
      <c r="TN162" s="663"/>
      <c r="TO162" s="651">
        <f t="shared" si="1320"/>
        <v>0</v>
      </c>
      <c r="TP162" s="619" t="e">
        <f>((273.2+TI162)*$F$32/((273.2+$F$31)*TK162))</f>
        <v>#DIV/0!</v>
      </c>
      <c r="TQ162" s="674" t="e">
        <f>TO162/TM162*TP162*EXP(-LN(2)/10990*($F$88-TN162))</f>
        <v>#DIV/0!</v>
      </c>
      <c r="TR162" s="599" t="e">
        <f>TQ162-AVERAGE(TY94:TY95)</f>
        <v>#DIV/0!</v>
      </c>
      <c r="TS162" s="599" t="e">
        <f>ABS($B$33*TR162*3600)</f>
        <v>#DIV/0!</v>
      </c>
      <c r="TT162" s="657" t="e">
        <f>ABS($B$34*TR162*3600)</f>
        <v>#DIV/0!</v>
      </c>
      <c r="TU162" s="614" t="e">
        <f>TT162*$C$79</f>
        <v>#DIV/0!</v>
      </c>
      <c r="TV162" s="672" t="e">
        <f>TT162*$F$70</f>
        <v>#DIV/0!</v>
      </c>
      <c r="TW162" s="600" t="e">
        <f t="shared" si="1321"/>
        <v>#DIV/0!</v>
      </c>
      <c r="TX162" s="672" t="e">
        <f>TT162*$F$72</f>
        <v>#DIV/0!</v>
      </c>
      <c r="TY162" s="676" t="e">
        <f>TT162*$F$71</f>
        <v>#DIV/0!</v>
      </c>
    </row>
    <row r="163" spans="1:545" x14ac:dyDescent="0.25">
      <c r="A163" s="681" t="s">
        <v>61</v>
      </c>
      <c r="B163" s="688"/>
      <c r="C163" s="689"/>
      <c r="D163" s="689"/>
      <c r="E163" s="672"/>
      <c r="F163" s="689"/>
      <c r="G163" s="685"/>
      <c r="H163" s="599"/>
      <c r="I163" s="619"/>
      <c r="J163" s="675"/>
      <c r="K163" s="672"/>
      <c r="L163" s="687"/>
      <c r="M163" s="686"/>
      <c r="N163" s="687"/>
      <c r="O163" s="687"/>
      <c r="P163" s="687"/>
      <c r="Q163" s="687"/>
      <c r="R163" s="690"/>
      <c r="S163" s="691" t="e">
        <f t="shared" ref="S163:W163" si="1322">AVERAGE(S158:S162)</f>
        <v>#DIV/0!</v>
      </c>
      <c r="T163" s="683" t="e">
        <f t="shared" si="1322"/>
        <v>#DIV/0!</v>
      </c>
      <c r="U163" s="684" t="e">
        <f t="shared" si="1322"/>
        <v>#DIV/0!</v>
      </c>
      <c r="V163" s="599" t="e">
        <f t="shared" si="1322"/>
        <v>#DIV/0!</v>
      </c>
      <c r="W163" s="685" t="e">
        <f t="shared" si="1322"/>
        <v>#DIV/0!</v>
      </c>
      <c r="X163" s="685" t="s">
        <v>93</v>
      </c>
      <c r="Y163" s="599">
        <f t="shared" ref="Y163:AN163" si="1323">AVERAGE(Y158:Y162)</f>
        <v>0</v>
      </c>
      <c r="Z163" s="619" t="e">
        <f t="shared" si="1323"/>
        <v>#DIV/0!</v>
      </c>
      <c r="AA163" s="675" t="e">
        <f t="shared" si="1323"/>
        <v>#DIV/0!</v>
      </c>
      <c r="AB163" s="672" t="e">
        <f t="shared" si="1323"/>
        <v>#DIV/0!</v>
      </c>
      <c r="AC163" s="687" t="e">
        <f t="shared" si="1323"/>
        <v>#DIV/0!</v>
      </c>
      <c r="AD163" s="686" t="e">
        <f t="shared" si="1323"/>
        <v>#DIV/0!</v>
      </c>
      <c r="AE163" s="687" t="e">
        <f t="shared" si="1323"/>
        <v>#DIV/0!</v>
      </c>
      <c r="AF163" s="687" t="e">
        <f t="shared" si="1323"/>
        <v>#DIV/0!</v>
      </c>
      <c r="AG163" s="687" t="e">
        <f t="shared" si="1323"/>
        <v>#DIV/0!</v>
      </c>
      <c r="AH163" s="687" t="e">
        <f t="shared" si="1323"/>
        <v>#DIV/0!</v>
      </c>
      <c r="AI163" s="690" t="e">
        <f t="shared" si="1323"/>
        <v>#DIV/0!</v>
      </c>
      <c r="AJ163" s="691" t="e">
        <f t="shared" si="1323"/>
        <v>#DIV/0!</v>
      </c>
      <c r="AK163" s="683" t="e">
        <f t="shared" si="1323"/>
        <v>#DIV/0!</v>
      </c>
      <c r="AL163" s="684" t="e">
        <f t="shared" si="1323"/>
        <v>#DIV/0!</v>
      </c>
      <c r="AM163" s="599" t="e">
        <f t="shared" si="1323"/>
        <v>#DIV/0!</v>
      </c>
      <c r="AN163" s="685" t="e">
        <f t="shared" si="1323"/>
        <v>#DIV/0!</v>
      </c>
      <c r="AO163" s="685" t="s">
        <v>93</v>
      </c>
      <c r="AP163" s="599">
        <f t="shared" ref="AP163:BE163" si="1324">AVERAGE(AP158:AP162)</f>
        <v>0</v>
      </c>
      <c r="AQ163" s="619" t="e">
        <f t="shared" si="1324"/>
        <v>#DIV/0!</v>
      </c>
      <c r="AR163" s="675" t="e">
        <f t="shared" si="1324"/>
        <v>#DIV/0!</v>
      </c>
      <c r="AS163" s="672" t="e">
        <f t="shared" si="1324"/>
        <v>#DIV/0!</v>
      </c>
      <c r="AT163" s="687" t="e">
        <f t="shared" si="1324"/>
        <v>#DIV/0!</v>
      </c>
      <c r="AU163" s="686" t="e">
        <f t="shared" si="1324"/>
        <v>#DIV/0!</v>
      </c>
      <c r="AV163" s="687" t="e">
        <f t="shared" si="1324"/>
        <v>#DIV/0!</v>
      </c>
      <c r="AW163" s="687" t="e">
        <f t="shared" si="1324"/>
        <v>#DIV/0!</v>
      </c>
      <c r="AX163" s="687" t="e">
        <f t="shared" si="1324"/>
        <v>#DIV/0!</v>
      </c>
      <c r="AY163" s="687" t="e">
        <f t="shared" si="1324"/>
        <v>#DIV/0!</v>
      </c>
      <c r="AZ163" s="690" t="e">
        <f t="shared" si="1324"/>
        <v>#DIV/0!</v>
      </c>
      <c r="BA163" s="682" t="e">
        <f t="shared" si="1324"/>
        <v>#DIV/0!</v>
      </c>
      <c r="BB163" s="683" t="e">
        <f t="shared" si="1324"/>
        <v>#DIV/0!</v>
      </c>
      <c r="BC163" s="684" t="e">
        <f t="shared" si="1324"/>
        <v>#DIV/0!</v>
      </c>
      <c r="BD163" s="599" t="e">
        <f t="shared" si="1324"/>
        <v>#DIV/0!</v>
      </c>
      <c r="BE163" s="685" t="e">
        <f t="shared" si="1324"/>
        <v>#DIV/0!</v>
      </c>
      <c r="BF163" s="685" t="s">
        <v>93</v>
      </c>
      <c r="BG163" s="599">
        <f t="shared" ref="BG163:BV163" si="1325">AVERAGE(BG158:BG162)</f>
        <v>0</v>
      </c>
      <c r="BH163" s="619" t="e">
        <f t="shared" si="1325"/>
        <v>#DIV/0!</v>
      </c>
      <c r="BI163" s="675" t="e">
        <f t="shared" si="1325"/>
        <v>#DIV/0!</v>
      </c>
      <c r="BJ163" s="672" t="e">
        <f t="shared" si="1325"/>
        <v>#DIV/0!</v>
      </c>
      <c r="BK163" s="687" t="e">
        <f t="shared" si="1325"/>
        <v>#DIV/0!</v>
      </c>
      <c r="BL163" s="686" t="e">
        <f t="shared" si="1325"/>
        <v>#DIV/0!</v>
      </c>
      <c r="BM163" s="687" t="e">
        <f t="shared" si="1325"/>
        <v>#DIV/0!</v>
      </c>
      <c r="BN163" s="687" t="e">
        <f t="shared" si="1325"/>
        <v>#DIV/0!</v>
      </c>
      <c r="BO163" s="687" t="e">
        <f t="shared" si="1325"/>
        <v>#DIV/0!</v>
      </c>
      <c r="BP163" s="687" t="e">
        <f t="shared" si="1325"/>
        <v>#DIV/0!</v>
      </c>
      <c r="BQ163" s="690" t="e">
        <f t="shared" si="1325"/>
        <v>#DIV/0!</v>
      </c>
      <c r="BR163" s="682" t="e">
        <f t="shared" si="1325"/>
        <v>#DIV/0!</v>
      </c>
      <c r="BS163" s="683" t="e">
        <f t="shared" si="1325"/>
        <v>#DIV/0!</v>
      </c>
      <c r="BT163" s="684" t="e">
        <f t="shared" si="1325"/>
        <v>#DIV/0!</v>
      </c>
      <c r="BU163" s="599" t="e">
        <f t="shared" si="1325"/>
        <v>#DIV/0!</v>
      </c>
      <c r="BV163" s="685" t="e">
        <f t="shared" si="1325"/>
        <v>#DIV/0!</v>
      </c>
      <c r="BW163" s="685" t="s">
        <v>93</v>
      </c>
      <c r="BX163" s="599">
        <f t="shared" ref="BX163:CM163" si="1326">AVERAGE(BX158:BX162)</f>
        <v>0</v>
      </c>
      <c r="BY163" s="619" t="e">
        <f t="shared" si="1326"/>
        <v>#DIV/0!</v>
      </c>
      <c r="BZ163" s="675" t="e">
        <f t="shared" si="1326"/>
        <v>#DIV/0!</v>
      </c>
      <c r="CA163" s="672" t="e">
        <f t="shared" si="1326"/>
        <v>#DIV/0!</v>
      </c>
      <c r="CB163" s="687" t="e">
        <f t="shared" si="1326"/>
        <v>#DIV/0!</v>
      </c>
      <c r="CC163" s="686" t="e">
        <f t="shared" si="1326"/>
        <v>#DIV/0!</v>
      </c>
      <c r="CD163" s="687" t="e">
        <f t="shared" si="1326"/>
        <v>#DIV/0!</v>
      </c>
      <c r="CE163" s="687" t="e">
        <f t="shared" si="1326"/>
        <v>#DIV/0!</v>
      </c>
      <c r="CF163" s="687" t="e">
        <f t="shared" si="1326"/>
        <v>#DIV/0!</v>
      </c>
      <c r="CG163" s="687" t="e">
        <f t="shared" si="1326"/>
        <v>#DIV/0!</v>
      </c>
      <c r="CH163" s="690" t="e">
        <f t="shared" si="1326"/>
        <v>#DIV/0!</v>
      </c>
      <c r="CI163" s="682" t="e">
        <f t="shared" si="1326"/>
        <v>#DIV/0!</v>
      </c>
      <c r="CJ163" s="683" t="e">
        <f t="shared" si="1326"/>
        <v>#DIV/0!</v>
      </c>
      <c r="CK163" s="684" t="e">
        <f t="shared" si="1326"/>
        <v>#DIV/0!</v>
      </c>
      <c r="CL163" s="599" t="e">
        <f t="shared" si="1326"/>
        <v>#DIV/0!</v>
      </c>
      <c r="CM163" s="685" t="e">
        <f t="shared" si="1326"/>
        <v>#DIV/0!</v>
      </c>
      <c r="CN163" s="685" t="s">
        <v>93</v>
      </c>
      <c r="CO163" s="599">
        <f t="shared" ref="CO163:DD163" si="1327">AVERAGE(CO158:CO162)</f>
        <v>0</v>
      </c>
      <c r="CP163" s="619" t="e">
        <f t="shared" si="1327"/>
        <v>#DIV/0!</v>
      </c>
      <c r="CQ163" s="675" t="e">
        <f t="shared" si="1327"/>
        <v>#DIV/0!</v>
      </c>
      <c r="CR163" s="672" t="e">
        <f t="shared" si="1327"/>
        <v>#DIV/0!</v>
      </c>
      <c r="CS163" s="687" t="e">
        <f t="shared" si="1327"/>
        <v>#DIV/0!</v>
      </c>
      <c r="CT163" s="686" t="e">
        <f t="shared" si="1327"/>
        <v>#DIV/0!</v>
      </c>
      <c r="CU163" s="687" t="e">
        <f t="shared" si="1327"/>
        <v>#DIV/0!</v>
      </c>
      <c r="CV163" s="687" t="e">
        <f t="shared" si="1327"/>
        <v>#DIV/0!</v>
      </c>
      <c r="CW163" s="687" t="e">
        <f t="shared" si="1327"/>
        <v>#DIV/0!</v>
      </c>
      <c r="CX163" s="687" t="e">
        <f t="shared" si="1327"/>
        <v>#DIV/0!</v>
      </c>
      <c r="CY163" s="690" t="e">
        <f t="shared" si="1327"/>
        <v>#DIV/0!</v>
      </c>
      <c r="CZ163" s="682" t="e">
        <f t="shared" si="1327"/>
        <v>#DIV/0!</v>
      </c>
      <c r="DA163" s="683" t="e">
        <f t="shared" si="1327"/>
        <v>#DIV/0!</v>
      </c>
      <c r="DB163" s="684" t="e">
        <f t="shared" si="1327"/>
        <v>#DIV/0!</v>
      </c>
      <c r="DC163" s="599" t="e">
        <f t="shared" si="1327"/>
        <v>#DIV/0!</v>
      </c>
      <c r="DD163" s="685" t="e">
        <f t="shared" si="1327"/>
        <v>#DIV/0!</v>
      </c>
      <c r="DE163" s="685" t="s">
        <v>93</v>
      </c>
      <c r="DF163" s="599">
        <f t="shared" ref="DF163:DU163" si="1328">AVERAGE(DF158:DF162)</f>
        <v>0</v>
      </c>
      <c r="DG163" s="619" t="e">
        <f t="shared" si="1328"/>
        <v>#DIV/0!</v>
      </c>
      <c r="DH163" s="675" t="e">
        <f t="shared" si="1328"/>
        <v>#DIV/0!</v>
      </c>
      <c r="DI163" s="672" t="e">
        <f t="shared" si="1328"/>
        <v>#DIV/0!</v>
      </c>
      <c r="DJ163" s="687" t="e">
        <f t="shared" si="1328"/>
        <v>#DIV/0!</v>
      </c>
      <c r="DK163" s="686" t="e">
        <f t="shared" si="1328"/>
        <v>#DIV/0!</v>
      </c>
      <c r="DL163" s="687" t="e">
        <f t="shared" si="1328"/>
        <v>#DIV/0!</v>
      </c>
      <c r="DM163" s="687" t="e">
        <f t="shared" si="1328"/>
        <v>#DIV/0!</v>
      </c>
      <c r="DN163" s="687" t="e">
        <f t="shared" si="1328"/>
        <v>#DIV/0!</v>
      </c>
      <c r="DO163" s="687" t="e">
        <f t="shared" si="1328"/>
        <v>#DIV/0!</v>
      </c>
      <c r="DP163" s="690" t="e">
        <f t="shared" si="1328"/>
        <v>#DIV/0!</v>
      </c>
      <c r="DQ163" s="682" t="e">
        <f t="shared" si="1328"/>
        <v>#DIV/0!</v>
      </c>
      <c r="DR163" s="683" t="e">
        <f t="shared" si="1328"/>
        <v>#DIV/0!</v>
      </c>
      <c r="DS163" s="684" t="e">
        <f t="shared" si="1328"/>
        <v>#DIV/0!</v>
      </c>
      <c r="DT163" s="653" t="e">
        <f t="shared" si="1328"/>
        <v>#DIV/0!</v>
      </c>
      <c r="DU163" s="685" t="e">
        <f t="shared" si="1328"/>
        <v>#DIV/0!</v>
      </c>
      <c r="DV163" s="685" t="s">
        <v>93</v>
      </c>
      <c r="DW163" s="599">
        <f t="shared" ref="DW163:EL163" si="1329">AVERAGE(DW158:DW162)</f>
        <v>0</v>
      </c>
      <c r="DX163" s="619" t="e">
        <f t="shared" si="1329"/>
        <v>#DIV/0!</v>
      </c>
      <c r="DY163" s="675" t="e">
        <f t="shared" si="1329"/>
        <v>#DIV/0!</v>
      </c>
      <c r="DZ163" s="672" t="e">
        <f t="shared" si="1329"/>
        <v>#DIV/0!</v>
      </c>
      <c r="EA163" s="687" t="e">
        <f t="shared" si="1329"/>
        <v>#DIV/0!</v>
      </c>
      <c r="EB163" s="686" t="e">
        <f t="shared" si="1329"/>
        <v>#DIV/0!</v>
      </c>
      <c r="EC163" s="687" t="e">
        <f t="shared" si="1329"/>
        <v>#DIV/0!</v>
      </c>
      <c r="ED163" s="687" t="e">
        <f t="shared" si="1329"/>
        <v>#DIV/0!</v>
      </c>
      <c r="EE163" s="687" t="e">
        <f t="shared" si="1329"/>
        <v>#DIV/0!</v>
      </c>
      <c r="EF163" s="687" t="e">
        <f t="shared" si="1329"/>
        <v>#DIV/0!</v>
      </c>
      <c r="EG163" s="690" t="e">
        <f t="shared" si="1329"/>
        <v>#DIV/0!</v>
      </c>
      <c r="EH163" s="682" t="e">
        <f t="shared" si="1329"/>
        <v>#DIV/0!</v>
      </c>
      <c r="EI163" s="683" t="e">
        <f t="shared" si="1329"/>
        <v>#DIV/0!</v>
      </c>
      <c r="EJ163" s="684" t="e">
        <f t="shared" si="1329"/>
        <v>#DIV/0!</v>
      </c>
      <c r="EK163" s="599" t="e">
        <f t="shared" si="1329"/>
        <v>#DIV/0!</v>
      </c>
      <c r="EL163" s="685" t="e">
        <f t="shared" si="1329"/>
        <v>#DIV/0!</v>
      </c>
      <c r="EM163" s="685" t="s">
        <v>93</v>
      </c>
      <c r="EN163" s="599">
        <f t="shared" ref="EN163:FC163" si="1330">AVERAGE(EN158:EN162)</f>
        <v>0</v>
      </c>
      <c r="EO163" s="619" t="e">
        <f t="shared" si="1330"/>
        <v>#DIV/0!</v>
      </c>
      <c r="EP163" s="675" t="e">
        <f t="shared" si="1330"/>
        <v>#DIV/0!</v>
      </c>
      <c r="EQ163" s="672" t="e">
        <f t="shared" si="1330"/>
        <v>#DIV/0!</v>
      </c>
      <c r="ER163" s="687" t="e">
        <f t="shared" si="1330"/>
        <v>#DIV/0!</v>
      </c>
      <c r="ES163" s="686" t="e">
        <f t="shared" si="1330"/>
        <v>#DIV/0!</v>
      </c>
      <c r="ET163" s="687" t="e">
        <f t="shared" si="1330"/>
        <v>#DIV/0!</v>
      </c>
      <c r="EU163" s="687" t="e">
        <f t="shared" si="1330"/>
        <v>#DIV/0!</v>
      </c>
      <c r="EV163" s="687" t="e">
        <f t="shared" si="1330"/>
        <v>#DIV/0!</v>
      </c>
      <c r="EW163" s="687" t="e">
        <f t="shared" si="1330"/>
        <v>#DIV/0!</v>
      </c>
      <c r="EX163" s="690" t="e">
        <f t="shared" si="1330"/>
        <v>#DIV/0!</v>
      </c>
      <c r="EY163" s="682" t="e">
        <f t="shared" si="1330"/>
        <v>#DIV/0!</v>
      </c>
      <c r="EZ163" s="683" t="e">
        <f t="shared" si="1330"/>
        <v>#DIV/0!</v>
      </c>
      <c r="FA163" s="684" t="e">
        <f t="shared" si="1330"/>
        <v>#DIV/0!</v>
      </c>
      <c r="FB163" s="599" t="e">
        <f t="shared" si="1330"/>
        <v>#DIV/0!</v>
      </c>
      <c r="FC163" s="685" t="e">
        <f t="shared" si="1330"/>
        <v>#DIV/0!</v>
      </c>
      <c r="FD163" s="685" t="s">
        <v>93</v>
      </c>
      <c r="FE163" s="599">
        <f t="shared" ref="FE163:FT163" si="1331">AVERAGE(FE158:FE162)</f>
        <v>0</v>
      </c>
      <c r="FF163" s="619" t="e">
        <f t="shared" si="1331"/>
        <v>#DIV/0!</v>
      </c>
      <c r="FG163" s="675" t="e">
        <f t="shared" si="1331"/>
        <v>#DIV/0!</v>
      </c>
      <c r="FH163" s="672" t="e">
        <f t="shared" si="1331"/>
        <v>#DIV/0!</v>
      </c>
      <c r="FI163" s="687" t="e">
        <f t="shared" si="1331"/>
        <v>#DIV/0!</v>
      </c>
      <c r="FJ163" s="686" t="e">
        <f t="shared" si="1331"/>
        <v>#DIV/0!</v>
      </c>
      <c r="FK163" s="687" t="e">
        <f t="shared" si="1331"/>
        <v>#DIV/0!</v>
      </c>
      <c r="FL163" s="687" t="e">
        <f t="shared" si="1331"/>
        <v>#DIV/0!</v>
      </c>
      <c r="FM163" s="687" t="e">
        <f t="shared" si="1331"/>
        <v>#DIV/0!</v>
      </c>
      <c r="FN163" s="687" t="e">
        <f t="shared" si="1331"/>
        <v>#DIV/0!</v>
      </c>
      <c r="FO163" s="690" t="e">
        <f t="shared" si="1331"/>
        <v>#DIV/0!</v>
      </c>
      <c r="FP163" s="682" t="e">
        <f t="shared" si="1331"/>
        <v>#DIV/0!</v>
      </c>
      <c r="FQ163" s="683" t="e">
        <f t="shared" si="1331"/>
        <v>#DIV/0!</v>
      </c>
      <c r="FR163" s="684" t="e">
        <f t="shared" si="1331"/>
        <v>#DIV/0!</v>
      </c>
      <c r="FS163" s="599" t="e">
        <f t="shared" si="1331"/>
        <v>#DIV/0!</v>
      </c>
      <c r="FT163" s="685" t="e">
        <f t="shared" si="1331"/>
        <v>#DIV/0!</v>
      </c>
      <c r="FU163" s="685" t="s">
        <v>93</v>
      </c>
      <c r="FV163" s="599">
        <f t="shared" ref="FV163:GK163" si="1332">AVERAGE(FV158:FV162)</f>
        <v>0</v>
      </c>
      <c r="FW163" s="619" t="e">
        <f t="shared" si="1332"/>
        <v>#DIV/0!</v>
      </c>
      <c r="FX163" s="675" t="e">
        <f t="shared" si="1332"/>
        <v>#DIV/0!</v>
      </c>
      <c r="FY163" s="672" t="e">
        <f t="shared" si="1332"/>
        <v>#DIV/0!</v>
      </c>
      <c r="FZ163" s="687" t="e">
        <f t="shared" si="1332"/>
        <v>#DIV/0!</v>
      </c>
      <c r="GA163" s="686" t="e">
        <f t="shared" si="1332"/>
        <v>#DIV/0!</v>
      </c>
      <c r="GB163" s="687" t="e">
        <f t="shared" si="1332"/>
        <v>#DIV/0!</v>
      </c>
      <c r="GC163" s="687" t="e">
        <f t="shared" si="1332"/>
        <v>#DIV/0!</v>
      </c>
      <c r="GD163" s="687" t="e">
        <f t="shared" si="1332"/>
        <v>#DIV/0!</v>
      </c>
      <c r="GE163" s="687" t="e">
        <f t="shared" si="1332"/>
        <v>#DIV/0!</v>
      </c>
      <c r="GF163" s="690" t="e">
        <f t="shared" si="1332"/>
        <v>#DIV/0!</v>
      </c>
      <c r="GG163" s="682" t="e">
        <f t="shared" si="1332"/>
        <v>#DIV/0!</v>
      </c>
      <c r="GH163" s="683" t="e">
        <f t="shared" si="1332"/>
        <v>#DIV/0!</v>
      </c>
      <c r="GI163" s="684" t="e">
        <f t="shared" si="1332"/>
        <v>#DIV/0!</v>
      </c>
      <c r="GJ163" s="653" t="e">
        <f t="shared" si="1332"/>
        <v>#DIV/0!</v>
      </c>
      <c r="GK163" s="685" t="e">
        <f t="shared" si="1332"/>
        <v>#DIV/0!</v>
      </c>
      <c r="GL163" s="685" t="s">
        <v>93</v>
      </c>
      <c r="GM163" s="599">
        <f t="shared" ref="GM163:HB163" si="1333">AVERAGE(GM158:GM162)</f>
        <v>0</v>
      </c>
      <c r="GN163" s="619" t="e">
        <f t="shared" si="1333"/>
        <v>#DIV/0!</v>
      </c>
      <c r="GO163" s="675" t="e">
        <f t="shared" si="1333"/>
        <v>#DIV/0!</v>
      </c>
      <c r="GP163" s="672" t="e">
        <f t="shared" si="1333"/>
        <v>#DIV/0!</v>
      </c>
      <c r="GQ163" s="687" t="e">
        <f t="shared" si="1333"/>
        <v>#DIV/0!</v>
      </c>
      <c r="GR163" s="686" t="e">
        <f t="shared" si="1333"/>
        <v>#DIV/0!</v>
      </c>
      <c r="GS163" s="687" t="e">
        <f t="shared" si="1333"/>
        <v>#DIV/0!</v>
      </c>
      <c r="GT163" s="687" t="e">
        <f t="shared" si="1333"/>
        <v>#DIV/0!</v>
      </c>
      <c r="GU163" s="687" t="e">
        <f t="shared" si="1333"/>
        <v>#DIV/0!</v>
      </c>
      <c r="GV163" s="687" t="e">
        <f t="shared" si="1333"/>
        <v>#DIV/0!</v>
      </c>
      <c r="GW163" s="690" t="e">
        <f t="shared" si="1333"/>
        <v>#DIV/0!</v>
      </c>
      <c r="GX163" s="682" t="e">
        <f t="shared" si="1333"/>
        <v>#DIV/0!</v>
      </c>
      <c r="GY163" s="683" t="e">
        <f t="shared" si="1333"/>
        <v>#DIV/0!</v>
      </c>
      <c r="GZ163" s="684" t="e">
        <f t="shared" si="1333"/>
        <v>#DIV/0!</v>
      </c>
      <c r="HA163" s="599" t="e">
        <f t="shared" si="1333"/>
        <v>#DIV/0!</v>
      </c>
      <c r="HB163" s="685" t="e">
        <f t="shared" si="1333"/>
        <v>#DIV/0!</v>
      </c>
      <c r="HC163" s="685" t="s">
        <v>93</v>
      </c>
      <c r="HD163" s="599">
        <f t="shared" ref="HD163:HS163" si="1334">AVERAGE(HD158:HD162)</f>
        <v>0</v>
      </c>
      <c r="HE163" s="619" t="e">
        <f t="shared" si="1334"/>
        <v>#DIV/0!</v>
      </c>
      <c r="HF163" s="675" t="e">
        <f t="shared" si="1334"/>
        <v>#DIV/0!</v>
      </c>
      <c r="HG163" s="672" t="e">
        <f t="shared" si="1334"/>
        <v>#DIV/0!</v>
      </c>
      <c r="HH163" s="687" t="e">
        <f t="shared" si="1334"/>
        <v>#DIV/0!</v>
      </c>
      <c r="HI163" s="686" t="e">
        <f t="shared" si="1334"/>
        <v>#DIV/0!</v>
      </c>
      <c r="HJ163" s="687" t="e">
        <f t="shared" si="1334"/>
        <v>#DIV/0!</v>
      </c>
      <c r="HK163" s="687" t="e">
        <f t="shared" si="1334"/>
        <v>#DIV/0!</v>
      </c>
      <c r="HL163" s="687" t="e">
        <f t="shared" si="1334"/>
        <v>#DIV/0!</v>
      </c>
      <c r="HM163" s="687" t="e">
        <f t="shared" si="1334"/>
        <v>#DIV/0!</v>
      </c>
      <c r="HN163" s="690" t="e">
        <f t="shared" si="1334"/>
        <v>#DIV/0!</v>
      </c>
      <c r="HO163" s="682" t="e">
        <f t="shared" si="1334"/>
        <v>#DIV/0!</v>
      </c>
      <c r="HP163" s="683" t="e">
        <f t="shared" si="1334"/>
        <v>#DIV/0!</v>
      </c>
      <c r="HQ163" s="684" t="e">
        <f t="shared" si="1334"/>
        <v>#DIV/0!</v>
      </c>
      <c r="HR163" s="599" t="e">
        <f t="shared" si="1334"/>
        <v>#DIV/0!</v>
      </c>
      <c r="HS163" s="685" t="e">
        <f t="shared" si="1334"/>
        <v>#DIV/0!</v>
      </c>
      <c r="HT163" s="685" t="s">
        <v>93</v>
      </c>
      <c r="HU163" s="599">
        <f t="shared" ref="HU163:IJ163" si="1335">AVERAGE(HU158:HU162)</f>
        <v>0</v>
      </c>
      <c r="HV163" s="619" t="e">
        <f t="shared" si="1335"/>
        <v>#DIV/0!</v>
      </c>
      <c r="HW163" s="675" t="e">
        <f t="shared" si="1335"/>
        <v>#DIV/0!</v>
      </c>
      <c r="HX163" s="672" t="e">
        <f t="shared" si="1335"/>
        <v>#DIV/0!</v>
      </c>
      <c r="HY163" s="687" t="e">
        <f t="shared" si="1335"/>
        <v>#DIV/0!</v>
      </c>
      <c r="HZ163" s="686" t="e">
        <f t="shared" si="1335"/>
        <v>#DIV/0!</v>
      </c>
      <c r="IA163" s="687" t="e">
        <f t="shared" si="1335"/>
        <v>#DIV/0!</v>
      </c>
      <c r="IB163" s="687" t="e">
        <f t="shared" si="1335"/>
        <v>#DIV/0!</v>
      </c>
      <c r="IC163" s="687" t="e">
        <f t="shared" si="1335"/>
        <v>#DIV/0!</v>
      </c>
      <c r="ID163" s="687" t="e">
        <f t="shared" si="1335"/>
        <v>#DIV/0!</v>
      </c>
      <c r="IE163" s="690" t="e">
        <f t="shared" si="1335"/>
        <v>#DIV/0!</v>
      </c>
      <c r="IF163" s="682" t="e">
        <f t="shared" si="1335"/>
        <v>#DIV/0!</v>
      </c>
      <c r="IG163" s="683" t="e">
        <f t="shared" si="1335"/>
        <v>#DIV/0!</v>
      </c>
      <c r="IH163" s="684" t="e">
        <f t="shared" si="1335"/>
        <v>#DIV/0!</v>
      </c>
      <c r="II163" s="599" t="e">
        <f t="shared" si="1335"/>
        <v>#DIV/0!</v>
      </c>
      <c r="IJ163" s="685" t="e">
        <f t="shared" si="1335"/>
        <v>#DIV/0!</v>
      </c>
      <c r="IK163" s="685" t="s">
        <v>93</v>
      </c>
      <c r="IL163" s="599">
        <f t="shared" ref="IL163:JA163" si="1336">AVERAGE(IL158:IL162)</f>
        <v>0</v>
      </c>
      <c r="IM163" s="619" t="e">
        <f t="shared" si="1336"/>
        <v>#DIV/0!</v>
      </c>
      <c r="IN163" s="675" t="e">
        <f t="shared" si="1336"/>
        <v>#DIV/0!</v>
      </c>
      <c r="IO163" s="672" t="e">
        <f t="shared" si="1336"/>
        <v>#DIV/0!</v>
      </c>
      <c r="IP163" s="687" t="e">
        <f t="shared" si="1336"/>
        <v>#DIV/0!</v>
      </c>
      <c r="IQ163" s="686" t="e">
        <f t="shared" si="1336"/>
        <v>#DIV/0!</v>
      </c>
      <c r="IR163" s="687" t="e">
        <f t="shared" si="1336"/>
        <v>#DIV/0!</v>
      </c>
      <c r="IS163" s="687" t="e">
        <f t="shared" si="1336"/>
        <v>#DIV/0!</v>
      </c>
      <c r="IT163" s="687" t="e">
        <f t="shared" si="1336"/>
        <v>#DIV/0!</v>
      </c>
      <c r="IU163" s="687" t="e">
        <f t="shared" si="1336"/>
        <v>#DIV/0!</v>
      </c>
      <c r="IV163" s="690" t="e">
        <f t="shared" si="1336"/>
        <v>#DIV/0!</v>
      </c>
      <c r="IW163" s="682" t="e">
        <f t="shared" si="1336"/>
        <v>#DIV/0!</v>
      </c>
      <c r="IX163" s="683" t="e">
        <f t="shared" si="1336"/>
        <v>#DIV/0!</v>
      </c>
      <c r="IY163" s="684" t="e">
        <f t="shared" si="1336"/>
        <v>#DIV/0!</v>
      </c>
      <c r="IZ163" s="599" t="e">
        <f t="shared" si="1336"/>
        <v>#DIV/0!</v>
      </c>
      <c r="JA163" s="685" t="e">
        <f t="shared" si="1336"/>
        <v>#DIV/0!</v>
      </c>
      <c r="JB163" s="685" t="s">
        <v>93</v>
      </c>
      <c r="JC163" s="599">
        <f t="shared" ref="JC163:JR163" si="1337">AVERAGE(JC158:JC162)</f>
        <v>0</v>
      </c>
      <c r="JD163" s="619" t="e">
        <f t="shared" si="1337"/>
        <v>#DIV/0!</v>
      </c>
      <c r="JE163" s="675" t="e">
        <f t="shared" si="1337"/>
        <v>#DIV/0!</v>
      </c>
      <c r="JF163" s="672" t="e">
        <f t="shared" si="1337"/>
        <v>#DIV/0!</v>
      </c>
      <c r="JG163" s="687" t="e">
        <f t="shared" si="1337"/>
        <v>#DIV/0!</v>
      </c>
      <c r="JH163" s="686" t="e">
        <f t="shared" si="1337"/>
        <v>#DIV/0!</v>
      </c>
      <c r="JI163" s="687" t="e">
        <f t="shared" si="1337"/>
        <v>#DIV/0!</v>
      </c>
      <c r="JJ163" s="687" t="e">
        <f t="shared" si="1337"/>
        <v>#DIV/0!</v>
      </c>
      <c r="JK163" s="687" t="e">
        <f t="shared" si="1337"/>
        <v>#DIV/0!</v>
      </c>
      <c r="JL163" s="687" t="e">
        <f t="shared" si="1337"/>
        <v>#DIV/0!</v>
      </c>
      <c r="JM163" s="690" t="e">
        <f t="shared" si="1337"/>
        <v>#DIV/0!</v>
      </c>
      <c r="JN163" s="682" t="e">
        <f t="shared" si="1337"/>
        <v>#DIV/0!</v>
      </c>
      <c r="JO163" s="683" t="e">
        <f t="shared" si="1337"/>
        <v>#DIV/0!</v>
      </c>
      <c r="JP163" s="684" t="e">
        <f t="shared" si="1337"/>
        <v>#DIV/0!</v>
      </c>
      <c r="JQ163" s="599" t="e">
        <f t="shared" si="1337"/>
        <v>#DIV/0!</v>
      </c>
      <c r="JR163" s="685" t="e">
        <f t="shared" si="1337"/>
        <v>#DIV/0!</v>
      </c>
      <c r="JS163" s="685" t="s">
        <v>93</v>
      </c>
      <c r="JT163" s="599">
        <f t="shared" ref="JT163:KI163" si="1338">AVERAGE(JT158:JT162)</f>
        <v>0</v>
      </c>
      <c r="JU163" s="619" t="e">
        <f t="shared" si="1338"/>
        <v>#DIV/0!</v>
      </c>
      <c r="JV163" s="675" t="e">
        <f t="shared" si="1338"/>
        <v>#DIV/0!</v>
      </c>
      <c r="JW163" s="672" t="e">
        <f t="shared" si="1338"/>
        <v>#DIV/0!</v>
      </c>
      <c r="JX163" s="687" t="e">
        <f t="shared" si="1338"/>
        <v>#DIV/0!</v>
      </c>
      <c r="JY163" s="686" t="e">
        <f t="shared" si="1338"/>
        <v>#DIV/0!</v>
      </c>
      <c r="JZ163" s="687" t="e">
        <f t="shared" si="1338"/>
        <v>#DIV/0!</v>
      </c>
      <c r="KA163" s="687" t="e">
        <f t="shared" si="1338"/>
        <v>#DIV/0!</v>
      </c>
      <c r="KB163" s="687" t="e">
        <f t="shared" si="1338"/>
        <v>#DIV/0!</v>
      </c>
      <c r="KC163" s="687" t="e">
        <f t="shared" si="1338"/>
        <v>#DIV/0!</v>
      </c>
      <c r="KD163" s="690" t="e">
        <f t="shared" si="1338"/>
        <v>#DIV/0!</v>
      </c>
      <c r="KE163" s="682" t="e">
        <f t="shared" si="1338"/>
        <v>#DIV/0!</v>
      </c>
      <c r="KF163" s="683" t="e">
        <f t="shared" si="1338"/>
        <v>#DIV/0!</v>
      </c>
      <c r="KG163" s="684" t="e">
        <f t="shared" si="1338"/>
        <v>#DIV/0!</v>
      </c>
      <c r="KH163" s="599" t="e">
        <f t="shared" si="1338"/>
        <v>#DIV/0!</v>
      </c>
      <c r="KI163" s="685" t="e">
        <f t="shared" si="1338"/>
        <v>#DIV/0!</v>
      </c>
      <c r="KJ163" s="685" t="s">
        <v>93</v>
      </c>
      <c r="KK163" s="599">
        <f t="shared" ref="KK163:KZ163" si="1339">AVERAGE(KK158:KK162)</f>
        <v>0</v>
      </c>
      <c r="KL163" s="619" t="e">
        <f t="shared" si="1339"/>
        <v>#DIV/0!</v>
      </c>
      <c r="KM163" s="675" t="e">
        <f t="shared" si="1339"/>
        <v>#DIV/0!</v>
      </c>
      <c r="KN163" s="672" t="e">
        <f t="shared" si="1339"/>
        <v>#DIV/0!</v>
      </c>
      <c r="KO163" s="687" t="e">
        <f t="shared" si="1339"/>
        <v>#DIV/0!</v>
      </c>
      <c r="KP163" s="686" t="e">
        <f t="shared" si="1339"/>
        <v>#DIV/0!</v>
      </c>
      <c r="KQ163" s="687" t="e">
        <f t="shared" si="1339"/>
        <v>#DIV/0!</v>
      </c>
      <c r="KR163" s="687" t="e">
        <f t="shared" si="1339"/>
        <v>#DIV/0!</v>
      </c>
      <c r="KS163" s="687" t="e">
        <f t="shared" si="1339"/>
        <v>#DIV/0!</v>
      </c>
      <c r="KT163" s="687" t="e">
        <f t="shared" si="1339"/>
        <v>#DIV/0!</v>
      </c>
      <c r="KU163" s="690" t="e">
        <f t="shared" si="1339"/>
        <v>#DIV/0!</v>
      </c>
      <c r="KV163" s="682" t="e">
        <f t="shared" si="1339"/>
        <v>#DIV/0!</v>
      </c>
      <c r="KW163" s="683" t="e">
        <f t="shared" si="1339"/>
        <v>#DIV/0!</v>
      </c>
      <c r="KX163" s="684" t="e">
        <f t="shared" si="1339"/>
        <v>#DIV/0!</v>
      </c>
      <c r="KY163" s="599" t="e">
        <f t="shared" si="1339"/>
        <v>#DIV/0!</v>
      </c>
      <c r="KZ163" s="685" t="e">
        <f t="shared" si="1339"/>
        <v>#DIV/0!</v>
      </c>
      <c r="LA163" s="685" t="s">
        <v>93</v>
      </c>
      <c r="LB163" s="599">
        <f t="shared" ref="LB163:LQ163" si="1340">AVERAGE(LB158:LB162)</f>
        <v>0</v>
      </c>
      <c r="LC163" s="619" t="e">
        <f t="shared" si="1340"/>
        <v>#DIV/0!</v>
      </c>
      <c r="LD163" s="675" t="e">
        <f t="shared" si="1340"/>
        <v>#DIV/0!</v>
      </c>
      <c r="LE163" s="672" t="e">
        <f t="shared" si="1340"/>
        <v>#DIV/0!</v>
      </c>
      <c r="LF163" s="687" t="e">
        <f t="shared" si="1340"/>
        <v>#DIV/0!</v>
      </c>
      <c r="LG163" s="686" t="e">
        <f t="shared" si="1340"/>
        <v>#DIV/0!</v>
      </c>
      <c r="LH163" s="687" t="e">
        <f t="shared" si="1340"/>
        <v>#DIV/0!</v>
      </c>
      <c r="LI163" s="687" t="e">
        <f t="shared" si="1340"/>
        <v>#DIV/0!</v>
      </c>
      <c r="LJ163" s="687" t="e">
        <f t="shared" si="1340"/>
        <v>#DIV/0!</v>
      </c>
      <c r="LK163" s="687" t="e">
        <f t="shared" si="1340"/>
        <v>#DIV/0!</v>
      </c>
      <c r="LL163" s="690" t="e">
        <f t="shared" si="1340"/>
        <v>#DIV/0!</v>
      </c>
      <c r="LM163" s="682" t="e">
        <f t="shared" si="1340"/>
        <v>#DIV/0!</v>
      </c>
      <c r="LN163" s="683" t="e">
        <f t="shared" si="1340"/>
        <v>#DIV/0!</v>
      </c>
      <c r="LO163" s="684" t="e">
        <f t="shared" si="1340"/>
        <v>#DIV/0!</v>
      </c>
      <c r="LP163" s="599" t="e">
        <f t="shared" si="1340"/>
        <v>#DIV/0!</v>
      </c>
      <c r="LQ163" s="685" t="e">
        <f t="shared" si="1340"/>
        <v>#DIV/0!</v>
      </c>
      <c r="LR163" s="685" t="s">
        <v>93</v>
      </c>
      <c r="LS163" s="599">
        <f t="shared" ref="LS163:MH163" si="1341">AVERAGE(LS158:LS162)</f>
        <v>0</v>
      </c>
      <c r="LT163" s="619" t="e">
        <f t="shared" si="1341"/>
        <v>#DIV/0!</v>
      </c>
      <c r="LU163" s="675" t="e">
        <f t="shared" si="1341"/>
        <v>#DIV/0!</v>
      </c>
      <c r="LV163" s="672" t="e">
        <f t="shared" si="1341"/>
        <v>#DIV/0!</v>
      </c>
      <c r="LW163" s="687" t="e">
        <f t="shared" si="1341"/>
        <v>#DIV/0!</v>
      </c>
      <c r="LX163" s="686" t="e">
        <f t="shared" si="1341"/>
        <v>#DIV/0!</v>
      </c>
      <c r="LY163" s="687" t="e">
        <f t="shared" si="1341"/>
        <v>#DIV/0!</v>
      </c>
      <c r="LZ163" s="687" t="e">
        <f t="shared" si="1341"/>
        <v>#DIV/0!</v>
      </c>
      <c r="MA163" s="687" t="e">
        <f t="shared" si="1341"/>
        <v>#DIV/0!</v>
      </c>
      <c r="MB163" s="687" t="e">
        <f t="shared" si="1341"/>
        <v>#DIV/0!</v>
      </c>
      <c r="MC163" s="690" t="e">
        <f t="shared" si="1341"/>
        <v>#DIV/0!</v>
      </c>
      <c r="MD163" s="682" t="e">
        <f t="shared" si="1341"/>
        <v>#DIV/0!</v>
      </c>
      <c r="ME163" s="683" t="e">
        <f t="shared" si="1341"/>
        <v>#DIV/0!</v>
      </c>
      <c r="MF163" s="684" t="e">
        <f t="shared" si="1341"/>
        <v>#DIV/0!</v>
      </c>
      <c r="MG163" s="599" t="e">
        <f t="shared" si="1341"/>
        <v>#DIV/0!</v>
      </c>
      <c r="MH163" s="685" t="e">
        <f t="shared" si="1341"/>
        <v>#DIV/0!</v>
      </c>
      <c r="MI163" s="685" t="s">
        <v>93</v>
      </c>
      <c r="MJ163" s="599">
        <f t="shared" ref="MJ163:MY163" si="1342">AVERAGE(MJ158:MJ162)</f>
        <v>0</v>
      </c>
      <c r="MK163" s="619" t="e">
        <f t="shared" si="1342"/>
        <v>#DIV/0!</v>
      </c>
      <c r="ML163" s="675" t="e">
        <f t="shared" si="1342"/>
        <v>#DIV/0!</v>
      </c>
      <c r="MM163" s="672" t="e">
        <f t="shared" si="1342"/>
        <v>#DIV/0!</v>
      </c>
      <c r="MN163" s="687" t="e">
        <f t="shared" si="1342"/>
        <v>#DIV/0!</v>
      </c>
      <c r="MO163" s="686" t="e">
        <f t="shared" si="1342"/>
        <v>#DIV/0!</v>
      </c>
      <c r="MP163" s="687" t="e">
        <f t="shared" si="1342"/>
        <v>#DIV/0!</v>
      </c>
      <c r="MQ163" s="687" t="e">
        <f t="shared" si="1342"/>
        <v>#DIV/0!</v>
      </c>
      <c r="MR163" s="687" t="e">
        <f t="shared" si="1342"/>
        <v>#DIV/0!</v>
      </c>
      <c r="MS163" s="687" t="e">
        <f t="shared" si="1342"/>
        <v>#DIV/0!</v>
      </c>
      <c r="MT163" s="690" t="e">
        <f t="shared" si="1342"/>
        <v>#DIV/0!</v>
      </c>
      <c r="MU163" s="682" t="e">
        <f t="shared" si="1342"/>
        <v>#DIV/0!</v>
      </c>
      <c r="MV163" s="683" t="e">
        <f t="shared" si="1342"/>
        <v>#DIV/0!</v>
      </c>
      <c r="MW163" s="684" t="e">
        <f t="shared" si="1342"/>
        <v>#DIV/0!</v>
      </c>
      <c r="MX163" s="599" t="e">
        <f t="shared" si="1342"/>
        <v>#DIV/0!</v>
      </c>
      <c r="MY163" s="685" t="e">
        <f t="shared" si="1342"/>
        <v>#DIV/0!</v>
      </c>
      <c r="MZ163" s="685" t="s">
        <v>93</v>
      </c>
      <c r="NA163" s="599">
        <f t="shared" ref="NA163:NP163" si="1343">AVERAGE(NA158:NA162)</f>
        <v>0</v>
      </c>
      <c r="NB163" s="619" t="e">
        <f t="shared" si="1343"/>
        <v>#DIV/0!</v>
      </c>
      <c r="NC163" s="675" t="e">
        <f t="shared" si="1343"/>
        <v>#DIV/0!</v>
      </c>
      <c r="ND163" s="672" t="e">
        <f t="shared" si="1343"/>
        <v>#DIV/0!</v>
      </c>
      <c r="NE163" s="687" t="e">
        <f t="shared" si="1343"/>
        <v>#DIV/0!</v>
      </c>
      <c r="NF163" s="686" t="e">
        <f t="shared" si="1343"/>
        <v>#DIV/0!</v>
      </c>
      <c r="NG163" s="687" t="e">
        <f t="shared" si="1343"/>
        <v>#DIV/0!</v>
      </c>
      <c r="NH163" s="687" t="e">
        <f t="shared" si="1343"/>
        <v>#DIV/0!</v>
      </c>
      <c r="NI163" s="687" t="e">
        <f t="shared" si="1343"/>
        <v>#DIV/0!</v>
      </c>
      <c r="NJ163" s="687" t="e">
        <f t="shared" si="1343"/>
        <v>#DIV/0!</v>
      </c>
      <c r="NK163" s="690" t="e">
        <f t="shared" si="1343"/>
        <v>#DIV/0!</v>
      </c>
      <c r="NL163" s="682" t="e">
        <f t="shared" si="1343"/>
        <v>#DIV/0!</v>
      </c>
      <c r="NM163" s="683" t="e">
        <f t="shared" si="1343"/>
        <v>#DIV/0!</v>
      </c>
      <c r="NN163" s="684" t="e">
        <f t="shared" si="1343"/>
        <v>#DIV/0!</v>
      </c>
      <c r="NO163" s="599" t="e">
        <f t="shared" si="1343"/>
        <v>#DIV/0!</v>
      </c>
      <c r="NP163" s="685" t="e">
        <f t="shared" si="1343"/>
        <v>#DIV/0!</v>
      </c>
      <c r="NQ163" s="685" t="s">
        <v>93</v>
      </c>
      <c r="NR163" s="599">
        <f t="shared" ref="NR163:OG163" si="1344">AVERAGE(NR158:NR162)</f>
        <v>0</v>
      </c>
      <c r="NS163" s="619" t="e">
        <f t="shared" si="1344"/>
        <v>#DIV/0!</v>
      </c>
      <c r="NT163" s="675" t="e">
        <f t="shared" si="1344"/>
        <v>#DIV/0!</v>
      </c>
      <c r="NU163" s="672" t="e">
        <f t="shared" si="1344"/>
        <v>#DIV/0!</v>
      </c>
      <c r="NV163" s="687" t="e">
        <f t="shared" si="1344"/>
        <v>#DIV/0!</v>
      </c>
      <c r="NW163" s="686" t="e">
        <f t="shared" si="1344"/>
        <v>#DIV/0!</v>
      </c>
      <c r="NX163" s="687" t="e">
        <f t="shared" si="1344"/>
        <v>#DIV/0!</v>
      </c>
      <c r="NY163" s="687" t="e">
        <f t="shared" si="1344"/>
        <v>#DIV/0!</v>
      </c>
      <c r="NZ163" s="687" t="e">
        <f t="shared" si="1344"/>
        <v>#DIV/0!</v>
      </c>
      <c r="OA163" s="687" t="e">
        <f t="shared" si="1344"/>
        <v>#DIV/0!</v>
      </c>
      <c r="OB163" s="690" t="e">
        <f t="shared" si="1344"/>
        <v>#DIV/0!</v>
      </c>
      <c r="OC163" s="682" t="e">
        <f t="shared" si="1344"/>
        <v>#DIV/0!</v>
      </c>
      <c r="OD163" s="683" t="e">
        <f t="shared" si="1344"/>
        <v>#DIV/0!</v>
      </c>
      <c r="OE163" s="684" t="e">
        <f t="shared" si="1344"/>
        <v>#DIV/0!</v>
      </c>
      <c r="OF163" s="599" t="e">
        <f t="shared" si="1344"/>
        <v>#DIV/0!</v>
      </c>
      <c r="OG163" s="685" t="e">
        <f t="shared" si="1344"/>
        <v>#DIV/0!</v>
      </c>
      <c r="OH163" s="685" t="s">
        <v>93</v>
      </c>
      <c r="OI163" s="599">
        <f t="shared" ref="OI163:OX163" si="1345">AVERAGE(OI158:OI162)</f>
        <v>0</v>
      </c>
      <c r="OJ163" s="619" t="e">
        <f t="shared" si="1345"/>
        <v>#DIV/0!</v>
      </c>
      <c r="OK163" s="675" t="e">
        <f t="shared" si="1345"/>
        <v>#DIV/0!</v>
      </c>
      <c r="OL163" s="672" t="e">
        <f t="shared" si="1345"/>
        <v>#DIV/0!</v>
      </c>
      <c r="OM163" s="687" t="e">
        <f t="shared" si="1345"/>
        <v>#DIV/0!</v>
      </c>
      <c r="ON163" s="686" t="e">
        <f t="shared" si="1345"/>
        <v>#DIV/0!</v>
      </c>
      <c r="OO163" s="687" t="e">
        <f t="shared" si="1345"/>
        <v>#DIV/0!</v>
      </c>
      <c r="OP163" s="687" t="e">
        <f t="shared" si="1345"/>
        <v>#DIV/0!</v>
      </c>
      <c r="OQ163" s="687" t="e">
        <f t="shared" si="1345"/>
        <v>#DIV/0!</v>
      </c>
      <c r="OR163" s="687" t="e">
        <f t="shared" si="1345"/>
        <v>#DIV/0!</v>
      </c>
      <c r="OS163" s="690" t="e">
        <f t="shared" si="1345"/>
        <v>#DIV/0!</v>
      </c>
      <c r="OT163" s="682" t="e">
        <f t="shared" si="1345"/>
        <v>#DIV/0!</v>
      </c>
      <c r="OU163" s="683" t="e">
        <f t="shared" si="1345"/>
        <v>#DIV/0!</v>
      </c>
      <c r="OV163" s="684" t="e">
        <f t="shared" si="1345"/>
        <v>#DIV/0!</v>
      </c>
      <c r="OW163" s="599" t="e">
        <f t="shared" si="1345"/>
        <v>#DIV/0!</v>
      </c>
      <c r="OX163" s="685" t="e">
        <f t="shared" si="1345"/>
        <v>#DIV/0!</v>
      </c>
      <c r="OY163" s="685" t="s">
        <v>93</v>
      </c>
      <c r="OZ163" s="599">
        <f t="shared" ref="OZ163:PO163" si="1346">AVERAGE(OZ158:OZ162)</f>
        <v>0</v>
      </c>
      <c r="PA163" s="619" t="e">
        <f t="shared" si="1346"/>
        <v>#DIV/0!</v>
      </c>
      <c r="PB163" s="675" t="e">
        <f t="shared" si="1346"/>
        <v>#DIV/0!</v>
      </c>
      <c r="PC163" s="672" t="e">
        <f t="shared" si="1346"/>
        <v>#DIV/0!</v>
      </c>
      <c r="PD163" s="687" t="e">
        <f t="shared" si="1346"/>
        <v>#DIV/0!</v>
      </c>
      <c r="PE163" s="686" t="e">
        <f t="shared" si="1346"/>
        <v>#DIV/0!</v>
      </c>
      <c r="PF163" s="687" t="e">
        <f t="shared" si="1346"/>
        <v>#DIV/0!</v>
      </c>
      <c r="PG163" s="687" t="e">
        <f t="shared" si="1346"/>
        <v>#DIV/0!</v>
      </c>
      <c r="PH163" s="687" t="e">
        <f t="shared" si="1346"/>
        <v>#DIV/0!</v>
      </c>
      <c r="PI163" s="687" t="e">
        <f t="shared" si="1346"/>
        <v>#DIV/0!</v>
      </c>
      <c r="PJ163" s="690" t="e">
        <f t="shared" si="1346"/>
        <v>#DIV/0!</v>
      </c>
      <c r="PK163" s="682" t="e">
        <f t="shared" si="1346"/>
        <v>#DIV/0!</v>
      </c>
      <c r="PL163" s="683" t="e">
        <f t="shared" si="1346"/>
        <v>#DIV/0!</v>
      </c>
      <c r="PM163" s="684" t="e">
        <f t="shared" si="1346"/>
        <v>#DIV/0!</v>
      </c>
      <c r="PN163" s="599" t="e">
        <f t="shared" si="1346"/>
        <v>#DIV/0!</v>
      </c>
      <c r="PO163" s="685" t="e">
        <f t="shared" si="1346"/>
        <v>#DIV/0!</v>
      </c>
      <c r="PP163" s="685" t="s">
        <v>93</v>
      </c>
      <c r="PQ163" s="599">
        <f t="shared" ref="PQ163:QF163" si="1347">AVERAGE(PQ158:PQ162)</f>
        <v>0</v>
      </c>
      <c r="PR163" s="619" t="e">
        <f t="shared" si="1347"/>
        <v>#DIV/0!</v>
      </c>
      <c r="PS163" s="675" t="e">
        <f t="shared" si="1347"/>
        <v>#DIV/0!</v>
      </c>
      <c r="PT163" s="672" t="e">
        <f t="shared" si="1347"/>
        <v>#DIV/0!</v>
      </c>
      <c r="PU163" s="687" t="e">
        <f t="shared" si="1347"/>
        <v>#DIV/0!</v>
      </c>
      <c r="PV163" s="686" t="e">
        <f t="shared" si="1347"/>
        <v>#DIV/0!</v>
      </c>
      <c r="PW163" s="687" t="e">
        <f t="shared" si="1347"/>
        <v>#DIV/0!</v>
      </c>
      <c r="PX163" s="687" t="e">
        <f t="shared" si="1347"/>
        <v>#DIV/0!</v>
      </c>
      <c r="PY163" s="687" t="e">
        <f t="shared" si="1347"/>
        <v>#DIV/0!</v>
      </c>
      <c r="PZ163" s="687" t="e">
        <f t="shared" si="1347"/>
        <v>#DIV/0!</v>
      </c>
      <c r="QA163" s="690" t="e">
        <f t="shared" si="1347"/>
        <v>#DIV/0!</v>
      </c>
      <c r="QB163" s="682" t="e">
        <f t="shared" si="1347"/>
        <v>#DIV/0!</v>
      </c>
      <c r="QC163" s="683" t="e">
        <f t="shared" si="1347"/>
        <v>#DIV/0!</v>
      </c>
      <c r="QD163" s="684" t="e">
        <f t="shared" si="1347"/>
        <v>#DIV/0!</v>
      </c>
      <c r="QE163" s="599" t="e">
        <f t="shared" si="1347"/>
        <v>#DIV/0!</v>
      </c>
      <c r="QF163" s="694">
        <f t="shared" si="1347"/>
        <v>100</v>
      </c>
      <c r="QG163" s="685" t="s">
        <v>93</v>
      </c>
      <c r="QH163" s="599">
        <f t="shared" ref="QH163:QW163" si="1348">AVERAGE(QH158:QH162)</f>
        <v>0</v>
      </c>
      <c r="QI163" s="619" t="e">
        <f t="shared" si="1348"/>
        <v>#DIV/0!</v>
      </c>
      <c r="QJ163" s="675" t="e">
        <f t="shared" si="1348"/>
        <v>#DIV/0!</v>
      </c>
      <c r="QK163" s="672" t="e">
        <f t="shared" si="1348"/>
        <v>#DIV/0!</v>
      </c>
      <c r="QL163" s="687" t="e">
        <f t="shared" si="1348"/>
        <v>#DIV/0!</v>
      </c>
      <c r="QM163" s="686" t="e">
        <f t="shared" si="1348"/>
        <v>#DIV/0!</v>
      </c>
      <c r="QN163" s="687" t="e">
        <f t="shared" si="1348"/>
        <v>#DIV/0!</v>
      </c>
      <c r="QO163" s="687" t="e">
        <f t="shared" si="1348"/>
        <v>#DIV/0!</v>
      </c>
      <c r="QP163" s="687" t="e">
        <f t="shared" si="1348"/>
        <v>#DIV/0!</v>
      </c>
      <c r="QQ163" s="687" t="e">
        <f t="shared" si="1348"/>
        <v>#DIV/0!</v>
      </c>
      <c r="QR163" s="690" t="e">
        <f t="shared" si="1348"/>
        <v>#DIV/0!</v>
      </c>
      <c r="QS163" s="682" t="e">
        <f t="shared" si="1348"/>
        <v>#DIV/0!</v>
      </c>
      <c r="QT163" s="683" t="e">
        <f t="shared" si="1348"/>
        <v>#DIV/0!</v>
      </c>
      <c r="QU163" s="710" t="e">
        <f t="shared" si="1348"/>
        <v>#DIV/0!</v>
      </c>
      <c r="QV163" s="653" t="e">
        <f t="shared" si="1348"/>
        <v>#DIV/0!</v>
      </c>
      <c r="QW163" s="694">
        <f t="shared" si="1348"/>
        <v>100</v>
      </c>
      <c r="QX163" s="685" t="s">
        <v>93</v>
      </c>
      <c r="QY163" s="599">
        <f t="shared" ref="QY163:RN163" si="1349">AVERAGE(QY158:QY162)</f>
        <v>0</v>
      </c>
      <c r="QZ163" s="619" t="e">
        <f t="shared" si="1349"/>
        <v>#DIV/0!</v>
      </c>
      <c r="RA163" s="675" t="e">
        <f t="shared" si="1349"/>
        <v>#DIV/0!</v>
      </c>
      <c r="RB163" s="672" t="e">
        <f t="shared" si="1349"/>
        <v>#DIV/0!</v>
      </c>
      <c r="RC163" s="687" t="e">
        <f t="shared" si="1349"/>
        <v>#DIV/0!</v>
      </c>
      <c r="RD163" s="686" t="e">
        <f t="shared" si="1349"/>
        <v>#DIV/0!</v>
      </c>
      <c r="RE163" s="687" t="e">
        <f t="shared" si="1349"/>
        <v>#DIV/0!</v>
      </c>
      <c r="RF163" s="687" t="e">
        <f t="shared" si="1349"/>
        <v>#DIV/0!</v>
      </c>
      <c r="RG163" s="687" t="e">
        <f t="shared" si="1349"/>
        <v>#DIV/0!</v>
      </c>
      <c r="RH163" s="687" t="e">
        <f t="shared" si="1349"/>
        <v>#DIV/0!</v>
      </c>
      <c r="RI163" s="690" t="e">
        <f t="shared" si="1349"/>
        <v>#DIV/0!</v>
      </c>
      <c r="RJ163" s="682" t="e">
        <f t="shared" si="1349"/>
        <v>#DIV/0!</v>
      </c>
      <c r="RK163" s="683" t="e">
        <f t="shared" si="1349"/>
        <v>#DIV/0!</v>
      </c>
      <c r="RL163" s="684" t="e">
        <f t="shared" si="1349"/>
        <v>#DIV/0!</v>
      </c>
      <c r="RM163" s="599" t="e">
        <f t="shared" si="1349"/>
        <v>#DIV/0!</v>
      </c>
      <c r="RN163" s="685" t="e">
        <f t="shared" si="1349"/>
        <v>#DIV/0!</v>
      </c>
      <c r="RO163" s="685" t="s">
        <v>93</v>
      </c>
      <c r="RP163" s="599">
        <f t="shared" ref="RP163:SE163" si="1350">AVERAGE(RP158:RP162)</f>
        <v>0</v>
      </c>
      <c r="RQ163" s="619" t="e">
        <f t="shared" si="1350"/>
        <v>#DIV/0!</v>
      </c>
      <c r="RR163" s="675" t="e">
        <f t="shared" si="1350"/>
        <v>#DIV/0!</v>
      </c>
      <c r="RS163" s="672" t="e">
        <f t="shared" si="1350"/>
        <v>#DIV/0!</v>
      </c>
      <c r="RT163" s="687" t="e">
        <f t="shared" si="1350"/>
        <v>#DIV/0!</v>
      </c>
      <c r="RU163" s="686" t="e">
        <f t="shared" si="1350"/>
        <v>#DIV/0!</v>
      </c>
      <c r="RV163" s="687" t="e">
        <f t="shared" si="1350"/>
        <v>#DIV/0!</v>
      </c>
      <c r="RW163" s="687" t="e">
        <f t="shared" si="1350"/>
        <v>#DIV/0!</v>
      </c>
      <c r="RX163" s="687" t="e">
        <f t="shared" si="1350"/>
        <v>#DIV/0!</v>
      </c>
      <c r="RY163" s="687" t="e">
        <f t="shared" si="1350"/>
        <v>#DIV/0!</v>
      </c>
      <c r="RZ163" s="690" t="e">
        <f t="shared" si="1350"/>
        <v>#DIV/0!</v>
      </c>
      <c r="SA163" s="682" t="e">
        <f t="shared" si="1350"/>
        <v>#DIV/0!</v>
      </c>
      <c r="SB163" s="683" t="e">
        <f t="shared" si="1350"/>
        <v>#DIV/0!</v>
      </c>
      <c r="SC163" s="684" t="e">
        <f t="shared" si="1350"/>
        <v>#DIV/0!</v>
      </c>
      <c r="SD163" s="599" t="e">
        <f t="shared" si="1350"/>
        <v>#DIV/0!</v>
      </c>
      <c r="SE163" s="685" t="e">
        <f t="shared" si="1350"/>
        <v>#DIV/0!</v>
      </c>
      <c r="SF163" s="685" t="s">
        <v>93</v>
      </c>
      <c r="SG163" s="599">
        <f t="shared" ref="SG163:SV163" si="1351">AVERAGE(SG158:SG162)</f>
        <v>0</v>
      </c>
      <c r="SH163" s="619" t="e">
        <f t="shared" si="1351"/>
        <v>#DIV/0!</v>
      </c>
      <c r="SI163" s="675" t="e">
        <f t="shared" si="1351"/>
        <v>#DIV/0!</v>
      </c>
      <c r="SJ163" s="672" t="e">
        <f t="shared" si="1351"/>
        <v>#DIV/0!</v>
      </c>
      <c r="SK163" s="687" t="e">
        <f t="shared" si="1351"/>
        <v>#DIV/0!</v>
      </c>
      <c r="SL163" s="686" t="e">
        <f t="shared" si="1351"/>
        <v>#DIV/0!</v>
      </c>
      <c r="SM163" s="687" t="e">
        <f t="shared" si="1351"/>
        <v>#DIV/0!</v>
      </c>
      <c r="SN163" s="687" t="e">
        <f t="shared" si="1351"/>
        <v>#DIV/0!</v>
      </c>
      <c r="SO163" s="687" t="e">
        <f t="shared" si="1351"/>
        <v>#DIV/0!</v>
      </c>
      <c r="SP163" s="687" t="e">
        <f t="shared" si="1351"/>
        <v>#DIV/0!</v>
      </c>
      <c r="SQ163" s="690" t="e">
        <f t="shared" si="1351"/>
        <v>#DIV/0!</v>
      </c>
      <c r="SR163" s="682" t="e">
        <f t="shared" si="1351"/>
        <v>#DIV/0!</v>
      </c>
      <c r="SS163" s="683" t="e">
        <f t="shared" si="1351"/>
        <v>#DIV/0!</v>
      </c>
      <c r="ST163" s="684" t="e">
        <f t="shared" si="1351"/>
        <v>#DIV/0!</v>
      </c>
      <c r="SU163" s="599" t="e">
        <f t="shared" si="1351"/>
        <v>#DIV/0!</v>
      </c>
      <c r="SV163" s="685" t="e">
        <f t="shared" si="1351"/>
        <v>#DIV/0!</v>
      </c>
      <c r="SW163" s="685" t="s">
        <v>93</v>
      </c>
      <c r="SX163" s="599">
        <f t="shared" ref="SX163:TM163" si="1352">AVERAGE(SX158:SX162)</f>
        <v>0</v>
      </c>
      <c r="SY163" s="619" t="e">
        <f t="shared" si="1352"/>
        <v>#DIV/0!</v>
      </c>
      <c r="SZ163" s="675" t="e">
        <f t="shared" si="1352"/>
        <v>#DIV/0!</v>
      </c>
      <c r="TA163" s="672" t="e">
        <f t="shared" si="1352"/>
        <v>#DIV/0!</v>
      </c>
      <c r="TB163" s="687" t="e">
        <f t="shared" si="1352"/>
        <v>#DIV/0!</v>
      </c>
      <c r="TC163" s="686" t="e">
        <f t="shared" si="1352"/>
        <v>#DIV/0!</v>
      </c>
      <c r="TD163" s="687" t="e">
        <f t="shared" si="1352"/>
        <v>#DIV/0!</v>
      </c>
      <c r="TE163" s="687" t="e">
        <f t="shared" si="1352"/>
        <v>#DIV/0!</v>
      </c>
      <c r="TF163" s="687" t="e">
        <f t="shared" si="1352"/>
        <v>#DIV/0!</v>
      </c>
      <c r="TG163" s="687" t="e">
        <f t="shared" si="1352"/>
        <v>#DIV/0!</v>
      </c>
      <c r="TH163" s="686" t="e">
        <f t="shared" si="1352"/>
        <v>#DIV/0!</v>
      </c>
      <c r="TI163" s="682" t="e">
        <f t="shared" si="1352"/>
        <v>#DIV/0!</v>
      </c>
      <c r="TJ163" s="683" t="e">
        <f t="shared" si="1352"/>
        <v>#DIV/0!</v>
      </c>
      <c r="TK163" s="684" t="e">
        <f t="shared" si="1352"/>
        <v>#DIV/0!</v>
      </c>
      <c r="TL163" s="599" t="e">
        <f t="shared" si="1352"/>
        <v>#DIV/0!</v>
      </c>
      <c r="TM163" s="685" t="e">
        <f t="shared" si="1352"/>
        <v>#DIV/0!</v>
      </c>
      <c r="TN163" s="685" t="s">
        <v>93</v>
      </c>
      <c r="TO163" s="599">
        <f t="shared" ref="TO163:TY163" si="1353">AVERAGE(TO158:TO162)</f>
        <v>0</v>
      </c>
      <c r="TP163" s="619" t="e">
        <f t="shared" si="1353"/>
        <v>#DIV/0!</v>
      </c>
      <c r="TQ163" s="675" t="e">
        <f t="shared" si="1353"/>
        <v>#DIV/0!</v>
      </c>
      <c r="TR163" s="672" t="e">
        <f t="shared" si="1353"/>
        <v>#DIV/0!</v>
      </c>
      <c r="TS163" s="687" t="e">
        <f t="shared" si="1353"/>
        <v>#DIV/0!</v>
      </c>
      <c r="TT163" s="686" t="e">
        <f t="shared" si="1353"/>
        <v>#DIV/0!</v>
      </c>
      <c r="TU163" s="687" t="e">
        <f t="shared" si="1353"/>
        <v>#DIV/0!</v>
      </c>
      <c r="TV163" s="687" t="e">
        <f t="shared" si="1353"/>
        <v>#DIV/0!</v>
      </c>
      <c r="TW163" s="687" t="e">
        <f t="shared" si="1353"/>
        <v>#DIV/0!</v>
      </c>
      <c r="TX163" s="687" t="e">
        <f t="shared" si="1353"/>
        <v>#DIV/0!</v>
      </c>
      <c r="TY163" s="690" t="e">
        <f t="shared" si="1353"/>
        <v>#DIV/0!</v>
      </c>
    </row>
    <row r="164" spans="1:545" x14ac:dyDescent="0.25">
      <c r="A164" s="681" t="s">
        <v>62</v>
      </c>
      <c r="B164" s="688"/>
      <c r="C164" s="619"/>
      <c r="D164" s="619"/>
      <c r="E164" s="672"/>
      <c r="F164" s="619"/>
      <c r="G164" s="652"/>
      <c r="H164" s="599"/>
      <c r="I164" s="652"/>
      <c r="J164" s="675"/>
      <c r="K164" s="672"/>
      <c r="L164" s="672"/>
      <c r="M164" s="675"/>
      <c r="N164" s="672"/>
      <c r="O164" s="672"/>
      <c r="P164" s="672"/>
      <c r="Q164" s="672"/>
      <c r="R164" s="676"/>
      <c r="S164" s="691" t="e">
        <f t="shared" ref="S164:W164" si="1354">STDEVA(S158:S162)</f>
        <v>#DIV/0!</v>
      </c>
      <c r="T164" s="691" t="e">
        <f t="shared" si="1354"/>
        <v>#DIV/0!</v>
      </c>
      <c r="U164" s="695" t="e">
        <f t="shared" si="1354"/>
        <v>#DIV/0!</v>
      </c>
      <c r="V164" s="599" t="e">
        <f t="shared" si="1354"/>
        <v>#DIV/0!</v>
      </c>
      <c r="W164" s="652" t="e">
        <f t="shared" si="1354"/>
        <v>#DIV/0!</v>
      </c>
      <c r="X164" s="652" t="s">
        <v>93</v>
      </c>
      <c r="Y164" s="599">
        <f>STDEVA(Y158:Y162)</f>
        <v>0</v>
      </c>
      <c r="Z164" s="652" t="e">
        <f t="shared" ref="Z164:AN164" si="1355">STDEVA(Z158:Z162)</f>
        <v>#DIV/0!</v>
      </c>
      <c r="AA164" s="675" t="e">
        <f t="shared" si="1355"/>
        <v>#DIV/0!</v>
      </c>
      <c r="AB164" s="672" t="e">
        <f t="shared" si="1355"/>
        <v>#DIV/0!</v>
      </c>
      <c r="AC164" s="672" t="e">
        <f t="shared" si="1355"/>
        <v>#DIV/0!</v>
      </c>
      <c r="AD164" s="675" t="e">
        <f t="shared" si="1355"/>
        <v>#DIV/0!</v>
      </c>
      <c r="AE164" s="672" t="e">
        <f t="shared" si="1355"/>
        <v>#DIV/0!</v>
      </c>
      <c r="AF164" s="672" t="e">
        <f t="shared" si="1355"/>
        <v>#DIV/0!</v>
      </c>
      <c r="AG164" s="672" t="e">
        <f>STDEVA(AG158:AG162)</f>
        <v>#DIV/0!</v>
      </c>
      <c r="AH164" s="672" t="e">
        <f t="shared" si="1355"/>
        <v>#DIV/0!</v>
      </c>
      <c r="AI164" s="676" t="e">
        <f t="shared" si="1355"/>
        <v>#DIV/0!</v>
      </c>
      <c r="AJ164" s="691" t="e">
        <f t="shared" si="1355"/>
        <v>#DIV/0!</v>
      </c>
      <c r="AK164" s="691" t="e">
        <f t="shared" si="1355"/>
        <v>#DIV/0!</v>
      </c>
      <c r="AL164" s="695" t="e">
        <f t="shared" si="1355"/>
        <v>#DIV/0!</v>
      </c>
      <c r="AM164" s="599" t="e">
        <f t="shared" si="1355"/>
        <v>#DIV/0!</v>
      </c>
      <c r="AN164" s="652" t="e">
        <f t="shared" si="1355"/>
        <v>#DIV/0!</v>
      </c>
      <c r="AO164" s="652" t="s">
        <v>93</v>
      </c>
      <c r="AP164" s="599">
        <f>STDEVA(AP158:AP162)</f>
        <v>0</v>
      </c>
      <c r="AQ164" s="652" t="e">
        <f t="shared" ref="AQ164:BE164" si="1356">STDEVA(AQ158:AQ162)</f>
        <v>#DIV/0!</v>
      </c>
      <c r="AR164" s="675" t="e">
        <f t="shared" si="1356"/>
        <v>#DIV/0!</v>
      </c>
      <c r="AS164" s="672" t="e">
        <f t="shared" si="1356"/>
        <v>#DIV/0!</v>
      </c>
      <c r="AT164" s="672" t="e">
        <f t="shared" si="1356"/>
        <v>#DIV/0!</v>
      </c>
      <c r="AU164" s="675" t="e">
        <f t="shared" si="1356"/>
        <v>#DIV/0!</v>
      </c>
      <c r="AV164" s="672" t="e">
        <f t="shared" si="1356"/>
        <v>#DIV/0!</v>
      </c>
      <c r="AW164" s="672" t="e">
        <f t="shared" si="1356"/>
        <v>#DIV/0!</v>
      </c>
      <c r="AX164" s="672" t="e">
        <f>STDEVA(AX158:AX162)</f>
        <v>#DIV/0!</v>
      </c>
      <c r="AY164" s="672" t="e">
        <f t="shared" si="1356"/>
        <v>#DIV/0!</v>
      </c>
      <c r="AZ164" s="676" t="e">
        <f t="shared" si="1356"/>
        <v>#DIV/0!</v>
      </c>
      <c r="BA164" s="682" t="e">
        <f t="shared" si="1356"/>
        <v>#DIV/0!</v>
      </c>
      <c r="BB164" s="691" t="e">
        <f t="shared" si="1356"/>
        <v>#DIV/0!</v>
      </c>
      <c r="BC164" s="695" t="e">
        <f t="shared" si="1356"/>
        <v>#DIV/0!</v>
      </c>
      <c r="BD164" s="599" t="e">
        <f t="shared" si="1356"/>
        <v>#DIV/0!</v>
      </c>
      <c r="BE164" s="652" t="e">
        <f t="shared" si="1356"/>
        <v>#DIV/0!</v>
      </c>
      <c r="BF164" s="652" t="s">
        <v>93</v>
      </c>
      <c r="BG164" s="599">
        <f>STDEVA(BG158:BG162)</f>
        <v>0</v>
      </c>
      <c r="BH164" s="652" t="e">
        <f t="shared" ref="BH164:BV164" si="1357">STDEVA(BH158:BH162)</f>
        <v>#DIV/0!</v>
      </c>
      <c r="BI164" s="675" t="e">
        <f t="shared" si="1357"/>
        <v>#DIV/0!</v>
      </c>
      <c r="BJ164" s="672" t="e">
        <f t="shared" si="1357"/>
        <v>#DIV/0!</v>
      </c>
      <c r="BK164" s="672" t="e">
        <f t="shared" si="1357"/>
        <v>#DIV/0!</v>
      </c>
      <c r="BL164" s="675" t="e">
        <f t="shared" si="1357"/>
        <v>#DIV/0!</v>
      </c>
      <c r="BM164" s="672" t="e">
        <f t="shared" si="1357"/>
        <v>#DIV/0!</v>
      </c>
      <c r="BN164" s="672" t="e">
        <f t="shared" si="1357"/>
        <v>#DIV/0!</v>
      </c>
      <c r="BO164" s="672" t="e">
        <f>STDEVA(BO158:BO162)</f>
        <v>#DIV/0!</v>
      </c>
      <c r="BP164" s="672" t="e">
        <f t="shared" si="1357"/>
        <v>#DIV/0!</v>
      </c>
      <c r="BQ164" s="676" t="e">
        <f t="shared" si="1357"/>
        <v>#DIV/0!</v>
      </c>
      <c r="BR164" s="682" t="e">
        <f t="shared" si="1357"/>
        <v>#DIV/0!</v>
      </c>
      <c r="BS164" s="691" t="e">
        <f t="shared" si="1357"/>
        <v>#DIV/0!</v>
      </c>
      <c r="BT164" s="695" t="e">
        <f t="shared" si="1357"/>
        <v>#DIV/0!</v>
      </c>
      <c r="BU164" s="599" t="e">
        <f t="shared" si="1357"/>
        <v>#DIV/0!</v>
      </c>
      <c r="BV164" s="652" t="e">
        <f t="shared" si="1357"/>
        <v>#DIV/0!</v>
      </c>
      <c r="BW164" s="652" t="s">
        <v>93</v>
      </c>
      <c r="BX164" s="599">
        <f>STDEVA(BX158:BX162)</f>
        <v>0</v>
      </c>
      <c r="BY164" s="652" t="e">
        <f t="shared" ref="BY164:CM164" si="1358">STDEVA(BY158:BY162)</f>
        <v>#DIV/0!</v>
      </c>
      <c r="BZ164" s="675" t="e">
        <f t="shared" si="1358"/>
        <v>#DIV/0!</v>
      </c>
      <c r="CA164" s="672" t="e">
        <f t="shared" si="1358"/>
        <v>#DIV/0!</v>
      </c>
      <c r="CB164" s="672" t="e">
        <f t="shared" si="1358"/>
        <v>#DIV/0!</v>
      </c>
      <c r="CC164" s="675" t="e">
        <f t="shared" si="1358"/>
        <v>#DIV/0!</v>
      </c>
      <c r="CD164" s="672" t="e">
        <f t="shared" si="1358"/>
        <v>#DIV/0!</v>
      </c>
      <c r="CE164" s="672" t="e">
        <f t="shared" si="1358"/>
        <v>#DIV/0!</v>
      </c>
      <c r="CF164" s="672" t="e">
        <f>STDEVA(CF158:CF162)</f>
        <v>#DIV/0!</v>
      </c>
      <c r="CG164" s="672" t="e">
        <f t="shared" si="1358"/>
        <v>#DIV/0!</v>
      </c>
      <c r="CH164" s="676" t="e">
        <f t="shared" si="1358"/>
        <v>#DIV/0!</v>
      </c>
      <c r="CI164" s="682" t="e">
        <f t="shared" si="1358"/>
        <v>#DIV/0!</v>
      </c>
      <c r="CJ164" s="691" t="e">
        <f t="shared" si="1358"/>
        <v>#DIV/0!</v>
      </c>
      <c r="CK164" s="695" t="e">
        <f t="shared" si="1358"/>
        <v>#DIV/0!</v>
      </c>
      <c r="CL164" s="599" t="e">
        <f t="shared" si="1358"/>
        <v>#DIV/0!</v>
      </c>
      <c r="CM164" s="652" t="e">
        <f t="shared" si="1358"/>
        <v>#DIV/0!</v>
      </c>
      <c r="CN164" s="652" t="s">
        <v>93</v>
      </c>
      <c r="CO164" s="599">
        <f>STDEVA(CO158:CO162)</f>
        <v>0</v>
      </c>
      <c r="CP164" s="652" t="e">
        <f t="shared" ref="CP164:DD164" si="1359">STDEVA(CP158:CP162)</f>
        <v>#DIV/0!</v>
      </c>
      <c r="CQ164" s="675" t="e">
        <f t="shared" si="1359"/>
        <v>#DIV/0!</v>
      </c>
      <c r="CR164" s="672" t="e">
        <f t="shared" si="1359"/>
        <v>#DIV/0!</v>
      </c>
      <c r="CS164" s="672" t="e">
        <f t="shared" si="1359"/>
        <v>#DIV/0!</v>
      </c>
      <c r="CT164" s="675" t="e">
        <f t="shared" si="1359"/>
        <v>#DIV/0!</v>
      </c>
      <c r="CU164" s="672" t="e">
        <f t="shared" si="1359"/>
        <v>#DIV/0!</v>
      </c>
      <c r="CV164" s="672" t="e">
        <f t="shared" si="1359"/>
        <v>#DIV/0!</v>
      </c>
      <c r="CW164" s="672" t="e">
        <f>STDEVA(CW158:CW162)</f>
        <v>#DIV/0!</v>
      </c>
      <c r="CX164" s="672" t="e">
        <f t="shared" si="1359"/>
        <v>#DIV/0!</v>
      </c>
      <c r="CY164" s="676" t="e">
        <f t="shared" si="1359"/>
        <v>#DIV/0!</v>
      </c>
      <c r="CZ164" s="682" t="e">
        <f t="shared" si="1359"/>
        <v>#DIV/0!</v>
      </c>
      <c r="DA164" s="691" t="e">
        <f t="shared" si="1359"/>
        <v>#DIV/0!</v>
      </c>
      <c r="DB164" s="695" t="e">
        <f t="shared" si="1359"/>
        <v>#DIV/0!</v>
      </c>
      <c r="DC164" s="599" t="e">
        <f t="shared" si="1359"/>
        <v>#DIV/0!</v>
      </c>
      <c r="DD164" s="652" t="e">
        <f t="shared" si="1359"/>
        <v>#DIV/0!</v>
      </c>
      <c r="DE164" s="652" t="s">
        <v>93</v>
      </c>
      <c r="DF164" s="599">
        <f>STDEVA(DF158:DF162)</f>
        <v>0</v>
      </c>
      <c r="DG164" s="652" t="e">
        <f t="shared" ref="DG164:DU164" si="1360">STDEVA(DG158:DG162)</f>
        <v>#DIV/0!</v>
      </c>
      <c r="DH164" s="675" t="e">
        <f t="shared" si="1360"/>
        <v>#DIV/0!</v>
      </c>
      <c r="DI164" s="672" t="e">
        <f t="shared" si="1360"/>
        <v>#DIV/0!</v>
      </c>
      <c r="DJ164" s="672" t="e">
        <f t="shared" si="1360"/>
        <v>#DIV/0!</v>
      </c>
      <c r="DK164" s="675" t="e">
        <f t="shared" si="1360"/>
        <v>#DIV/0!</v>
      </c>
      <c r="DL164" s="672" t="e">
        <f t="shared" si="1360"/>
        <v>#DIV/0!</v>
      </c>
      <c r="DM164" s="672" t="e">
        <f t="shared" si="1360"/>
        <v>#DIV/0!</v>
      </c>
      <c r="DN164" s="672" t="e">
        <f>STDEVA(DN158:DN162)</f>
        <v>#DIV/0!</v>
      </c>
      <c r="DO164" s="672" t="e">
        <f t="shared" si="1360"/>
        <v>#DIV/0!</v>
      </c>
      <c r="DP164" s="676" t="e">
        <f t="shared" si="1360"/>
        <v>#DIV/0!</v>
      </c>
      <c r="DQ164" s="682" t="e">
        <f t="shared" si="1360"/>
        <v>#DIV/0!</v>
      </c>
      <c r="DR164" s="691" t="e">
        <f t="shared" si="1360"/>
        <v>#DIV/0!</v>
      </c>
      <c r="DS164" s="695" t="e">
        <f t="shared" si="1360"/>
        <v>#DIV/0!</v>
      </c>
      <c r="DT164" s="653" t="e">
        <f t="shared" si="1360"/>
        <v>#DIV/0!</v>
      </c>
      <c r="DU164" s="652" t="e">
        <f t="shared" si="1360"/>
        <v>#DIV/0!</v>
      </c>
      <c r="DV164" s="652" t="s">
        <v>93</v>
      </c>
      <c r="DW164" s="599">
        <f>STDEVA(DW158:DW162)</f>
        <v>0</v>
      </c>
      <c r="DX164" s="652" t="e">
        <f t="shared" ref="DX164:EL164" si="1361">STDEVA(DX158:DX162)</f>
        <v>#DIV/0!</v>
      </c>
      <c r="DY164" s="675" t="e">
        <f t="shared" si="1361"/>
        <v>#DIV/0!</v>
      </c>
      <c r="DZ164" s="672" t="e">
        <f t="shared" si="1361"/>
        <v>#DIV/0!</v>
      </c>
      <c r="EA164" s="672" t="e">
        <f t="shared" si="1361"/>
        <v>#DIV/0!</v>
      </c>
      <c r="EB164" s="675" t="e">
        <f t="shared" si="1361"/>
        <v>#DIV/0!</v>
      </c>
      <c r="EC164" s="672" t="e">
        <f t="shared" si="1361"/>
        <v>#DIV/0!</v>
      </c>
      <c r="ED164" s="672" t="e">
        <f t="shared" si="1361"/>
        <v>#DIV/0!</v>
      </c>
      <c r="EE164" s="672" t="e">
        <f>STDEVA(EE158:EE162)</f>
        <v>#DIV/0!</v>
      </c>
      <c r="EF164" s="672" t="e">
        <f t="shared" si="1361"/>
        <v>#DIV/0!</v>
      </c>
      <c r="EG164" s="676" t="e">
        <f t="shared" si="1361"/>
        <v>#DIV/0!</v>
      </c>
      <c r="EH164" s="682" t="e">
        <f t="shared" si="1361"/>
        <v>#DIV/0!</v>
      </c>
      <c r="EI164" s="691" t="e">
        <f t="shared" si="1361"/>
        <v>#DIV/0!</v>
      </c>
      <c r="EJ164" s="695" t="e">
        <f t="shared" si="1361"/>
        <v>#DIV/0!</v>
      </c>
      <c r="EK164" s="599" t="e">
        <f t="shared" si="1361"/>
        <v>#DIV/0!</v>
      </c>
      <c r="EL164" s="652" t="e">
        <f t="shared" si="1361"/>
        <v>#DIV/0!</v>
      </c>
      <c r="EM164" s="652" t="s">
        <v>93</v>
      </c>
      <c r="EN164" s="599">
        <f>STDEVA(EN158:EN162)</f>
        <v>0</v>
      </c>
      <c r="EO164" s="652" t="e">
        <f t="shared" ref="EO164:FC164" si="1362">STDEVA(EO158:EO162)</f>
        <v>#DIV/0!</v>
      </c>
      <c r="EP164" s="675" t="e">
        <f t="shared" si="1362"/>
        <v>#DIV/0!</v>
      </c>
      <c r="EQ164" s="672" t="e">
        <f t="shared" si="1362"/>
        <v>#DIV/0!</v>
      </c>
      <c r="ER164" s="672" t="e">
        <f t="shared" si="1362"/>
        <v>#DIV/0!</v>
      </c>
      <c r="ES164" s="675" t="e">
        <f t="shared" si="1362"/>
        <v>#DIV/0!</v>
      </c>
      <c r="ET164" s="672" t="e">
        <f t="shared" si="1362"/>
        <v>#DIV/0!</v>
      </c>
      <c r="EU164" s="672" t="e">
        <f t="shared" si="1362"/>
        <v>#DIV/0!</v>
      </c>
      <c r="EV164" s="672" t="e">
        <f>STDEVA(EV158:EV162)</f>
        <v>#DIV/0!</v>
      </c>
      <c r="EW164" s="672" t="e">
        <f t="shared" si="1362"/>
        <v>#DIV/0!</v>
      </c>
      <c r="EX164" s="676" t="e">
        <f t="shared" si="1362"/>
        <v>#DIV/0!</v>
      </c>
      <c r="EY164" s="682" t="e">
        <f t="shared" si="1362"/>
        <v>#DIV/0!</v>
      </c>
      <c r="EZ164" s="691" t="e">
        <f t="shared" si="1362"/>
        <v>#DIV/0!</v>
      </c>
      <c r="FA164" s="695" t="e">
        <f t="shared" si="1362"/>
        <v>#DIV/0!</v>
      </c>
      <c r="FB164" s="599" t="e">
        <f t="shared" si="1362"/>
        <v>#DIV/0!</v>
      </c>
      <c r="FC164" s="652" t="e">
        <f t="shared" si="1362"/>
        <v>#DIV/0!</v>
      </c>
      <c r="FD164" s="652" t="s">
        <v>93</v>
      </c>
      <c r="FE164" s="599">
        <f>STDEVA(FE158:FE162)</f>
        <v>0</v>
      </c>
      <c r="FF164" s="652" t="e">
        <f t="shared" ref="FF164:FT164" si="1363">STDEVA(FF158:FF162)</f>
        <v>#DIV/0!</v>
      </c>
      <c r="FG164" s="675" t="e">
        <f t="shared" si="1363"/>
        <v>#DIV/0!</v>
      </c>
      <c r="FH164" s="672" t="e">
        <f t="shared" si="1363"/>
        <v>#DIV/0!</v>
      </c>
      <c r="FI164" s="672" t="e">
        <f t="shared" si="1363"/>
        <v>#DIV/0!</v>
      </c>
      <c r="FJ164" s="675" t="e">
        <f t="shared" si="1363"/>
        <v>#DIV/0!</v>
      </c>
      <c r="FK164" s="672" t="e">
        <f t="shared" si="1363"/>
        <v>#DIV/0!</v>
      </c>
      <c r="FL164" s="672" t="e">
        <f t="shared" si="1363"/>
        <v>#DIV/0!</v>
      </c>
      <c r="FM164" s="672" t="e">
        <f>STDEVA(FM158:FM162)</f>
        <v>#DIV/0!</v>
      </c>
      <c r="FN164" s="672" t="e">
        <f t="shared" si="1363"/>
        <v>#DIV/0!</v>
      </c>
      <c r="FO164" s="676" t="e">
        <f t="shared" si="1363"/>
        <v>#DIV/0!</v>
      </c>
      <c r="FP164" s="682" t="e">
        <f t="shared" si="1363"/>
        <v>#DIV/0!</v>
      </c>
      <c r="FQ164" s="691" t="e">
        <f t="shared" si="1363"/>
        <v>#DIV/0!</v>
      </c>
      <c r="FR164" s="695" t="e">
        <f t="shared" si="1363"/>
        <v>#DIV/0!</v>
      </c>
      <c r="FS164" s="599" t="e">
        <f t="shared" si="1363"/>
        <v>#DIV/0!</v>
      </c>
      <c r="FT164" s="652" t="e">
        <f t="shared" si="1363"/>
        <v>#DIV/0!</v>
      </c>
      <c r="FU164" s="652" t="s">
        <v>93</v>
      </c>
      <c r="FV164" s="599">
        <f>STDEVA(FV158:FV162)</f>
        <v>0</v>
      </c>
      <c r="FW164" s="652" t="e">
        <f t="shared" ref="FW164:GK164" si="1364">STDEVA(FW158:FW162)</f>
        <v>#DIV/0!</v>
      </c>
      <c r="FX164" s="675" t="e">
        <f t="shared" si="1364"/>
        <v>#DIV/0!</v>
      </c>
      <c r="FY164" s="672" t="e">
        <f t="shared" si="1364"/>
        <v>#DIV/0!</v>
      </c>
      <c r="FZ164" s="672" t="e">
        <f t="shared" si="1364"/>
        <v>#DIV/0!</v>
      </c>
      <c r="GA164" s="675" t="e">
        <f t="shared" si="1364"/>
        <v>#DIV/0!</v>
      </c>
      <c r="GB164" s="672" t="e">
        <f t="shared" si="1364"/>
        <v>#DIV/0!</v>
      </c>
      <c r="GC164" s="672" t="e">
        <f t="shared" si="1364"/>
        <v>#DIV/0!</v>
      </c>
      <c r="GD164" s="672" t="e">
        <f>STDEVA(GD158:GD162)</f>
        <v>#DIV/0!</v>
      </c>
      <c r="GE164" s="672" t="e">
        <f t="shared" si="1364"/>
        <v>#DIV/0!</v>
      </c>
      <c r="GF164" s="676" t="e">
        <f t="shared" si="1364"/>
        <v>#DIV/0!</v>
      </c>
      <c r="GG164" s="682" t="e">
        <f t="shared" si="1364"/>
        <v>#DIV/0!</v>
      </c>
      <c r="GH164" s="691" t="e">
        <f t="shared" si="1364"/>
        <v>#DIV/0!</v>
      </c>
      <c r="GI164" s="695" t="e">
        <f t="shared" si="1364"/>
        <v>#DIV/0!</v>
      </c>
      <c r="GJ164" s="653" t="e">
        <f t="shared" si="1364"/>
        <v>#DIV/0!</v>
      </c>
      <c r="GK164" s="652" t="e">
        <f t="shared" si="1364"/>
        <v>#DIV/0!</v>
      </c>
      <c r="GL164" s="652" t="s">
        <v>93</v>
      </c>
      <c r="GM164" s="599">
        <f>STDEVA(GM158:GM162)</f>
        <v>0</v>
      </c>
      <c r="GN164" s="652" t="e">
        <f t="shared" ref="GN164:HB164" si="1365">STDEVA(GN158:GN162)</f>
        <v>#DIV/0!</v>
      </c>
      <c r="GO164" s="675" t="e">
        <f t="shared" si="1365"/>
        <v>#DIV/0!</v>
      </c>
      <c r="GP164" s="672" t="e">
        <f t="shared" si="1365"/>
        <v>#DIV/0!</v>
      </c>
      <c r="GQ164" s="672" t="e">
        <f t="shared" si="1365"/>
        <v>#DIV/0!</v>
      </c>
      <c r="GR164" s="675" t="e">
        <f t="shared" si="1365"/>
        <v>#DIV/0!</v>
      </c>
      <c r="GS164" s="672" t="e">
        <f t="shared" si="1365"/>
        <v>#DIV/0!</v>
      </c>
      <c r="GT164" s="672" t="e">
        <f t="shared" si="1365"/>
        <v>#DIV/0!</v>
      </c>
      <c r="GU164" s="672" t="e">
        <f>STDEVA(GU158:GU162)</f>
        <v>#DIV/0!</v>
      </c>
      <c r="GV164" s="672" t="e">
        <f t="shared" si="1365"/>
        <v>#DIV/0!</v>
      </c>
      <c r="GW164" s="676" t="e">
        <f t="shared" si="1365"/>
        <v>#DIV/0!</v>
      </c>
      <c r="GX164" s="682" t="e">
        <f t="shared" si="1365"/>
        <v>#DIV/0!</v>
      </c>
      <c r="GY164" s="691" t="e">
        <f t="shared" si="1365"/>
        <v>#DIV/0!</v>
      </c>
      <c r="GZ164" s="695" t="e">
        <f t="shared" si="1365"/>
        <v>#DIV/0!</v>
      </c>
      <c r="HA164" s="599" t="e">
        <f t="shared" si="1365"/>
        <v>#DIV/0!</v>
      </c>
      <c r="HB164" s="652" t="e">
        <f t="shared" si="1365"/>
        <v>#DIV/0!</v>
      </c>
      <c r="HC164" s="652" t="s">
        <v>93</v>
      </c>
      <c r="HD164" s="599">
        <f>STDEVA(HD158:HD162)</f>
        <v>0</v>
      </c>
      <c r="HE164" s="652" t="e">
        <f t="shared" ref="HE164:HS164" si="1366">STDEVA(HE158:HE162)</f>
        <v>#DIV/0!</v>
      </c>
      <c r="HF164" s="675" t="e">
        <f t="shared" si="1366"/>
        <v>#DIV/0!</v>
      </c>
      <c r="HG164" s="672" t="e">
        <f t="shared" si="1366"/>
        <v>#DIV/0!</v>
      </c>
      <c r="HH164" s="672" t="e">
        <f t="shared" si="1366"/>
        <v>#DIV/0!</v>
      </c>
      <c r="HI164" s="675" t="e">
        <f t="shared" si="1366"/>
        <v>#DIV/0!</v>
      </c>
      <c r="HJ164" s="672" t="e">
        <f t="shared" si="1366"/>
        <v>#DIV/0!</v>
      </c>
      <c r="HK164" s="672" t="e">
        <f t="shared" si="1366"/>
        <v>#DIV/0!</v>
      </c>
      <c r="HL164" s="672" t="e">
        <f>STDEVA(HL158:HL162)</f>
        <v>#DIV/0!</v>
      </c>
      <c r="HM164" s="672" t="e">
        <f t="shared" si="1366"/>
        <v>#DIV/0!</v>
      </c>
      <c r="HN164" s="676" t="e">
        <f t="shared" si="1366"/>
        <v>#DIV/0!</v>
      </c>
      <c r="HO164" s="682" t="e">
        <f t="shared" si="1366"/>
        <v>#DIV/0!</v>
      </c>
      <c r="HP164" s="691" t="e">
        <f t="shared" si="1366"/>
        <v>#DIV/0!</v>
      </c>
      <c r="HQ164" s="695" t="e">
        <f t="shared" si="1366"/>
        <v>#DIV/0!</v>
      </c>
      <c r="HR164" s="599" t="e">
        <f t="shared" si="1366"/>
        <v>#DIV/0!</v>
      </c>
      <c r="HS164" s="652" t="e">
        <f t="shared" si="1366"/>
        <v>#DIV/0!</v>
      </c>
      <c r="HT164" s="652" t="s">
        <v>93</v>
      </c>
      <c r="HU164" s="599">
        <f>STDEVA(HU158:HU162)</f>
        <v>0</v>
      </c>
      <c r="HV164" s="652" t="e">
        <f t="shared" ref="HV164:IJ164" si="1367">STDEVA(HV158:HV162)</f>
        <v>#DIV/0!</v>
      </c>
      <c r="HW164" s="675" t="e">
        <f t="shared" si="1367"/>
        <v>#DIV/0!</v>
      </c>
      <c r="HX164" s="672" t="e">
        <f t="shared" si="1367"/>
        <v>#DIV/0!</v>
      </c>
      <c r="HY164" s="672" t="e">
        <f t="shared" si="1367"/>
        <v>#DIV/0!</v>
      </c>
      <c r="HZ164" s="675" t="e">
        <f t="shared" si="1367"/>
        <v>#DIV/0!</v>
      </c>
      <c r="IA164" s="672" t="e">
        <f t="shared" si="1367"/>
        <v>#DIV/0!</v>
      </c>
      <c r="IB164" s="672" t="e">
        <f t="shared" si="1367"/>
        <v>#DIV/0!</v>
      </c>
      <c r="IC164" s="672" t="e">
        <f>STDEVA(IC158:IC162)</f>
        <v>#DIV/0!</v>
      </c>
      <c r="ID164" s="672" t="e">
        <f t="shared" si="1367"/>
        <v>#DIV/0!</v>
      </c>
      <c r="IE164" s="676" t="e">
        <f t="shared" si="1367"/>
        <v>#DIV/0!</v>
      </c>
      <c r="IF164" s="682" t="e">
        <f t="shared" si="1367"/>
        <v>#DIV/0!</v>
      </c>
      <c r="IG164" s="691" t="e">
        <f t="shared" si="1367"/>
        <v>#DIV/0!</v>
      </c>
      <c r="IH164" s="695" t="e">
        <f t="shared" si="1367"/>
        <v>#DIV/0!</v>
      </c>
      <c r="II164" s="599" t="e">
        <f t="shared" si="1367"/>
        <v>#DIV/0!</v>
      </c>
      <c r="IJ164" s="652" t="e">
        <f t="shared" si="1367"/>
        <v>#DIV/0!</v>
      </c>
      <c r="IK164" s="652" t="s">
        <v>93</v>
      </c>
      <c r="IL164" s="599">
        <f>STDEVA(IL158:IL162)</f>
        <v>0</v>
      </c>
      <c r="IM164" s="652" t="e">
        <f t="shared" ref="IM164:JA164" si="1368">STDEVA(IM158:IM162)</f>
        <v>#DIV/0!</v>
      </c>
      <c r="IN164" s="675" t="e">
        <f t="shared" si="1368"/>
        <v>#DIV/0!</v>
      </c>
      <c r="IO164" s="672" t="e">
        <f t="shared" si="1368"/>
        <v>#DIV/0!</v>
      </c>
      <c r="IP164" s="672" t="e">
        <f t="shared" si="1368"/>
        <v>#DIV/0!</v>
      </c>
      <c r="IQ164" s="675" t="e">
        <f t="shared" si="1368"/>
        <v>#DIV/0!</v>
      </c>
      <c r="IR164" s="672" t="e">
        <f t="shared" si="1368"/>
        <v>#DIV/0!</v>
      </c>
      <c r="IS164" s="672" t="e">
        <f t="shared" si="1368"/>
        <v>#DIV/0!</v>
      </c>
      <c r="IT164" s="672" t="e">
        <f>STDEVA(IT158:IT162)</f>
        <v>#DIV/0!</v>
      </c>
      <c r="IU164" s="672" t="e">
        <f t="shared" si="1368"/>
        <v>#DIV/0!</v>
      </c>
      <c r="IV164" s="676" t="e">
        <f t="shared" si="1368"/>
        <v>#DIV/0!</v>
      </c>
      <c r="IW164" s="682" t="e">
        <f t="shared" si="1368"/>
        <v>#DIV/0!</v>
      </c>
      <c r="IX164" s="691" t="e">
        <f t="shared" si="1368"/>
        <v>#DIV/0!</v>
      </c>
      <c r="IY164" s="695" t="e">
        <f t="shared" si="1368"/>
        <v>#DIV/0!</v>
      </c>
      <c r="IZ164" s="599" t="e">
        <f t="shared" si="1368"/>
        <v>#DIV/0!</v>
      </c>
      <c r="JA164" s="652" t="e">
        <f t="shared" si="1368"/>
        <v>#DIV/0!</v>
      </c>
      <c r="JB164" s="652" t="s">
        <v>93</v>
      </c>
      <c r="JC164" s="599">
        <f>STDEVA(JC158:JC162)</f>
        <v>0</v>
      </c>
      <c r="JD164" s="652" t="e">
        <f t="shared" ref="JD164:JR164" si="1369">STDEVA(JD158:JD162)</f>
        <v>#DIV/0!</v>
      </c>
      <c r="JE164" s="675" t="e">
        <f t="shared" si="1369"/>
        <v>#DIV/0!</v>
      </c>
      <c r="JF164" s="672" t="e">
        <f t="shared" si="1369"/>
        <v>#DIV/0!</v>
      </c>
      <c r="JG164" s="672" t="e">
        <f t="shared" si="1369"/>
        <v>#DIV/0!</v>
      </c>
      <c r="JH164" s="675" t="e">
        <f t="shared" si="1369"/>
        <v>#DIV/0!</v>
      </c>
      <c r="JI164" s="672" t="e">
        <f t="shared" si="1369"/>
        <v>#DIV/0!</v>
      </c>
      <c r="JJ164" s="672" t="e">
        <f t="shared" si="1369"/>
        <v>#DIV/0!</v>
      </c>
      <c r="JK164" s="672" t="e">
        <f>STDEVA(JK158:JK162)</f>
        <v>#DIV/0!</v>
      </c>
      <c r="JL164" s="672" t="e">
        <f t="shared" si="1369"/>
        <v>#DIV/0!</v>
      </c>
      <c r="JM164" s="676" t="e">
        <f t="shared" si="1369"/>
        <v>#DIV/0!</v>
      </c>
      <c r="JN164" s="682" t="e">
        <f t="shared" si="1369"/>
        <v>#DIV/0!</v>
      </c>
      <c r="JO164" s="691" t="e">
        <f t="shared" si="1369"/>
        <v>#DIV/0!</v>
      </c>
      <c r="JP164" s="695" t="e">
        <f t="shared" si="1369"/>
        <v>#DIV/0!</v>
      </c>
      <c r="JQ164" s="599" t="e">
        <f t="shared" si="1369"/>
        <v>#DIV/0!</v>
      </c>
      <c r="JR164" s="652" t="e">
        <f t="shared" si="1369"/>
        <v>#DIV/0!</v>
      </c>
      <c r="JS164" s="652" t="s">
        <v>93</v>
      </c>
      <c r="JT164" s="599">
        <f>STDEVA(JT158:JT162)</f>
        <v>0</v>
      </c>
      <c r="JU164" s="652" t="e">
        <f t="shared" ref="JU164:KI164" si="1370">STDEVA(JU158:JU162)</f>
        <v>#DIV/0!</v>
      </c>
      <c r="JV164" s="675" t="e">
        <f t="shared" si="1370"/>
        <v>#DIV/0!</v>
      </c>
      <c r="JW164" s="672" t="e">
        <f t="shared" si="1370"/>
        <v>#DIV/0!</v>
      </c>
      <c r="JX164" s="672" t="e">
        <f t="shared" si="1370"/>
        <v>#DIV/0!</v>
      </c>
      <c r="JY164" s="675" t="e">
        <f t="shared" si="1370"/>
        <v>#DIV/0!</v>
      </c>
      <c r="JZ164" s="672" t="e">
        <f t="shared" si="1370"/>
        <v>#DIV/0!</v>
      </c>
      <c r="KA164" s="672" t="e">
        <f t="shared" si="1370"/>
        <v>#DIV/0!</v>
      </c>
      <c r="KB164" s="672" t="e">
        <f>STDEVA(KB158:KB162)</f>
        <v>#DIV/0!</v>
      </c>
      <c r="KC164" s="672" t="e">
        <f t="shared" si="1370"/>
        <v>#DIV/0!</v>
      </c>
      <c r="KD164" s="676" t="e">
        <f t="shared" si="1370"/>
        <v>#DIV/0!</v>
      </c>
      <c r="KE164" s="682" t="e">
        <f t="shared" si="1370"/>
        <v>#DIV/0!</v>
      </c>
      <c r="KF164" s="691" t="e">
        <f t="shared" si="1370"/>
        <v>#DIV/0!</v>
      </c>
      <c r="KG164" s="695" t="e">
        <f t="shared" si="1370"/>
        <v>#DIV/0!</v>
      </c>
      <c r="KH164" s="599" t="e">
        <f t="shared" si="1370"/>
        <v>#DIV/0!</v>
      </c>
      <c r="KI164" s="652" t="e">
        <f t="shared" si="1370"/>
        <v>#DIV/0!</v>
      </c>
      <c r="KJ164" s="652" t="s">
        <v>93</v>
      </c>
      <c r="KK164" s="599">
        <f>STDEVA(KK158:KK162)</f>
        <v>0</v>
      </c>
      <c r="KL164" s="652" t="e">
        <f t="shared" ref="KL164:KZ164" si="1371">STDEVA(KL158:KL162)</f>
        <v>#DIV/0!</v>
      </c>
      <c r="KM164" s="675" t="e">
        <f t="shared" si="1371"/>
        <v>#DIV/0!</v>
      </c>
      <c r="KN164" s="672" t="e">
        <f t="shared" si="1371"/>
        <v>#DIV/0!</v>
      </c>
      <c r="KO164" s="672" t="e">
        <f t="shared" si="1371"/>
        <v>#DIV/0!</v>
      </c>
      <c r="KP164" s="675" t="e">
        <f t="shared" si="1371"/>
        <v>#DIV/0!</v>
      </c>
      <c r="KQ164" s="672" t="e">
        <f t="shared" si="1371"/>
        <v>#DIV/0!</v>
      </c>
      <c r="KR164" s="672" t="e">
        <f t="shared" si="1371"/>
        <v>#DIV/0!</v>
      </c>
      <c r="KS164" s="672" t="e">
        <f>STDEVA(KS158:KS162)</f>
        <v>#DIV/0!</v>
      </c>
      <c r="KT164" s="672" t="e">
        <f t="shared" si="1371"/>
        <v>#DIV/0!</v>
      </c>
      <c r="KU164" s="676" t="e">
        <f t="shared" si="1371"/>
        <v>#DIV/0!</v>
      </c>
      <c r="KV164" s="682" t="e">
        <f t="shared" si="1371"/>
        <v>#DIV/0!</v>
      </c>
      <c r="KW164" s="691" t="e">
        <f t="shared" si="1371"/>
        <v>#DIV/0!</v>
      </c>
      <c r="KX164" s="695" t="e">
        <f t="shared" si="1371"/>
        <v>#DIV/0!</v>
      </c>
      <c r="KY164" s="599" t="e">
        <f t="shared" si="1371"/>
        <v>#DIV/0!</v>
      </c>
      <c r="KZ164" s="652" t="e">
        <f t="shared" si="1371"/>
        <v>#DIV/0!</v>
      </c>
      <c r="LA164" s="652" t="s">
        <v>93</v>
      </c>
      <c r="LB164" s="599">
        <f>STDEVA(LB158:LB162)</f>
        <v>0</v>
      </c>
      <c r="LC164" s="652" t="e">
        <f t="shared" ref="LC164:LQ164" si="1372">STDEVA(LC158:LC162)</f>
        <v>#DIV/0!</v>
      </c>
      <c r="LD164" s="675" t="e">
        <f t="shared" si="1372"/>
        <v>#DIV/0!</v>
      </c>
      <c r="LE164" s="672" t="e">
        <f t="shared" si="1372"/>
        <v>#DIV/0!</v>
      </c>
      <c r="LF164" s="672" t="e">
        <f t="shared" si="1372"/>
        <v>#DIV/0!</v>
      </c>
      <c r="LG164" s="675" t="e">
        <f t="shared" si="1372"/>
        <v>#DIV/0!</v>
      </c>
      <c r="LH164" s="672" t="e">
        <f t="shared" si="1372"/>
        <v>#DIV/0!</v>
      </c>
      <c r="LI164" s="672" t="e">
        <f t="shared" si="1372"/>
        <v>#DIV/0!</v>
      </c>
      <c r="LJ164" s="672" t="e">
        <f>STDEVA(LJ158:LJ162)</f>
        <v>#DIV/0!</v>
      </c>
      <c r="LK164" s="672" t="e">
        <f t="shared" si="1372"/>
        <v>#DIV/0!</v>
      </c>
      <c r="LL164" s="676" t="e">
        <f t="shared" si="1372"/>
        <v>#DIV/0!</v>
      </c>
      <c r="LM164" s="682" t="e">
        <f t="shared" si="1372"/>
        <v>#DIV/0!</v>
      </c>
      <c r="LN164" s="691" t="e">
        <f t="shared" si="1372"/>
        <v>#DIV/0!</v>
      </c>
      <c r="LO164" s="695" t="e">
        <f t="shared" si="1372"/>
        <v>#DIV/0!</v>
      </c>
      <c r="LP164" s="599" t="e">
        <f t="shared" si="1372"/>
        <v>#DIV/0!</v>
      </c>
      <c r="LQ164" s="652" t="e">
        <f t="shared" si="1372"/>
        <v>#DIV/0!</v>
      </c>
      <c r="LR164" s="652" t="s">
        <v>93</v>
      </c>
      <c r="LS164" s="599">
        <f>STDEVA(LS158:LS162)</f>
        <v>0</v>
      </c>
      <c r="LT164" s="652" t="e">
        <f t="shared" ref="LT164:MH164" si="1373">STDEVA(LT158:LT162)</f>
        <v>#DIV/0!</v>
      </c>
      <c r="LU164" s="675" t="e">
        <f t="shared" si="1373"/>
        <v>#DIV/0!</v>
      </c>
      <c r="LV164" s="672" t="e">
        <f t="shared" si="1373"/>
        <v>#DIV/0!</v>
      </c>
      <c r="LW164" s="672" t="e">
        <f t="shared" si="1373"/>
        <v>#DIV/0!</v>
      </c>
      <c r="LX164" s="675" t="e">
        <f t="shared" si="1373"/>
        <v>#DIV/0!</v>
      </c>
      <c r="LY164" s="672" t="e">
        <f t="shared" si="1373"/>
        <v>#DIV/0!</v>
      </c>
      <c r="LZ164" s="672" t="e">
        <f t="shared" si="1373"/>
        <v>#DIV/0!</v>
      </c>
      <c r="MA164" s="672" t="e">
        <f>STDEVA(MA158:MA162)</f>
        <v>#DIV/0!</v>
      </c>
      <c r="MB164" s="672" t="e">
        <f t="shared" si="1373"/>
        <v>#DIV/0!</v>
      </c>
      <c r="MC164" s="676" t="e">
        <f t="shared" si="1373"/>
        <v>#DIV/0!</v>
      </c>
      <c r="MD164" s="682" t="e">
        <f t="shared" si="1373"/>
        <v>#DIV/0!</v>
      </c>
      <c r="ME164" s="691" t="e">
        <f t="shared" si="1373"/>
        <v>#DIV/0!</v>
      </c>
      <c r="MF164" s="695" t="e">
        <f t="shared" si="1373"/>
        <v>#DIV/0!</v>
      </c>
      <c r="MG164" s="599" t="e">
        <f t="shared" si="1373"/>
        <v>#DIV/0!</v>
      </c>
      <c r="MH164" s="652" t="e">
        <f t="shared" si="1373"/>
        <v>#DIV/0!</v>
      </c>
      <c r="MI164" s="652" t="s">
        <v>93</v>
      </c>
      <c r="MJ164" s="599">
        <f>STDEVA(MJ158:MJ162)</f>
        <v>0</v>
      </c>
      <c r="MK164" s="652" t="e">
        <f t="shared" ref="MK164:MY164" si="1374">STDEVA(MK158:MK162)</f>
        <v>#DIV/0!</v>
      </c>
      <c r="ML164" s="675" t="e">
        <f t="shared" si="1374"/>
        <v>#DIV/0!</v>
      </c>
      <c r="MM164" s="672" t="e">
        <f t="shared" si="1374"/>
        <v>#DIV/0!</v>
      </c>
      <c r="MN164" s="672" t="e">
        <f t="shared" si="1374"/>
        <v>#DIV/0!</v>
      </c>
      <c r="MO164" s="675" t="e">
        <f t="shared" si="1374"/>
        <v>#DIV/0!</v>
      </c>
      <c r="MP164" s="672" t="e">
        <f t="shared" si="1374"/>
        <v>#DIV/0!</v>
      </c>
      <c r="MQ164" s="672" t="e">
        <f t="shared" si="1374"/>
        <v>#DIV/0!</v>
      </c>
      <c r="MR164" s="672" t="e">
        <f>STDEVA(MR158:MR162)</f>
        <v>#DIV/0!</v>
      </c>
      <c r="MS164" s="672" t="e">
        <f t="shared" si="1374"/>
        <v>#DIV/0!</v>
      </c>
      <c r="MT164" s="676" t="e">
        <f t="shared" si="1374"/>
        <v>#DIV/0!</v>
      </c>
      <c r="MU164" s="682" t="e">
        <f t="shared" si="1374"/>
        <v>#DIV/0!</v>
      </c>
      <c r="MV164" s="691" t="e">
        <f t="shared" si="1374"/>
        <v>#DIV/0!</v>
      </c>
      <c r="MW164" s="695" t="e">
        <f t="shared" si="1374"/>
        <v>#DIV/0!</v>
      </c>
      <c r="MX164" s="599" t="e">
        <f t="shared" si="1374"/>
        <v>#DIV/0!</v>
      </c>
      <c r="MY164" s="652" t="e">
        <f t="shared" si="1374"/>
        <v>#DIV/0!</v>
      </c>
      <c r="MZ164" s="652" t="s">
        <v>93</v>
      </c>
      <c r="NA164" s="599">
        <f>STDEVA(NA158:NA162)</f>
        <v>0</v>
      </c>
      <c r="NB164" s="652" t="e">
        <f t="shared" ref="NB164:NP164" si="1375">STDEVA(NB158:NB162)</f>
        <v>#DIV/0!</v>
      </c>
      <c r="NC164" s="675" t="e">
        <f t="shared" si="1375"/>
        <v>#DIV/0!</v>
      </c>
      <c r="ND164" s="672" t="e">
        <f t="shared" si="1375"/>
        <v>#DIV/0!</v>
      </c>
      <c r="NE164" s="672" t="e">
        <f t="shared" si="1375"/>
        <v>#DIV/0!</v>
      </c>
      <c r="NF164" s="675" t="e">
        <f t="shared" si="1375"/>
        <v>#DIV/0!</v>
      </c>
      <c r="NG164" s="672" t="e">
        <f t="shared" si="1375"/>
        <v>#DIV/0!</v>
      </c>
      <c r="NH164" s="672" t="e">
        <f t="shared" si="1375"/>
        <v>#DIV/0!</v>
      </c>
      <c r="NI164" s="672" t="e">
        <f>STDEVA(NI158:NI162)</f>
        <v>#DIV/0!</v>
      </c>
      <c r="NJ164" s="672" t="e">
        <f t="shared" si="1375"/>
        <v>#DIV/0!</v>
      </c>
      <c r="NK164" s="676" t="e">
        <f t="shared" si="1375"/>
        <v>#DIV/0!</v>
      </c>
      <c r="NL164" s="682" t="e">
        <f t="shared" si="1375"/>
        <v>#DIV/0!</v>
      </c>
      <c r="NM164" s="691" t="e">
        <f t="shared" si="1375"/>
        <v>#DIV/0!</v>
      </c>
      <c r="NN164" s="695" t="e">
        <f t="shared" si="1375"/>
        <v>#DIV/0!</v>
      </c>
      <c r="NO164" s="599" t="e">
        <f t="shared" si="1375"/>
        <v>#DIV/0!</v>
      </c>
      <c r="NP164" s="652" t="e">
        <f t="shared" si="1375"/>
        <v>#DIV/0!</v>
      </c>
      <c r="NQ164" s="652" t="s">
        <v>93</v>
      </c>
      <c r="NR164" s="599">
        <f>STDEVA(NR158:NR162)</f>
        <v>0</v>
      </c>
      <c r="NS164" s="652" t="e">
        <f t="shared" ref="NS164:OG164" si="1376">STDEVA(NS158:NS162)</f>
        <v>#DIV/0!</v>
      </c>
      <c r="NT164" s="675" t="e">
        <f t="shared" si="1376"/>
        <v>#DIV/0!</v>
      </c>
      <c r="NU164" s="672" t="e">
        <f t="shared" si="1376"/>
        <v>#DIV/0!</v>
      </c>
      <c r="NV164" s="672" t="e">
        <f t="shared" si="1376"/>
        <v>#DIV/0!</v>
      </c>
      <c r="NW164" s="675" t="e">
        <f t="shared" si="1376"/>
        <v>#DIV/0!</v>
      </c>
      <c r="NX164" s="672" t="e">
        <f t="shared" si="1376"/>
        <v>#DIV/0!</v>
      </c>
      <c r="NY164" s="672" t="e">
        <f t="shared" si="1376"/>
        <v>#DIV/0!</v>
      </c>
      <c r="NZ164" s="672" t="e">
        <f>STDEVA(NZ158:NZ162)</f>
        <v>#DIV/0!</v>
      </c>
      <c r="OA164" s="672" t="e">
        <f t="shared" si="1376"/>
        <v>#DIV/0!</v>
      </c>
      <c r="OB164" s="676" t="e">
        <f t="shared" si="1376"/>
        <v>#DIV/0!</v>
      </c>
      <c r="OC164" s="682" t="e">
        <f t="shared" si="1376"/>
        <v>#DIV/0!</v>
      </c>
      <c r="OD164" s="691" t="e">
        <f t="shared" si="1376"/>
        <v>#DIV/0!</v>
      </c>
      <c r="OE164" s="695" t="e">
        <f t="shared" si="1376"/>
        <v>#DIV/0!</v>
      </c>
      <c r="OF164" s="599" t="e">
        <f t="shared" si="1376"/>
        <v>#DIV/0!</v>
      </c>
      <c r="OG164" s="652" t="e">
        <f t="shared" si="1376"/>
        <v>#DIV/0!</v>
      </c>
      <c r="OH164" s="652" t="s">
        <v>93</v>
      </c>
      <c r="OI164" s="599">
        <f>STDEVA(OI158:OI162)</f>
        <v>0</v>
      </c>
      <c r="OJ164" s="652" t="e">
        <f t="shared" ref="OJ164:OX164" si="1377">STDEVA(OJ158:OJ162)</f>
        <v>#DIV/0!</v>
      </c>
      <c r="OK164" s="675" t="e">
        <f t="shared" si="1377"/>
        <v>#DIV/0!</v>
      </c>
      <c r="OL164" s="672" t="e">
        <f t="shared" si="1377"/>
        <v>#DIV/0!</v>
      </c>
      <c r="OM164" s="672" t="e">
        <f t="shared" si="1377"/>
        <v>#DIV/0!</v>
      </c>
      <c r="ON164" s="675" t="e">
        <f t="shared" si="1377"/>
        <v>#DIV/0!</v>
      </c>
      <c r="OO164" s="672" t="e">
        <f t="shared" si="1377"/>
        <v>#DIV/0!</v>
      </c>
      <c r="OP164" s="672" t="e">
        <f t="shared" si="1377"/>
        <v>#DIV/0!</v>
      </c>
      <c r="OQ164" s="672" t="e">
        <f>STDEVA(OQ158:OQ162)</f>
        <v>#DIV/0!</v>
      </c>
      <c r="OR164" s="672" t="e">
        <f t="shared" si="1377"/>
        <v>#DIV/0!</v>
      </c>
      <c r="OS164" s="676" t="e">
        <f t="shared" si="1377"/>
        <v>#DIV/0!</v>
      </c>
      <c r="OT164" s="682" t="e">
        <f t="shared" si="1377"/>
        <v>#DIV/0!</v>
      </c>
      <c r="OU164" s="691" t="e">
        <f t="shared" si="1377"/>
        <v>#DIV/0!</v>
      </c>
      <c r="OV164" s="695" t="e">
        <f t="shared" si="1377"/>
        <v>#DIV/0!</v>
      </c>
      <c r="OW164" s="599" t="e">
        <f t="shared" si="1377"/>
        <v>#DIV/0!</v>
      </c>
      <c r="OX164" s="652" t="e">
        <f t="shared" si="1377"/>
        <v>#DIV/0!</v>
      </c>
      <c r="OY164" s="652" t="s">
        <v>93</v>
      </c>
      <c r="OZ164" s="599">
        <f>STDEVA(OZ158:OZ162)</f>
        <v>0</v>
      </c>
      <c r="PA164" s="652" t="e">
        <f t="shared" ref="PA164:PO164" si="1378">STDEVA(PA158:PA162)</f>
        <v>#DIV/0!</v>
      </c>
      <c r="PB164" s="675" t="e">
        <f t="shared" si="1378"/>
        <v>#DIV/0!</v>
      </c>
      <c r="PC164" s="672" t="e">
        <f t="shared" si="1378"/>
        <v>#DIV/0!</v>
      </c>
      <c r="PD164" s="672" t="e">
        <f t="shared" si="1378"/>
        <v>#DIV/0!</v>
      </c>
      <c r="PE164" s="675" t="e">
        <f t="shared" si="1378"/>
        <v>#DIV/0!</v>
      </c>
      <c r="PF164" s="672" t="e">
        <f t="shared" si="1378"/>
        <v>#DIV/0!</v>
      </c>
      <c r="PG164" s="672" t="e">
        <f t="shared" si="1378"/>
        <v>#DIV/0!</v>
      </c>
      <c r="PH164" s="672" t="e">
        <f>STDEVA(PH158:PH162)</f>
        <v>#DIV/0!</v>
      </c>
      <c r="PI164" s="672" t="e">
        <f t="shared" si="1378"/>
        <v>#DIV/0!</v>
      </c>
      <c r="PJ164" s="676" t="e">
        <f t="shared" si="1378"/>
        <v>#DIV/0!</v>
      </c>
      <c r="PK164" s="682" t="e">
        <f t="shared" si="1378"/>
        <v>#DIV/0!</v>
      </c>
      <c r="PL164" s="691" t="e">
        <f t="shared" si="1378"/>
        <v>#DIV/0!</v>
      </c>
      <c r="PM164" s="695" t="e">
        <f t="shared" si="1378"/>
        <v>#DIV/0!</v>
      </c>
      <c r="PN164" s="599" t="e">
        <f t="shared" si="1378"/>
        <v>#DIV/0!</v>
      </c>
      <c r="PO164" s="652" t="e">
        <f t="shared" si="1378"/>
        <v>#DIV/0!</v>
      </c>
      <c r="PP164" s="652" t="s">
        <v>93</v>
      </c>
      <c r="PQ164" s="599">
        <f>STDEVA(PQ158:PQ162)</f>
        <v>0</v>
      </c>
      <c r="PR164" s="652" t="e">
        <f t="shared" ref="PR164:QF164" si="1379">STDEVA(PR158:PR162)</f>
        <v>#DIV/0!</v>
      </c>
      <c r="PS164" s="675" t="e">
        <f t="shared" si="1379"/>
        <v>#DIV/0!</v>
      </c>
      <c r="PT164" s="672" t="e">
        <f t="shared" si="1379"/>
        <v>#DIV/0!</v>
      </c>
      <c r="PU164" s="672" t="e">
        <f t="shared" si="1379"/>
        <v>#DIV/0!</v>
      </c>
      <c r="PV164" s="675" t="e">
        <f t="shared" si="1379"/>
        <v>#DIV/0!</v>
      </c>
      <c r="PW164" s="672" t="e">
        <f t="shared" si="1379"/>
        <v>#DIV/0!</v>
      </c>
      <c r="PX164" s="672" t="e">
        <f t="shared" si="1379"/>
        <v>#DIV/0!</v>
      </c>
      <c r="PY164" s="672" t="e">
        <f>STDEVA(PY158:PY162)</f>
        <v>#DIV/0!</v>
      </c>
      <c r="PZ164" s="672" t="e">
        <f t="shared" si="1379"/>
        <v>#DIV/0!</v>
      </c>
      <c r="QA164" s="676" t="e">
        <f t="shared" si="1379"/>
        <v>#DIV/0!</v>
      </c>
      <c r="QB164" s="682" t="e">
        <f t="shared" si="1379"/>
        <v>#DIV/0!</v>
      </c>
      <c r="QC164" s="691" t="e">
        <f t="shared" si="1379"/>
        <v>#DIV/0!</v>
      </c>
      <c r="QD164" s="695" t="e">
        <f t="shared" si="1379"/>
        <v>#DIV/0!</v>
      </c>
      <c r="QE164" s="599" t="e">
        <f t="shared" si="1379"/>
        <v>#DIV/0!</v>
      </c>
      <c r="QF164" s="652">
        <f t="shared" si="1379"/>
        <v>0</v>
      </c>
      <c r="QG164" s="652" t="s">
        <v>93</v>
      </c>
      <c r="QH164" s="599">
        <f>STDEVA(QH158:QH162)</f>
        <v>0</v>
      </c>
      <c r="QI164" s="652" t="e">
        <f t="shared" ref="QI164:QW164" si="1380">STDEVA(QI158:QI162)</f>
        <v>#DIV/0!</v>
      </c>
      <c r="QJ164" s="675" t="e">
        <f t="shared" si="1380"/>
        <v>#DIV/0!</v>
      </c>
      <c r="QK164" s="672" t="e">
        <f t="shared" si="1380"/>
        <v>#DIV/0!</v>
      </c>
      <c r="QL164" s="672" t="e">
        <f t="shared" si="1380"/>
        <v>#DIV/0!</v>
      </c>
      <c r="QM164" s="675" t="e">
        <f t="shared" si="1380"/>
        <v>#DIV/0!</v>
      </c>
      <c r="QN164" s="672" t="e">
        <f t="shared" si="1380"/>
        <v>#DIV/0!</v>
      </c>
      <c r="QO164" s="672" t="e">
        <f t="shared" si="1380"/>
        <v>#DIV/0!</v>
      </c>
      <c r="QP164" s="672" t="e">
        <f>STDEVA(QP158:QP162)</f>
        <v>#DIV/0!</v>
      </c>
      <c r="QQ164" s="672" t="e">
        <f t="shared" si="1380"/>
        <v>#DIV/0!</v>
      </c>
      <c r="QR164" s="676" t="e">
        <f t="shared" si="1380"/>
        <v>#DIV/0!</v>
      </c>
      <c r="QS164" s="682" t="e">
        <f t="shared" si="1380"/>
        <v>#DIV/0!</v>
      </c>
      <c r="QT164" s="691" t="e">
        <f t="shared" si="1380"/>
        <v>#DIV/0!</v>
      </c>
      <c r="QU164" s="619" t="e">
        <f t="shared" si="1380"/>
        <v>#DIV/0!</v>
      </c>
      <c r="QV164" s="653" t="e">
        <f t="shared" si="1380"/>
        <v>#DIV/0!</v>
      </c>
      <c r="QW164" s="652">
        <f t="shared" si="1380"/>
        <v>0</v>
      </c>
      <c r="QX164" s="652" t="s">
        <v>93</v>
      </c>
      <c r="QY164" s="599">
        <f>STDEVA(QY158:QY162)</f>
        <v>0</v>
      </c>
      <c r="QZ164" s="652" t="e">
        <f t="shared" ref="QZ164:RN164" si="1381">STDEVA(QZ158:QZ162)</f>
        <v>#DIV/0!</v>
      </c>
      <c r="RA164" s="675" t="e">
        <f t="shared" si="1381"/>
        <v>#DIV/0!</v>
      </c>
      <c r="RB164" s="672" t="e">
        <f t="shared" si="1381"/>
        <v>#DIV/0!</v>
      </c>
      <c r="RC164" s="672" t="e">
        <f t="shared" si="1381"/>
        <v>#DIV/0!</v>
      </c>
      <c r="RD164" s="675" t="e">
        <f t="shared" si="1381"/>
        <v>#DIV/0!</v>
      </c>
      <c r="RE164" s="672" t="e">
        <f t="shared" si="1381"/>
        <v>#DIV/0!</v>
      </c>
      <c r="RF164" s="672" t="e">
        <f t="shared" si="1381"/>
        <v>#DIV/0!</v>
      </c>
      <c r="RG164" s="672" t="e">
        <f>STDEVA(RG158:RG162)</f>
        <v>#DIV/0!</v>
      </c>
      <c r="RH164" s="672" t="e">
        <f t="shared" si="1381"/>
        <v>#DIV/0!</v>
      </c>
      <c r="RI164" s="676" t="e">
        <f t="shared" si="1381"/>
        <v>#DIV/0!</v>
      </c>
      <c r="RJ164" s="682" t="e">
        <f t="shared" si="1381"/>
        <v>#DIV/0!</v>
      </c>
      <c r="RK164" s="691" t="e">
        <f t="shared" si="1381"/>
        <v>#DIV/0!</v>
      </c>
      <c r="RL164" s="695" t="e">
        <f t="shared" si="1381"/>
        <v>#DIV/0!</v>
      </c>
      <c r="RM164" s="599" t="e">
        <f t="shared" si="1381"/>
        <v>#DIV/0!</v>
      </c>
      <c r="RN164" s="652" t="e">
        <f t="shared" si="1381"/>
        <v>#DIV/0!</v>
      </c>
      <c r="RO164" s="652" t="s">
        <v>93</v>
      </c>
      <c r="RP164" s="599">
        <f>STDEVA(RP158:RP162)</f>
        <v>0</v>
      </c>
      <c r="RQ164" s="652" t="e">
        <f t="shared" ref="RQ164:SE164" si="1382">STDEVA(RQ158:RQ162)</f>
        <v>#DIV/0!</v>
      </c>
      <c r="RR164" s="675" t="e">
        <f t="shared" si="1382"/>
        <v>#DIV/0!</v>
      </c>
      <c r="RS164" s="672" t="e">
        <f t="shared" si="1382"/>
        <v>#DIV/0!</v>
      </c>
      <c r="RT164" s="672" t="e">
        <f t="shared" si="1382"/>
        <v>#DIV/0!</v>
      </c>
      <c r="RU164" s="675" t="e">
        <f t="shared" si="1382"/>
        <v>#DIV/0!</v>
      </c>
      <c r="RV164" s="672" t="e">
        <f t="shared" si="1382"/>
        <v>#DIV/0!</v>
      </c>
      <c r="RW164" s="672" t="e">
        <f t="shared" si="1382"/>
        <v>#DIV/0!</v>
      </c>
      <c r="RX164" s="672" t="e">
        <f>STDEVA(RX158:RX162)</f>
        <v>#DIV/0!</v>
      </c>
      <c r="RY164" s="672" t="e">
        <f t="shared" si="1382"/>
        <v>#DIV/0!</v>
      </c>
      <c r="RZ164" s="676" t="e">
        <f t="shared" si="1382"/>
        <v>#DIV/0!</v>
      </c>
      <c r="SA164" s="682" t="e">
        <f t="shared" si="1382"/>
        <v>#DIV/0!</v>
      </c>
      <c r="SB164" s="691" t="e">
        <f t="shared" si="1382"/>
        <v>#DIV/0!</v>
      </c>
      <c r="SC164" s="695" t="e">
        <f t="shared" si="1382"/>
        <v>#DIV/0!</v>
      </c>
      <c r="SD164" s="599" t="e">
        <f t="shared" si="1382"/>
        <v>#DIV/0!</v>
      </c>
      <c r="SE164" s="652" t="e">
        <f t="shared" si="1382"/>
        <v>#DIV/0!</v>
      </c>
      <c r="SF164" s="652" t="s">
        <v>93</v>
      </c>
      <c r="SG164" s="599">
        <f>STDEVA(SG158:SG162)</f>
        <v>0</v>
      </c>
      <c r="SH164" s="652" t="e">
        <f t="shared" ref="SH164:SV164" si="1383">STDEVA(SH158:SH162)</f>
        <v>#DIV/0!</v>
      </c>
      <c r="SI164" s="675" t="e">
        <f t="shared" si="1383"/>
        <v>#DIV/0!</v>
      </c>
      <c r="SJ164" s="672" t="e">
        <f t="shared" si="1383"/>
        <v>#DIV/0!</v>
      </c>
      <c r="SK164" s="672" t="e">
        <f t="shared" si="1383"/>
        <v>#DIV/0!</v>
      </c>
      <c r="SL164" s="675" t="e">
        <f t="shared" si="1383"/>
        <v>#DIV/0!</v>
      </c>
      <c r="SM164" s="672" t="e">
        <f t="shared" si="1383"/>
        <v>#DIV/0!</v>
      </c>
      <c r="SN164" s="672" t="e">
        <f t="shared" si="1383"/>
        <v>#DIV/0!</v>
      </c>
      <c r="SO164" s="672" t="e">
        <f>STDEVA(SO158:SO162)</f>
        <v>#DIV/0!</v>
      </c>
      <c r="SP164" s="672" t="e">
        <f t="shared" si="1383"/>
        <v>#DIV/0!</v>
      </c>
      <c r="SQ164" s="676" t="e">
        <f t="shared" si="1383"/>
        <v>#DIV/0!</v>
      </c>
      <c r="SR164" s="682" t="e">
        <f t="shared" si="1383"/>
        <v>#DIV/0!</v>
      </c>
      <c r="SS164" s="691" t="e">
        <f t="shared" si="1383"/>
        <v>#DIV/0!</v>
      </c>
      <c r="ST164" s="695" t="e">
        <f t="shared" si="1383"/>
        <v>#DIV/0!</v>
      </c>
      <c r="SU164" s="599" t="e">
        <f t="shared" si="1383"/>
        <v>#DIV/0!</v>
      </c>
      <c r="SV164" s="652" t="e">
        <f t="shared" si="1383"/>
        <v>#DIV/0!</v>
      </c>
      <c r="SW164" s="652" t="s">
        <v>93</v>
      </c>
      <c r="SX164" s="599">
        <f>STDEVA(SX158:SX162)</f>
        <v>0</v>
      </c>
      <c r="SY164" s="652" t="e">
        <f t="shared" ref="SY164:TM164" si="1384">STDEVA(SY158:SY162)</f>
        <v>#DIV/0!</v>
      </c>
      <c r="SZ164" s="675" t="e">
        <f t="shared" si="1384"/>
        <v>#DIV/0!</v>
      </c>
      <c r="TA164" s="672" t="e">
        <f t="shared" si="1384"/>
        <v>#DIV/0!</v>
      </c>
      <c r="TB164" s="672" t="e">
        <f t="shared" si="1384"/>
        <v>#DIV/0!</v>
      </c>
      <c r="TC164" s="675" t="e">
        <f t="shared" si="1384"/>
        <v>#DIV/0!</v>
      </c>
      <c r="TD164" s="672" t="e">
        <f t="shared" si="1384"/>
        <v>#DIV/0!</v>
      </c>
      <c r="TE164" s="672" t="e">
        <f t="shared" si="1384"/>
        <v>#DIV/0!</v>
      </c>
      <c r="TF164" s="672" t="e">
        <f>STDEVA(TF158:TF162)</f>
        <v>#DIV/0!</v>
      </c>
      <c r="TG164" s="672" t="e">
        <f t="shared" si="1384"/>
        <v>#DIV/0!</v>
      </c>
      <c r="TH164" s="675" t="e">
        <f t="shared" si="1384"/>
        <v>#DIV/0!</v>
      </c>
      <c r="TI164" s="682" t="e">
        <f t="shared" si="1384"/>
        <v>#DIV/0!</v>
      </c>
      <c r="TJ164" s="691" t="e">
        <f t="shared" si="1384"/>
        <v>#DIV/0!</v>
      </c>
      <c r="TK164" s="695" t="e">
        <f t="shared" si="1384"/>
        <v>#DIV/0!</v>
      </c>
      <c r="TL164" s="599" t="e">
        <f t="shared" si="1384"/>
        <v>#DIV/0!</v>
      </c>
      <c r="TM164" s="652" t="e">
        <f t="shared" si="1384"/>
        <v>#DIV/0!</v>
      </c>
      <c r="TN164" s="652" t="s">
        <v>93</v>
      </c>
      <c r="TO164" s="599">
        <f>STDEVA(TO158:TO162)</f>
        <v>0</v>
      </c>
      <c r="TP164" s="652" t="e">
        <f t="shared" ref="TP164:TY164" si="1385">STDEVA(TP158:TP162)</f>
        <v>#DIV/0!</v>
      </c>
      <c r="TQ164" s="675" t="e">
        <f t="shared" si="1385"/>
        <v>#DIV/0!</v>
      </c>
      <c r="TR164" s="672" t="e">
        <f t="shared" si="1385"/>
        <v>#DIV/0!</v>
      </c>
      <c r="TS164" s="672" t="e">
        <f t="shared" si="1385"/>
        <v>#DIV/0!</v>
      </c>
      <c r="TT164" s="675" t="e">
        <f t="shared" si="1385"/>
        <v>#DIV/0!</v>
      </c>
      <c r="TU164" s="672" t="e">
        <f t="shared" si="1385"/>
        <v>#DIV/0!</v>
      </c>
      <c r="TV164" s="672" t="e">
        <f t="shared" si="1385"/>
        <v>#DIV/0!</v>
      </c>
      <c r="TW164" s="672" t="e">
        <f>STDEVA(TW158:TW162)</f>
        <v>#DIV/0!</v>
      </c>
      <c r="TX164" s="672" t="e">
        <f t="shared" si="1385"/>
        <v>#DIV/0!</v>
      </c>
      <c r="TY164" s="676" t="e">
        <f t="shared" si="1385"/>
        <v>#DIV/0!</v>
      </c>
    </row>
    <row r="165" spans="1:545" x14ac:dyDescent="0.25">
      <c r="A165" s="1537" t="s">
        <v>63</v>
      </c>
      <c r="B165" s="688"/>
      <c r="C165" s="619"/>
      <c r="D165" s="619"/>
      <c r="E165" s="672"/>
      <c r="F165" s="619"/>
      <c r="G165" s="619"/>
      <c r="H165" s="672"/>
      <c r="I165" s="619"/>
      <c r="J165" s="675"/>
      <c r="K165" s="672"/>
      <c r="L165" s="672"/>
      <c r="M165" s="675"/>
      <c r="N165" s="672"/>
      <c r="O165" s="672"/>
      <c r="P165" s="672"/>
      <c r="Q165" s="672"/>
      <c r="R165" s="676"/>
      <c r="S165" s="1538" t="e">
        <f t="shared" ref="S165:W165" si="1386">S164/S163*100</f>
        <v>#DIV/0!</v>
      </c>
      <c r="T165" s="1538" t="e">
        <f t="shared" si="1386"/>
        <v>#DIV/0!</v>
      </c>
      <c r="U165" s="1539" t="e">
        <f t="shared" si="1386"/>
        <v>#DIV/0!</v>
      </c>
      <c r="V165" s="672" t="e">
        <f t="shared" si="1386"/>
        <v>#DIV/0!</v>
      </c>
      <c r="W165" s="619" t="e">
        <f t="shared" si="1386"/>
        <v>#DIV/0!</v>
      </c>
      <c r="X165" s="619" t="s">
        <v>93</v>
      </c>
      <c r="Y165" s="672" t="e">
        <f>Y164/Y163*100</f>
        <v>#DIV/0!</v>
      </c>
      <c r="Z165" s="619" t="e">
        <f t="shared" ref="Z165:AN165" si="1387">Z164/Z163*100</f>
        <v>#DIV/0!</v>
      </c>
      <c r="AA165" s="675" t="e">
        <f t="shared" si="1387"/>
        <v>#DIV/0!</v>
      </c>
      <c r="AB165" s="672" t="e">
        <f t="shared" si="1387"/>
        <v>#DIV/0!</v>
      </c>
      <c r="AC165" s="672" t="e">
        <f t="shared" si="1387"/>
        <v>#DIV/0!</v>
      </c>
      <c r="AD165" s="675" t="e">
        <f t="shared" si="1387"/>
        <v>#DIV/0!</v>
      </c>
      <c r="AE165" s="672" t="e">
        <f t="shared" si="1387"/>
        <v>#DIV/0!</v>
      </c>
      <c r="AF165" s="672" t="e">
        <f t="shared" si="1387"/>
        <v>#DIV/0!</v>
      </c>
      <c r="AG165" s="672" t="e">
        <f>AG164/AG163*100</f>
        <v>#DIV/0!</v>
      </c>
      <c r="AH165" s="672" t="e">
        <f t="shared" si="1387"/>
        <v>#DIV/0!</v>
      </c>
      <c r="AI165" s="676" t="e">
        <f t="shared" si="1387"/>
        <v>#DIV/0!</v>
      </c>
      <c r="AJ165" s="1538" t="e">
        <f t="shared" si="1387"/>
        <v>#DIV/0!</v>
      </c>
      <c r="AK165" s="1538" t="e">
        <f t="shared" si="1387"/>
        <v>#DIV/0!</v>
      </c>
      <c r="AL165" s="1539" t="e">
        <f t="shared" si="1387"/>
        <v>#DIV/0!</v>
      </c>
      <c r="AM165" s="672" t="e">
        <f t="shared" si="1387"/>
        <v>#DIV/0!</v>
      </c>
      <c r="AN165" s="619" t="e">
        <f t="shared" si="1387"/>
        <v>#DIV/0!</v>
      </c>
      <c r="AO165" s="619" t="s">
        <v>93</v>
      </c>
      <c r="AP165" s="672" t="e">
        <f>AP164/AP163*100</f>
        <v>#DIV/0!</v>
      </c>
      <c r="AQ165" s="619" t="e">
        <f t="shared" ref="AQ165:BE165" si="1388">AQ164/AQ163*100</f>
        <v>#DIV/0!</v>
      </c>
      <c r="AR165" s="675" t="e">
        <f t="shared" si="1388"/>
        <v>#DIV/0!</v>
      </c>
      <c r="AS165" s="672" t="e">
        <f t="shared" si="1388"/>
        <v>#DIV/0!</v>
      </c>
      <c r="AT165" s="672" t="e">
        <f t="shared" si="1388"/>
        <v>#DIV/0!</v>
      </c>
      <c r="AU165" s="675" t="e">
        <f t="shared" si="1388"/>
        <v>#DIV/0!</v>
      </c>
      <c r="AV165" s="672" t="e">
        <f t="shared" si="1388"/>
        <v>#DIV/0!</v>
      </c>
      <c r="AW165" s="672" t="e">
        <f t="shared" si="1388"/>
        <v>#DIV/0!</v>
      </c>
      <c r="AX165" s="672" t="e">
        <f>AX164/AX163*100</f>
        <v>#DIV/0!</v>
      </c>
      <c r="AY165" s="672" t="e">
        <f t="shared" si="1388"/>
        <v>#DIV/0!</v>
      </c>
      <c r="AZ165" s="676" t="e">
        <f t="shared" si="1388"/>
        <v>#DIV/0!</v>
      </c>
      <c r="BA165" s="688" t="e">
        <f t="shared" si="1388"/>
        <v>#DIV/0!</v>
      </c>
      <c r="BB165" s="1538" t="e">
        <f t="shared" si="1388"/>
        <v>#DIV/0!</v>
      </c>
      <c r="BC165" s="1539" t="e">
        <f t="shared" si="1388"/>
        <v>#DIV/0!</v>
      </c>
      <c r="BD165" s="672" t="e">
        <f t="shared" si="1388"/>
        <v>#DIV/0!</v>
      </c>
      <c r="BE165" s="619" t="e">
        <f t="shared" si="1388"/>
        <v>#DIV/0!</v>
      </c>
      <c r="BF165" s="619" t="s">
        <v>93</v>
      </c>
      <c r="BG165" s="672" t="e">
        <f>BG164/BG163*100</f>
        <v>#DIV/0!</v>
      </c>
      <c r="BH165" s="619" t="e">
        <f t="shared" ref="BH165:BV165" si="1389">BH164/BH163*100</f>
        <v>#DIV/0!</v>
      </c>
      <c r="BI165" s="675" t="e">
        <f t="shared" si="1389"/>
        <v>#DIV/0!</v>
      </c>
      <c r="BJ165" s="672" t="e">
        <f t="shared" si="1389"/>
        <v>#DIV/0!</v>
      </c>
      <c r="BK165" s="672" t="e">
        <f t="shared" si="1389"/>
        <v>#DIV/0!</v>
      </c>
      <c r="BL165" s="675" t="e">
        <f t="shared" si="1389"/>
        <v>#DIV/0!</v>
      </c>
      <c r="BM165" s="672" t="e">
        <f t="shared" si="1389"/>
        <v>#DIV/0!</v>
      </c>
      <c r="BN165" s="672" t="e">
        <f t="shared" si="1389"/>
        <v>#DIV/0!</v>
      </c>
      <c r="BO165" s="672" t="e">
        <f>BO164/BO163*100</f>
        <v>#DIV/0!</v>
      </c>
      <c r="BP165" s="672" t="e">
        <f t="shared" si="1389"/>
        <v>#DIV/0!</v>
      </c>
      <c r="BQ165" s="676" t="e">
        <f t="shared" si="1389"/>
        <v>#DIV/0!</v>
      </c>
      <c r="BR165" s="688" t="e">
        <f t="shared" si="1389"/>
        <v>#DIV/0!</v>
      </c>
      <c r="BS165" s="1538" t="e">
        <f t="shared" si="1389"/>
        <v>#DIV/0!</v>
      </c>
      <c r="BT165" s="1539" t="e">
        <f t="shared" si="1389"/>
        <v>#DIV/0!</v>
      </c>
      <c r="BU165" s="672" t="e">
        <f t="shared" si="1389"/>
        <v>#DIV/0!</v>
      </c>
      <c r="BV165" s="619" t="e">
        <f t="shared" si="1389"/>
        <v>#DIV/0!</v>
      </c>
      <c r="BW165" s="619" t="s">
        <v>93</v>
      </c>
      <c r="BX165" s="672" t="e">
        <f>BX164/BX163*100</f>
        <v>#DIV/0!</v>
      </c>
      <c r="BY165" s="619" t="e">
        <f t="shared" ref="BY165:CM165" si="1390">BY164/BY163*100</f>
        <v>#DIV/0!</v>
      </c>
      <c r="BZ165" s="675" t="e">
        <f t="shared" si="1390"/>
        <v>#DIV/0!</v>
      </c>
      <c r="CA165" s="672" t="e">
        <f t="shared" si="1390"/>
        <v>#DIV/0!</v>
      </c>
      <c r="CB165" s="672" t="e">
        <f t="shared" si="1390"/>
        <v>#DIV/0!</v>
      </c>
      <c r="CC165" s="675" t="e">
        <f t="shared" si="1390"/>
        <v>#DIV/0!</v>
      </c>
      <c r="CD165" s="672" t="e">
        <f t="shared" si="1390"/>
        <v>#DIV/0!</v>
      </c>
      <c r="CE165" s="672" t="e">
        <f t="shared" si="1390"/>
        <v>#DIV/0!</v>
      </c>
      <c r="CF165" s="672" t="e">
        <f>CF164/CF163*100</f>
        <v>#DIV/0!</v>
      </c>
      <c r="CG165" s="672" t="e">
        <f t="shared" si="1390"/>
        <v>#DIV/0!</v>
      </c>
      <c r="CH165" s="676" t="e">
        <f t="shared" si="1390"/>
        <v>#DIV/0!</v>
      </c>
      <c r="CI165" s="688" t="e">
        <f t="shared" si="1390"/>
        <v>#DIV/0!</v>
      </c>
      <c r="CJ165" s="1538" t="e">
        <f t="shared" si="1390"/>
        <v>#DIV/0!</v>
      </c>
      <c r="CK165" s="1539" t="e">
        <f t="shared" si="1390"/>
        <v>#DIV/0!</v>
      </c>
      <c r="CL165" s="672" t="e">
        <f t="shared" si="1390"/>
        <v>#DIV/0!</v>
      </c>
      <c r="CM165" s="619" t="e">
        <f t="shared" si="1390"/>
        <v>#DIV/0!</v>
      </c>
      <c r="CN165" s="619" t="s">
        <v>93</v>
      </c>
      <c r="CO165" s="672" t="e">
        <f>CO164/CO163*100</f>
        <v>#DIV/0!</v>
      </c>
      <c r="CP165" s="619" t="e">
        <f t="shared" ref="CP165:DD165" si="1391">CP164/CP163*100</f>
        <v>#DIV/0!</v>
      </c>
      <c r="CQ165" s="675" t="e">
        <f t="shared" si="1391"/>
        <v>#DIV/0!</v>
      </c>
      <c r="CR165" s="672" t="e">
        <f t="shared" si="1391"/>
        <v>#DIV/0!</v>
      </c>
      <c r="CS165" s="672" t="e">
        <f t="shared" si="1391"/>
        <v>#DIV/0!</v>
      </c>
      <c r="CT165" s="675" t="e">
        <f t="shared" si="1391"/>
        <v>#DIV/0!</v>
      </c>
      <c r="CU165" s="672" t="e">
        <f t="shared" si="1391"/>
        <v>#DIV/0!</v>
      </c>
      <c r="CV165" s="672" t="e">
        <f t="shared" si="1391"/>
        <v>#DIV/0!</v>
      </c>
      <c r="CW165" s="672" t="e">
        <f>CW164/CW163*100</f>
        <v>#DIV/0!</v>
      </c>
      <c r="CX165" s="672" t="e">
        <f t="shared" si="1391"/>
        <v>#DIV/0!</v>
      </c>
      <c r="CY165" s="676" t="e">
        <f t="shared" si="1391"/>
        <v>#DIV/0!</v>
      </c>
      <c r="CZ165" s="688" t="e">
        <f t="shared" si="1391"/>
        <v>#DIV/0!</v>
      </c>
      <c r="DA165" s="1538" t="e">
        <f t="shared" si="1391"/>
        <v>#DIV/0!</v>
      </c>
      <c r="DB165" s="1539" t="e">
        <f t="shared" si="1391"/>
        <v>#DIV/0!</v>
      </c>
      <c r="DC165" s="672" t="e">
        <f t="shared" si="1391"/>
        <v>#DIV/0!</v>
      </c>
      <c r="DD165" s="619" t="e">
        <f t="shared" si="1391"/>
        <v>#DIV/0!</v>
      </c>
      <c r="DE165" s="619" t="s">
        <v>93</v>
      </c>
      <c r="DF165" s="672" t="e">
        <f>DF164/DF163*100</f>
        <v>#DIV/0!</v>
      </c>
      <c r="DG165" s="619" t="e">
        <f t="shared" ref="DG165:DU165" si="1392">DG164/DG163*100</f>
        <v>#DIV/0!</v>
      </c>
      <c r="DH165" s="675" t="e">
        <f t="shared" si="1392"/>
        <v>#DIV/0!</v>
      </c>
      <c r="DI165" s="672" t="e">
        <f t="shared" si="1392"/>
        <v>#DIV/0!</v>
      </c>
      <c r="DJ165" s="672" t="e">
        <f t="shared" si="1392"/>
        <v>#DIV/0!</v>
      </c>
      <c r="DK165" s="675" t="e">
        <f t="shared" si="1392"/>
        <v>#DIV/0!</v>
      </c>
      <c r="DL165" s="672" t="e">
        <f t="shared" si="1392"/>
        <v>#DIV/0!</v>
      </c>
      <c r="DM165" s="672" t="e">
        <f t="shared" si="1392"/>
        <v>#DIV/0!</v>
      </c>
      <c r="DN165" s="672" t="e">
        <f>DN164/DN163*100</f>
        <v>#DIV/0!</v>
      </c>
      <c r="DO165" s="672" t="e">
        <f t="shared" si="1392"/>
        <v>#DIV/0!</v>
      </c>
      <c r="DP165" s="676" t="e">
        <f t="shared" si="1392"/>
        <v>#DIV/0!</v>
      </c>
      <c r="DQ165" s="688" t="e">
        <f t="shared" si="1392"/>
        <v>#DIV/0!</v>
      </c>
      <c r="DR165" s="1538" t="e">
        <f t="shared" si="1392"/>
        <v>#DIV/0!</v>
      </c>
      <c r="DS165" s="1539" t="e">
        <f t="shared" si="1392"/>
        <v>#DIV/0!</v>
      </c>
      <c r="DT165" s="674" t="e">
        <f t="shared" si="1392"/>
        <v>#DIV/0!</v>
      </c>
      <c r="DU165" s="619" t="e">
        <f t="shared" si="1392"/>
        <v>#DIV/0!</v>
      </c>
      <c r="DV165" s="619" t="s">
        <v>93</v>
      </c>
      <c r="DW165" s="672" t="e">
        <f>DW164/DW163*100</f>
        <v>#DIV/0!</v>
      </c>
      <c r="DX165" s="619" t="e">
        <f t="shared" ref="DX165:EL165" si="1393">DX164/DX163*100</f>
        <v>#DIV/0!</v>
      </c>
      <c r="DY165" s="675" t="e">
        <f t="shared" si="1393"/>
        <v>#DIV/0!</v>
      </c>
      <c r="DZ165" s="672" t="e">
        <f t="shared" si="1393"/>
        <v>#DIV/0!</v>
      </c>
      <c r="EA165" s="672" t="e">
        <f t="shared" si="1393"/>
        <v>#DIV/0!</v>
      </c>
      <c r="EB165" s="675" t="e">
        <f t="shared" si="1393"/>
        <v>#DIV/0!</v>
      </c>
      <c r="EC165" s="672" t="e">
        <f t="shared" si="1393"/>
        <v>#DIV/0!</v>
      </c>
      <c r="ED165" s="672" t="e">
        <f t="shared" si="1393"/>
        <v>#DIV/0!</v>
      </c>
      <c r="EE165" s="672" t="e">
        <f>EE164/EE163*100</f>
        <v>#DIV/0!</v>
      </c>
      <c r="EF165" s="672" t="e">
        <f t="shared" si="1393"/>
        <v>#DIV/0!</v>
      </c>
      <c r="EG165" s="676" t="e">
        <f t="shared" si="1393"/>
        <v>#DIV/0!</v>
      </c>
      <c r="EH165" s="688" t="e">
        <f t="shared" si="1393"/>
        <v>#DIV/0!</v>
      </c>
      <c r="EI165" s="1538" t="e">
        <f t="shared" si="1393"/>
        <v>#DIV/0!</v>
      </c>
      <c r="EJ165" s="1539" t="e">
        <f t="shared" si="1393"/>
        <v>#DIV/0!</v>
      </c>
      <c r="EK165" s="672" t="e">
        <f t="shared" si="1393"/>
        <v>#DIV/0!</v>
      </c>
      <c r="EL165" s="619" t="e">
        <f t="shared" si="1393"/>
        <v>#DIV/0!</v>
      </c>
      <c r="EM165" s="619" t="s">
        <v>93</v>
      </c>
      <c r="EN165" s="672" t="e">
        <f>EN164/EN163*100</f>
        <v>#DIV/0!</v>
      </c>
      <c r="EO165" s="619" t="e">
        <f t="shared" ref="EO165:FC165" si="1394">EO164/EO163*100</f>
        <v>#DIV/0!</v>
      </c>
      <c r="EP165" s="675" t="e">
        <f t="shared" si="1394"/>
        <v>#DIV/0!</v>
      </c>
      <c r="EQ165" s="672" t="e">
        <f t="shared" si="1394"/>
        <v>#DIV/0!</v>
      </c>
      <c r="ER165" s="672" t="e">
        <f t="shared" si="1394"/>
        <v>#DIV/0!</v>
      </c>
      <c r="ES165" s="675" t="e">
        <f t="shared" si="1394"/>
        <v>#DIV/0!</v>
      </c>
      <c r="ET165" s="672" t="e">
        <f t="shared" si="1394"/>
        <v>#DIV/0!</v>
      </c>
      <c r="EU165" s="672" t="e">
        <f t="shared" si="1394"/>
        <v>#DIV/0!</v>
      </c>
      <c r="EV165" s="672" t="e">
        <f>EV164/EV163*100</f>
        <v>#DIV/0!</v>
      </c>
      <c r="EW165" s="672" t="e">
        <f t="shared" si="1394"/>
        <v>#DIV/0!</v>
      </c>
      <c r="EX165" s="676" t="e">
        <f t="shared" si="1394"/>
        <v>#DIV/0!</v>
      </c>
      <c r="EY165" s="688" t="e">
        <f t="shared" si="1394"/>
        <v>#DIV/0!</v>
      </c>
      <c r="EZ165" s="1538" t="e">
        <f t="shared" si="1394"/>
        <v>#DIV/0!</v>
      </c>
      <c r="FA165" s="1539" t="e">
        <f t="shared" si="1394"/>
        <v>#DIV/0!</v>
      </c>
      <c r="FB165" s="672" t="e">
        <f t="shared" si="1394"/>
        <v>#DIV/0!</v>
      </c>
      <c r="FC165" s="619" t="e">
        <f t="shared" si="1394"/>
        <v>#DIV/0!</v>
      </c>
      <c r="FD165" s="619" t="s">
        <v>93</v>
      </c>
      <c r="FE165" s="672" t="e">
        <f>FE164/FE163*100</f>
        <v>#DIV/0!</v>
      </c>
      <c r="FF165" s="619" t="e">
        <f t="shared" ref="FF165:FT165" si="1395">FF164/FF163*100</f>
        <v>#DIV/0!</v>
      </c>
      <c r="FG165" s="675" t="e">
        <f t="shared" si="1395"/>
        <v>#DIV/0!</v>
      </c>
      <c r="FH165" s="672" t="e">
        <f t="shared" si="1395"/>
        <v>#DIV/0!</v>
      </c>
      <c r="FI165" s="672" t="e">
        <f t="shared" si="1395"/>
        <v>#DIV/0!</v>
      </c>
      <c r="FJ165" s="675" t="e">
        <f t="shared" si="1395"/>
        <v>#DIV/0!</v>
      </c>
      <c r="FK165" s="672" t="e">
        <f t="shared" si="1395"/>
        <v>#DIV/0!</v>
      </c>
      <c r="FL165" s="672" t="e">
        <f t="shared" si="1395"/>
        <v>#DIV/0!</v>
      </c>
      <c r="FM165" s="672" t="e">
        <f>FM164/FM163*100</f>
        <v>#DIV/0!</v>
      </c>
      <c r="FN165" s="672" t="e">
        <f t="shared" si="1395"/>
        <v>#DIV/0!</v>
      </c>
      <c r="FO165" s="676" t="e">
        <f t="shared" si="1395"/>
        <v>#DIV/0!</v>
      </c>
      <c r="FP165" s="688" t="e">
        <f t="shared" si="1395"/>
        <v>#DIV/0!</v>
      </c>
      <c r="FQ165" s="1538" t="e">
        <f t="shared" si="1395"/>
        <v>#DIV/0!</v>
      </c>
      <c r="FR165" s="1539" t="e">
        <f t="shared" si="1395"/>
        <v>#DIV/0!</v>
      </c>
      <c r="FS165" s="672" t="e">
        <f t="shared" si="1395"/>
        <v>#DIV/0!</v>
      </c>
      <c r="FT165" s="619" t="e">
        <f t="shared" si="1395"/>
        <v>#DIV/0!</v>
      </c>
      <c r="FU165" s="619" t="s">
        <v>93</v>
      </c>
      <c r="FV165" s="672" t="e">
        <f>FV164/FV163*100</f>
        <v>#DIV/0!</v>
      </c>
      <c r="FW165" s="619" t="e">
        <f t="shared" ref="FW165:GK165" si="1396">FW164/FW163*100</f>
        <v>#DIV/0!</v>
      </c>
      <c r="FX165" s="675" t="e">
        <f t="shared" si="1396"/>
        <v>#DIV/0!</v>
      </c>
      <c r="FY165" s="672" t="e">
        <f t="shared" si="1396"/>
        <v>#DIV/0!</v>
      </c>
      <c r="FZ165" s="672" t="e">
        <f t="shared" si="1396"/>
        <v>#DIV/0!</v>
      </c>
      <c r="GA165" s="675" t="e">
        <f t="shared" si="1396"/>
        <v>#DIV/0!</v>
      </c>
      <c r="GB165" s="672" t="e">
        <f t="shared" si="1396"/>
        <v>#DIV/0!</v>
      </c>
      <c r="GC165" s="672" t="e">
        <f t="shared" si="1396"/>
        <v>#DIV/0!</v>
      </c>
      <c r="GD165" s="672" t="e">
        <f>GD164/GD163*100</f>
        <v>#DIV/0!</v>
      </c>
      <c r="GE165" s="672" t="e">
        <f t="shared" si="1396"/>
        <v>#DIV/0!</v>
      </c>
      <c r="GF165" s="676" t="e">
        <f t="shared" si="1396"/>
        <v>#DIV/0!</v>
      </c>
      <c r="GG165" s="688" t="e">
        <f t="shared" si="1396"/>
        <v>#DIV/0!</v>
      </c>
      <c r="GH165" s="1538" t="e">
        <f t="shared" si="1396"/>
        <v>#DIV/0!</v>
      </c>
      <c r="GI165" s="1539" t="e">
        <f t="shared" si="1396"/>
        <v>#DIV/0!</v>
      </c>
      <c r="GJ165" s="674" t="e">
        <f t="shared" si="1396"/>
        <v>#DIV/0!</v>
      </c>
      <c r="GK165" s="619" t="e">
        <f t="shared" si="1396"/>
        <v>#DIV/0!</v>
      </c>
      <c r="GL165" s="619" t="s">
        <v>93</v>
      </c>
      <c r="GM165" s="672" t="e">
        <f>GM164/GM163*100</f>
        <v>#DIV/0!</v>
      </c>
      <c r="GN165" s="619" t="e">
        <f t="shared" ref="GN165:HB165" si="1397">GN164/GN163*100</f>
        <v>#DIV/0!</v>
      </c>
      <c r="GO165" s="675" t="e">
        <f t="shared" si="1397"/>
        <v>#DIV/0!</v>
      </c>
      <c r="GP165" s="672" t="e">
        <f t="shared" si="1397"/>
        <v>#DIV/0!</v>
      </c>
      <c r="GQ165" s="672" t="e">
        <f t="shared" si="1397"/>
        <v>#DIV/0!</v>
      </c>
      <c r="GR165" s="675" t="e">
        <f t="shared" si="1397"/>
        <v>#DIV/0!</v>
      </c>
      <c r="GS165" s="672" t="e">
        <f t="shared" si="1397"/>
        <v>#DIV/0!</v>
      </c>
      <c r="GT165" s="672" t="e">
        <f t="shared" si="1397"/>
        <v>#DIV/0!</v>
      </c>
      <c r="GU165" s="672" t="e">
        <f>GU164/GU163*100</f>
        <v>#DIV/0!</v>
      </c>
      <c r="GV165" s="672" t="e">
        <f t="shared" si="1397"/>
        <v>#DIV/0!</v>
      </c>
      <c r="GW165" s="676" t="e">
        <f t="shared" si="1397"/>
        <v>#DIV/0!</v>
      </c>
      <c r="GX165" s="688" t="e">
        <f t="shared" si="1397"/>
        <v>#DIV/0!</v>
      </c>
      <c r="GY165" s="1538" t="e">
        <f t="shared" si="1397"/>
        <v>#DIV/0!</v>
      </c>
      <c r="GZ165" s="1539" t="e">
        <f t="shared" si="1397"/>
        <v>#DIV/0!</v>
      </c>
      <c r="HA165" s="672" t="e">
        <f t="shared" si="1397"/>
        <v>#DIV/0!</v>
      </c>
      <c r="HB165" s="619" t="e">
        <f t="shared" si="1397"/>
        <v>#DIV/0!</v>
      </c>
      <c r="HC165" s="619" t="s">
        <v>93</v>
      </c>
      <c r="HD165" s="672" t="e">
        <f>HD164/HD163*100</f>
        <v>#DIV/0!</v>
      </c>
      <c r="HE165" s="619" t="e">
        <f t="shared" ref="HE165:HS165" si="1398">HE164/HE163*100</f>
        <v>#DIV/0!</v>
      </c>
      <c r="HF165" s="675" t="e">
        <f t="shared" si="1398"/>
        <v>#DIV/0!</v>
      </c>
      <c r="HG165" s="672" t="e">
        <f t="shared" si="1398"/>
        <v>#DIV/0!</v>
      </c>
      <c r="HH165" s="672" t="e">
        <f t="shared" si="1398"/>
        <v>#DIV/0!</v>
      </c>
      <c r="HI165" s="675" t="e">
        <f t="shared" si="1398"/>
        <v>#DIV/0!</v>
      </c>
      <c r="HJ165" s="672" t="e">
        <f t="shared" si="1398"/>
        <v>#DIV/0!</v>
      </c>
      <c r="HK165" s="672" t="e">
        <f t="shared" si="1398"/>
        <v>#DIV/0!</v>
      </c>
      <c r="HL165" s="672" t="e">
        <f>HL164/HL163*100</f>
        <v>#DIV/0!</v>
      </c>
      <c r="HM165" s="672" t="e">
        <f t="shared" si="1398"/>
        <v>#DIV/0!</v>
      </c>
      <c r="HN165" s="676" t="e">
        <f t="shared" si="1398"/>
        <v>#DIV/0!</v>
      </c>
      <c r="HO165" s="688" t="e">
        <f t="shared" si="1398"/>
        <v>#DIV/0!</v>
      </c>
      <c r="HP165" s="1538" t="e">
        <f t="shared" si="1398"/>
        <v>#DIV/0!</v>
      </c>
      <c r="HQ165" s="1539" t="e">
        <f t="shared" si="1398"/>
        <v>#DIV/0!</v>
      </c>
      <c r="HR165" s="672" t="e">
        <f t="shared" si="1398"/>
        <v>#DIV/0!</v>
      </c>
      <c r="HS165" s="619" t="e">
        <f t="shared" si="1398"/>
        <v>#DIV/0!</v>
      </c>
      <c r="HT165" s="619" t="s">
        <v>93</v>
      </c>
      <c r="HU165" s="672" t="e">
        <f>HU164/HU163*100</f>
        <v>#DIV/0!</v>
      </c>
      <c r="HV165" s="619" t="e">
        <f t="shared" ref="HV165:IJ165" si="1399">HV164/HV163*100</f>
        <v>#DIV/0!</v>
      </c>
      <c r="HW165" s="675" t="e">
        <f t="shared" si="1399"/>
        <v>#DIV/0!</v>
      </c>
      <c r="HX165" s="672" t="e">
        <f t="shared" si="1399"/>
        <v>#DIV/0!</v>
      </c>
      <c r="HY165" s="672" t="e">
        <f t="shared" si="1399"/>
        <v>#DIV/0!</v>
      </c>
      <c r="HZ165" s="675" t="e">
        <f t="shared" si="1399"/>
        <v>#DIV/0!</v>
      </c>
      <c r="IA165" s="672" t="e">
        <f t="shared" si="1399"/>
        <v>#DIV/0!</v>
      </c>
      <c r="IB165" s="672" t="e">
        <f t="shared" si="1399"/>
        <v>#DIV/0!</v>
      </c>
      <c r="IC165" s="672" t="e">
        <f>IC164/IC163*100</f>
        <v>#DIV/0!</v>
      </c>
      <c r="ID165" s="672" t="e">
        <f t="shared" si="1399"/>
        <v>#DIV/0!</v>
      </c>
      <c r="IE165" s="676" t="e">
        <f t="shared" si="1399"/>
        <v>#DIV/0!</v>
      </c>
      <c r="IF165" s="688" t="e">
        <f t="shared" si="1399"/>
        <v>#DIV/0!</v>
      </c>
      <c r="IG165" s="1538" t="e">
        <f t="shared" si="1399"/>
        <v>#DIV/0!</v>
      </c>
      <c r="IH165" s="1539" t="e">
        <f t="shared" si="1399"/>
        <v>#DIV/0!</v>
      </c>
      <c r="II165" s="672" t="e">
        <f t="shared" si="1399"/>
        <v>#DIV/0!</v>
      </c>
      <c r="IJ165" s="619" t="e">
        <f t="shared" si="1399"/>
        <v>#DIV/0!</v>
      </c>
      <c r="IK165" s="619" t="s">
        <v>93</v>
      </c>
      <c r="IL165" s="672" t="e">
        <f>IL164/IL163*100</f>
        <v>#DIV/0!</v>
      </c>
      <c r="IM165" s="619" t="e">
        <f t="shared" ref="IM165:JA165" si="1400">IM164/IM163*100</f>
        <v>#DIV/0!</v>
      </c>
      <c r="IN165" s="675" t="e">
        <f t="shared" si="1400"/>
        <v>#DIV/0!</v>
      </c>
      <c r="IO165" s="672" t="e">
        <f t="shared" si="1400"/>
        <v>#DIV/0!</v>
      </c>
      <c r="IP165" s="672" t="e">
        <f t="shared" si="1400"/>
        <v>#DIV/0!</v>
      </c>
      <c r="IQ165" s="675" t="e">
        <f t="shared" si="1400"/>
        <v>#DIV/0!</v>
      </c>
      <c r="IR165" s="672" t="e">
        <f t="shared" si="1400"/>
        <v>#DIV/0!</v>
      </c>
      <c r="IS165" s="672" t="e">
        <f t="shared" si="1400"/>
        <v>#DIV/0!</v>
      </c>
      <c r="IT165" s="672" t="e">
        <f>IT164/IT163*100</f>
        <v>#DIV/0!</v>
      </c>
      <c r="IU165" s="672" t="e">
        <f t="shared" si="1400"/>
        <v>#DIV/0!</v>
      </c>
      <c r="IV165" s="676" t="e">
        <f t="shared" si="1400"/>
        <v>#DIV/0!</v>
      </c>
      <c r="IW165" s="688" t="e">
        <f t="shared" si="1400"/>
        <v>#DIV/0!</v>
      </c>
      <c r="IX165" s="1538" t="e">
        <f t="shared" si="1400"/>
        <v>#DIV/0!</v>
      </c>
      <c r="IY165" s="1539" t="e">
        <f t="shared" si="1400"/>
        <v>#DIV/0!</v>
      </c>
      <c r="IZ165" s="672" t="e">
        <f t="shared" si="1400"/>
        <v>#DIV/0!</v>
      </c>
      <c r="JA165" s="619" t="e">
        <f t="shared" si="1400"/>
        <v>#DIV/0!</v>
      </c>
      <c r="JB165" s="619" t="s">
        <v>93</v>
      </c>
      <c r="JC165" s="672" t="e">
        <f>JC164/JC163*100</f>
        <v>#DIV/0!</v>
      </c>
      <c r="JD165" s="619" t="e">
        <f t="shared" ref="JD165:JR165" si="1401">JD164/JD163*100</f>
        <v>#DIV/0!</v>
      </c>
      <c r="JE165" s="675" t="e">
        <f t="shared" si="1401"/>
        <v>#DIV/0!</v>
      </c>
      <c r="JF165" s="672" t="e">
        <f t="shared" si="1401"/>
        <v>#DIV/0!</v>
      </c>
      <c r="JG165" s="672" t="e">
        <f t="shared" si="1401"/>
        <v>#DIV/0!</v>
      </c>
      <c r="JH165" s="675" t="e">
        <f t="shared" si="1401"/>
        <v>#DIV/0!</v>
      </c>
      <c r="JI165" s="672" t="e">
        <f t="shared" si="1401"/>
        <v>#DIV/0!</v>
      </c>
      <c r="JJ165" s="672" t="e">
        <f t="shared" si="1401"/>
        <v>#DIV/0!</v>
      </c>
      <c r="JK165" s="672" t="e">
        <f>JK164/JK163*100</f>
        <v>#DIV/0!</v>
      </c>
      <c r="JL165" s="672" t="e">
        <f t="shared" si="1401"/>
        <v>#DIV/0!</v>
      </c>
      <c r="JM165" s="676" t="e">
        <f t="shared" si="1401"/>
        <v>#DIV/0!</v>
      </c>
      <c r="JN165" s="688" t="e">
        <f t="shared" si="1401"/>
        <v>#DIV/0!</v>
      </c>
      <c r="JO165" s="1538" t="e">
        <f t="shared" si="1401"/>
        <v>#DIV/0!</v>
      </c>
      <c r="JP165" s="1539" t="e">
        <f t="shared" si="1401"/>
        <v>#DIV/0!</v>
      </c>
      <c r="JQ165" s="672" t="e">
        <f t="shared" si="1401"/>
        <v>#DIV/0!</v>
      </c>
      <c r="JR165" s="619" t="e">
        <f t="shared" si="1401"/>
        <v>#DIV/0!</v>
      </c>
      <c r="JS165" s="619" t="s">
        <v>93</v>
      </c>
      <c r="JT165" s="672" t="e">
        <f>JT164/JT163*100</f>
        <v>#DIV/0!</v>
      </c>
      <c r="JU165" s="619" t="e">
        <f t="shared" ref="JU165:KI165" si="1402">JU164/JU163*100</f>
        <v>#DIV/0!</v>
      </c>
      <c r="JV165" s="675" t="e">
        <f t="shared" si="1402"/>
        <v>#DIV/0!</v>
      </c>
      <c r="JW165" s="672" t="e">
        <f t="shared" si="1402"/>
        <v>#DIV/0!</v>
      </c>
      <c r="JX165" s="672" t="e">
        <f t="shared" si="1402"/>
        <v>#DIV/0!</v>
      </c>
      <c r="JY165" s="675" t="e">
        <f t="shared" si="1402"/>
        <v>#DIV/0!</v>
      </c>
      <c r="JZ165" s="672" t="e">
        <f t="shared" si="1402"/>
        <v>#DIV/0!</v>
      </c>
      <c r="KA165" s="672" t="e">
        <f t="shared" si="1402"/>
        <v>#DIV/0!</v>
      </c>
      <c r="KB165" s="672" t="e">
        <f>KB164/KB163*100</f>
        <v>#DIV/0!</v>
      </c>
      <c r="KC165" s="672" t="e">
        <f t="shared" si="1402"/>
        <v>#DIV/0!</v>
      </c>
      <c r="KD165" s="676" t="e">
        <f t="shared" si="1402"/>
        <v>#DIV/0!</v>
      </c>
      <c r="KE165" s="688" t="e">
        <f t="shared" si="1402"/>
        <v>#DIV/0!</v>
      </c>
      <c r="KF165" s="1538" t="e">
        <f t="shared" si="1402"/>
        <v>#DIV/0!</v>
      </c>
      <c r="KG165" s="1539" t="e">
        <f t="shared" si="1402"/>
        <v>#DIV/0!</v>
      </c>
      <c r="KH165" s="672" t="e">
        <f t="shared" si="1402"/>
        <v>#DIV/0!</v>
      </c>
      <c r="KI165" s="619" t="e">
        <f t="shared" si="1402"/>
        <v>#DIV/0!</v>
      </c>
      <c r="KJ165" s="619" t="s">
        <v>93</v>
      </c>
      <c r="KK165" s="672" t="e">
        <f>KK164/KK163*100</f>
        <v>#DIV/0!</v>
      </c>
      <c r="KL165" s="619" t="e">
        <f t="shared" ref="KL165:KZ165" si="1403">KL164/KL163*100</f>
        <v>#DIV/0!</v>
      </c>
      <c r="KM165" s="675" t="e">
        <f t="shared" si="1403"/>
        <v>#DIV/0!</v>
      </c>
      <c r="KN165" s="672" t="e">
        <f t="shared" si="1403"/>
        <v>#DIV/0!</v>
      </c>
      <c r="KO165" s="672" t="e">
        <f t="shared" si="1403"/>
        <v>#DIV/0!</v>
      </c>
      <c r="KP165" s="675" t="e">
        <f t="shared" si="1403"/>
        <v>#DIV/0!</v>
      </c>
      <c r="KQ165" s="672" t="e">
        <f t="shared" si="1403"/>
        <v>#DIV/0!</v>
      </c>
      <c r="KR165" s="672" t="e">
        <f t="shared" si="1403"/>
        <v>#DIV/0!</v>
      </c>
      <c r="KS165" s="672" t="e">
        <f>KS164/KS163*100</f>
        <v>#DIV/0!</v>
      </c>
      <c r="KT165" s="672" t="e">
        <f t="shared" si="1403"/>
        <v>#DIV/0!</v>
      </c>
      <c r="KU165" s="676" t="e">
        <f t="shared" si="1403"/>
        <v>#DIV/0!</v>
      </c>
      <c r="KV165" s="688" t="e">
        <f t="shared" si="1403"/>
        <v>#DIV/0!</v>
      </c>
      <c r="KW165" s="1538" t="e">
        <f t="shared" si="1403"/>
        <v>#DIV/0!</v>
      </c>
      <c r="KX165" s="1539" t="e">
        <f t="shared" si="1403"/>
        <v>#DIV/0!</v>
      </c>
      <c r="KY165" s="672" t="e">
        <f t="shared" si="1403"/>
        <v>#DIV/0!</v>
      </c>
      <c r="KZ165" s="619" t="e">
        <f t="shared" si="1403"/>
        <v>#DIV/0!</v>
      </c>
      <c r="LA165" s="619" t="s">
        <v>93</v>
      </c>
      <c r="LB165" s="672" t="e">
        <f>LB164/LB163*100</f>
        <v>#DIV/0!</v>
      </c>
      <c r="LC165" s="619" t="e">
        <f t="shared" ref="LC165:LQ165" si="1404">LC164/LC163*100</f>
        <v>#DIV/0!</v>
      </c>
      <c r="LD165" s="675" t="e">
        <f t="shared" si="1404"/>
        <v>#DIV/0!</v>
      </c>
      <c r="LE165" s="672" t="e">
        <f t="shared" si="1404"/>
        <v>#DIV/0!</v>
      </c>
      <c r="LF165" s="672" t="e">
        <f t="shared" si="1404"/>
        <v>#DIV/0!</v>
      </c>
      <c r="LG165" s="675" t="e">
        <f t="shared" si="1404"/>
        <v>#DIV/0!</v>
      </c>
      <c r="LH165" s="672" t="e">
        <f t="shared" si="1404"/>
        <v>#DIV/0!</v>
      </c>
      <c r="LI165" s="672" t="e">
        <f t="shared" si="1404"/>
        <v>#DIV/0!</v>
      </c>
      <c r="LJ165" s="672" t="e">
        <f>LJ164/LJ163*100</f>
        <v>#DIV/0!</v>
      </c>
      <c r="LK165" s="672" t="e">
        <f t="shared" si="1404"/>
        <v>#DIV/0!</v>
      </c>
      <c r="LL165" s="676" t="e">
        <f t="shared" si="1404"/>
        <v>#DIV/0!</v>
      </c>
      <c r="LM165" s="688" t="e">
        <f t="shared" si="1404"/>
        <v>#DIV/0!</v>
      </c>
      <c r="LN165" s="1538" t="e">
        <f t="shared" si="1404"/>
        <v>#DIV/0!</v>
      </c>
      <c r="LO165" s="1539" t="e">
        <f t="shared" si="1404"/>
        <v>#DIV/0!</v>
      </c>
      <c r="LP165" s="672" t="e">
        <f t="shared" si="1404"/>
        <v>#DIV/0!</v>
      </c>
      <c r="LQ165" s="619" t="e">
        <f t="shared" si="1404"/>
        <v>#DIV/0!</v>
      </c>
      <c r="LR165" s="619" t="s">
        <v>93</v>
      </c>
      <c r="LS165" s="672" t="e">
        <f>LS164/LS163*100</f>
        <v>#DIV/0!</v>
      </c>
      <c r="LT165" s="619" t="e">
        <f t="shared" ref="LT165:MH165" si="1405">LT164/LT163*100</f>
        <v>#DIV/0!</v>
      </c>
      <c r="LU165" s="675" t="e">
        <f t="shared" si="1405"/>
        <v>#DIV/0!</v>
      </c>
      <c r="LV165" s="672" t="e">
        <f t="shared" si="1405"/>
        <v>#DIV/0!</v>
      </c>
      <c r="LW165" s="672" t="e">
        <f t="shared" si="1405"/>
        <v>#DIV/0!</v>
      </c>
      <c r="LX165" s="675" t="e">
        <f t="shared" si="1405"/>
        <v>#DIV/0!</v>
      </c>
      <c r="LY165" s="672" t="e">
        <f t="shared" si="1405"/>
        <v>#DIV/0!</v>
      </c>
      <c r="LZ165" s="672" t="e">
        <f t="shared" si="1405"/>
        <v>#DIV/0!</v>
      </c>
      <c r="MA165" s="672" t="e">
        <f>MA164/MA163*100</f>
        <v>#DIV/0!</v>
      </c>
      <c r="MB165" s="672" t="e">
        <f t="shared" si="1405"/>
        <v>#DIV/0!</v>
      </c>
      <c r="MC165" s="676" t="e">
        <f t="shared" si="1405"/>
        <v>#DIV/0!</v>
      </c>
      <c r="MD165" s="688" t="e">
        <f t="shared" si="1405"/>
        <v>#DIV/0!</v>
      </c>
      <c r="ME165" s="1538" t="e">
        <f t="shared" si="1405"/>
        <v>#DIV/0!</v>
      </c>
      <c r="MF165" s="1539" t="e">
        <f t="shared" si="1405"/>
        <v>#DIV/0!</v>
      </c>
      <c r="MG165" s="672" t="e">
        <f t="shared" si="1405"/>
        <v>#DIV/0!</v>
      </c>
      <c r="MH165" s="619" t="e">
        <f t="shared" si="1405"/>
        <v>#DIV/0!</v>
      </c>
      <c r="MI165" s="619" t="s">
        <v>93</v>
      </c>
      <c r="MJ165" s="672" t="e">
        <f>MJ164/MJ163*100</f>
        <v>#DIV/0!</v>
      </c>
      <c r="MK165" s="619" t="e">
        <f t="shared" ref="MK165:MY165" si="1406">MK164/MK163*100</f>
        <v>#DIV/0!</v>
      </c>
      <c r="ML165" s="675" t="e">
        <f t="shared" si="1406"/>
        <v>#DIV/0!</v>
      </c>
      <c r="MM165" s="672" t="e">
        <f t="shared" si="1406"/>
        <v>#DIV/0!</v>
      </c>
      <c r="MN165" s="672" t="e">
        <f t="shared" si="1406"/>
        <v>#DIV/0!</v>
      </c>
      <c r="MO165" s="675" t="e">
        <f t="shared" si="1406"/>
        <v>#DIV/0!</v>
      </c>
      <c r="MP165" s="672" t="e">
        <f t="shared" si="1406"/>
        <v>#DIV/0!</v>
      </c>
      <c r="MQ165" s="672" t="e">
        <f t="shared" si="1406"/>
        <v>#DIV/0!</v>
      </c>
      <c r="MR165" s="672" t="e">
        <f>MR164/MR163*100</f>
        <v>#DIV/0!</v>
      </c>
      <c r="MS165" s="672" t="e">
        <f t="shared" si="1406"/>
        <v>#DIV/0!</v>
      </c>
      <c r="MT165" s="676" t="e">
        <f t="shared" si="1406"/>
        <v>#DIV/0!</v>
      </c>
      <c r="MU165" s="688" t="e">
        <f t="shared" si="1406"/>
        <v>#DIV/0!</v>
      </c>
      <c r="MV165" s="1538" t="e">
        <f t="shared" si="1406"/>
        <v>#DIV/0!</v>
      </c>
      <c r="MW165" s="1539" t="e">
        <f t="shared" si="1406"/>
        <v>#DIV/0!</v>
      </c>
      <c r="MX165" s="672" t="e">
        <f t="shared" si="1406"/>
        <v>#DIV/0!</v>
      </c>
      <c r="MY165" s="619" t="e">
        <f t="shared" si="1406"/>
        <v>#DIV/0!</v>
      </c>
      <c r="MZ165" s="619" t="s">
        <v>93</v>
      </c>
      <c r="NA165" s="672" t="e">
        <f>NA164/NA163*100</f>
        <v>#DIV/0!</v>
      </c>
      <c r="NB165" s="619" t="e">
        <f t="shared" ref="NB165:NP165" si="1407">NB164/NB163*100</f>
        <v>#DIV/0!</v>
      </c>
      <c r="NC165" s="675" t="e">
        <f t="shared" si="1407"/>
        <v>#DIV/0!</v>
      </c>
      <c r="ND165" s="672" t="e">
        <f t="shared" si="1407"/>
        <v>#DIV/0!</v>
      </c>
      <c r="NE165" s="672" t="e">
        <f t="shared" si="1407"/>
        <v>#DIV/0!</v>
      </c>
      <c r="NF165" s="675" t="e">
        <f t="shared" si="1407"/>
        <v>#DIV/0!</v>
      </c>
      <c r="NG165" s="672" t="e">
        <f t="shared" si="1407"/>
        <v>#DIV/0!</v>
      </c>
      <c r="NH165" s="672" t="e">
        <f t="shared" si="1407"/>
        <v>#DIV/0!</v>
      </c>
      <c r="NI165" s="672" t="e">
        <f>NI164/NI163*100</f>
        <v>#DIV/0!</v>
      </c>
      <c r="NJ165" s="672" t="e">
        <f t="shared" si="1407"/>
        <v>#DIV/0!</v>
      </c>
      <c r="NK165" s="676" t="e">
        <f t="shared" si="1407"/>
        <v>#DIV/0!</v>
      </c>
      <c r="NL165" s="688" t="e">
        <f t="shared" si="1407"/>
        <v>#DIV/0!</v>
      </c>
      <c r="NM165" s="1538" t="e">
        <f t="shared" si="1407"/>
        <v>#DIV/0!</v>
      </c>
      <c r="NN165" s="1539" t="e">
        <f t="shared" si="1407"/>
        <v>#DIV/0!</v>
      </c>
      <c r="NO165" s="672" t="e">
        <f t="shared" si="1407"/>
        <v>#DIV/0!</v>
      </c>
      <c r="NP165" s="619" t="e">
        <f t="shared" si="1407"/>
        <v>#DIV/0!</v>
      </c>
      <c r="NQ165" s="619" t="s">
        <v>93</v>
      </c>
      <c r="NR165" s="672" t="e">
        <f>NR164/NR163*100</f>
        <v>#DIV/0!</v>
      </c>
      <c r="NS165" s="619" t="e">
        <f t="shared" ref="NS165:OG165" si="1408">NS164/NS163*100</f>
        <v>#DIV/0!</v>
      </c>
      <c r="NT165" s="675" t="e">
        <f t="shared" si="1408"/>
        <v>#DIV/0!</v>
      </c>
      <c r="NU165" s="672" t="e">
        <f t="shared" si="1408"/>
        <v>#DIV/0!</v>
      </c>
      <c r="NV165" s="672" t="e">
        <f t="shared" si="1408"/>
        <v>#DIV/0!</v>
      </c>
      <c r="NW165" s="675" t="e">
        <f t="shared" si="1408"/>
        <v>#DIV/0!</v>
      </c>
      <c r="NX165" s="672" t="e">
        <f t="shared" si="1408"/>
        <v>#DIV/0!</v>
      </c>
      <c r="NY165" s="672" t="e">
        <f t="shared" si="1408"/>
        <v>#DIV/0!</v>
      </c>
      <c r="NZ165" s="672" t="e">
        <f>NZ164/NZ163*100</f>
        <v>#DIV/0!</v>
      </c>
      <c r="OA165" s="672" t="e">
        <f t="shared" si="1408"/>
        <v>#DIV/0!</v>
      </c>
      <c r="OB165" s="676" t="e">
        <f t="shared" si="1408"/>
        <v>#DIV/0!</v>
      </c>
      <c r="OC165" s="688" t="e">
        <f t="shared" si="1408"/>
        <v>#DIV/0!</v>
      </c>
      <c r="OD165" s="1538" t="e">
        <f t="shared" si="1408"/>
        <v>#DIV/0!</v>
      </c>
      <c r="OE165" s="1539" t="e">
        <f t="shared" si="1408"/>
        <v>#DIV/0!</v>
      </c>
      <c r="OF165" s="672" t="e">
        <f t="shared" si="1408"/>
        <v>#DIV/0!</v>
      </c>
      <c r="OG165" s="619" t="e">
        <f t="shared" si="1408"/>
        <v>#DIV/0!</v>
      </c>
      <c r="OH165" s="619" t="s">
        <v>93</v>
      </c>
      <c r="OI165" s="672" t="e">
        <f>OI164/OI163*100</f>
        <v>#DIV/0!</v>
      </c>
      <c r="OJ165" s="619" t="e">
        <f t="shared" ref="OJ165:OX165" si="1409">OJ164/OJ163*100</f>
        <v>#DIV/0!</v>
      </c>
      <c r="OK165" s="675" t="e">
        <f t="shared" si="1409"/>
        <v>#DIV/0!</v>
      </c>
      <c r="OL165" s="672" t="e">
        <f t="shared" si="1409"/>
        <v>#DIV/0!</v>
      </c>
      <c r="OM165" s="672" t="e">
        <f t="shared" si="1409"/>
        <v>#DIV/0!</v>
      </c>
      <c r="ON165" s="675" t="e">
        <f t="shared" si="1409"/>
        <v>#DIV/0!</v>
      </c>
      <c r="OO165" s="672" t="e">
        <f t="shared" si="1409"/>
        <v>#DIV/0!</v>
      </c>
      <c r="OP165" s="672" t="e">
        <f t="shared" si="1409"/>
        <v>#DIV/0!</v>
      </c>
      <c r="OQ165" s="672" t="e">
        <f>OQ164/OQ163*100</f>
        <v>#DIV/0!</v>
      </c>
      <c r="OR165" s="672" t="e">
        <f t="shared" si="1409"/>
        <v>#DIV/0!</v>
      </c>
      <c r="OS165" s="676" t="e">
        <f t="shared" si="1409"/>
        <v>#DIV/0!</v>
      </c>
      <c r="OT165" s="688" t="e">
        <f t="shared" si="1409"/>
        <v>#DIV/0!</v>
      </c>
      <c r="OU165" s="1538" t="e">
        <f t="shared" si="1409"/>
        <v>#DIV/0!</v>
      </c>
      <c r="OV165" s="1539" t="e">
        <f t="shared" si="1409"/>
        <v>#DIV/0!</v>
      </c>
      <c r="OW165" s="672" t="e">
        <f t="shared" si="1409"/>
        <v>#DIV/0!</v>
      </c>
      <c r="OX165" s="619" t="e">
        <f t="shared" si="1409"/>
        <v>#DIV/0!</v>
      </c>
      <c r="OY165" s="619" t="s">
        <v>93</v>
      </c>
      <c r="OZ165" s="672" t="e">
        <f>OZ164/OZ163*100</f>
        <v>#DIV/0!</v>
      </c>
      <c r="PA165" s="619" t="e">
        <f t="shared" ref="PA165:PO165" si="1410">PA164/PA163*100</f>
        <v>#DIV/0!</v>
      </c>
      <c r="PB165" s="675" t="e">
        <f t="shared" si="1410"/>
        <v>#DIV/0!</v>
      </c>
      <c r="PC165" s="672" t="e">
        <f t="shared" si="1410"/>
        <v>#DIV/0!</v>
      </c>
      <c r="PD165" s="672" t="e">
        <f t="shared" si="1410"/>
        <v>#DIV/0!</v>
      </c>
      <c r="PE165" s="675" t="e">
        <f t="shared" si="1410"/>
        <v>#DIV/0!</v>
      </c>
      <c r="PF165" s="672" t="e">
        <f t="shared" si="1410"/>
        <v>#DIV/0!</v>
      </c>
      <c r="PG165" s="672" t="e">
        <f t="shared" si="1410"/>
        <v>#DIV/0!</v>
      </c>
      <c r="PH165" s="672" t="e">
        <f>PH164/PH163*100</f>
        <v>#DIV/0!</v>
      </c>
      <c r="PI165" s="672" t="e">
        <f t="shared" si="1410"/>
        <v>#DIV/0!</v>
      </c>
      <c r="PJ165" s="676" t="e">
        <f t="shared" si="1410"/>
        <v>#DIV/0!</v>
      </c>
      <c r="PK165" s="688" t="e">
        <f t="shared" si="1410"/>
        <v>#DIV/0!</v>
      </c>
      <c r="PL165" s="1538" t="e">
        <f t="shared" si="1410"/>
        <v>#DIV/0!</v>
      </c>
      <c r="PM165" s="1539" t="e">
        <f t="shared" si="1410"/>
        <v>#DIV/0!</v>
      </c>
      <c r="PN165" s="672" t="e">
        <f t="shared" si="1410"/>
        <v>#DIV/0!</v>
      </c>
      <c r="PO165" s="619" t="e">
        <f t="shared" si="1410"/>
        <v>#DIV/0!</v>
      </c>
      <c r="PP165" s="619" t="s">
        <v>93</v>
      </c>
      <c r="PQ165" s="672" t="e">
        <f>PQ164/PQ163*100</f>
        <v>#DIV/0!</v>
      </c>
      <c r="PR165" s="619" t="e">
        <f t="shared" ref="PR165:QF165" si="1411">PR164/PR163*100</f>
        <v>#DIV/0!</v>
      </c>
      <c r="PS165" s="675" t="e">
        <f t="shared" si="1411"/>
        <v>#DIV/0!</v>
      </c>
      <c r="PT165" s="672" t="e">
        <f t="shared" si="1411"/>
        <v>#DIV/0!</v>
      </c>
      <c r="PU165" s="672" t="e">
        <f t="shared" si="1411"/>
        <v>#DIV/0!</v>
      </c>
      <c r="PV165" s="675" t="e">
        <f t="shared" si="1411"/>
        <v>#DIV/0!</v>
      </c>
      <c r="PW165" s="672" t="e">
        <f t="shared" si="1411"/>
        <v>#DIV/0!</v>
      </c>
      <c r="PX165" s="672" t="e">
        <f t="shared" si="1411"/>
        <v>#DIV/0!</v>
      </c>
      <c r="PY165" s="672" t="e">
        <f>PY164/PY163*100</f>
        <v>#DIV/0!</v>
      </c>
      <c r="PZ165" s="672" t="e">
        <f t="shared" si="1411"/>
        <v>#DIV/0!</v>
      </c>
      <c r="QA165" s="676" t="e">
        <f t="shared" si="1411"/>
        <v>#DIV/0!</v>
      </c>
      <c r="QB165" s="688" t="e">
        <f t="shared" si="1411"/>
        <v>#DIV/0!</v>
      </c>
      <c r="QC165" s="1538" t="e">
        <f t="shared" si="1411"/>
        <v>#DIV/0!</v>
      </c>
      <c r="QD165" s="1539" t="e">
        <f t="shared" si="1411"/>
        <v>#DIV/0!</v>
      </c>
      <c r="QE165" s="672" t="e">
        <f t="shared" si="1411"/>
        <v>#DIV/0!</v>
      </c>
      <c r="QF165" s="619">
        <f t="shared" si="1411"/>
        <v>0</v>
      </c>
      <c r="QG165" s="619" t="s">
        <v>93</v>
      </c>
      <c r="QH165" s="672" t="e">
        <f>QH164/QH163*100</f>
        <v>#DIV/0!</v>
      </c>
      <c r="QI165" s="619" t="e">
        <f t="shared" ref="QI165:QW165" si="1412">QI164/QI163*100</f>
        <v>#DIV/0!</v>
      </c>
      <c r="QJ165" s="675" t="e">
        <f t="shared" si="1412"/>
        <v>#DIV/0!</v>
      </c>
      <c r="QK165" s="672" t="e">
        <f t="shared" si="1412"/>
        <v>#DIV/0!</v>
      </c>
      <c r="QL165" s="672" t="e">
        <f t="shared" si="1412"/>
        <v>#DIV/0!</v>
      </c>
      <c r="QM165" s="675" t="e">
        <f t="shared" si="1412"/>
        <v>#DIV/0!</v>
      </c>
      <c r="QN165" s="672" t="e">
        <f t="shared" si="1412"/>
        <v>#DIV/0!</v>
      </c>
      <c r="QO165" s="672" t="e">
        <f t="shared" si="1412"/>
        <v>#DIV/0!</v>
      </c>
      <c r="QP165" s="672" t="e">
        <f>QP164/QP163*100</f>
        <v>#DIV/0!</v>
      </c>
      <c r="QQ165" s="672" t="e">
        <f t="shared" si="1412"/>
        <v>#DIV/0!</v>
      </c>
      <c r="QR165" s="676" t="e">
        <f t="shared" si="1412"/>
        <v>#DIV/0!</v>
      </c>
      <c r="QS165" s="688" t="e">
        <f t="shared" si="1412"/>
        <v>#DIV/0!</v>
      </c>
      <c r="QT165" s="1538" t="e">
        <f t="shared" si="1412"/>
        <v>#DIV/0!</v>
      </c>
      <c r="QU165" s="619" t="e">
        <f t="shared" si="1412"/>
        <v>#DIV/0!</v>
      </c>
      <c r="QV165" s="674" t="e">
        <f t="shared" si="1412"/>
        <v>#DIV/0!</v>
      </c>
      <c r="QW165" s="619">
        <f t="shared" si="1412"/>
        <v>0</v>
      </c>
      <c r="QX165" s="619" t="s">
        <v>93</v>
      </c>
      <c r="QY165" s="672" t="e">
        <f>QY164/QY163*100</f>
        <v>#DIV/0!</v>
      </c>
      <c r="QZ165" s="619" t="e">
        <f t="shared" ref="QZ165:RN165" si="1413">QZ164/QZ163*100</f>
        <v>#DIV/0!</v>
      </c>
      <c r="RA165" s="675" t="e">
        <f t="shared" si="1413"/>
        <v>#DIV/0!</v>
      </c>
      <c r="RB165" s="672" t="e">
        <f t="shared" si="1413"/>
        <v>#DIV/0!</v>
      </c>
      <c r="RC165" s="672" t="e">
        <f t="shared" si="1413"/>
        <v>#DIV/0!</v>
      </c>
      <c r="RD165" s="675" t="e">
        <f t="shared" si="1413"/>
        <v>#DIV/0!</v>
      </c>
      <c r="RE165" s="672" t="e">
        <f t="shared" si="1413"/>
        <v>#DIV/0!</v>
      </c>
      <c r="RF165" s="672" t="e">
        <f t="shared" si="1413"/>
        <v>#DIV/0!</v>
      </c>
      <c r="RG165" s="672" t="e">
        <f>RG164/RG163*100</f>
        <v>#DIV/0!</v>
      </c>
      <c r="RH165" s="672" t="e">
        <f t="shared" si="1413"/>
        <v>#DIV/0!</v>
      </c>
      <c r="RI165" s="676" t="e">
        <f t="shared" si="1413"/>
        <v>#DIV/0!</v>
      </c>
      <c r="RJ165" s="688" t="e">
        <f t="shared" si="1413"/>
        <v>#DIV/0!</v>
      </c>
      <c r="RK165" s="1538" t="e">
        <f t="shared" si="1413"/>
        <v>#DIV/0!</v>
      </c>
      <c r="RL165" s="1539" t="e">
        <f t="shared" si="1413"/>
        <v>#DIV/0!</v>
      </c>
      <c r="RM165" s="672" t="e">
        <f t="shared" si="1413"/>
        <v>#DIV/0!</v>
      </c>
      <c r="RN165" s="619" t="e">
        <f t="shared" si="1413"/>
        <v>#DIV/0!</v>
      </c>
      <c r="RO165" s="619" t="s">
        <v>93</v>
      </c>
      <c r="RP165" s="672" t="e">
        <f>RP164/RP163*100</f>
        <v>#DIV/0!</v>
      </c>
      <c r="RQ165" s="619" t="e">
        <f t="shared" ref="RQ165:SE165" si="1414">RQ164/RQ163*100</f>
        <v>#DIV/0!</v>
      </c>
      <c r="RR165" s="675" t="e">
        <f t="shared" si="1414"/>
        <v>#DIV/0!</v>
      </c>
      <c r="RS165" s="672" t="e">
        <f t="shared" si="1414"/>
        <v>#DIV/0!</v>
      </c>
      <c r="RT165" s="672" t="e">
        <f t="shared" si="1414"/>
        <v>#DIV/0!</v>
      </c>
      <c r="RU165" s="675" t="e">
        <f t="shared" si="1414"/>
        <v>#DIV/0!</v>
      </c>
      <c r="RV165" s="672" t="e">
        <f t="shared" si="1414"/>
        <v>#DIV/0!</v>
      </c>
      <c r="RW165" s="672" t="e">
        <f t="shared" si="1414"/>
        <v>#DIV/0!</v>
      </c>
      <c r="RX165" s="672" t="e">
        <f>RX164/RX163*100</f>
        <v>#DIV/0!</v>
      </c>
      <c r="RY165" s="672" t="e">
        <f t="shared" si="1414"/>
        <v>#DIV/0!</v>
      </c>
      <c r="RZ165" s="676" t="e">
        <f t="shared" si="1414"/>
        <v>#DIV/0!</v>
      </c>
      <c r="SA165" s="688" t="e">
        <f t="shared" si="1414"/>
        <v>#DIV/0!</v>
      </c>
      <c r="SB165" s="1538" t="e">
        <f t="shared" si="1414"/>
        <v>#DIV/0!</v>
      </c>
      <c r="SC165" s="1539" t="e">
        <f t="shared" si="1414"/>
        <v>#DIV/0!</v>
      </c>
      <c r="SD165" s="672" t="e">
        <f t="shared" si="1414"/>
        <v>#DIV/0!</v>
      </c>
      <c r="SE165" s="619" t="e">
        <f t="shared" si="1414"/>
        <v>#DIV/0!</v>
      </c>
      <c r="SF165" s="619" t="s">
        <v>93</v>
      </c>
      <c r="SG165" s="672" t="e">
        <f>SG164/SG163*100</f>
        <v>#DIV/0!</v>
      </c>
      <c r="SH165" s="619" t="e">
        <f t="shared" ref="SH165:SV165" si="1415">SH164/SH163*100</f>
        <v>#DIV/0!</v>
      </c>
      <c r="SI165" s="675" t="e">
        <f t="shared" si="1415"/>
        <v>#DIV/0!</v>
      </c>
      <c r="SJ165" s="672" t="e">
        <f t="shared" si="1415"/>
        <v>#DIV/0!</v>
      </c>
      <c r="SK165" s="672" t="e">
        <f t="shared" si="1415"/>
        <v>#DIV/0!</v>
      </c>
      <c r="SL165" s="675" t="e">
        <f t="shared" si="1415"/>
        <v>#DIV/0!</v>
      </c>
      <c r="SM165" s="672" t="e">
        <f t="shared" si="1415"/>
        <v>#DIV/0!</v>
      </c>
      <c r="SN165" s="672" t="e">
        <f t="shared" si="1415"/>
        <v>#DIV/0!</v>
      </c>
      <c r="SO165" s="672" t="e">
        <f>SO164/SO163*100</f>
        <v>#DIV/0!</v>
      </c>
      <c r="SP165" s="672" t="e">
        <f t="shared" si="1415"/>
        <v>#DIV/0!</v>
      </c>
      <c r="SQ165" s="676" t="e">
        <f t="shared" si="1415"/>
        <v>#DIV/0!</v>
      </c>
      <c r="SR165" s="688" t="e">
        <f t="shared" si="1415"/>
        <v>#DIV/0!</v>
      </c>
      <c r="SS165" s="1538" t="e">
        <f t="shared" si="1415"/>
        <v>#DIV/0!</v>
      </c>
      <c r="ST165" s="1539" t="e">
        <f t="shared" si="1415"/>
        <v>#DIV/0!</v>
      </c>
      <c r="SU165" s="672" t="e">
        <f t="shared" si="1415"/>
        <v>#DIV/0!</v>
      </c>
      <c r="SV165" s="619" t="e">
        <f t="shared" si="1415"/>
        <v>#DIV/0!</v>
      </c>
      <c r="SW165" s="619" t="s">
        <v>93</v>
      </c>
      <c r="SX165" s="672" t="e">
        <f>SX164/SX163*100</f>
        <v>#DIV/0!</v>
      </c>
      <c r="SY165" s="619" t="e">
        <f t="shared" ref="SY165:TM165" si="1416">SY164/SY163*100</f>
        <v>#DIV/0!</v>
      </c>
      <c r="SZ165" s="675" t="e">
        <f t="shared" si="1416"/>
        <v>#DIV/0!</v>
      </c>
      <c r="TA165" s="672" t="e">
        <f t="shared" si="1416"/>
        <v>#DIV/0!</v>
      </c>
      <c r="TB165" s="672" t="e">
        <f t="shared" si="1416"/>
        <v>#DIV/0!</v>
      </c>
      <c r="TC165" s="675" t="e">
        <f t="shared" si="1416"/>
        <v>#DIV/0!</v>
      </c>
      <c r="TD165" s="672" t="e">
        <f t="shared" si="1416"/>
        <v>#DIV/0!</v>
      </c>
      <c r="TE165" s="672" t="e">
        <f t="shared" si="1416"/>
        <v>#DIV/0!</v>
      </c>
      <c r="TF165" s="672" t="e">
        <f>TF164/TF163*100</f>
        <v>#DIV/0!</v>
      </c>
      <c r="TG165" s="672" t="e">
        <f t="shared" si="1416"/>
        <v>#DIV/0!</v>
      </c>
      <c r="TH165" s="675" t="e">
        <f t="shared" si="1416"/>
        <v>#DIV/0!</v>
      </c>
      <c r="TI165" s="688" t="e">
        <f t="shared" si="1416"/>
        <v>#DIV/0!</v>
      </c>
      <c r="TJ165" s="1538" t="e">
        <f t="shared" si="1416"/>
        <v>#DIV/0!</v>
      </c>
      <c r="TK165" s="1539" t="e">
        <f t="shared" si="1416"/>
        <v>#DIV/0!</v>
      </c>
      <c r="TL165" s="672" t="e">
        <f t="shared" si="1416"/>
        <v>#DIV/0!</v>
      </c>
      <c r="TM165" s="619" t="e">
        <f t="shared" si="1416"/>
        <v>#DIV/0!</v>
      </c>
      <c r="TN165" s="619" t="s">
        <v>93</v>
      </c>
      <c r="TO165" s="672" t="e">
        <f>TO164/TO163*100</f>
        <v>#DIV/0!</v>
      </c>
      <c r="TP165" s="619" t="e">
        <f t="shared" ref="TP165:TY165" si="1417">TP164/TP163*100</f>
        <v>#DIV/0!</v>
      </c>
      <c r="TQ165" s="675" t="e">
        <f t="shared" si="1417"/>
        <v>#DIV/0!</v>
      </c>
      <c r="TR165" s="672" t="e">
        <f t="shared" si="1417"/>
        <v>#DIV/0!</v>
      </c>
      <c r="TS165" s="672" t="e">
        <f t="shared" si="1417"/>
        <v>#DIV/0!</v>
      </c>
      <c r="TT165" s="675" t="e">
        <f t="shared" si="1417"/>
        <v>#DIV/0!</v>
      </c>
      <c r="TU165" s="672" t="e">
        <f t="shared" si="1417"/>
        <v>#DIV/0!</v>
      </c>
      <c r="TV165" s="672" t="e">
        <f t="shared" si="1417"/>
        <v>#DIV/0!</v>
      </c>
      <c r="TW165" s="672" t="e">
        <f>TW164/TW163*100</f>
        <v>#DIV/0!</v>
      </c>
      <c r="TX165" s="672" t="e">
        <f t="shared" si="1417"/>
        <v>#DIV/0!</v>
      </c>
      <c r="TY165" s="676" t="e">
        <f t="shared" si="1417"/>
        <v>#DIV/0!</v>
      </c>
    </row>
    <row r="166" spans="1:545" ht="15.75" thickBot="1" x14ac:dyDescent="0.3">
      <c r="A166" s="1541" t="s">
        <v>1059</v>
      </c>
      <c r="B166" s="700"/>
      <c r="C166" s="700"/>
      <c r="D166" s="700"/>
      <c r="E166" s="604"/>
      <c r="F166" s="700"/>
      <c r="G166" s="700"/>
      <c r="H166" s="604"/>
      <c r="I166" s="700"/>
      <c r="J166" s="604"/>
      <c r="K166" s="604"/>
      <c r="L166" s="604"/>
      <c r="M166" s="604"/>
      <c r="N166" s="604"/>
      <c r="O166" s="604"/>
      <c r="P166" s="604"/>
      <c r="Q166" s="604"/>
      <c r="R166" s="604"/>
      <c r="S166" s="700"/>
      <c r="T166" s="700"/>
      <c r="U166" s="700"/>
      <c r="V166" s="604"/>
      <c r="W166" s="700"/>
      <c r="X166" s="700"/>
      <c r="Y166" s="604"/>
      <c r="Z166" s="700"/>
      <c r="AA166" s="604"/>
      <c r="AB166" s="604"/>
      <c r="AC166" s="604"/>
      <c r="AD166" s="604"/>
      <c r="AE166" s="604"/>
      <c r="AF166" s="604"/>
      <c r="AG166" s="604"/>
      <c r="AH166" s="604"/>
      <c r="AI166" s="604"/>
      <c r="AJ166" s="700"/>
      <c r="AK166" s="700"/>
      <c r="AL166" s="700"/>
      <c r="AM166" s="604"/>
      <c r="AN166" s="700"/>
      <c r="AO166" s="700"/>
      <c r="AP166" s="604"/>
      <c r="AQ166" s="700"/>
      <c r="AR166" s="604"/>
      <c r="AS166" s="604"/>
      <c r="AT166" s="604"/>
      <c r="AU166" s="604"/>
      <c r="AV166" s="604"/>
      <c r="AW166" s="604"/>
      <c r="AX166" s="604"/>
      <c r="AY166" s="604"/>
      <c r="AZ166" s="604"/>
      <c r="BA166" s="700"/>
      <c r="BB166" s="700"/>
      <c r="BC166" s="700"/>
      <c r="BD166" s="604"/>
      <c r="BE166" s="700"/>
      <c r="BF166" s="700"/>
      <c r="BG166" s="604"/>
      <c r="BH166" s="700"/>
      <c r="BI166" s="604"/>
      <c r="BJ166" s="604"/>
      <c r="BK166" s="604"/>
      <c r="BL166" s="604"/>
      <c r="BM166" s="604"/>
      <c r="BN166" s="604"/>
      <c r="BO166" s="604"/>
      <c r="BP166" s="604"/>
      <c r="BQ166" s="604"/>
      <c r="BR166" s="700"/>
      <c r="BS166" s="700"/>
      <c r="BT166" s="700"/>
      <c r="BU166" s="604"/>
      <c r="BV166" s="700"/>
      <c r="BW166" s="700"/>
      <c r="BX166" s="604"/>
      <c r="BY166" s="700"/>
      <c r="BZ166" s="604"/>
      <c r="CA166" s="604"/>
      <c r="CB166" s="604"/>
      <c r="CC166" s="604"/>
      <c r="CD166" s="604"/>
      <c r="CE166" s="604"/>
      <c r="CF166" s="604"/>
      <c r="CG166" s="604"/>
      <c r="CH166" s="604"/>
      <c r="CI166" s="700"/>
      <c r="CJ166" s="700"/>
      <c r="CK166" s="700"/>
      <c r="CL166" s="604"/>
      <c r="CM166" s="700"/>
      <c r="CN166" s="700"/>
      <c r="CO166" s="604"/>
      <c r="CP166" s="700"/>
      <c r="CQ166" s="604"/>
      <c r="CR166" s="604"/>
      <c r="CS166" s="604"/>
      <c r="CT166" s="604"/>
      <c r="CU166" s="604"/>
      <c r="CV166" s="604"/>
      <c r="CW166" s="604"/>
      <c r="CX166" s="604"/>
      <c r="CY166" s="604"/>
      <c r="CZ166" s="700"/>
      <c r="DA166" s="700"/>
      <c r="DB166" s="700"/>
      <c r="DC166" s="604"/>
      <c r="DD166" s="700"/>
      <c r="DE166" s="700"/>
      <c r="DF166" s="604"/>
      <c r="DG166" s="700"/>
      <c r="DH166" s="604"/>
      <c r="DI166" s="604"/>
      <c r="DJ166" s="604"/>
      <c r="DK166" s="604"/>
      <c r="DL166" s="604"/>
      <c r="DM166" s="604"/>
      <c r="DN166" s="604"/>
      <c r="DO166" s="604"/>
      <c r="DP166" s="604"/>
      <c r="DQ166" s="700"/>
      <c r="DR166" s="700"/>
      <c r="DS166" s="700"/>
      <c r="DT166" s="604"/>
      <c r="DU166" s="700"/>
      <c r="DV166" s="700"/>
      <c r="DW166" s="604"/>
      <c r="DX166" s="700"/>
      <c r="DY166" s="604"/>
      <c r="DZ166" s="604"/>
      <c r="EA166" s="604"/>
      <c r="EB166" s="604"/>
      <c r="EC166" s="604"/>
      <c r="ED166" s="604"/>
      <c r="EE166" s="604"/>
      <c r="EF166" s="604"/>
      <c r="EG166" s="604"/>
      <c r="EH166" s="700"/>
      <c r="EI166" s="700"/>
      <c r="EJ166" s="700"/>
      <c r="EK166" s="604"/>
      <c r="EL166" s="700"/>
      <c r="EM166" s="700"/>
      <c r="EN166" s="604"/>
      <c r="EO166" s="700"/>
      <c r="EP166" s="604"/>
      <c r="EQ166" s="604"/>
      <c r="ER166" s="604"/>
      <c r="ES166" s="604"/>
      <c r="ET166" s="604"/>
      <c r="EU166" s="604"/>
      <c r="EV166" s="604"/>
      <c r="EW166" s="604"/>
      <c r="EX166" s="604"/>
      <c r="EY166" s="700"/>
      <c r="EZ166" s="700"/>
      <c r="FA166" s="700"/>
      <c r="FB166" s="604"/>
      <c r="FC166" s="700"/>
      <c r="FD166" s="700"/>
      <c r="FE166" s="604"/>
      <c r="FF166" s="700"/>
      <c r="FG166" s="604"/>
      <c r="FH166" s="604"/>
      <c r="FI166" s="604"/>
      <c r="FJ166" s="604"/>
      <c r="FK166" s="604"/>
      <c r="FL166" s="604"/>
      <c r="FM166" s="604"/>
      <c r="FN166" s="604"/>
      <c r="FO166" s="604"/>
      <c r="FP166" s="700"/>
      <c r="FQ166" s="700"/>
      <c r="FR166" s="700"/>
      <c r="FS166" s="604"/>
      <c r="FT166" s="700"/>
      <c r="FU166" s="700"/>
      <c r="FV166" s="604"/>
      <c r="FW166" s="700"/>
      <c r="FX166" s="604"/>
      <c r="FY166" s="604"/>
      <c r="FZ166" s="604"/>
      <c r="GA166" s="604"/>
      <c r="GB166" s="604"/>
      <c r="GC166" s="604"/>
      <c r="GD166" s="604"/>
      <c r="GE166" s="604"/>
      <c r="GF166" s="604"/>
      <c r="GG166" s="700"/>
      <c r="GH166" s="700"/>
      <c r="GI166" s="700"/>
      <c r="GJ166" s="604"/>
      <c r="GK166" s="700"/>
      <c r="GL166" s="700"/>
      <c r="GM166" s="604"/>
      <c r="GN166" s="700"/>
      <c r="GO166" s="604"/>
      <c r="GP166" s="604"/>
      <c r="GQ166" s="604"/>
      <c r="GR166" s="604"/>
      <c r="GS166" s="604"/>
      <c r="GT166" s="604"/>
      <c r="GU166" s="604"/>
      <c r="GV166" s="604"/>
      <c r="GW166" s="604"/>
      <c r="GX166" s="700"/>
      <c r="GY166" s="700"/>
      <c r="GZ166" s="700"/>
      <c r="HA166" s="604"/>
      <c r="HB166" s="700"/>
      <c r="HC166" s="700"/>
      <c r="HD166" s="604"/>
      <c r="HE166" s="700"/>
      <c r="HF166" s="604"/>
      <c r="HG166" s="604"/>
      <c r="HH166" s="604"/>
      <c r="HI166" s="604"/>
      <c r="HJ166" s="604"/>
      <c r="HK166" s="604"/>
      <c r="HL166" s="604"/>
      <c r="HM166" s="604"/>
      <c r="HN166" s="604"/>
      <c r="HO166" s="700"/>
      <c r="HP166" s="700"/>
      <c r="HQ166" s="700"/>
      <c r="HR166" s="604"/>
      <c r="HS166" s="700"/>
      <c r="HT166" s="700"/>
      <c r="HU166" s="604"/>
      <c r="HV166" s="700"/>
      <c r="HW166" s="604"/>
      <c r="HX166" s="604"/>
      <c r="HY166" s="604"/>
      <c r="HZ166" s="604"/>
      <c r="IA166" s="604"/>
      <c r="IB166" s="604"/>
      <c r="IC166" s="604"/>
      <c r="ID166" s="604"/>
      <c r="IE166" s="604"/>
      <c r="IF166" s="700"/>
      <c r="IG166" s="700"/>
      <c r="IH166" s="700"/>
      <c r="II166" s="604"/>
      <c r="IJ166" s="700"/>
      <c r="IK166" s="700"/>
      <c r="IL166" s="604"/>
      <c r="IM166" s="700"/>
      <c r="IN166" s="604"/>
      <c r="IO166" s="604"/>
      <c r="IP166" s="604"/>
      <c r="IQ166" s="604"/>
      <c r="IR166" s="604"/>
      <c r="IS166" s="604"/>
      <c r="IT166" s="604"/>
      <c r="IU166" s="604"/>
      <c r="IV166" s="604"/>
      <c r="IW166" s="700"/>
      <c r="IX166" s="700"/>
      <c r="IY166" s="700"/>
      <c r="IZ166" s="604"/>
      <c r="JA166" s="700"/>
      <c r="JB166" s="700"/>
      <c r="JC166" s="604"/>
      <c r="JD166" s="700"/>
      <c r="JE166" s="604"/>
      <c r="JF166" s="604"/>
      <c r="JG166" s="604"/>
      <c r="JH166" s="604"/>
      <c r="JI166" s="604"/>
      <c r="JJ166" s="604"/>
      <c r="JK166" s="604"/>
      <c r="JL166" s="604"/>
      <c r="JM166" s="604"/>
      <c r="JN166" s="700"/>
      <c r="JO166" s="700"/>
      <c r="JP166" s="700"/>
      <c r="JQ166" s="604"/>
      <c r="JR166" s="700"/>
      <c r="JS166" s="700"/>
      <c r="JT166" s="604"/>
      <c r="JU166" s="700"/>
      <c r="JV166" s="604"/>
      <c r="JW166" s="604"/>
      <c r="JX166" s="604"/>
      <c r="JY166" s="604"/>
      <c r="JZ166" s="604"/>
      <c r="KA166" s="604"/>
      <c r="KB166" s="604"/>
      <c r="KC166" s="604"/>
      <c r="KD166" s="604"/>
      <c r="KE166" s="700"/>
      <c r="KF166" s="700"/>
      <c r="KG166" s="700"/>
      <c r="KH166" s="604"/>
      <c r="KI166" s="700"/>
      <c r="KJ166" s="700"/>
      <c r="KK166" s="604"/>
      <c r="KL166" s="700"/>
      <c r="KM166" s="604"/>
      <c r="KN166" s="604"/>
      <c r="KO166" s="604"/>
      <c r="KP166" s="604"/>
      <c r="KQ166" s="604"/>
      <c r="KR166" s="604"/>
      <c r="KS166" s="604"/>
      <c r="KT166" s="604"/>
      <c r="KU166" s="604"/>
      <c r="KV166" s="700"/>
      <c r="KW166" s="700"/>
      <c r="KX166" s="700"/>
      <c r="KY166" s="604"/>
      <c r="KZ166" s="700"/>
      <c r="LA166" s="700"/>
      <c r="LB166" s="604"/>
      <c r="LC166" s="700"/>
      <c r="LD166" s="604"/>
      <c r="LE166" s="604"/>
      <c r="LF166" s="604"/>
      <c r="LG166" s="604"/>
      <c r="LH166" s="604"/>
      <c r="LI166" s="604"/>
      <c r="LJ166" s="604"/>
      <c r="LK166" s="604"/>
      <c r="LL166" s="604"/>
      <c r="LM166" s="700"/>
      <c r="LN166" s="700"/>
      <c r="LO166" s="700"/>
      <c r="LP166" s="604"/>
      <c r="LQ166" s="700"/>
      <c r="LR166" s="700"/>
      <c r="LS166" s="604"/>
      <c r="LT166" s="700"/>
      <c r="LU166" s="604"/>
      <c r="LV166" s="604"/>
      <c r="LW166" s="604"/>
      <c r="LX166" s="604"/>
      <c r="LY166" s="604"/>
      <c r="LZ166" s="604"/>
      <c r="MA166" s="604"/>
      <c r="MB166" s="604"/>
      <c r="MC166" s="604"/>
      <c r="MD166" s="700"/>
      <c r="ME166" s="700"/>
      <c r="MF166" s="700"/>
      <c r="MG166" s="604"/>
      <c r="MH166" s="700"/>
      <c r="MI166" s="700"/>
      <c r="MJ166" s="604"/>
      <c r="MK166" s="700"/>
      <c r="ML166" s="604"/>
      <c r="MM166" s="604"/>
      <c r="MN166" s="604"/>
      <c r="MO166" s="604"/>
      <c r="MP166" s="604"/>
      <c r="MQ166" s="604"/>
      <c r="MR166" s="604"/>
      <c r="MS166" s="604"/>
      <c r="MT166" s="604"/>
      <c r="MU166" s="700"/>
      <c r="MV166" s="700"/>
      <c r="MW166" s="700"/>
      <c r="MX166" s="604"/>
      <c r="MY166" s="700"/>
      <c r="MZ166" s="700"/>
      <c r="NA166" s="604"/>
      <c r="NB166" s="700"/>
      <c r="NC166" s="604"/>
      <c r="ND166" s="604"/>
      <c r="NE166" s="604"/>
      <c r="NF166" s="604"/>
      <c r="NG166" s="604"/>
      <c r="NH166" s="604"/>
      <c r="NI166" s="604"/>
      <c r="NJ166" s="604"/>
      <c r="NK166" s="604"/>
      <c r="NL166" s="700"/>
      <c r="NM166" s="700"/>
      <c r="NN166" s="700"/>
      <c r="NO166" s="604"/>
      <c r="NP166" s="700"/>
      <c r="NQ166" s="700"/>
      <c r="NR166" s="604"/>
      <c r="NS166" s="700"/>
      <c r="NT166" s="604"/>
      <c r="NU166" s="604"/>
      <c r="NV166" s="604"/>
      <c r="NW166" s="604"/>
      <c r="NX166" s="604"/>
      <c r="NY166" s="604"/>
      <c r="NZ166" s="604"/>
      <c r="OA166" s="604"/>
      <c r="OB166" s="604"/>
      <c r="OC166" s="700"/>
      <c r="OD166" s="700"/>
      <c r="OE166" s="700"/>
      <c r="OF166" s="604"/>
      <c r="OG166" s="700"/>
      <c r="OH166" s="700"/>
      <c r="OI166" s="604"/>
      <c r="OJ166" s="700"/>
      <c r="OK166" s="604"/>
      <c r="OL166" s="604"/>
      <c r="OM166" s="604"/>
      <c r="ON166" s="604"/>
      <c r="OO166" s="604"/>
      <c r="OP166" s="604"/>
      <c r="OQ166" s="604"/>
      <c r="OR166" s="604"/>
      <c r="OS166" s="604"/>
      <c r="OT166" s="700"/>
      <c r="OU166" s="700"/>
      <c r="OV166" s="700"/>
      <c r="OW166" s="604"/>
      <c r="OX166" s="700"/>
      <c r="OY166" s="700"/>
      <c r="OZ166" s="604"/>
      <c r="PA166" s="700"/>
      <c r="PB166" s="604"/>
      <c r="PC166" s="604"/>
      <c r="PD166" s="604"/>
      <c r="PE166" s="604"/>
      <c r="PF166" s="604"/>
      <c r="PG166" s="604"/>
      <c r="PH166" s="604"/>
      <c r="PI166" s="604"/>
      <c r="PJ166" s="604"/>
      <c r="PK166" s="700"/>
      <c r="PL166" s="700"/>
      <c r="PM166" s="700"/>
      <c r="PN166" s="604"/>
      <c r="PO166" s="700"/>
      <c r="PP166" s="700"/>
      <c r="PQ166" s="604"/>
      <c r="PR166" s="700"/>
      <c r="PS166" s="604"/>
      <c r="PT166" s="604"/>
      <c r="PU166" s="604"/>
      <c r="PV166" s="604"/>
      <c r="PW166" s="604"/>
      <c r="PX166" s="604"/>
      <c r="PY166" s="604"/>
      <c r="PZ166" s="604"/>
      <c r="QA166" s="604"/>
      <c r="QB166" s="700"/>
      <c r="QC166" s="700"/>
      <c r="QD166" s="700"/>
      <c r="QE166" s="604"/>
      <c r="QF166" s="700"/>
      <c r="QG166" s="700"/>
      <c r="QH166" s="604"/>
      <c r="QI166" s="700"/>
      <c r="QJ166" s="604"/>
      <c r="QK166" s="604"/>
      <c r="QL166" s="604"/>
      <c r="QM166" s="604"/>
      <c r="QN166" s="604"/>
      <c r="QO166" s="604"/>
      <c r="QP166" s="604"/>
      <c r="QQ166" s="604"/>
      <c r="QR166" s="604"/>
      <c r="QS166" s="700"/>
      <c r="QT166" s="700"/>
      <c r="QU166" s="700"/>
      <c r="QV166" s="604"/>
      <c r="QW166" s="700"/>
      <c r="QX166" s="700"/>
      <c r="QY166" s="604"/>
      <c r="QZ166" s="700"/>
      <c r="RA166" s="604"/>
      <c r="RB166" s="604"/>
      <c r="RC166" s="604"/>
      <c r="RD166" s="604"/>
      <c r="RE166" s="604"/>
      <c r="RF166" s="604"/>
      <c r="RG166" s="604"/>
      <c r="RH166" s="604"/>
      <c r="RI166" s="604"/>
      <c r="RJ166" s="700"/>
      <c r="RK166" s="700"/>
      <c r="RL166" s="700"/>
      <c r="RM166" s="604"/>
      <c r="RN166" s="700"/>
      <c r="RO166" s="700"/>
      <c r="RP166" s="604"/>
      <c r="RQ166" s="700"/>
      <c r="RR166" s="604"/>
      <c r="RS166" s="604"/>
      <c r="RT166" s="604"/>
      <c r="RU166" s="604"/>
      <c r="RV166" s="604"/>
      <c r="RW166" s="604"/>
      <c r="RX166" s="604"/>
      <c r="RY166" s="604"/>
      <c r="RZ166" s="604"/>
      <c r="SA166" s="700"/>
      <c r="SB166" s="700"/>
      <c r="SC166" s="700"/>
      <c r="SD166" s="604"/>
      <c r="SE166" s="700"/>
      <c r="SF166" s="700"/>
      <c r="SG166" s="604"/>
      <c r="SH166" s="700"/>
      <c r="SI166" s="604"/>
      <c r="SJ166" s="604"/>
      <c r="SK166" s="604"/>
      <c r="SL166" s="604"/>
      <c r="SM166" s="604"/>
      <c r="SN166" s="604"/>
      <c r="SO166" s="604"/>
      <c r="SP166" s="604"/>
      <c r="SQ166" s="604"/>
      <c r="SR166" s="700"/>
      <c r="SS166" s="700"/>
      <c r="ST166" s="700"/>
      <c r="SU166" s="604"/>
      <c r="SV166" s="700"/>
      <c r="SW166" s="700"/>
      <c r="SX166" s="604"/>
      <c r="SY166" s="700"/>
      <c r="SZ166" s="604"/>
      <c r="TA166" s="604"/>
      <c r="TB166" s="604"/>
      <c r="TC166" s="604"/>
      <c r="TD166" s="604"/>
      <c r="TE166" s="604"/>
      <c r="TF166" s="604"/>
      <c r="TG166" s="604"/>
      <c r="TH166" s="697"/>
      <c r="TI166" s="699"/>
      <c r="TJ166" s="700"/>
      <c r="TK166" s="700"/>
      <c r="TL166" s="604"/>
      <c r="TM166" s="700"/>
      <c r="TN166" s="700"/>
      <c r="TO166" s="604"/>
      <c r="TP166" s="700"/>
      <c r="TQ166" s="604"/>
      <c r="TR166" s="604"/>
      <c r="TS166" s="604"/>
      <c r="TT166" s="604"/>
      <c r="TU166" s="604"/>
      <c r="TV166" s="604"/>
      <c r="TW166" s="604"/>
      <c r="TX166" s="604"/>
      <c r="TY166" s="607"/>
    </row>
    <row r="167" spans="1:545" x14ac:dyDescent="0.25">
      <c r="B167" s="712"/>
      <c r="R167" s="713"/>
      <c r="S167" s="712"/>
      <c r="AI167" s="713"/>
      <c r="AJ167" s="712"/>
      <c r="AZ167" s="713"/>
      <c r="BA167" s="712"/>
      <c r="BQ167" s="713"/>
      <c r="BR167" s="712"/>
      <c r="CH167" s="713"/>
      <c r="CI167" s="712"/>
      <c r="CY167" s="713"/>
      <c r="CZ167" s="712"/>
      <c r="DP167" s="713"/>
      <c r="DQ167" s="712"/>
      <c r="EG167" s="713"/>
      <c r="EH167" s="712"/>
      <c r="EX167" s="713"/>
      <c r="EY167" s="712"/>
      <c r="FO167" s="713"/>
      <c r="FP167" s="712"/>
      <c r="GF167" s="713"/>
      <c r="GG167" s="712"/>
      <c r="GW167" s="713"/>
      <c r="GX167" s="712"/>
      <c r="HN167" s="713"/>
      <c r="HO167" s="712"/>
      <c r="IE167" s="713"/>
      <c r="IF167" s="712"/>
      <c r="IV167" s="713"/>
      <c r="IW167" s="712"/>
      <c r="JM167" s="713"/>
      <c r="JN167" s="712"/>
      <c r="KD167" s="713"/>
      <c r="KE167" s="712"/>
      <c r="KU167" s="713"/>
      <c r="KV167" s="712"/>
      <c r="LL167" s="713"/>
      <c r="LM167" s="712"/>
      <c r="MC167" s="713"/>
      <c r="MD167" s="712"/>
      <c r="MT167" s="713"/>
      <c r="MU167" s="712"/>
      <c r="NK167" s="713"/>
      <c r="NL167" s="712"/>
      <c r="OB167" s="713"/>
      <c r="OC167" s="712"/>
      <c r="OS167" s="713"/>
      <c r="OT167" s="712"/>
      <c r="PJ167" s="713"/>
      <c r="PK167" s="712"/>
      <c r="QA167" s="713"/>
      <c r="QB167" s="712"/>
      <c r="QR167" s="713"/>
      <c r="QS167" s="712"/>
      <c r="RI167" s="713"/>
      <c r="RJ167" s="712"/>
      <c r="RZ167" s="713"/>
      <c r="SA167" s="712"/>
      <c r="SQ167" s="713"/>
      <c r="SR167" s="712"/>
      <c r="TH167" s="713"/>
      <c r="TI167" s="712"/>
      <c r="TY167" s="713"/>
    </row>
    <row r="168" spans="1:545" x14ac:dyDescent="0.25">
      <c r="B168" s="2216" t="s">
        <v>83</v>
      </c>
      <c r="C168" s="2217"/>
      <c r="D168" s="2217"/>
      <c r="E168" s="2217"/>
      <c r="F168" s="2217"/>
      <c r="G168" s="2217"/>
      <c r="H168" s="2217"/>
      <c r="I168" s="2217"/>
      <c r="J168" s="2217"/>
      <c r="K168" s="2217"/>
      <c r="L168" s="2217"/>
      <c r="M168" s="2217"/>
      <c r="N168" s="714"/>
      <c r="O168" s="714"/>
      <c r="P168" s="714"/>
      <c r="Q168" s="714"/>
      <c r="R168" s="715"/>
      <c r="S168" s="712"/>
      <c r="AG168" s="714"/>
      <c r="AI168" s="713"/>
      <c r="AJ168" s="712"/>
      <c r="AX168" s="714"/>
      <c r="AZ168" s="713"/>
      <c r="BA168" s="2216" t="s">
        <v>83</v>
      </c>
      <c r="BB168" s="2217"/>
      <c r="BC168" s="2217"/>
      <c r="BD168" s="2217"/>
      <c r="BE168" s="2217"/>
      <c r="BF168" s="2217"/>
      <c r="BG168" s="2217"/>
      <c r="BH168" s="2217"/>
      <c r="BI168" s="2217"/>
      <c r="BJ168" s="2217"/>
      <c r="BK168" s="2217"/>
      <c r="BL168" s="2217"/>
      <c r="BM168" s="714"/>
      <c r="BN168" s="714"/>
      <c r="BO168" s="714"/>
      <c r="BP168" s="714"/>
      <c r="BQ168" s="715"/>
      <c r="BR168" s="2216" t="s">
        <v>83</v>
      </c>
      <c r="BS168" s="2217"/>
      <c r="BT168" s="2217"/>
      <c r="BU168" s="2217"/>
      <c r="BV168" s="2217"/>
      <c r="BW168" s="2217"/>
      <c r="BX168" s="2217"/>
      <c r="BY168" s="2217"/>
      <c r="BZ168" s="2217"/>
      <c r="CA168" s="2217"/>
      <c r="CB168" s="2217"/>
      <c r="CC168" s="2217"/>
      <c r="CD168" s="714"/>
      <c r="CE168" s="714"/>
      <c r="CF168" s="714"/>
      <c r="CG168" s="714"/>
      <c r="CH168" s="715"/>
      <c r="CI168" s="2216" t="s">
        <v>83</v>
      </c>
      <c r="CJ168" s="2217"/>
      <c r="CK168" s="2217"/>
      <c r="CL168" s="2217"/>
      <c r="CM168" s="2217"/>
      <c r="CN168" s="2217"/>
      <c r="CO168" s="2217"/>
      <c r="CP168" s="2217"/>
      <c r="CQ168" s="2217"/>
      <c r="CR168" s="2217"/>
      <c r="CS168" s="2217"/>
      <c r="CT168" s="2217"/>
      <c r="CU168" s="714"/>
      <c r="CV168" s="714"/>
      <c r="CW168" s="714"/>
      <c r="CX168" s="714"/>
      <c r="CY168" s="715"/>
      <c r="CZ168" s="712"/>
      <c r="DN168" s="714"/>
      <c r="DP168" s="713"/>
      <c r="DQ168" s="712"/>
      <c r="EE168" s="714"/>
      <c r="EG168" s="713"/>
      <c r="EH168" s="2216" t="s">
        <v>83</v>
      </c>
      <c r="EI168" s="2217"/>
      <c r="EJ168" s="2217"/>
      <c r="EK168" s="2217"/>
      <c r="EL168" s="2217"/>
      <c r="EM168" s="2217"/>
      <c r="EN168" s="2217"/>
      <c r="EO168" s="2217"/>
      <c r="EP168" s="2217"/>
      <c r="EQ168" s="2217"/>
      <c r="ER168" s="2217"/>
      <c r="ES168" s="2217"/>
      <c r="ET168" s="714"/>
      <c r="EU168" s="714"/>
      <c r="EV168" s="714"/>
      <c r="EW168" s="714"/>
      <c r="EX168" s="715"/>
      <c r="EY168" s="712"/>
      <c r="FM168" s="714"/>
      <c r="FO168" s="713"/>
      <c r="FP168" s="712"/>
      <c r="GD168" s="714"/>
      <c r="GF168" s="713"/>
      <c r="GG168" s="712"/>
      <c r="GU168" s="714"/>
      <c r="GW168" s="713"/>
      <c r="GX168" s="712"/>
      <c r="HL168" s="714"/>
      <c r="HN168" s="713"/>
      <c r="HO168" s="712"/>
      <c r="IC168" s="714"/>
      <c r="IE168" s="713"/>
      <c r="IF168" s="712"/>
      <c r="IT168" s="714"/>
      <c r="IV168" s="713"/>
      <c r="IW168" s="712"/>
      <c r="JK168" s="714"/>
      <c r="JM168" s="713"/>
      <c r="JN168" s="712"/>
      <c r="KB168" s="714"/>
      <c r="KD168" s="713"/>
      <c r="KE168" s="712"/>
      <c r="KS168" s="714"/>
      <c r="KU168" s="713"/>
      <c r="KV168" s="712"/>
      <c r="LJ168" s="714"/>
      <c r="LL168" s="713"/>
      <c r="LM168" s="712"/>
      <c r="MA168" s="714"/>
      <c r="MC168" s="713"/>
      <c r="MD168" s="2216" t="s">
        <v>83</v>
      </c>
      <c r="ME168" s="2217"/>
      <c r="MF168" s="2217"/>
      <c r="MG168" s="2217"/>
      <c r="MH168" s="2217"/>
      <c r="MI168" s="2217"/>
      <c r="MJ168" s="2217"/>
      <c r="MK168" s="2217"/>
      <c r="ML168" s="2217"/>
      <c r="MM168" s="2217"/>
      <c r="MN168" s="2217"/>
      <c r="MO168" s="2217"/>
      <c r="MP168" s="714"/>
      <c r="MQ168" s="714"/>
      <c r="MR168" s="714"/>
      <c r="MS168" s="714"/>
      <c r="MT168" s="715"/>
      <c r="MU168" s="2216" t="s">
        <v>83</v>
      </c>
      <c r="MV168" s="2217"/>
      <c r="MW168" s="2217"/>
      <c r="MX168" s="2217"/>
      <c r="MY168" s="2217"/>
      <c r="MZ168" s="2217"/>
      <c r="NA168" s="2217"/>
      <c r="NB168" s="2217"/>
      <c r="NC168" s="2217"/>
      <c r="ND168" s="2217"/>
      <c r="NE168" s="2217"/>
      <c r="NF168" s="2217"/>
      <c r="NG168" s="714"/>
      <c r="NH168" s="714"/>
      <c r="NI168" s="714"/>
      <c r="NJ168" s="714"/>
      <c r="NK168" s="715"/>
      <c r="NL168" s="712"/>
      <c r="NZ168" s="714"/>
      <c r="OB168" s="713"/>
      <c r="OC168" s="2216" t="s">
        <v>83</v>
      </c>
      <c r="OD168" s="2217"/>
      <c r="OE168" s="2217"/>
      <c r="OF168" s="2217"/>
      <c r="OG168" s="2217"/>
      <c r="OH168" s="2217"/>
      <c r="OI168" s="2217"/>
      <c r="OJ168" s="2217"/>
      <c r="OK168" s="2217"/>
      <c r="OL168" s="2217"/>
      <c r="OM168" s="2217"/>
      <c r="ON168" s="2217"/>
      <c r="OO168" s="714"/>
      <c r="OP168" s="714"/>
      <c r="OQ168" s="714"/>
      <c r="OR168" s="714"/>
      <c r="OS168" s="715"/>
      <c r="OT168" s="712"/>
      <c r="PH168" s="714"/>
      <c r="PJ168" s="713"/>
      <c r="PK168" s="712"/>
      <c r="PY168" s="714"/>
      <c r="QA168" s="713"/>
      <c r="QB168" s="2216" t="s">
        <v>83</v>
      </c>
      <c r="QC168" s="2217"/>
      <c r="QD168" s="2217"/>
      <c r="QE168" s="2217"/>
      <c r="QF168" s="2217"/>
      <c r="QG168" s="2217"/>
      <c r="QH168" s="2217"/>
      <c r="QI168" s="2217"/>
      <c r="QJ168" s="2217"/>
      <c r="QK168" s="2217"/>
      <c r="QL168" s="2217"/>
      <c r="QM168" s="2217"/>
      <c r="QN168" s="714"/>
      <c r="QO168" s="714"/>
      <c r="QP168" s="714"/>
      <c r="QQ168" s="714"/>
      <c r="QR168" s="715"/>
      <c r="QS168" s="2216" t="s">
        <v>83</v>
      </c>
      <c r="QT168" s="2217"/>
      <c r="QU168" s="2217"/>
      <c r="QV168" s="2217"/>
      <c r="QW168" s="2217"/>
      <c r="QX168" s="2217"/>
      <c r="QY168" s="2217"/>
      <c r="QZ168" s="2217"/>
      <c r="RA168" s="2217"/>
      <c r="RB168" s="2217"/>
      <c r="RC168" s="2217"/>
      <c r="RD168" s="2217"/>
      <c r="RE168" s="714"/>
      <c r="RF168" s="714"/>
      <c r="RG168" s="714"/>
      <c r="RH168" s="714"/>
      <c r="RI168" s="715"/>
      <c r="RJ168" s="2216" t="s">
        <v>83</v>
      </c>
      <c r="RK168" s="2217"/>
      <c r="RL168" s="2217"/>
      <c r="RM168" s="2217"/>
      <c r="RN168" s="2217"/>
      <c r="RO168" s="2217"/>
      <c r="RP168" s="2217"/>
      <c r="RQ168" s="2217"/>
      <c r="RR168" s="2217"/>
      <c r="RS168" s="2217"/>
      <c r="RT168" s="2217"/>
      <c r="RU168" s="2217"/>
      <c r="RV168" s="714"/>
      <c r="RW168" s="714"/>
      <c r="RX168" s="714"/>
      <c r="RY168" s="714"/>
      <c r="RZ168" s="715"/>
      <c r="SA168" s="2216" t="s">
        <v>83</v>
      </c>
      <c r="SB168" s="2217"/>
      <c r="SC168" s="2217"/>
      <c r="SD168" s="2217"/>
      <c r="SE168" s="2217"/>
      <c r="SF168" s="2217"/>
      <c r="SG168" s="2217"/>
      <c r="SH168" s="2217"/>
      <c r="SI168" s="2217"/>
      <c r="SJ168" s="2217"/>
      <c r="SK168" s="2217"/>
      <c r="SL168" s="2217"/>
      <c r="SM168" s="714"/>
      <c r="SN168" s="714"/>
      <c r="SO168" s="714"/>
      <c r="SP168" s="714"/>
      <c r="SQ168" s="715"/>
      <c r="SR168" s="712"/>
      <c r="TF168" s="714"/>
      <c r="TH168" s="713"/>
      <c r="TI168" s="2216" t="s">
        <v>83</v>
      </c>
      <c r="TJ168" s="2217"/>
      <c r="TK168" s="2217"/>
      <c r="TL168" s="2217"/>
      <c r="TM168" s="2217"/>
      <c r="TN168" s="2217"/>
      <c r="TO168" s="2217"/>
      <c r="TP168" s="2217"/>
      <c r="TQ168" s="2217"/>
      <c r="TR168" s="2217"/>
      <c r="TS168" s="2217"/>
      <c r="TT168" s="2217"/>
      <c r="TU168" s="714"/>
      <c r="TV168" s="714"/>
      <c r="TW168" s="714"/>
      <c r="TX168" s="714"/>
      <c r="TY168" s="715"/>
    </row>
    <row r="169" spans="1:545" x14ac:dyDescent="0.25">
      <c r="B169" s="712"/>
      <c r="R169" s="713"/>
      <c r="S169" s="712"/>
      <c r="AI169" s="713"/>
      <c r="AJ169" s="712"/>
      <c r="AZ169" s="713"/>
      <c r="BA169" s="712"/>
      <c r="BO169" s="56"/>
      <c r="BQ169" s="713"/>
      <c r="BR169" s="712"/>
      <c r="CH169" s="713"/>
      <c r="CI169" s="712"/>
      <c r="CY169" s="713"/>
      <c r="CZ169" s="712"/>
      <c r="DP169" s="713"/>
      <c r="DQ169" s="712"/>
      <c r="EG169" s="713"/>
      <c r="EH169" s="712"/>
      <c r="EX169" s="713"/>
      <c r="EY169" s="712"/>
      <c r="FO169" s="713"/>
      <c r="FP169" s="712"/>
      <c r="GF169" s="713"/>
      <c r="GG169" s="712"/>
      <c r="GW169" s="713"/>
      <c r="GX169" s="712"/>
      <c r="HN169" s="713"/>
      <c r="HO169" s="712"/>
      <c r="IE169" s="713"/>
      <c r="IF169" s="712"/>
      <c r="IV169" s="713"/>
      <c r="IW169" s="712"/>
      <c r="JM169" s="713"/>
      <c r="JN169" s="712"/>
      <c r="KD169" s="713"/>
      <c r="KE169" s="712"/>
      <c r="KU169" s="713"/>
      <c r="KV169" s="712"/>
      <c r="LL169" s="713"/>
      <c r="LM169" s="712"/>
      <c r="MC169" s="713"/>
      <c r="MD169" s="712"/>
      <c r="MT169" s="713"/>
      <c r="MU169" s="712"/>
      <c r="NK169" s="713"/>
      <c r="NL169" s="712"/>
      <c r="OB169" s="713"/>
      <c r="OC169" s="712"/>
      <c r="OS169" s="713"/>
      <c r="OT169" s="712"/>
      <c r="PJ169" s="713"/>
      <c r="PK169" s="712"/>
      <c r="QA169" s="713"/>
      <c r="QB169" s="712"/>
      <c r="QR169" s="713"/>
      <c r="QS169" s="712"/>
      <c r="RI169" s="713"/>
      <c r="RJ169" s="712"/>
      <c r="RZ169" s="713"/>
      <c r="SA169" s="712"/>
      <c r="SQ169" s="713"/>
      <c r="SR169" s="712"/>
      <c r="TH169" s="713"/>
      <c r="TI169" s="712"/>
      <c r="TY169" s="713"/>
    </row>
    <row r="170" spans="1:545" x14ac:dyDescent="0.25">
      <c r="B170" s="712"/>
      <c r="R170" s="713"/>
      <c r="S170" s="712"/>
      <c r="AI170" s="713"/>
      <c r="AJ170" s="712"/>
      <c r="AZ170" s="713"/>
      <c r="BA170" s="712"/>
      <c r="BO170" s="56"/>
      <c r="BQ170" s="713"/>
      <c r="BR170" s="712"/>
      <c r="CH170" s="713"/>
      <c r="CI170" s="712"/>
      <c r="CW170" s="56"/>
      <c r="CY170" s="713"/>
      <c r="CZ170" s="712"/>
      <c r="DP170" s="713"/>
      <c r="DQ170" s="712"/>
      <c r="EG170" s="713"/>
      <c r="EH170" s="712"/>
      <c r="EV170" s="56"/>
      <c r="EX170" s="713"/>
      <c r="EY170" s="712"/>
      <c r="FO170" s="713"/>
      <c r="FP170" s="712"/>
      <c r="GF170" s="713"/>
      <c r="GG170" s="712"/>
      <c r="GW170" s="713"/>
      <c r="GX170" s="712"/>
      <c r="HN170" s="713"/>
      <c r="HO170" s="712"/>
      <c r="IE170" s="713"/>
      <c r="IF170" s="712"/>
      <c r="IV170" s="713"/>
      <c r="IW170" s="712"/>
      <c r="JM170" s="713"/>
      <c r="JN170" s="712"/>
      <c r="KD170" s="713"/>
      <c r="KE170" s="712"/>
      <c r="KU170" s="713"/>
      <c r="KV170" s="712"/>
      <c r="LL170" s="713"/>
      <c r="LM170" s="712"/>
      <c r="MC170" s="713"/>
      <c r="MD170" s="712"/>
      <c r="MT170" s="713"/>
      <c r="MU170" s="712"/>
      <c r="NK170" s="713"/>
      <c r="NL170" s="712"/>
      <c r="OB170" s="713"/>
      <c r="OC170" s="712"/>
      <c r="OS170" s="713"/>
      <c r="OT170" s="712"/>
      <c r="PJ170" s="713"/>
      <c r="PK170" s="712"/>
      <c r="QA170" s="713"/>
      <c r="QB170" s="712"/>
      <c r="QR170" s="713"/>
      <c r="QS170" s="712"/>
      <c r="RI170" s="713"/>
      <c r="RJ170" s="712"/>
      <c r="RZ170" s="713"/>
      <c r="SA170" s="712"/>
      <c r="SQ170" s="713"/>
      <c r="SR170" s="712"/>
      <c r="TH170" s="713"/>
      <c r="TI170" s="712"/>
      <c r="TY170" s="713"/>
    </row>
    <row r="171" spans="1:545" x14ac:dyDescent="0.25">
      <c r="B171" s="712"/>
      <c r="R171" s="713"/>
      <c r="S171" s="712"/>
      <c r="AI171" s="713"/>
      <c r="AJ171" s="712"/>
      <c r="AZ171" s="713"/>
      <c r="BA171" s="712"/>
      <c r="BO171" s="56"/>
      <c r="BP171" s="56"/>
      <c r="BQ171" s="713"/>
      <c r="BR171" s="712"/>
      <c r="CG171" s="56"/>
      <c r="CH171" s="713"/>
      <c r="CI171" s="712"/>
      <c r="CW171" s="56"/>
      <c r="CY171" s="713"/>
      <c r="CZ171" s="712"/>
      <c r="DP171" s="713"/>
      <c r="DQ171" s="712"/>
      <c r="EG171" s="713"/>
      <c r="EH171" s="712"/>
      <c r="EV171" s="56"/>
      <c r="EX171" s="713"/>
      <c r="EY171" s="712"/>
      <c r="FO171" s="713"/>
      <c r="FP171" s="712"/>
      <c r="GF171" s="713"/>
      <c r="GG171" s="712"/>
      <c r="GW171" s="713"/>
      <c r="GX171" s="712"/>
      <c r="HN171" s="713"/>
      <c r="HO171" s="712"/>
      <c r="IE171" s="713"/>
      <c r="IF171" s="712"/>
      <c r="IV171" s="713"/>
      <c r="IW171" s="712"/>
      <c r="JM171" s="713"/>
      <c r="JN171" s="712"/>
      <c r="KD171" s="713"/>
      <c r="KE171" s="712"/>
      <c r="KU171" s="713"/>
      <c r="KV171" s="712"/>
      <c r="LL171" s="713"/>
      <c r="LM171" s="712"/>
      <c r="MC171" s="713"/>
      <c r="MD171" s="712"/>
      <c r="MT171" s="713"/>
      <c r="MU171" s="712"/>
      <c r="NK171" s="713"/>
      <c r="NL171" s="712"/>
      <c r="OB171" s="713"/>
      <c r="OC171" s="712"/>
      <c r="OQ171" s="56"/>
      <c r="OS171" s="713"/>
      <c r="OT171" s="712"/>
      <c r="PJ171" s="713"/>
      <c r="PK171" s="712"/>
      <c r="QA171" s="713"/>
      <c r="QB171" s="712"/>
      <c r="QR171" s="713"/>
      <c r="QS171" s="712"/>
      <c r="RI171" s="713"/>
      <c r="RJ171" s="712"/>
      <c r="RY171" s="56"/>
      <c r="RZ171" s="713"/>
      <c r="SA171" s="712"/>
      <c r="SO171" s="56"/>
      <c r="SQ171" s="713"/>
      <c r="SR171" s="712"/>
      <c r="TH171" s="713"/>
      <c r="TI171" s="712"/>
      <c r="TW171" s="56"/>
      <c r="TY171" s="713"/>
    </row>
    <row r="172" spans="1:545" x14ac:dyDescent="0.25">
      <c r="B172" s="712"/>
      <c r="R172" s="713"/>
      <c r="S172" s="712"/>
      <c r="AI172" s="713"/>
      <c r="AJ172" s="712"/>
      <c r="AZ172" s="713"/>
      <c r="BA172" s="712"/>
      <c r="BO172" s="56"/>
      <c r="BP172" s="56"/>
      <c r="BQ172" s="713"/>
      <c r="BR172" s="712"/>
      <c r="CG172" s="56"/>
      <c r="CH172" s="713"/>
      <c r="CI172" s="712"/>
      <c r="CW172" s="56"/>
      <c r="CY172" s="713"/>
      <c r="CZ172" s="712"/>
      <c r="DP172" s="713"/>
      <c r="DQ172" s="712"/>
      <c r="EG172" s="713"/>
      <c r="EH172" s="712"/>
      <c r="EV172" s="56"/>
      <c r="EX172" s="713"/>
      <c r="EY172" s="712"/>
      <c r="FO172" s="713"/>
      <c r="FP172" s="712"/>
      <c r="GF172" s="713"/>
      <c r="GG172" s="712"/>
      <c r="GW172" s="713"/>
      <c r="GX172" s="712"/>
      <c r="HN172" s="713"/>
      <c r="HO172" s="712"/>
      <c r="IE172" s="713"/>
      <c r="IF172" s="712"/>
      <c r="IV172" s="713"/>
      <c r="IW172" s="712"/>
      <c r="JM172" s="713"/>
      <c r="JN172" s="712"/>
      <c r="KD172" s="713"/>
      <c r="KE172" s="712"/>
      <c r="KU172" s="713"/>
      <c r="KV172" s="712"/>
      <c r="LL172" s="713"/>
      <c r="LM172" s="712"/>
      <c r="MC172" s="713"/>
      <c r="MD172" s="712"/>
      <c r="MT172" s="713"/>
      <c r="MU172" s="712"/>
      <c r="NK172" s="713"/>
      <c r="NL172" s="712"/>
      <c r="OB172" s="713"/>
      <c r="OC172" s="712"/>
      <c r="OQ172" s="56"/>
      <c r="OS172" s="713"/>
      <c r="OT172" s="712"/>
      <c r="PJ172" s="713"/>
      <c r="PK172" s="712"/>
      <c r="QA172" s="713"/>
      <c r="QB172" s="712"/>
      <c r="QR172" s="713"/>
      <c r="QS172" s="712"/>
      <c r="RI172" s="713"/>
      <c r="RJ172" s="712"/>
      <c r="RY172" s="56"/>
      <c r="RZ172" s="713"/>
      <c r="SA172" s="712"/>
      <c r="SO172" s="56"/>
      <c r="SQ172" s="713"/>
      <c r="SR172" s="712"/>
      <c r="TH172" s="713"/>
      <c r="TI172" s="712"/>
      <c r="TW172" s="56"/>
      <c r="TY172" s="713"/>
    </row>
    <row r="173" spans="1:545" x14ac:dyDescent="0.25">
      <c r="B173" s="712"/>
      <c r="R173" s="713"/>
      <c r="S173" s="712"/>
      <c r="AI173" s="713"/>
      <c r="AJ173" s="712"/>
      <c r="AZ173" s="713"/>
      <c r="BA173" s="712"/>
      <c r="BP173" s="56"/>
      <c r="BQ173" s="713"/>
      <c r="BR173" s="712"/>
      <c r="CG173" s="56"/>
      <c r="CH173" s="713"/>
      <c r="CI173" s="712"/>
      <c r="CY173" s="713"/>
      <c r="CZ173" s="712"/>
      <c r="DP173" s="713"/>
      <c r="DQ173" s="712"/>
      <c r="EG173" s="713"/>
      <c r="EH173" s="712"/>
      <c r="EX173" s="713"/>
      <c r="EY173" s="712"/>
      <c r="FO173" s="713"/>
      <c r="FP173" s="712"/>
      <c r="GF173" s="713"/>
      <c r="GG173" s="712"/>
      <c r="GW173" s="713"/>
      <c r="GX173" s="712"/>
      <c r="HN173" s="713"/>
      <c r="HO173" s="712"/>
      <c r="IE173" s="713"/>
      <c r="IF173" s="712"/>
      <c r="IV173" s="713"/>
      <c r="IW173" s="712"/>
      <c r="JM173" s="713"/>
      <c r="JN173" s="712"/>
      <c r="KD173" s="713"/>
      <c r="KE173" s="712"/>
      <c r="KU173" s="713"/>
      <c r="KV173" s="712"/>
      <c r="LL173" s="713"/>
      <c r="LM173" s="712"/>
      <c r="MC173" s="713"/>
      <c r="MD173" s="712"/>
      <c r="MT173" s="713"/>
      <c r="MU173" s="712"/>
      <c r="NK173" s="713"/>
      <c r="NL173" s="712"/>
      <c r="OB173" s="713"/>
      <c r="OC173" s="712"/>
      <c r="OQ173" s="56"/>
      <c r="OS173" s="713"/>
      <c r="OT173" s="712"/>
      <c r="PJ173" s="713"/>
      <c r="PK173" s="712"/>
      <c r="QA173" s="713"/>
      <c r="QB173" s="712"/>
      <c r="QR173" s="713"/>
      <c r="QS173" s="712"/>
      <c r="RI173" s="713"/>
      <c r="RJ173" s="712"/>
      <c r="RY173" s="56"/>
      <c r="RZ173" s="713"/>
      <c r="SA173" s="712"/>
      <c r="SO173" s="56"/>
      <c r="SQ173" s="713"/>
      <c r="SR173" s="712"/>
      <c r="TH173" s="713"/>
      <c r="TI173" s="712"/>
      <c r="TW173" s="56"/>
      <c r="TY173" s="713"/>
    </row>
    <row r="174" spans="1:545" x14ac:dyDescent="0.25">
      <c r="B174" s="712"/>
      <c r="R174" s="713"/>
      <c r="S174" s="712"/>
      <c r="AI174" s="713"/>
      <c r="AJ174" s="712"/>
      <c r="AZ174" s="713"/>
      <c r="BA174" s="712"/>
      <c r="BQ174" s="713"/>
      <c r="BR174" s="712"/>
      <c r="CH174" s="713"/>
      <c r="CI174" s="712"/>
      <c r="CY174" s="713"/>
      <c r="CZ174" s="712"/>
      <c r="DP174" s="713"/>
      <c r="DQ174" s="712"/>
      <c r="EG174" s="713"/>
      <c r="EH174" s="712"/>
      <c r="EX174" s="713"/>
      <c r="EY174" s="712"/>
      <c r="FO174" s="713"/>
      <c r="FP174" s="712"/>
      <c r="GF174" s="713"/>
      <c r="GG174" s="712"/>
      <c r="GW174" s="713"/>
      <c r="GX174" s="712"/>
      <c r="HN174" s="713"/>
      <c r="HO174" s="712"/>
      <c r="IE174" s="713"/>
      <c r="IF174" s="712"/>
      <c r="IV174" s="713"/>
      <c r="IW174" s="712"/>
      <c r="JM174" s="713"/>
      <c r="JN174" s="712"/>
      <c r="KD174" s="713"/>
      <c r="KE174" s="712"/>
      <c r="KU174" s="713"/>
      <c r="KV174" s="712"/>
      <c r="LL174" s="713"/>
      <c r="LM174" s="712"/>
      <c r="MC174" s="713"/>
      <c r="MD174" s="712"/>
      <c r="MT174" s="713"/>
      <c r="MU174" s="712"/>
      <c r="NK174" s="713"/>
      <c r="NL174" s="712"/>
      <c r="OB174" s="713"/>
      <c r="OC174" s="712"/>
      <c r="OQ174" s="56"/>
      <c r="OS174" s="713"/>
      <c r="OT174" s="712"/>
      <c r="PJ174" s="713"/>
      <c r="PK174" s="712"/>
      <c r="QA174" s="713"/>
      <c r="QB174" s="712"/>
      <c r="QR174" s="713"/>
      <c r="QS174" s="712"/>
      <c r="RI174" s="713"/>
      <c r="RJ174" s="712"/>
      <c r="RZ174" s="713"/>
      <c r="SA174" s="712"/>
      <c r="SQ174" s="713"/>
      <c r="SR174" s="712"/>
      <c r="TH174" s="713"/>
      <c r="TI174" s="712"/>
      <c r="TY174" s="713"/>
    </row>
    <row r="175" spans="1:545" x14ac:dyDescent="0.25">
      <c r="B175" s="712"/>
      <c r="R175" s="713"/>
      <c r="S175" s="712"/>
      <c r="AI175" s="713"/>
      <c r="AJ175" s="712"/>
      <c r="AZ175" s="713"/>
      <c r="BA175" s="712"/>
      <c r="BQ175" s="713"/>
      <c r="BR175" s="712"/>
      <c r="CH175" s="713"/>
      <c r="CI175" s="712"/>
      <c r="CY175" s="713"/>
      <c r="CZ175" s="712"/>
      <c r="DP175" s="713"/>
      <c r="DQ175" s="712"/>
      <c r="EG175" s="713"/>
      <c r="EH175" s="712"/>
      <c r="EX175" s="713"/>
      <c r="EY175" s="712"/>
      <c r="FO175" s="713"/>
      <c r="FP175" s="712"/>
      <c r="GF175" s="713"/>
      <c r="GG175" s="712"/>
      <c r="GW175" s="713"/>
      <c r="GX175" s="712"/>
      <c r="HN175" s="713"/>
      <c r="HO175" s="712"/>
      <c r="IE175" s="713"/>
      <c r="IF175" s="712"/>
      <c r="IV175" s="713"/>
      <c r="IW175" s="712"/>
      <c r="JM175" s="713"/>
      <c r="JN175" s="712"/>
      <c r="KD175" s="713"/>
      <c r="KE175" s="712"/>
      <c r="KU175" s="713"/>
      <c r="KV175" s="712"/>
      <c r="LL175" s="713"/>
      <c r="LM175" s="712"/>
      <c r="MC175" s="713"/>
      <c r="MD175" s="712"/>
      <c r="MT175" s="713"/>
      <c r="MU175" s="712"/>
      <c r="NK175" s="713"/>
      <c r="NL175" s="712"/>
      <c r="OB175" s="713"/>
      <c r="OC175" s="712"/>
      <c r="OS175" s="713"/>
      <c r="OT175" s="712"/>
      <c r="PJ175" s="713"/>
      <c r="PK175" s="712"/>
      <c r="QA175" s="713"/>
      <c r="QB175" s="712"/>
      <c r="QR175" s="713"/>
      <c r="QS175" s="712"/>
      <c r="RI175" s="713"/>
      <c r="RJ175" s="712"/>
      <c r="RZ175" s="713"/>
      <c r="SA175" s="712"/>
      <c r="SQ175" s="713"/>
      <c r="SR175" s="712"/>
      <c r="TH175" s="713"/>
      <c r="TI175" s="712"/>
      <c r="TY175" s="713"/>
    </row>
    <row r="176" spans="1:545" x14ac:dyDescent="0.25">
      <c r="B176" s="712"/>
      <c r="R176" s="713"/>
      <c r="S176" s="712"/>
      <c r="AI176" s="713"/>
      <c r="AJ176" s="712"/>
      <c r="AZ176" s="713"/>
      <c r="BA176" s="712"/>
      <c r="BQ176" s="713"/>
      <c r="BR176" s="712"/>
      <c r="CH176" s="713"/>
      <c r="CI176" s="712"/>
      <c r="CY176" s="713"/>
      <c r="CZ176" s="712"/>
      <c r="DP176" s="713"/>
      <c r="DQ176" s="712"/>
      <c r="EG176" s="713"/>
      <c r="EH176" s="712"/>
      <c r="EX176" s="713"/>
      <c r="EY176" s="712"/>
      <c r="FO176" s="713"/>
      <c r="FP176" s="712"/>
      <c r="GF176" s="713"/>
      <c r="GG176" s="712"/>
      <c r="GW176" s="713"/>
      <c r="GX176" s="712"/>
      <c r="HN176" s="713"/>
      <c r="HO176" s="712"/>
      <c r="IE176" s="713"/>
      <c r="IF176" s="712"/>
      <c r="IV176" s="713"/>
      <c r="IW176" s="712"/>
      <c r="JM176" s="713"/>
      <c r="JN176" s="712"/>
      <c r="KD176" s="713"/>
      <c r="KE176" s="712"/>
      <c r="KU176" s="713"/>
      <c r="KV176" s="712"/>
      <c r="LL176" s="713"/>
      <c r="LM176" s="712"/>
      <c r="MC176" s="713"/>
      <c r="MD176" s="712"/>
      <c r="MT176" s="713"/>
      <c r="MU176" s="712"/>
      <c r="NK176" s="713"/>
      <c r="NL176" s="712"/>
      <c r="OB176" s="713"/>
      <c r="OC176" s="712"/>
      <c r="OS176" s="713"/>
      <c r="OT176" s="712"/>
      <c r="PJ176" s="713"/>
      <c r="PK176" s="712"/>
      <c r="QA176" s="713"/>
      <c r="QB176" s="712"/>
      <c r="QR176" s="713"/>
      <c r="QS176" s="712"/>
      <c r="RI176" s="713"/>
      <c r="RJ176" s="712"/>
      <c r="RZ176" s="713"/>
      <c r="SA176" s="712"/>
      <c r="SQ176" s="713"/>
      <c r="SR176" s="712"/>
      <c r="TH176" s="713"/>
      <c r="TI176" s="712"/>
      <c r="TY176" s="713"/>
    </row>
    <row r="177" spans="2:545" x14ac:dyDescent="0.25">
      <c r="B177" s="712"/>
      <c r="R177" s="713"/>
      <c r="S177" s="712"/>
      <c r="AI177" s="713"/>
      <c r="AJ177" s="712"/>
      <c r="AZ177" s="713"/>
      <c r="BA177" s="712"/>
      <c r="BQ177" s="713"/>
      <c r="BR177" s="712"/>
      <c r="CH177" s="713"/>
      <c r="CI177" s="712"/>
      <c r="CY177" s="713"/>
      <c r="CZ177" s="712"/>
      <c r="DP177" s="713"/>
      <c r="DQ177" s="712"/>
      <c r="EG177" s="713"/>
      <c r="EH177" s="712"/>
      <c r="EX177" s="713"/>
      <c r="EY177" s="712"/>
      <c r="FO177" s="713"/>
      <c r="FP177" s="712"/>
      <c r="GF177" s="713"/>
      <c r="GG177" s="712"/>
      <c r="GW177" s="713"/>
      <c r="GX177" s="712"/>
      <c r="HN177" s="713"/>
      <c r="HO177" s="712"/>
      <c r="IE177" s="713"/>
      <c r="IF177" s="712"/>
      <c r="IV177" s="713"/>
      <c r="IW177" s="712"/>
      <c r="JM177" s="713"/>
      <c r="JN177" s="712"/>
      <c r="KD177" s="713"/>
      <c r="KE177" s="712"/>
      <c r="KU177" s="713"/>
      <c r="KV177" s="712"/>
      <c r="LL177" s="713"/>
      <c r="LM177" s="712"/>
      <c r="MC177" s="713"/>
      <c r="MD177" s="712"/>
      <c r="MT177" s="713"/>
      <c r="MU177" s="712"/>
      <c r="NK177" s="713"/>
      <c r="NL177" s="712"/>
      <c r="OB177" s="713"/>
      <c r="OC177" s="712"/>
      <c r="OS177" s="713"/>
      <c r="OT177" s="712"/>
      <c r="PJ177" s="713"/>
      <c r="PK177" s="712"/>
      <c r="QA177" s="713"/>
      <c r="QB177" s="712"/>
      <c r="QR177" s="713"/>
      <c r="QS177" s="712"/>
      <c r="RI177" s="713"/>
      <c r="RJ177" s="712"/>
      <c r="RZ177" s="713"/>
      <c r="SA177" s="712"/>
      <c r="SQ177" s="713"/>
      <c r="SR177" s="712"/>
      <c r="TH177" s="713"/>
      <c r="TI177" s="712"/>
      <c r="TY177" s="713"/>
    </row>
    <row r="178" spans="2:545" x14ac:dyDescent="0.25">
      <c r="B178" s="712"/>
      <c r="R178" s="713"/>
      <c r="S178" s="712"/>
      <c r="AI178" s="713"/>
      <c r="AJ178" s="712"/>
      <c r="AZ178" s="713"/>
      <c r="BA178" s="712"/>
      <c r="BQ178" s="713"/>
      <c r="BR178" s="712"/>
      <c r="CH178" s="713"/>
      <c r="CI178" s="712"/>
      <c r="CY178" s="713"/>
      <c r="CZ178" s="712"/>
      <c r="DP178" s="713"/>
      <c r="DQ178" s="712"/>
      <c r="EG178" s="713"/>
      <c r="EH178" s="712"/>
      <c r="EX178" s="713"/>
      <c r="EY178" s="712"/>
      <c r="FO178" s="713"/>
      <c r="FP178" s="712"/>
      <c r="GF178" s="713"/>
      <c r="GG178" s="712"/>
      <c r="GW178" s="713"/>
      <c r="GX178" s="712"/>
      <c r="HN178" s="713"/>
      <c r="HO178" s="712"/>
      <c r="IE178" s="713"/>
      <c r="IF178" s="712"/>
      <c r="IV178" s="713"/>
      <c r="IW178" s="712"/>
      <c r="JM178" s="713"/>
      <c r="JN178" s="712"/>
      <c r="KD178" s="713"/>
      <c r="KE178" s="712"/>
      <c r="KU178" s="713"/>
      <c r="KV178" s="712"/>
      <c r="LL178" s="713"/>
      <c r="LM178" s="712"/>
      <c r="MC178" s="713"/>
      <c r="MD178" s="712"/>
      <c r="MT178" s="713"/>
      <c r="MU178" s="712"/>
      <c r="NK178" s="713"/>
      <c r="NL178" s="712"/>
      <c r="OB178" s="713"/>
      <c r="OC178" s="712"/>
      <c r="OS178" s="713"/>
      <c r="OT178" s="712"/>
      <c r="PJ178" s="713"/>
      <c r="PK178" s="712"/>
      <c r="QA178" s="713"/>
      <c r="QB178" s="712"/>
      <c r="QR178" s="713"/>
      <c r="QS178" s="712"/>
      <c r="RI178" s="713"/>
      <c r="RJ178" s="712"/>
      <c r="RZ178" s="713"/>
      <c r="SA178" s="712"/>
      <c r="SQ178" s="713"/>
      <c r="SR178" s="712"/>
      <c r="TH178" s="713"/>
      <c r="TI178" s="712"/>
      <c r="TY178" s="713"/>
    </row>
    <row r="179" spans="2:545" x14ac:dyDescent="0.25">
      <c r="B179" s="712"/>
      <c r="R179" s="713"/>
      <c r="S179" s="712"/>
      <c r="AI179" s="713"/>
      <c r="AJ179" s="712"/>
      <c r="AZ179" s="713"/>
      <c r="BA179" s="712"/>
      <c r="BQ179" s="713"/>
      <c r="BR179" s="712"/>
      <c r="CH179" s="713"/>
      <c r="CI179" s="712"/>
      <c r="CY179" s="713"/>
      <c r="CZ179" s="712"/>
      <c r="DP179" s="713"/>
      <c r="DQ179" s="712"/>
      <c r="EG179" s="713"/>
      <c r="EH179" s="712"/>
      <c r="EX179" s="713"/>
      <c r="EY179" s="712"/>
      <c r="FO179" s="713"/>
      <c r="FP179" s="712"/>
      <c r="GF179" s="713"/>
      <c r="GG179" s="712"/>
      <c r="GW179" s="713"/>
      <c r="GX179" s="712"/>
      <c r="HN179" s="713"/>
      <c r="HO179" s="712"/>
      <c r="IE179" s="713"/>
      <c r="IF179" s="712"/>
      <c r="IV179" s="713"/>
      <c r="IW179" s="712"/>
      <c r="JM179" s="713"/>
      <c r="JN179" s="712"/>
      <c r="KD179" s="713"/>
      <c r="KE179" s="712"/>
      <c r="KU179" s="713"/>
      <c r="KV179" s="712"/>
      <c r="LL179" s="713"/>
      <c r="LM179" s="712"/>
      <c r="MC179" s="713"/>
      <c r="MD179" s="712"/>
      <c r="MT179" s="713"/>
      <c r="MU179" s="712"/>
      <c r="NK179" s="713"/>
      <c r="NL179" s="712"/>
      <c r="OB179" s="713"/>
      <c r="OC179" s="712"/>
      <c r="OS179" s="713"/>
      <c r="OT179" s="712"/>
      <c r="PJ179" s="713"/>
      <c r="PK179" s="712"/>
      <c r="QA179" s="713"/>
      <c r="QB179" s="712"/>
      <c r="QR179" s="713"/>
      <c r="QS179" s="712"/>
      <c r="RI179" s="713"/>
      <c r="RJ179" s="712"/>
      <c r="RZ179" s="713"/>
      <c r="SA179" s="712"/>
      <c r="SQ179" s="713"/>
      <c r="SR179" s="712"/>
      <c r="TH179" s="713"/>
      <c r="TI179" s="712"/>
      <c r="TY179" s="713"/>
    </row>
    <row r="180" spans="2:545" x14ac:dyDescent="0.25">
      <c r="B180" s="712"/>
      <c r="R180" s="713"/>
      <c r="S180" s="712"/>
      <c r="AI180" s="713"/>
      <c r="AJ180" s="712"/>
      <c r="AZ180" s="713"/>
      <c r="BA180" s="712"/>
      <c r="BQ180" s="713"/>
      <c r="BR180" s="712"/>
      <c r="CH180" s="713"/>
      <c r="CI180" s="712"/>
      <c r="CY180" s="713"/>
      <c r="CZ180" s="712"/>
      <c r="DP180" s="713"/>
      <c r="DQ180" s="712"/>
      <c r="EG180" s="713"/>
      <c r="EH180" s="712"/>
      <c r="EX180" s="713"/>
      <c r="EY180" s="712"/>
      <c r="FO180" s="713"/>
      <c r="FP180" s="712"/>
      <c r="GF180" s="713"/>
      <c r="GG180" s="712"/>
      <c r="GW180" s="713"/>
      <c r="GX180" s="712"/>
      <c r="HN180" s="713"/>
      <c r="HO180" s="712"/>
      <c r="IE180" s="713"/>
      <c r="IF180" s="712"/>
      <c r="IV180" s="713"/>
      <c r="IW180" s="712"/>
      <c r="JM180" s="713"/>
      <c r="JN180" s="712"/>
      <c r="KD180" s="713"/>
      <c r="KE180" s="712"/>
      <c r="KU180" s="713"/>
      <c r="KV180" s="712"/>
      <c r="LL180" s="713"/>
      <c r="LM180" s="712"/>
      <c r="MC180" s="713"/>
      <c r="MD180" s="712"/>
      <c r="MT180" s="713"/>
      <c r="MU180" s="712"/>
      <c r="NK180" s="713"/>
      <c r="NL180" s="712"/>
      <c r="OB180" s="713"/>
      <c r="OC180" s="712"/>
      <c r="OS180" s="713"/>
      <c r="OT180" s="712"/>
      <c r="PJ180" s="713"/>
      <c r="PK180" s="712"/>
      <c r="QA180" s="713"/>
      <c r="QB180" s="712"/>
      <c r="QR180" s="713"/>
      <c r="QS180" s="712"/>
      <c r="RI180" s="713"/>
      <c r="RJ180" s="712"/>
      <c r="RZ180" s="713"/>
      <c r="SA180" s="712"/>
      <c r="SQ180" s="713"/>
      <c r="SR180" s="712"/>
      <c r="TH180" s="713"/>
      <c r="TI180" s="712"/>
      <c r="TY180" s="713"/>
    </row>
    <row r="181" spans="2:545" x14ac:dyDescent="0.25">
      <c r="B181" s="712"/>
      <c r="R181" s="713"/>
      <c r="S181" s="712"/>
      <c r="AI181" s="713"/>
      <c r="AJ181" s="712"/>
      <c r="AZ181" s="713"/>
      <c r="BA181" s="712"/>
      <c r="BQ181" s="713"/>
      <c r="BR181" s="712"/>
      <c r="CH181" s="713"/>
      <c r="CI181" s="712"/>
      <c r="CY181" s="713"/>
      <c r="CZ181" s="712"/>
      <c r="DP181" s="713"/>
      <c r="DQ181" s="712"/>
      <c r="EG181" s="713"/>
      <c r="EH181" s="712"/>
      <c r="EX181" s="713"/>
      <c r="EY181" s="712"/>
      <c r="FO181" s="713"/>
      <c r="FP181" s="712"/>
      <c r="GF181" s="713"/>
      <c r="GG181" s="712"/>
      <c r="GW181" s="713"/>
      <c r="GX181" s="712"/>
      <c r="HN181" s="713"/>
      <c r="HO181" s="712"/>
      <c r="IE181" s="713"/>
      <c r="IF181" s="712"/>
      <c r="IV181" s="713"/>
      <c r="IW181" s="712"/>
      <c r="JM181" s="713"/>
      <c r="JN181" s="712"/>
      <c r="KD181" s="713"/>
      <c r="KE181" s="712"/>
      <c r="KU181" s="713"/>
      <c r="KV181" s="712"/>
      <c r="LL181" s="713"/>
      <c r="LM181" s="712"/>
      <c r="MC181" s="713"/>
      <c r="MD181" s="712"/>
      <c r="MT181" s="713"/>
      <c r="MU181" s="712"/>
      <c r="NK181" s="713"/>
      <c r="NL181" s="712"/>
      <c r="OB181" s="713"/>
      <c r="OC181" s="712"/>
      <c r="OS181" s="713"/>
      <c r="OT181" s="712"/>
      <c r="PJ181" s="713"/>
      <c r="PK181" s="712"/>
      <c r="QA181" s="713"/>
      <c r="QB181" s="712"/>
      <c r="QR181" s="713"/>
      <c r="QS181" s="712"/>
      <c r="RI181" s="713"/>
      <c r="RJ181" s="712"/>
      <c r="RZ181" s="713"/>
      <c r="SA181" s="712"/>
      <c r="SQ181" s="713"/>
      <c r="SR181" s="712"/>
      <c r="TH181" s="713"/>
      <c r="TI181" s="712"/>
      <c r="TY181" s="713"/>
    </row>
    <row r="182" spans="2:545" x14ac:dyDescent="0.25">
      <c r="B182" s="712"/>
      <c r="R182" s="713"/>
      <c r="S182" s="712"/>
      <c r="AI182" s="713"/>
      <c r="AJ182" s="712"/>
      <c r="AZ182" s="713"/>
      <c r="BA182" s="712"/>
      <c r="BQ182" s="713"/>
      <c r="BR182" s="712"/>
      <c r="CH182" s="713"/>
      <c r="CI182" s="712"/>
      <c r="CY182" s="713"/>
      <c r="CZ182" s="712"/>
      <c r="DP182" s="713"/>
      <c r="DQ182" s="712"/>
      <c r="EG182" s="713"/>
      <c r="EH182" s="712"/>
      <c r="EX182" s="713"/>
      <c r="EY182" s="712"/>
      <c r="FO182" s="713"/>
      <c r="FP182" s="712"/>
      <c r="GF182" s="713"/>
      <c r="GG182" s="712"/>
      <c r="GW182" s="713"/>
      <c r="GX182" s="712"/>
      <c r="HN182" s="713"/>
      <c r="HO182" s="712"/>
      <c r="IE182" s="713"/>
      <c r="IF182" s="712"/>
      <c r="IV182" s="713"/>
      <c r="IW182" s="712"/>
      <c r="JM182" s="713"/>
      <c r="JN182" s="712"/>
      <c r="KD182" s="713"/>
      <c r="KE182" s="712"/>
      <c r="KU182" s="713"/>
      <c r="KV182" s="712"/>
      <c r="LL182" s="713"/>
      <c r="LM182" s="712"/>
      <c r="MC182" s="713"/>
      <c r="MD182" s="712"/>
      <c r="MT182" s="713"/>
      <c r="MU182" s="712"/>
      <c r="NK182" s="713"/>
      <c r="NL182" s="712"/>
      <c r="OB182" s="713"/>
      <c r="OC182" s="712"/>
      <c r="OS182" s="713"/>
      <c r="OT182" s="712"/>
      <c r="PJ182" s="713"/>
      <c r="PK182" s="712"/>
      <c r="QA182" s="713"/>
      <c r="QB182" s="712"/>
      <c r="QR182" s="713"/>
      <c r="QS182" s="712"/>
      <c r="RI182" s="713"/>
      <c r="RJ182" s="712"/>
      <c r="RZ182" s="713"/>
      <c r="SA182" s="712"/>
      <c r="SQ182" s="713"/>
      <c r="SR182" s="712"/>
      <c r="TH182" s="713"/>
      <c r="TI182" s="712"/>
      <c r="TY182" s="713"/>
    </row>
    <row r="183" spans="2:545" x14ac:dyDescent="0.25">
      <c r="B183" s="712"/>
      <c r="R183" s="713"/>
      <c r="S183" s="712"/>
      <c r="AI183" s="713"/>
      <c r="AJ183" s="712"/>
      <c r="AZ183" s="713"/>
      <c r="BA183" s="712"/>
      <c r="BQ183" s="713"/>
      <c r="BR183" s="712"/>
      <c r="CH183" s="713"/>
      <c r="CI183" s="712"/>
      <c r="CY183" s="713"/>
      <c r="CZ183" s="712"/>
      <c r="DP183" s="713"/>
      <c r="DQ183" s="712"/>
      <c r="EG183" s="713"/>
      <c r="EH183" s="712"/>
      <c r="EX183" s="713"/>
      <c r="EY183" s="712"/>
      <c r="FO183" s="713"/>
      <c r="FP183" s="712"/>
      <c r="GF183" s="713"/>
      <c r="GG183" s="712"/>
      <c r="GW183" s="713"/>
      <c r="GX183" s="712"/>
      <c r="HN183" s="713"/>
      <c r="HO183" s="712"/>
      <c r="IE183" s="713"/>
      <c r="IF183" s="712"/>
      <c r="IV183" s="713"/>
      <c r="IW183" s="712"/>
      <c r="JM183" s="713"/>
      <c r="JN183" s="712"/>
      <c r="KD183" s="713"/>
      <c r="KE183" s="712"/>
      <c r="KU183" s="713"/>
      <c r="KV183" s="712"/>
      <c r="LL183" s="713"/>
      <c r="LM183" s="712"/>
      <c r="MC183" s="713"/>
      <c r="MD183" s="712"/>
      <c r="MT183" s="713"/>
      <c r="MU183" s="712"/>
      <c r="NK183" s="713"/>
      <c r="NL183" s="712"/>
      <c r="OB183" s="713"/>
      <c r="OC183" s="712"/>
      <c r="OS183" s="713"/>
      <c r="OT183" s="712"/>
      <c r="PJ183" s="713"/>
      <c r="PK183" s="712"/>
      <c r="QA183" s="713"/>
      <c r="QB183" s="712"/>
      <c r="QR183" s="713"/>
      <c r="QS183" s="712"/>
      <c r="RI183" s="713"/>
      <c r="RJ183" s="712"/>
      <c r="RZ183" s="713"/>
      <c r="SA183" s="712"/>
      <c r="SQ183" s="713"/>
      <c r="SR183" s="712"/>
      <c r="TH183" s="713"/>
      <c r="TI183" s="712"/>
      <c r="TY183" s="713"/>
    </row>
    <row r="184" spans="2:545" x14ac:dyDescent="0.25">
      <c r="B184" s="712"/>
      <c r="R184" s="713"/>
      <c r="S184" s="712"/>
      <c r="AI184" s="713"/>
      <c r="AJ184" s="712"/>
      <c r="AZ184" s="713"/>
      <c r="BA184" s="712"/>
      <c r="BQ184" s="713"/>
      <c r="BR184" s="712"/>
      <c r="CH184" s="713"/>
      <c r="CI184" s="712"/>
      <c r="CY184" s="713"/>
      <c r="CZ184" s="712"/>
      <c r="DP184" s="713"/>
      <c r="DQ184" s="712"/>
      <c r="EG184" s="713"/>
      <c r="EH184" s="712"/>
      <c r="EX184" s="713"/>
      <c r="EY184" s="712"/>
      <c r="FO184" s="713"/>
      <c r="FP184" s="712"/>
      <c r="GF184" s="713"/>
      <c r="GG184" s="712"/>
      <c r="GW184" s="713"/>
      <c r="GX184" s="712"/>
      <c r="HN184" s="713"/>
      <c r="HO184" s="712"/>
      <c r="IE184" s="713"/>
      <c r="IF184" s="712"/>
      <c r="IV184" s="713"/>
      <c r="IW184" s="712"/>
      <c r="JM184" s="713"/>
      <c r="JN184" s="712"/>
      <c r="KD184" s="713"/>
      <c r="KE184" s="712"/>
      <c r="KU184" s="713"/>
      <c r="KV184" s="712"/>
      <c r="LL184" s="713"/>
      <c r="LM184" s="712"/>
      <c r="MC184" s="713"/>
      <c r="MD184" s="712"/>
      <c r="MT184" s="713"/>
      <c r="MU184" s="712"/>
      <c r="NK184" s="713"/>
      <c r="NL184" s="712"/>
      <c r="OB184" s="713"/>
      <c r="OC184" s="712"/>
      <c r="OS184" s="713"/>
      <c r="OT184" s="712"/>
      <c r="PJ184" s="713"/>
      <c r="PK184" s="712"/>
      <c r="QA184" s="713"/>
      <c r="QB184" s="712"/>
      <c r="QR184" s="713"/>
      <c r="QS184" s="712"/>
      <c r="RI184" s="713"/>
      <c r="RJ184" s="712"/>
      <c r="RZ184" s="713"/>
      <c r="SA184" s="712"/>
      <c r="SQ184" s="713"/>
      <c r="SR184" s="712"/>
      <c r="TH184" s="713"/>
      <c r="TI184" s="712"/>
      <c r="TY184" s="713"/>
    </row>
    <row r="185" spans="2:545" x14ac:dyDescent="0.25">
      <c r="B185" s="712"/>
      <c r="R185" s="713"/>
      <c r="S185" s="712"/>
      <c r="AI185" s="713"/>
      <c r="AJ185" s="712"/>
      <c r="AZ185" s="713"/>
      <c r="BA185" s="712"/>
      <c r="BQ185" s="713"/>
      <c r="BR185" s="712"/>
      <c r="CH185" s="713"/>
      <c r="CI185" s="712"/>
      <c r="CY185" s="713"/>
      <c r="CZ185" s="712"/>
      <c r="DP185" s="713"/>
      <c r="DQ185" s="712"/>
      <c r="EG185" s="713"/>
      <c r="EH185" s="712"/>
      <c r="EX185" s="713"/>
      <c r="EY185" s="712"/>
      <c r="FO185" s="713"/>
      <c r="FP185" s="712"/>
      <c r="GF185" s="713"/>
      <c r="GG185" s="712"/>
      <c r="GW185" s="713"/>
      <c r="GX185" s="712"/>
      <c r="HN185" s="713"/>
      <c r="HO185" s="712"/>
      <c r="IE185" s="713"/>
      <c r="IF185" s="712"/>
      <c r="IV185" s="713"/>
      <c r="IW185" s="712"/>
      <c r="JM185" s="713"/>
      <c r="JN185" s="712"/>
      <c r="KD185" s="713"/>
      <c r="KE185" s="712"/>
      <c r="KU185" s="713"/>
      <c r="KV185" s="712"/>
      <c r="LL185" s="713"/>
      <c r="LM185" s="712"/>
      <c r="MC185" s="713"/>
      <c r="MD185" s="712"/>
      <c r="MT185" s="713"/>
      <c r="MU185" s="712"/>
      <c r="NK185" s="713"/>
      <c r="NL185" s="712"/>
      <c r="OB185" s="713"/>
      <c r="OC185" s="712"/>
      <c r="OS185" s="713"/>
      <c r="OT185" s="712"/>
      <c r="PJ185" s="713"/>
      <c r="PK185" s="712"/>
      <c r="QA185" s="713"/>
      <c r="QB185" s="712"/>
      <c r="QR185" s="713"/>
      <c r="QS185" s="712"/>
      <c r="RI185" s="713"/>
      <c r="RJ185" s="712"/>
      <c r="RZ185" s="713"/>
      <c r="SA185" s="712"/>
      <c r="SQ185" s="713"/>
      <c r="SR185" s="712"/>
      <c r="TH185" s="713"/>
      <c r="TI185" s="712"/>
      <c r="TY185" s="713"/>
    </row>
    <row r="186" spans="2:545" x14ac:dyDescent="0.25">
      <c r="B186" s="712"/>
      <c r="R186" s="713"/>
      <c r="S186" s="712"/>
      <c r="AI186" s="713"/>
      <c r="AJ186" s="712"/>
      <c r="AZ186" s="713"/>
      <c r="BA186" s="712"/>
      <c r="BQ186" s="713"/>
      <c r="BR186" s="712"/>
      <c r="CH186" s="713"/>
      <c r="CI186" s="712"/>
      <c r="CY186" s="713"/>
      <c r="CZ186" s="712"/>
      <c r="DP186" s="713"/>
      <c r="DQ186" s="712"/>
      <c r="EG186" s="713"/>
      <c r="EH186" s="712"/>
      <c r="EX186" s="713"/>
      <c r="EY186" s="712"/>
      <c r="FO186" s="713"/>
      <c r="FP186" s="712"/>
      <c r="GF186" s="713"/>
      <c r="GG186" s="712"/>
      <c r="GW186" s="713"/>
      <c r="GX186" s="712"/>
      <c r="HN186" s="713"/>
      <c r="HO186" s="712"/>
      <c r="IE186" s="713"/>
      <c r="IF186" s="712"/>
      <c r="IV186" s="713"/>
      <c r="IW186" s="712"/>
      <c r="JM186" s="713"/>
      <c r="JN186" s="712"/>
      <c r="KD186" s="713"/>
      <c r="KE186" s="712"/>
      <c r="KU186" s="713"/>
      <c r="KV186" s="712"/>
      <c r="LL186" s="713"/>
      <c r="LM186" s="712"/>
      <c r="MC186" s="713"/>
      <c r="MD186" s="712"/>
      <c r="MT186" s="713"/>
      <c r="MU186" s="712"/>
      <c r="NK186" s="713"/>
      <c r="NL186" s="712"/>
      <c r="OB186" s="713"/>
      <c r="OC186" s="712"/>
      <c r="OS186" s="713"/>
      <c r="OT186" s="712"/>
      <c r="PJ186" s="713"/>
      <c r="PK186" s="712"/>
      <c r="QA186" s="713"/>
      <c r="QB186" s="712"/>
      <c r="QR186" s="713"/>
      <c r="QS186" s="712"/>
      <c r="RI186" s="713"/>
      <c r="RJ186" s="712"/>
      <c r="RZ186" s="713"/>
      <c r="SA186" s="712"/>
      <c r="SQ186" s="713"/>
      <c r="SR186" s="712"/>
      <c r="TH186" s="713"/>
      <c r="TI186" s="712"/>
      <c r="TY186" s="713"/>
    </row>
    <row r="187" spans="2:545" ht="15.75" customHeight="1" x14ac:dyDescent="0.25">
      <c r="B187" s="712"/>
      <c r="R187" s="713"/>
      <c r="S187" s="712"/>
      <c r="AI187" s="713"/>
      <c r="AJ187" s="712"/>
      <c r="AZ187" s="713"/>
      <c r="BA187" s="712"/>
      <c r="BQ187" s="713"/>
      <c r="BR187" s="712"/>
      <c r="CH187" s="713"/>
      <c r="CI187" s="712"/>
      <c r="CY187" s="713"/>
      <c r="CZ187" s="712"/>
      <c r="DP187" s="713"/>
      <c r="DQ187" s="712"/>
      <c r="EG187" s="713"/>
      <c r="EH187" s="712"/>
      <c r="EX187" s="713"/>
      <c r="EY187" s="712"/>
      <c r="FO187" s="713"/>
      <c r="FP187" s="712"/>
      <c r="GF187" s="713"/>
      <c r="GG187" s="712"/>
      <c r="GW187" s="713"/>
      <c r="GX187" s="712"/>
      <c r="HN187" s="713"/>
      <c r="HO187" s="712"/>
      <c r="IE187" s="713"/>
      <c r="IF187" s="712"/>
      <c r="IV187" s="713"/>
      <c r="IW187" s="712"/>
      <c r="JM187" s="713"/>
      <c r="JN187" s="712"/>
      <c r="KD187" s="713"/>
      <c r="KE187" s="712"/>
      <c r="KU187" s="713"/>
      <c r="KV187" s="712"/>
      <c r="LL187" s="713"/>
      <c r="LM187" s="712"/>
      <c r="MC187" s="713"/>
      <c r="MD187" s="712"/>
      <c r="MT187" s="713"/>
      <c r="MU187" s="712"/>
      <c r="NK187" s="713"/>
      <c r="NL187" s="712"/>
      <c r="OB187" s="713"/>
      <c r="OC187" s="712"/>
      <c r="OS187" s="713"/>
      <c r="OT187" s="712"/>
      <c r="PJ187" s="713"/>
      <c r="PK187" s="712"/>
      <c r="QA187" s="713"/>
      <c r="QB187" s="712"/>
      <c r="QR187" s="713"/>
      <c r="QS187" s="712"/>
      <c r="RI187" s="713"/>
      <c r="RJ187" s="712"/>
      <c r="RZ187" s="713"/>
      <c r="SA187" s="712"/>
      <c r="SQ187" s="713"/>
      <c r="SR187" s="712"/>
      <c r="TH187" s="713"/>
      <c r="TI187" s="712"/>
      <c r="TY187" s="713"/>
    </row>
    <row r="188" spans="2:545" x14ac:dyDescent="0.25">
      <c r="B188" s="712"/>
      <c r="R188" s="713"/>
      <c r="S188" s="712"/>
      <c r="AI188" s="713"/>
      <c r="AJ188" s="712"/>
      <c r="AZ188" s="713"/>
      <c r="BA188" s="712"/>
      <c r="BQ188" s="713"/>
      <c r="BR188" s="712"/>
      <c r="CH188" s="713"/>
      <c r="CI188" s="712"/>
      <c r="CY188" s="713"/>
      <c r="CZ188" s="712"/>
      <c r="DP188" s="713"/>
      <c r="DQ188" s="712"/>
      <c r="EG188" s="713"/>
      <c r="EH188" s="712"/>
      <c r="EX188" s="713"/>
      <c r="EY188" s="712"/>
      <c r="FO188" s="713"/>
      <c r="FP188" s="712"/>
      <c r="GF188" s="713"/>
      <c r="GG188" s="712"/>
      <c r="GW188" s="713"/>
      <c r="GX188" s="712"/>
      <c r="HN188" s="713"/>
      <c r="HO188" s="712"/>
      <c r="IE188" s="713"/>
      <c r="IF188" s="712"/>
      <c r="IV188" s="713"/>
      <c r="IW188" s="712"/>
      <c r="JM188" s="713"/>
      <c r="JN188" s="712"/>
      <c r="KD188" s="713"/>
      <c r="KE188" s="712"/>
      <c r="KU188" s="713"/>
      <c r="KV188" s="712"/>
      <c r="LL188" s="713"/>
      <c r="LM188" s="712"/>
      <c r="MC188" s="713"/>
      <c r="MD188" s="712"/>
      <c r="MT188" s="713"/>
      <c r="MU188" s="712"/>
      <c r="NK188" s="713"/>
      <c r="NL188" s="712"/>
      <c r="OB188" s="713"/>
      <c r="OC188" s="712"/>
      <c r="OS188" s="713"/>
      <c r="OT188" s="712"/>
      <c r="PJ188" s="713"/>
      <c r="PK188" s="712"/>
      <c r="QA188" s="713"/>
      <c r="QB188" s="712"/>
      <c r="QR188" s="713"/>
      <c r="QS188" s="712"/>
      <c r="RI188" s="713"/>
      <c r="RJ188" s="712"/>
      <c r="RZ188" s="713"/>
      <c r="SA188" s="712"/>
      <c r="SQ188" s="713"/>
      <c r="SR188" s="712"/>
      <c r="TH188" s="713"/>
      <c r="TI188" s="712"/>
      <c r="TY188" s="713"/>
    </row>
    <row r="189" spans="2:545" x14ac:dyDescent="0.25">
      <c r="B189" s="712"/>
      <c r="R189" s="713"/>
      <c r="S189" s="712"/>
      <c r="AI189" s="713"/>
      <c r="AJ189" s="712"/>
      <c r="AZ189" s="713"/>
      <c r="BA189" s="712"/>
      <c r="BQ189" s="713"/>
      <c r="BR189" s="712"/>
      <c r="CH189" s="713"/>
      <c r="CI189" s="712"/>
      <c r="CY189" s="713"/>
      <c r="CZ189" s="712"/>
      <c r="DP189" s="713"/>
      <c r="DQ189" s="712"/>
      <c r="EG189" s="713"/>
      <c r="EH189" s="712"/>
      <c r="EX189" s="713"/>
      <c r="EY189" s="712"/>
      <c r="FO189" s="713"/>
      <c r="FP189" s="712"/>
      <c r="GF189" s="713"/>
      <c r="GG189" s="712"/>
      <c r="GW189" s="713"/>
      <c r="GX189" s="712"/>
      <c r="HN189" s="713"/>
      <c r="HO189" s="712"/>
      <c r="IE189" s="713"/>
      <c r="IF189" s="712"/>
      <c r="IV189" s="713"/>
      <c r="IW189" s="712"/>
      <c r="JM189" s="713"/>
      <c r="JN189" s="712"/>
      <c r="KD189" s="713"/>
      <c r="KE189" s="712"/>
      <c r="KU189" s="713"/>
      <c r="KV189" s="712"/>
      <c r="LL189" s="713"/>
      <c r="LM189" s="712"/>
      <c r="MC189" s="713"/>
      <c r="MD189" s="712"/>
      <c r="MT189" s="713"/>
      <c r="MU189" s="712"/>
      <c r="NK189" s="713"/>
      <c r="NL189" s="712"/>
      <c r="OB189" s="713"/>
      <c r="OC189" s="712"/>
      <c r="OS189" s="713"/>
      <c r="OT189" s="712"/>
      <c r="PJ189" s="713"/>
      <c r="PK189" s="712"/>
      <c r="QA189" s="713"/>
      <c r="QB189" s="712"/>
      <c r="QR189" s="713"/>
      <c r="QS189" s="712"/>
      <c r="RI189" s="713"/>
      <c r="RJ189" s="712"/>
      <c r="RZ189" s="713"/>
      <c r="SA189" s="712"/>
      <c r="SQ189" s="713"/>
      <c r="SR189" s="712"/>
      <c r="TH189" s="713"/>
      <c r="TI189" s="712"/>
      <c r="TY189" s="713"/>
    </row>
    <row r="190" spans="2:545" x14ac:dyDescent="0.25">
      <c r="B190" s="712"/>
      <c r="R190" s="713"/>
      <c r="S190" s="712"/>
      <c r="AI190" s="713"/>
      <c r="AJ190" s="712"/>
      <c r="AZ190" s="713"/>
      <c r="BA190" s="712"/>
      <c r="BQ190" s="713"/>
      <c r="BR190" s="712"/>
      <c r="CH190" s="713"/>
      <c r="CI190" s="712"/>
      <c r="CY190" s="713"/>
      <c r="CZ190" s="712"/>
      <c r="DP190" s="713"/>
      <c r="DQ190" s="712"/>
      <c r="EG190" s="713"/>
      <c r="EH190" s="712"/>
      <c r="EX190" s="713"/>
      <c r="EY190" s="712"/>
      <c r="FO190" s="713"/>
      <c r="FP190" s="712"/>
      <c r="GF190" s="713"/>
      <c r="GG190" s="712"/>
      <c r="GW190" s="713"/>
      <c r="GX190" s="712"/>
      <c r="HN190" s="713"/>
      <c r="HO190" s="712"/>
      <c r="IE190" s="713"/>
      <c r="IF190" s="712"/>
      <c r="IV190" s="713"/>
      <c r="IW190" s="712"/>
      <c r="JM190" s="713"/>
      <c r="JN190" s="712"/>
      <c r="KD190" s="713"/>
      <c r="KE190" s="712"/>
      <c r="KU190" s="713"/>
      <c r="KV190" s="712"/>
      <c r="LL190" s="713"/>
      <c r="LM190" s="712"/>
      <c r="MC190" s="713"/>
      <c r="MD190" s="712"/>
      <c r="MT190" s="713"/>
      <c r="MU190" s="712"/>
      <c r="NK190" s="713"/>
      <c r="NL190" s="712"/>
      <c r="OB190" s="713"/>
      <c r="OC190" s="712"/>
      <c r="OS190" s="713"/>
      <c r="OT190" s="712"/>
      <c r="PJ190" s="713"/>
      <c r="PK190" s="712"/>
      <c r="QA190" s="713"/>
      <c r="QB190" s="712"/>
      <c r="QR190" s="713"/>
      <c r="QS190" s="712"/>
      <c r="RI190" s="713"/>
      <c r="RJ190" s="712"/>
      <c r="RZ190" s="713"/>
      <c r="SA190" s="712"/>
      <c r="SQ190" s="713"/>
      <c r="SR190" s="712"/>
      <c r="TH190" s="713"/>
      <c r="TI190" s="712"/>
      <c r="TY190" s="713"/>
    </row>
    <row r="191" spans="2:545" x14ac:dyDescent="0.25">
      <c r="B191" s="712"/>
      <c r="R191" s="713"/>
      <c r="S191" s="712"/>
      <c r="AI191" s="713"/>
      <c r="AJ191" s="712"/>
      <c r="AZ191" s="713"/>
      <c r="BA191" s="712"/>
      <c r="BQ191" s="713"/>
      <c r="BR191" s="712"/>
      <c r="CH191" s="713"/>
      <c r="CI191" s="712"/>
      <c r="CY191" s="713"/>
      <c r="CZ191" s="712"/>
      <c r="DP191" s="713"/>
      <c r="DQ191" s="712"/>
      <c r="EG191" s="713"/>
      <c r="EH191" s="712"/>
      <c r="EX191" s="713"/>
      <c r="EY191" s="712"/>
      <c r="FO191" s="713"/>
      <c r="FP191" s="712"/>
      <c r="GF191" s="713"/>
      <c r="GG191" s="712"/>
      <c r="GW191" s="713"/>
      <c r="GX191" s="712"/>
      <c r="HN191" s="713"/>
      <c r="HO191" s="712"/>
      <c r="IE191" s="713"/>
      <c r="IF191" s="712"/>
      <c r="IV191" s="713"/>
      <c r="IW191" s="712"/>
      <c r="JM191" s="713"/>
      <c r="JN191" s="712"/>
      <c r="KD191" s="713"/>
      <c r="KE191" s="712"/>
      <c r="KU191" s="713"/>
      <c r="KV191" s="712"/>
      <c r="LL191" s="713"/>
      <c r="LM191" s="712"/>
      <c r="MC191" s="713"/>
      <c r="MD191" s="712"/>
      <c r="MT191" s="713"/>
      <c r="MU191" s="712"/>
      <c r="NK191" s="713"/>
      <c r="NL191" s="712"/>
      <c r="OB191" s="713"/>
      <c r="OC191" s="712"/>
      <c r="OS191" s="713"/>
      <c r="OT191" s="712"/>
      <c r="PJ191" s="713"/>
      <c r="PK191" s="712"/>
      <c r="QA191" s="713"/>
      <c r="QB191" s="712"/>
      <c r="QR191" s="713"/>
      <c r="QS191" s="712"/>
      <c r="RI191" s="713"/>
      <c r="RJ191" s="712"/>
      <c r="RZ191" s="713"/>
      <c r="SA191" s="712"/>
      <c r="SQ191" s="713"/>
      <c r="SR191" s="712"/>
      <c r="TH191" s="713"/>
      <c r="TI191" s="712"/>
      <c r="TY191" s="713"/>
    </row>
    <row r="192" spans="2:545" x14ac:dyDescent="0.25">
      <c r="B192" s="712"/>
      <c r="R192" s="713"/>
      <c r="S192" s="712"/>
      <c r="AI192" s="713"/>
      <c r="AJ192" s="712"/>
      <c r="AZ192" s="713"/>
      <c r="BA192" s="712"/>
      <c r="BQ192" s="713"/>
      <c r="BR192" s="712"/>
      <c r="CH192" s="713"/>
      <c r="CI192" s="712"/>
      <c r="CY192" s="713"/>
      <c r="CZ192" s="712"/>
      <c r="DP192" s="713"/>
      <c r="DQ192" s="712"/>
      <c r="EG192" s="713"/>
      <c r="EH192" s="712"/>
      <c r="EX192" s="713"/>
      <c r="EY192" s="712"/>
      <c r="FO192" s="713"/>
      <c r="FP192" s="712"/>
      <c r="GF192" s="713"/>
      <c r="GG192" s="712"/>
      <c r="GW192" s="713"/>
      <c r="GX192" s="712"/>
      <c r="HN192" s="713"/>
      <c r="HO192" s="712"/>
      <c r="IE192" s="713"/>
      <c r="IF192" s="712"/>
      <c r="IV192" s="713"/>
      <c r="IW192" s="712"/>
      <c r="JM192" s="713"/>
      <c r="JN192" s="712"/>
      <c r="KD192" s="713"/>
      <c r="KE192" s="712"/>
      <c r="KU192" s="713"/>
      <c r="KV192" s="712"/>
      <c r="LL192" s="713"/>
      <c r="LM192" s="712"/>
      <c r="MC192" s="713"/>
      <c r="MD192" s="712"/>
      <c r="MT192" s="713"/>
      <c r="MU192" s="712"/>
      <c r="NK192" s="713"/>
      <c r="NL192" s="712"/>
      <c r="OB192" s="713"/>
      <c r="OC192" s="712"/>
      <c r="OS192" s="713"/>
      <c r="OT192" s="712"/>
      <c r="PJ192" s="713"/>
      <c r="PK192" s="712"/>
      <c r="QA192" s="713"/>
      <c r="QB192" s="712"/>
      <c r="QR192" s="713"/>
      <c r="QS192" s="712"/>
      <c r="RI192" s="713"/>
      <c r="RJ192" s="712"/>
      <c r="RZ192" s="713"/>
      <c r="SA192" s="712"/>
      <c r="SQ192" s="713"/>
      <c r="SR192" s="712"/>
      <c r="TH192" s="713"/>
      <c r="TI192" s="712"/>
      <c r="TY192" s="713"/>
    </row>
    <row r="193" spans="2:545" x14ac:dyDescent="0.25">
      <c r="B193" s="712"/>
      <c r="R193" s="713"/>
      <c r="S193" s="712"/>
      <c r="AI193" s="713"/>
      <c r="AJ193" s="712"/>
      <c r="AZ193" s="713"/>
      <c r="BA193" s="712"/>
      <c r="BQ193" s="713"/>
      <c r="BR193" s="712"/>
      <c r="CH193" s="713"/>
      <c r="CI193" s="712"/>
      <c r="CY193" s="713"/>
      <c r="CZ193" s="712"/>
      <c r="DP193" s="713"/>
      <c r="DQ193" s="712"/>
      <c r="EG193" s="713"/>
      <c r="EH193" s="712"/>
      <c r="EX193" s="713"/>
      <c r="EY193" s="712"/>
      <c r="FO193" s="713"/>
      <c r="FP193" s="712"/>
      <c r="GF193" s="713"/>
      <c r="GG193" s="712"/>
      <c r="GW193" s="713"/>
      <c r="GX193" s="712"/>
      <c r="HN193" s="713"/>
      <c r="HO193" s="712"/>
      <c r="IE193" s="713"/>
      <c r="IF193" s="712"/>
      <c r="IV193" s="713"/>
      <c r="IW193" s="712"/>
      <c r="JM193" s="713"/>
      <c r="JN193" s="712"/>
      <c r="KD193" s="713"/>
      <c r="KE193" s="712"/>
      <c r="KU193" s="713"/>
      <c r="KV193" s="712"/>
      <c r="LL193" s="713"/>
      <c r="LM193" s="712"/>
      <c r="MC193" s="713"/>
      <c r="MD193" s="712"/>
      <c r="MT193" s="713"/>
      <c r="MU193" s="712"/>
      <c r="NK193" s="713"/>
      <c r="NL193" s="712"/>
      <c r="OB193" s="713"/>
      <c r="OC193" s="712"/>
      <c r="OS193" s="713"/>
      <c r="OT193" s="712"/>
      <c r="PJ193" s="713"/>
      <c r="PK193" s="712"/>
      <c r="QA193" s="713"/>
      <c r="QB193" s="712"/>
      <c r="QR193" s="713"/>
      <c r="QS193" s="712"/>
      <c r="RI193" s="713"/>
      <c r="RJ193" s="712"/>
      <c r="RZ193" s="713"/>
      <c r="SA193" s="712"/>
      <c r="SQ193" s="713"/>
      <c r="SR193" s="712"/>
      <c r="TH193" s="713"/>
      <c r="TI193" s="712"/>
      <c r="TY193" s="713"/>
    </row>
    <row r="194" spans="2:545" x14ac:dyDescent="0.25">
      <c r="B194" s="712"/>
      <c r="R194" s="713"/>
      <c r="S194" s="712"/>
      <c r="AI194" s="713"/>
      <c r="AJ194" s="712"/>
      <c r="AZ194" s="713"/>
      <c r="BA194" s="712"/>
      <c r="BQ194" s="713"/>
      <c r="BR194" s="712"/>
      <c r="CH194" s="713"/>
      <c r="CI194" s="712"/>
      <c r="CY194" s="713"/>
      <c r="CZ194" s="712"/>
      <c r="DP194" s="713"/>
      <c r="DQ194" s="712"/>
      <c r="EG194" s="713"/>
      <c r="EH194" s="712"/>
      <c r="EX194" s="713"/>
      <c r="EY194" s="712"/>
      <c r="FO194" s="713"/>
      <c r="FP194" s="712"/>
      <c r="GF194" s="713"/>
      <c r="GG194" s="712"/>
      <c r="GW194" s="713"/>
      <c r="GX194" s="712"/>
      <c r="HN194" s="713"/>
      <c r="HO194" s="712"/>
      <c r="IE194" s="713"/>
      <c r="IF194" s="712"/>
      <c r="IV194" s="713"/>
      <c r="IW194" s="712"/>
      <c r="JM194" s="713"/>
      <c r="JN194" s="712"/>
      <c r="KD194" s="713"/>
      <c r="KE194" s="712"/>
      <c r="KU194" s="713"/>
      <c r="KV194" s="712"/>
      <c r="LL194" s="713"/>
      <c r="LM194" s="712"/>
      <c r="MC194" s="713"/>
      <c r="MD194" s="712"/>
      <c r="MT194" s="713"/>
      <c r="MU194" s="712"/>
      <c r="NK194" s="713"/>
      <c r="NL194" s="712"/>
      <c r="OB194" s="713"/>
      <c r="OC194" s="712"/>
      <c r="OS194" s="713"/>
      <c r="OT194" s="712"/>
      <c r="PJ194" s="713"/>
      <c r="PK194" s="712"/>
      <c r="QA194" s="713"/>
      <c r="QB194" s="712"/>
      <c r="QR194" s="713"/>
      <c r="QS194" s="712"/>
      <c r="RI194" s="713"/>
      <c r="RJ194" s="712"/>
      <c r="RZ194" s="713"/>
      <c r="SA194" s="712"/>
      <c r="SQ194" s="713"/>
      <c r="SR194" s="712"/>
      <c r="TH194" s="713"/>
      <c r="TI194" s="712"/>
      <c r="TY194" s="713"/>
    </row>
    <row r="195" spans="2:545" x14ac:dyDescent="0.25">
      <c r="B195" s="712"/>
      <c r="R195" s="713"/>
      <c r="S195" s="712"/>
      <c r="AI195" s="713"/>
      <c r="AJ195" s="712"/>
      <c r="AZ195" s="713"/>
      <c r="BA195" s="712"/>
      <c r="BQ195" s="713"/>
      <c r="BR195" s="712"/>
      <c r="CH195" s="713"/>
      <c r="CI195" s="712"/>
      <c r="CY195" s="713"/>
      <c r="CZ195" s="712"/>
      <c r="DP195" s="713"/>
      <c r="DQ195" s="712"/>
      <c r="EG195" s="713"/>
      <c r="EH195" s="712"/>
      <c r="EX195" s="713"/>
      <c r="EY195" s="712"/>
      <c r="FO195" s="713"/>
      <c r="FP195" s="712"/>
      <c r="GF195" s="713"/>
      <c r="GG195" s="712"/>
      <c r="GW195" s="713"/>
      <c r="GX195" s="712"/>
      <c r="HN195" s="713"/>
      <c r="HO195" s="712"/>
      <c r="IE195" s="713"/>
      <c r="IF195" s="712"/>
      <c r="IV195" s="713"/>
      <c r="IW195" s="712"/>
      <c r="JM195" s="713"/>
      <c r="JN195" s="712"/>
      <c r="KD195" s="713"/>
      <c r="KE195" s="712"/>
      <c r="KU195" s="713"/>
      <c r="KV195" s="712"/>
      <c r="LL195" s="713"/>
      <c r="LM195" s="712"/>
      <c r="MC195" s="713"/>
      <c r="MD195" s="712"/>
      <c r="MT195" s="713"/>
      <c r="MU195" s="712"/>
      <c r="NK195" s="713"/>
      <c r="NL195" s="712"/>
      <c r="OB195" s="713"/>
      <c r="OC195" s="712"/>
      <c r="OS195" s="713"/>
      <c r="OT195" s="712"/>
      <c r="PJ195" s="713"/>
      <c r="PK195" s="712"/>
      <c r="QA195" s="713"/>
      <c r="QB195" s="712"/>
      <c r="QR195" s="713"/>
      <c r="QS195" s="712"/>
      <c r="RI195" s="713"/>
      <c r="RJ195" s="712"/>
      <c r="RZ195" s="713"/>
      <c r="SA195" s="712"/>
      <c r="SQ195" s="713"/>
      <c r="SR195" s="712"/>
      <c r="TH195" s="713"/>
      <c r="TI195" s="712"/>
      <c r="TY195" s="713"/>
    </row>
    <row r="196" spans="2:545" x14ac:dyDescent="0.25">
      <c r="B196" s="712"/>
      <c r="R196" s="713"/>
      <c r="S196" s="712"/>
      <c r="AI196" s="713"/>
      <c r="AJ196" s="712"/>
      <c r="AZ196" s="713"/>
      <c r="BA196" s="712"/>
      <c r="BQ196" s="713"/>
      <c r="BR196" s="712"/>
      <c r="CH196" s="713"/>
      <c r="CI196" s="712"/>
      <c r="CY196" s="713"/>
      <c r="CZ196" s="712"/>
      <c r="DP196" s="713"/>
      <c r="DQ196" s="712"/>
      <c r="EG196" s="713"/>
      <c r="EH196" s="712"/>
      <c r="EX196" s="713"/>
      <c r="EY196" s="712"/>
      <c r="FO196" s="713"/>
      <c r="FP196" s="712"/>
      <c r="GF196" s="713"/>
      <c r="GG196" s="712"/>
      <c r="GW196" s="713"/>
      <c r="GX196" s="712"/>
      <c r="HN196" s="713"/>
      <c r="HO196" s="712"/>
      <c r="IE196" s="713"/>
      <c r="IF196" s="712"/>
      <c r="IV196" s="713"/>
      <c r="IW196" s="712"/>
      <c r="JM196" s="713"/>
      <c r="JN196" s="712"/>
      <c r="KD196" s="713"/>
      <c r="KE196" s="712"/>
      <c r="KU196" s="713"/>
      <c r="KV196" s="712"/>
      <c r="LL196" s="713"/>
      <c r="LM196" s="712"/>
      <c r="MC196" s="713"/>
      <c r="MD196" s="712"/>
      <c r="MT196" s="713"/>
      <c r="MU196" s="712"/>
      <c r="NK196" s="713"/>
      <c r="NL196" s="712"/>
      <c r="OB196" s="713"/>
      <c r="OC196" s="712"/>
      <c r="OS196" s="713"/>
      <c r="OT196" s="712"/>
      <c r="PJ196" s="713"/>
      <c r="PK196" s="712"/>
      <c r="QA196" s="713"/>
      <c r="QB196" s="712"/>
      <c r="QR196" s="713"/>
      <c r="QS196" s="712"/>
      <c r="RI196" s="713"/>
      <c r="RJ196" s="712"/>
      <c r="RZ196" s="713"/>
      <c r="SA196" s="712"/>
      <c r="SQ196" s="713"/>
      <c r="SR196" s="712"/>
      <c r="TH196" s="713"/>
      <c r="TI196" s="712"/>
      <c r="TY196" s="713"/>
    </row>
    <row r="197" spans="2:545" x14ac:dyDescent="0.25">
      <c r="B197" s="712"/>
      <c r="R197" s="713"/>
      <c r="S197" s="712"/>
      <c r="AI197" s="713"/>
      <c r="AJ197" s="712"/>
      <c r="AZ197" s="713"/>
      <c r="BA197" s="712"/>
      <c r="BQ197" s="713"/>
      <c r="BR197" s="712"/>
      <c r="CH197" s="713"/>
      <c r="CI197" s="712"/>
      <c r="CY197" s="713"/>
      <c r="CZ197" s="712"/>
      <c r="DP197" s="713"/>
      <c r="DQ197" s="712"/>
      <c r="EG197" s="713"/>
      <c r="EH197" s="712"/>
      <c r="EX197" s="713"/>
      <c r="EY197" s="712"/>
      <c r="FO197" s="713"/>
      <c r="FP197" s="712"/>
      <c r="GF197" s="713"/>
      <c r="GG197" s="712"/>
      <c r="GW197" s="713"/>
      <c r="GX197" s="712"/>
      <c r="HN197" s="713"/>
      <c r="HO197" s="712"/>
      <c r="IE197" s="713"/>
      <c r="IF197" s="712"/>
      <c r="IV197" s="713"/>
      <c r="IW197" s="712"/>
      <c r="JM197" s="713"/>
      <c r="JN197" s="712"/>
      <c r="KD197" s="713"/>
      <c r="KE197" s="712"/>
      <c r="KU197" s="713"/>
      <c r="KV197" s="712"/>
      <c r="LL197" s="713"/>
      <c r="LM197" s="712"/>
      <c r="MC197" s="713"/>
      <c r="MD197" s="712"/>
      <c r="MT197" s="713"/>
      <c r="MU197" s="712"/>
      <c r="NK197" s="713"/>
      <c r="NL197" s="712"/>
      <c r="OB197" s="713"/>
      <c r="OC197" s="712"/>
      <c r="OS197" s="713"/>
      <c r="OT197" s="712"/>
      <c r="PJ197" s="713"/>
      <c r="PK197" s="712"/>
      <c r="QA197" s="713"/>
      <c r="QB197" s="712"/>
      <c r="QR197" s="713"/>
      <c r="QS197" s="712"/>
      <c r="RI197" s="713"/>
      <c r="RJ197" s="712"/>
      <c r="RZ197" s="713"/>
      <c r="SA197" s="712"/>
      <c r="SQ197" s="713"/>
      <c r="SR197" s="712"/>
      <c r="TH197" s="713"/>
      <c r="TI197" s="712"/>
      <c r="TY197" s="713"/>
    </row>
    <row r="198" spans="2:545" x14ac:dyDescent="0.25">
      <c r="B198" s="712"/>
      <c r="R198" s="713"/>
      <c r="S198" s="712"/>
      <c r="AI198" s="713"/>
      <c r="AJ198" s="712"/>
      <c r="AZ198" s="713"/>
      <c r="BA198" s="712"/>
      <c r="BQ198" s="713"/>
      <c r="BR198" s="712"/>
      <c r="CH198" s="713"/>
      <c r="CI198" s="712"/>
      <c r="CY198" s="713"/>
      <c r="CZ198" s="712"/>
      <c r="DP198" s="713"/>
      <c r="DQ198" s="712"/>
      <c r="EG198" s="713"/>
      <c r="EH198" s="712"/>
      <c r="EX198" s="713"/>
      <c r="EY198" s="712"/>
      <c r="FO198" s="713"/>
      <c r="FP198" s="712"/>
      <c r="GF198" s="713"/>
      <c r="GG198" s="712"/>
      <c r="GW198" s="713"/>
      <c r="GX198" s="712"/>
      <c r="HN198" s="713"/>
      <c r="HO198" s="712"/>
      <c r="IE198" s="713"/>
      <c r="IF198" s="712"/>
      <c r="IV198" s="713"/>
      <c r="IW198" s="712"/>
      <c r="JM198" s="713"/>
      <c r="JN198" s="712"/>
      <c r="KD198" s="713"/>
      <c r="KE198" s="712"/>
      <c r="KU198" s="713"/>
      <c r="KV198" s="712"/>
      <c r="LL198" s="713"/>
      <c r="LM198" s="712"/>
      <c r="MC198" s="713"/>
      <c r="MD198" s="712"/>
      <c r="MT198" s="713"/>
      <c r="MU198" s="712"/>
      <c r="NK198" s="713"/>
      <c r="NL198" s="712"/>
      <c r="OB198" s="713"/>
      <c r="OC198" s="712"/>
      <c r="OS198" s="713"/>
      <c r="OT198" s="712"/>
      <c r="PJ198" s="713"/>
      <c r="PK198" s="712"/>
      <c r="QA198" s="713"/>
      <c r="QB198" s="712"/>
      <c r="QR198" s="713"/>
      <c r="QS198" s="712"/>
      <c r="RI198" s="713"/>
      <c r="RJ198" s="712"/>
      <c r="RZ198" s="713"/>
      <c r="SA198" s="712"/>
      <c r="SQ198" s="713"/>
      <c r="SR198" s="712"/>
      <c r="TH198" s="713"/>
      <c r="TI198" s="712"/>
      <c r="TY198" s="713"/>
    </row>
    <row r="199" spans="2:545" x14ac:dyDescent="0.25">
      <c r="B199" s="712"/>
      <c r="R199" s="713"/>
      <c r="S199" s="712"/>
      <c r="AI199" s="713"/>
      <c r="AJ199" s="712"/>
      <c r="AZ199" s="713"/>
      <c r="BA199" s="712"/>
      <c r="BQ199" s="713"/>
      <c r="BR199" s="712"/>
      <c r="CH199" s="713"/>
      <c r="CI199" s="712"/>
      <c r="CY199" s="713"/>
      <c r="CZ199" s="712"/>
      <c r="DP199" s="713"/>
      <c r="DQ199" s="712"/>
      <c r="EG199" s="713"/>
      <c r="EH199" s="712"/>
      <c r="EX199" s="713"/>
      <c r="EY199" s="712"/>
      <c r="FO199" s="713"/>
      <c r="FP199" s="712"/>
      <c r="GF199" s="713"/>
      <c r="GG199" s="712"/>
      <c r="GW199" s="713"/>
      <c r="GX199" s="712"/>
      <c r="HN199" s="713"/>
      <c r="HO199" s="712"/>
      <c r="IE199" s="713"/>
      <c r="IF199" s="712"/>
      <c r="IV199" s="713"/>
      <c r="IW199" s="712"/>
      <c r="JM199" s="713"/>
      <c r="JN199" s="712"/>
      <c r="KD199" s="713"/>
      <c r="KE199" s="712"/>
      <c r="KU199" s="713"/>
      <c r="KV199" s="712"/>
      <c r="LL199" s="713"/>
      <c r="LM199" s="712"/>
      <c r="MC199" s="713"/>
      <c r="MD199" s="712"/>
      <c r="MT199" s="713"/>
      <c r="MU199" s="712"/>
      <c r="NK199" s="713"/>
      <c r="NL199" s="712"/>
      <c r="OB199" s="713"/>
      <c r="OC199" s="712"/>
      <c r="OS199" s="713"/>
      <c r="OT199" s="712"/>
      <c r="PJ199" s="713"/>
      <c r="PK199" s="712"/>
      <c r="QA199" s="713"/>
      <c r="QB199" s="712"/>
      <c r="QR199" s="713"/>
      <c r="QS199" s="712"/>
      <c r="RI199" s="713"/>
      <c r="RJ199" s="712"/>
      <c r="RZ199" s="713"/>
      <c r="SA199" s="712"/>
      <c r="SQ199" s="713"/>
      <c r="SR199" s="712"/>
      <c r="TH199" s="713"/>
      <c r="TI199" s="712"/>
      <c r="TY199" s="713"/>
    </row>
    <row r="200" spans="2:545" x14ac:dyDescent="0.25">
      <c r="B200" s="712"/>
      <c r="R200" s="713"/>
      <c r="S200" s="712"/>
      <c r="AI200" s="713"/>
      <c r="AJ200" s="712"/>
      <c r="AZ200" s="713"/>
      <c r="BA200" s="712"/>
      <c r="BQ200" s="713"/>
      <c r="BR200" s="712"/>
      <c r="CH200" s="713"/>
      <c r="CI200" s="712"/>
      <c r="CY200" s="713"/>
      <c r="CZ200" s="712"/>
      <c r="DP200" s="713"/>
      <c r="DQ200" s="712"/>
      <c r="EG200" s="713"/>
      <c r="EH200" s="712"/>
      <c r="EX200" s="713"/>
      <c r="EY200" s="712"/>
      <c r="FO200" s="713"/>
      <c r="FP200" s="712"/>
      <c r="GF200" s="713"/>
      <c r="GG200" s="712"/>
      <c r="GW200" s="713"/>
      <c r="GX200" s="712"/>
      <c r="HN200" s="713"/>
      <c r="HO200" s="712"/>
      <c r="IE200" s="713"/>
      <c r="IF200" s="712"/>
      <c r="IV200" s="713"/>
      <c r="IW200" s="712"/>
      <c r="JM200" s="713"/>
      <c r="JN200" s="712"/>
      <c r="KD200" s="713"/>
      <c r="KE200" s="712"/>
      <c r="KU200" s="713"/>
      <c r="KV200" s="712"/>
      <c r="LL200" s="713"/>
      <c r="LM200" s="712"/>
      <c r="MC200" s="713"/>
      <c r="MD200" s="712"/>
      <c r="MT200" s="713"/>
      <c r="MU200" s="712"/>
      <c r="NK200" s="713"/>
      <c r="NL200" s="712"/>
      <c r="OB200" s="713"/>
      <c r="OC200" s="712"/>
      <c r="OS200" s="713"/>
      <c r="OT200" s="712"/>
      <c r="PJ200" s="713"/>
      <c r="PK200" s="712"/>
      <c r="QA200" s="713"/>
      <c r="QB200" s="712"/>
      <c r="QR200" s="713"/>
      <c r="QS200" s="712"/>
      <c r="RI200" s="713"/>
      <c r="RJ200" s="712"/>
      <c r="RZ200" s="713"/>
      <c r="SA200" s="712"/>
      <c r="SQ200" s="713"/>
      <c r="SR200" s="712"/>
      <c r="TH200" s="713"/>
      <c r="TI200" s="712"/>
      <c r="TS200" s="56"/>
      <c r="TY200" s="713"/>
    </row>
    <row r="201" spans="2:545" x14ac:dyDescent="0.25">
      <c r="B201" s="712"/>
      <c r="R201" s="713"/>
      <c r="S201" s="712"/>
      <c r="AI201" s="713"/>
      <c r="AJ201" s="712"/>
      <c r="AZ201" s="713"/>
      <c r="BA201" s="712"/>
      <c r="BQ201" s="713"/>
      <c r="BR201" s="712"/>
      <c r="CH201" s="713"/>
      <c r="CI201" s="712"/>
      <c r="CY201" s="713"/>
      <c r="CZ201" s="712"/>
      <c r="DP201" s="713"/>
      <c r="DQ201" s="712"/>
      <c r="EG201" s="713"/>
      <c r="EH201" s="712"/>
      <c r="EX201" s="713"/>
      <c r="EY201" s="712"/>
      <c r="FO201" s="713"/>
      <c r="FP201" s="712"/>
      <c r="GF201" s="713"/>
      <c r="GG201" s="712"/>
      <c r="GW201" s="713"/>
      <c r="GX201" s="712"/>
      <c r="HN201" s="713"/>
      <c r="HO201" s="712"/>
      <c r="IE201" s="713"/>
      <c r="IF201" s="712"/>
      <c r="IV201" s="713"/>
      <c r="IW201" s="712"/>
      <c r="JM201" s="713"/>
      <c r="JN201" s="712"/>
      <c r="KD201" s="713"/>
      <c r="KE201" s="712"/>
      <c r="KU201" s="713"/>
      <c r="KV201" s="712"/>
      <c r="LL201" s="713"/>
      <c r="LM201" s="712"/>
      <c r="MC201" s="713"/>
      <c r="MD201" s="712"/>
      <c r="MT201" s="713"/>
      <c r="MU201" s="712"/>
      <c r="NK201" s="713"/>
      <c r="NL201" s="712"/>
      <c r="OB201" s="713"/>
      <c r="OC201" s="712"/>
      <c r="OS201" s="713"/>
      <c r="OT201" s="712"/>
      <c r="PJ201" s="713"/>
      <c r="PK201" s="712"/>
      <c r="QA201" s="713"/>
      <c r="QB201" s="712"/>
      <c r="QR201" s="713"/>
      <c r="QS201" s="712"/>
      <c r="RI201" s="713"/>
      <c r="RJ201" s="712"/>
      <c r="RZ201" s="713"/>
      <c r="SA201" s="712"/>
      <c r="SQ201" s="713"/>
      <c r="SR201" s="712"/>
      <c r="TH201" s="713"/>
      <c r="TI201" s="712"/>
      <c r="TS201" s="56"/>
      <c r="TY201" s="713"/>
    </row>
    <row r="202" spans="2:545" x14ac:dyDescent="0.25">
      <c r="B202" s="712"/>
      <c r="R202" s="713"/>
      <c r="S202" s="712"/>
      <c r="AI202" s="713"/>
      <c r="AJ202" s="712"/>
      <c r="AZ202" s="713"/>
      <c r="BA202" s="712"/>
      <c r="BQ202" s="713"/>
      <c r="BR202" s="712"/>
      <c r="CH202" s="713"/>
      <c r="CI202" s="712"/>
      <c r="CY202" s="713"/>
      <c r="CZ202" s="712"/>
      <c r="DP202" s="713"/>
      <c r="DQ202" s="712"/>
      <c r="EG202" s="713"/>
      <c r="EH202" s="712"/>
      <c r="EX202" s="713"/>
      <c r="EY202" s="712"/>
      <c r="FO202" s="713"/>
      <c r="FP202" s="712"/>
      <c r="GF202" s="713"/>
      <c r="GG202" s="712"/>
      <c r="GW202" s="713"/>
      <c r="GX202" s="712"/>
      <c r="HN202" s="713"/>
      <c r="HO202" s="712"/>
      <c r="IE202" s="713"/>
      <c r="IF202" s="712"/>
      <c r="IV202" s="713"/>
      <c r="IW202" s="712"/>
      <c r="JM202" s="713"/>
      <c r="JN202" s="712"/>
      <c r="KD202" s="713"/>
      <c r="KE202" s="712"/>
      <c r="KU202" s="713"/>
      <c r="KV202" s="712"/>
      <c r="LL202" s="713"/>
      <c r="LM202" s="712"/>
      <c r="MC202" s="713"/>
      <c r="MD202" s="712"/>
      <c r="MT202" s="713"/>
      <c r="MU202" s="712"/>
      <c r="NK202" s="713"/>
      <c r="NL202" s="712"/>
      <c r="OB202" s="713"/>
      <c r="OC202" s="712"/>
      <c r="OS202" s="713"/>
      <c r="OT202" s="712"/>
      <c r="PJ202" s="713"/>
      <c r="PK202" s="712"/>
      <c r="QA202" s="713"/>
      <c r="QB202" s="712"/>
      <c r="QR202" s="713"/>
      <c r="QS202" s="712"/>
      <c r="RI202" s="713"/>
      <c r="RJ202" s="712"/>
      <c r="RZ202" s="713"/>
      <c r="SA202" s="712"/>
      <c r="SQ202" s="713"/>
      <c r="SR202" s="712"/>
      <c r="TH202" s="713"/>
      <c r="TI202" s="712"/>
      <c r="TY202" s="713"/>
    </row>
    <row r="203" spans="2:545" x14ac:dyDescent="0.25">
      <c r="B203" s="712"/>
      <c r="R203" s="713"/>
      <c r="S203" s="712"/>
      <c r="AI203" s="713"/>
      <c r="AJ203" s="712"/>
      <c r="AZ203" s="713"/>
      <c r="BA203" s="712"/>
      <c r="BQ203" s="713"/>
      <c r="BR203" s="712"/>
      <c r="CH203" s="713"/>
      <c r="CI203" s="712"/>
      <c r="CY203" s="713"/>
      <c r="CZ203" s="712"/>
      <c r="DP203" s="713"/>
      <c r="DQ203" s="712"/>
      <c r="EG203" s="713"/>
      <c r="EH203" s="712"/>
      <c r="EX203" s="713"/>
      <c r="EY203" s="712"/>
      <c r="FO203" s="713"/>
      <c r="FP203" s="712"/>
      <c r="GF203" s="713"/>
      <c r="GG203" s="712"/>
      <c r="GW203" s="713"/>
      <c r="GX203" s="712"/>
      <c r="HN203" s="713"/>
      <c r="HO203" s="712"/>
      <c r="IE203" s="713"/>
      <c r="IF203" s="712"/>
      <c r="IV203" s="713"/>
      <c r="IW203" s="712"/>
      <c r="JM203" s="713"/>
      <c r="JN203" s="712"/>
      <c r="KD203" s="713"/>
      <c r="KE203" s="712"/>
      <c r="KU203" s="713"/>
      <c r="KV203" s="712"/>
      <c r="LL203" s="713"/>
      <c r="LM203" s="712"/>
      <c r="MC203" s="713"/>
      <c r="MD203" s="712"/>
      <c r="MT203" s="713"/>
      <c r="MU203" s="712"/>
      <c r="NI203" s="56"/>
      <c r="NK203" s="713"/>
      <c r="NL203" s="712"/>
      <c r="OB203" s="713"/>
      <c r="OC203" s="712"/>
      <c r="OS203" s="713"/>
      <c r="OT203" s="712"/>
      <c r="PJ203" s="713"/>
      <c r="PK203" s="712"/>
      <c r="QA203" s="713"/>
      <c r="QB203" s="712"/>
      <c r="QR203" s="713"/>
      <c r="QS203" s="712"/>
      <c r="RI203" s="713"/>
      <c r="RJ203" s="712"/>
      <c r="RZ203" s="713"/>
      <c r="SA203" s="712"/>
      <c r="SQ203" s="713"/>
      <c r="SR203" s="712"/>
      <c r="TH203" s="713"/>
      <c r="TI203" s="712"/>
      <c r="TY203" s="713"/>
    </row>
    <row r="204" spans="2:545" x14ac:dyDescent="0.25">
      <c r="B204" s="712"/>
      <c r="R204" s="713"/>
      <c r="S204" s="712"/>
      <c r="AI204" s="713"/>
      <c r="AJ204" s="712"/>
      <c r="AZ204" s="713"/>
      <c r="BA204" s="712"/>
      <c r="BQ204" s="713"/>
      <c r="BR204" s="712"/>
      <c r="CH204" s="713"/>
      <c r="CI204" s="712"/>
      <c r="CY204" s="713"/>
      <c r="CZ204" s="712"/>
      <c r="DP204" s="713"/>
      <c r="DQ204" s="712"/>
      <c r="EG204" s="713"/>
      <c r="EH204" s="712"/>
      <c r="EX204" s="713"/>
      <c r="EY204" s="712"/>
      <c r="FO204" s="713"/>
      <c r="FP204" s="712"/>
      <c r="GF204" s="713"/>
      <c r="GG204" s="712"/>
      <c r="GW204" s="713"/>
      <c r="GX204" s="712"/>
      <c r="HN204" s="713"/>
      <c r="HO204" s="712"/>
      <c r="IE204" s="713"/>
      <c r="IF204" s="712"/>
      <c r="IV204" s="713"/>
      <c r="IW204" s="712"/>
      <c r="JM204" s="713"/>
      <c r="JN204" s="712"/>
      <c r="KD204" s="713"/>
      <c r="KE204" s="712"/>
      <c r="KU204" s="713"/>
      <c r="KV204" s="712"/>
      <c r="LL204" s="713"/>
      <c r="LM204" s="712"/>
      <c r="MC204" s="713"/>
      <c r="MD204" s="712"/>
      <c r="MT204" s="713"/>
      <c r="MU204" s="712"/>
      <c r="NI204" s="56"/>
      <c r="NK204" s="713"/>
      <c r="NL204" s="712"/>
      <c r="OB204" s="713"/>
      <c r="OC204" s="712"/>
      <c r="OS204" s="713"/>
      <c r="OT204" s="712"/>
      <c r="PJ204" s="713"/>
      <c r="PK204" s="712"/>
      <c r="QA204" s="713"/>
      <c r="QB204" s="712"/>
      <c r="QR204" s="713"/>
      <c r="QS204" s="712"/>
      <c r="RI204" s="713"/>
      <c r="RJ204" s="712"/>
      <c r="RZ204" s="713"/>
      <c r="SA204" s="712"/>
      <c r="SQ204" s="713"/>
      <c r="SR204" s="712"/>
      <c r="TH204" s="713"/>
      <c r="TI204" s="712"/>
      <c r="TY204" s="713"/>
    </row>
    <row r="205" spans="2:545" x14ac:dyDescent="0.25">
      <c r="B205" s="712"/>
      <c r="M205" s="56"/>
      <c r="R205" s="713"/>
      <c r="S205" s="712"/>
      <c r="AI205" s="713"/>
      <c r="AJ205" s="712"/>
      <c r="AZ205" s="713"/>
      <c r="BA205" s="712"/>
      <c r="BQ205" s="713"/>
      <c r="BR205" s="712"/>
      <c r="CH205" s="713"/>
      <c r="CI205" s="712"/>
      <c r="CY205" s="713"/>
      <c r="CZ205" s="712"/>
      <c r="DP205" s="713"/>
      <c r="DQ205" s="712"/>
      <c r="EG205" s="713"/>
      <c r="EH205" s="712"/>
      <c r="EX205" s="713"/>
      <c r="EY205" s="712"/>
      <c r="FO205" s="713"/>
      <c r="FP205" s="712"/>
      <c r="GF205" s="713"/>
      <c r="GG205" s="712"/>
      <c r="GW205" s="713"/>
      <c r="GX205" s="712"/>
      <c r="HN205" s="713"/>
      <c r="HO205" s="712"/>
      <c r="IE205" s="713"/>
      <c r="IF205" s="712"/>
      <c r="IV205" s="713"/>
      <c r="IW205" s="712"/>
      <c r="JM205" s="713"/>
      <c r="JN205" s="712"/>
      <c r="KD205" s="713"/>
      <c r="KE205" s="712"/>
      <c r="KU205" s="713"/>
      <c r="KV205" s="712"/>
      <c r="LL205" s="713"/>
      <c r="LM205" s="712"/>
      <c r="MC205" s="713"/>
      <c r="MD205" s="712"/>
      <c r="MT205" s="713"/>
      <c r="MU205" s="712"/>
      <c r="NI205" s="56"/>
      <c r="NK205" s="713"/>
      <c r="NL205" s="712"/>
      <c r="OB205" s="713"/>
      <c r="OC205" s="712"/>
      <c r="OS205" s="713"/>
      <c r="OT205" s="712"/>
      <c r="PJ205" s="713"/>
      <c r="PK205" s="712"/>
      <c r="QA205" s="713"/>
      <c r="QB205" s="712"/>
      <c r="QR205" s="713"/>
      <c r="QS205" s="712"/>
      <c r="RI205" s="713"/>
      <c r="RJ205" s="712"/>
      <c r="RZ205" s="713"/>
      <c r="SA205" s="712"/>
      <c r="SQ205" s="713"/>
      <c r="SR205" s="712"/>
      <c r="TH205" s="713"/>
      <c r="TI205" s="712"/>
      <c r="TY205" s="713"/>
    </row>
    <row r="206" spans="2:545" x14ac:dyDescent="0.25">
      <c r="B206" s="716"/>
      <c r="M206" s="56"/>
      <c r="R206" s="713"/>
      <c r="S206" s="712"/>
      <c r="AI206" s="713"/>
      <c r="AJ206" s="712"/>
      <c r="AZ206" s="713"/>
      <c r="BA206" s="716"/>
      <c r="BQ206" s="713"/>
      <c r="BR206" s="716"/>
      <c r="CH206" s="713"/>
      <c r="CI206" s="716"/>
      <c r="CY206" s="713"/>
      <c r="CZ206" s="712"/>
      <c r="DP206" s="713"/>
      <c r="DQ206" s="712"/>
      <c r="EG206" s="713"/>
      <c r="EH206" s="716"/>
      <c r="EX206" s="713"/>
      <c r="EY206" s="712"/>
      <c r="FO206" s="713"/>
      <c r="FP206" s="712"/>
      <c r="GF206" s="713"/>
      <c r="GG206" s="712"/>
      <c r="GW206" s="713"/>
      <c r="GX206" s="712"/>
      <c r="HN206" s="713"/>
      <c r="HO206" s="712"/>
      <c r="IE206" s="713"/>
      <c r="IF206" s="712"/>
      <c r="IV206" s="713"/>
      <c r="IW206" s="712"/>
      <c r="JM206" s="713"/>
      <c r="JN206" s="712"/>
      <c r="KD206" s="713"/>
      <c r="KE206" s="712"/>
      <c r="KU206" s="713"/>
      <c r="KV206" s="712"/>
      <c r="LL206" s="713"/>
      <c r="LM206" s="712"/>
      <c r="MC206" s="713"/>
      <c r="MD206" s="716"/>
      <c r="MT206" s="713"/>
      <c r="MU206" s="716"/>
      <c r="NK206" s="713"/>
      <c r="NL206" s="712"/>
      <c r="OB206" s="713"/>
      <c r="OC206" s="716"/>
      <c r="OS206" s="713"/>
      <c r="OT206" s="712"/>
      <c r="PJ206" s="713"/>
      <c r="PK206" s="712"/>
      <c r="QA206" s="713"/>
      <c r="QB206" s="716"/>
      <c r="QR206" s="713"/>
      <c r="QS206" s="716"/>
      <c r="RI206" s="713"/>
      <c r="RJ206" s="716"/>
      <c r="RZ206" s="713"/>
      <c r="SA206" s="716"/>
      <c r="SQ206" s="713"/>
      <c r="SR206" s="712"/>
      <c r="TH206" s="713"/>
      <c r="TI206" s="716"/>
      <c r="TY206" s="713"/>
    </row>
    <row r="207" spans="2:545" x14ac:dyDescent="0.25">
      <c r="B207" s="712"/>
      <c r="C207" s="717" t="s">
        <v>79</v>
      </c>
      <c r="D207" s="560">
        <f>0.03782*EXP(-LN(2)/10990*($F$88-$F$87))</f>
        <v>3.7819999999999999E-2</v>
      </c>
      <c r="E207" s="718" t="s">
        <v>78</v>
      </c>
      <c r="F207" s="560">
        <v>1.121E-4</v>
      </c>
      <c r="M207" s="56"/>
      <c r="R207" s="713"/>
      <c r="S207" s="712"/>
      <c r="AI207" s="713"/>
      <c r="AJ207" s="712"/>
      <c r="AZ207" s="713"/>
      <c r="BA207" s="712"/>
      <c r="BB207" s="717" t="s">
        <v>79</v>
      </c>
      <c r="BC207" s="560">
        <f>0.006023*EXP(-LN(2)/10990*($F$88-$F$87))</f>
        <v>6.0229999999999997E-3</v>
      </c>
      <c r="BD207" s="718" t="s">
        <v>78</v>
      </c>
      <c r="BE207" s="642">
        <v>5.8200000000000002E-6</v>
      </c>
      <c r="BQ207" s="713"/>
      <c r="BR207" s="712"/>
      <c r="BS207" s="717" t="s">
        <v>79</v>
      </c>
      <c r="BT207" s="560">
        <f>0.0002479*EXP(-LN(2)/10990*($F$88-$F$87))</f>
        <v>2.4790000000000001E-4</v>
      </c>
      <c r="BU207" s="718" t="s">
        <v>78</v>
      </c>
      <c r="BV207" s="642">
        <v>1.4300000000000001E-6</v>
      </c>
      <c r="CH207" s="713"/>
      <c r="CI207" s="712"/>
      <c r="CJ207" s="717" t="s">
        <v>79</v>
      </c>
      <c r="CK207" s="560">
        <f>0.01407*EXP(-LN(2)/10990*($F$88-$F$87))</f>
        <v>1.4069999999999999E-2</v>
      </c>
      <c r="CL207" s="718" t="s">
        <v>78</v>
      </c>
      <c r="CM207" s="642">
        <v>1.347E-5</v>
      </c>
      <c r="CY207" s="713"/>
      <c r="CZ207" s="712"/>
      <c r="DP207" s="713"/>
      <c r="DQ207" s="712"/>
      <c r="EG207" s="713"/>
      <c r="EH207" s="712"/>
      <c r="EI207" s="717" t="s">
        <v>79</v>
      </c>
      <c r="EJ207" s="642">
        <f>0.00001894*EXP(-LN(2)/10990*($F$88-$F$87))</f>
        <v>1.8940000000000002E-5</v>
      </c>
      <c r="EK207" s="718" t="s">
        <v>78</v>
      </c>
      <c r="EL207" s="642">
        <v>1.885E-7</v>
      </c>
      <c r="EX207" s="713"/>
      <c r="EY207" s="712"/>
      <c r="FO207" s="713"/>
      <c r="FP207" s="712"/>
      <c r="GF207" s="713"/>
      <c r="GG207" s="712"/>
      <c r="GW207" s="713"/>
      <c r="GX207" s="712"/>
      <c r="HN207" s="713"/>
      <c r="HO207" s="712"/>
      <c r="IE207" s="713"/>
      <c r="IF207" s="712"/>
      <c r="IV207" s="713"/>
      <c r="IW207" s="712"/>
      <c r="JM207" s="713"/>
      <c r="JN207" s="712"/>
      <c r="KD207" s="713"/>
      <c r="KE207" s="712"/>
      <c r="KU207" s="713"/>
      <c r="KV207" s="712"/>
      <c r="LL207" s="713"/>
      <c r="LM207" s="712"/>
      <c r="MC207" s="713"/>
      <c r="MD207" s="712"/>
      <c r="ME207" s="717"/>
      <c r="MF207" s="642"/>
      <c r="MG207" s="718"/>
      <c r="MH207" s="642"/>
      <c r="MT207" s="713"/>
      <c r="MU207" s="712"/>
      <c r="MV207" s="717" t="s">
        <v>79</v>
      </c>
      <c r="MW207" s="560">
        <f>0.0004046*EXP(-LN(2)/10990*($F$88-$F$87))</f>
        <v>4.0460000000000002E-4</v>
      </c>
      <c r="MX207" s="718" t="s">
        <v>78</v>
      </c>
      <c r="MY207" s="642">
        <v>1.457E-6</v>
      </c>
      <c r="NK207" s="713"/>
      <c r="NL207" s="712"/>
      <c r="OB207" s="713"/>
      <c r="OC207" s="712"/>
      <c r="OD207" s="717" t="s">
        <v>79</v>
      </c>
      <c r="OE207" s="560">
        <f>0.0009378*EXP(-LN(2)/10990*($F$88-$F$87))</f>
        <v>9.3780000000000003E-4</v>
      </c>
      <c r="OF207" s="718" t="s">
        <v>78</v>
      </c>
      <c r="OG207" s="642">
        <v>3.0979999999999998E-6</v>
      </c>
      <c r="OS207" s="713"/>
      <c r="OT207" s="712"/>
      <c r="PJ207" s="713"/>
      <c r="PK207" s="712"/>
      <c r="QA207" s="713"/>
      <c r="QB207" s="712"/>
      <c r="QC207" s="717"/>
      <c r="QD207" s="642"/>
      <c r="QE207" s="718"/>
      <c r="QF207" s="642"/>
      <c r="QR207" s="713"/>
      <c r="QS207" s="712"/>
      <c r="QT207" s="717"/>
      <c r="QU207" s="642"/>
      <c r="QV207" s="718"/>
      <c r="QW207" s="642"/>
      <c r="RI207" s="713"/>
      <c r="RJ207" s="712"/>
      <c r="RK207" s="717" t="s">
        <v>79</v>
      </c>
      <c r="RL207" s="642">
        <f>0.00004249*EXP(-LN(2)/10990*($F$88-$F$87))</f>
        <v>4.2490000000000001E-5</v>
      </c>
      <c r="RM207" s="718" t="s">
        <v>78</v>
      </c>
      <c r="RN207" s="642">
        <v>1.5949999999999999E-7</v>
      </c>
      <c r="RZ207" s="713"/>
      <c r="SA207" s="712"/>
      <c r="SB207" s="717" t="s">
        <v>79</v>
      </c>
      <c r="SC207" s="560">
        <f>0.002322*EXP(-LN(2)/10990*($F$88-$F$87))</f>
        <v>2.3219999999999998E-3</v>
      </c>
      <c r="SD207" s="718" t="s">
        <v>78</v>
      </c>
      <c r="SE207" s="642">
        <v>4.3599999999999998E-6</v>
      </c>
      <c r="SQ207" s="713"/>
      <c r="SR207" s="712"/>
      <c r="TH207" s="713"/>
      <c r="TI207" s="712"/>
      <c r="TJ207" s="717" t="s">
        <v>79</v>
      </c>
      <c r="TK207" s="560">
        <f>0.00009762*EXP(-LN(2)/10990*($F$88-$F$87))</f>
        <v>9.7620000000000004E-5</v>
      </c>
      <c r="TL207" s="718" t="s">
        <v>78</v>
      </c>
      <c r="TM207" s="642">
        <v>6.4700000000000001E-7</v>
      </c>
      <c r="TY207" s="713"/>
    </row>
    <row r="208" spans="2:545" x14ac:dyDescent="0.25">
      <c r="B208" s="2222" t="s">
        <v>301</v>
      </c>
      <c r="C208" s="2223"/>
      <c r="D208" s="719">
        <f>O136</f>
        <v>0</v>
      </c>
      <c r="F208" s="719"/>
      <c r="G208" s="719"/>
      <c r="H208" s="719"/>
      <c r="R208" s="713"/>
      <c r="S208" s="712"/>
      <c r="AI208" s="713"/>
      <c r="AJ208" s="712"/>
      <c r="AZ208" s="713"/>
      <c r="BA208" s="2222" t="s">
        <v>301</v>
      </c>
      <c r="BB208" s="2223"/>
      <c r="BC208" s="719" t="e">
        <f>BN136</f>
        <v>#VALUE!</v>
      </c>
      <c r="BQ208" s="713"/>
      <c r="BR208" s="2222" t="s">
        <v>301</v>
      </c>
      <c r="BS208" s="2223"/>
      <c r="BT208" s="719" t="e">
        <f>CE136</f>
        <v>#VALUE!</v>
      </c>
      <c r="CH208" s="713"/>
      <c r="CI208" s="2222" t="s">
        <v>301</v>
      </c>
      <c r="CJ208" s="2223"/>
      <c r="CK208" s="719" t="e">
        <f>CV136</f>
        <v>#VALUE!</v>
      </c>
      <c r="CY208" s="713"/>
      <c r="CZ208" s="712"/>
      <c r="DP208" s="713"/>
      <c r="DQ208" s="712"/>
      <c r="EG208" s="713"/>
      <c r="EH208" s="2222" t="s">
        <v>301</v>
      </c>
      <c r="EI208" s="2223"/>
      <c r="EJ208" s="719" t="e">
        <f>EU136</f>
        <v>#VALUE!</v>
      </c>
      <c r="EX208" s="713"/>
      <c r="EY208" s="712"/>
      <c r="FO208" s="713"/>
      <c r="FP208" s="712"/>
      <c r="GF208" s="713"/>
      <c r="GG208" s="712"/>
      <c r="GW208" s="713"/>
      <c r="GX208" s="712"/>
      <c r="HN208" s="713"/>
      <c r="HO208" s="712"/>
      <c r="IE208" s="713"/>
      <c r="IF208" s="712"/>
      <c r="IV208" s="713"/>
      <c r="IW208" s="712"/>
      <c r="JM208" s="713"/>
      <c r="JN208" s="712"/>
      <c r="KD208" s="713"/>
      <c r="KE208" s="712"/>
      <c r="KU208" s="713"/>
      <c r="KV208" s="712"/>
      <c r="LL208" s="713"/>
      <c r="LM208" s="712"/>
      <c r="MC208" s="713"/>
      <c r="MD208" s="2222"/>
      <c r="ME208" s="2223"/>
      <c r="MF208" s="719"/>
      <c r="MT208" s="713"/>
      <c r="MU208" s="2222" t="s">
        <v>301</v>
      </c>
      <c r="MV208" s="2223"/>
      <c r="MW208" s="719" t="e">
        <f>NH136</f>
        <v>#VALUE!</v>
      </c>
      <c r="NK208" s="713"/>
      <c r="NL208" s="712"/>
      <c r="OB208" s="713"/>
      <c r="OC208" s="2222" t="s">
        <v>304</v>
      </c>
      <c r="OD208" s="2223"/>
      <c r="OE208" s="719">
        <v>2.9999999999999997E-4</v>
      </c>
      <c r="OS208" s="713"/>
      <c r="OT208" s="712"/>
      <c r="PJ208" s="713"/>
      <c r="PK208" s="712"/>
      <c r="QA208" s="713"/>
      <c r="QB208" s="2222"/>
      <c r="QC208" s="2223"/>
      <c r="QD208" s="719"/>
      <c r="QR208" s="713"/>
      <c r="QS208" s="2222"/>
      <c r="QT208" s="2223"/>
      <c r="QU208" s="719"/>
      <c r="RI208" s="713"/>
      <c r="RJ208" s="2222" t="s">
        <v>301</v>
      </c>
      <c r="RK208" s="2223"/>
      <c r="RL208" s="719">
        <v>1.0000000000000001E-5</v>
      </c>
      <c r="RZ208" s="713"/>
      <c r="SA208" s="2222" t="s">
        <v>301</v>
      </c>
      <c r="SB208" s="2223"/>
      <c r="SC208" s="719" t="e">
        <f>SN136</f>
        <v>#VALUE!</v>
      </c>
      <c r="SQ208" s="713"/>
      <c r="SR208" s="712"/>
      <c r="TH208" s="713"/>
      <c r="TI208" s="2222" t="s">
        <v>301</v>
      </c>
      <c r="TJ208" s="2223"/>
      <c r="TK208" s="719" t="e">
        <f>TV136</f>
        <v>#VALUE!</v>
      </c>
      <c r="TY208" s="713"/>
    </row>
    <row r="209" spans="2:545" x14ac:dyDescent="0.25">
      <c r="B209" s="2222" t="s">
        <v>81</v>
      </c>
      <c r="C209" s="2223"/>
      <c r="D209" s="720" t="e">
        <f>SQRT(D207/D208)</f>
        <v>#DIV/0!</v>
      </c>
      <c r="F209" s="696"/>
      <c r="G209" s="696"/>
      <c r="H209" s="696"/>
      <c r="R209" s="713"/>
      <c r="S209" s="712"/>
      <c r="AI209" s="713"/>
      <c r="AJ209" s="712"/>
      <c r="AZ209" s="713"/>
      <c r="BA209" s="2222" t="s">
        <v>81</v>
      </c>
      <c r="BB209" s="2223"/>
      <c r="BC209" s="720" t="e">
        <f>SQRT(BC207/BC208)</f>
        <v>#VALUE!</v>
      </c>
      <c r="BQ209" s="713"/>
      <c r="BR209" s="2222" t="s">
        <v>81</v>
      </c>
      <c r="BS209" s="2223"/>
      <c r="BT209" s="720" t="e">
        <f>SQRT(BT207/BT208)</f>
        <v>#VALUE!</v>
      </c>
      <c r="CH209" s="713"/>
      <c r="CI209" s="2222" t="s">
        <v>81</v>
      </c>
      <c r="CJ209" s="2223"/>
      <c r="CK209" s="720" t="e">
        <f>SQRT(CK207/CK208)</f>
        <v>#VALUE!</v>
      </c>
      <c r="CY209" s="713"/>
      <c r="CZ209" s="712"/>
      <c r="DP209" s="713"/>
      <c r="DQ209" s="712"/>
      <c r="EG209" s="713"/>
      <c r="EH209" s="2222" t="s">
        <v>81</v>
      </c>
      <c r="EI209" s="2223"/>
      <c r="EJ209" s="720" t="e">
        <f>SQRT(EJ207/EJ208)</f>
        <v>#VALUE!</v>
      </c>
      <c r="EX209" s="713"/>
      <c r="EY209" s="712"/>
      <c r="FO209" s="713"/>
      <c r="FP209" s="712"/>
      <c r="GF209" s="713"/>
      <c r="GG209" s="712"/>
      <c r="GW209" s="713"/>
      <c r="GX209" s="712"/>
      <c r="HN209" s="713"/>
      <c r="HO209" s="712"/>
      <c r="IE209" s="713"/>
      <c r="IF209" s="712"/>
      <c r="IV209" s="713"/>
      <c r="IW209" s="712"/>
      <c r="JM209" s="713"/>
      <c r="JN209" s="712"/>
      <c r="KD209" s="713"/>
      <c r="KE209" s="712"/>
      <c r="KU209" s="713"/>
      <c r="KV209" s="712"/>
      <c r="LL209" s="713"/>
      <c r="LM209" s="712"/>
      <c r="MC209" s="713"/>
      <c r="MD209" s="2222"/>
      <c r="ME209" s="2223"/>
      <c r="MF209" s="696"/>
      <c r="MT209" s="713"/>
      <c r="MU209" s="2222" t="s">
        <v>81</v>
      </c>
      <c r="MV209" s="2223"/>
      <c r="MW209" s="720" t="e">
        <f>SQRT(MW207/MW208)</f>
        <v>#VALUE!</v>
      </c>
      <c r="NK209" s="713"/>
      <c r="NL209" s="712"/>
      <c r="OB209" s="713"/>
      <c r="OC209" s="2222" t="s">
        <v>81</v>
      </c>
      <c r="OD209" s="2223"/>
      <c r="OE209" s="1425">
        <f>SQRT(OE207/OE208)</f>
        <v>1.7680497730550462</v>
      </c>
      <c r="OS209" s="713"/>
      <c r="OT209" s="712"/>
      <c r="PJ209" s="713"/>
      <c r="PK209" s="712"/>
      <c r="QA209" s="713"/>
      <c r="QB209" s="2222"/>
      <c r="QC209" s="2223"/>
      <c r="QD209" s="720"/>
      <c r="QR209" s="713"/>
      <c r="QS209" s="2222"/>
      <c r="QT209" s="2223"/>
      <c r="QU209" s="696"/>
      <c r="RI209" s="713"/>
      <c r="RJ209" s="2222" t="s">
        <v>81</v>
      </c>
      <c r="RK209" s="2223"/>
      <c r="RL209" s="1425">
        <f>SQRT(RL207/RL208)</f>
        <v>2.0613102629153137</v>
      </c>
      <c r="RZ209" s="713"/>
      <c r="SA209" s="2222" t="s">
        <v>81</v>
      </c>
      <c r="SB209" s="2223"/>
      <c r="SC209" s="720" t="e">
        <f>SQRT(SC207/SC208)</f>
        <v>#VALUE!</v>
      </c>
      <c r="SQ209" s="713"/>
      <c r="SR209" s="712"/>
      <c r="TH209" s="713"/>
      <c r="TI209" s="2222" t="s">
        <v>81</v>
      </c>
      <c r="TJ209" s="2223"/>
      <c r="TK209" s="720" t="e">
        <f>SQRT(TK207/TK208)</f>
        <v>#VALUE!</v>
      </c>
      <c r="TY209" s="713"/>
    </row>
    <row r="210" spans="2:545" x14ac:dyDescent="0.25">
      <c r="B210" s="712"/>
      <c r="R210" s="713"/>
      <c r="S210" s="712"/>
      <c r="AI210" s="713"/>
      <c r="AJ210" s="712"/>
      <c r="AZ210" s="713"/>
      <c r="BA210" s="712"/>
      <c r="BQ210" s="713"/>
      <c r="BR210" s="712"/>
      <c r="CH210" s="713"/>
      <c r="CI210" s="712"/>
      <c r="CY210" s="713"/>
      <c r="CZ210" s="712"/>
      <c r="DP210" s="713"/>
      <c r="DQ210" s="712"/>
      <c r="EG210" s="713"/>
      <c r="EH210" s="712"/>
      <c r="EX210" s="713"/>
      <c r="EY210" s="712"/>
      <c r="FO210" s="713"/>
      <c r="FP210" s="712"/>
      <c r="GF210" s="713"/>
      <c r="GG210" s="712"/>
      <c r="GW210" s="713"/>
      <c r="GX210" s="712"/>
      <c r="HN210" s="713"/>
      <c r="HO210" s="712"/>
      <c r="IE210" s="713"/>
      <c r="IF210" s="712"/>
      <c r="IV210" s="713"/>
      <c r="IW210" s="712"/>
      <c r="JM210" s="713"/>
      <c r="JN210" s="712"/>
      <c r="KD210" s="713"/>
      <c r="KE210" s="712"/>
      <c r="KU210" s="713"/>
      <c r="KV210" s="712"/>
      <c r="LL210" s="713"/>
      <c r="LM210" s="712"/>
      <c r="MC210" s="713"/>
      <c r="MD210" s="712"/>
      <c r="MT210" s="713"/>
      <c r="MU210" s="712"/>
      <c r="NK210" s="713"/>
      <c r="NL210" s="712"/>
      <c r="OB210" s="713"/>
      <c r="OC210" s="712"/>
      <c r="OS210" s="713"/>
      <c r="OT210" s="712"/>
      <c r="PJ210" s="713"/>
      <c r="PK210" s="712"/>
      <c r="QA210" s="713"/>
      <c r="QB210" s="712"/>
      <c r="QR210" s="713"/>
      <c r="QS210" s="712"/>
      <c r="RI210" s="713"/>
      <c r="RJ210" s="712"/>
      <c r="RZ210" s="713"/>
      <c r="SA210" s="712"/>
      <c r="SQ210" s="713"/>
      <c r="SR210" s="712"/>
      <c r="TH210" s="713"/>
      <c r="TI210" s="712"/>
      <c r="TY210" s="713"/>
    </row>
    <row r="211" spans="2:545" x14ac:dyDescent="0.25">
      <c r="B211" s="2216" t="s">
        <v>82</v>
      </c>
      <c r="C211" s="2217"/>
      <c r="D211" s="2217"/>
      <c r="E211" s="2217"/>
      <c r="F211" s="2217"/>
      <c r="G211" s="2217"/>
      <c r="H211" s="2217"/>
      <c r="I211" s="2217"/>
      <c r="J211" s="2217"/>
      <c r="K211" s="2217"/>
      <c r="L211" s="2217"/>
      <c r="M211" s="2217"/>
      <c r="N211" s="714"/>
      <c r="O211" s="714"/>
      <c r="P211" s="714"/>
      <c r="Q211" s="714"/>
      <c r="R211" s="715"/>
      <c r="S211" s="712"/>
      <c r="AG211" s="714"/>
      <c r="AI211" s="713"/>
      <c r="AJ211" s="712"/>
      <c r="AX211" s="714"/>
      <c r="AZ211" s="713"/>
      <c r="BA211" s="2216" t="s">
        <v>82</v>
      </c>
      <c r="BB211" s="2217"/>
      <c r="BC211" s="2217"/>
      <c r="BD211" s="2217"/>
      <c r="BE211" s="2217"/>
      <c r="BF211" s="2217"/>
      <c r="BG211" s="2217"/>
      <c r="BH211" s="2217"/>
      <c r="BI211" s="2217"/>
      <c r="BJ211" s="2217"/>
      <c r="BK211" s="2217"/>
      <c r="BL211" s="2217"/>
      <c r="BM211" s="714"/>
      <c r="BN211" s="714"/>
      <c r="BO211" s="714"/>
      <c r="BP211" s="714"/>
      <c r="BQ211" s="715"/>
      <c r="BR211" s="2216" t="s">
        <v>82</v>
      </c>
      <c r="BS211" s="2217"/>
      <c r="BT211" s="2217"/>
      <c r="BU211" s="2217"/>
      <c r="BV211" s="2217"/>
      <c r="BW211" s="2217"/>
      <c r="BX211" s="2217"/>
      <c r="BY211" s="2217"/>
      <c r="BZ211" s="2217"/>
      <c r="CA211" s="2217"/>
      <c r="CB211" s="2217"/>
      <c r="CC211" s="2217"/>
      <c r="CD211" s="714"/>
      <c r="CE211" s="714"/>
      <c r="CF211" s="714"/>
      <c r="CG211" s="714"/>
      <c r="CH211" s="715"/>
      <c r="CI211" s="2216" t="s">
        <v>82</v>
      </c>
      <c r="CJ211" s="2217"/>
      <c r="CK211" s="2217"/>
      <c r="CL211" s="2217"/>
      <c r="CM211" s="2217"/>
      <c r="CN211" s="2217"/>
      <c r="CO211" s="2217"/>
      <c r="CP211" s="2217"/>
      <c r="CQ211" s="2217"/>
      <c r="CR211" s="2217"/>
      <c r="CS211" s="2217"/>
      <c r="CT211" s="2217"/>
      <c r="CU211" s="714"/>
      <c r="CV211" s="714"/>
      <c r="CW211" s="714"/>
      <c r="CX211" s="714"/>
      <c r="CY211" s="715"/>
      <c r="CZ211" s="712"/>
      <c r="DN211" s="714"/>
      <c r="DP211" s="713"/>
      <c r="DQ211" s="712"/>
      <c r="EE211" s="714"/>
      <c r="EG211" s="713"/>
      <c r="EH211" s="2216" t="s">
        <v>82</v>
      </c>
      <c r="EI211" s="2217"/>
      <c r="EJ211" s="2217"/>
      <c r="EK211" s="2217"/>
      <c r="EL211" s="2217"/>
      <c r="EM211" s="2217"/>
      <c r="EN211" s="2217"/>
      <c r="EO211" s="2217"/>
      <c r="EP211" s="2217"/>
      <c r="EQ211" s="2217"/>
      <c r="ER211" s="2217"/>
      <c r="ES211" s="2217"/>
      <c r="ET211" s="714"/>
      <c r="EU211" s="714"/>
      <c r="EV211" s="714"/>
      <c r="EW211" s="714"/>
      <c r="EX211" s="715"/>
      <c r="EY211" s="712"/>
      <c r="FM211" s="714"/>
      <c r="FO211" s="713"/>
      <c r="FP211" s="712"/>
      <c r="GD211" s="714"/>
      <c r="GF211" s="713"/>
      <c r="GG211" s="712"/>
      <c r="GU211" s="714"/>
      <c r="GW211" s="713"/>
      <c r="GX211" s="712"/>
      <c r="HL211" s="714"/>
      <c r="HN211" s="713"/>
      <c r="HO211" s="712"/>
      <c r="IC211" s="714"/>
      <c r="IE211" s="713"/>
      <c r="IF211" s="712"/>
      <c r="IT211" s="714"/>
      <c r="IV211" s="713"/>
      <c r="IW211" s="712"/>
      <c r="JK211" s="714"/>
      <c r="JM211" s="713"/>
      <c r="JN211" s="712"/>
      <c r="KB211" s="714"/>
      <c r="KD211" s="713"/>
      <c r="KE211" s="712"/>
      <c r="KS211" s="714"/>
      <c r="KU211" s="713"/>
      <c r="KV211" s="712"/>
      <c r="LJ211" s="714"/>
      <c r="LL211" s="713"/>
      <c r="LM211" s="712"/>
      <c r="MA211" s="714"/>
      <c r="MC211" s="713"/>
      <c r="MD211" s="2216"/>
      <c r="ME211" s="2217"/>
      <c r="MF211" s="2217"/>
      <c r="MG211" s="2217"/>
      <c r="MH211" s="2217"/>
      <c r="MI211" s="2217"/>
      <c r="MJ211" s="2217"/>
      <c r="MK211" s="2217"/>
      <c r="ML211" s="2217"/>
      <c r="MM211" s="2217"/>
      <c r="MN211" s="2217"/>
      <c r="MO211" s="2217"/>
      <c r="MP211" s="714"/>
      <c r="MQ211" s="714"/>
      <c r="MR211" s="714"/>
      <c r="MS211" s="714"/>
      <c r="MT211" s="715"/>
      <c r="MU211" s="2216" t="s">
        <v>82</v>
      </c>
      <c r="MV211" s="2217"/>
      <c r="MW211" s="2217"/>
      <c r="MX211" s="2217"/>
      <c r="MY211" s="2217"/>
      <c r="MZ211" s="2217"/>
      <c r="NA211" s="2217"/>
      <c r="NB211" s="2217"/>
      <c r="NC211" s="2217"/>
      <c r="ND211" s="2217"/>
      <c r="NE211" s="2217"/>
      <c r="NF211" s="2217"/>
      <c r="NG211" s="714"/>
      <c r="NH211" s="714"/>
      <c r="NI211" s="714"/>
      <c r="NJ211" s="714"/>
      <c r="NK211" s="715"/>
      <c r="NL211" s="712"/>
      <c r="NZ211" s="714"/>
      <c r="OB211" s="713"/>
      <c r="OC211" s="2216" t="s">
        <v>82</v>
      </c>
      <c r="OD211" s="2217"/>
      <c r="OE211" s="2217"/>
      <c r="OF211" s="2217"/>
      <c r="OG211" s="2217"/>
      <c r="OH211" s="2217"/>
      <c r="OI211" s="2217"/>
      <c r="OJ211" s="2217"/>
      <c r="OK211" s="2217"/>
      <c r="OL211" s="2217"/>
      <c r="OM211" s="2217"/>
      <c r="ON211" s="2217"/>
      <c r="OO211" s="714"/>
      <c r="OP211" s="714"/>
      <c r="OQ211" s="714"/>
      <c r="OR211" s="714"/>
      <c r="OS211" s="715"/>
      <c r="OT211" s="712"/>
      <c r="PH211" s="714"/>
      <c r="PJ211" s="713"/>
      <c r="PK211" s="712"/>
      <c r="PY211" s="714"/>
      <c r="QA211" s="713"/>
      <c r="QB211" s="2216"/>
      <c r="QC211" s="2217"/>
      <c r="QD211" s="2217"/>
      <c r="QE211" s="2217"/>
      <c r="QF211" s="2217"/>
      <c r="QG211" s="2217"/>
      <c r="QH211" s="2217"/>
      <c r="QI211" s="2217"/>
      <c r="QJ211" s="2217"/>
      <c r="QK211" s="2217"/>
      <c r="QL211" s="2217"/>
      <c r="QM211" s="2217"/>
      <c r="QN211" s="714"/>
      <c r="QO211" s="714"/>
      <c r="QP211" s="714"/>
      <c r="QQ211" s="714"/>
      <c r="QR211" s="715"/>
      <c r="QS211" s="2216"/>
      <c r="QT211" s="2217"/>
      <c r="QU211" s="2217"/>
      <c r="QV211" s="2217"/>
      <c r="QW211" s="2217"/>
      <c r="QX211" s="2217"/>
      <c r="QY211" s="2217"/>
      <c r="QZ211" s="2217"/>
      <c r="RA211" s="2217"/>
      <c r="RB211" s="2217"/>
      <c r="RC211" s="2217"/>
      <c r="RD211" s="2217"/>
      <c r="RE211" s="714"/>
      <c r="RF211" s="714"/>
      <c r="RG211" s="714"/>
      <c r="RH211" s="714"/>
      <c r="RI211" s="715"/>
      <c r="RJ211" s="2216" t="s">
        <v>82</v>
      </c>
      <c r="RK211" s="2217"/>
      <c r="RL211" s="2217"/>
      <c r="RM211" s="2217"/>
      <c r="RN211" s="2217"/>
      <c r="RO211" s="2217"/>
      <c r="RP211" s="2217"/>
      <c r="RQ211" s="2217"/>
      <c r="RR211" s="2217"/>
      <c r="RS211" s="2217"/>
      <c r="RT211" s="2217"/>
      <c r="RU211" s="2217"/>
      <c r="RV211" s="714"/>
      <c r="RW211" s="714"/>
      <c r="RX211" s="714"/>
      <c r="RY211" s="714"/>
      <c r="RZ211" s="715"/>
      <c r="SA211" s="2216" t="s">
        <v>82</v>
      </c>
      <c r="SB211" s="2217"/>
      <c r="SC211" s="2217"/>
      <c r="SD211" s="2217"/>
      <c r="SE211" s="2217"/>
      <c r="SF211" s="2217"/>
      <c r="SG211" s="2217"/>
      <c r="SH211" s="2217"/>
      <c r="SI211" s="2217"/>
      <c r="SJ211" s="2217"/>
      <c r="SK211" s="2217"/>
      <c r="SL211" s="2217"/>
      <c r="SM211" s="714"/>
      <c r="SN211" s="714"/>
      <c r="SO211" s="714"/>
      <c r="SP211" s="714"/>
      <c r="SQ211" s="715"/>
      <c r="SR211" s="712"/>
      <c r="TF211" s="714"/>
      <c r="TH211" s="713"/>
      <c r="TI211" s="2216" t="s">
        <v>82</v>
      </c>
      <c r="TJ211" s="2217"/>
      <c r="TK211" s="2217"/>
      <c r="TL211" s="2217"/>
      <c r="TM211" s="2217"/>
      <c r="TN211" s="2217"/>
      <c r="TO211" s="2217"/>
      <c r="TP211" s="2217"/>
      <c r="TQ211" s="2217"/>
      <c r="TR211" s="2217"/>
      <c r="TS211" s="2217"/>
      <c r="TT211" s="2217"/>
      <c r="TU211" s="714"/>
      <c r="TV211" s="714"/>
      <c r="TW211" s="714"/>
      <c r="TX211" s="714"/>
      <c r="TY211" s="715"/>
    </row>
    <row r="212" spans="2:545" x14ac:dyDescent="0.25">
      <c r="B212" s="712"/>
      <c r="R212" s="713"/>
      <c r="S212" s="712"/>
      <c r="AI212" s="713"/>
      <c r="AJ212" s="712"/>
      <c r="AZ212" s="713"/>
      <c r="BA212" s="712"/>
      <c r="BQ212" s="713"/>
      <c r="BR212" s="712"/>
      <c r="CH212" s="713"/>
      <c r="CI212" s="712"/>
      <c r="CY212" s="713"/>
      <c r="CZ212" s="712"/>
      <c r="DP212" s="713"/>
      <c r="DQ212" s="712"/>
      <c r="EG212" s="713"/>
      <c r="EH212" s="712"/>
      <c r="EX212" s="713"/>
      <c r="EY212" s="712"/>
      <c r="FO212" s="713"/>
      <c r="FP212" s="712"/>
      <c r="GF212" s="713"/>
      <c r="GG212" s="712"/>
      <c r="GW212" s="713"/>
      <c r="GX212" s="712"/>
      <c r="HN212" s="713"/>
      <c r="HO212" s="712"/>
      <c r="IE212" s="713"/>
      <c r="IF212" s="712"/>
      <c r="IV212" s="713"/>
      <c r="IW212" s="712"/>
      <c r="JM212" s="713"/>
      <c r="JN212" s="712"/>
      <c r="KD212" s="713"/>
      <c r="KE212" s="712"/>
      <c r="KU212" s="713"/>
      <c r="KV212" s="712"/>
      <c r="LL212" s="713"/>
      <c r="LM212" s="712"/>
      <c r="MC212" s="713"/>
      <c r="MD212" s="712"/>
      <c r="MT212" s="713"/>
      <c r="MU212" s="712"/>
      <c r="NK212" s="713"/>
      <c r="NL212" s="712"/>
      <c r="OB212" s="713"/>
      <c r="OC212" s="712"/>
      <c r="OS212" s="713"/>
      <c r="OT212" s="712"/>
      <c r="PJ212" s="713"/>
      <c r="PK212" s="712"/>
      <c r="QA212" s="713"/>
      <c r="QB212" s="712"/>
      <c r="QR212" s="713"/>
      <c r="QS212" s="712"/>
      <c r="RI212" s="713"/>
      <c r="RJ212" s="712"/>
      <c r="RZ212" s="713"/>
      <c r="SA212" s="712"/>
      <c r="SQ212" s="713"/>
      <c r="SR212" s="712"/>
      <c r="TH212" s="713"/>
      <c r="TI212" s="712"/>
      <c r="TY212" s="713"/>
    </row>
    <row r="213" spans="2:545" x14ac:dyDescent="0.25">
      <c r="B213" s="2222" t="s">
        <v>87</v>
      </c>
      <c r="C213" s="2223"/>
      <c r="D213" s="721">
        <v>1</v>
      </c>
      <c r="F213" s="722"/>
      <c r="G213" s="722"/>
      <c r="H213" s="722"/>
      <c r="R213" s="713"/>
      <c r="S213" s="712"/>
      <c r="AI213" s="713"/>
      <c r="AJ213" s="712"/>
      <c r="AZ213" s="713"/>
      <c r="BA213" s="2222" t="s">
        <v>87</v>
      </c>
      <c r="BB213" s="2223"/>
      <c r="BC213" s="722">
        <v>1.5</v>
      </c>
      <c r="BQ213" s="713"/>
      <c r="BR213" s="2222" t="s">
        <v>87</v>
      </c>
      <c r="BS213" s="2223"/>
      <c r="BT213" s="722">
        <v>1.5</v>
      </c>
      <c r="CH213" s="713"/>
      <c r="CI213" s="2222" t="s">
        <v>87</v>
      </c>
      <c r="CJ213" s="2223"/>
      <c r="CK213" s="722">
        <v>1.5</v>
      </c>
      <c r="CY213" s="713"/>
      <c r="CZ213" s="712"/>
      <c r="DP213" s="713"/>
      <c r="DQ213" s="712"/>
      <c r="EG213" s="713"/>
      <c r="EH213" s="2222" t="s">
        <v>87</v>
      </c>
      <c r="EI213" s="2223"/>
      <c r="EJ213" s="722">
        <v>1.5</v>
      </c>
      <c r="EX213" s="713"/>
      <c r="EY213" s="712"/>
      <c r="FO213" s="713"/>
      <c r="FP213" s="712"/>
      <c r="GF213" s="713"/>
      <c r="GG213" s="712"/>
      <c r="GW213" s="713"/>
      <c r="GX213" s="712"/>
      <c r="HN213" s="713"/>
      <c r="HO213" s="712"/>
      <c r="IE213" s="713"/>
      <c r="IF213" s="712"/>
      <c r="IV213" s="713"/>
      <c r="IW213" s="712"/>
      <c r="JM213" s="713"/>
      <c r="JN213" s="712"/>
      <c r="KD213" s="713"/>
      <c r="KE213" s="712"/>
      <c r="KU213" s="713"/>
      <c r="KV213" s="712"/>
      <c r="LL213" s="713"/>
      <c r="LM213" s="712"/>
      <c r="MC213" s="713"/>
      <c r="MD213" s="2222"/>
      <c r="ME213" s="2223"/>
      <c r="MF213" s="722"/>
      <c r="MT213" s="713"/>
      <c r="MU213" s="2222" t="s">
        <v>87</v>
      </c>
      <c r="MV213" s="2223"/>
      <c r="MW213" s="722">
        <v>1.5</v>
      </c>
      <c r="NK213" s="713"/>
      <c r="NL213" s="712"/>
      <c r="OB213" s="713"/>
      <c r="OC213" s="2222" t="s">
        <v>87</v>
      </c>
      <c r="OD213" s="2223"/>
      <c r="OE213" s="722">
        <v>1.5</v>
      </c>
      <c r="OS213" s="713"/>
      <c r="OT213" s="712"/>
      <c r="PJ213" s="713"/>
      <c r="PK213" s="712"/>
      <c r="QA213" s="713"/>
      <c r="QB213" s="2222"/>
      <c r="QC213" s="2223"/>
      <c r="QD213" s="722"/>
      <c r="QR213" s="713"/>
      <c r="QS213" s="2222"/>
      <c r="QT213" s="2223"/>
      <c r="QU213" s="722"/>
      <c r="RI213" s="713"/>
      <c r="RJ213" s="2222" t="s">
        <v>87</v>
      </c>
      <c r="RK213" s="2223"/>
      <c r="RL213" s="722">
        <v>1.5</v>
      </c>
      <c r="RZ213" s="713"/>
      <c r="SA213" s="2222" t="s">
        <v>87</v>
      </c>
      <c r="SB213" s="2223"/>
      <c r="SC213" s="722">
        <v>1.5</v>
      </c>
      <c r="SQ213" s="713"/>
      <c r="SR213" s="712"/>
      <c r="TH213" s="713"/>
      <c r="TI213" s="2222" t="s">
        <v>87</v>
      </c>
      <c r="TJ213" s="2223"/>
      <c r="TK213" s="722">
        <v>1.5</v>
      </c>
      <c r="TY213" s="713"/>
    </row>
    <row r="214" spans="2:545" ht="15" customHeight="1" x14ac:dyDescent="0.25">
      <c r="B214" s="2222" t="s">
        <v>302</v>
      </c>
      <c r="C214" s="2223"/>
      <c r="D214" s="642">
        <f>D207/D213^2</f>
        <v>3.7819999999999999E-2</v>
      </c>
      <c r="F214" s="642"/>
      <c r="G214" s="642"/>
      <c r="H214" s="642"/>
      <c r="R214" s="713"/>
      <c r="S214" s="712"/>
      <c r="AI214" s="713"/>
      <c r="AJ214" s="712"/>
      <c r="AZ214" s="713"/>
      <c r="BA214" s="2222" t="s">
        <v>302</v>
      </c>
      <c r="BB214" s="2223"/>
      <c r="BC214" s="642">
        <f>BC207/BC213^2</f>
        <v>2.6768888888888888E-3</v>
      </c>
      <c r="BQ214" s="713"/>
      <c r="BR214" s="2222" t="s">
        <v>302</v>
      </c>
      <c r="BS214" s="2223"/>
      <c r="BT214" s="642">
        <f>BT207/BT213^2</f>
        <v>1.1017777777777778E-4</v>
      </c>
      <c r="CH214" s="713"/>
      <c r="CI214" s="2222" t="s">
        <v>302</v>
      </c>
      <c r="CJ214" s="2223"/>
      <c r="CK214" s="642">
        <f>CK207/CK213^2</f>
        <v>6.253333333333333E-3</v>
      </c>
      <c r="CY214" s="713"/>
      <c r="CZ214" s="712"/>
      <c r="DP214" s="713"/>
      <c r="DQ214" s="712"/>
      <c r="EG214" s="713"/>
      <c r="EH214" s="2222" t="s">
        <v>302</v>
      </c>
      <c r="EI214" s="2223"/>
      <c r="EJ214" s="642">
        <f>EJ207/EJ213^2</f>
        <v>8.4177777777777781E-6</v>
      </c>
      <c r="EX214" s="713"/>
      <c r="EY214" s="712"/>
      <c r="FO214" s="713"/>
      <c r="FP214" s="712"/>
      <c r="GF214" s="713"/>
      <c r="GG214" s="712"/>
      <c r="GW214" s="713"/>
      <c r="GX214" s="712"/>
      <c r="HN214" s="713"/>
      <c r="HO214" s="712"/>
      <c r="IE214" s="713"/>
      <c r="IF214" s="712"/>
      <c r="IV214" s="713"/>
      <c r="IW214" s="712"/>
      <c r="JM214" s="713"/>
      <c r="JN214" s="712"/>
      <c r="KD214" s="713"/>
      <c r="KE214" s="712"/>
      <c r="KU214" s="713"/>
      <c r="KV214" s="712"/>
      <c r="LL214" s="713"/>
      <c r="LM214" s="712"/>
      <c r="MC214" s="713"/>
      <c r="MD214" s="2222"/>
      <c r="ME214" s="2223"/>
      <c r="MF214" s="642"/>
      <c r="MT214" s="713"/>
      <c r="MU214" s="2222" t="s">
        <v>302</v>
      </c>
      <c r="MV214" s="2223"/>
      <c r="MW214" s="642">
        <f>MW207/MW213^2</f>
        <v>1.7982222222222223E-4</v>
      </c>
      <c r="NK214" s="713"/>
      <c r="NL214" s="712"/>
      <c r="OB214" s="713"/>
      <c r="OC214" s="2222" t="s">
        <v>302</v>
      </c>
      <c r="OD214" s="2223"/>
      <c r="OE214" s="642">
        <f>OE207/OE213^2</f>
        <v>4.1679999999999999E-4</v>
      </c>
      <c r="OS214" s="713"/>
      <c r="OT214" s="712"/>
      <c r="PJ214" s="713"/>
      <c r="PK214" s="712"/>
      <c r="QA214" s="713"/>
      <c r="QB214" s="2222"/>
      <c r="QC214" s="2223"/>
      <c r="QD214" s="642"/>
      <c r="QR214" s="713"/>
      <c r="QS214" s="2222"/>
      <c r="QT214" s="2223"/>
      <c r="QU214" s="642"/>
      <c r="RI214" s="713"/>
      <c r="RJ214" s="2222" t="s">
        <v>302</v>
      </c>
      <c r="RK214" s="2223"/>
      <c r="RL214" s="642">
        <f>RL207/RL213^2</f>
        <v>1.8884444444444444E-5</v>
      </c>
      <c r="RZ214" s="713"/>
      <c r="SA214" s="2222" t="s">
        <v>302</v>
      </c>
      <c r="SB214" s="2223"/>
      <c r="SC214" s="642">
        <f>SC207/SC213^2</f>
        <v>1.0319999999999999E-3</v>
      </c>
      <c r="SQ214" s="713"/>
      <c r="SR214" s="712"/>
      <c r="TH214" s="713"/>
      <c r="TI214" s="2222" t="s">
        <v>302</v>
      </c>
      <c r="TJ214" s="2223"/>
      <c r="TK214" s="642">
        <f>TK207/TK213^2</f>
        <v>4.3386666666666669E-5</v>
      </c>
      <c r="TY214" s="713"/>
    </row>
    <row r="215" spans="2:545" x14ac:dyDescent="0.25">
      <c r="B215" s="712"/>
      <c r="R215" s="713"/>
      <c r="S215" s="712"/>
      <c r="AI215" s="713"/>
      <c r="AJ215" s="712"/>
      <c r="AZ215" s="713"/>
      <c r="BA215" s="712"/>
      <c r="BQ215" s="713"/>
      <c r="BR215" s="712"/>
      <c r="CH215" s="713"/>
      <c r="CI215" s="712"/>
      <c r="CY215" s="713"/>
      <c r="CZ215" s="712"/>
      <c r="DP215" s="713"/>
      <c r="DQ215" s="712"/>
      <c r="EG215" s="713"/>
      <c r="EH215" s="712"/>
      <c r="EX215" s="713"/>
      <c r="EY215" s="712"/>
      <c r="FO215" s="713"/>
      <c r="FP215" s="712"/>
      <c r="GF215" s="713"/>
      <c r="GG215" s="712"/>
      <c r="GW215" s="713"/>
      <c r="GX215" s="712"/>
      <c r="HN215" s="713"/>
      <c r="HO215" s="712"/>
      <c r="IE215" s="713"/>
      <c r="IF215" s="712"/>
      <c r="IV215" s="713"/>
      <c r="IW215" s="712"/>
      <c r="JM215" s="713"/>
      <c r="JN215" s="712"/>
      <c r="KD215" s="713"/>
      <c r="KE215" s="712"/>
      <c r="KU215" s="713"/>
      <c r="KV215" s="712"/>
      <c r="LL215" s="713"/>
      <c r="LM215" s="712"/>
      <c r="MC215" s="713"/>
      <c r="MD215" s="712"/>
      <c r="MT215" s="713"/>
      <c r="MU215" s="712"/>
      <c r="NK215" s="713"/>
      <c r="NL215" s="712"/>
      <c r="OB215" s="713"/>
      <c r="OC215" s="712"/>
      <c r="OS215" s="713"/>
      <c r="OT215" s="712"/>
      <c r="PJ215" s="713"/>
      <c r="PK215" s="712"/>
      <c r="QA215" s="713"/>
      <c r="QB215" s="712"/>
      <c r="QR215" s="713"/>
      <c r="QS215" s="712"/>
      <c r="RI215" s="713"/>
      <c r="RJ215" s="712"/>
      <c r="RZ215" s="713"/>
      <c r="SA215" s="712"/>
      <c r="SQ215" s="713"/>
      <c r="SR215" s="712"/>
      <c r="TH215" s="713"/>
      <c r="TI215" s="712"/>
      <c r="TY215" s="713"/>
    </row>
    <row r="216" spans="2:545" x14ac:dyDescent="0.25">
      <c r="B216" s="2222" t="s">
        <v>88</v>
      </c>
      <c r="C216" s="2223"/>
      <c r="D216" s="721">
        <v>3</v>
      </c>
      <c r="F216" s="722"/>
      <c r="G216" s="722"/>
      <c r="H216" s="722"/>
      <c r="R216" s="713"/>
      <c r="S216" s="712"/>
      <c r="AI216" s="713"/>
      <c r="AJ216" s="712"/>
      <c r="AZ216" s="713"/>
      <c r="BA216" s="2222" t="s">
        <v>88</v>
      </c>
      <c r="BB216" s="2223"/>
      <c r="BC216" s="722">
        <v>2.5</v>
      </c>
      <c r="BQ216" s="713"/>
      <c r="BR216" s="2222" t="s">
        <v>88</v>
      </c>
      <c r="BS216" s="2223"/>
      <c r="BT216" s="722">
        <v>2.5</v>
      </c>
      <c r="CH216" s="713"/>
      <c r="CI216" s="2222" t="s">
        <v>88</v>
      </c>
      <c r="CJ216" s="2223"/>
      <c r="CK216" s="722">
        <v>2.5</v>
      </c>
      <c r="CY216" s="713"/>
      <c r="CZ216" s="712"/>
      <c r="DP216" s="713"/>
      <c r="DQ216" s="712"/>
      <c r="EG216" s="713"/>
      <c r="EH216" s="2222" t="s">
        <v>88</v>
      </c>
      <c r="EI216" s="2223"/>
      <c r="EJ216" s="722">
        <v>2.5</v>
      </c>
      <c r="EX216" s="713"/>
      <c r="EY216" s="712"/>
      <c r="FO216" s="713"/>
      <c r="FP216" s="712"/>
      <c r="GF216" s="713"/>
      <c r="GG216" s="712"/>
      <c r="GW216" s="713"/>
      <c r="GX216" s="712"/>
      <c r="HN216" s="713"/>
      <c r="HO216" s="712"/>
      <c r="IE216" s="713"/>
      <c r="IF216" s="712"/>
      <c r="IV216" s="713"/>
      <c r="IW216" s="712"/>
      <c r="JM216" s="713"/>
      <c r="JN216" s="712"/>
      <c r="KD216" s="713"/>
      <c r="KE216" s="712"/>
      <c r="KU216" s="713"/>
      <c r="KV216" s="712"/>
      <c r="LL216" s="713"/>
      <c r="LM216" s="712"/>
      <c r="MC216" s="713"/>
      <c r="MD216" s="2222"/>
      <c r="ME216" s="2223"/>
      <c r="MF216" s="722"/>
      <c r="MT216" s="713"/>
      <c r="MU216" s="2222" t="s">
        <v>88</v>
      </c>
      <c r="MV216" s="2223"/>
      <c r="MW216" s="722">
        <v>2.5</v>
      </c>
      <c r="NK216" s="713"/>
      <c r="NL216" s="712"/>
      <c r="OB216" s="713"/>
      <c r="OC216" s="2222" t="s">
        <v>88</v>
      </c>
      <c r="OD216" s="2223"/>
      <c r="OE216" s="722">
        <v>2.5</v>
      </c>
      <c r="OS216" s="713"/>
      <c r="OT216" s="712"/>
      <c r="PJ216" s="713"/>
      <c r="PK216" s="712"/>
      <c r="QA216" s="713"/>
      <c r="QB216" s="2222"/>
      <c r="QC216" s="2223"/>
      <c r="QD216" s="722"/>
      <c r="QR216" s="713"/>
      <c r="QS216" s="2222"/>
      <c r="QT216" s="2223"/>
      <c r="QU216" s="722"/>
      <c r="RI216" s="713"/>
      <c r="RJ216" s="2222" t="s">
        <v>88</v>
      </c>
      <c r="RK216" s="2223"/>
      <c r="RL216" s="722">
        <v>2.5</v>
      </c>
      <c r="RZ216" s="713"/>
      <c r="SA216" s="2222" t="s">
        <v>88</v>
      </c>
      <c r="SB216" s="2223"/>
      <c r="SC216" s="722">
        <v>2.5</v>
      </c>
      <c r="SQ216" s="713"/>
      <c r="SR216" s="712"/>
      <c r="TH216" s="713"/>
      <c r="TI216" s="2222" t="s">
        <v>88</v>
      </c>
      <c r="TJ216" s="2223"/>
      <c r="TK216" s="722">
        <v>2.5</v>
      </c>
      <c r="TY216" s="713"/>
    </row>
    <row r="217" spans="2:545" ht="15.75" thickBot="1" x14ac:dyDescent="0.3">
      <c r="B217" s="2224" t="s">
        <v>303</v>
      </c>
      <c r="C217" s="2225"/>
      <c r="D217" s="701">
        <f>D207/D216^2</f>
        <v>4.2022222222222218E-3</v>
      </c>
      <c r="E217" s="724"/>
      <c r="F217" s="701"/>
      <c r="G217" s="701"/>
      <c r="H217" s="701"/>
      <c r="I217" s="724"/>
      <c r="J217" s="724"/>
      <c r="K217" s="724"/>
      <c r="L217" s="724"/>
      <c r="M217" s="724"/>
      <c r="N217" s="724"/>
      <c r="O217" s="724"/>
      <c r="P217" s="724"/>
      <c r="Q217" s="724"/>
      <c r="R217" s="593"/>
      <c r="S217" s="723"/>
      <c r="T217" s="724"/>
      <c r="U217" s="724"/>
      <c r="V217" s="724"/>
      <c r="W217" s="724"/>
      <c r="X217" s="724"/>
      <c r="Y217" s="724"/>
      <c r="Z217" s="724"/>
      <c r="AA217" s="724"/>
      <c r="AB217" s="724"/>
      <c r="AC217" s="724"/>
      <c r="AD217" s="724"/>
      <c r="AE217" s="724"/>
      <c r="AF217" s="724"/>
      <c r="AG217" s="724"/>
      <c r="AH217" s="724"/>
      <c r="AI217" s="593"/>
      <c r="AJ217" s="723"/>
      <c r="AK217" s="724"/>
      <c r="AL217" s="724"/>
      <c r="AM217" s="724"/>
      <c r="AN217" s="724"/>
      <c r="AO217" s="724"/>
      <c r="AP217" s="724"/>
      <c r="AQ217" s="724"/>
      <c r="AR217" s="724"/>
      <c r="AS217" s="724"/>
      <c r="AT217" s="724"/>
      <c r="AU217" s="724"/>
      <c r="AV217" s="724"/>
      <c r="AW217" s="724"/>
      <c r="AX217" s="724"/>
      <c r="AY217" s="724"/>
      <c r="AZ217" s="593"/>
      <c r="BA217" s="2224" t="s">
        <v>303</v>
      </c>
      <c r="BB217" s="2225"/>
      <c r="BC217" s="701">
        <f>BC207/BC216^2</f>
        <v>9.6367999999999996E-4</v>
      </c>
      <c r="BD217" s="724"/>
      <c r="BE217" s="724"/>
      <c r="BF217" s="724"/>
      <c r="BG217" s="724"/>
      <c r="BH217" s="724"/>
      <c r="BI217" s="724"/>
      <c r="BJ217" s="724"/>
      <c r="BK217" s="724"/>
      <c r="BL217" s="724"/>
      <c r="BM217" s="724"/>
      <c r="BN217" s="724"/>
      <c r="BO217" s="724"/>
      <c r="BP217" s="724"/>
      <c r="BQ217" s="593"/>
      <c r="BR217" s="2224" t="s">
        <v>303</v>
      </c>
      <c r="BS217" s="2225"/>
      <c r="BT217" s="701">
        <f>BT207/BT216^2</f>
        <v>3.9663999999999998E-5</v>
      </c>
      <c r="BU217" s="724"/>
      <c r="BV217" s="724"/>
      <c r="BW217" s="724"/>
      <c r="BX217" s="724"/>
      <c r="BY217" s="724"/>
      <c r="BZ217" s="724"/>
      <c r="CA217" s="724"/>
      <c r="CB217" s="724"/>
      <c r="CC217" s="724"/>
      <c r="CD217" s="724"/>
      <c r="CE217" s="724"/>
      <c r="CF217" s="724"/>
      <c r="CG217" s="724"/>
      <c r="CH217" s="593"/>
      <c r="CI217" s="2224" t="s">
        <v>305</v>
      </c>
      <c r="CJ217" s="2225"/>
      <c r="CK217" s="701">
        <f>CK207/CK216^2</f>
        <v>2.2512000000000001E-3</v>
      </c>
      <c r="CL217" s="724"/>
      <c r="CM217" s="724"/>
      <c r="CN217" s="724"/>
      <c r="CO217" s="724"/>
      <c r="CP217" s="724"/>
      <c r="CQ217" s="724"/>
      <c r="CR217" s="724"/>
      <c r="CS217" s="724"/>
      <c r="CT217" s="724"/>
      <c r="CU217" s="724"/>
      <c r="CV217" s="724"/>
      <c r="CW217" s="724"/>
      <c r="CX217" s="724"/>
      <c r="CY217" s="593"/>
      <c r="CZ217" s="723"/>
      <c r="DA217" s="724"/>
      <c r="DB217" s="724"/>
      <c r="DC217" s="724"/>
      <c r="DD217" s="724"/>
      <c r="DE217" s="724"/>
      <c r="DF217" s="724"/>
      <c r="DG217" s="724"/>
      <c r="DH217" s="724"/>
      <c r="DI217" s="724"/>
      <c r="DJ217" s="724"/>
      <c r="DK217" s="724"/>
      <c r="DL217" s="724"/>
      <c r="DM217" s="724"/>
      <c r="DN217" s="724"/>
      <c r="DO217" s="724"/>
      <c r="DP217" s="593"/>
      <c r="DQ217" s="723"/>
      <c r="DR217" s="724"/>
      <c r="DS217" s="724"/>
      <c r="DT217" s="724"/>
      <c r="DU217" s="724"/>
      <c r="DV217" s="724"/>
      <c r="DW217" s="724"/>
      <c r="DX217" s="724"/>
      <c r="DY217" s="724"/>
      <c r="DZ217" s="724"/>
      <c r="EA217" s="724"/>
      <c r="EB217" s="724"/>
      <c r="EC217" s="724"/>
      <c r="ED217" s="724"/>
      <c r="EE217" s="724"/>
      <c r="EF217" s="724"/>
      <c r="EG217" s="593"/>
      <c r="EH217" s="2224" t="s">
        <v>303</v>
      </c>
      <c r="EI217" s="2225"/>
      <c r="EJ217" s="701">
        <f>EJ207/EJ216^2</f>
        <v>3.0304000000000002E-6</v>
      </c>
      <c r="EK217" s="724"/>
      <c r="EL217" s="724"/>
      <c r="EM217" s="724"/>
      <c r="EN217" s="724"/>
      <c r="EO217" s="724"/>
      <c r="EP217" s="724"/>
      <c r="EQ217" s="724"/>
      <c r="ER217" s="724"/>
      <c r="ES217" s="724"/>
      <c r="ET217" s="724"/>
      <c r="EU217" s="724"/>
      <c r="EV217" s="724"/>
      <c r="EW217" s="724"/>
      <c r="EX217" s="593"/>
      <c r="EY217" s="723"/>
      <c r="EZ217" s="724"/>
      <c r="FA217" s="724"/>
      <c r="FB217" s="724"/>
      <c r="FC217" s="724"/>
      <c r="FD217" s="724"/>
      <c r="FE217" s="724"/>
      <c r="FF217" s="724"/>
      <c r="FG217" s="724"/>
      <c r="FH217" s="724"/>
      <c r="FI217" s="724"/>
      <c r="FJ217" s="724"/>
      <c r="FK217" s="724"/>
      <c r="FL217" s="724"/>
      <c r="FM217" s="724"/>
      <c r="FN217" s="724"/>
      <c r="FO217" s="593"/>
      <c r="FP217" s="723"/>
      <c r="FQ217" s="724"/>
      <c r="FR217" s="724"/>
      <c r="FS217" s="724"/>
      <c r="FT217" s="724"/>
      <c r="FU217" s="724"/>
      <c r="FV217" s="724"/>
      <c r="FW217" s="724"/>
      <c r="FX217" s="724"/>
      <c r="FY217" s="724"/>
      <c r="FZ217" s="724"/>
      <c r="GA217" s="724"/>
      <c r="GB217" s="724"/>
      <c r="GC217" s="724"/>
      <c r="GD217" s="724"/>
      <c r="GE217" s="724"/>
      <c r="GF217" s="593"/>
      <c r="GG217" s="723"/>
      <c r="GH217" s="724"/>
      <c r="GI217" s="724"/>
      <c r="GJ217" s="724"/>
      <c r="GK217" s="724"/>
      <c r="GL217" s="724"/>
      <c r="GM217" s="724"/>
      <c r="GN217" s="724"/>
      <c r="GO217" s="724"/>
      <c r="GP217" s="724"/>
      <c r="GQ217" s="724"/>
      <c r="GR217" s="724"/>
      <c r="GS217" s="724"/>
      <c r="GT217" s="724"/>
      <c r="GU217" s="724"/>
      <c r="GV217" s="724"/>
      <c r="GW217" s="593"/>
      <c r="GX217" s="723"/>
      <c r="GY217" s="724"/>
      <c r="GZ217" s="724"/>
      <c r="HA217" s="724"/>
      <c r="HB217" s="724"/>
      <c r="HC217" s="724"/>
      <c r="HD217" s="724"/>
      <c r="HE217" s="724"/>
      <c r="HF217" s="724"/>
      <c r="HG217" s="724"/>
      <c r="HH217" s="724"/>
      <c r="HI217" s="724"/>
      <c r="HJ217" s="724"/>
      <c r="HK217" s="724"/>
      <c r="HL217" s="724"/>
      <c r="HM217" s="724"/>
      <c r="HN217" s="593"/>
      <c r="HO217" s="723"/>
      <c r="HP217" s="724"/>
      <c r="HQ217" s="724"/>
      <c r="HR217" s="724"/>
      <c r="HS217" s="724"/>
      <c r="HT217" s="724"/>
      <c r="HU217" s="724"/>
      <c r="HV217" s="724"/>
      <c r="HW217" s="724"/>
      <c r="HX217" s="724"/>
      <c r="HY217" s="724"/>
      <c r="HZ217" s="724"/>
      <c r="IA217" s="724"/>
      <c r="IB217" s="724"/>
      <c r="IC217" s="724"/>
      <c r="ID217" s="724"/>
      <c r="IE217" s="593"/>
      <c r="IF217" s="723"/>
      <c r="IG217" s="724"/>
      <c r="IH217" s="724"/>
      <c r="II217" s="724"/>
      <c r="IJ217" s="724"/>
      <c r="IK217" s="724"/>
      <c r="IL217" s="724"/>
      <c r="IM217" s="724"/>
      <c r="IN217" s="724"/>
      <c r="IO217" s="724"/>
      <c r="IP217" s="724"/>
      <c r="IQ217" s="724"/>
      <c r="IR217" s="724"/>
      <c r="IS217" s="724"/>
      <c r="IT217" s="724"/>
      <c r="IU217" s="724"/>
      <c r="IV217" s="593"/>
      <c r="IW217" s="723"/>
      <c r="IX217" s="724"/>
      <c r="IY217" s="724"/>
      <c r="IZ217" s="724"/>
      <c r="JA217" s="724"/>
      <c r="JB217" s="724"/>
      <c r="JC217" s="724"/>
      <c r="JD217" s="724"/>
      <c r="JE217" s="724"/>
      <c r="JF217" s="724"/>
      <c r="JG217" s="724"/>
      <c r="JH217" s="724"/>
      <c r="JI217" s="724"/>
      <c r="JJ217" s="724"/>
      <c r="JK217" s="724"/>
      <c r="JL217" s="724"/>
      <c r="JM217" s="593"/>
      <c r="JN217" s="723"/>
      <c r="JO217" s="724"/>
      <c r="JP217" s="724"/>
      <c r="JQ217" s="724"/>
      <c r="JR217" s="724"/>
      <c r="JS217" s="724"/>
      <c r="JT217" s="724"/>
      <c r="JU217" s="724"/>
      <c r="JV217" s="724"/>
      <c r="JW217" s="724"/>
      <c r="JX217" s="724"/>
      <c r="JY217" s="724"/>
      <c r="JZ217" s="724"/>
      <c r="KA217" s="724"/>
      <c r="KB217" s="724"/>
      <c r="KC217" s="724"/>
      <c r="KD217" s="593"/>
      <c r="KE217" s="723"/>
      <c r="KF217" s="724"/>
      <c r="KG217" s="724"/>
      <c r="KH217" s="724"/>
      <c r="KI217" s="724"/>
      <c r="KJ217" s="724"/>
      <c r="KK217" s="724"/>
      <c r="KL217" s="724"/>
      <c r="KM217" s="724"/>
      <c r="KN217" s="724"/>
      <c r="KO217" s="724"/>
      <c r="KP217" s="724"/>
      <c r="KQ217" s="724"/>
      <c r="KR217" s="724"/>
      <c r="KS217" s="724"/>
      <c r="KT217" s="724"/>
      <c r="KU217" s="593"/>
      <c r="KV217" s="723"/>
      <c r="KW217" s="724"/>
      <c r="KX217" s="724"/>
      <c r="KY217" s="724"/>
      <c r="KZ217" s="724"/>
      <c r="LA217" s="724"/>
      <c r="LB217" s="724"/>
      <c r="LC217" s="724"/>
      <c r="LD217" s="724"/>
      <c r="LE217" s="724"/>
      <c r="LF217" s="724"/>
      <c r="LG217" s="724"/>
      <c r="LH217" s="724"/>
      <c r="LI217" s="724"/>
      <c r="LJ217" s="724"/>
      <c r="LK217" s="724"/>
      <c r="LL217" s="593"/>
      <c r="LM217" s="723"/>
      <c r="LN217" s="724"/>
      <c r="LO217" s="724"/>
      <c r="LP217" s="724"/>
      <c r="LQ217" s="724"/>
      <c r="LR217" s="724"/>
      <c r="LS217" s="724"/>
      <c r="LT217" s="724"/>
      <c r="LU217" s="724"/>
      <c r="LV217" s="724"/>
      <c r="LW217" s="724"/>
      <c r="LX217" s="724"/>
      <c r="LY217" s="724"/>
      <c r="LZ217" s="724"/>
      <c r="MA217" s="724"/>
      <c r="MB217" s="724"/>
      <c r="MC217" s="593"/>
      <c r="MD217" s="2224"/>
      <c r="ME217" s="2225"/>
      <c r="MF217" s="701"/>
      <c r="MG217" s="724"/>
      <c r="MH217" s="724"/>
      <c r="MI217" s="724"/>
      <c r="MJ217" s="724"/>
      <c r="MK217" s="724"/>
      <c r="ML217" s="724"/>
      <c r="MM217" s="724"/>
      <c r="MN217" s="724"/>
      <c r="MO217" s="724"/>
      <c r="MP217" s="724"/>
      <c r="MQ217" s="724"/>
      <c r="MR217" s="724"/>
      <c r="MS217" s="724"/>
      <c r="MT217" s="593"/>
      <c r="MU217" s="2224" t="s">
        <v>303</v>
      </c>
      <c r="MV217" s="2225"/>
      <c r="MW217" s="701">
        <f>MW207/MW216^2</f>
        <v>6.4735999999999998E-5</v>
      </c>
      <c r="MX217" s="724"/>
      <c r="MY217" s="724"/>
      <c r="MZ217" s="724"/>
      <c r="NA217" s="724"/>
      <c r="NB217" s="724"/>
      <c r="NC217" s="724"/>
      <c r="ND217" s="724"/>
      <c r="NE217" s="724"/>
      <c r="NF217" s="724"/>
      <c r="NG217" s="724"/>
      <c r="NH217" s="724"/>
      <c r="NI217" s="724"/>
      <c r="NJ217" s="724"/>
      <c r="NK217" s="593"/>
      <c r="NL217" s="723"/>
      <c r="NM217" s="724"/>
      <c r="NN217" s="724"/>
      <c r="NO217" s="724"/>
      <c r="NP217" s="724"/>
      <c r="NQ217" s="724"/>
      <c r="NR217" s="724"/>
      <c r="NS217" s="724"/>
      <c r="NT217" s="724"/>
      <c r="NU217" s="724"/>
      <c r="NV217" s="724"/>
      <c r="NW217" s="724"/>
      <c r="NX217" s="724"/>
      <c r="NY217" s="724"/>
      <c r="NZ217" s="724"/>
      <c r="OA217" s="724"/>
      <c r="OB217" s="593"/>
      <c r="OC217" s="2224" t="s">
        <v>303</v>
      </c>
      <c r="OD217" s="2225"/>
      <c r="OE217" s="701">
        <f>OE207/OE216^2</f>
        <v>1.5004800000000001E-4</v>
      </c>
      <c r="OF217" s="724"/>
      <c r="OG217" s="724"/>
      <c r="OH217" s="724"/>
      <c r="OI217" s="724"/>
      <c r="OJ217" s="724"/>
      <c r="OK217" s="724"/>
      <c r="OL217" s="724"/>
      <c r="OM217" s="724"/>
      <c r="ON217" s="724"/>
      <c r="OO217" s="724"/>
      <c r="OP217" s="724"/>
      <c r="OQ217" s="724"/>
      <c r="OR217" s="724"/>
      <c r="OS217" s="593"/>
      <c r="OT217" s="723"/>
      <c r="OU217" s="724"/>
      <c r="OV217" s="724"/>
      <c r="OW217" s="724"/>
      <c r="OX217" s="724"/>
      <c r="OY217" s="724"/>
      <c r="OZ217" s="724"/>
      <c r="PA217" s="724"/>
      <c r="PB217" s="724"/>
      <c r="PC217" s="724"/>
      <c r="PD217" s="724"/>
      <c r="PE217" s="724"/>
      <c r="PF217" s="724"/>
      <c r="PG217" s="724"/>
      <c r="PH217" s="724"/>
      <c r="PI217" s="724"/>
      <c r="PJ217" s="593"/>
      <c r="PK217" s="723"/>
      <c r="PL217" s="724"/>
      <c r="PM217" s="724"/>
      <c r="PN217" s="724"/>
      <c r="PO217" s="724"/>
      <c r="PP217" s="724"/>
      <c r="PQ217" s="724"/>
      <c r="PR217" s="724"/>
      <c r="PS217" s="724"/>
      <c r="PT217" s="724"/>
      <c r="PU217" s="724"/>
      <c r="PV217" s="724"/>
      <c r="PW217" s="724"/>
      <c r="PX217" s="724"/>
      <c r="PY217" s="724"/>
      <c r="PZ217" s="724"/>
      <c r="QA217" s="593"/>
      <c r="QB217" s="2224"/>
      <c r="QC217" s="2225"/>
      <c r="QD217" s="701"/>
      <c r="QE217" s="724"/>
      <c r="QF217" s="724"/>
      <c r="QG217" s="724"/>
      <c r="QH217" s="724"/>
      <c r="QI217" s="724"/>
      <c r="QJ217" s="724"/>
      <c r="QK217" s="724"/>
      <c r="QL217" s="724"/>
      <c r="QM217" s="724"/>
      <c r="QN217" s="724"/>
      <c r="QO217" s="724"/>
      <c r="QP217" s="724"/>
      <c r="QQ217" s="724"/>
      <c r="QR217" s="593"/>
      <c r="QS217" s="2224"/>
      <c r="QT217" s="2225"/>
      <c r="QU217" s="701"/>
      <c r="QV217" s="724"/>
      <c r="QW217" s="724"/>
      <c r="QX217" s="724"/>
      <c r="QY217" s="724"/>
      <c r="QZ217" s="724"/>
      <c r="RA217" s="724"/>
      <c r="RB217" s="724"/>
      <c r="RC217" s="724"/>
      <c r="RD217" s="724"/>
      <c r="RE217" s="724"/>
      <c r="RF217" s="724"/>
      <c r="RG217" s="724"/>
      <c r="RH217" s="724"/>
      <c r="RI217" s="593"/>
      <c r="RJ217" s="2224" t="s">
        <v>303</v>
      </c>
      <c r="RK217" s="2225"/>
      <c r="RL217" s="701">
        <f>RL207/RL216^2</f>
        <v>6.7984E-6</v>
      </c>
      <c r="RM217" s="724"/>
      <c r="RN217" s="724"/>
      <c r="RO217" s="724"/>
      <c r="RP217" s="724"/>
      <c r="RQ217" s="724"/>
      <c r="RR217" s="724"/>
      <c r="RS217" s="724"/>
      <c r="RT217" s="724"/>
      <c r="RU217" s="724"/>
      <c r="RV217" s="724"/>
      <c r="RW217" s="724"/>
      <c r="RX217" s="724"/>
      <c r="RY217" s="724"/>
      <c r="RZ217" s="593"/>
      <c r="SA217" s="2224" t="s">
        <v>303</v>
      </c>
      <c r="SB217" s="2225"/>
      <c r="SC217" s="701">
        <f>SC207/SC216^2</f>
        <v>3.7151999999999997E-4</v>
      </c>
      <c r="SD217" s="724"/>
      <c r="SE217" s="724"/>
      <c r="SF217" s="724"/>
      <c r="SG217" s="724"/>
      <c r="SH217" s="724"/>
      <c r="SI217" s="724"/>
      <c r="SJ217" s="724"/>
      <c r="SK217" s="724"/>
      <c r="SL217" s="724"/>
      <c r="SM217" s="724"/>
      <c r="SN217" s="724"/>
      <c r="SO217" s="724"/>
      <c r="SP217" s="724"/>
      <c r="SQ217" s="593"/>
      <c r="SR217" s="723"/>
      <c r="SS217" s="724"/>
      <c r="ST217" s="724"/>
      <c r="SU217" s="724"/>
      <c r="SV217" s="724"/>
      <c r="SW217" s="724"/>
      <c r="SX217" s="724"/>
      <c r="SY217" s="724"/>
      <c r="SZ217" s="724"/>
      <c r="TA217" s="724"/>
      <c r="TB217" s="724"/>
      <c r="TC217" s="724"/>
      <c r="TD217" s="724"/>
      <c r="TE217" s="724"/>
      <c r="TF217" s="724"/>
      <c r="TG217" s="724"/>
      <c r="TH217" s="593"/>
      <c r="TI217" s="2224" t="s">
        <v>303</v>
      </c>
      <c r="TJ217" s="2225"/>
      <c r="TK217" s="701">
        <f>TK207/TK216^2</f>
        <v>1.5619200000000001E-5</v>
      </c>
      <c r="TL217" s="724"/>
      <c r="TM217" s="724"/>
      <c r="TN217" s="724"/>
      <c r="TO217" s="724"/>
      <c r="TP217" s="724"/>
      <c r="TQ217" s="724"/>
      <c r="TR217" s="724"/>
      <c r="TS217" s="724"/>
      <c r="TT217" s="724"/>
      <c r="TU217" s="724"/>
      <c r="TV217" s="724"/>
      <c r="TW217" s="724"/>
      <c r="TX217" s="724"/>
      <c r="TY217" s="593"/>
    </row>
    <row r="219" spans="2:545" x14ac:dyDescent="0.25">
      <c r="QK219" s="642"/>
    </row>
    <row r="220" spans="2:545" x14ac:dyDescent="0.25">
      <c r="C220" s="56"/>
    </row>
    <row r="221" spans="2:545" x14ac:dyDescent="0.25">
      <c r="I221" s="56" t="s">
        <v>1064</v>
      </c>
      <c r="J221" s="56" t="s">
        <v>1065</v>
      </c>
      <c r="K221" s="56" t="s">
        <v>1080</v>
      </c>
    </row>
    <row r="222" spans="2:545" x14ac:dyDescent="0.25">
      <c r="B222" s="664">
        <v>20.6</v>
      </c>
      <c r="C222" s="667">
        <v>54</v>
      </c>
      <c r="D222" s="667">
        <v>1009</v>
      </c>
      <c r="E222" s="651">
        <v>-5.3789999999999997E-9</v>
      </c>
      <c r="F222" s="667">
        <v>60</v>
      </c>
      <c r="G222" s="663">
        <v>43402</v>
      </c>
      <c r="H222" s="651" t="str">
        <f>IF(AND(ABS(E222)&gt;=$F$42,ABS(E222)&lt;=$G$42),E222*$D$42,IF(AND(ABS(E222)&gt;=$F$43,ABS(E222)&lt;=$G$43),E222*$D$43,IF(AND(ABS(E222)&gt;=$F$44,ABS(E222)&lt;=$G$44),E222*$D$44,"rango cal. out")))</f>
        <v>rango cal. out</v>
      </c>
      <c r="I222" s="642" t="e">
        <f>ABS(H222)</f>
        <v>#VALUE!</v>
      </c>
      <c r="J222" s="560" t="e">
        <f>I222/MAX($I$222:$I$236)</f>
        <v>#VALUE!</v>
      </c>
      <c r="K222" s="560">
        <v>0</v>
      </c>
    </row>
    <row r="223" spans="2:545" x14ac:dyDescent="0.25">
      <c r="B223" s="668">
        <v>20.399999999999999</v>
      </c>
      <c r="C223" s="673">
        <v>54</v>
      </c>
      <c r="D223" s="673">
        <v>1009</v>
      </c>
      <c r="E223" s="671">
        <v>-5.3780000000000002E-9</v>
      </c>
      <c r="F223" s="673">
        <v>60</v>
      </c>
      <c r="G223" s="650">
        <v>43402</v>
      </c>
      <c r="H223" s="651" t="str">
        <f t="shared" ref="H223:H230" si="1418">IF(AND(ABS(E223)&gt;=$F$42,ABS(E223)&lt;=$G$42),E223*$D$42,IF(AND(ABS(E223)&gt;=$F$43,ABS(E223)&lt;=$G$43),E223*$D$43,IF(AND(ABS(E223)&gt;=$F$44,ABS(E223)&lt;=$G$44),E223*$D$44,"rango cal. out")))</f>
        <v>rango cal. out</v>
      </c>
      <c r="I223" s="642" t="e">
        <f t="shared" ref="I223:I235" si="1419">ABS(H223)</f>
        <v>#VALUE!</v>
      </c>
      <c r="J223" s="560" t="e">
        <f t="shared" ref="J223:J235" si="1420">I223/MAX($I$222:$I$236)</f>
        <v>#VALUE!</v>
      </c>
      <c r="K223" s="560">
        <v>5</v>
      </c>
    </row>
    <row r="224" spans="2:545" x14ac:dyDescent="0.25">
      <c r="B224" s="668">
        <v>20.5</v>
      </c>
      <c r="C224" s="673">
        <v>56</v>
      </c>
      <c r="D224" s="673">
        <v>1009</v>
      </c>
      <c r="E224" s="671">
        <v>-5.3759999999999996E-9</v>
      </c>
      <c r="F224" s="673">
        <v>60</v>
      </c>
      <c r="G224" s="663">
        <v>43402</v>
      </c>
      <c r="H224" s="651" t="str">
        <f t="shared" si="1418"/>
        <v>rango cal. out</v>
      </c>
      <c r="I224" s="642" t="e">
        <f t="shared" si="1419"/>
        <v>#VALUE!</v>
      </c>
      <c r="J224" s="560" t="e">
        <f t="shared" si="1420"/>
        <v>#VALUE!</v>
      </c>
      <c r="K224" s="560">
        <v>10</v>
      </c>
    </row>
    <row r="225" spans="2:11" x14ac:dyDescent="0.25">
      <c r="B225" s="668">
        <v>20.5</v>
      </c>
      <c r="C225" s="673">
        <v>56</v>
      </c>
      <c r="D225" s="673">
        <v>1009</v>
      </c>
      <c r="E225" s="671">
        <v>-5.3739999999999998E-9</v>
      </c>
      <c r="F225" s="673">
        <v>60</v>
      </c>
      <c r="G225" s="650">
        <v>43402</v>
      </c>
      <c r="H225" s="651" t="str">
        <f t="shared" si="1418"/>
        <v>rango cal. out</v>
      </c>
      <c r="I225" s="642" t="e">
        <f t="shared" si="1419"/>
        <v>#VALUE!</v>
      </c>
      <c r="J225" s="560" t="e">
        <f t="shared" si="1420"/>
        <v>#VALUE!</v>
      </c>
      <c r="K225" s="560">
        <v>15</v>
      </c>
    </row>
    <row r="226" spans="2:11" x14ac:dyDescent="0.25">
      <c r="B226" s="668">
        <v>20.6</v>
      </c>
      <c r="C226" s="673">
        <v>53</v>
      </c>
      <c r="D226" s="673">
        <v>1009</v>
      </c>
      <c r="E226" s="671">
        <v>-5.3789999999999997E-9</v>
      </c>
      <c r="F226" s="673">
        <v>60</v>
      </c>
      <c r="G226" s="663">
        <v>43402</v>
      </c>
      <c r="H226" s="651" t="str">
        <f t="shared" si="1418"/>
        <v>rango cal. out</v>
      </c>
      <c r="I226" s="642" t="e">
        <f t="shared" si="1419"/>
        <v>#VALUE!</v>
      </c>
      <c r="J226" s="560" t="e">
        <f t="shared" si="1420"/>
        <v>#VALUE!</v>
      </c>
      <c r="K226" s="560">
        <v>20</v>
      </c>
    </row>
    <row r="227" spans="2:11" x14ac:dyDescent="0.25">
      <c r="B227" s="668">
        <v>20.3</v>
      </c>
      <c r="C227" s="673">
        <v>53</v>
      </c>
      <c r="D227" s="673">
        <v>1009</v>
      </c>
      <c r="E227" s="671">
        <v>-5.3780000000000002E-9</v>
      </c>
      <c r="F227" s="673">
        <v>60</v>
      </c>
      <c r="G227" s="650">
        <v>43402</v>
      </c>
      <c r="H227" s="651" t="str">
        <f t="shared" si="1418"/>
        <v>rango cal. out</v>
      </c>
      <c r="I227" s="642" t="e">
        <f t="shared" si="1419"/>
        <v>#VALUE!</v>
      </c>
      <c r="J227" s="560" t="e">
        <f t="shared" si="1420"/>
        <v>#VALUE!</v>
      </c>
      <c r="K227" s="560">
        <v>25</v>
      </c>
    </row>
    <row r="228" spans="2:11" x14ac:dyDescent="0.25">
      <c r="B228" s="668">
        <v>20.3</v>
      </c>
      <c r="C228" s="673">
        <v>55</v>
      </c>
      <c r="D228" s="673">
        <v>1009</v>
      </c>
      <c r="E228" s="671">
        <v>-5.3759999999999996E-9</v>
      </c>
      <c r="F228" s="673">
        <v>60</v>
      </c>
      <c r="G228" s="663">
        <v>43402</v>
      </c>
      <c r="H228" s="651" t="str">
        <f t="shared" si="1418"/>
        <v>rango cal. out</v>
      </c>
      <c r="I228" s="642" t="e">
        <f t="shared" si="1419"/>
        <v>#VALUE!</v>
      </c>
      <c r="J228" s="560" t="e">
        <f t="shared" si="1420"/>
        <v>#VALUE!</v>
      </c>
      <c r="K228" s="560">
        <v>30</v>
      </c>
    </row>
    <row r="229" spans="2:11" x14ac:dyDescent="0.25">
      <c r="B229" s="668">
        <v>20.399999999999999</v>
      </c>
      <c r="C229" s="673">
        <v>54</v>
      </c>
      <c r="D229" s="673">
        <v>1009</v>
      </c>
      <c r="E229" s="671">
        <v>-5.3739999999999998E-9</v>
      </c>
      <c r="F229" s="673">
        <v>60</v>
      </c>
      <c r="G229" s="650">
        <v>43402</v>
      </c>
      <c r="H229" s="651" t="str">
        <f t="shared" si="1418"/>
        <v>rango cal. out</v>
      </c>
      <c r="I229" s="642" t="e">
        <f t="shared" si="1419"/>
        <v>#VALUE!</v>
      </c>
      <c r="J229" s="560" t="e">
        <f t="shared" si="1420"/>
        <v>#VALUE!</v>
      </c>
      <c r="K229" s="560">
        <v>35</v>
      </c>
    </row>
    <row r="230" spans="2:11" x14ac:dyDescent="0.25">
      <c r="B230" s="668">
        <v>20.5</v>
      </c>
      <c r="C230" s="673">
        <v>55</v>
      </c>
      <c r="D230" s="673">
        <v>1009</v>
      </c>
      <c r="E230" s="671">
        <v>-5.3730000000000004E-9</v>
      </c>
      <c r="F230" s="673">
        <v>60</v>
      </c>
      <c r="G230" s="663">
        <v>43402</v>
      </c>
      <c r="H230" s="651" t="str">
        <f t="shared" si="1418"/>
        <v>rango cal. out</v>
      </c>
      <c r="I230" s="642" t="e">
        <f t="shared" si="1419"/>
        <v>#VALUE!</v>
      </c>
      <c r="J230" s="560" t="e">
        <f t="shared" si="1420"/>
        <v>#VALUE!</v>
      </c>
      <c r="K230" s="560">
        <v>40</v>
      </c>
    </row>
    <row r="231" spans="2:11" x14ac:dyDescent="0.25">
      <c r="B231" s="1542">
        <v>20.6</v>
      </c>
      <c r="C231" s="1543">
        <v>53</v>
      </c>
      <c r="D231" s="1543">
        <v>1009</v>
      </c>
      <c r="E231" s="1544">
        <v>-5.3730000000000004E-9</v>
      </c>
      <c r="F231" s="1543">
        <v>60</v>
      </c>
      <c r="G231" s="650">
        <v>43402</v>
      </c>
      <c r="H231" s="1545" t="str">
        <f>IF(AND(ABS(E231)&gt;=$F$42,ABS(E231)&lt;=$G$42),E231*$D$42,IF(AND(ABS(E231)&gt;=$F$43,ABS(E231)&lt;=$G$43),E231*$D$43,IF(AND(ABS(E231)&gt;=$F$44,ABS(E231)&lt;=$G$44),E231*$D$44,"rango cal. out")))</f>
        <v>rango cal. out</v>
      </c>
      <c r="I231" s="642" t="e">
        <f t="shared" si="1419"/>
        <v>#VALUE!</v>
      </c>
      <c r="J231" s="560" t="e">
        <f t="shared" si="1420"/>
        <v>#VALUE!</v>
      </c>
      <c r="K231" s="560">
        <v>45</v>
      </c>
    </row>
    <row r="232" spans="2:11" x14ac:dyDescent="0.25">
      <c r="B232" s="1542">
        <v>20.7</v>
      </c>
      <c r="C232" s="1543">
        <v>53</v>
      </c>
      <c r="D232" s="1543">
        <v>1009</v>
      </c>
      <c r="E232" s="1544">
        <v>-5.3730000000000004E-9</v>
      </c>
      <c r="F232" s="1543">
        <v>60</v>
      </c>
      <c r="G232" s="663">
        <v>43402</v>
      </c>
      <c r="H232" s="1545" t="str">
        <f>IF(AND(ABS(E232)&gt;=$F$42,ABS(E232)&lt;=$G$42),E232*$D$42,IF(AND(ABS(E232)&gt;=$F$43,ABS(E232)&lt;=$G$43),E232*$D$43,IF(AND(ABS(E232)&gt;=$F$44,ABS(E232)&lt;=$G$44),E232*$D$44,"rango cal. out")))</f>
        <v>rango cal. out</v>
      </c>
      <c r="I232" s="642" t="e">
        <f t="shared" si="1419"/>
        <v>#VALUE!</v>
      </c>
      <c r="J232" s="560" t="e">
        <f t="shared" si="1420"/>
        <v>#VALUE!</v>
      </c>
      <c r="K232" s="560">
        <v>50</v>
      </c>
    </row>
    <row r="233" spans="2:11" x14ac:dyDescent="0.25">
      <c r="B233" s="721">
        <v>20.5</v>
      </c>
      <c r="C233" s="1546">
        <v>52</v>
      </c>
      <c r="D233" s="1546">
        <v>1009</v>
      </c>
      <c r="E233" s="719">
        <v>-5.3720000000000001E-9</v>
      </c>
      <c r="F233" s="1546">
        <v>60</v>
      </c>
      <c r="G233" s="650">
        <v>43402</v>
      </c>
      <c r="H233" s="1545" t="str">
        <f t="shared" ref="H233:H236" si="1421">IF(AND(ABS(E233)&gt;=$F$42,ABS(E233)&lt;=$G$42),E233*$D$42,IF(AND(ABS(E233)&gt;=$F$43,ABS(E233)&lt;=$G$43),E233*$D$43,IF(AND(ABS(E233)&gt;=$F$44,ABS(E233)&lt;=$G$44),E233*$D$44,"rango cal. out")))</f>
        <v>rango cal. out</v>
      </c>
      <c r="I233" s="642" t="e">
        <f t="shared" si="1419"/>
        <v>#VALUE!</v>
      </c>
      <c r="J233" s="560" t="e">
        <f t="shared" si="1420"/>
        <v>#VALUE!</v>
      </c>
      <c r="K233" s="560">
        <v>55</v>
      </c>
    </row>
    <row r="234" spans="2:11" x14ac:dyDescent="0.25">
      <c r="B234" s="721">
        <v>20.5</v>
      </c>
      <c r="C234" s="1546">
        <v>51</v>
      </c>
      <c r="D234" s="1546">
        <v>1009</v>
      </c>
      <c r="E234" s="719">
        <v>-5.3709999999999998E-9</v>
      </c>
      <c r="F234" s="1546">
        <v>60</v>
      </c>
      <c r="G234" s="663">
        <v>43402</v>
      </c>
      <c r="H234" s="1545" t="str">
        <f t="shared" si="1421"/>
        <v>rango cal. out</v>
      </c>
      <c r="I234" s="642" t="e">
        <f t="shared" si="1419"/>
        <v>#VALUE!</v>
      </c>
      <c r="J234" s="560" t="e">
        <f t="shared" si="1420"/>
        <v>#VALUE!</v>
      </c>
      <c r="K234" s="560">
        <v>60</v>
      </c>
    </row>
    <row r="235" spans="2:11" x14ac:dyDescent="0.25">
      <c r="B235" s="721">
        <v>20.3</v>
      </c>
      <c r="C235" s="1546">
        <v>53</v>
      </c>
      <c r="D235" s="1546">
        <v>1009</v>
      </c>
      <c r="E235" s="719">
        <v>-5.3730000000000004E-9</v>
      </c>
      <c r="F235" s="1546">
        <v>60</v>
      </c>
      <c r="G235" s="650">
        <v>43402</v>
      </c>
      <c r="H235" s="1545" t="str">
        <f t="shared" si="1421"/>
        <v>rango cal. out</v>
      </c>
      <c r="I235" s="642" t="e">
        <f t="shared" si="1419"/>
        <v>#VALUE!</v>
      </c>
      <c r="J235" s="560" t="e">
        <f t="shared" si="1420"/>
        <v>#VALUE!</v>
      </c>
      <c r="K235" s="560">
        <v>65</v>
      </c>
    </row>
    <row r="236" spans="2:11" x14ac:dyDescent="0.25">
      <c r="B236" s="721">
        <v>20.399999999999999</v>
      </c>
      <c r="C236" s="1546">
        <v>53</v>
      </c>
      <c r="D236" s="1546">
        <v>1009</v>
      </c>
      <c r="E236" s="719">
        <v>-5.3709999999999998E-9</v>
      </c>
      <c r="F236" s="1546">
        <v>60</v>
      </c>
      <c r="G236" s="663">
        <v>43402</v>
      </c>
      <c r="H236" s="1545" t="str">
        <f t="shared" si="1421"/>
        <v>rango cal. out</v>
      </c>
      <c r="I236" s="642" t="e">
        <f>ABS(H236)</f>
        <v>#VALUE!</v>
      </c>
      <c r="J236" s="642" t="e">
        <f>I236/MAX($I$222:$I$236)</f>
        <v>#VALUE!</v>
      </c>
      <c r="K236" s="560">
        <v>70</v>
      </c>
    </row>
    <row r="237" spans="2:11" x14ac:dyDescent="0.25">
      <c r="E237" s="642"/>
      <c r="G237" s="650"/>
      <c r="H237" s="1545"/>
      <c r="I237" s="642"/>
      <c r="J237" s="1547"/>
    </row>
    <row r="256" spans="2:6" x14ac:dyDescent="0.25">
      <c r="B256" s="560" t="s">
        <v>84</v>
      </c>
      <c r="C256" s="560" t="s">
        <v>6</v>
      </c>
      <c r="D256" s="560" t="s">
        <v>306</v>
      </c>
      <c r="F256" s="560" t="s">
        <v>80</v>
      </c>
    </row>
    <row r="257" spans="2:7" x14ac:dyDescent="0.25">
      <c r="B257" s="560" t="s">
        <v>65</v>
      </c>
      <c r="C257" s="560" t="s">
        <v>85</v>
      </c>
      <c r="D257" s="725">
        <f>D214</f>
        <v>3.7819999999999999E-2</v>
      </c>
      <c r="E257" s="726"/>
      <c r="F257" s="727">
        <f>SQRT($D$207/D257)</f>
        <v>1</v>
      </c>
    </row>
    <row r="258" spans="2:7" x14ac:dyDescent="0.25">
      <c r="C258" s="560" t="s">
        <v>86</v>
      </c>
      <c r="D258" s="725">
        <f>D217</f>
        <v>4.2022222222222218E-3</v>
      </c>
      <c r="E258" s="726"/>
      <c r="F258" s="727">
        <f>SQRT($D$207/D258)</f>
        <v>3</v>
      </c>
      <c r="G258" s="560" t="str">
        <f>IF(D258&lt;D259,"SI","NO")</f>
        <v>SI</v>
      </c>
    </row>
    <row r="259" spans="2:7" x14ac:dyDescent="0.25">
      <c r="B259" s="560" t="s">
        <v>29</v>
      </c>
      <c r="C259" s="560" t="s">
        <v>85</v>
      </c>
      <c r="D259" s="725">
        <f>CK214</f>
        <v>6.253333333333333E-3</v>
      </c>
      <c r="E259" s="726"/>
      <c r="F259" s="727">
        <f>SQRT($CK$207/D259)</f>
        <v>1.5</v>
      </c>
    </row>
    <row r="260" spans="2:7" x14ac:dyDescent="0.25">
      <c r="C260" s="560" t="s">
        <v>86</v>
      </c>
      <c r="D260" s="725">
        <f>CK217</f>
        <v>2.2512000000000001E-3</v>
      </c>
      <c r="E260" s="726"/>
      <c r="F260" s="727">
        <f>SQRT($CK$207/D260)</f>
        <v>2.5</v>
      </c>
      <c r="G260" s="560" t="str">
        <f>IF(D260&lt;D261,"SI","NO")</f>
        <v>SI</v>
      </c>
    </row>
    <row r="261" spans="2:7" x14ac:dyDescent="0.25">
      <c r="B261" s="560" t="s">
        <v>27</v>
      </c>
      <c r="C261" s="560" t="s">
        <v>85</v>
      </c>
      <c r="D261" s="725">
        <f>BC214</f>
        <v>2.6768888888888888E-3</v>
      </c>
      <c r="E261" s="726"/>
      <c r="F261" s="727">
        <f>SQRT($BC$207/D261)</f>
        <v>1.5</v>
      </c>
    </row>
    <row r="262" spans="2:7" x14ac:dyDescent="0.25">
      <c r="C262" s="560" t="s">
        <v>86</v>
      </c>
      <c r="D262" s="725">
        <f>BC217</f>
        <v>9.6367999999999996E-4</v>
      </c>
      <c r="E262" s="726"/>
      <c r="F262" s="727">
        <f>SQRT($BC$207/D262)</f>
        <v>2.5</v>
      </c>
      <c r="G262" s="560" t="str">
        <f>IF(D262&lt;D263,"SI","NO")</f>
        <v>SI</v>
      </c>
    </row>
    <row r="263" spans="2:7" x14ac:dyDescent="0.25">
      <c r="B263" s="560" t="s">
        <v>53</v>
      </c>
      <c r="C263" s="560" t="s">
        <v>85</v>
      </c>
      <c r="D263" s="725">
        <f>SC214</f>
        <v>1.0319999999999999E-3</v>
      </c>
      <c r="E263" s="726"/>
      <c r="F263" s="727">
        <f>SQRT($SC$207/D263)</f>
        <v>1.5</v>
      </c>
    </row>
    <row r="264" spans="2:7" x14ac:dyDescent="0.25">
      <c r="C264" s="560" t="s">
        <v>86</v>
      </c>
      <c r="D264" s="725">
        <f>SC217</f>
        <v>3.7151999999999997E-4</v>
      </c>
      <c r="E264" s="726"/>
      <c r="F264" s="727">
        <f>SQRT($SC$207/D264)</f>
        <v>2.5</v>
      </c>
      <c r="G264" s="560" t="str">
        <f>IF(D264&lt;D265,"SI","NO")</f>
        <v>SI</v>
      </c>
    </row>
    <row r="265" spans="2:7" x14ac:dyDescent="0.25">
      <c r="B265" s="560" t="s">
        <v>47</v>
      </c>
      <c r="C265" s="560" t="s">
        <v>85</v>
      </c>
      <c r="D265" s="725">
        <f>OE214</f>
        <v>4.1679999999999999E-4</v>
      </c>
      <c r="E265" s="726"/>
      <c r="F265" s="727">
        <f>SQRT($OE$207/D265)</f>
        <v>1.5</v>
      </c>
    </row>
    <row r="266" spans="2:7" x14ac:dyDescent="0.25">
      <c r="C266" s="560" t="s">
        <v>86</v>
      </c>
      <c r="D266" s="725">
        <f>OE217</f>
        <v>1.5004800000000001E-4</v>
      </c>
      <c r="E266" s="726"/>
      <c r="F266" s="727">
        <f>SQRT($OE$207/D266)</f>
        <v>2.5</v>
      </c>
      <c r="G266" s="560" t="str">
        <f>IF(D266&lt;D267,"SI","NO")</f>
        <v>SI</v>
      </c>
    </row>
    <row r="267" spans="2:7" x14ac:dyDescent="0.25">
      <c r="B267" s="560" t="s">
        <v>45</v>
      </c>
      <c r="C267" s="560" t="s">
        <v>85</v>
      </c>
      <c r="D267" s="725">
        <f>MW214</f>
        <v>1.7982222222222223E-4</v>
      </c>
      <c r="E267" s="726"/>
      <c r="F267" s="727">
        <f>SQRT($MW$207/D267)</f>
        <v>1.5</v>
      </c>
    </row>
    <row r="268" spans="2:7" x14ac:dyDescent="0.25">
      <c r="C268" s="560" t="s">
        <v>86</v>
      </c>
      <c r="D268" s="725">
        <f>MW217</f>
        <v>6.4735999999999998E-5</v>
      </c>
      <c r="E268" s="726"/>
      <c r="F268" s="727">
        <f>SQRT($MW$207/D268)</f>
        <v>2.5</v>
      </c>
      <c r="G268" s="560" t="str">
        <f>IF(D268&lt;D269,"SI","NO")</f>
        <v>SI</v>
      </c>
    </row>
    <row r="269" spans="2:7" x14ac:dyDescent="0.25">
      <c r="B269" s="560" t="s">
        <v>28</v>
      </c>
      <c r="C269" s="560" t="s">
        <v>85</v>
      </c>
      <c r="D269" s="725">
        <f>BT214</f>
        <v>1.1017777777777778E-4</v>
      </c>
      <c r="E269" s="726"/>
      <c r="F269" s="727">
        <f>SQRT($BT$207/D269)</f>
        <v>1.5</v>
      </c>
    </row>
    <row r="270" spans="2:7" x14ac:dyDescent="0.25">
      <c r="C270" s="560" t="s">
        <v>86</v>
      </c>
      <c r="D270" s="725">
        <f>BT217</f>
        <v>3.9663999999999998E-5</v>
      </c>
      <c r="E270" s="726"/>
      <c r="F270" s="727">
        <f>SQRT($BT$207/D270)</f>
        <v>2.5</v>
      </c>
      <c r="G270" s="560" t="str">
        <f>IF(D270&lt;D271,"SI","NO")</f>
        <v>SI</v>
      </c>
    </row>
    <row r="271" spans="2:7" x14ac:dyDescent="0.25">
      <c r="B271" s="560" t="s">
        <v>55</v>
      </c>
      <c r="C271" s="560" t="s">
        <v>85</v>
      </c>
      <c r="D271" s="725">
        <f>TK214</f>
        <v>4.3386666666666669E-5</v>
      </c>
      <c r="E271" s="726"/>
      <c r="F271" s="727">
        <f>SQRT($TK$207/D271)</f>
        <v>1.5</v>
      </c>
    </row>
    <row r="272" spans="2:7" x14ac:dyDescent="0.25">
      <c r="C272" s="560" t="s">
        <v>86</v>
      </c>
      <c r="D272" s="725">
        <f>TK217</f>
        <v>1.5619200000000001E-5</v>
      </c>
      <c r="E272" s="726"/>
      <c r="F272" s="727">
        <f>SQRT($TK$207/D272)</f>
        <v>2.5</v>
      </c>
      <c r="G272" s="560" t="str">
        <f>IF(D272&lt;D273,"SI","NO")</f>
        <v>SI</v>
      </c>
    </row>
    <row r="273" spans="2:7" x14ac:dyDescent="0.25">
      <c r="B273" s="560" t="s">
        <v>52</v>
      </c>
      <c r="C273" s="560" t="s">
        <v>85</v>
      </c>
      <c r="D273" s="725">
        <f>RL214</f>
        <v>1.8884444444444444E-5</v>
      </c>
      <c r="E273" s="726"/>
      <c r="F273" s="727">
        <f>SQRT($RL$207/D273)</f>
        <v>1.5</v>
      </c>
    </row>
    <row r="274" spans="2:7" x14ac:dyDescent="0.25">
      <c r="C274" s="560" t="s">
        <v>86</v>
      </c>
      <c r="D274" s="725">
        <f>RL217</f>
        <v>6.7984E-6</v>
      </c>
      <c r="E274" s="726"/>
      <c r="F274" s="727">
        <f>SQRT($RL$207/D274)</f>
        <v>2.5</v>
      </c>
      <c r="G274" s="560" t="str">
        <f>IF(D274&lt;D275,"SI","NO")</f>
        <v>SI</v>
      </c>
    </row>
    <row r="275" spans="2:7" x14ac:dyDescent="0.25">
      <c r="B275" s="560" t="s">
        <v>32</v>
      </c>
      <c r="C275" s="560" t="s">
        <v>85</v>
      </c>
      <c r="D275" s="725">
        <f>EJ214</f>
        <v>8.4177777777777781E-6</v>
      </c>
      <c r="E275" s="726"/>
      <c r="F275" s="727">
        <f>SQRT($EJ$207/D275)</f>
        <v>1.5</v>
      </c>
    </row>
    <row r="276" spans="2:7" x14ac:dyDescent="0.25">
      <c r="C276" s="560" t="s">
        <v>86</v>
      </c>
      <c r="D276" s="725">
        <f>EJ217</f>
        <v>3.0304000000000002E-6</v>
      </c>
      <c r="E276" s="726"/>
      <c r="F276" s="727">
        <f>SQRT($EJ$207/D276)</f>
        <v>2.5</v>
      </c>
      <c r="G276" s="560" t="str">
        <f>IF(D276&lt;D277,"SI","NO")</f>
        <v>NO</v>
      </c>
    </row>
    <row r="277" spans="2:7" x14ac:dyDescent="0.25">
      <c r="B277" s="560" t="s">
        <v>50</v>
      </c>
      <c r="C277" s="560" t="s">
        <v>85</v>
      </c>
      <c r="D277" s="725">
        <f>QD214</f>
        <v>0</v>
      </c>
      <c r="E277" s="726"/>
      <c r="F277" s="727" t="e">
        <f>SQRT($QD$207/D277)</f>
        <v>#DIV/0!</v>
      </c>
    </row>
    <row r="278" spans="2:7" x14ac:dyDescent="0.25">
      <c r="C278" s="560" t="s">
        <v>86</v>
      </c>
      <c r="D278" s="725">
        <f>QD217</f>
        <v>0</v>
      </c>
      <c r="E278" s="726"/>
      <c r="F278" s="727" t="e">
        <f>SQRT($QD$207/D278)</f>
        <v>#DIV/0!</v>
      </c>
      <c r="G278" s="560" t="str">
        <f>IF(D278&lt;D279,"SI","NO")</f>
        <v>NO</v>
      </c>
    </row>
    <row r="279" spans="2:7" x14ac:dyDescent="0.25">
      <c r="B279" s="560" t="s">
        <v>51</v>
      </c>
      <c r="C279" s="560" t="s">
        <v>85</v>
      </c>
      <c r="D279" s="725">
        <f>QU214</f>
        <v>0</v>
      </c>
      <c r="E279" s="726"/>
      <c r="F279" s="727" t="e">
        <f>SQRT($QU$207/D279)</f>
        <v>#DIV/0!</v>
      </c>
    </row>
    <row r="280" spans="2:7" x14ac:dyDescent="0.25">
      <c r="C280" s="560" t="s">
        <v>86</v>
      </c>
      <c r="D280" s="725">
        <f>QU217</f>
        <v>0</v>
      </c>
      <c r="E280" s="726"/>
      <c r="F280" s="727" t="e">
        <f>SQRT($QU$207/D280)</f>
        <v>#DIV/0!</v>
      </c>
      <c r="G280" s="560" t="str">
        <f>IF(D280&lt;D281,"SI","NO")</f>
        <v>NO</v>
      </c>
    </row>
    <row r="281" spans="2:7" x14ac:dyDescent="0.25">
      <c r="B281" s="560" t="s">
        <v>44</v>
      </c>
      <c r="C281" s="560" t="s">
        <v>85</v>
      </c>
      <c r="D281" s="642">
        <f>MF214</f>
        <v>0</v>
      </c>
      <c r="F281" s="696" t="e">
        <f>SQRT($MF$207/D281)</f>
        <v>#DIV/0!</v>
      </c>
    </row>
    <row r="282" spans="2:7" x14ac:dyDescent="0.25">
      <c r="C282" s="560" t="s">
        <v>86</v>
      </c>
      <c r="D282" s="642">
        <f>MF217</f>
        <v>0</v>
      </c>
      <c r="F282" s="696" t="e">
        <f>SQRT($MF$207/D282)</f>
        <v>#DIV/0!</v>
      </c>
    </row>
    <row r="286" spans="2:7" ht="45" x14ac:dyDescent="0.25">
      <c r="B286" s="560" t="s">
        <v>307</v>
      </c>
      <c r="C286" s="560" t="s">
        <v>89</v>
      </c>
      <c r="D286" s="560" t="s">
        <v>90</v>
      </c>
    </row>
    <row r="287" spans="2:7" ht="45" x14ac:dyDescent="0.25">
      <c r="B287" s="642">
        <v>3</v>
      </c>
      <c r="C287" s="560" t="str">
        <f>IF(AND(B287&lt;=D257,B287&gt;=D258),B257,IF(AND(B287&lt;=D259,B287&gt;=D260),B259,IF(AND(B287&lt;=D261,B287&gt;=D262),B261,IF(AND(B287&lt;=D263,B287&gt;=D264),B263,IF(AND(B287&lt;=D265,B287&gt;=D266),B265,IF(AND(B287&lt;=D267,B287&gt;=D268),B267,IF(AND(B287&lt;=D269,B287&gt;=D270),B269,IF(AND(B287&lt;=D271,B287&gt;=D272),B271,IF(AND(B287&lt;=D273,B287&gt;=D274),B273,IF(AND(B287&lt;=D275,B287&gt;=D276),B275,IF(AND(B287&lt;=D277,B287&gt;=D278),B277,IF(AND(B287&lt;=D279,B287&gt;=D280),B279,IF(AND(B287&lt;=D281,B287&gt;=D282),B281,"Tasa de dosis fuera de rango")))))))))))))</f>
        <v>Tasa de dosis fuera de rango</v>
      </c>
      <c r="D287" s="696" t="str">
        <f>IF(AND(B287&lt;=D257,B287&gt;=D258),SQRT(D207/B287),IF(AND(B287&lt;=D259,B287&gt;=D260),SQRT(CK207/B287),IF(AND(B287&lt;=D261,B287&gt;=D262),SQRT(BC207/B287),IF(AND(B287&lt;=D263,B287&gt;=D264),SQRT(SC207/B287),IF(AND(B287&lt;=D265,B287&gt;=D266),SQRT(OE207/B287),IF(AND(B287&lt;=D267,B287&gt;=D268),SQRT(MW207/B287),IF(AND(B287&lt;=D269,B287&gt;=D270),SQRT(BT207/B287),IF(AND(B287&lt;=D271,B287&gt;=D272),SQRT(TK207/B287),IF(AND(B287&lt;=D273,B287&gt;=D274),SQRT(RL207/B287),IF(AND(B287&lt;=D275,B287&gt;=D276),SQRT(EJ207/B287),IF(AND(B287&lt;=D277,B287&gt;=D278),SQRT(QD207/B287),IF(AND(B287&lt;=D279,B287&gt;=D280),SQRT(QU207/B287),"Tasa de dosis fuera de rango"))))))))))))</f>
        <v>Tasa de dosis fuera de rango</v>
      </c>
    </row>
  </sheetData>
  <sheetProtection password="D8A8"/>
  <mergeCells count="171">
    <mergeCell ref="B24:E27"/>
    <mergeCell ref="B29:D30"/>
    <mergeCell ref="F29:G30"/>
    <mergeCell ref="C31:D31"/>
    <mergeCell ref="B38:G39"/>
    <mergeCell ref="I38:J39"/>
    <mergeCell ref="B1:C4"/>
    <mergeCell ref="B7:G8"/>
    <mergeCell ref="B10:E10"/>
    <mergeCell ref="B14:C15"/>
    <mergeCell ref="B23:E23"/>
    <mergeCell ref="E1:O4"/>
    <mergeCell ref="B55:G56"/>
    <mergeCell ref="B61:F62"/>
    <mergeCell ref="B67:F67"/>
    <mergeCell ref="B68:C68"/>
    <mergeCell ref="B69:C70"/>
    <mergeCell ref="B71:C72"/>
    <mergeCell ref="B40:B41"/>
    <mergeCell ref="C40:C41"/>
    <mergeCell ref="D40:D41"/>
    <mergeCell ref="E40:E41"/>
    <mergeCell ref="F40:G40"/>
    <mergeCell ref="B47:G48"/>
    <mergeCell ref="AJ97:AZ97"/>
    <mergeCell ref="BA97:BQ97"/>
    <mergeCell ref="BR97:CH97"/>
    <mergeCell ref="CI97:CY97"/>
    <mergeCell ref="CZ97:DP97"/>
    <mergeCell ref="DQ97:EG97"/>
    <mergeCell ref="B73:C73"/>
    <mergeCell ref="B74:C74"/>
    <mergeCell ref="B75:C75"/>
    <mergeCell ref="B77:D77"/>
    <mergeCell ref="B97:R97"/>
    <mergeCell ref="S97:AI97"/>
    <mergeCell ref="IF97:IV97"/>
    <mergeCell ref="IW97:JM97"/>
    <mergeCell ref="JN97:KD97"/>
    <mergeCell ref="KE97:KU97"/>
    <mergeCell ref="KV97:LL97"/>
    <mergeCell ref="LM97:MC97"/>
    <mergeCell ref="EH97:EX97"/>
    <mergeCell ref="EY97:FO97"/>
    <mergeCell ref="FP97:GF97"/>
    <mergeCell ref="GG97:GW97"/>
    <mergeCell ref="GX97:HN97"/>
    <mergeCell ref="HO97:IE97"/>
    <mergeCell ref="QB97:QR97"/>
    <mergeCell ref="QS97:RI97"/>
    <mergeCell ref="RJ97:RZ97"/>
    <mergeCell ref="SA97:SQ97"/>
    <mergeCell ref="SR97:TH97"/>
    <mergeCell ref="TI97:TY97"/>
    <mergeCell ref="MD97:MT97"/>
    <mergeCell ref="MU97:NK97"/>
    <mergeCell ref="NL97:OB97"/>
    <mergeCell ref="OC97:OS97"/>
    <mergeCell ref="OT97:PJ97"/>
    <mergeCell ref="PK97:QA97"/>
    <mergeCell ref="A158:A162"/>
    <mergeCell ref="B168:M168"/>
    <mergeCell ref="BA168:BL168"/>
    <mergeCell ref="BR168:CC168"/>
    <mergeCell ref="CI168:CT168"/>
    <mergeCell ref="EH168:ES168"/>
    <mergeCell ref="A99:A103"/>
    <mergeCell ref="A108:A112"/>
    <mergeCell ref="A117:A121"/>
    <mergeCell ref="A126:A135"/>
    <mergeCell ref="A140:A144"/>
    <mergeCell ref="A149:A153"/>
    <mergeCell ref="SA168:SL168"/>
    <mergeCell ref="TI168:TT168"/>
    <mergeCell ref="B208:C208"/>
    <mergeCell ref="BA208:BB208"/>
    <mergeCell ref="BR208:BS208"/>
    <mergeCell ref="CI208:CJ208"/>
    <mergeCell ref="EH208:EI208"/>
    <mergeCell ref="MD208:ME208"/>
    <mergeCell ref="MU208:MV208"/>
    <mergeCell ref="OC208:OD208"/>
    <mergeCell ref="MD168:MO168"/>
    <mergeCell ref="MU168:NF168"/>
    <mergeCell ref="OC168:ON168"/>
    <mergeCell ref="QB168:QM168"/>
    <mergeCell ref="QS168:RD168"/>
    <mergeCell ref="RJ168:RU168"/>
    <mergeCell ref="QB208:QC208"/>
    <mergeCell ref="QS208:QT208"/>
    <mergeCell ref="RJ208:RK208"/>
    <mergeCell ref="SA208:SB208"/>
    <mergeCell ref="TI208:TJ208"/>
    <mergeCell ref="B209:C209"/>
    <mergeCell ref="BA209:BB209"/>
    <mergeCell ref="BR209:BS209"/>
    <mergeCell ref="CI209:CJ209"/>
    <mergeCell ref="EH209:EI209"/>
    <mergeCell ref="SA209:SB209"/>
    <mergeCell ref="TI209:TJ209"/>
    <mergeCell ref="B211:M211"/>
    <mergeCell ref="BA211:BL211"/>
    <mergeCell ref="BR211:CC211"/>
    <mergeCell ref="CI211:CT211"/>
    <mergeCell ref="EH211:ES211"/>
    <mergeCell ref="MD211:MO211"/>
    <mergeCell ref="MU211:NF211"/>
    <mergeCell ref="OC211:ON211"/>
    <mergeCell ref="MD209:ME209"/>
    <mergeCell ref="MU209:MV209"/>
    <mergeCell ref="OC209:OD209"/>
    <mergeCell ref="QB209:QC209"/>
    <mergeCell ref="QS209:QT209"/>
    <mergeCell ref="RJ209:RK209"/>
    <mergeCell ref="QB211:QM211"/>
    <mergeCell ref="QS211:RD211"/>
    <mergeCell ref="RJ211:RU211"/>
    <mergeCell ref="MD213:ME213"/>
    <mergeCell ref="MU213:MV213"/>
    <mergeCell ref="OC213:OD213"/>
    <mergeCell ref="SA211:SL211"/>
    <mergeCell ref="TI211:TT211"/>
    <mergeCell ref="B213:C213"/>
    <mergeCell ref="BA213:BB213"/>
    <mergeCell ref="BR213:BS213"/>
    <mergeCell ref="CI213:CJ213"/>
    <mergeCell ref="EH213:EI213"/>
    <mergeCell ref="SA213:SB213"/>
    <mergeCell ref="TI213:TJ213"/>
    <mergeCell ref="QB213:QC213"/>
    <mergeCell ref="QS213:QT213"/>
    <mergeCell ref="RJ213:RK213"/>
    <mergeCell ref="QB214:QC214"/>
    <mergeCell ref="QS214:QT214"/>
    <mergeCell ref="RJ214:RK214"/>
    <mergeCell ref="SA214:SB214"/>
    <mergeCell ref="TI214:TJ214"/>
    <mergeCell ref="B216:C216"/>
    <mergeCell ref="BA216:BB216"/>
    <mergeCell ref="BR216:BS216"/>
    <mergeCell ref="CI216:CJ216"/>
    <mergeCell ref="EH216:EI216"/>
    <mergeCell ref="B214:C214"/>
    <mergeCell ref="BA214:BB214"/>
    <mergeCell ref="BR214:BS214"/>
    <mergeCell ref="CI214:CJ214"/>
    <mergeCell ref="EH214:EI214"/>
    <mergeCell ref="MD214:ME214"/>
    <mergeCell ref="MU214:MV214"/>
    <mergeCell ref="OC214:OD214"/>
    <mergeCell ref="QB217:QC217"/>
    <mergeCell ref="QS217:QT217"/>
    <mergeCell ref="RJ217:RK217"/>
    <mergeCell ref="SA217:SB217"/>
    <mergeCell ref="TI217:TJ217"/>
    <mergeCell ref="SA216:SB216"/>
    <mergeCell ref="TI216:TJ216"/>
    <mergeCell ref="B217:C217"/>
    <mergeCell ref="BA217:BB217"/>
    <mergeCell ref="BR217:BS217"/>
    <mergeCell ref="CI217:CJ217"/>
    <mergeCell ref="EH217:EI217"/>
    <mergeCell ref="MD217:ME217"/>
    <mergeCell ref="MU217:MV217"/>
    <mergeCell ref="OC217:OD217"/>
    <mergeCell ref="MD216:ME216"/>
    <mergeCell ref="MU216:MV216"/>
    <mergeCell ref="OC216:OD216"/>
    <mergeCell ref="QB216:QC216"/>
    <mergeCell ref="QS216:QT216"/>
    <mergeCell ref="RJ216:RK216"/>
  </mergeCells>
  <pageMargins left="0.25" right="0.25" top="0.75" bottom="0.75" header="0.3" footer="0.3"/>
  <pageSetup paperSize="9" scale="26" orientation="portrait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>
      <selection activeCell="C15" sqref="C15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20</vt:i4>
      </vt:variant>
    </vt:vector>
  </HeadingPairs>
  <TitlesOfParts>
    <vt:vector size="83" baseType="lpstr">
      <vt:lpstr>Para hallar "A"</vt:lpstr>
      <vt:lpstr>F-LSCD-002 (Dosimetría)</vt:lpstr>
      <vt:lpstr>F-LSCD-003</vt:lpstr>
      <vt:lpstr>F-LSCD-012</vt:lpstr>
      <vt:lpstr>Incert. Nk</vt:lpstr>
      <vt:lpstr>Incert. Dos.</vt:lpstr>
      <vt:lpstr>Incert. Cal. Mon.</vt:lpstr>
      <vt:lpstr>Incert. Cal. Mon. (Dos. Hp(10))</vt:lpstr>
      <vt:lpstr>Incert. Cal. Mon. (Pers Hp(10))</vt:lpstr>
      <vt:lpstr>Incert. Irrad. Dosímetros pers</vt:lpstr>
      <vt:lpstr>F-LSCD-002 (Tasa Kar-Aleph)</vt:lpstr>
      <vt:lpstr>F-LSCD-002 (Nk-IRD)</vt:lpstr>
      <vt:lpstr>F-LSCD-002 (homogeneidad C.I.)</vt:lpstr>
      <vt:lpstr>F-LSCD-002 (homog irrad dosím)</vt:lpstr>
      <vt:lpstr>F-LSCD-002 (Pos. fuente)</vt:lpstr>
      <vt:lpstr>F-LSCD-002 (Tiempo tránsito ob)</vt:lpstr>
      <vt:lpstr>Incert. Irrad. Dosímetros D(10)</vt:lpstr>
      <vt:lpstr>Incert. Cal. Dosímetros D(10)</vt:lpstr>
      <vt:lpstr>Incert. Cal. Dosímetros pers</vt:lpstr>
      <vt:lpstr>Incert. Cal. Cont. Sup</vt:lpstr>
      <vt:lpstr>F-LSCD-004</vt:lpstr>
      <vt:lpstr>F-LSCD-007</vt:lpstr>
      <vt:lpstr>F-LSCD-008</vt:lpstr>
      <vt:lpstr>F-LSCD-012 (Pers. Hp(10))</vt:lpstr>
      <vt:lpstr>C.C. Monit Rad (Digital)</vt:lpstr>
      <vt:lpstr>I.C. Monit Rad (Digital)</vt:lpstr>
      <vt:lpstr>I.C. Monit Rad (Analógico)</vt:lpstr>
      <vt:lpstr>Inf. Homogeneidad</vt:lpstr>
      <vt:lpstr>Inf. Homogeneidad 2</vt:lpstr>
      <vt:lpstr>C.C. Monit Rad (Digital) (2)</vt:lpstr>
      <vt:lpstr>C.C. Monit Rad (Digital) (cps)</vt:lpstr>
      <vt:lpstr>C.C. Monit Rad (Analógico)</vt:lpstr>
      <vt:lpstr>C.C. Monit Rad (Analógico) (2)</vt:lpstr>
      <vt:lpstr>C.C. Monit Rad (Analógico)(cpm)</vt:lpstr>
      <vt:lpstr>C.C. Dosímetro Personal</vt:lpstr>
      <vt:lpstr>C.C. Dosímetro Personal (2)</vt:lpstr>
      <vt:lpstr>Datos varios</vt:lpstr>
      <vt:lpstr>Informe Intercomparación-D(10)</vt:lpstr>
      <vt:lpstr>Inf. Ensayo Dosímetro-Acred.</vt:lpstr>
      <vt:lpstr>Inf. Ensayo Dosím-Acred (2)</vt:lpstr>
      <vt:lpstr>Inf. Ensayo Dosím-Acred(blanco)</vt:lpstr>
      <vt:lpstr>Inf. Ensayo Dosímetro-No Acred.</vt:lpstr>
      <vt:lpstr>F-LSCD-013 (Homog Fuen Planas)</vt:lpstr>
      <vt:lpstr>F-LSCD-013 (dist Fuen Planas)</vt:lpstr>
      <vt:lpstr>C.C. Monit Rad (Pers. Hp(10))</vt:lpstr>
      <vt:lpstr>Inf. Ensayo Dosím-No Acred (2)</vt:lpstr>
      <vt:lpstr>Inf. Ensayo Dosím-No Acred (3)</vt:lpstr>
      <vt:lpstr>Inf. Ensayo Dosím-No Acred(bla)</vt:lpstr>
      <vt:lpstr>Inf.EnsayoDosím-NoAcred(blanco)</vt:lpstr>
      <vt:lpstr>F-LSCD-013</vt:lpstr>
      <vt:lpstr>C.C. Cont. Superf. (2)</vt:lpstr>
      <vt:lpstr>Etiq. Mon. Rad Pers. Hp(10)(2)</vt:lpstr>
      <vt:lpstr>Etiqueta Mon. Rad (5)</vt:lpstr>
      <vt:lpstr>Etiqueta Mon. Rad Analog. (2)</vt:lpstr>
      <vt:lpstr>Etiqueta Mon. Rad (4-alarmas)</vt:lpstr>
      <vt:lpstr>Etiqueta Mon. Rad Analog. (3)</vt:lpstr>
      <vt:lpstr>Etiqueta Cont. Superf. (3)</vt:lpstr>
      <vt:lpstr>Etiqueta Cont. Superf. (3analo)</vt:lpstr>
      <vt:lpstr>Informe Técnico de Recepción(2)</vt:lpstr>
      <vt:lpstr>R.C. Cont. Superf.</vt:lpstr>
      <vt:lpstr>I.C. Cont. Superf.</vt:lpstr>
      <vt:lpstr>F-LSCD-002 (Dosimetría)(Blanco)</vt:lpstr>
      <vt:lpstr>Firma</vt:lpstr>
      <vt:lpstr>'C.C. Monit Rad (Analógico) (2)'!Área_de_impresión</vt:lpstr>
      <vt:lpstr>'Etiq. Mon. Rad Pers. Hp(10)(2)'!Área_de_impresión</vt:lpstr>
      <vt:lpstr>'Etiqueta Cont. Superf. (3)'!Área_de_impresión</vt:lpstr>
      <vt:lpstr>'Etiqueta Cont. Superf. (3analo)'!Área_de_impresión</vt:lpstr>
      <vt:lpstr>'Etiqueta Mon. Rad (4-alarmas)'!Área_de_impresión</vt:lpstr>
      <vt:lpstr>'Etiqueta Mon. Rad (5)'!Área_de_impresión</vt:lpstr>
      <vt:lpstr>'Etiqueta Mon. Rad Analog. (2)'!Área_de_impresión</vt:lpstr>
      <vt:lpstr>'Etiqueta Mon. Rad Analog. (3)'!Área_de_impresión</vt:lpstr>
      <vt:lpstr>'F-LSCD-002 (Dosimetría)(Blanco)'!Área_de_impresión</vt:lpstr>
      <vt:lpstr>'F-LSCD-012'!Área_de_impresión</vt:lpstr>
      <vt:lpstr>'F-LSCD-012 (Pers. Hp(10))'!Área_de_impresión</vt:lpstr>
      <vt:lpstr>'F-LSCD-013'!Área_de_impresión</vt:lpstr>
      <vt:lpstr>'F-LSCD-013 (dist Fuen Planas)'!Área_de_impresión</vt:lpstr>
      <vt:lpstr>'F-LSCD-013 (Homog Fuen Planas)'!Área_de_impresión</vt:lpstr>
      <vt:lpstr>'Incert. Irrad. Dosímetros pers'!Área_de_impresión</vt:lpstr>
      <vt:lpstr>'Inf. Ensayo Dosím-Acred(blanco)'!Área_de_impresión</vt:lpstr>
      <vt:lpstr>'Inf.EnsayoDosím-NoAcred(blanco)'!Área_de_impresión</vt:lpstr>
      <vt:lpstr>'Informe Intercomparación-D(10)'!Área_de_impresión</vt:lpstr>
      <vt:lpstr>'Informe Técnico de Recepción(2)'!Área_de_impresión</vt:lpstr>
      <vt:lpstr>'R.C. Cont. Superf.'!Área_de_impresión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AUSX5</dc:creator>
  <cp:lastModifiedBy>LSCD</cp:lastModifiedBy>
  <cp:lastPrinted>2021-05-20T20:57:33Z</cp:lastPrinted>
  <dcterms:created xsi:type="dcterms:W3CDTF">2017-03-23T16:41:30Z</dcterms:created>
  <dcterms:modified xsi:type="dcterms:W3CDTF">2022-02-22T21:00:11Z</dcterms:modified>
</cp:coreProperties>
</file>